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72FC7853-75D3-46AB-A06F-DEC0FB8BC607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</calcChain>
</file>

<file path=xl/sharedStrings.xml><?xml version="1.0" encoding="utf-8"?>
<sst xmlns="http://schemas.openxmlformats.org/spreadsheetml/2006/main" count="15446" uniqueCount="60">
  <si>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</si>
  <si>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</si>
  <si>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</si>
  <si>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</si>
  <si>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</si>
  <si>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</si>
  <si>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</si>
  <si>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</si>
  <si>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</si>
  <si>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</si>
  <si>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</si>
  <si>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</si>
  <si>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</si>
  <si>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</si>
  <si>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</si>
  <si>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</si>
  <si>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</si>
  <si>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</si>
  <si>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</si>
  <si>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</si>
  <si>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</si>
  <si>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</si>
  <si>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</si>
  <si>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</si>
  <si>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</si>
  <si>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</si>
  <si>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</si>
  <si>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</si>
  <si>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</si>
  <si>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</si>
  <si>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</si>
  <si>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</si>
  <si>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</si>
  <si>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</si>
  <si>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</si>
  <si>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</si>
  <si>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</si>
  <si>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</si>
  <si>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</si>
  <si>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</si>
  <si>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Testhuanghun_off</t>
  </si>
  <si>
    <t>Kooper</t>
  </si>
  <si>
    <t>Plane_01</t>
  </si>
  <si>
    <t>mcp_road_part_02</t>
  </si>
  <si>
    <t>FAR</t>
  </si>
  <si>
    <t>mcp_roads_turn_01 (1)</t>
  </si>
  <si>
    <t>mcp_roads_T_cross_01</t>
  </si>
  <si>
    <t>mcp_road_part_01</t>
  </si>
  <si>
    <t>mcp_roads_cross_01</t>
  </si>
  <si>
    <t>mcp_roads_cross_02</t>
  </si>
  <si>
    <t>mcp_roads_turn_01</t>
  </si>
  <si>
    <t>mcp_road_part_02 (1)</t>
  </si>
  <si>
    <t>mcp_road_part_02 (2)</t>
  </si>
  <si>
    <t>mcp_road_part_02 (3)</t>
  </si>
  <si>
    <t>mcp_road_part_02 (6)</t>
  </si>
  <si>
    <t>mcp_road_part_02 (9)</t>
  </si>
  <si>
    <t>mcp_road_part_02 (8)</t>
  </si>
  <si>
    <t>mcp_road_part_02 (11)</t>
  </si>
  <si>
    <t>mcp_road_part_02 (10)</t>
  </si>
  <si>
    <t>mcp_road_part_02 (12)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</si>
</sst>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704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"20190312172330862"</f>
        <v>20190312172330862</v>
      </c>
      <c r="B2" t="str">
        <f>"1552382610859747"</f>
        <v>1552382610859747</v>
      </c>
      <c r="C2" t="s">
        <v>40</v>
      </c>
      <c r="D2">
        <v>3.4874510000000001</v>
      </c>
      <c r="E2">
        <v>0.52138879999999999</v>
      </c>
      <c r="F2" t="s">
        <v>41</v>
      </c>
      <c r="G2">
        <v>-475.90230000000003</v>
      </c>
      <c r="H2">
        <v>0.99710690000000002</v>
      </c>
      <c r="I2">
        <v>367.16370000000001</v>
      </c>
      <c r="J2">
        <v>-476.59949999999998</v>
      </c>
      <c r="K2">
        <v>1.1095969999999999</v>
      </c>
      <c r="L2">
        <v>367.21620000000001</v>
      </c>
      <c r="M2">
        <v>0.99996859999999999</v>
      </c>
      <c r="N2">
        <v>0</v>
      </c>
      <c r="O2" s="1">
        <v>-7.3186109999999994E-5</v>
      </c>
      <c r="P2">
        <v>0.99195049999999996</v>
      </c>
      <c r="Q2">
        <v>0.1252509</v>
      </c>
      <c r="R2">
        <v>-1.862196E-2</v>
      </c>
      <c r="S2">
        <v>3.0816650000000001</v>
      </c>
      <c r="T2">
        <v>-0.49062440000000002</v>
      </c>
      <c r="U2">
        <v>-0.22717290000000001</v>
      </c>
      <c r="V2">
        <v>1.856228E-2</v>
      </c>
      <c r="W2">
        <v>0.13310420000000001</v>
      </c>
      <c r="X2">
        <v>0.99092820000000004</v>
      </c>
      <c r="Y2">
        <v>7.2537370000000004E-2</v>
      </c>
      <c r="Z2">
        <v>-5.7189220000000004E-3</v>
      </c>
      <c r="AA2">
        <v>0.99734929999999999</v>
      </c>
      <c r="AB2">
        <v>1</v>
      </c>
      <c r="AC2">
        <v>0.69719999999995197</v>
      </c>
      <c r="AD2">
        <v>-0.1124901</v>
      </c>
      <c r="AE2">
        <v>-5.2500000000008998E-2</v>
      </c>
      <c r="AF2">
        <v>5.1125557176264803E-2</v>
      </c>
      <c r="AG2">
        <v>-0.1124901</v>
      </c>
      <c r="AH2">
        <v>0.67961168427904595</v>
      </c>
      <c r="AI2">
        <v>99.372439404760101</v>
      </c>
      <c r="AJ2">
        <v>85.6978792111031</v>
      </c>
      <c r="AK2">
        <v>0.69075312999884098</v>
      </c>
      <c r="AL2">
        <v>82.350990720182196</v>
      </c>
      <c r="AM2">
        <v>88.926848654602694</v>
      </c>
      <c r="AN2">
        <v>0.99999999192583899</v>
      </c>
    </row>
    <row r="3" spans="1:40" x14ac:dyDescent="0.25">
      <c r="A3" t="str">
        <f>"20190312172330883"</f>
        <v>20190312172330883</v>
      </c>
      <c r="B3" t="str">
        <f>"1552382610880244"</f>
        <v>1552382610880244</v>
      </c>
      <c r="C3" t="s">
        <v>40</v>
      </c>
      <c r="D3">
        <v>3.4531529999999999</v>
      </c>
      <c r="E3">
        <v>0.52098889999999998</v>
      </c>
      <c r="F3" t="s">
        <v>41</v>
      </c>
      <c r="G3">
        <v>-475.88920000000002</v>
      </c>
      <c r="H3">
        <v>0.9922436</v>
      </c>
      <c r="I3">
        <v>367.16340000000002</v>
      </c>
      <c r="J3">
        <v>-476.5933</v>
      </c>
      <c r="K3">
        <v>1.1099079999999999</v>
      </c>
      <c r="L3">
        <v>367.21609999999998</v>
      </c>
      <c r="M3">
        <v>0.99996350000000001</v>
      </c>
      <c r="N3">
        <v>0</v>
      </c>
      <c r="O3" s="1">
        <v>-8.4578950000000001E-5</v>
      </c>
      <c r="P3">
        <v>0.99205379999999999</v>
      </c>
      <c r="Q3">
        <v>0.1243833</v>
      </c>
      <c r="R3">
        <v>-1.8925589999999999E-2</v>
      </c>
      <c r="S3">
        <v>3.0844119999999999</v>
      </c>
      <c r="T3">
        <v>-0.50957559999999902</v>
      </c>
      <c r="U3">
        <v>-0.22708130000000001</v>
      </c>
      <c r="V3">
        <v>1.8851980000000001E-2</v>
      </c>
      <c r="W3">
        <v>0.13287119999999999</v>
      </c>
      <c r="X3">
        <v>0.990954</v>
      </c>
      <c r="Y3">
        <v>7.2364639999999994E-2</v>
      </c>
      <c r="Z3">
        <v>-5.9157130000000004E-3</v>
      </c>
      <c r="AA3">
        <v>0.99736069999999999</v>
      </c>
      <c r="AB3">
        <v>1</v>
      </c>
      <c r="AC3">
        <v>0.70409999999998196</v>
      </c>
      <c r="AD3">
        <v>-0.117664399999999</v>
      </c>
      <c r="AE3">
        <v>-5.2699999999958801E-2</v>
      </c>
      <c r="AF3">
        <v>5.1218056566749597E-2</v>
      </c>
      <c r="AG3">
        <v>-0.117664399999999</v>
      </c>
      <c r="AH3">
        <v>0.68507896147623004</v>
      </c>
      <c r="AI3">
        <v>99.719033502703098</v>
      </c>
      <c r="AJ3">
        <v>85.724391790856899</v>
      </c>
      <c r="AK3">
        <v>0.69699453642276499</v>
      </c>
      <c r="AL3">
        <v>82.3644602747042</v>
      </c>
      <c r="AM3">
        <v>88.910132446624104</v>
      </c>
      <c r="AN3">
        <v>0.99999999152768004</v>
      </c>
    </row>
    <row r="4" spans="1:40" x14ac:dyDescent="0.25">
      <c r="A4" t="str">
        <f>"20190312172330906"</f>
        <v>20190312172330906</v>
      </c>
      <c r="B4" t="str">
        <f>"1552382610899763"</f>
        <v>1552382610899763</v>
      </c>
      <c r="C4" t="s">
        <v>40</v>
      </c>
      <c r="D4">
        <v>3.4638800000000001</v>
      </c>
      <c r="E4">
        <v>0.52069709999999902</v>
      </c>
      <c r="F4" t="s">
        <v>41</v>
      </c>
      <c r="G4">
        <v>-475.88600000000002</v>
      </c>
      <c r="H4">
        <v>0.99104199999999998</v>
      </c>
      <c r="I4">
        <v>367.1644</v>
      </c>
      <c r="J4">
        <v>-476.58800000000002</v>
      </c>
      <c r="K4">
        <v>1.1102590000000001</v>
      </c>
      <c r="L4">
        <v>367.21609999999998</v>
      </c>
      <c r="M4">
        <v>0.99995460000000003</v>
      </c>
      <c r="N4">
        <v>0</v>
      </c>
      <c r="O4" s="1">
        <v>-8.4938819999999995E-5</v>
      </c>
      <c r="P4">
        <v>0.99213470000000004</v>
      </c>
      <c r="Q4">
        <v>0.1237384</v>
      </c>
      <c r="R4">
        <v>-1.891727E-2</v>
      </c>
      <c r="S4">
        <v>3.0848080000000002</v>
      </c>
      <c r="T4">
        <v>-0.51857379999999997</v>
      </c>
      <c r="U4">
        <v>-0.22451779999999999</v>
      </c>
      <c r="V4">
        <v>1.883905E-2</v>
      </c>
      <c r="W4">
        <v>0.13319259999999999</v>
      </c>
      <c r="X4">
        <v>0.99091110000000004</v>
      </c>
      <c r="Y4">
        <v>7.1508130000000003E-2</v>
      </c>
      <c r="Z4">
        <v>-5.9467060000000004E-3</v>
      </c>
      <c r="AA4">
        <v>0.99742229999999998</v>
      </c>
      <c r="AB4">
        <v>1</v>
      </c>
      <c r="AC4">
        <v>0.70200000000005502</v>
      </c>
      <c r="AD4">
        <v>-0.119217</v>
      </c>
      <c r="AE4">
        <v>-5.1699999999982503E-2</v>
      </c>
      <c r="AF4">
        <v>5.0200378430648701E-2</v>
      </c>
      <c r="AG4">
        <v>-0.119217</v>
      </c>
      <c r="AH4">
        <v>0.68242899790487699</v>
      </c>
      <c r="AI4">
        <v>99.883118701556</v>
      </c>
      <c r="AJ4">
        <v>85.792824581539094</v>
      </c>
      <c r="AK4">
        <v>0.69458052683978599</v>
      </c>
      <c r="AL4">
        <v>82.345880280949899</v>
      </c>
      <c r="AM4">
        <v>88.910832633076197</v>
      </c>
      <c r="AN4">
        <v>0.99999999330143596</v>
      </c>
    </row>
    <row r="5" spans="1:40" x14ac:dyDescent="0.25">
      <c r="A5" t="str">
        <f>"20190312172330950"</f>
        <v>20190312172330950</v>
      </c>
      <c r="B5" t="str">
        <f>"1552382610940258"</f>
        <v>1552382610940258</v>
      </c>
      <c r="C5" t="s">
        <v>40</v>
      </c>
      <c r="D5">
        <v>3.4924210000000002</v>
      </c>
      <c r="E5">
        <v>0.52039619999999998</v>
      </c>
      <c r="F5" t="s">
        <v>41</v>
      </c>
      <c r="G5">
        <v>-475.86739999999998</v>
      </c>
      <c r="H5">
        <v>0.98814809999999997</v>
      </c>
      <c r="I5">
        <v>367.1653</v>
      </c>
      <c r="J5">
        <v>-476.56299999999999</v>
      </c>
      <c r="K5">
        <v>1.1097140000000001</v>
      </c>
      <c r="L5">
        <v>367.21609999999998</v>
      </c>
      <c r="M5">
        <v>0.99997270000000005</v>
      </c>
      <c r="N5">
        <v>0</v>
      </c>
      <c r="O5">
        <v>-1.4778449999999999E-4</v>
      </c>
      <c r="P5">
        <v>0.99181580000000003</v>
      </c>
      <c r="Q5">
        <v>0.12639040000000001</v>
      </c>
      <c r="R5">
        <v>-1.809448E-2</v>
      </c>
      <c r="S5">
        <v>3.0866699999999998</v>
      </c>
      <c r="T5">
        <v>-0.5298233</v>
      </c>
      <c r="U5">
        <v>-0.22000120000000001</v>
      </c>
      <c r="V5">
        <v>1.7955720000000001E-2</v>
      </c>
      <c r="W5">
        <v>0.13372609999999999</v>
      </c>
      <c r="X5">
        <v>0.99085559999999995</v>
      </c>
      <c r="Y5">
        <v>6.9931399999999894E-2</v>
      </c>
      <c r="Z5">
        <v>-5.9257149999999998E-3</v>
      </c>
      <c r="AA5">
        <v>0.99753420000000004</v>
      </c>
      <c r="AB5">
        <v>1</v>
      </c>
      <c r="AC5">
        <v>0.69560000000006905</v>
      </c>
      <c r="AD5">
        <v>-0.12156589999999901</v>
      </c>
      <c r="AE5">
        <v>-5.0799999999980999E-2</v>
      </c>
      <c r="AF5">
        <v>4.9202406300440801E-2</v>
      </c>
      <c r="AG5">
        <v>-0.12156589999999901</v>
      </c>
      <c r="AH5">
        <v>0.67509772469190499</v>
      </c>
      <c r="AI5">
        <v>100.181507059192</v>
      </c>
      <c r="AJ5">
        <v>85.831544806876096</v>
      </c>
      <c r="AK5">
        <v>0.68771802558370598</v>
      </c>
      <c r="AL5">
        <v>82.315036724014206</v>
      </c>
      <c r="AM5">
        <v>88.961832195175802</v>
      </c>
      <c r="AN5">
        <v>0.99999994887664201</v>
      </c>
    </row>
    <row r="6" spans="1:40" x14ac:dyDescent="0.25">
      <c r="A6" t="str">
        <f>"20190312172330972"</f>
        <v>20190312172330972</v>
      </c>
      <c r="B6" t="str">
        <f>"1552382610959782"</f>
        <v>1552382610959782</v>
      </c>
      <c r="C6" t="s">
        <v>40</v>
      </c>
      <c r="D6">
        <v>3.5206719999999998</v>
      </c>
      <c r="E6">
        <v>0.52038009999999901</v>
      </c>
      <c r="F6" t="s">
        <v>41</v>
      </c>
      <c r="G6">
        <v>-475.85329999999999</v>
      </c>
      <c r="H6">
        <v>0.98756980000000005</v>
      </c>
      <c r="I6">
        <v>367.1653</v>
      </c>
      <c r="J6">
        <v>-476.5487</v>
      </c>
      <c r="K6">
        <v>1.1096459999999999</v>
      </c>
      <c r="L6">
        <v>367.21600000000001</v>
      </c>
      <c r="M6">
        <v>0.9999768</v>
      </c>
      <c r="N6">
        <v>0</v>
      </c>
      <c r="O6">
        <v>-1.895492E-4</v>
      </c>
      <c r="P6">
        <v>0.99173960000000005</v>
      </c>
      <c r="Q6">
        <v>0.12702179999999999</v>
      </c>
      <c r="R6">
        <v>-1.7846540000000001E-2</v>
      </c>
      <c r="S6">
        <v>3.088562</v>
      </c>
      <c r="T6">
        <v>-0.53185150000000003</v>
      </c>
      <c r="U6">
        <v>-0.21774289999999999</v>
      </c>
      <c r="V6">
        <v>1.7666970000000001E-2</v>
      </c>
      <c r="W6">
        <v>0.13380549999999999</v>
      </c>
      <c r="X6">
        <v>0.99085020000000001</v>
      </c>
      <c r="Y6">
        <v>6.9126489999999999E-2</v>
      </c>
      <c r="Z6">
        <v>-5.8687949999999996E-3</v>
      </c>
      <c r="AA6">
        <v>0.99759070000000005</v>
      </c>
      <c r="AB6">
        <v>1</v>
      </c>
      <c r="AC6">
        <v>0.69540000000000601</v>
      </c>
      <c r="AD6">
        <v>-0.122076199999999</v>
      </c>
      <c r="AE6">
        <v>-5.0700000000006101E-2</v>
      </c>
      <c r="AF6">
        <v>4.9064160066489698E-2</v>
      </c>
      <c r="AG6">
        <v>-0.122076199999999</v>
      </c>
      <c r="AH6">
        <v>0.67472638815585195</v>
      </c>
      <c r="AI6">
        <v>100.228973800341</v>
      </c>
      <c r="AJ6">
        <v>85.840936326492297</v>
      </c>
      <c r="AK6">
        <v>0.687434061771244</v>
      </c>
      <c r="AL6">
        <v>82.310447168932001</v>
      </c>
      <c r="AM6">
        <v>88.978518074787203</v>
      </c>
      <c r="AN6">
        <v>1.0000000762496299</v>
      </c>
    </row>
    <row r="7" spans="1:40" x14ac:dyDescent="0.25">
      <c r="A7" t="str">
        <f>"20190312172330994"</f>
        <v>20190312172330994</v>
      </c>
      <c r="B7" t="str">
        <f>"1552382610990035"</f>
        <v>1552382610990035</v>
      </c>
      <c r="C7" t="s">
        <v>40</v>
      </c>
      <c r="D7">
        <v>3.5032209999999999</v>
      </c>
      <c r="E7">
        <v>0.51637829999999996</v>
      </c>
      <c r="F7" t="s">
        <v>41</v>
      </c>
      <c r="G7">
        <v>-475.84089999999998</v>
      </c>
      <c r="H7">
        <v>0.98783160000000003</v>
      </c>
      <c r="I7">
        <v>367.166</v>
      </c>
      <c r="J7">
        <v>-476.5369</v>
      </c>
      <c r="K7">
        <v>1.1100030000000001</v>
      </c>
      <c r="L7">
        <v>367.21600000000001</v>
      </c>
      <c r="M7">
        <v>0.99996980000000002</v>
      </c>
      <c r="N7">
        <v>0</v>
      </c>
      <c r="O7">
        <v>-2.1407800000000001E-4</v>
      </c>
      <c r="P7">
        <v>0.99187930000000002</v>
      </c>
      <c r="Q7">
        <v>0.12594849999999999</v>
      </c>
      <c r="R7">
        <v>-1.768113E-2</v>
      </c>
      <c r="S7">
        <v>3.0891419999999998</v>
      </c>
      <c r="T7">
        <v>-0.53165769999999901</v>
      </c>
      <c r="U7">
        <v>-0.21679689999999999</v>
      </c>
      <c r="V7">
        <v>1.7475089999999999E-2</v>
      </c>
      <c r="W7">
        <v>0.13367270000000001</v>
      </c>
      <c r="X7">
        <v>0.99087139999999996</v>
      </c>
      <c r="Y7">
        <v>6.8791249999999998E-2</v>
      </c>
      <c r="Z7">
        <v>-5.8328769999999898E-3</v>
      </c>
      <c r="AA7">
        <v>0.997614</v>
      </c>
      <c r="AB7">
        <v>2</v>
      </c>
      <c r="AC7">
        <v>0.69600000000002604</v>
      </c>
      <c r="AD7">
        <v>-0.1221714</v>
      </c>
      <c r="AE7">
        <v>-5.0000000000011299E-2</v>
      </c>
      <c r="AF7">
        <v>4.8368320726918698E-2</v>
      </c>
      <c r="AG7">
        <v>-0.1221714</v>
      </c>
      <c r="AH7">
        <v>0.67530984040277597</v>
      </c>
      <c r="AI7">
        <v>100.22891047976</v>
      </c>
      <c r="AJ7">
        <v>85.903248998257098</v>
      </c>
      <c r="AK7">
        <v>0.68797436432815195</v>
      </c>
      <c r="AL7">
        <v>82.318124048807107</v>
      </c>
      <c r="AM7">
        <v>88.989631634984804</v>
      </c>
      <c r="AN7">
        <v>0.99999995041687695</v>
      </c>
    </row>
    <row r="8" spans="1:40" x14ac:dyDescent="0.25">
      <c r="A8" t="str">
        <f>"20190312172331018"</f>
        <v>20190312172331018</v>
      </c>
      <c r="B8" t="str">
        <f>"1552382611009555"</f>
        <v>1552382611009555</v>
      </c>
      <c r="C8" t="s">
        <v>40</v>
      </c>
      <c r="D8">
        <v>3.5224129999999998</v>
      </c>
      <c r="E8">
        <v>0.51620650000000001</v>
      </c>
      <c r="F8" t="s">
        <v>41</v>
      </c>
      <c r="G8">
        <v>-475.84449999999998</v>
      </c>
      <c r="H8">
        <v>0.96195839999999999</v>
      </c>
      <c r="I8">
        <v>367.17439999999999</v>
      </c>
      <c r="J8">
        <v>-476.52319999999997</v>
      </c>
      <c r="K8">
        <v>1.1100749999999999</v>
      </c>
      <c r="L8">
        <v>367.21600000000001</v>
      </c>
      <c r="M8">
        <v>0.99996810000000003</v>
      </c>
      <c r="N8">
        <v>0</v>
      </c>
      <c r="O8">
        <v>-2.4050119999999999E-4</v>
      </c>
      <c r="P8">
        <v>0.99195029999999995</v>
      </c>
      <c r="Q8">
        <v>0.12542339999999999</v>
      </c>
      <c r="R8">
        <v>-1.7434109999999999E-2</v>
      </c>
      <c r="S8">
        <v>3.105591</v>
      </c>
      <c r="T8">
        <v>-0.66401369999999904</v>
      </c>
      <c r="U8">
        <v>-0.18460080000000001</v>
      </c>
      <c r="V8">
        <v>1.7201290000000001E-2</v>
      </c>
      <c r="W8">
        <v>0.13334670000000001</v>
      </c>
      <c r="X8">
        <v>0.99092020000000003</v>
      </c>
      <c r="Y8">
        <v>5.780018E-2</v>
      </c>
      <c r="Z8">
        <v>-6.0541299999999996E-3</v>
      </c>
      <c r="AA8">
        <v>0.99830980000000002</v>
      </c>
      <c r="AB8">
        <v>1</v>
      </c>
      <c r="AC8">
        <v>0.67869999999999198</v>
      </c>
      <c r="AD8">
        <v>-0.14811659999999899</v>
      </c>
      <c r="AE8">
        <v>-4.16000000000167E-2</v>
      </c>
      <c r="AF8">
        <v>3.9559713205455503E-2</v>
      </c>
      <c r="AG8">
        <v>-0.14811659999999899</v>
      </c>
      <c r="AH8">
        <v>0.64796496780081503</v>
      </c>
      <c r="AI8">
        <v>102.85273462921199</v>
      </c>
      <c r="AJ8">
        <v>86.506300746610705</v>
      </c>
      <c r="AK8">
        <v>0.66585441171593096</v>
      </c>
      <c r="AL8">
        <v>82.336971853294401</v>
      </c>
      <c r="AM8">
        <v>89.005507866843203</v>
      </c>
      <c r="AN8">
        <v>1.00000003477329</v>
      </c>
    </row>
    <row r="9" spans="1:40" x14ac:dyDescent="0.25">
      <c r="A9" t="str">
        <f>"20190312172331040"</f>
        <v>20190312172331040</v>
      </c>
      <c r="B9" t="str">
        <f>"1552382611030051"</f>
        <v>1552382611030051</v>
      </c>
      <c r="C9" t="s">
        <v>40</v>
      </c>
      <c r="D9">
        <v>3.4875340000000001</v>
      </c>
      <c r="E9">
        <v>0.51575680000000002</v>
      </c>
      <c r="F9" t="s">
        <v>41</v>
      </c>
      <c r="G9">
        <v>-475.83120000000002</v>
      </c>
      <c r="H9">
        <v>0.96266289999999999</v>
      </c>
      <c r="I9">
        <v>367.17520000000002</v>
      </c>
      <c r="J9">
        <v>-476.50560000000002</v>
      </c>
      <c r="K9">
        <v>1.109796</v>
      </c>
      <c r="L9">
        <v>367.21589999999998</v>
      </c>
      <c r="M9">
        <v>0.99997539999999996</v>
      </c>
      <c r="N9">
        <v>0</v>
      </c>
      <c r="O9">
        <v>-2.8367399999999998E-4</v>
      </c>
      <c r="P9">
        <v>0.99182650000000006</v>
      </c>
      <c r="Q9">
        <v>0.1264005</v>
      </c>
      <c r="R9">
        <v>-1.7407010000000001E-2</v>
      </c>
      <c r="S9">
        <v>3.1048279999999999</v>
      </c>
      <c r="T9">
        <v>-0.66135900000000003</v>
      </c>
      <c r="U9">
        <v>-0.1825562</v>
      </c>
      <c r="V9">
        <v>1.7134099999999999E-2</v>
      </c>
      <c r="W9">
        <v>0.1333405</v>
      </c>
      <c r="X9">
        <v>0.99092219999999998</v>
      </c>
      <c r="Y9">
        <v>5.71416999999999E-2</v>
      </c>
      <c r="Z9">
        <v>-5.9536320000000004E-3</v>
      </c>
      <c r="AA9">
        <v>0.99834840000000002</v>
      </c>
      <c r="AB9">
        <v>1</v>
      </c>
      <c r="AC9">
        <v>0.67439999999999101</v>
      </c>
      <c r="AD9">
        <v>-0.14713309999999899</v>
      </c>
      <c r="AE9">
        <v>-4.0699999999958401E-2</v>
      </c>
      <c r="AF9">
        <v>3.8674545978716598E-2</v>
      </c>
      <c r="AG9">
        <v>-0.14713309999999899</v>
      </c>
      <c r="AH9">
        <v>0.64387575119687501</v>
      </c>
      <c r="AI9">
        <v>102.84935805803001</v>
      </c>
      <c r="AJ9">
        <v>86.562645575710704</v>
      </c>
      <c r="AK9">
        <v>0.66160399983797702</v>
      </c>
      <c r="AL9">
        <v>82.337330300430594</v>
      </c>
      <c r="AM9">
        <v>89.009393678312307</v>
      </c>
      <c r="AN9">
        <v>1.00000003638794</v>
      </c>
    </row>
    <row r="10" spans="1:40" x14ac:dyDescent="0.25">
      <c r="A10" t="str">
        <f>"20190312172331063"</f>
        <v>20190312172331063</v>
      </c>
      <c r="B10" t="str">
        <f>"1552382611060307"</f>
        <v>1552382611060307</v>
      </c>
      <c r="C10" t="s">
        <v>40</v>
      </c>
      <c r="D10">
        <v>3.5128430000000002</v>
      </c>
      <c r="E10">
        <v>0.51563840000000005</v>
      </c>
      <c r="F10" t="s">
        <v>41</v>
      </c>
      <c r="G10">
        <v>-475.81479999999999</v>
      </c>
      <c r="H10">
        <v>0.96222660000000004</v>
      </c>
      <c r="I10">
        <v>367.17579999999998</v>
      </c>
      <c r="J10">
        <v>-476.4846</v>
      </c>
      <c r="K10">
        <v>1.109542</v>
      </c>
      <c r="L10">
        <v>367.21589999999998</v>
      </c>
      <c r="M10">
        <v>0.99998220000000004</v>
      </c>
      <c r="N10">
        <v>0</v>
      </c>
      <c r="O10">
        <v>-3.4319040000000003E-4</v>
      </c>
      <c r="P10">
        <v>0.99167620000000001</v>
      </c>
      <c r="Q10">
        <v>0.1275879</v>
      </c>
      <c r="R10">
        <v>-1.7307159999999999E-2</v>
      </c>
      <c r="S10">
        <v>3.1061399999999999</v>
      </c>
      <c r="T10">
        <v>-0.6635453</v>
      </c>
      <c r="U10">
        <v>-0.178558299999999</v>
      </c>
      <c r="V10">
        <v>1.6977519999999999E-2</v>
      </c>
      <c r="W10">
        <v>0.13347239999999999</v>
      </c>
      <c r="X10">
        <v>0.99090710000000004</v>
      </c>
      <c r="Y10">
        <v>5.580102E-2</v>
      </c>
      <c r="Z10">
        <v>-5.81658E-3</v>
      </c>
      <c r="AA10">
        <v>0.99842489999999995</v>
      </c>
      <c r="AB10">
        <v>1</v>
      </c>
      <c r="AC10">
        <v>0.66980000000000905</v>
      </c>
      <c r="AD10">
        <v>-0.14731540000000001</v>
      </c>
      <c r="AE10">
        <v>-4.0099999999995299E-2</v>
      </c>
      <c r="AF10">
        <v>3.80367324430523E-2</v>
      </c>
      <c r="AG10">
        <v>-0.14731540000000001</v>
      </c>
      <c r="AH10">
        <v>0.63901293498662304</v>
      </c>
      <c r="AI10">
        <v>102.95975899771101</v>
      </c>
      <c r="AJ10">
        <v>86.593534067656506</v>
      </c>
      <c r="AK10">
        <v>0.65687605464982701</v>
      </c>
      <c r="AL10">
        <v>82.329704540129796</v>
      </c>
      <c r="AM10">
        <v>89.018429601917504</v>
      </c>
      <c r="AN10">
        <v>0.99999999928876004</v>
      </c>
    </row>
    <row r="11" spans="1:40" x14ac:dyDescent="0.25">
      <c r="A11" t="str">
        <f>"20190312172331083"</f>
        <v>20190312172331083</v>
      </c>
      <c r="B11" t="str">
        <f>"1552382611079827"</f>
        <v>1552382611079827</v>
      </c>
      <c r="C11" t="s">
        <v>40</v>
      </c>
      <c r="D11">
        <v>3.5083259999999998</v>
      </c>
      <c r="E11">
        <v>0.51562350000000001</v>
      </c>
      <c r="F11" t="s">
        <v>41</v>
      </c>
      <c r="G11">
        <v>-475.78070000000002</v>
      </c>
      <c r="H11">
        <v>0.9609181</v>
      </c>
      <c r="I11">
        <v>367.17520000000002</v>
      </c>
      <c r="J11">
        <v>-476.46870000000001</v>
      </c>
      <c r="K11">
        <v>1.1098190000000001</v>
      </c>
      <c r="L11">
        <v>367.2158</v>
      </c>
      <c r="M11">
        <v>0.99997789999999998</v>
      </c>
      <c r="N11">
        <v>0</v>
      </c>
      <c r="O11">
        <v>-3.7585960000000002E-4</v>
      </c>
      <c r="P11">
        <v>0.99174459999999998</v>
      </c>
      <c r="Q11">
        <v>0.12708889999999901</v>
      </c>
      <c r="R11">
        <v>-1.7079799999999999E-2</v>
      </c>
      <c r="S11">
        <v>3.1064759999999998</v>
      </c>
      <c r="T11">
        <v>-0.65607559999999998</v>
      </c>
      <c r="U11">
        <v>-0.17718510000000001</v>
      </c>
      <c r="V11">
        <v>1.6715819999999999E-2</v>
      </c>
      <c r="W11">
        <v>0.13369349999999999</v>
      </c>
      <c r="X11">
        <v>0.99088169999999998</v>
      </c>
      <c r="Y11">
        <v>5.5360520000000003E-2</v>
      </c>
      <c r="Z11">
        <v>-5.6991919999999996E-3</v>
      </c>
      <c r="AA11">
        <v>0.99845019999999995</v>
      </c>
      <c r="AB11">
        <v>2</v>
      </c>
      <c r="AC11">
        <v>0.68799999999998795</v>
      </c>
      <c r="AD11">
        <v>-0.1489009</v>
      </c>
      <c r="AE11">
        <v>-4.0599999999983503E-2</v>
      </c>
      <c r="AF11">
        <v>3.8542338241034799E-2</v>
      </c>
      <c r="AG11">
        <v>-0.1489009</v>
      </c>
      <c r="AH11">
        <v>0.65733254130514296</v>
      </c>
      <c r="AI11">
        <v>102.74224098394301</v>
      </c>
      <c r="AJ11">
        <v>86.644335011836503</v>
      </c>
      <c r="AK11">
        <v>0.67508744597761094</v>
      </c>
      <c r="AL11">
        <v>82.316921553425402</v>
      </c>
      <c r="AM11">
        <v>89.033532358820594</v>
      </c>
      <c r="AN11">
        <v>0.99999995698770505</v>
      </c>
    </row>
    <row r="12" spans="1:40" x14ac:dyDescent="0.25">
      <c r="A12" t="str">
        <f>"20190312172331096"</f>
        <v>20190312172331096</v>
      </c>
      <c r="B12" t="str">
        <f>"1552382611089587"</f>
        <v>1552382611089587</v>
      </c>
      <c r="C12" t="s">
        <v>40</v>
      </c>
      <c r="D12">
        <v>3.50298</v>
      </c>
      <c r="E12">
        <v>0.51567229999999997</v>
      </c>
      <c r="F12" t="s">
        <v>41</v>
      </c>
      <c r="G12">
        <v>-475.7681</v>
      </c>
      <c r="H12">
        <v>0.96186669999999996</v>
      </c>
      <c r="I12">
        <v>367.17599999999999</v>
      </c>
      <c r="J12">
        <v>-476.4606</v>
      </c>
      <c r="K12">
        <v>1.1101379999999901</v>
      </c>
      <c r="L12">
        <v>367.2158</v>
      </c>
      <c r="M12">
        <v>0.99997029999999998</v>
      </c>
      <c r="N12">
        <v>0</v>
      </c>
      <c r="O12">
        <v>-3.8711319999999998E-4</v>
      </c>
      <c r="P12">
        <v>0.99189249999999995</v>
      </c>
      <c r="Q12">
        <v>0.12593840000000001</v>
      </c>
      <c r="R12">
        <v>-1.6995980000000001E-2</v>
      </c>
      <c r="S12">
        <v>3.1059570000000001</v>
      </c>
      <c r="T12">
        <v>-0.65591940000000004</v>
      </c>
      <c r="U12">
        <v>-0.1768188</v>
      </c>
      <c r="V12">
        <v>1.661851E-2</v>
      </c>
      <c r="W12">
        <v>0.1335867</v>
      </c>
      <c r="X12">
        <v>0.99089780000000005</v>
      </c>
      <c r="Y12">
        <v>5.5244380000000003E-2</v>
      </c>
      <c r="Z12">
        <v>-5.6843429999999997E-3</v>
      </c>
      <c r="AA12">
        <v>0.99845669999999997</v>
      </c>
      <c r="AB12">
        <v>2</v>
      </c>
      <c r="AC12">
        <v>0.69249999999999501</v>
      </c>
      <c r="AD12">
        <v>-0.148271299999999</v>
      </c>
      <c r="AE12">
        <v>-3.9800000000013797E-2</v>
      </c>
      <c r="AF12">
        <v>3.7804539050496799E-2</v>
      </c>
      <c r="AG12">
        <v>-0.148271299999999</v>
      </c>
      <c r="AH12">
        <v>0.66225542093592904</v>
      </c>
      <c r="AI12">
        <v>102.599891410038</v>
      </c>
      <c r="AJ12">
        <v>86.732843144128694</v>
      </c>
      <c r="AK12">
        <v>0.67970273218189703</v>
      </c>
      <c r="AL12">
        <v>82.323096582521401</v>
      </c>
      <c r="AM12">
        <v>89.039173134801004</v>
      </c>
      <c r="AN12">
        <v>1.0000000156681701</v>
      </c>
    </row>
    <row r="13" spans="1:40" x14ac:dyDescent="0.25">
      <c r="A13" t="str">
        <f>"20190312172331118"</f>
        <v>20190312172331118</v>
      </c>
      <c r="B13" t="str">
        <f>"1552382611110083"</f>
        <v>1552382611110083</v>
      </c>
      <c r="C13" t="s">
        <v>40</v>
      </c>
      <c r="D13">
        <v>3.7557369999999999</v>
      </c>
      <c r="E13">
        <v>0.51577689999999998</v>
      </c>
      <c r="F13" t="s">
        <v>41</v>
      </c>
      <c r="G13">
        <v>-475.76749999999998</v>
      </c>
      <c r="H13">
        <v>0.96303490000000003</v>
      </c>
      <c r="I13">
        <v>367.1764</v>
      </c>
      <c r="J13">
        <v>-476.44369999999998</v>
      </c>
      <c r="K13">
        <v>1.1101810000000001</v>
      </c>
      <c r="L13">
        <v>367.2158</v>
      </c>
      <c r="M13">
        <v>0.99996830000000003</v>
      </c>
      <c r="N13">
        <v>0</v>
      </c>
      <c r="O13">
        <v>-4.1696209999999998E-4</v>
      </c>
      <c r="P13">
        <v>0.9918728</v>
      </c>
      <c r="Q13">
        <v>0.12613009999999999</v>
      </c>
      <c r="R13">
        <v>-1.6734280000000001E-2</v>
      </c>
      <c r="S13">
        <v>3.1051639999999998</v>
      </c>
      <c r="T13">
        <v>-0.65903690000000004</v>
      </c>
      <c r="U13">
        <v>-0.17663570000000001</v>
      </c>
      <c r="V13">
        <v>1.63266E-2</v>
      </c>
      <c r="W13">
        <v>0.13403139999999999</v>
      </c>
      <c r="X13">
        <v>0.99084260000000002</v>
      </c>
      <c r="Y13">
        <v>5.5160899999999999E-2</v>
      </c>
      <c r="Z13">
        <v>-5.6971929999999997E-3</v>
      </c>
      <c r="AA13">
        <v>0.99846120000000005</v>
      </c>
      <c r="AB13">
        <v>2</v>
      </c>
      <c r="AC13">
        <v>0.67619999999999403</v>
      </c>
      <c r="AD13">
        <v>-0.147146099999999</v>
      </c>
      <c r="AE13">
        <v>-3.9400000000000497E-2</v>
      </c>
      <c r="AF13">
        <v>3.7355146011439799E-2</v>
      </c>
      <c r="AG13">
        <v>-0.147146099999999</v>
      </c>
      <c r="AH13">
        <v>0.64574203107443195</v>
      </c>
      <c r="AI13">
        <v>102.816158052277</v>
      </c>
      <c r="AJ13">
        <v>86.689220404922494</v>
      </c>
      <c r="AK13">
        <v>0.66334768588944304</v>
      </c>
      <c r="AL13">
        <v>82.297385939825901</v>
      </c>
      <c r="AM13">
        <v>89.055994738835196</v>
      </c>
      <c r="AN13">
        <v>1.00000001601413</v>
      </c>
    </row>
    <row r="14" spans="1:40" x14ac:dyDescent="0.25">
      <c r="A14" t="str">
        <f>"20190312172331140"</f>
        <v>20190312172331140</v>
      </c>
      <c r="B14" t="str">
        <f>"1552382611129604"</f>
        <v>1552382611129604</v>
      </c>
      <c r="C14" t="s">
        <v>40</v>
      </c>
      <c r="D14">
        <v>3.5087790000000001</v>
      </c>
      <c r="E14">
        <v>0.51577910000000005</v>
      </c>
      <c r="F14" t="s">
        <v>41</v>
      </c>
      <c r="G14">
        <v>-475.7509</v>
      </c>
      <c r="H14">
        <v>0.96341759999999999</v>
      </c>
      <c r="I14">
        <v>367.17590000000001</v>
      </c>
      <c r="J14">
        <v>-476.42180000000002</v>
      </c>
      <c r="K14">
        <v>1.1098629999999901</v>
      </c>
      <c r="L14">
        <v>367.21570000000003</v>
      </c>
      <c r="M14">
        <v>0.99997559999999996</v>
      </c>
      <c r="N14">
        <v>0</v>
      </c>
      <c r="O14">
        <v>-4.6828970000000001E-4</v>
      </c>
      <c r="P14">
        <v>0.9917068</v>
      </c>
      <c r="Q14">
        <v>0.12741430000000001</v>
      </c>
      <c r="R14">
        <v>-1.683983E-2</v>
      </c>
      <c r="S14">
        <v>3.1052550000000001</v>
      </c>
      <c r="T14">
        <v>-0.65787410000000002</v>
      </c>
      <c r="U14">
        <v>-0.1768188</v>
      </c>
      <c r="V14">
        <v>1.6383490000000001E-2</v>
      </c>
      <c r="W14">
        <v>0.1343451</v>
      </c>
      <c r="X14">
        <v>0.99079910000000004</v>
      </c>
      <c r="Y14">
        <v>5.517188E-2</v>
      </c>
      <c r="Z14">
        <v>-5.6775899999999997E-3</v>
      </c>
      <c r="AA14">
        <v>0.99846069999999998</v>
      </c>
      <c r="AB14">
        <v>1</v>
      </c>
      <c r="AC14">
        <v>0.67090000000001704</v>
      </c>
      <c r="AD14">
        <v>-0.146445399999999</v>
      </c>
      <c r="AE14">
        <v>-3.9800000000013797E-2</v>
      </c>
      <c r="AF14">
        <v>3.7696008177496999E-2</v>
      </c>
      <c r="AG14">
        <v>-0.146445399999999</v>
      </c>
      <c r="AH14">
        <v>0.64050731490774904</v>
      </c>
      <c r="AI14">
        <v>102.857212512917</v>
      </c>
      <c r="AJ14">
        <v>86.631836013772698</v>
      </c>
      <c r="AK14">
        <v>0.65811614830819398</v>
      </c>
      <c r="AL14">
        <v>82.279247628040693</v>
      </c>
      <c r="AM14">
        <v>89.052664370675203</v>
      </c>
      <c r="AN14">
        <v>0.99999994059969799</v>
      </c>
    </row>
    <row r="15" spans="1:40" x14ac:dyDescent="0.25">
      <c r="A15" t="str">
        <f>"20190312172331154"</f>
        <v>20190312172331154</v>
      </c>
      <c r="B15" t="str">
        <f>"1552382611150099"</f>
        <v>1552382611150099</v>
      </c>
      <c r="C15" t="s">
        <v>40</v>
      </c>
      <c r="D15">
        <v>3.683503</v>
      </c>
      <c r="E15">
        <v>0.51587249999999996</v>
      </c>
      <c r="F15" t="s">
        <v>41</v>
      </c>
      <c r="G15">
        <v>-475.73009999999999</v>
      </c>
      <c r="H15">
        <v>0.9643756</v>
      </c>
      <c r="I15">
        <v>367.17619999999999</v>
      </c>
      <c r="J15">
        <v>-476.40780000000001</v>
      </c>
      <c r="K15">
        <v>1.1097140000000001</v>
      </c>
      <c r="L15">
        <v>367.21570000000003</v>
      </c>
      <c r="M15">
        <v>0.99997930000000002</v>
      </c>
      <c r="N15">
        <v>0</v>
      </c>
      <c r="O15">
        <v>-5.0413979999999997E-4</v>
      </c>
      <c r="P15">
        <v>0.99160459999999995</v>
      </c>
      <c r="Q15">
        <v>0.12823879999999999</v>
      </c>
      <c r="R15">
        <v>-1.659337E-2</v>
      </c>
      <c r="S15">
        <v>3.1060490000000001</v>
      </c>
      <c r="T15">
        <v>-0.65328359999999996</v>
      </c>
      <c r="U15">
        <v>-0.17694089999999901</v>
      </c>
      <c r="V15">
        <v>1.6102809999999999E-2</v>
      </c>
      <c r="W15">
        <v>0.1346291</v>
      </c>
      <c r="X15">
        <v>0.99076520000000001</v>
      </c>
      <c r="Y15">
        <v>5.5178619999999998E-2</v>
      </c>
      <c r="Z15">
        <v>-5.6306560000000004E-3</v>
      </c>
      <c r="AA15">
        <v>0.99846069999999998</v>
      </c>
      <c r="AB15">
        <v>2</v>
      </c>
      <c r="AC15">
        <v>0.67770000000001496</v>
      </c>
      <c r="AD15">
        <v>-0.14533839999999901</v>
      </c>
      <c r="AE15">
        <v>-3.9500000000032197E-2</v>
      </c>
      <c r="AF15">
        <v>3.7442111335433403E-2</v>
      </c>
      <c r="AG15">
        <v>-0.14533839999999901</v>
      </c>
      <c r="AH15">
        <v>0.64801690179493499</v>
      </c>
      <c r="AI15">
        <v>102.62083704464899</v>
      </c>
      <c r="AJ15">
        <v>86.693153518989206</v>
      </c>
      <c r="AK15">
        <v>0.66516995364171505</v>
      </c>
      <c r="AL15">
        <v>82.262826816100798</v>
      </c>
      <c r="AM15">
        <v>89.068859276533502</v>
      </c>
      <c r="AN15">
        <v>0.99999998829387304</v>
      </c>
    </row>
    <row r="16" spans="1:40" x14ac:dyDescent="0.25">
      <c r="A16" t="str">
        <f>"20190312172331173"</f>
        <v>20190312172331173</v>
      </c>
      <c r="B16" t="str">
        <f>"1552382611169621"</f>
        <v>1552382611169621</v>
      </c>
      <c r="C16" t="s">
        <v>40</v>
      </c>
      <c r="D16">
        <v>3.4817969999999998</v>
      </c>
      <c r="E16">
        <v>0.51595429999999998</v>
      </c>
      <c r="F16" t="s">
        <v>41</v>
      </c>
      <c r="G16">
        <v>-475.70859999999999</v>
      </c>
      <c r="H16">
        <v>0.96324670000000001</v>
      </c>
      <c r="I16">
        <v>367.17529999999999</v>
      </c>
      <c r="J16">
        <v>-476.38799999999998</v>
      </c>
      <c r="K16">
        <v>1.1097919999999999</v>
      </c>
      <c r="L16">
        <v>367.21559999999999</v>
      </c>
      <c r="M16">
        <v>0.99997820000000004</v>
      </c>
      <c r="N16">
        <v>0</v>
      </c>
      <c r="O16">
        <v>-5.4925220000000003E-4</v>
      </c>
      <c r="P16">
        <v>0.99156140000000004</v>
      </c>
      <c r="Q16">
        <v>0.12861110000000001</v>
      </c>
      <c r="R16">
        <v>-1.6299600000000001E-2</v>
      </c>
      <c r="S16">
        <v>3.1066280000000002</v>
      </c>
      <c r="T16">
        <v>-0.65078519999999995</v>
      </c>
      <c r="U16">
        <v>-0.17648320000000001</v>
      </c>
      <c r="V16">
        <v>1.576375E-2</v>
      </c>
      <c r="W16">
        <v>0.13516300000000001</v>
      </c>
      <c r="X16">
        <v>0.99069799999999997</v>
      </c>
      <c r="Y16">
        <v>5.4990810000000001E-2</v>
      </c>
      <c r="Z16">
        <v>-5.5797930000000004E-3</v>
      </c>
      <c r="AA16">
        <v>0.99847129999999995</v>
      </c>
      <c r="AB16">
        <v>2</v>
      </c>
      <c r="AC16">
        <v>0.67940000000004297</v>
      </c>
      <c r="AD16">
        <v>-0.14654529999999999</v>
      </c>
      <c r="AE16">
        <v>-4.0300000000002001E-2</v>
      </c>
      <c r="AF16">
        <v>3.8157734042640598E-2</v>
      </c>
      <c r="AG16">
        <v>-0.14654529999999999</v>
      </c>
      <c r="AH16">
        <v>0.64931799481781305</v>
      </c>
      <c r="AI16">
        <v>102.696874562087</v>
      </c>
      <c r="AJ16">
        <v>86.636831845586698</v>
      </c>
      <c r="AK16">
        <v>0.66674237604458897</v>
      </c>
      <c r="AL16">
        <v>82.231954741761797</v>
      </c>
      <c r="AM16">
        <v>89.088400167479193</v>
      </c>
      <c r="AN16">
        <v>1.0000000297935301</v>
      </c>
    </row>
    <row r="17" spans="1:40" x14ac:dyDescent="0.25">
      <c r="A17" t="str">
        <f>"20190312172331194"</f>
        <v>20190312172331194</v>
      </c>
      <c r="B17" t="str">
        <f>"1552382611190115"</f>
        <v>1552382611190115</v>
      </c>
      <c r="C17" t="s">
        <v>40</v>
      </c>
      <c r="D17">
        <v>3.518615</v>
      </c>
      <c r="E17">
        <v>0.51602340000000002</v>
      </c>
      <c r="F17" t="s">
        <v>41</v>
      </c>
      <c r="G17">
        <v>-475.69</v>
      </c>
      <c r="H17">
        <v>0.96382429999999997</v>
      </c>
      <c r="I17">
        <v>367.17590000000001</v>
      </c>
      <c r="J17">
        <v>-476.3707</v>
      </c>
      <c r="K17">
        <v>1.110255</v>
      </c>
      <c r="L17">
        <v>367.21550000000002</v>
      </c>
      <c r="M17">
        <v>0.99996640000000003</v>
      </c>
      <c r="N17">
        <v>0</v>
      </c>
      <c r="O17">
        <v>-5.7816400000000004E-4</v>
      </c>
      <c r="P17">
        <v>0.99166390000000004</v>
      </c>
      <c r="Q17">
        <v>0.1279169</v>
      </c>
      <c r="R17">
        <v>-1.549999E-2</v>
      </c>
      <c r="S17">
        <v>3.1069339999999999</v>
      </c>
      <c r="T17">
        <v>-0.64977099999999999</v>
      </c>
      <c r="U17">
        <v>-0.17639160000000001</v>
      </c>
      <c r="V17">
        <v>1.4932229999999999E-2</v>
      </c>
      <c r="W17">
        <v>0.13603180000000001</v>
      </c>
      <c r="X17">
        <v>0.99059189999999997</v>
      </c>
      <c r="Y17">
        <v>5.4932799999999997E-2</v>
      </c>
      <c r="Z17">
        <v>-5.5587769999999896E-3</v>
      </c>
      <c r="AA17">
        <v>0.99847459999999999</v>
      </c>
      <c r="AB17">
        <v>3</v>
      </c>
      <c r="AC17">
        <v>0.68070000000000097</v>
      </c>
      <c r="AD17">
        <v>-0.146430699999999</v>
      </c>
      <c r="AE17">
        <v>-3.9600000000007102E-2</v>
      </c>
      <c r="AF17">
        <v>3.7477956011275702E-2</v>
      </c>
      <c r="AG17">
        <v>-0.146430699999999</v>
      </c>
      <c r="AH17">
        <v>0.650712202114059</v>
      </c>
      <c r="AI17">
        <v>102.66179231818801</v>
      </c>
      <c r="AJ17">
        <v>86.703674793949304</v>
      </c>
      <c r="AK17">
        <v>0.66803661356949595</v>
      </c>
      <c r="AL17">
        <v>82.181711636383099</v>
      </c>
      <c r="AM17">
        <v>89.136386068839499</v>
      </c>
      <c r="AN17">
        <v>0.99999996722480999</v>
      </c>
    </row>
    <row r="18" spans="1:40" x14ac:dyDescent="0.25">
      <c r="A18" t="str">
        <f>"20190312172331217"</f>
        <v>20190312172331217</v>
      </c>
      <c r="B18" t="str">
        <f>"1552382611209635"</f>
        <v>1552382611209635</v>
      </c>
      <c r="C18" t="s">
        <v>40</v>
      </c>
      <c r="D18">
        <v>3.5328979999999999</v>
      </c>
      <c r="E18">
        <v>0.51611240000000003</v>
      </c>
      <c r="F18" t="s">
        <v>41</v>
      </c>
      <c r="G18">
        <v>-475.67520000000002</v>
      </c>
      <c r="H18">
        <v>0.96442879999999997</v>
      </c>
      <c r="I18">
        <v>367.17599999999999</v>
      </c>
      <c r="J18">
        <v>-476.35649999999998</v>
      </c>
      <c r="K18">
        <v>1.1108089999999999</v>
      </c>
      <c r="L18">
        <v>367.21550000000002</v>
      </c>
      <c r="M18">
        <v>0.999946</v>
      </c>
      <c r="N18">
        <v>0</v>
      </c>
      <c r="O18">
        <v>-5.9044329999999995E-4</v>
      </c>
      <c r="P18">
        <v>0.99190860000000003</v>
      </c>
      <c r="Q18">
        <v>0.12602439999999901</v>
      </c>
      <c r="R18">
        <v>-1.533841E-2</v>
      </c>
      <c r="S18">
        <v>3.1065369999999999</v>
      </c>
      <c r="T18">
        <v>-0.65135500000000002</v>
      </c>
      <c r="U18">
        <v>-0.17446900000000001</v>
      </c>
      <c r="V18">
        <v>1.4754059999999999E-2</v>
      </c>
      <c r="W18">
        <v>0.13630819999999999</v>
      </c>
      <c r="X18">
        <v>0.99055660000000001</v>
      </c>
      <c r="Y18">
        <v>5.4319300000000001E-2</v>
      </c>
      <c r="Z18">
        <v>-5.5067049999999998E-3</v>
      </c>
      <c r="AA18">
        <v>0.99850850000000002</v>
      </c>
      <c r="AB18">
        <v>2</v>
      </c>
      <c r="AC18">
        <v>0.68129999999996405</v>
      </c>
      <c r="AD18">
        <v>-0.14638019999999899</v>
      </c>
      <c r="AE18">
        <v>-3.9500000000032197E-2</v>
      </c>
      <c r="AF18">
        <v>3.7378025489588997E-2</v>
      </c>
      <c r="AG18">
        <v>-0.14638019999999899</v>
      </c>
      <c r="AH18">
        <v>0.65135582230008604</v>
      </c>
      <c r="AI18">
        <v>102.645608994491</v>
      </c>
      <c r="AJ18">
        <v>86.715686146306794</v>
      </c>
      <c r="AK18">
        <v>0.66864690755716605</v>
      </c>
      <c r="AL18">
        <v>82.165726386766494</v>
      </c>
      <c r="AM18">
        <v>89.146658693724603</v>
      </c>
      <c r="AN18">
        <v>0.99999999273864104</v>
      </c>
    </row>
    <row r="19" spans="1:40" x14ac:dyDescent="0.25">
      <c r="A19" t="str">
        <f>"20190312172331241"</f>
        <v>20190312172331241</v>
      </c>
      <c r="B19" t="str">
        <f>"1552382611230131"</f>
        <v>1552382611230131</v>
      </c>
      <c r="C19" t="s">
        <v>40</v>
      </c>
      <c r="D19">
        <v>3.4912359999999998</v>
      </c>
      <c r="E19">
        <v>0.5161886</v>
      </c>
      <c r="F19" t="s">
        <v>41</v>
      </c>
      <c r="G19">
        <v>-475.6635</v>
      </c>
      <c r="H19">
        <v>0.96423599999999998</v>
      </c>
      <c r="I19">
        <v>367.1764</v>
      </c>
      <c r="J19">
        <v>-476.3381</v>
      </c>
      <c r="K19">
        <v>1.1106769999999999</v>
      </c>
      <c r="L19">
        <v>367.21550000000002</v>
      </c>
      <c r="M19">
        <v>0.99994470000000002</v>
      </c>
      <c r="N19">
        <v>0</v>
      </c>
      <c r="O19">
        <v>-6.1046949999999896E-4</v>
      </c>
      <c r="P19">
        <v>0.99186070000000004</v>
      </c>
      <c r="Q19">
        <v>0.12646360000000001</v>
      </c>
      <c r="R19">
        <v>-1.4816879999999999E-2</v>
      </c>
      <c r="S19">
        <v>3.1052550000000001</v>
      </c>
      <c r="T19">
        <v>-0.65684100000000001</v>
      </c>
      <c r="U19">
        <v>-0.17456050000000001</v>
      </c>
      <c r="V19">
        <v>1.4213709999999999E-2</v>
      </c>
      <c r="W19">
        <v>0.1368741</v>
      </c>
      <c r="X19">
        <v>0.99048650000000005</v>
      </c>
      <c r="Y19">
        <v>5.4331450000000003E-2</v>
      </c>
      <c r="Z19">
        <v>-5.5514049999999997E-3</v>
      </c>
      <c r="AA19">
        <v>0.99850749999999999</v>
      </c>
      <c r="AB19">
        <v>2</v>
      </c>
      <c r="AC19">
        <v>0.67459999999999798</v>
      </c>
      <c r="AD19">
        <v>-0.14644099999999999</v>
      </c>
      <c r="AE19">
        <v>-3.9100000000019002E-2</v>
      </c>
      <c r="AF19">
        <v>3.6952658298314497E-2</v>
      </c>
      <c r="AG19">
        <v>-0.14644099999999999</v>
      </c>
      <c r="AH19">
        <v>0.64436119259352198</v>
      </c>
      <c r="AI19">
        <v>102.783554500245</v>
      </c>
      <c r="AJ19">
        <v>86.717811482806795</v>
      </c>
      <c r="AK19">
        <v>0.66182460815298905</v>
      </c>
      <c r="AL19">
        <v>82.132996215658395</v>
      </c>
      <c r="AM19">
        <v>89.177848765001798</v>
      </c>
      <c r="AN19">
        <v>1.0000000277425101</v>
      </c>
    </row>
    <row r="20" spans="1:40" x14ac:dyDescent="0.25">
      <c r="A20" t="str">
        <f>"20190312172331264"</f>
        <v>20190312172331264</v>
      </c>
      <c r="B20" t="str">
        <f>"1552382611259411"</f>
        <v>1552382611259411</v>
      </c>
      <c r="C20" t="s">
        <v>40</v>
      </c>
      <c r="D20">
        <v>3.6446869999999998</v>
      </c>
      <c r="E20">
        <v>0.51637619999999995</v>
      </c>
      <c r="F20" t="s">
        <v>41</v>
      </c>
      <c r="G20">
        <v>-475.64679999999998</v>
      </c>
      <c r="H20">
        <v>0.96470840000000002</v>
      </c>
      <c r="I20">
        <v>367.17649999999998</v>
      </c>
      <c r="J20">
        <v>-476.31509999999997</v>
      </c>
      <c r="K20">
        <v>1.110182</v>
      </c>
      <c r="L20">
        <v>367.21550000000002</v>
      </c>
      <c r="M20">
        <v>0.99995820000000002</v>
      </c>
      <c r="N20">
        <v>0</v>
      </c>
      <c r="O20">
        <v>-6.5772140000000003E-4</v>
      </c>
      <c r="P20">
        <v>0.99174019999999996</v>
      </c>
      <c r="Q20">
        <v>0.12745909999999999</v>
      </c>
      <c r="R20">
        <v>-1.434844E-2</v>
      </c>
      <c r="S20">
        <v>3.1056210000000002</v>
      </c>
      <c r="T20">
        <v>-0.65579719999999997</v>
      </c>
      <c r="U20">
        <v>-0.17272950000000001</v>
      </c>
      <c r="V20">
        <v>1.3701659999999999E-2</v>
      </c>
      <c r="W20">
        <v>0.1365094</v>
      </c>
      <c r="X20">
        <v>0.99054399999999998</v>
      </c>
      <c r="Y20">
        <v>5.3709439999999997E-2</v>
      </c>
      <c r="Z20">
        <v>-5.4674550000000004E-3</v>
      </c>
      <c r="AA20">
        <v>0.99854169999999998</v>
      </c>
      <c r="AB20">
        <v>1</v>
      </c>
      <c r="AC20">
        <v>0.66829999999998702</v>
      </c>
      <c r="AD20">
        <v>-0.14547359999999901</v>
      </c>
      <c r="AE20">
        <v>-3.9000000000044097E-2</v>
      </c>
      <c r="AF20">
        <v>3.6821609690985697E-2</v>
      </c>
      <c r="AG20">
        <v>-0.14547359999999901</v>
      </c>
      <c r="AH20">
        <v>0.63818864572879896</v>
      </c>
      <c r="AI20">
        <v>102.82041616364801</v>
      </c>
      <c r="AJ20">
        <v>86.697862842680195</v>
      </c>
      <c r="AK20">
        <v>0.65559373607010196</v>
      </c>
      <c r="AL20">
        <v>82.154089633338103</v>
      </c>
      <c r="AM20">
        <v>89.207508978344705</v>
      </c>
      <c r="AN20">
        <v>0.999999983855557</v>
      </c>
    </row>
    <row r="21" spans="1:40" x14ac:dyDescent="0.25">
      <c r="A21" t="str">
        <f>"20190312172331283"</f>
        <v>20190312172331283</v>
      </c>
      <c r="B21" t="str">
        <f>"1552382611279908"</f>
        <v>1552382611279908</v>
      </c>
      <c r="C21" t="s">
        <v>40</v>
      </c>
      <c r="D21">
        <v>3.5354860000000001</v>
      </c>
      <c r="E21">
        <v>0.51655090000000004</v>
      </c>
      <c r="F21" t="s">
        <v>41</v>
      </c>
      <c r="G21">
        <v>-475.6053</v>
      </c>
      <c r="H21">
        <v>0.96076830000000002</v>
      </c>
      <c r="I21">
        <v>367.17559999999997</v>
      </c>
      <c r="J21">
        <v>-476.2912</v>
      </c>
      <c r="K21">
        <v>1.109812</v>
      </c>
      <c r="L21">
        <v>367.21539999999999</v>
      </c>
      <c r="M21">
        <v>0.99996859999999999</v>
      </c>
      <c r="N21">
        <v>0</v>
      </c>
      <c r="O21">
        <v>-7.1949839999999998E-4</v>
      </c>
      <c r="P21">
        <v>0.99163889999999999</v>
      </c>
      <c r="Q21">
        <v>0.12830079999999999</v>
      </c>
      <c r="R21">
        <v>-1.3839489999999999E-2</v>
      </c>
      <c r="S21">
        <v>3.1065369999999999</v>
      </c>
      <c r="T21">
        <v>-0.65407959999999998</v>
      </c>
      <c r="U21">
        <v>-0.17309569999999999</v>
      </c>
      <c r="V21">
        <v>1.3135249999999999E-2</v>
      </c>
      <c r="W21">
        <v>0.13614660000000001</v>
      </c>
      <c r="X21">
        <v>0.99060159999999997</v>
      </c>
      <c r="Y21">
        <v>5.3755860000000003E-2</v>
      </c>
      <c r="Z21">
        <v>-5.4438300000000002E-3</v>
      </c>
      <c r="AA21">
        <v>0.99853930000000002</v>
      </c>
      <c r="AB21">
        <v>2</v>
      </c>
      <c r="AC21">
        <v>0.68590000000000295</v>
      </c>
      <c r="AD21">
        <v>-0.149043699999999</v>
      </c>
      <c r="AE21">
        <v>-3.9800000000013797E-2</v>
      </c>
      <c r="AF21">
        <v>3.7539868956311499E-2</v>
      </c>
      <c r="AG21">
        <v>-0.149043699999999</v>
      </c>
      <c r="AH21">
        <v>0.65509989149418002</v>
      </c>
      <c r="AI21">
        <v>102.79705132091701</v>
      </c>
      <c r="AJ21">
        <v>86.720307245879795</v>
      </c>
      <c r="AK21">
        <v>0.67288864911412605</v>
      </c>
      <c r="AL21">
        <v>82.175072418433899</v>
      </c>
      <c r="AM21">
        <v>89.240309843633199</v>
      </c>
      <c r="AN21">
        <v>0.99999998070334095</v>
      </c>
    </row>
    <row r="22" spans="1:40" x14ac:dyDescent="0.25">
      <c r="A22" t="str">
        <f>"20190312172331308"</f>
        <v>20190312172331308</v>
      </c>
      <c r="B22" t="str">
        <f>"1552382611299428"</f>
        <v>1552382611299428</v>
      </c>
      <c r="C22" t="s">
        <v>40</v>
      </c>
      <c r="D22">
        <v>3.5568409999999999</v>
      </c>
      <c r="E22">
        <v>0.51670640000000001</v>
      </c>
      <c r="F22" t="s">
        <v>41</v>
      </c>
      <c r="G22">
        <v>-475.58089999999999</v>
      </c>
      <c r="H22">
        <v>0.96098819999999996</v>
      </c>
      <c r="I22">
        <v>367.17540000000002</v>
      </c>
      <c r="J22">
        <v>-476.26339999999999</v>
      </c>
      <c r="K22">
        <v>1.1096980000000001</v>
      </c>
      <c r="L22">
        <v>367.21530000000001</v>
      </c>
      <c r="M22">
        <v>0.99997259999999999</v>
      </c>
      <c r="N22">
        <v>0</v>
      </c>
      <c r="O22">
        <v>-7.9487259999999995E-4</v>
      </c>
      <c r="P22">
        <v>0.99151029999999996</v>
      </c>
      <c r="Q22">
        <v>0.12929869999999999</v>
      </c>
      <c r="R22">
        <v>-1.374687E-2</v>
      </c>
      <c r="S22">
        <v>3.1071469999999999</v>
      </c>
      <c r="T22">
        <v>-0.65104600000000001</v>
      </c>
      <c r="U22">
        <v>-0.1738586</v>
      </c>
      <c r="V22">
        <v>1.2970519999999999E-2</v>
      </c>
      <c r="W22">
        <v>0.13658210000000001</v>
      </c>
      <c r="X22">
        <v>0.99054379999999997</v>
      </c>
      <c r="Y22">
        <v>5.3923220000000001E-2</v>
      </c>
      <c r="Z22">
        <v>-5.4197630000000002E-3</v>
      </c>
      <c r="AA22">
        <v>0.99853040000000004</v>
      </c>
      <c r="AB22">
        <v>3</v>
      </c>
      <c r="AC22">
        <v>0.68250000000000399</v>
      </c>
      <c r="AD22">
        <v>-0.148709799999999</v>
      </c>
      <c r="AE22">
        <v>-3.9899999999988701E-2</v>
      </c>
      <c r="AF22">
        <v>3.7579429124913799E-2</v>
      </c>
      <c r="AG22">
        <v>-0.148709799999999</v>
      </c>
      <c r="AH22">
        <v>0.65169693967366205</v>
      </c>
      <c r="AI22">
        <v>102.83354211759</v>
      </c>
      <c r="AJ22">
        <v>86.699752892349593</v>
      </c>
      <c r="AK22">
        <v>0.66950408459501698</v>
      </c>
      <c r="AL22">
        <v>82.149884675019607</v>
      </c>
      <c r="AM22">
        <v>89.249792301799502</v>
      </c>
      <c r="AN22">
        <v>0.99999996207395903</v>
      </c>
    </row>
    <row r="23" spans="1:40" x14ac:dyDescent="0.25">
      <c r="A23" t="str">
        <f>"20190312172331329"</f>
        <v>20190312172331329</v>
      </c>
      <c r="B23" t="str">
        <f>"1552382611319923"</f>
        <v>1552382611319923</v>
      </c>
      <c r="C23" t="s">
        <v>40</v>
      </c>
      <c r="D23">
        <v>3.5065360000000001</v>
      </c>
      <c r="E23">
        <v>0.51683319999999999</v>
      </c>
      <c r="F23" t="s">
        <v>41</v>
      </c>
      <c r="G23">
        <v>-475.55919999999998</v>
      </c>
      <c r="H23">
        <v>0.96289309999999995</v>
      </c>
      <c r="I23">
        <v>367.17540000000002</v>
      </c>
      <c r="J23">
        <v>-476.24209999999999</v>
      </c>
      <c r="K23">
        <v>1.1100639999999999</v>
      </c>
      <c r="L23">
        <v>367.21519999999998</v>
      </c>
      <c r="M23">
        <v>0.99996379999999996</v>
      </c>
      <c r="N23">
        <v>0</v>
      </c>
      <c r="O23">
        <v>-8.3649549999999999E-4</v>
      </c>
      <c r="P23">
        <v>0.99157609999999996</v>
      </c>
      <c r="Q23">
        <v>0.1287865</v>
      </c>
      <c r="R23">
        <v>-1.382659E-2</v>
      </c>
      <c r="S23">
        <v>3.1076969999999999</v>
      </c>
      <c r="T23">
        <v>-0.64777659999999904</v>
      </c>
      <c r="U23">
        <v>-0.1748352</v>
      </c>
      <c r="V23">
        <v>1.3006899999999899E-2</v>
      </c>
      <c r="W23">
        <v>0.13718350000000001</v>
      </c>
      <c r="X23">
        <v>0.99046029999999996</v>
      </c>
      <c r="Y23">
        <v>5.419156E-2</v>
      </c>
      <c r="Z23">
        <v>-5.4112099999999996E-3</v>
      </c>
      <c r="AA23">
        <v>0.99851590000000001</v>
      </c>
      <c r="AB23">
        <v>3</v>
      </c>
      <c r="AC23">
        <v>0.68290000000001705</v>
      </c>
      <c r="AD23">
        <v>-0.14717089999999899</v>
      </c>
      <c r="AE23">
        <v>-3.9799999999956898E-2</v>
      </c>
      <c r="AF23">
        <v>3.7493279456331102E-2</v>
      </c>
      <c r="AG23">
        <v>-0.14717089999999899</v>
      </c>
      <c r="AH23">
        <v>0.65272071160038803</v>
      </c>
      <c r="AI23">
        <v>102.685942941845</v>
      </c>
      <c r="AJ23">
        <v>86.712455096717207</v>
      </c>
      <c r="AK23">
        <v>0.67015621101599698</v>
      </c>
      <c r="AL23">
        <v>82.115100257544</v>
      </c>
      <c r="AM23">
        <v>89.247624928467701</v>
      </c>
      <c r="AN23">
        <v>1.0000000489979699</v>
      </c>
    </row>
    <row r="24" spans="1:40" x14ac:dyDescent="0.25">
      <c r="A24" t="str">
        <f>"20190312172331350"</f>
        <v>20190312172331350</v>
      </c>
      <c r="B24" t="str">
        <f>"1552382611340052"</f>
        <v>1552382611340052</v>
      </c>
      <c r="C24" t="s">
        <v>40</v>
      </c>
      <c r="D24">
        <v>3.5013610000000002</v>
      </c>
      <c r="E24">
        <v>0.51042710000000002</v>
      </c>
      <c r="F24" t="s">
        <v>41</v>
      </c>
      <c r="G24">
        <v>-475.54140000000001</v>
      </c>
      <c r="H24">
        <v>0.96367429999999998</v>
      </c>
      <c r="I24">
        <v>367.17529999999999</v>
      </c>
      <c r="J24">
        <v>-476.22140000000002</v>
      </c>
      <c r="K24">
        <v>1.110266</v>
      </c>
      <c r="L24">
        <v>367.21510000000001</v>
      </c>
      <c r="M24">
        <v>0.99995710000000004</v>
      </c>
      <c r="N24">
        <v>0</v>
      </c>
      <c r="O24">
        <v>-8.714835E-4</v>
      </c>
      <c r="P24">
        <v>0.99166600000000005</v>
      </c>
      <c r="Q24">
        <v>0.12808810000000001</v>
      </c>
      <c r="R24">
        <v>-1.3854780000000001E-2</v>
      </c>
      <c r="S24">
        <v>3.107361</v>
      </c>
      <c r="T24">
        <v>-0.64930769999999904</v>
      </c>
      <c r="U24">
        <v>-0.17596439999999999</v>
      </c>
      <c r="V24">
        <v>1.2998900000000001E-2</v>
      </c>
      <c r="W24">
        <v>0.1372264</v>
      </c>
      <c r="X24">
        <v>0.99045439999999996</v>
      </c>
      <c r="Y24">
        <v>5.4512629999999999E-2</v>
      </c>
      <c r="Z24">
        <v>-5.4501819999999996E-3</v>
      </c>
      <c r="AA24">
        <v>0.9984982</v>
      </c>
      <c r="AB24">
        <v>2</v>
      </c>
      <c r="AC24">
        <v>0.68000000000000604</v>
      </c>
      <c r="AD24">
        <v>-0.14659169999999899</v>
      </c>
      <c r="AE24">
        <v>-3.9800000000013797E-2</v>
      </c>
      <c r="AF24">
        <v>3.7471865235954402E-2</v>
      </c>
      <c r="AG24">
        <v>-0.14659169999999899</v>
      </c>
      <c r="AH24">
        <v>0.64993318505659803</v>
      </c>
      <c r="AI24">
        <v>102.68992327252499</v>
      </c>
      <c r="AJ24">
        <v>86.700267672196105</v>
      </c>
      <c r="AK24">
        <v>0.66731282936188596</v>
      </c>
      <c r="AL24">
        <v>82.112618311608799</v>
      </c>
      <c r="AM24">
        <v>89.248083151226496</v>
      </c>
      <c r="AN24">
        <v>0.99999998736876405</v>
      </c>
    </row>
    <row r="25" spans="1:40" x14ac:dyDescent="0.25">
      <c r="A25" t="str">
        <f>"20190312172331373"</f>
        <v>20190312172331373</v>
      </c>
      <c r="B25" t="str">
        <f>"1552382611369332"</f>
        <v>1552382611369332</v>
      </c>
      <c r="C25" t="s">
        <v>40</v>
      </c>
      <c r="D25">
        <v>3.4923739999999999</v>
      </c>
      <c r="E25">
        <v>0.50397329999999996</v>
      </c>
      <c r="F25" t="s">
        <v>41</v>
      </c>
      <c r="G25">
        <v>-475.50619999999998</v>
      </c>
      <c r="H25">
        <v>0.99055850000000001</v>
      </c>
      <c r="I25">
        <v>367.1859</v>
      </c>
      <c r="J25">
        <v>-476.19470000000001</v>
      </c>
      <c r="K25">
        <v>1.1099829999999999</v>
      </c>
      <c r="L25">
        <v>367.21510000000001</v>
      </c>
      <c r="M25">
        <v>0.99996470000000004</v>
      </c>
      <c r="N25">
        <v>0</v>
      </c>
      <c r="O25">
        <v>-9.2893819999999999E-4</v>
      </c>
      <c r="P25">
        <v>0.9915448</v>
      </c>
      <c r="Q25">
        <v>0.1290385</v>
      </c>
      <c r="R25">
        <v>-1.371226E-2</v>
      </c>
      <c r="S25">
        <v>3.090271</v>
      </c>
      <c r="T25">
        <v>-0.51747969999999999</v>
      </c>
      <c r="U25">
        <v>-0.1248779</v>
      </c>
      <c r="V25">
        <v>1.280062E-2</v>
      </c>
      <c r="W25">
        <v>0.1373114</v>
      </c>
      <c r="X25">
        <v>0.99044520000000003</v>
      </c>
      <c r="Y25">
        <v>3.8920719999999999E-2</v>
      </c>
      <c r="Z25">
        <v>-3.0804790000000001E-3</v>
      </c>
      <c r="AA25">
        <v>0.9992375</v>
      </c>
      <c r="AB25">
        <v>2</v>
      </c>
      <c r="AC25">
        <v>0.68850000000003297</v>
      </c>
      <c r="AD25">
        <v>-0.1194245</v>
      </c>
      <c r="AE25">
        <v>-2.9200000000002901E-2</v>
      </c>
      <c r="AF25">
        <v>2.77276471134318E-2</v>
      </c>
      <c r="AG25">
        <v>-0.1194245</v>
      </c>
      <c r="AH25">
        <v>0.66845124213567897</v>
      </c>
      <c r="AI25">
        <v>100.120983231727</v>
      </c>
      <c r="AJ25">
        <v>87.624707949348505</v>
      </c>
      <c r="AK25">
        <v>0.67960142490097097</v>
      </c>
      <c r="AL25">
        <v>82.107701611824794</v>
      </c>
      <c r="AM25">
        <v>89.259544424915902</v>
      </c>
      <c r="AN25">
        <v>0.99999998532269196</v>
      </c>
    </row>
    <row r="26" spans="1:40" x14ac:dyDescent="0.25">
      <c r="A26" t="str">
        <f>"20190312172331396"</f>
        <v>20190312172331396</v>
      </c>
      <c r="B26" t="str">
        <f>"1552382611389828"</f>
        <v>1552382611389828</v>
      </c>
      <c r="C26" t="s">
        <v>40</v>
      </c>
      <c r="D26">
        <v>3.503768</v>
      </c>
      <c r="E26">
        <v>0.50224290000000005</v>
      </c>
      <c r="F26" t="s">
        <v>41</v>
      </c>
      <c r="G26">
        <v>-475.46820000000002</v>
      </c>
      <c r="H26">
        <v>1.0148549999999901</v>
      </c>
      <c r="I26">
        <v>367.1977</v>
      </c>
      <c r="J26">
        <v>-476.16379999999998</v>
      </c>
      <c r="K26">
        <v>1.109702</v>
      </c>
      <c r="L26">
        <v>367.21499999999997</v>
      </c>
      <c r="M26">
        <v>0.99997290000000005</v>
      </c>
      <c r="N26">
        <v>0</v>
      </c>
      <c r="O26">
        <v>-1.0018869999999999E-3</v>
      </c>
      <c r="P26">
        <v>0.99139259999999996</v>
      </c>
      <c r="Q26">
        <v>0.13017699999999999</v>
      </c>
      <c r="R26">
        <v>-1.3956410000000001E-2</v>
      </c>
      <c r="S26">
        <v>3.0770569999999999</v>
      </c>
      <c r="T26">
        <v>-0.40300360000000002</v>
      </c>
      <c r="U26">
        <v>-7.3028560000000006E-2</v>
      </c>
      <c r="V26">
        <v>1.2973699999999999E-2</v>
      </c>
      <c r="W26">
        <v>0.13742289999999999</v>
      </c>
      <c r="X26">
        <v>0.99042750000000002</v>
      </c>
      <c r="Y26">
        <v>2.254109E-2</v>
      </c>
      <c r="Z26">
        <v>-1.338983E-3</v>
      </c>
      <c r="AA26">
        <v>0.99974499999999999</v>
      </c>
      <c r="AB26">
        <v>2</v>
      </c>
      <c r="AC26">
        <v>0.69559999999995603</v>
      </c>
      <c r="AD26">
        <v>-9.4847000000000098E-2</v>
      </c>
      <c r="AE26">
        <v>-1.7299999999977399E-2</v>
      </c>
      <c r="AF26">
        <v>1.6300192978645201E-2</v>
      </c>
      <c r="AG26">
        <v>-9.4847000000000098E-2</v>
      </c>
      <c r="AH26">
        <v>0.68292778278783695</v>
      </c>
      <c r="AI26">
        <v>97.904604019074299</v>
      </c>
      <c r="AJ26">
        <v>88.632717839983002</v>
      </c>
      <c r="AK26">
        <v>0.68967529041111197</v>
      </c>
      <c r="AL26">
        <v>82.101252120157895</v>
      </c>
      <c r="AM26">
        <v>89.2495202894508</v>
      </c>
      <c r="AN26">
        <v>1.0000000015461701</v>
      </c>
    </row>
    <row r="27" spans="1:40" x14ac:dyDescent="0.25">
      <c r="A27" t="str">
        <f>"20190312172331420"</f>
        <v>20190312172331420</v>
      </c>
      <c r="B27" t="str">
        <f>"1552382611409348"</f>
        <v>1552382611409348</v>
      </c>
      <c r="C27" t="s">
        <v>40</v>
      </c>
      <c r="D27">
        <v>3.4926560000000002</v>
      </c>
      <c r="E27">
        <v>0.50164520000000001</v>
      </c>
      <c r="F27" t="s">
        <v>41</v>
      </c>
      <c r="G27">
        <v>-475.43779999999998</v>
      </c>
      <c r="H27">
        <v>1.0222309999999999</v>
      </c>
      <c r="I27">
        <v>367.20049999999998</v>
      </c>
      <c r="J27">
        <v>-476.13650000000001</v>
      </c>
      <c r="K27">
        <v>1.109958</v>
      </c>
      <c r="L27">
        <v>367.21480000000003</v>
      </c>
      <c r="M27">
        <v>0.99996759999999996</v>
      </c>
      <c r="N27">
        <v>0</v>
      </c>
      <c r="O27">
        <v>-1.0578720000000001E-3</v>
      </c>
      <c r="P27">
        <v>0.99136469999999999</v>
      </c>
      <c r="Q27">
        <v>0.13040579999999999</v>
      </c>
      <c r="R27">
        <v>-1.380234E-2</v>
      </c>
      <c r="S27">
        <v>3.0737920000000001</v>
      </c>
      <c r="T27">
        <v>-0.37046479999999998</v>
      </c>
      <c r="U27">
        <v>-6.0028079999999998E-2</v>
      </c>
      <c r="V27">
        <v>1.276214E-2</v>
      </c>
      <c r="W27">
        <v>0.1383297</v>
      </c>
      <c r="X27">
        <v>0.99030399999999996</v>
      </c>
      <c r="Y27">
        <v>1.8342520000000001E-2</v>
      </c>
      <c r="Z27">
        <v>-9.7423479999999998E-4</v>
      </c>
      <c r="AA27">
        <v>0.99983129999999998</v>
      </c>
      <c r="AB27">
        <v>3</v>
      </c>
      <c r="AC27">
        <v>0.69870000000002996</v>
      </c>
      <c r="AD27">
        <v>-8.7727000000000097E-2</v>
      </c>
      <c r="AE27">
        <v>-1.43000000000483E-2</v>
      </c>
      <c r="AF27">
        <v>1.33504557997086E-2</v>
      </c>
      <c r="AG27">
        <v>-8.7727000000000097E-2</v>
      </c>
      <c r="AH27">
        <v>0.68787514822488505</v>
      </c>
      <c r="AI27">
        <v>97.266533061298205</v>
      </c>
      <c r="AJ27">
        <v>88.888128533885606</v>
      </c>
      <c r="AK27">
        <v>0.69357514426662303</v>
      </c>
      <c r="AL27">
        <v>82.048795264208806</v>
      </c>
      <c r="AM27">
        <v>89.261664817957296</v>
      </c>
      <c r="AN27">
        <v>0.99999999526773398</v>
      </c>
    </row>
    <row r="28" spans="1:40" x14ac:dyDescent="0.25">
      <c r="A28" t="str">
        <f>"20190312172331443"</f>
        <v>20190312172331443</v>
      </c>
      <c r="B28" t="str">
        <f>"1552382611439302"</f>
        <v>1552382611439302</v>
      </c>
      <c r="C28" t="s">
        <v>40</v>
      </c>
      <c r="D28">
        <v>3.4899110000000002</v>
      </c>
      <c r="E28">
        <v>0.5012143</v>
      </c>
      <c r="F28" t="s">
        <v>41</v>
      </c>
      <c r="G28">
        <v>-475.4128</v>
      </c>
      <c r="H28">
        <v>1.0265059999999999</v>
      </c>
      <c r="I28">
        <v>367.20159999999998</v>
      </c>
      <c r="J28">
        <v>-476.11419999999998</v>
      </c>
      <c r="K28">
        <v>1.1104940000000001</v>
      </c>
      <c r="L28">
        <v>367.21480000000003</v>
      </c>
      <c r="M28">
        <v>0.99995089999999998</v>
      </c>
      <c r="N28">
        <v>0</v>
      </c>
      <c r="O28">
        <v>-1.0929900000000001E-3</v>
      </c>
      <c r="P28">
        <v>0.99149469999999995</v>
      </c>
      <c r="Q28">
        <v>0.1293145</v>
      </c>
      <c r="R28">
        <v>-1.471046E-2</v>
      </c>
      <c r="S28">
        <v>3.0719599999999998</v>
      </c>
      <c r="T28">
        <v>-0.35452830000000002</v>
      </c>
      <c r="U28">
        <v>-5.4656980000000001E-2</v>
      </c>
      <c r="V28">
        <v>1.3630939999999999E-2</v>
      </c>
      <c r="W28">
        <v>0.139076799999999</v>
      </c>
      <c r="X28">
        <v>0.99018779999999995</v>
      </c>
      <c r="Y28">
        <v>1.6593670000000001E-2</v>
      </c>
      <c r="Z28">
        <v>-8.2855949999999896E-4</v>
      </c>
      <c r="AA28">
        <v>0.99986200000000003</v>
      </c>
      <c r="AB28">
        <v>3</v>
      </c>
      <c r="AC28">
        <v>0.70139999999997804</v>
      </c>
      <c r="AD28">
        <v>-8.3988000000000104E-2</v>
      </c>
      <c r="AE28">
        <v>-1.32000000000402E-2</v>
      </c>
      <c r="AF28">
        <v>1.22576381347742E-2</v>
      </c>
      <c r="AG28">
        <v>-8.3988000000000104E-2</v>
      </c>
      <c r="AH28">
        <v>0.69150242946431795</v>
      </c>
      <c r="AI28">
        <v>96.923992383146498</v>
      </c>
      <c r="AJ28">
        <v>88.984475893195096</v>
      </c>
      <c r="AK28">
        <v>0.69669207243350895</v>
      </c>
      <c r="AL28">
        <v>82.0055719787605</v>
      </c>
      <c r="AM28">
        <v>89.211315262914198</v>
      </c>
      <c r="AN28">
        <v>1.00000001904618</v>
      </c>
    </row>
    <row r="29" spans="1:40" x14ac:dyDescent="0.25">
      <c r="A29" t="str">
        <f>"20190312172331464"</f>
        <v>20190312172331464</v>
      </c>
      <c r="B29" t="str">
        <f>"1552382611459798"</f>
        <v>1552382611459798</v>
      </c>
      <c r="C29" t="s">
        <v>40</v>
      </c>
      <c r="D29">
        <v>3.515727</v>
      </c>
      <c r="E29">
        <v>0.50105069999999996</v>
      </c>
      <c r="F29" t="s">
        <v>41</v>
      </c>
      <c r="G29">
        <v>-475.36989999999997</v>
      </c>
      <c r="H29">
        <v>1.027083</v>
      </c>
      <c r="I29">
        <v>367.20150000000001</v>
      </c>
      <c r="J29">
        <v>-476.08789999999999</v>
      </c>
      <c r="K29">
        <v>1.1103339999999999</v>
      </c>
      <c r="L29">
        <v>367.21469999999999</v>
      </c>
      <c r="M29">
        <v>0.9999538</v>
      </c>
      <c r="N29">
        <v>0</v>
      </c>
      <c r="O29">
        <v>-1.140343E-3</v>
      </c>
      <c r="P29">
        <v>0.99146650000000003</v>
      </c>
      <c r="Q29">
        <v>0.1295616</v>
      </c>
      <c r="R29">
        <v>-1.4438309999999999E-2</v>
      </c>
      <c r="S29">
        <v>3.069855</v>
      </c>
      <c r="T29">
        <v>-0.34423540000000002</v>
      </c>
      <c r="U29">
        <v>-5.334473E-2</v>
      </c>
      <c r="V29">
        <v>1.331339E-2</v>
      </c>
      <c r="W29">
        <v>0.1390267</v>
      </c>
      <c r="X29">
        <v>0.9901991</v>
      </c>
      <c r="Y29">
        <v>1.6140120000000001E-2</v>
      </c>
      <c r="Z29">
        <v>-7.7456649999999895E-4</v>
      </c>
      <c r="AA29">
        <v>0.99986949999999997</v>
      </c>
      <c r="AB29">
        <v>2</v>
      </c>
      <c r="AC29">
        <v>0.71800000000001696</v>
      </c>
      <c r="AD29">
        <v>-8.3250999999999895E-2</v>
      </c>
      <c r="AE29">
        <v>-1.31999999999834E-2</v>
      </c>
      <c r="AF29">
        <v>1.22169974497956E-2</v>
      </c>
      <c r="AG29">
        <v>-8.3250999999999895E-2</v>
      </c>
      <c r="AH29">
        <v>0.70849279398777298</v>
      </c>
      <c r="AI29">
        <v>96.7007857823385</v>
      </c>
      <c r="AJ29">
        <v>89.012109887126599</v>
      </c>
      <c r="AK29">
        <v>0.71347180964652701</v>
      </c>
      <c r="AL29">
        <v>82.008470212022004</v>
      </c>
      <c r="AM29">
        <v>89.229695221371699</v>
      </c>
      <c r="AN29">
        <v>0.99999996365349497</v>
      </c>
    </row>
    <row r="30" spans="1:40" x14ac:dyDescent="0.25">
      <c r="A30" t="str">
        <f>"20190312172331486"</f>
        <v>20190312172331486</v>
      </c>
      <c r="B30" t="str">
        <f>"1552382611479318"</f>
        <v>1552382611479318</v>
      </c>
      <c r="C30" t="s">
        <v>40</v>
      </c>
      <c r="D30">
        <v>3.5077219999999998</v>
      </c>
      <c r="E30">
        <v>0.50099399999999905</v>
      </c>
      <c r="F30" t="s">
        <v>41</v>
      </c>
      <c r="G30">
        <v>-475.34199999999998</v>
      </c>
      <c r="H30">
        <v>1.0281690000000001</v>
      </c>
      <c r="I30">
        <v>367.20159999999998</v>
      </c>
      <c r="J30">
        <v>-476.05779999999999</v>
      </c>
      <c r="K30">
        <v>1.109936</v>
      </c>
      <c r="L30">
        <v>367.21460000000002</v>
      </c>
      <c r="M30">
        <v>0.99996490000000005</v>
      </c>
      <c r="N30">
        <v>0</v>
      </c>
      <c r="O30">
        <v>-1.2068560000000001E-3</v>
      </c>
      <c r="P30">
        <v>0.99136469999999999</v>
      </c>
      <c r="Q30">
        <v>0.13041</v>
      </c>
      <c r="R30">
        <v>-1.3761819999999999E-2</v>
      </c>
      <c r="S30">
        <v>3.0692750000000002</v>
      </c>
      <c r="T30">
        <v>-0.33832790000000001</v>
      </c>
      <c r="U30">
        <v>-5.2062990000000003E-2</v>
      </c>
      <c r="V30">
        <v>1.2574210000000001E-2</v>
      </c>
      <c r="W30">
        <v>0.13864179999999901</v>
      </c>
      <c r="X30">
        <v>0.99026270000000005</v>
      </c>
      <c r="Y30">
        <v>1.5665910000000002E-2</v>
      </c>
      <c r="Z30">
        <v>-7.2813689999999998E-4</v>
      </c>
      <c r="AA30">
        <v>0.99987700000000002</v>
      </c>
      <c r="AB30">
        <v>3</v>
      </c>
      <c r="AC30">
        <v>0.71580000000000099</v>
      </c>
      <c r="AD30">
        <v>-8.1766999999999895E-2</v>
      </c>
      <c r="AE30">
        <v>-1.3000000000033599E-2</v>
      </c>
      <c r="AF30">
        <v>1.19798217805266E-2</v>
      </c>
      <c r="AG30">
        <v>-8.1766999999999895E-2</v>
      </c>
      <c r="AH30">
        <v>0.70659790782547804</v>
      </c>
      <c r="AI30">
        <v>96.599926656610194</v>
      </c>
      <c r="AJ30">
        <v>89.0286873706753</v>
      </c>
      <c r="AK30">
        <v>0.71141405788909995</v>
      </c>
      <c r="AL30">
        <v>82.030738805949298</v>
      </c>
      <c r="AM30">
        <v>89.272505723173694</v>
      </c>
      <c r="AN30">
        <v>0.99999993723782499</v>
      </c>
    </row>
    <row r="31" spans="1:40" x14ac:dyDescent="0.25">
      <c r="A31" t="str">
        <f>"20190312172331508"</f>
        <v>20190312172331508</v>
      </c>
      <c r="B31" t="str">
        <f>"1552382611499814"</f>
        <v>1552382611499814</v>
      </c>
      <c r="C31" t="s">
        <v>40</v>
      </c>
      <c r="D31">
        <v>3.5065819999999999</v>
      </c>
      <c r="E31">
        <v>0.50092899999999996</v>
      </c>
      <c r="F31" t="s">
        <v>41</v>
      </c>
      <c r="G31">
        <v>-475.3116</v>
      </c>
      <c r="H31">
        <v>1.029595</v>
      </c>
      <c r="I31">
        <v>367.202</v>
      </c>
      <c r="J31">
        <v>-476.02289999999999</v>
      </c>
      <c r="K31">
        <v>1.109648</v>
      </c>
      <c r="L31">
        <v>367.21449999999999</v>
      </c>
      <c r="M31">
        <v>0.99997340000000001</v>
      </c>
      <c r="N31">
        <v>0</v>
      </c>
      <c r="O31">
        <v>-1.290633E-3</v>
      </c>
      <c r="P31">
        <v>0.99122149999999998</v>
      </c>
      <c r="Q31">
        <v>0.131551</v>
      </c>
      <c r="R31">
        <v>-1.3206880000000001E-2</v>
      </c>
      <c r="S31">
        <v>3.0689090000000001</v>
      </c>
      <c r="T31">
        <v>-0.33055220000000002</v>
      </c>
      <c r="U31">
        <v>-5.0201419999999997E-2</v>
      </c>
      <c r="V31">
        <v>1.1939299999999899E-2</v>
      </c>
      <c r="W31">
        <v>0.13866589999999901</v>
      </c>
      <c r="X31">
        <v>0.99026720000000001</v>
      </c>
      <c r="Y31">
        <v>1.498618E-2</v>
      </c>
      <c r="Z31">
        <v>-6.6609310000000001E-4</v>
      </c>
      <c r="AA31">
        <v>0.99988750000000004</v>
      </c>
      <c r="AB31">
        <v>3</v>
      </c>
      <c r="AC31">
        <v>0.71129999999999405</v>
      </c>
      <c r="AD31">
        <v>-8.0052999999999902E-2</v>
      </c>
      <c r="AE31">
        <v>-1.24999999999886E-2</v>
      </c>
      <c r="AF31">
        <v>1.1437117498064199E-2</v>
      </c>
      <c r="AG31">
        <v>-8.0052999999999902E-2</v>
      </c>
      <c r="AH31">
        <v>0.70242121322472395</v>
      </c>
      <c r="AI31">
        <v>96.500934248621903</v>
      </c>
      <c r="AJ31">
        <v>89.067168461034299</v>
      </c>
      <c r="AK31">
        <v>0.707060712565588</v>
      </c>
      <c r="AL31">
        <v>82.0293446368036</v>
      </c>
      <c r="AM31">
        <v>89.309238600375593</v>
      </c>
      <c r="AN31">
        <v>0.99999995305156897</v>
      </c>
    </row>
    <row r="32" spans="1:40" x14ac:dyDescent="0.25">
      <c r="A32" t="str">
        <f>"20190312172331530"</f>
        <v>20190312172331530</v>
      </c>
      <c r="B32" t="str">
        <f>"1552382611519337"</f>
        <v>1552382611519337</v>
      </c>
      <c r="C32" t="s">
        <v>40</v>
      </c>
      <c r="D32">
        <v>3.5380780000000001</v>
      </c>
      <c r="E32">
        <v>0.50088900000000003</v>
      </c>
      <c r="F32" t="s">
        <v>41</v>
      </c>
      <c r="G32">
        <v>-475.28059999999999</v>
      </c>
      <c r="H32">
        <v>1.0314840000000001</v>
      </c>
      <c r="I32">
        <v>367.20240000000001</v>
      </c>
      <c r="J32">
        <v>-475.99259999999998</v>
      </c>
      <c r="K32">
        <v>1.1097629999999901</v>
      </c>
      <c r="L32">
        <v>367.21440000000001</v>
      </c>
      <c r="M32">
        <v>0.99997219999999998</v>
      </c>
      <c r="N32">
        <v>0</v>
      </c>
      <c r="O32">
        <v>-1.356204E-3</v>
      </c>
      <c r="P32">
        <v>0.99127030000000005</v>
      </c>
      <c r="Q32">
        <v>0.13114629999999999</v>
      </c>
      <c r="R32">
        <v>-1.355991E-2</v>
      </c>
      <c r="S32">
        <v>3.0688170000000001</v>
      </c>
      <c r="T32">
        <v>-0.32340980000000003</v>
      </c>
      <c r="U32">
        <v>-4.8004150000000002E-2</v>
      </c>
      <c r="V32">
        <v>1.222733E-2</v>
      </c>
      <c r="W32">
        <v>0.1384251</v>
      </c>
      <c r="X32">
        <v>0.99029739999999999</v>
      </c>
      <c r="Y32">
        <v>1.4213369999999999E-2</v>
      </c>
      <c r="Z32">
        <v>-6.0430599999999998E-4</v>
      </c>
      <c r="AA32">
        <v>0.99989879999999998</v>
      </c>
      <c r="AB32">
        <v>3</v>
      </c>
      <c r="AC32">
        <v>0.71199999999998898</v>
      </c>
      <c r="AD32">
        <v>-7.8278999999999696E-2</v>
      </c>
      <c r="AE32">
        <v>-1.2000000000000399E-2</v>
      </c>
      <c r="AF32">
        <v>1.0902599808143299E-2</v>
      </c>
      <c r="AG32">
        <v>-7.8278999999999696E-2</v>
      </c>
      <c r="AH32">
        <v>0.70351442055019797</v>
      </c>
      <c r="AI32">
        <v>96.348343734820205</v>
      </c>
      <c r="AJ32">
        <v>89.112139090565805</v>
      </c>
      <c r="AK32">
        <v>0.70793997517138196</v>
      </c>
      <c r="AL32">
        <v>82.043276013714802</v>
      </c>
      <c r="AM32">
        <v>89.292597551260798</v>
      </c>
      <c r="AN32">
        <v>0.99999997817784902</v>
      </c>
    </row>
    <row r="33" spans="1:40" x14ac:dyDescent="0.25">
      <c r="A33" t="str">
        <f>"20190312172331552"</f>
        <v>20190312172331552</v>
      </c>
      <c r="B33" t="str">
        <f>"1552382611539393"</f>
        <v>1552382611539393</v>
      </c>
      <c r="C33" t="s">
        <v>40</v>
      </c>
      <c r="D33">
        <v>3.5294110000000001</v>
      </c>
      <c r="E33">
        <v>0.50086030000000004</v>
      </c>
      <c r="F33" t="s">
        <v>41</v>
      </c>
      <c r="G33">
        <v>-475.25400000000002</v>
      </c>
      <c r="H33">
        <v>1.0322260000000001</v>
      </c>
      <c r="I33">
        <v>367.2029</v>
      </c>
      <c r="J33">
        <v>-475.96660000000003</v>
      </c>
      <c r="K33">
        <v>1.1102350000000001</v>
      </c>
      <c r="L33">
        <v>367.21420000000001</v>
      </c>
      <c r="M33">
        <v>0.99995979999999995</v>
      </c>
      <c r="N33">
        <v>0</v>
      </c>
      <c r="O33">
        <v>-1.401352E-3</v>
      </c>
      <c r="P33">
        <v>0.9914617</v>
      </c>
      <c r="Q33">
        <v>0.12965299999999999</v>
      </c>
      <c r="R33">
        <v>-1.3928569999999999E-2</v>
      </c>
      <c r="S33">
        <v>3.06839</v>
      </c>
      <c r="T33">
        <v>-0.3221424</v>
      </c>
      <c r="U33">
        <v>-4.7576899999999998E-2</v>
      </c>
      <c r="V33">
        <v>1.254707E-2</v>
      </c>
      <c r="W33">
        <v>0.13842699999999999</v>
      </c>
      <c r="X33">
        <v>0.99029310000000004</v>
      </c>
      <c r="Y33">
        <v>1.4032970000000001E-2</v>
      </c>
      <c r="Z33">
        <v>-5.8786250000000004E-4</v>
      </c>
      <c r="AA33">
        <v>0.99990140000000005</v>
      </c>
      <c r="AB33">
        <v>3</v>
      </c>
      <c r="AC33">
        <v>0.712600000000009</v>
      </c>
      <c r="AD33">
        <v>-7.8008999999999995E-2</v>
      </c>
      <c r="AE33">
        <v>-1.1300000000005601E-2</v>
      </c>
      <c r="AF33">
        <v>1.0179388309269399E-2</v>
      </c>
      <c r="AG33">
        <v>-7.8008999999999995E-2</v>
      </c>
      <c r="AH33">
        <v>0.70417846095404002</v>
      </c>
      <c r="AI33">
        <v>96.320804962848001</v>
      </c>
      <c r="AJ33">
        <v>89.171807432535999</v>
      </c>
      <c r="AK33">
        <v>0.70855933336521004</v>
      </c>
      <c r="AL33">
        <v>82.043165816600506</v>
      </c>
      <c r="AM33">
        <v>89.274098050515207</v>
      </c>
      <c r="AN33">
        <v>0.99999994360109501</v>
      </c>
    </row>
    <row r="34" spans="1:40" x14ac:dyDescent="0.25">
      <c r="A34" t="str">
        <f>"20190312172331574"</f>
        <v>20190312172331574</v>
      </c>
      <c r="B34" t="str">
        <f>"1552382611569647"</f>
        <v>1552382611569647</v>
      </c>
      <c r="C34" t="s">
        <v>40</v>
      </c>
      <c r="D34">
        <v>3.5394320000000001</v>
      </c>
      <c r="E34">
        <v>0.50088270000000001</v>
      </c>
      <c r="F34" t="s">
        <v>41</v>
      </c>
      <c r="G34">
        <v>-475.23099999999999</v>
      </c>
      <c r="H34">
        <v>1.0323719999999901</v>
      </c>
      <c r="I34">
        <v>367.202</v>
      </c>
      <c r="J34">
        <v>-475.9427</v>
      </c>
      <c r="K34">
        <v>1.1107739999999999</v>
      </c>
      <c r="L34">
        <v>367.21420000000001</v>
      </c>
      <c r="M34">
        <v>0.99993929999999998</v>
      </c>
      <c r="N34">
        <v>0</v>
      </c>
      <c r="O34">
        <v>-1.4327109999999999E-3</v>
      </c>
      <c r="P34">
        <v>0.99177219999999999</v>
      </c>
      <c r="Q34">
        <v>0.12727739999999901</v>
      </c>
      <c r="R34">
        <v>-1.373128E-2</v>
      </c>
      <c r="S34">
        <v>3.0676269999999999</v>
      </c>
      <c r="T34">
        <v>-0.3249822</v>
      </c>
      <c r="U34">
        <v>-4.8492430000000003E-2</v>
      </c>
      <c r="V34">
        <v>1.2313269999999999E-2</v>
      </c>
      <c r="W34">
        <v>0.138116299999999</v>
      </c>
      <c r="X34">
        <v>0.99033950000000004</v>
      </c>
      <c r="Y34">
        <v>1.43012E-2</v>
      </c>
      <c r="Z34">
        <v>-6.0401269999999895E-4</v>
      </c>
      <c r="AA34">
        <v>0.99989749999999999</v>
      </c>
      <c r="AB34">
        <v>3</v>
      </c>
      <c r="AC34">
        <v>0.71170000000000699</v>
      </c>
      <c r="AD34">
        <v>-7.8401999999999999E-2</v>
      </c>
      <c r="AE34">
        <v>-1.2200000000007E-2</v>
      </c>
      <c r="AF34">
        <v>1.1046252958926601E-2</v>
      </c>
      <c r="AG34">
        <v>-7.8401999999999999E-2</v>
      </c>
      <c r="AH34">
        <v>0.70318569385808105</v>
      </c>
      <c r="AI34">
        <v>96.361164457676907</v>
      </c>
      <c r="AJ34">
        <v>89.100022046862705</v>
      </c>
      <c r="AK34">
        <v>0.70762914959398304</v>
      </c>
      <c r="AL34">
        <v>82.061140940070004</v>
      </c>
      <c r="AM34">
        <v>89.287656351909703</v>
      </c>
      <c r="AN34">
        <v>1.00000002710201</v>
      </c>
    </row>
    <row r="35" spans="1:40" x14ac:dyDescent="0.25">
      <c r="A35" t="str">
        <f>"20190312172331597"</f>
        <v>20190312172331597</v>
      </c>
      <c r="B35" t="str">
        <f>"1552382611590143"</f>
        <v>1552382611590143</v>
      </c>
      <c r="C35" t="s">
        <v>40</v>
      </c>
      <c r="D35">
        <v>3.5247709999999999</v>
      </c>
      <c r="E35">
        <v>0.5008667</v>
      </c>
      <c r="F35" t="s">
        <v>41</v>
      </c>
      <c r="G35">
        <v>-475.21100000000001</v>
      </c>
      <c r="H35">
        <v>1.032132</v>
      </c>
      <c r="I35">
        <v>367.20229999999998</v>
      </c>
      <c r="J35">
        <v>-475.9153</v>
      </c>
      <c r="K35">
        <v>1.110752</v>
      </c>
      <c r="L35">
        <v>367.21409999999997</v>
      </c>
      <c r="M35">
        <v>0.99993460000000001</v>
      </c>
      <c r="N35">
        <v>0</v>
      </c>
      <c r="O35">
        <v>-1.468348E-3</v>
      </c>
      <c r="P35">
        <v>0.99177780000000004</v>
      </c>
      <c r="Q35">
        <v>0.12722610000000001</v>
      </c>
      <c r="R35">
        <v>-1.379186E-2</v>
      </c>
      <c r="S35">
        <v>3.0664980000000002</v>
      </c>
      <c r="T35">
        <v>-0.32966689999999998</v>
      </c>
      <c r="U35">
        <v>-4.9011230000000003E-2</v>
      </c>
      <c r="V35">
        <v>1.233804E-2</v>
      </c>
      <c r="W35">
        <v>0.1384695</v>
      </c>
      <c r="X35">
        <v>0.99028989999999995</v>
      </c>
      <c r="Y35">
        <v>1.4437780000000001E-2</v>
      </c>
      <c r="Z35">
        <v>-6.1639279999999995E-4</v>
      </c>
      <c r="AA35">
        <v>0.9998956</v>
      </c>
      <c r="AB35">
        <v>2</v>
      </c>
      <c r="AC35">
        <v>0.70429999999998905</v>
      </c>
      <c r="AD35">
        <v>-7.8619999999999898E-2</v>
      </c>
      <c r="AE35">
        <v>-1.17999999999938E-2</v>
      </c>
      <c r="AF35">
        <v>1.0633299564565201E-2</v>
      </c>
      <c r="AG35">
        <v>-7.8619999999999898E-2</v>
      </c>
      <c r="AH35">
        <v>0.69565054322899</v>
      </c>
      <c r="AI35">
        <v>96.447262512323206</v>
      </c>
      <c r="AJ35">
        <v>89.124279063183806</v>
      </c>
      <c r="AK35">
        <v>0.70015987442470495</v>
      </c>
      <c r="AL35">
        <v>82.040707982510497</v>
      </c>
      <c r="AM35">
        <v>89.286187766561596</v>
      </c>
      <c r="AN35">
        <v>1.0000000578516399</v>
      </c>
    </row>
    <row r="36" spans="1:40" x14ac:dyDescent="0.25">
      <c r="A36" t="str">
        <f>"20190312172331620"</f>
        <v>20190312172331620</v>
      </c>
      <c r="B36" t="str">
        <f>"1552382611609665"</f>
        <v>1552382611609665</v>
      </c>
      <c r="C36" t="s">
        <v>40</v>
      </c>
      <c r="D36">
        <v>3.5105659999999999</v>
      </c>
      <c r="E36">
        <v>0.50080720000000001</v>
      </c>
      <c r="F36" t="s">
        <v>41</v>
      </c>
      <c r="G36">
        <v>-475.1859</v>
      </c>
      <c r="H36">
        <v>1.0326090000000001</v>
      </c>
      <c r="I36">
        <v>367.20159999999998</v>
      </c>
      <c r="J36">
        <v>-475.88369999999998</v>
      </c>
      <c r="K36">
        <v>1.1102559999999999</v>
      </c>
      <c r="L36">
        <v>367.214</v>
      </c>
      <c r="M36">
        <v>0.99994890000000003</v>
      </c>
      <c r="N36">
        <v>0</v>
      </c>
      <c r="O36">
        <v>-1.5284649999999999E-3</v>
      </c>
      <c r="P36">
        <v>0.99158979999999997</v>
      </c>
      <c r="Q36">
        <v>0.12862680000000001</v>
      </c>
      <c r="R36">
        <v>-1.4313909999999999E-2</v>
      </c>
      <c r="S36">
        <v>3.066376</v>
      </c>
      <c r="T36">
        <v>-0.32874320000000001</v>
      </c>
      <c r="U36">
        <v>-4.9530030000000003E-2</v>
      </c>
      <c r="V36">
        <v>1.2803699999999999E-2</v>
      </c>
      <c r="W36">
        <v>0.13852709999999999</v>
      </c>
      <c r="X36">
        <v>0.99027589999999999</v>
      </c>
      <c r="Y36">
        <v>1.4547579999999999E-2</v>
      </c>
      <c r="Z36">
        <v>-6.1414360000000003E-4</v>
      </c>
      <c r="AA36">
        <v>0.99989399999999995</v>
      </c>
      <c r="AB36">
        <v>2</v>
      </c>
      <c r="AC36">
        <v>0.697799999999972</v>
      </c>
      <c r="AD36">
        <v>-7.76469999999998E-2</v>
      </c>
      <c r="AE36">
        <v>-1.24000000000137E-2</v>
      </c>
      <c r="AF36">
        <v>1.11948001950706E-2</v>
      </c>
      <c r="AG36">
        <v>-7.76469999999998E-2</v>
      </c>
      <c r="AH36">
        <v>0.68928615792308501</v>
      </c>
      <c r="AI36">
        <v>96.426344020113902</v>
      </c>
      <c r="AJ36">
        <v>89.069532430280603</v>
      </c>
      <c r="AK36">
        <v>0.69373610808777697</v>
      </c>
      <c r="AL36">
        <v>82.037375368711807</v>
      </c>
      <c r="AM36">
        <v>89.259239674815305</v>
      </c>
      <c r="AN36">
        <v>1.0000000251444501</v>
      </c>
    </row>
    <row r="37" spans="1:40" x14ac:dyDescent="0.25">
      <c r="A37" t="str">
        <f>"20190312172331644"</f>
        <v>20190312172331644</v>
      </c>
      <c r="B37" t="str">
        <f>"1552382611640091"</f>
        <v>1552382611640091</v>
      </c>
      <c r="C37" t="s">
        <v>40</v>
      </c>
      <c r="D37">
        <v>3.517347</v>
      </c>
      <c r="E37">
        <v>0.50082009999999999</v>
      </c>
      <c r="F37" t="s">
        <v>41</v>
      </c>
      <c r="G37">
        <v>-475.15640000000002</v>
      </c>
      <c r="H37">
        <v>1.033507</v>
      </c>
      <c r="I37">
        <v>367.20190000000002</v>
      </c>
      <c r="J37">
        <v>-475.84519999999998</v>
      </c>
      <c r="K37">
        <v>1.1098220000000001</v>
      </c>
      <c r="L37">
        <v>367.21379999999999</v>
      </c>
      <c r="M37">
        <v>0.99996260000000003</v>
      </c>
      <c r="N37">
        <v>0</v>
      </c>
      <c r="O37">
        <v>-1.6183759999999999E-3</v>
      </c>
      <c r="P37">
        <v>0.99137399999999998</v>
      </c>
      <c r="Q37">
        <v>0.13024929999999901</v>
      </c>
      <c r="R37">
        <v>-1.4585219999999999E-2</v>
      </c>
      <c r="S37">
        <v>3.0667110000000002</v>
      </c>
      <c r="T37">
        <v>-0.32364199999999999</v>
      </c>
      <c r="U37">
        <v>-5.0567630000000002E-2</v>
      </c>
      <c r="V37">
        <v>1.2990420000000001E-2</v>
      </c>
      <c r="W37">
        <v>0.13867579999999999</v>
      </c>
      <c r="X37">
        <v>0.99025260000000004</v>
      </c>
      <c r="Y37">
        <v>1.4795569999999999E-2</v>
      </c>
      <c r="Z37">
        <v>-6.0818809999999999E-4</v>
      </c>
      <c r="AA37">
        <v>0.99989030000000001</v>
      </c>
      <c r="AB37">
        <v>3</v>
      </c>
      <c r="AC37">
        <v>0.688799999999957</v>
      </c>
      <c r="AD37">
        <v>-7.6314999999999897E-2</v>
      </c>
      <c r="AE37">
        <v>-1.18999999999687E-2</v>
      </c>
      <c r="AF37">
        <v>1.0654458712105099E-2</v>
      </c>
      <c r="AG37">
        <v>-7.6314999999999897E-2</v>
      </c>
      <c r="AH37">
        <v>0.68046787495854</v>
      </c>
      <c r="AI37">
        <v>96.398249218747694</v>
      </c>
      <c r="AJ37">
        <v>89.102961857841393</v>
      </c>
      <c r="AK37">
        <v>0.68481678247983901</v>
      </c>
      <c r="AL37">
        <v>82.028772012112896</v>
      </c>
      <c r="AM37">
        <v>89.2484205047095</v>
      </c>
      <c r="AN37">
        <v>0.99999997016208697</v>
      </c>
    </row>
    <row r="38" spans="1:40" x14ac:dyDescent="0.25">
      <c r="A38" t="str">
        <f>"20190312172331665"</f>
        <v>20190312172331665</v>
      </c>
      <c r="B38" t="str">
        <f>"1552382611659610"</f>
        <v>1552382611659610</v>
      </c>
      <c r="C38" t="s">
        <v>40</v>
      </c>
      <c r="D38">
        <v>3.5204070000000001</v>
      </c>
      <c r="E38">
        <v>0.50079750000000001</v>
      </c>
      <c r="F38" t="s">
        <v>41</v>
      </c>
      <c r="G38">
        <v>-475.09460000000001</v>
      </c>
      <c r="H38">
        <v>1.0322229999999999</v>
      </c>
      <c r="I38">
        <v>367.20139999999998</v>
      </c>
      <c r="J38">
        <v>-475.81360000000001</v>
      </c>
      <c r="K38">
        <v>1.10981</v>
      </c>
      <c r="L38">
        <v>367.21370000000002</v>
      </c>
      <c r="M38">
        <v>0.99996439999999998</v>
      </c>
      <c r="N38">
        <v>0</v>
      </c>
      <c r="O38">
        <v>-1.689571E-3</v>
      </c>
      <c r="P38">
        <v>0.99133749999999998</v>
      </c>
      <c r="Q38">
        <v>0.1305499</v>
      </c>
      <c r="R38">
        <v>-1.438392E-2</v>
      </c>
      <c r="S38">
        <v>3.066986</v>
      </c>
      <c r="T38">
        <v>-0.31716870000000003</v>
      </c>
      <c r="U38">
        <v>-5.0750730000000001E-2</v>
      </c>
      <c r="V38">
        <v>1.272008E-2</v>
      </c>
      <c r="W38">
        <v>0.13874529999999999</v>
      </c>
      <c r="X38">
        <v>0.99024639999999997</v>
      </c>
      <c r="Y38">
        <v>1.4785919999999999E-2</v>
      </c>
      <c r="Z38">
        <v>-5.8819519999999998E-4</v>
      </c>
      <c r="AA38">
        <v>0.99989050000000002</v>
      </c>
      <c r="AB38">
        <v>4</v>
      </c>
      <c r="AC38">
        <v>0.71899999999999398</v>
      </c>
      <c r="AD38">
        <v>-7.7587000000000003E-2</v>
      </c>
      <c r="AE38">
        <v>-1.2300000000038801E-2</v>
      </c>
      <c r="AF38">
        <v>1.0957581361010301E-2</v>
      </c>
      <c r="AG38">
        <v>-7.7587000000000003E-2</v>
      </c>
      <c r="AH38">
        <v>0.71074591019482303</v>
      </c>
      <c r="AI38">
        <v>96.229164124725401</v>
      </c>
      <c r="AJ38">
        <v>89.116740001611802</v>
      </c>
      <c r="AK38">
        <v>0.71505213797103695</v>
      </c>
      <c r="AL38">
        <v>82.024751289952107</v>
      </c>
      <c r="AM38">
        <v>89.264055069719504</v>
      </c>
      <c r="AN38">
        <v>0.99999999571012799</v>
      </c>
    </row>
    <row r="39" spans="1:40" x14ac:dyDescent="0.25">
      <c r="A39" t="str">
        <f>"20190312172331686"</f>
        <v>20190312172331686</v>
      </c>
      <c r="B39" t="str">
        <f>"1552382611680107"</f>
        <v>1552382611680107</v>
      </c>
      <c r="C39" t="s">
        <v>40</v>
      </c>
      <c r="D39">
        <v>3.481522</v>
      </c>
      <c r="E39">
        <v>0.50075020000000003</v>
      </c>
      <c r="F39" t="s">
        <v>41</v>
      </c>
      <c r="G39">
        <v>-475.06720000000001</v>
      </c>
      <c r="H39">
        <v>1.0330170000000001</v>
      </c>
      <c r="I39">
        <v>367.2011</v>
      </c>
      <c r="J39">
        <v>-475.78539999999998</v>
      </c>
      <c r="K39">
        <v>1.1102529999999999</v>
      </c>
      <c r="L39">
        <v>367.21359999999999</v>
      </c>
      <c r="M39">
        <v>0.99995199999999995</v>
      </c>
      <c r="N39">
        <v>0</v>
      </c>
      <c r="O39">
        <v>-1.739455E-3</v>
      </c>
      <c r="P39">
        <v>0.99152490000000004</v>
      </c>
      <c r="Q39">
        <v>0.1291071</v>
      </c>
      <c r="R39">
        <v>-1.4479260000000001E-2</v>
      </c>
      <c r="S39">
        <v>3.067078</v>
      </c>
      <c r="T39">
        <v>-0.31577300000000003</v>
      </c>
      <c r="U39">
        <v>-4.9987789999999997E-2</v>
      </c>
      <c r="V39">
        <v>1.2763699999999999E-2</v>
      </c>
      <c r="W39">
        <v>0.1386674</v>
      </c>
      <c r="X39">
        <v>0.99025680000000005</v>
      </c>
      <c r="Y39">
        <v>1.448931E-2</v>
      </c>
      <c r="Z39">
        <v>-5.6525279999999998E-4</v>
      </c>
      <c r="AA39">
        <v>0.99989490000000003</v>
      </c>
      <c r="AB39">
        <v>4</v>
      </c>
      <c r="AC39">
        <v>0.71819999999996698</v>
      </c>
      <c r="AD39">
        <v>-7.7235999999999999E-2</v>
      </c>
      <c r="AE39">
        <v>-1.24999999999886E-2</v>
      </c>
      <c r="AF39">
        <v>1.11220578608297E-2</v>
      </c>
      <c r="AG39">
        <v>-7.7235999999999999E-2</v>
      </c>
      <c r="AH39">
        <v>0.710011798962216</v>
      </c>
      <c r="AI39">
        <v>96.207541686047193</v>
      </c>
      <c r="AJ39">
        <v>89.102557364575105</v>
      </c>
      <c r="AK39">
        <v>0.71428695531461395</v>
      </c>
      <c r="AL39">
        <v>82.029258591625194</v>
      </c>
      <c r="AM39">
        <v>89.261539383692707</v>
      </c>
      <c r="AN39">
        <v>1.0000000449033399</v>
      </c>
    </row>
    <row r="40" spans="1:40" x14ac:dyDescent="0.25">
      <c r="A40" t="str">
        <f>"20190312172331709"</f>
        <v>20190312172331709</v>
      </c>
      <c r="B40" t="str">
        <f>"1552382611699630"</f>
        <v>1552382611699630</v>
      </c>
      <c r="C40" t="s">
        <v>40</v>
      </c>
      <c r="D40">
        <v>3.496769</v>
      </c>
      <c r="E40">
        <v>0.50071730000000003</v>
      </c>
      <c r="F40" t="s">
        <v>41</v>
      </c>
      <c r="G40">
        <v>-475.04349999999999</v>
      </c>
      <c r="H40">
        <v>1.032904</v>
      </c>
      <c r="I40">
        <v>367.2013</v>
      </c>
      <c r="J40">
        <v>-475.75979999999998</v>
      </c>
      <c r="K40">
        <v>1.1108009999999999</v>
      </c>
      <c r="L40">
        <v>367.21350000000001</v>
      </c>
      <c r="M40">
        <v>0.99993030000000005</v>
      </c>
      <c r="N40">
        <v>0</v>
      </c>
      <c r="O40">
        <v>-1.773681E-3</v>
      </c>
      <c r="P40">
        <v>0.99180639999999998</v>
      </c>
      <c r="Q40">
        <v>0.12691150000000001</v>
      </c>
      <c r="R40">
        <v>-1.463325E-2</v>
      </c>
      <c r="S40">
        <v>3.0665589999999998</v>
      </c>
      <c r="T40">
        <v>-0.31987090000000001</v>
      </c>
      <c r="U40">
        <v>-5.0140379999999998E-2</v>
      </c>
      <c r="V40">
        <v>1.2878570000000001E-2</v>
      </c>
      <c r="W40">
        <v>0.13849500000000001</v>
      </c>
      <c r="X40">
        <v>0.99027940000000003</v>
      </c>
      <c r="Y40">
        <v>1.4505860000000001E-2</v>
      </c>
      <c r="Z40">
        <v>-5.6994160000000001E-4</v>
      </c>
      <c r="AA40">
        <v>0.99989459999999997</v>
      </c>
      <c r="AB40">
        <v>3</v>
      </c>
      <c r="AC40">
        <v>0.71629999999998895</v>
      </c>
      <c r="AD40">
        <v>-7.78969999999998E-2</v>
      </c>
      <c r="AE40">
        <v>-1.2200000000007E-2</v>
      </c>
      <c r="AF40">
        <v>1.0801698678408999E-2</v>
      </c>
      <c r="AG40">
        <v>-7.78969999999998E-2</v>
      </c>
      <c r="AH40">
        <v>0.70795045560374903</v>
      </c>
      <c r="AI40">
        <v>96.278368758189401</v>
      </c>
      <c r="AJ40">
        <v>89.125865769049696</v>
      </c>
      <c r="AK40">
        <v>0.71230503781237897</v>
      </c>
      <c r="AL40">
        <v>82.039232313165101</v>
      </c>
      <c r="AM40">
        <v>89.254911177777601</v>
      </c>
      <c r="AN40">
        <v>1.0000000063273</v>
      </c>
    </row>
    <row r="41" spans="1:40" x14ac:dyDescent="0.25">
      <c r="A41" t="str">
        <f>"20190312172331731"</f>
        <v>20190312172331731</v>
      </c>
      <c r="B41" t="str">
        <f>"1552382611720122"</f>
        <v>1552382611720122</v>
      </c>
      <c r="C41" t="s">
        <v>40</v>
      </c>
      <c r="D41">
        <v>3.4838450000000001</v>
      </c>
      <c r="E41">
        <v>0.50071699999999997</v>
      </c>
      <c r="F41" t="s">
        <v>41</v>
      </c>
      <c r="G41">
        <v>-475.02280000000002</v>
      </c>
      <c r="H41">
        <v>1.0324230000000001</v>
      </c>
      <c r="I41">
        <v>367.20089999999999</v>
      </c>
      <c r="J41">
        <v>-475.73520000000002</v>
      </c>
      <c r="K41">
        <v>1.110924</v>
      </c>
      <c r="L41">
        <v>367.21339999999998</v>
      </c>
      <c r="M41">
        <v>0.99992000000000003</v>
      </c>
      <c r="N41">
        <v>0</v>
      </c>
      <c r="O41">
        <v>-1.803949E-3</v>
      </c>
      <c r="P41">
        <v>0.99187429999999999</v>
      </c>
      <c r="Q41">
        <v>0.12637789999999999</v>
      </c>
      <c r="R41">
        <v>-1.4628250000000001E-2</v>
      </c>
      <c r="S41">
        <v>3.0657960000000002</v>
      </c>
      <c r="T41">
        <v>-0.32615939999999999</v>
      </c>
      <c r="U41">
        <v>-5.0659179999999998E-2</v>
      </c>
      <c r="V41">
        <v>1.2841969999999999E-2</v>
      </c>
      <c r="W41">
        <v>0.13879059999999999</v>
      </c>
      <c r="X41">
        <v>0.99023850000000002</v>
      </c>
      <c r="Y41">
        <v>1.4645419999999999E-2</v>
      </c>
      <c r="Z41">
        <v>-5.8541599999999995E-4</v>
      </c>
      <c r="AA41">
        <v>0.99989260000000002</v>
      </c>
      <c r="AB41">
        <v>3</v>
      </c>
      <c r="AC41">
        <v>0.71240000000000203</v>
      </c>
      <c r="AD41">
        <v>-7.8501000000000098E-2</v>
      </c>
      <c r="AE41">
        <v>-1.24999999999886E-2</v>
      </c>
      <c r="AF41">
        <v>1.10802468946273E-2</v>
      </c>
      <c r="AG41">
        <v>-7.8501000000000098E-2</v>
      </c>
      <c r="AH41">
        <v>0.703877301484929</v>
      </c>
      <c r="AI41">
        <v>96.362920863961804</v>
      </c>
      <c r="AJ41">
        <v>89.0981397605577</v>
      </c>
      <c r="AK41">
        <v>0.70832791447037602</v>
      </c>
      <c r="AL41">
        <v>82.022130603997098</v>
      </c>
      <c r="AM41">
        <v>89.256997747024599</v>
      </c>
      <c r="AN41">
        <v>1.00000001686204</v>
      </c>
    </row>
    <row r="42" spans="1:40" x14ac:dyDescent="0.25">
      <c r="A42" t="str">
        <f>"20190312172331752"</f>
        <v>20190312172331752</v>
      </c>
      <c r="B42" t="str">
        <f>"1552382611749847"</f>
        <v>1552382611749847</v>
      </c>
      <c r="C42" t="s">
        <v>40</v>
      </c>
      <c r="D42">
        <v>3.5225849999999999</v>
      </c>
      <c r="E42">
        <v>0.50072079999999997</v>
      </c>
      <c r="F42" t="s">
        <v>41</v>
      </c>
      <c r="G42">
        <v>-474.99720000000002</v>
      </c>
      <c r="H42">
        <v>1.03226</v>
      </c>
      <c r="I42">
        <v>367.20100000000002</v>
      </c>
      <c r="J42">
        <v>-475.70510000000002</v>
      </c>
      <c r="K42">
        <v>1.110506</v>
      </c>
      <c r="L42">
        <v>367.2133</v>
      </c>
      <c r="M42">
        <v>0.99993279999999995</v>
      </c>
      <c r="N42">
        <v>0</v>
      </c>
      <c r="O42">
        <v>-1.8575600000000001E-3</v>
      </c>
      <c r="P42">
        <v>0.99173840000000002</v>
      </c>
      <c r="Q42">
        <v>0.12737979999999999</v>
      </c>
      <c r="R42">
        <v>-1.515472E-2</v>
      </c>
      <c r="S42">
        <v>3.0655519999999998</v>
      </c>
      <c r="T42">
        <v>-0.32711420000000002</v>
      </c>
      <c r="U42">
        <v>-5.059814E-2</v>
      </c>
      <c r="V42">
        <v>1.331776E-2</v>
      </c>
      <c r="W42">
        <v>0.13872689999999999</v>
      </c>
      <c r="X42">
        <v>0.99024109999999999</v>
      </c>
      <c r="Y42">
        <v>1.457352E-2</v>
      </c>
      <c r="Z42">
        <v>-5.776399E-4</v>
      </c>
      <c r="AA42">
        <v>0.99989360000000005</v>
      </c>
      <c r="AB42">
        <v>2</v>
      </c>
      <c r="AC42">
        <v>0.70789999999999498</v>
      </c>
      <c r="AD42">
        <v>-7.8245999999999996E-2</v>
      </c>
      <c r="AE42">
        <v>-1.2300000000038801E-2</v>
      </c>
      <c r="AF42">
        <v>1.0852377617502001E-2</v>
      </c>
      <c r="AG42">
        <v>-7.8245999999999996E-2</v>
      </c>
      <c r="AH42">
        <v>0.69937957395254102</v>
      </c>
      <c r="AI42">
        <v>96.3828953816667</v>
      </c>
      <c r="AJ42">
        <v>89.111004153071505</v>
      </c>
      <c r="AK42">
        <v>0.703826682556146</v>
      </c>
      <c r="AL42">
        <v>82.025815667403293</v>
      </c>
      <c r="AM42">
        <v>89.229475084691103</v>
      </c>
      <c r="AN42">
        <v>0.99999997582211797</v>
      </c>
    </row>
    <row r="43" spans="1:40" x14ac:dyDescent="0.25">
      <c r="A43" t="str">
        <f>"20190312172331766"</f>
        <v>20190312172331766</v>
      </c>
      <c r="B43" t="str">
        <f>"1552382611759607"</f>
        <v>1552382611759607</v>
      </c>
      <c r="C43" t="s">
        <v>40</v>
      </c>
      <c r="D43">
        <v>3.6410840000000002</v>
      </c>
      <c r="E43">
        <v>0.51403789999999905</v>
      </c>
      <c r="F43" t="s">
        <v>41</v>
      </c>
      <c r="G43">
        <v>-474.96699999999998</v>
      </c>
      <c r="H43">
        <v>1.0326879999999901</v>
      </c>
      <c r="I43">
        <v>367.2004</v>
      </c>
      <c r="J43">
        <v>-475.68490000000003</v>
      </c>
      <c r="K43">
        <v>1.11019</v>
      </c>
      <c r="L43">
        <v>367.21319999999997</v>
      </c>
      <c r="M43">
        <v>0.99994340000000004</v>
      </c>
      <c r="N43">
        <v>0</v>
      </c>
      <c r="O43">
        <v>-1.9016129999999999E-3</v>
      </c>
      <c r="P43">
        <v>0.99164430000000003</v>
      </c>
      <c r="Q43">
        <v>0.128081</v>
      </c>
      <c r="R43">
        <v>-1.5394100000000001E-2</v>
      </c>
      <c r="S43">
        <v>3.0657350000000001</v>
      </c>
      <c r="T43">
        <v>-0.32339509999999899</v>
      </c>
      <c r="U43">
        <v>-5.2215579999999998E-2</v>
      </c>
      <c r="V43">
        <v>1.3515340000000001E-2</v>
      </c>
      <c r="W43">
        <v>0.1384591</v>
      </c>
      <c r="X43">
        <v>0.99027589999999999</v>
      </c>
      <c r="Y43">
        <v>1.505509E-2</v>
      </c>
      <c r="Z43">
        <v>-5.9176859999999999E-4</v>
      </c>
      <c r="AA43">
        <v>0.99988650000000001</v>
      </c>
      <c r="AB43">
        <v>3</v>
      </c>
      <c r="AC43">
        <v>0.71790000000004195</v>
      </c>
      <c r="AD43">
        <v>-7.7502000000000099E-2</v>
      </c>
      <c r="AE43">
        <v>-1.2799999999970099E-2</v>
      </c>
      <c r="AF43">
        <v>1.1303043329168099E-2</v>
      </c>
      <c r="AG43">
        <v>-7.7502000000000099E-2</v>
      </c>
      <c r="AH43">
        <v>0.70965491777156797</v>
      </c>
      <c r="AI43">
        <v>96.231834730001196</v>
      </c>
      <c r="AJ43">
        <v>89.087497448703999</v>
      </c>
      <c r="AK43">
        <v>0.71396387941538897</v>
      </c>
      <c r="AL43">
        <v>82.041308970174995</v>
      </c>
      <c r="AM43">
        <v>89.218072594257194</v>
      </c>
      <c r="AN43">
        <v>0.99999997245446703</v>
      </c>
    </row>
    <row r="44" spans="1:40" x14ac:dyDescent="0.25">
      <c r="A44" t="str">
        <f>"20190312172331787"</f>
        <v>20190312172331787</v>
      </c>
      <c r="B44" t="str">
        <f>"1552382611780104"</f>
        <v>1552382611780104</v>
      </c>
      <c r="C44" t="s">
        <v>40</v>
      </c>
      <c r="D44">
        <v>3.5247310000000001</v>
      </c>
      <c r="E44">
        <v>0.53147549999999999</v>
      </c>
      <c r="F44" t="s">
        <v>41</v>
      </c>
      <c r="G44">
        <v>-474.94229999999999</v>
      </c>
      <c r="H44">
        <v>1.017989</v>
      </c>
      <c r="I44">
        <v>367.17439999999999</v>
      </c>
      <c r="J44">
        <v>-475.65</v>
      </c>
      <c r="K44">
        <v>1.1098349999999999</v>
      </c>
      <c r="L44">
        <v>367.2131</v>
      </c>
      <c r="M44">
        <v>0.99995599999999996</v>
      </c>
      <c r="N44">
        <v>0</v>
      </c>
      <c r="O44">
        <v>-1.9849450000000001E-3</v>
      </c>
      <c r="P44">
        <v>0.99148650000000005</v>
      </c>
      <c r="Q44">
        <v>0.12928419999999999</v>
      </c>
      <c r="R44">
        <v>-1.549526E-2</v>
      </c>
      <c r="S44">
        <v>3.0721440000000002</v>
      </c>
      <c r="T44">
        <v>-0.3816522</v>
      </c>
      <c r="U44">
        <v>-0.15908810000000001</v>
      </c>
      <c r="V44">
        <v>1.3537510000000001E-2</v>
      </c>
      <c r="W44">
        <v>0.13836979999999999</v>
      </c>
      <c r="X44">
        <v>0.9902881</v>
      </c>
      <c r="Y44">
        <v>4.9369059999999999E-2</v>
      </c>
      <c r="Z44">
        <v>-2.807305E-3</v>
      </c>
      <c r="AA44">
        <v>0.99877669999999996</v>
      </c>
      <c r="AB44">
        <v>3</v>
      </c>
      <c r="AC44">
        <v>0.70769999999998801</v>
      </c>
      <c r="AD44">
        <v>-9.1846000000000094E-2</v>
      </c>
      <c r="AE44">
        <v>-3.8700000000005702E-2</v>
      </c>
      <c r="AF44">
        <v>3.6679170007918302E-2</v>
      </c>
      <c r="AG44">
        <v>-9.1846000000000094E-2</v>
      </c>
      <c r="AH44">
        <v>0.69608613115654805</v>
      </c>
      <c r="AI44">
        <v>97.506252354500901</v>
      </c>
      <c r="AJ44">
        <v>86.983678149273402</v>
      </c>
      <c r="AK44">
        <v>0.70307677476713804</v>
      </c>
      <c r="AL44">
        <v>82.046475379028095</v>
      </c>
      <c r="AM44">
        <v>89.216799760467396</v>
      </c>
      <c r="AN44">
        <v>0.99999999336532497</v>
      </c>
    </row>
    <row r="45" spans="1:40" x14ac:dyDescent="0.25">
      <c r="A45" t="str">
        <f>"20190312172331810"</f>
        <v>20190312172331810</v>
      </c>
      <c r="B45" t="str">
        <f>"1552382611799626"</f>
        <v>1552382611799626</v>
      </c>
      <c r="C45" t="s">
        <v>40</v>
      </c>
      <c r="D45">
        <v>3.5798369999999999</v>
      </c>
      <c r="E45">
        <v>0.54046419999999995</v>
      </c>
      <c r="F45" t="s">
        <v>41</v>
      </c>
      <c r="G45">
        <v>-474.92020000000002</v>
      </c>
      <c r="H45">
        <v>0.99786870000000005</v>
      </c>
      <c r="I45">
        <v>367.14179999999999</v>
      </c>
      <c r="J45">
        <v>-475.61509999999998</v>
      </c>
      <c r="K45">
        <v>1.109912</v>
      </c>
      <c r="L45">
        <v>367.21289999999999</v>
      </c>
      <c r="M45">
        <v>0.99995590000000001</v>
      </c>
      <c r="N45">
        <v>0</v>
      </c>
      <c r="O45">
        <v>-2.0632770000000001E-3</v>
      </c>
      <c r="P45">
        <v>0.99151040000000001</v>
      </c>
      <c r="Q45">
        <v>0.1290637</v>
      </c>
      <c r="R45">
        <v>-1.580666E-2</v>
      </c>
      <c r="S45">
        <v>3.0827640000000001</v>
      </c>
      <c r="T45">
        <v>-0.47315669999999999</v>
      </c>
      <c r="U45">
        <v>-0.29885859999999997</v>
      </c>
      <c r="V45">
        <v>1.3772400000000001E-2</v>
      </c>
      <c r="W45">
        <v>0.13814409999999999</v>
      </c>
      <c r="X45">
        <v>0.99031639999999999</v>
      </c>
      <c r="Y45">
        <v>9.3379359999999995E-2</v>
      </c>
      <c r="Z45">
        <v>-6.79394E-3</v>
      </c>
      <c r="AA45">
        <v>0.99560740000000003</v>
      </c>
      <c r="AB45">
        <v>4</v>
      </c>
      <c r="AC45">
        <v>0.69489999999996099</v>
      </c>
      <c r="AD45">
        <v>-0.1120433</v>
      </c>
      <c r="AE45">
        <v>-7.1100000000001204E-2</v>
      </c>
      <c r="AF45">
        <v>6.7918614220849105E-2</v>
      </c>
      <c r="AG45">
        <v>-0.1120433</v>
      </c>
      <c r="AH45">
        <v>0.67761170233043799</v>
      </c>
      <c r="AI45">
        <v>99.342939716477105</v>
      </c>
      <c r="AJ45">
        <v>84.276226224161206</v>
      </c>
      <c r="AK45">
        <v>0.69016248693168203</v>
      </c>
      <c r="AL45">
        <v>82.059532658121199</v>
      </c>
      <c r="AM45">
        <v>89.203234918397897</v>
      </c>
      <c r="AN45">
        <v>1.00000002173776</v>
      </c>
    </row>
    <row r="46" spans="1:40" x14ac:dyDescent="0.25">
      <c r="A46" t="str">
        <f>"20190312172331823"</f>
        <v>20190312172331823</v>
      </c>
      <c r="B46" t="str">
        <f>"1552382611820120"</f>
        <v>1552382611820120</v>
      </c>
      <c r="C46" t="s">
        <v>40</v>
      </c>
      <c r="D46">
        <v>3.5925560000000001</v>
      </c>
      <c r="E46">
        <v>0.54625699999999999</v>
      </c>
      <c r="F46" t="s">
        <v>41</v>
      </c>
      <c r="G46">
        <v>-474.89760000000001</v>
      </c>
      <c r="H46">
        <v>0.9868401</v>
      </c>
      <c r="I46">
        <v>367.12639999999999</v>
      </c>
      <c r="J46">
        <v>-475.5976</v>
      </c>
      <c r="K46">
        <v>1.110155</v>
      </c>
      <c r="L46">
        <v>367.21280000000002</v>
      </c>
      <c r="M46">
        <v>0.99994930000000004</v>
      </c>
      <c r="N46">
        <v>0</v>
      </c>
      <c r="O46">
        <v>-2.0965889999999998E-3</v>
      </c>
      <c r="P46">
        <v>0.99162499999999998</v>
      </c>
      <c r="Q46">
        <v>0.1281523</v>
      </c>
      <c r="R46">
        <v>-1.6027010000000001E-2</v>
      </c>
      <c r="S46">
        <v>3.0887150000000001</v>
      </c>
      <c r="T46">
        <v>-0.52996769999999904</v>
      </c>
      <c r="U46">
        <v>-0.37146000000000001</v>
      </c>
      <c r="V46">
        <v>1.3958430000000001E-2</v>
      </c>
      <c r="W46">
        <v>0.13791879999999901</v>
      </c>
      <c r="X46">
        <v>0.99034520000000004</v>
      </c>
      <c r="Y46">
        <v>0.115685</v>
      </c>
      <c r="Z46">
        <v>-9.4622419999999992E-3</v>
      </c>
      <c r="AA46">
        <v>0.99324089999999998</v>
      </c>
      <c r="AB46">
        <v>4</v>
      </c>
      <c r="AC46">
        <v>0.69999999999998797</v>
      </c>
      <c r="AD46">
        <v>-0.12331489999999901</v>
      </c>
      <c r="AE46">
        <v>-8.6400000000025998E-2</v>
      </c>
      <c r="AF46">
        <v>8.2412919264317E-2</v>
      </c>
      <c r="AG46">
        <v>-0.12331489999999901</v>
      </c>
      <c r="AH46">
        <v>0.67941129494720198</v>
      </c>
      <c r="AI46">
        <v>100.214064863438</v>
      </c>
      <c r="AJ46">
        <v>83.083783397301602</v>
      </c>
      <c r="AK46">
        <v>0.695412224170319</v>
      </c>
      <c r="AL46">
        <v>82.072566174973502</v>
      </c>
      <c r="AM46">
        <v>89.192497550177805</v>
      </c>
      <c r="AN46">
        <v>1.00000002416227</v>
      </c>
    </row>
    <row r="47" spans="1:40" x14ac:dyDescent="0.25">
      <c r="A47" t="str">
        <f>"20190312172331845"</f>
        <v>20190312172331845</v>
      </c>
      <c r="B47" t="str">
        <f>"1552382611840153"</f>
        <v>1552382611840153</v>
      </c>
      <c r="C47" t="s">
        <v>40</v>
      </c>
      <c r="D47">
        <v>3.5658669999999999</v>
      </c>
      <c r="E47">
        <v>0.54960359999999997</v>
      </c>
      <c r="F47" t="s">
        <v>41</v>
      </c>
      <c r="G47">
        <v>-474.87560000000002</v>
      </c>
      <c r="H47">
        <v>0.98142580000000001</v>
      </c>
      <c r="I47">
        <v>367.11470000000003</v>
      </c>
      <c r="J47">
        <v>-475.57</v>
      </c>
      <c r="K47">
        <v>1.110584</v>
      </c>
      <c r="L47">
        <v>367.21269999999998</v>
      </c>
      <c r="M47">
        <v>0.99993330000000002</v>
      </c>
      <c r="N47">
        <v>0</v>
      </c>
      <c r="O47">
        <v>-2.1400709999999999E-3</v>
      </c>
      <c r="P47">
        <v>0.99179430000000002</v>
      </c>
      <c r="Q47">
        <v>0.1267578</v>
      </c>
      <c r="R47">
        <v>-1.663278E-2</v>
      </c>
      <c r="S47">
        <v>3.0898129999999999</v>
      </c>
      <c r="T47">
        <v>-0.55095509999999903</v>
      </c>
      <c r="U47">
        <v>-0.4187012</v>
      </c>
      <c r="V47">
        <v>1.451737E-2</v>
      </c>
      <c r="W47">
        <v>0.13800809999999999</v>
      </c>
      <c r="X47">
        <v>0.99032469999999995</v>
      </c>
      <c r="Y47">
        <v>0.1301784</v>
      </c>
      <c r="Z47">
        <v>-1.1087329999999999E-2</v>
      </c>
      <c r="AA47">
        <v>0.99142859999999999</v>
      </c>
      <c r="AB47">
        <v>3</v>
      </c>
      <c r="AC47">
        <v>0.69439999999997304</v>
      </c>
      <c r="AD47">
        <v>-0.1291582</v>
      </c>
      <c r="AE47">
        <v>-9.7999999999956303E-2</v>
      </c>
      <c r="AF47">
        <v>9.3347248891283596E-2</v>
      </c>
      <c r="AG47">
        <v>-0.1291582</v>
      </c>
      <c r="AH47">
        <v>0.67181982756519598</v>
      </c>
      <c r="AI47">
        <v>100.78129452532001</v>
      </c>
      <c r="AJ47">
        <v>82.089579237475704</v>
      </c>
      <c r="AK47">
        <v>0.69046175144792898</v>
      </c>
      <c r="AL47">
        <v>82.067400073615602</v>
      </c>
      <c r="AM47">
        <v>89.160149739768798</v>
      </c>
      <c r="AN47">
        <v>1.0000000005637</v>
      </c>
    </row>
    <row r="48" spans="1:40" x14ac:dyDescent="0.25">
      <c r="A48" t="str">
        <f>"20190312172331866"</f>
        <v>20190312172331866</v>
      </c>
      <c r="B48" t="str">
        <f>"1552382611859672"</f>
        <v>1552382611859672</v>
      </c>
      <c r="C48" t="s">
        <v>40</v>
      </c>
      <c r="D48">
        <v>3.5825089999999902</v>
      </c>
      <c r="E48">
        <v>0.55197669999999999</v>
      </c>
      <c r="F48" t="s">
        <v>41</v>
      </c>
      <c r="G48">
        <v>-474.84840000000003</v>
      </c>
      <c r="H48">
        <v>0.97732200000000002</v>
      </c>
      <c r="I48">
        <v>367.10789999999997</v>
      </c>
      <c r="J48">
        <v>-475.53750000000002</v>
      </c>
      <c r="K48">
        <v>1.1103609999999999</v>
      </c>
      <c r="L48">
        <v>367.21249999999998</v>
      </c>
      <c r="M48">
        <v>0.99994000000000005</v>
      </c>
      <c r="N48">
        <v>0</v>
      </c>
      <c r="O48">
        <v>-2.201073E-3</v>
      </c>
      <c r="P48">
        <v>0.99172070000000001</v>
      </c>
      <c r="Q48">
        <v>0.12727649999999999</v>
      </c>
      <c r="R48">
        <v>-1.7061509999999998E-2</v>
      </c>
      <c r="S48">
        <v>3.0902400000000001</v>
      </c>
      <c r="T48">
        <v>-0.57082140000000003</v>
      </c>
      <c r="U48">
        <v>-0.44708249999999999</v>
      </c>
      <c r="V48">
        <v>1.488688E-2</v>
      </c>
      <c r="W48">
        <v>0.13791410000000001</v>
      </c>
      <c r="X48">
        <v>0.99033230000000005</v>
      </c>
      <c r="Y48">
        <v>0.13874330000000001</v>
      </c>
      <c r="Z48">
        <v>-1.224135E-2</v>
      </c>
      <c r="AA48">
        <v>0.99025269999999999</v>
      </c>
      <c r="AB48">
        <v>3</v>
      </c>
      <c r="AC48">
        <v>0.68909999999999605</v>
      </c>
      <c r="AD48">
        <v>-0.13303899999999999</v>
      </c>
      <c r="AE48">
        <v>-0.104600000000004</v>
      </c>
      <c r="AF48">
        <v>9.9459254715238796E-2</v>
      </c>
      <c r="AG48">
        <v>-0.13303899999999999</v>
      </c>
      <c r="AH48">
        <v>0.66509679614067696</v>
      </c>
      <c r="AI48">
        <v>101.190320475329</v>
      </c>
      <c r="AJ48">
        <v>81.494954941074297</v>
      </c>
      <c r="AK48">
        <v>0.68552554081237804</v>
      </c>
      <c r="AL48">
        <v>82.072837801145397</v>
      </c>
      <c r="AM48">
        <v>89.138782854838496</v>
      </c>
      <c r="AN48">
        <v>0.99999999129911699</v>
      </c>
    </row>
    <row r="49" spans="1:40" x14ac:dyDescent="0.25">
      <c r="A49" t="str">
        <f>"20190312172331888"</f>
        <v>20190312172331888</v>
      </c>
      <c r="B49" t="str">
        <f>"1552382611880169"</f>
        <v>1552382611880169</v>
      </c>
      <c r="C49" t="s">
        <v>40</v>
      </c>
      <c r="D49">
        <v>3.5791490000000001</v>
      </c>
      <c r="E49">
        <v>0.55345310000000003</v>
      </c>
      <c r="F49" t="s">
        <v>41</v>
      </c>
      <c r="G49">
        <v>-474.81619999999998</v>
      </c>
      <c r="H49">
        <v>0.97476839999999998</v>
      </c>
      <c r="I49">
        <v>367.1035</v>
      </c>
      <c r="J49">
        <v>-475.49919999999997</v>
      </c>
      <c r="K49">
        <v>1.1099110000000001</v>
      </c>
      <c r="L49">
        <v>367.2124</v>
      </c>
      <c r="M49">
        <v>0.9999555</v>
      </c>
      <c r="N49">
        <v>0</v>
      </c>
      <c r="O49">
        <v>-2.2883790000000001E-3</v>
      </c>
      <c r="P49">
        <v>0.99155559999999998</v>
      </c>
      <c r="Q49">
        <v>0.12853100000000001</v>
      </c>
      <c r="R49">
        <v>-1.723879E-2</v>
      </c>
      <c r="S49">
        <v>3.0916440000000001</v>
      </c>
      <c r="T49">
        <v>-0.58131790000000005</v>
      </c>
      <c r="U49">
        <v>-0.46694950000000002</v>
      </c>
      <c r="V49">
        <v>1.498059E-2</v>
      </c>
      <c r="W49">
        <v>0.13759959999999999</v>
      </c>
      <c r="X49">
        <v>0.99037459999999999</v>
      </c>
      <c r="Y49">
        <v>0.14463980000000001</v>
      </c>
      <c r="Z49">
        <v>-1.298183E-2</v>
      </c>
      <c r="AA49">
        <v>0.98939920000000003</v>
      </c>
      <c r="AB49">
        <v>3</v>
      </c>
      <c r="AC49">
        <v>0.68299999999999195</v>
      </c>
      <c r="AD49">
        <v>-0.1351426</v>
      </c>
      <c r="AE49">
        <v>-0.10890000000000501</v>
      </c>
      <c r="AF49">
        <v>0.10338924459672599</v>
      </c>
      <c r="AG49">
        <v>-0.1351426</v>
      </c>
      <c r="AH49">
        <v>0.65812014123119</v>
      </c>
      <c r="AI49">
        <v>101.46732132282099</v>
      </c>
      <c r="AJ49">
        <v>81.071927735489894</v>
      </c>
      <c r="AK49">
        <v>0.67976097161223004</v>
      </c>
      <c r="AL49">
        <v>82.091030510677797</v>
      </c>
      <c r="AM49">
        <v>89.133399494878006</v>
      </c>
      <c r="AN49">
        <v>0.99999995816103304</v>
      </c>
    </row>
    <row r="50" spans="1:40" x14ac:dyDescent="0.25">
      <c r="A50" t="str">
        <f>"20190312172331911"</f>
        <v>20190312172331911</v>
      </c>
      <c r="B50" t="str">
        <f>"1552382611899689"</f>
        <v>1552382611899689</v>
      </c>
      <c r="C50" t="s">
        <v>40</v>
      </c>
      <c r="D50">
        <v>3.595421</v>
      </c>
      <c r="E50">
        <v>0.55460529999999997</v>
      </c>
      <c r="F50" t="s">
        <v>41</v>
      </c>
      <c r="G50">
        <v>-474.78050000000002</v>
      </c>
      <c r="H50">
        <v>0.97406899999999996</v>
      </c>
      <c r="I50">
        <v>367.10070000000002</v>
      </c>
      <c r="J50">
        <v>-475.45949999999999</v>
      </c>
      <c r="K50">
        <v>1.1097170000000001</v>
      </c>
      <c r="L50">
        <v>367.2122</v>
      </c>
      <c r="M50">
        <v>0.99996339999999995</v>
      </c>
      <c r="N50">
        <v>0</v>
      </c>
      <c r="O50">
        <v>-2.3802850000000002E-3</v>
      </c>
      <c r="P50">
        <v>0.99141349999999995</v>
      </c>
      <c r="Q50">
        <v>0.12960539999999901</v>
      </c>
      <c r="R50">
        <v>-1.7366320000000001E-2</v>
      </c>
      <c r="S50">
        <v>3.093048</v>
      </c>
      <c r="T50">
        <v>-0.58476019999999995</v>
      </c>
      <c r="U50">
        <v>-0.4797363</v>
      </c>
      <c r="V50">
        <v>1.5018699999999999E-2</v>
      </c>
      <c r="W50">
        <v>0.13774410000000001</v>
      </c>
      <c r="X50">
        <v>0.99035399999999996</v>
      </c>
      <c r="Y50">
        <v>0.1483902</v>
      </c>
      <c r="Z50">
        <v>-1.337993E-2</v>
      </c>
      <c r="AA50">
        <v>0.98883840000000001</v>
      </c>
      <c r="AB50">
        <v>4</v>
      </c>
      <c r="AC50">
        <v>0.67899999999997296</v>
      </c>
      <c r="AD50">
        <v>-0.13564799999999999</v>
      </c>
      <c r="AE50">
        <v>-0.11149999999997801</v>
      </c>
      <c r="AF50">
        <v>0.105772814278696</v>
      </c>
      <c r="AG50">
        <v>-0.13564799999999999</v>
      </c>
      <c r="AH50">
        <v>0.653853086001152</v>
      </c>
      <c r="AI50">
        <v>101.573968305138</v>
      </c>
      <c r="AJ50">
        <v>80.810953673107505</v>
      </c>
      <c r="AK50">
        <v>0.67610067757521497</v>
      </c>
      <c r="AL50">
        <v>82.082672184167393</v>
      </c>
      <c r="AM50">
        <v>89.131177167680505</v>
      </c>
      <c r="AN50">
        <v>1.0000000218752401</v>
      </c>
    </row>
    <row r="51" spans="1:40" x14ac:dyDescent="0.25">
      <c r="A51" t="str">
        <f>"20190312172331933"</f>
        <v>20190312172331933</v>
      </c>
      <c r="B51" t="str">
        <f>"1552382611929945"</f>
        <v>1552382611929945</v>
      </c>
      <c r="C51" t="s">
        <v>40</v>
      </c>
      <c r="D51">
        <v>3.6064099999999999</v>
      </c>
      <c r="E51">
        <v>0.55571870000000001</v>
      </c>
      <c r="F51" t="s">
        <v>41</v>
      </c>
      <c r="G51">
        <v>-474.74630000000002</v>
      </c>
      <c r="H51">
        <v>0.97453389999999995</v>
      </c>
      <c r="I51">
        <v>367.09890000000001</v>
      </c>
      <c r="J51">
        <v>-475.42450000000002</v>
      </c>
      <c r="K51">
        <v>1.110025</v>
      </c>
      <c r="L51">
        <v>367.21199999999999</v>
      </c>
      <c r="M51">
        <v>0.99995679999999998</v>
      </c>
      <c r="N51">
        <v>0</v>
      </c>
      <c r="O51">
        <v>-2.4484350000000001E-3</v>
      </c>
      <c r="P51">
        <v>0.99151060000000002</v>
      </c>
      <c r="Q51">
        <v>0.1288695</v>
      </c>
      <c r="R51">
        <v>-1.731796E-2</v>
      </c>
      <c r="S51">
        <v>3.0940859999999999</v>
      </c>
      <c r="T51">
        <v>-0.58644039999999997</v>
      </c>
      <c r="U51">
        <v>-0.49017329999999998</v>
      </c>
      <c r="V51">
        <v>1.490034E-2</v>
      </c>
      <c r="W51">
        <v>0.13775119999999999</v>
      </c>
      <c r="X51">
        <v>0.99035479999999998</v>
      </c>
      <c r="Y51">
        <v>0.15146409999999999</v>
      </c>
      <c r="Z51">
        <v>-1.368422E-2</v>
      </c>
      <c r="AA51">
        <v>0.98836800000000002</v>
      </c>
      <c r="AB51">
        <v>4</v>
      </c>
      <c r="AC51">
        <v>0.67820000000000302</v>
      </c>
      <c r="AD51">
        <v>-0.1354911</v>
      </c>
      <c r="AE51">
        <v>-0.113099999999974</v>
      </c>
      <c r="AF51">
        <v>0.107273395044703</v>
      </c>
      <c r="AG51">
        <v>-0.1354911</v>
      </c>
      <c r="AH51">
        <v>0.65311302796270798</v>
      </c>
      <c r="AI51">
        <v>101.569252876234</v>
      </c>
      <c r="AJ51">
        <v>80.672488729620795</v>
      </c>
      <c r="AK51">
        <v>0.67559014702572795</v>
      </c>
      <c r="AL51">
        <v>82.082261466414593</v>
      </c>
      <c r="AM51">
        <v>89.138023882045601</v>
      </c>
      <c r="AN51">
        <v>1.00000002155829</v>
      </c>
    </row>
    <row r="52" spans="1:40" x14ac:dyDescent="0.25">
      <c r="A52" t="str">
        <f>"20190312172331955"</f>
        <v>20190312172331955</v>
      </c>
      <c r="B52" t="str">
        <f>"1552382611949465"</f>
        <v>1552382611949465</v>
      </c>
      <c r="C52" t="s">
        <v>40</v>
      </c>
      <c r="D52">
        <v>3.5522969999999998</v>
      </c>
      <c r="E52">
        <v>0.55633920000000003</v>
      </c>
      <c r="F52" t="s">
        <v>41</v>
      </c>
      <c r="G52">
        <v>-474.71660000000003</v>
      </c>
      <c r="H52">
        <v>0.97388350000000001</v>
      </c>
      <c r="I52">
        <v>367.09769999999997</v>
      </c>
      <c r="J52">
        <v>-475.39460000000003</v>
      </c>
      <c r="K52">
        <v>1.110555</v>
      </c>
      <c r="L52">
        <v>367.21190000000001</v>
      </c>
      <c r="M52">
        <v>0.99993960000000004</v>
      </c>
      <c r="N52">
        <v>0</v>
      </c>
      <c r="O52">
        <v>-2.4959169999999998E-3</v>
      </c>
      <c r="P52">
        <v>0.99170670000000005</v>
      </c>
      <c r="Q52">
        <v>0.1272913</v>
      </c>
      <c r="R52">
        <v>-1.7754249999999999E-2</v>
      </c>
      <c r="S52">
        <v>3.0943299999999998</v>
      </c>
      <c r="T52">
        <v>-0.59510339999999995</v>
      </c>
      <c r="U52">
        <v>-0.49832149999999997</v>
      </c>
      <c r="V52">
        <v>1.5285129999999999E-2</v>
      </c>
      <c r="W52">
        <v>0.1379099</v>
      </c>
      <c r="X52">
        <v>0.99032679999999995</v>
      </c>
      <c r="Y52">
        <v>0.15382660000000001</v>
      </c>
      <c r="Z52">
        <v>-1.4093670000000001E-2</v>
      </c>
      <c r="AA52">
        <v>0.98799740000000003</v>
      </c>
      <c r="AB52">
        <v>4</v>
      </c>
      <c r="AC52">
        <v>0.67799999999999705</v>
      </c>
      <c r="AD52">
        <v>-0.1366715</v>
      </c>
      <c r="AE52">
        <v>-0.11420000000003901</v>
      </c>
      <c r="AF52">
        <v>0.108230728256173</v>
      </c>
      <c r="AG52">
        <v>-0.1366715</v>
      </c>
      <c r="AH52">
        <v>0.65250029265658005</v>
      </c>
      <c r="AI52">
        <v>101.67498937959201</v>
      </c>
      <c r="AJ52">
        <v>80.582052361190307</v>
      </c>
      <c r="AK52">
        <v>0.67538849662104405</v>
      </c>
      <c r="AL52">
        <v>82.073080621134096</v>
      </c>
      <c r="AM52">
        <v>89.1157424947816</v>
      </c>
      <c r="AN52">
        <v>0.99999997325768297</v>
      </c>
    </row>
    <row r="53" spans="1:40" x14ac:dyDescent="0.25">
      <c r="A53" t="str">
        <f>"20190312172331977"</f>
        <v>20190312172331977</v>
      </c>
      <c r="B53" t="str">
        <f>"1552382611969961"</f>
        <v>1552382611969961</v>
      </c>
      <c r="C53" t="s">
        <v>40</v>
      </c>
      <c r="D53">
        <v>3.549744</v>
      </c>
      <c r="E53">
        <v>0.55705539999999998</v>
      </c>
      <c r="F53" t="s">
        <v>41</v>
      </c>
      <c r="G53">
        <v>-474.69009999999997</v>
      </c>
      <c r="H53">
        <v>0.97336800000000001</v>
      </c>
      <c r="I53">
        <v>367.09649999999999</v>
      </c>
      <c r="J53">
        <v>-475.36599999999999</v>
      </c>
      <c r="K53">
        <v>1.111078</v>
      </c>
      <c r="L53">
        <v>367.21179999999998</v>
      </c>
      <c r="M53">
        <v>0.99991479999999999</v>
      </c>
      <c r="N53">
        <v>0</v>
      </c>
      <c r="O53">
        <v>-2.5317640000000001E-3</v>
      </c>
      <c r="P53">
        <v>0.99199590000000004</v>
      </c>
      <c r="Q53">
        <v>0.1250484</v>
      </c>
      <c r="R53">
        <v>-1.7530520000000001E-2</v>
      </c>
      <c r="S53">
        <v>3.093445</v>
      </c>
      <c r="T53">
        <v>-0.60255590000000003</v>
      </c>
      <c r="U53">
        <v>-0.50430299999999995</v>
      </c>
      <c r="V53">
        <v>1.5020260000000001E-2</v>
      </c>
      <c r="W53">
        <v>0.13774790000000001</v>
      </c>
      <c r="X53">
        <v>0.99035340000000005</v>
      </c>
      <c r="Y53">
        <v>0.15559700000000001</v>
      </c>
      <c r="Z53">
        <v>-1.4431660000000001E-2</v>
      </c>
      <c r="AA53">
        <v>0.98771520000000002</v>
      </c>
      <c r="AB53">
        <v>3</v>
      </c>
      <c r="AC53">
        <v>0.67590000000001205</v>
      </c>
      <c r="AD53">
        <v>-0.13771</v>
      </c>
      <c r="AE53">
        <v>-0.11529999999998999</v>
      </c>
      <c r="AF53">
        <v>0.109184063835807</v>
      </c>
      <c r="AG53">
        <v>-0.13771</v>
      </c>
      <c r="AH53">
        <v>0.649971572469762</v>
      </c>
      <c r="AI53">
        <v>101.801780029041</v>
      </c>
      <c r="AJ53">
        <v>80.464321037081604</v>
      </c>
      <c r="AK53">
        <v>0.67331140560257696</v>
      </c>
      <c r="AL53">
        <v>82.082451987524095</v>
      </c>
      <c r="AM53">
        <v>89.131086410101702</v>
      </c>
      <c r="AN53">
        <v>0.99999997452821798</v>
      </c>
    </row>
    <row r="54" spans="1:40" x14ac:dyDescent="0.25">
      <c r="A54" t="str">
        <f>"20190312172332000"</f>
        <v>20190312172332000</v>
      </c>
      <c r="B54" t="str">
        <f>"1552382611989481"</f>
        <v>1552382611989481</v>
      </c>
      <c r="C54" t="s">
        <v>40</v>
      </c>
      <c r="D54">
        <v>3.5558610000000002</v>
      </c>
      <c r="E54">
        <v>0.5576217</v>
      </c>
      <c r="F54" t="s">
        <v>41</v>
      </c>
      <c r="G54">
        <v>-474.66629999999998</v>
      </c>
      <c r="H54">
        <v>0.97277309999999995</v>
      </c>
      <c r="I54">
        <v>367.096</v>
      </c>
      <c r="J54">
        <v>-475.33510000000001</v>
      </c>
      <c r="K54">
        <v>1.1109089999999999</v>
      </c>
      <c r="L54">
        <v>367.21159999999998</v>
      </c>
      <c r="M54">
        <v>0.99991580000000002</v>
      </c>
      <c r="N54">
        <v>0</v>
      </c>
      <c r="O54">
        <v>-2.5731069999999998E-3</v>
      </c>
      <c r="P54">
        <v>0.99196569999999995</v>
      </c>
      <c r="Q54">
        <v>0.1252741</v>
      </c>
      <c r="R54">
        <v>-1.7632140000000001E-2</v>
      </c>
      <c r="S54">
        <v>3.092285</v>
      </c>
      <c r="T54">
        <v>-0.61136080000000004</v>
      </c>
      <c r="U54">
        <v>-0.50942989999999999</v>
      </c>
      <c r="V54">
        <v>1.5082140000000001E-2</v>
      </c>
      <c r="W54">
        <v>0.1378867</v>
      </c>
      <c r="X54">
        <v>0.99033309999999997</v>
      </c>
      <c r="Y54">
        <v>0.15709909999999999</v>
      </c>
      <c r="Z54">
        <v>-1.4780130000000001E-2</v>
      </c>
      <c r="AA54">
        <v>0.98747220000000002</v>
      </c>
      <c r="AB54">
        <v>3</v>
      </c>
      <c r="AC54">
        <v>0.66880000000003204</v>
      </c>
      <c r="AD54">
        <v>-0.13813589999999901</v>
      </c>
      <c r="AE54">
        <v>-0.115599999999972</v>
      </c>
      <c r="AF54">
        <v>0.109349078843244</v>
      </c>
      <c r="AG54">
        <v>-0.13813589999999901</v>
      </c>
      <c r="AH54">
        <v>0.64248208761852499</v>
      </c>
      <c r="AI54">
        <v>101.967047895573</v>
      </c>
      <c r="AJ54">
        <v>80.3409367132722</v>
      </c>
      <c r="AK54">
        <v>0.66619965537617498</v>
      </c>
      <c r="AL54">
        <v>82.074422367685301</v>
      </c>
      <c r="AM54">
        <v>89.127489357428601</v>
      </c>
      <c r="AN54">
        <v>0.99999993096973705</v>
      </c>
    </row>
    <row r="55" spans="1:40" x14ac:dyDescent="0.25">
      <c r="A55" t="str">
        <f>"20190312172332022"</f>
        <v>20190312172332022</v>
      </c>
      <c r="B55" t="str">
        <f>"1552382612009976"</f>
        <v>1552382612009976</v>
      </c>
      <c r="C55" t="s">
        <v>40</v>
      </c>
      <c r="D55">
        <v>3.5468380000000002</v>
      </c>
      <c r="E55">
        <v>0.55808869999999999</v>
      </c>
      <c r="F55" t="s">
        <v>41</v>
      </c>
      <c r="G55">
        <v>-474.63729999999998</v>
      </c>
      <c r="H55">
        <v>0.97286879999999998</v>
      </c>
      <c r="I55">
        <v>367.09519999999998</v>
      </c>
      <c r="J55">
        <v>-475.29910000000001</v>
      </c>
      <c r="K55">
        <v>1.110368</v>
      </c>
      <c r="L55">
        <v>367.2115</v>
      </c>
      <c r="M55">
        <v>0.9999344</v>
      </c>
      <c r="N55">
        <v>0</v>
      </c>
      <c r="O55">
        <v>-2.6418549999999998E-3</v>
      </c>
      <c r="P55">
        <v>0.99185199999999996</v>
      </c>
      <c r="Q55">
        <v>0.12619820000000001</v>
      </c>
      <c r="R55">
        <v>-1.7437810000000002E-2</v>
      </c>
      <c r="S55">
        <v>3.0924680000000002</v>
      </c>
      <c r="T55">
        <v>-0.61187579999999997</v>
      </c>
      <c r="U55">
        <v>-0.51422120000000004</v>
      </c>
      <c r="V55">
        <v>1.482325E-2</v>
      </c>
      <c r="W55">
        <v>0.13725709999999999</v>
      </c>
      <c r="X55">
        <v>0.99042450000000004</v>
      </c>
      <c r="Y55">
        <v>0.1584825</v>
      </c>
      <c r="Z55">
        <v>-1.4910970000000001E-2</v>
      </c>
      <c r="AA55">
        <v>0.98724920000000005</v>
      </c>
      <c r="AB55">
        <v>3</v>
      </c>
      <c r="AC55">
        <v>0.66180000000002703</v>
      </c>
      <c r="AD55">
        <v>-0.13749919999999999</v>
      </c>
      <c r="AE55">
        <v>-0.116300000000023</v>
      </c>
      <c r="AF55">
        <v>0.109947244920265</v>
      </c>
      <c r="AG55">
        <v>-0.13749919999999999</v>
      </c>
      <c r="AH55">
        <v>0.63549465829590002</v>
      </c>
      <c r="AI55">
        <v>102.035178126912</v>
      </c>
      <c r="AJ55">
        <v>80.184394796513203</v>
      </c>
      <c r="AK55">
        <v>0.65942997155787497</v>
      </c>
      <c r="AL55">
        <v>82.110842352105394</v>
      </c>
      <c r="AM55">
        <v>89.142543164434102</v>
      </c>
      <c r="AN55">
        <v>0.99999996522060997</v>
      </c>
    </row>
    <row r="56" spans="1:40" x14ac:dyDescent="0.25">
      <c r="A56" t="str">
        <f>"20190312172332034"</f>
        <v>20190312172332034</v>
      </c>
      <c r="B56" t="str">
        <f>"1552382612030020"</f>
        <v>1552382612030020</v>
      </c>
      <c r="C56" t="s">
        <v>40</v>
      </c>
      <c r="D56">
        <v>3.576689</v>
      </c>
      <c r="E56">
        <v>0.55851759999999995</v>
      </c>
      <c r="F56" t="s">
        <v>41</v>
      </c>
      <c r="G56">
        <v>-474.57170000000002</v>
      </c>
      <c r="H56">
        <v>0.96667159999999996</v>
      </c>
      <c r="I56">
        <v>367.089</v>
      </c>
      <c r="J56">
        <v>-475.27550000000002</v>
      </c>
      <c r="K56">
        <v>1.1100939999999999</v>
      </c>
      <c r="L56">
        <v>367.21140000000003</v>
      </c>
      <c r="M56">
        <v>0.99994430000000001</v>
      </c>
      <c r="N56">
        <v>0</v>
      </c>
      <c r="O56">
        <v>-2.695055E-3</v>
      </c>
      <c r="P56">
        <v>0.99165490000000001</v>
      </c>
      <c r="Q56">
        <v>0.1277355</v>
      </c>
      <c r="R56">
        <v>-1.7447629999999999E-2</v>
      </c>
      <c r="S56">
        <v>3.0932919999999999</v>
      </c>
      <c r="T56">
        <v>-0.61110569999999997</v>
      </c>
      <c r="U56">
        <v>-0.51782229999999996</v>
      </c>
      <c r="V56">
        <v>1.47832E-2</v>
      </c>
      <c r="W56">
        <v>0.13785510000000001</v>
      </c>
      <c r="X56">
        <v>0.9903421</v>
      </c>
      <c r="Y56">
        <v>0.159497</v>
      </c>
      <c r="Z56">
        <v>-1.497559E-2</v>
      </c>
      <c r="AA56">
        <v>0.98708479999999998</v>
      </c>
      <c r="AB56">
        <v>4</v>
      </c>
      <c r="AC56">
        <v>0.70380000000000098</v>
      </c>
      <c r="AD56">
        <v>-0.14342240000000001</v>
      </c>
      <c r="AE56">
        <v>-0.122400000000027</v>
      </c>
      <c r="AF56">
        <v>0.115833619248492</v>
      </c>
      <c r="AG56">
        <v>-0.14342240000000001</v>
      </c>
      <c r="AH56">
        <v>0.67684486153757795</v>
      </c>
      <c r="AI56">
        <v>101.79731476488899</v>
      </c>
      <c r="AJ56">
        <v>80.288616561462305</v>
      </c>
      <c r="AK56">
        <v>0.70150294280194503</v>
      </c>
      <c r="AL56">
        <v>82.076251107925401</v>
      </c>
      <c r="AM56">
        <v>89.144788388065294</v>
      </c>
      <c r="AN56">
        <v>1.0000000233153199</v>
      </c>
    </row>
    <row r="57" spans="1:40" x14ac:dyDescent="0.25">
      <c r="A57" t="str">
        <f>"20190312172332057"</f>
        <v>20190312172332057</v>
      </c>
      <c r="B57" t="str">
        <f>"1552382612049522"</f>
        <v>1552382612049522</v>
      </c>
      <c r="C57" t="s">
        <v>40</v>
      </c>
      <c r="D57">
        <v>3.56379</v>
      </c>
      <c r="E57">
        <v>0.55892149999999996</v>
      </c>
      <c r="F57" t="s">
        <v>41</v>
      </c>
      <c r="G57">
        <v>-474.56939999999997</v>
      </c>
      <c r="H57">
        <v>0.9715049</v>
      </c>
      <c r="I57">
        <v>367.09160000000003</v>
      </c>
      <c r="J57">
        <v>-475.23809999999997</v>
      </c>
      <c r="K57">
        <v>1.109937</v>
      </c>
      <c r="L57">
        <v>367.21120000000002</v>
      </c>
      <c r="M57">
        <v>0.99995100000000003</v>
      </c>
      <c r="N57">
        <v>0</v>
      </c>
      <c r="O57">
        <v>-2.7764270000000001E-3</v>
      </c>
      <c r="P57">
        <v>0.99160890000000002</v>
      </c>
      <c r="Q57">
        <v>0.1280917</v>
      </c>
      <c r="R57">
        <v>-1.7445349999999998E-2</v>
      </c>
      <c r="S57">
        <v>3.0943299999999998</v>
      </c>
      <c r="T57">
        <v>-0.60742379999999996</v>
      </c>
      <c r="U57">
        <v>-0.52145390000000003</v>
      </c>
      <c r="V57">
        <v>1.4703269999999999E-2</v>
      </c>
      <c r="W57">
        <v>0.1375141</v>
      </c>
      <c r="X57">
        <v>0.99039069999999996</v>
      </c>
      <c r="Y57">
        <v>0.16050989999999901</v>
      </c>
      <c r="Z57">
        <v>-1.496288E-2</v>
      </c>
      <c r="AA57">
        <v>0.98692080000000004</v>
      </c>
      <c r="AB57">
        <v>4</v>
      </c>
      <c r="AC57">
        <v>0.66870000000000096</v>
      </c>
      <c r="AD57">
        <v>-0.1384321</v>
      </c>
      <c r="AE57">
        <v>-0.11959999999999101</v>
      </c>
      <c r="AF57">
        <v>0.11304824586223</v>
      </c>
      <c r="AG57">
        <v>-0.1384321</v>
      </c>
      <c r="AH57">
        <v>0.64235412826788196</v>
      </c>
      <c r="AI57">
        <v>101.982952726883</v>
      </c>
      <c r="AJ57">
        <v>80.018696795861601</v>
      </c>
      <c r="AK57">
        <v>0.66675496121568301</v>
      </c>
      <c r="AL57">
        <v>82.095976857076906</v>
      </c>
      <c r="AM57">
        <v>89.149453409792002</v>
      </c>
      <c r="AN57">
        <v>1.0000000262469899</v>
      </c>
    </row>
    <row r="58" spans="1:40" x14ac:dyDescent="0.25">
      <c r="A58" t="str">
        <f>"20190312172332079"</f>
        <v>20190312172332079</v>
      </c>
      <c r="B58" t="str">
        <f>"1552382612070019"</f>
        <v>1552382612070019</v>
      </c>
      <c r="C58" t="s">
        <v>40</v>
      </c>
      <c r="D58">
        <v>3.6179920000000001</v>
      </c>
      <c r="E58">
        <v>0.55919249999999998</v>
      </c>
      <c r="F58" t="s">
        <v>41</v>
      </c>
      <c r="G58">
        <v>-474.5351</v>
      </c>
      <c r="H58">
        <v>0.9720048</v>
      </c>
      <c r="I58">
        <v>367.0917</v>
      </c>
      <c r="J58">
        <v>-475.20339999999999</v>
      </c>
      <c r="K58">
        <v>1.1102730000000001</v>
      </c>
      <c r="L58">
        <v>367.21100000000001</v>
      </c>
      <c r="M58">
        <v>0.99994130000000003</v>
      </c>
      <c r="N58">
        <v>0</v>
      </c>
      <c r="O58">
        <v>-2.840239E-3</v>
      </c>
      <c r="P58">
        <v>0.99169220000000002</v>
      </c>
      <c r="Q58">
        <v>0.12740689999999999</v>
      </c>
      <c r="R58">
        <v>-1.7734E-2</v>
      </c>
      <c r="S58">
        <v>3.0946039999999999</v>
      </c>
      <c r="T58">
        <v>-0.60724230000000001</v>
      </c>
      <c r="U58">
        <v>-0.52453609999999995</v>
      </c>
      <c r="V58">
        <v>1.492739E-2</v>
      </c>
      <c r="W58">
        <v>0.1377852</v>
      </c>
      <c r="X58">
        <v>0.9903497</v>
      </c>
      <c r="Y58">
        <v>0.16137609999999999</v>
      </c>
      <c r="Z58">
        <v>-1.50273E-2</v>
      </c>
      <c r="AA58">
        <v>0.98677859999999995</v>
      </c>
      <c r="AB58">
        <v>4</v>
      </c>
      <c r="AC58">
        <v>0.66829999999998702</v>
      </c>
      <c r="AD58">
        <v>-0.13826819999999901</v>
      </c>
      <c r="AE58">
        <v>-0.119300000000009</v>
      </c>
      <c r="AF58">
        <v>0.11272502578737401</v>
      </c>
      <c r="AG58">
        <v>-0.13826819999999901</v>
      </c>
      <c r="AH58">
        <v>0.64200344870580295</v>
      </c>
      <c r="AI58">
        <v>101.97633159262</v>
      </c>
      <c r="AJ58">
        <v>80.0413352248477</v>
      </c>
      <c r="AK58">
        <v>0.66632833852399598</v>
      </c>
      <c r="AL58">
        <v>82.080294948281306</v>
      </c>
      <c r="AM58">
        <v>89.136454845515999</v>
      </c>
      <c r="AN58">
        <v>1.0000000583006601</v>
      </c>
    </row>
    <row r="59" spans="1:40" x14ac:dyDescent="0.25">
      <c r="A59" t="str">
        <f>"20190312172332100"</f>
        <v>20190312172332100</v>
      </c>
      <c r="B59" t="str">
        <f>"1552382612089542"</f>
        <v>1552382612089542</v>
      </c>
      <c r="C59" t="s">
        <v>40</v>
      </c>
      <c r="D59">
        <v>3.5722360000000002</v>
      </c>
      <c r="E59">
        <v>0.55958409999999903</v>
      </c>
      <c r="F59" t="s">
        <v>41</v>
      </c>
      <c r="G59">
        <v>-474.505</v>
      </c>
      <c r="H59">
        <v>0.97240040000000005</v>
      </c>
      <c r="I59">
        <v>367.09160000000003</v>
      </c>
      <c r="J59">
        <v>-475.17590000000001</v>
      </c>
      <c r="K59">
        <v>1.1107549999999999</v>
      </c>
      <c r="L59">
        <v>367.21089999999998</v>
      </c>
      <c r="M59">
        <v>0.99992199999999998</v>
      </c>
      <c r="N59">
        <v>0</v>
      </c>
      <c r="O59">
        <v>-2.8802839999999999E-3</v>
      </c>
      <c r="P59">
        <v>0.99189539999999998</v>
      </c>
      <c r="Q59">
        <v>0.12577849999999999</v>
      </c>
      <c r="R59">
        <v>-1.7987719999999999E-2</v>
      </c>
      <c r="S59">
        <v>3.0942080000000001</v>
      </c>
      <c r="T59">
        <v>-0.61096790000000001</v>
      </c>
      <c r="U59">
        <v>-0.52746579999999998</v>
      </c>
      <c r="V59">
        <v>1.5137039999999999E-2</v>
      </c>
      <c r="W59">
        <v>0.13782820000000001</v>
      </c>
      <c r="X59">
        <v>0.99034049999999996</v>
      </c>
      <c r="Y59">
        <v>0.16221440000000001</v>
      </c>
      <c r="Z59">
        <v>-1.519212E-2</v>
      </c>
      <c r="AA59">
        <v>0.98663860000000003</v>
      </c>
      <c r="AB59">
        <v>4</v>
      </c>
      <c r="AC59">
        <v>0.67090000000001704</v>
      </c>
      <c r="AD59">
        <v>-0.138354599999999</v>
      </c>
      <c r="AE59">
        <v>-0.119299999999952</v>
      </c>
      <c r="AF59">
        <v>0.112720185401003</v>
      </c>
      <c r="AG59">
        <v>-0.138354599999999</v>
      </c>
      <c r="AH59">
        <v>0.644665086402051</v>
      </c>
      <c r="AI59">
        <v>101.936987532671</v>
      </c>
      <c r="AJ59">
        <v>80.082050998514305</v>
      </c>
      <c r="AK59">
        <v>0.66891023999021004</v>
      </c>
      <c r="AL59">
        <v>82.077807226547193</v>
      </c>
      <c r="AM59">
        <v>89.124320396165601</v>
      </c>
      <c r="AN59">
        <v>1.0000000243177201</v>
      </c>
    </row>
    <row r="60" spans="1:40" x14ac:dyDescent="0.25">
      <c r="A60" t="str">
        <f>"20190312172332122"</f>
        <v>20190312172332122</v>
      </c>
      <c r="B60" t="str">
        <f>"1552382612110034"</f>
        <v>1552382612110034</v>
      </c>
      <c r="C60" t="s">
        <v>40</v>
      </c>
      <c r="D60">
        <v>3.7080839999999999</v>
      </c>
      <c r="E60">
        <v>0.55984219999999996</v>
      </c>
      <c r="F60" t="s">
        <v>41</v>
      </c>
      <c r="G60">
        <v>-474.47930000000002</v>
      </c>
      <c r="H60">
        <v>0.97102250000000001</v>
      </c>
      <c r="I60">
        <v>367.09109999999998</v>
      </c>
      <c r="J60">
        <v>-475.14210000000003</v>
      </c>
      <c r="K60">
        <v>1.1106100000000001</v>
      </c>
      <c r="L60">
        <v>367.21069999999997</v>
      </c>
      <c r="M60">
        <v>0.99992499999999995</v>
      </c>
      <c r="N60">
        <v>0</v>
      </c>
      <c r="O60">
        <v>-2.9370360000000001E-3</v>
      </c>
      <c r="P60">
        <v>0.99188560000000003</v>
      </c>
      <c r="Q60">
        <v>0.125866899999999</v>
      </c>
      <c r="R60">
        <v>-1.7908899999999998E-2</v>
      </c>
      <c r="S60">
        <v>3.0935969999999999</v>
      </c>
      <c r="T60">
        <v>-0.62051029999999996</v>
      </c>
      <c r="U60">
        <v>-0.53036499999999998</v>
      </c>
      <c r="V60">
        <v>1.5002730000000001E-2</v>
      </c>
      <c r="W60">
        <v>0.13765769999999999</v>
      </c>
      <c r="X60">
        <v>0.99036619999999997</v>
      </c>
      <c r="Y60">
        <v>0.1629815</v>
      </c>
      <c r="Z60">
        <v>-1.5491110000000001E-2</v>
      </c>
      <c r="AA60">
        <v>0.98650749999999998</v>
      </c>
      <c r="AB60">
        <v>3</v>
      </c>
      <c r="AC60">
        <v>0.66280000000000405</v>
      </c>
      <c r="AD60">
        <v>-0.1395875</v>
      </c>
      <c r="AE60">
        <v>-0.11959999999999101</v>
      </c>
      <c r="AF60">
        <v>0.11280706674480399</v>
      </c>
      <c r="AG60">
        <v>-0.1395875</v>
      </c>
      <c r="AH60">
        <v>0.63583617835332495</v>
      </c>
      <c r="AI60">
        <v>102.197292390877</v>
      </c>
      <c r="AJ60">
        <v>79.939535404166804</v>
      </c>
      <c r="AK60">
        <v>0.660679763703095</v>
      </c>
      <c r="AL60">
        <v>82.087669715288499</v>
      </c>
      <c r="AM60">
        <v>89.132111570993104</v>
      </c>
      <c r="AN60">
        <v>0.99999996718959006</v>
      </c>
    </row>
    <row r="61" spans="1:40" x14ac:dyDescent="0.25">
      <c r="A61" t="str">
        <f>"20190312172332147"</f>
        <v>20190312172332147</v>
      </c>
      <c r="B61" t="str">
        <f>"1552382612139314"</f>
        <v>1552382612139314</v>
      </c>
      <c r="C61" t="s">
        <v>40</v>
      </c>
      <c r="D61">
        <v>3.5704889999999998</v>
      </c>
      <c r="E61">
        <v>0.56016429999999995</v>
      </c>
      <c r="F61" t="s">
        <v>41</v>
      </c>
      <c r="G61">
        <v>-474.416</v>
      </c>
      <c r="H61">
        <v>0.96435879999999996</v>
      </c>
      <c r="I61">
        <v>367.08569999999997</v>
      </c>
      <c r="J61">
        <v>-475.0992</v>
      </c>
      <c r="K61">
        <v>1.1100829999999999</v>
      </c>
      <c r="L61">
        <v>367.21050000000002</v>
      </c>
      <c r="M61">
        <v>0.99994419999999995</v>
      </c>
      <c r="N61">
        <v>0</v>
      </c>
      <c r="O61">
        <v>-3.0294950000000001E-3</v>
      </c>
      <c r="P61">
        <v>0.99168389999999995</v>
      </c>
      <c r="Q61">
        <v>0.12744059999999999</v>
      </c>
      <c r="R61">
        <v>-1.7951999999999999E-2</v>
      </c>
      <c r="S61">
        <v>3.094055</v>
      </c>
      <c r="T61">
        <v>-0.62322500000000003</v>
      </c>
      <c r="U61">
        <v>-0.53262330000000002</v>
      </c>
      <c r="V61">
        <v>1.495725E-2</v>
      </c>
      <c r="W61">
        <v>0.1374716</v>
      </c>
      <c r="X61">
        <v>0.99039279999999996</v>
      </c>
      <c r="Y61">
        <v>0.16353099999999901</v>
      </c>
      <c r="Z61">
        <v>-1.559054E-2</v>
      </c>
      <c r="AA61">
        <v>0.98641500000000004</v>
      </c>
      <c r="AB61">
        <v>3</v>
      </c>
      <c r="AC61">
        <v>0.68319999999999903</v>
      </c>
      <c r="AD61">
        <v>-0.145724199999999</v>
      </c>
      <c r="AE61">
        <v>-0.12480000000005</v>
      </c>
      <c r="AF61">
        <v>0.11755409437073</v>
      </c>
      <c r="AG61">
        <v>-0.145724199999999</v>
      </c>
      <c r="AH61">
        <v>0.65474877617992899</v>
      </c>
      <c r="AI61">
        <v>102.356164578913</v>
      </c>
      <c r="AJ61">
        <v>79.821514934745196</v>
      </c>
      <c r="AK61">
        <v>0.68099226682692704</v>
      </c>
      <c r="AL61">
        <v>82.098435299421595</v>
      </c>
      <c r="AM61">
        <v>89.134765364866993</v>
      </c>
      <c r="AN61">
        <v>1.00000002921298</v>
      </c>
    </row>
    <row r="62" spans="1:40" x14ac:dyDescent="0.25">
      <c r="A62" t="str">
        <f>"20190312172332167"</f>
        <v>20190312172332167</v>
      </c>
      <c r="B62" t="str">
        <f>"1552382612159811"</f>
        <v>1552382612159811</v>
      </c>
      <c r="C62" t="s">
        <v>40</v>
      </c>
      <c r="D62">
        <v>3.5563539999999998</v>
      </c>
      <c r="E62">
        <v>0.56037099999999995</v>
      </c>
      <c r="F62" t="s">
        <v>41</v>
      </c>
      <c r="G62">
        <v>-474.3777</v>
      </c>
      <c r="H62">
        <v>0.96492560000000005</v>
      </c>
      <c r="I62">
        <v>367.08530000000002</v>
      </c>
      <c r="J62">
        <v>-475.05840000000001</v>
      </c>
      <c r="K62">
        <v>1.1098110000000001</v>
      </c>
      <c r="L62">
        <v>367.21030000000002</v>
      </c>
      <c r="M62">
        <v>0.99995489999999998</v>
      </c>
      <c r="N62">
        <v>0</v>
      </c>
      <c r="O62">
        <v>-3.1218069999999999E-3</v>
      </c>
      <c r="P62">
        <v>0.9915699</v>
      </c>
      <c r="Q62">
        <v>0.1283482</v>
      </c>
      <c r="R62">
        <v>-1.7777299999999999E-2</v>
      </c>
      <c r="S62">
        <v>3.095459</v>
      </c>
      <c r="T62">
        <v>-0.62278599999999995</v>
      </c>
      <c r="U62">
        <v>-0.53585819999999995</v>
      </c>
      <c r="V62">
        <v>1.46932E-2</v>
      </c>
      <c r="W62">
        <v>0.137242</v>
      </c>
      <c r="X62">
        <v>0.99042859999999999</v>
      </c>
      <c r="Y62">
        <v>0.16435959999999999</v>
      </c>
      <c r="Z62">
        <v>-1.563529E-2</v>
      </c>
      <c r="AA62">
        <v>0.98627659999999995</v>
      </c>
      <c r="AB62">
        <v>4</v>
      </c>
      <c r="AC62">
        <v>0.68070000000000097</v>
      </c>
      <c r="AD62">
        <v>-0.1448854</v>
      </c>
      <c r="AE62">
        <v>-0.125</v>
      </c>
      <c r="AF62">
        <v>0.117715274281635</v>
      </c>
      <c r="AG62">
        <v>-0.1448854</v>
      </c>
      <c r="AH62">
        <v>0.65249071421064198</v>
      </c>
      <c r="AI62">
        <v>102.326622908845</v>
      </c>
      <c r="AJ62">
        <v>79.773322806729396</v>
      </c>
      <c r="AK62">
        <v>0.67866987340199103</v>
      </c>
      <c r="AL62">
        <v>82.111716331675694</v>
      </c>
      <c r="AM62">
        <v>89.1500683682454</v>
      </c>
      <c r="AN62">
        <v>1.00000003419409</v>
      </c>
    </row>
    <row r="63" spans="1:40" x14ac:dyDescent="0.25">
      <c r="A63" t="str">
        <f>"20190312172332190"</f>
        <v>20190312172332190</v>
      </c>
      <c r="B63" t="str">
        <f>"1552382612179334"</f>
        <v>1552382612179334</v>
      </c>
      <c r="C63" t="s">
        <v>40</v>
      </c>
      <c r="D63">
        <v>3.5941689999999999</v>
      </c>
      <c r="E63">
        <v>0.56056169999999905</v>
      </c>
      <c r="F63" t="s">
        <v>41</v>
      </c>
      <c r="G63">
        <v>-474.34210000000002</v>
      </c>
      <c r="H63">
        <v>0.96561779999999997</v>
      </c>
      <c r="I63">
        <v>367.08569999999997</v>
      </c>
      <c r="J63">
        <v>-475.0206</v>
      </c>
      <c r="K63">
        <v>1.1100779999999999</v>
      </c>
      <c r="L63">
        <v>367.21010000000001</v>
      </c>
      <c r="M63">
        <v>0.99994879999999997</v>
      </c>
      <c r="N63">
        <v>0</v>
      </c>
      <c r="O63">
        <v>-3.1952980000000001E-3</v>
      </c>
      <c r="P63">
        <v>0.99164410000000003</v>
      </c>
      <c r="Q63">
        <v>0.1278215</v>
      </c>
      <c r="R63">
        <v>-1.7430660000000001E-2</v>
      </c>
      <c r="S63">
        <v>3.0965579999999999</v>
      </c>
      <c r="T63">
        <v>-0.62333760000000005</v>
      </c>
      <c r="U63">
        <v>-0.53698729999999995</v>
      </c>
      <c r="V63">
        <v>1.4272180000000001E-2</v>
      </c>
      <c r="W63">
        <v>0.13734499999999999</v>
      </c>
      <c r="X63">
        <v>0.99042050000000004</v>
      </c>
      <c r="Y63">
        <v>0.16457169999999999</v>
      </c>
      <c r="Z63">
        <v>-1.564948E-2</v>
      </c>
      <c r="AA63">
        <v>0.98624100000000003</v>
      </c>
      <c r="AB63">
        <v>4</v>
      </c>
      <c r="AC63">
        <v>0.678499999999985</v>
      </c>
      <c r="AD63">
        <v>-0.14446020000000001</v>
      </c>
      <c r="AE63">
        <v>-0.124400000000036</v>
      </c>
      <c r="AF63">
        <v>0.117095799695265</v>
      </c>
      <c r="AG63">
        <v>-0.14446020000000001</v>
      </c>
      <c r="AH63">
        <v>0.65037081926124596</v>
      </c>
      <c r="AI63">
        <v>102.331150086671</v>
      </c>
      <c r="AJ63">
        <v>79.793547203334697</v>
      </c>
      <c r="AK63">
        <v>0.676433572671299</v>
      </c>
      <c r="AL63">
        <v>82.105758617013095</v>
      </c>
      <c r="AM63">
        <v>89.174412198321306</v>
      </c>
      <c r="AN63">
        <v>1.0000000554835899</v>
      </c>
    </row>
    <row r="64" spans="1:40" x14ac:dyDescent="0.25">
      <c r="A64" t="str">
        <f>"20190312172332223"</f>
        <v>20190312172332223</v>
      </c>
      <c r="B64" t="str">
        <f>"1552382612220323"</f>
        <v>1552382612220323</v>
      </c>
      <c r="C64" t="s">
        <v>40</v>
      </c>
      <c r="D64">
        <v>3.604095</v>
      </c>
      <c r="E64">
        <v>0.56090050000000002</v>
      </c>
      <c r="F64" t="s">
        <v>41</v>
      </c>
      <c r="G64">
        <v>-474.3107</v>
      </c>
      <c r="H64">
        <v>0.96612200000000004</v>
      </c>
      <c r="I64">
        <v>367.08629999999999</v>
      </c>
      <c r="J64">
        <v>-474.9735</v>
      </c>
      <c r="K64">
        <v>1.1108629999999999</v>
      </c>
      <c r="L64">
        <v>367.20979999999997</v>
      </c>
      <c r="M64">
        <v>0.999919</v>
      </c>
      <c r="N64">
        <v>0</v>
      </c>
      <c r="O64">
        <v>-3.26815E-3</v>
      </c>
      <c r="P64">
        <v>0.99206280000000002</v>
      </c>
      <c r="Q64">
        <v>0.1246027</v>
      </c>
      <c r="R64">
        <v>-1.689657E-2</v>
      </c>
      <c r="S64">
        <v>3.0968019999999998</v>
      </c>
      <c r="T64">
        <v>-0.62806490000000004</v>
      </c>
      <c r="U64">
        <v>-0.53701779999999999</v>
      </c>
      <c r="V64">
        <v>1.3659030000000001E-2</v>
      </c>
      <c r="W64">
        <v>0.13679849999999999</v>
      </c>
      <c r="X64">
        <v>0.99050470000000002</v>
      </c>
      <c r="Y64">
        <v>0.16445299999999999</v>
      </c>
      <c r="Z64">
        <v>-1.5738269999999999E-2</v>
      </c>
      <c r="AA64">
        <v>0.98625929999999995</v>
      </c>
      <c r="AB64">
        <v>4</v>
      </c>
      <c r="AC64">
        <v>0.66280000000000405</v>
      </c>
      <c r="AD64">
        <v>-0.14474100000000001</v>
      </c>
      <c r="AE64">
        <v>-0.123499999999978</v>
      </c>
      <c r="AF64">
        <v>0.115987326778396</v>
      </c>
      <c r="AG64">
        <v>-0.14474100000000001</v>
      </c>
      <c r="AH64">
        <v>0.63398068085788695</v>
      </c>
      <c r="AI64">
        <v>102.657344598547</v>
      </c>
      <c r="AJ64">
        <v>79.632343725245406</v>
      </c>
      <c r="AK64">
        <v>0.66055622073766596</v>
      </c>
      <c r="AL64">
        <v>82.137368527401193</v>
      </c>
      <c r="AM64">
        <v>89.209943002450004</v>
      </c>
      <c r="AN64">
        <v>0.99999997971244003</v>
      </c>
    </row>
    <row r="65" spans="1:40" x14ac:dyDescent="0.25">
      <c r="A65" t="str">
        <f>"20190312172332244"</f>
        <v>20190312172332244</v>
      </c>
      <c r="B65" t="str">
        <f>"1552382612239842"</f>
        <v>1552382612239842</v>
      </c>
      <c r="C65" t="s">
        <v>40</v>
      </c>
      <c r="D65">
        <v>3.6412949999999999</v>
      </c>
      <c r="E65">
        <v>0.56107069999999903</v>
      </c>
      <c r="F65" t="s">
        <v>41</v>
      </c>
      <c r="G65">
        <v>-474.25920000000002</v>
      </c>
      <c r="H65">
        <v>0.96242890000000003</v>
      </c>
      <c r="I65">
        <v>367.08539999999999</v>
      </c>
      <c r="J65">
        <v>-474.94439999999997</v>
      </c>
      <c r="K65">
        <v>1.111189</v>
      </c>
      <c r="L65">
        <v>367.2097</v>
      </c>
      <c r="M65">
        <v>0.99989890000000003</v>
      </c>
      <c r="N65">
        <v>0</v>
      </c>
      <c r="O65">
        <v>-3.3026499999999999E-3</v>
      </c>
      <c r="P65">
        <v>0.99222259999999995</v>
      </c>
      <c r="Q65">
        <v>0.12337049999999999</v>
      </c>
      <c r="R65">
        <v>-1.655891E-2</v>
      </c>
      <c r="S65">
        <v>3.0955810000000001</v>
      </c>
      <c r="T65">
        <v>-0.64322789999999996</v>
      </c>
      <c r="U65">
        <v>-0.53808590000000001</v>
      </c>
      <c r="V65">
        <v>1.32833E-2</v>
      </c>
      <c r="W65">
        <v>0.13709979999999999</v>
      </c>
      <c r="X65">
        <v>0.99046809999999996</v>
      </c>
      <c r="Y65">
        <v>0.16465489999999999</v>
      </c>
      <c r="Z65">
        <v>-1.6129770000000002E-2</v>
      </c>
      <c r="AA65">
        <v>0.98621930000000002</v>
      </c>
      <c r="AB65">
        <v>3</v>
      </c>
      <c r="AC65">
        <v>0.68519999999995196</v>
      </c>
      <c r="AD65">
        <v>-0.14876009999999901</v>
      </c>
      <c r="AE65">
        <v>-0.124300000000005</v>
      </c>
      <c r="AF65">
        <v>0.11671032006875701</v>
      </c>
      <c r="AG65">
        <v>-0.14876009999999901</v>
      </c>
      <c r="AH65">
        <v>0.65568608005990603</v>
      </c>
      <c r="AI65">
        <v>102.591250378615</v>
      </c>
      <c r="AJ65">
        <v>79.907212811689703</v>
      </c>
      <c r="AK65">
        <v>0.68240391392993005</v>
      </c>
      <c r="AL65">
        <v>82.119940708021801</v>
      </c>
      <c r="AM65">
        <v>89.231644710007004</v>
      </c>
      <c r="AN65">
        <v>0.99999992916826697</v>
      </c>
    </row>
    <row r="66" spans="1:40" x14ac:dyDescent="0.25">
      <c r="A66" t="str">
        <f>"20190312172332269"</f>
        <v>20190312172332269</v>
      </c>
      <c r="B66" t="str">
        <f>"1552382612260340"</f>
        <v>1552382612260340</v>
      </c>
      <c r="C66" t="s">
        <v>40</v>
      </c>
      <c r="D66">
        <v>3.6037680000000001</v>
      </c>
      <c r="E66">
        <v>0.56123500000000004</v>
      </c>
      <c r="F66" t="s">
        <v>41</v>
      </c>
      <c r="G66">
        <v>-474.2294</v>
      </c>
      <c r="H66">
        <v>0.96127870000000004</v>
      </c>
      <c r="I66">
        <v>367.08499999999998</v>
      </c>
      <c r="J66">
        <v>-474.90660000000003</v>
      </c>
      <c r="K66">
        <v>1.110765</v>
      </c>
      <c r="L66">
        <v>367.20949999999999</v>
      </c>
      <c r="M66">
        <v>0.99991209999999997</v>
      </c>
      <c r="N66">
        <v>0</v>
      </c>
      <c r="O66">
        <v>-3.3555289999999999E-3</v>
      </c>
      <c r="P66">
        <v>0.99202509999999999</v>
      </c>
      <c r="Q66">
        <v>0.12495970000000001</v>
      </c>
      <c r="R66">
        <v>-1.6484530000000001E-2</v>
      </c>
      <c r="S66">
        <v>3.095215</v>
      </c>
      <c r="T66">
        <v>-0.64900219999999997</v>
      </c>
      <c r="U66">
        <v>-0.53909300000000004</v>
      </c>
      <c r="V66">
        <v>1.3159229999999999E-2</v>
      </c>
      <c r="W66">
        <v>0.1376888</v>
      </c>
      <c r="X66">
        <v>0.99038809999999999</v>
      </c>
      <c r="Y66">
        <v>0.16487019999999999</v>
      </c>
      <c r="Z66">
        <v>-1.6284280000000002E-2</v>
      </c>
      <c r="AA66">
        <v>0.98618079999999997</v>
      </c>
      <c r="AB66">
        <v>3</v>
      </c>
      <c r="AC66">
        <v>0.677200000000027</v>
      </c>
      <c r="AD66">
        <v>-0.14948629999999899</v>
      </c>
      <c r="AE66">
        <v>-0.124500000000011</v>
      </c>
      <c r="AF66">
        <v>0.116725048951687</v>
      </c>
      <c r="AG66">
        <v>-0.14948629999999899</v>
      </c>
      <c r="AH66">
        <v>0.64711306619930098</v>
      </c>
      <c r="AI66">
        <v>102.80772322663201</v>
      </c>
      <c r="AJ66">
        <v>79.7750419763981</v>
      </c>
      <c r="AK66">
        <v>0.67433390199983601</v>
      </c>
      <c r="AL66">
        <v>82.085870786032203</v>
      </c>
      <c r="AM66">
        <v>89.238759052030403</v>
      </c>
      <c r="AN66">
        <v>0.99999997980062105</v>
      </c>
    </row>
    <row r="67" spans="1:40" x14ac:dyDescent="0.25">
      <c r="A67" t="str">
        <f>"20190312172332291"</f>
        <v>20190312172332291</v>
      </c>
      <c r="B67" t="str">
        <f>"1552382612279858"</f>
        <v>1552382612279858</v>
      </c>
      <c r="C67" t="s">
        <v>40</v>
      </c>
      <c r="D67">
        <v>3.6476120000000001</v>
      </c>
      <c r="E67">
        <v>0.56138080000000001</v>
      </c>
      <c r="F67" t="s">
        <v>41</v>
      </c>
      <c r="G67">
        <v>-474.19439999999997</v>
      </c>
      <c r="H67">
        <v>0.96226310000000004</v>
      </c>
      <c r="I67">
        <v>367.0849</v>
      </c>
      <c r="J67">
        <v>-474.86720000000003</v>
      </c>
      <c r="K67">
        <v>1.1102320000000001</v>
      </c>
      <c r="L67">
        <v>367.20940000000002</v>
      </c>
      <c r="M67">
        <v>0.99993220000000005</v>
      </c>
      <c r="N67">
        <v>0</v>
      </c>
      <c r="O67">
        <v>-3.425188E-3</v>
      </c>
      <c r="P67">
        <v>0.99173279999999997</v>
      </c>
      <c r="Q67">
        <v>0.1272857</v>
      </c>
      <c r="R67">
        <v>-1.6268830000000001E-2</v>
      </c>
      <c r="S67">
        <v>3.096527</v>
      </c>
      <c r="T67">
        <v>-0.6458005</v>
      </c>
      <c r="U67">
        <v>-0.54019169999999905</v>
      </c>
      <c r="V67">
        <v>1.2878499999999999E-2</v>
      </c>
      <c r="W67">
        <v>0.1383231</v>
      </c>
      <c r="X67">
        <v>0.99030339999999994</v>
      </c>
      <c r="Y67">
        <v>0.16510339999999901</v>
      </c>
      <c r="Z67">
        <v>-1.6208130000000001E-2</v>
      </c>
      <c r="AA67">
        <v>0.98614310000000005</v>
      </c>
      <c r="AB67">
        <v>3</v>
      </c>
      <c r="AC67">
        <v>0.67280000000005202</v>
      </c>
      <c r="AD67">
        <v>-0.14796889999999899</v>
      </c>
      <c r="AE67">
        <v>-0.124500000000011</v>
      </c>
      <c r="AF67">
        <v>0.116735216620749</v>
      </c>
      <c r="AG67">
        <v>-0.14796889999999899</v>
      </c>
      <c r="AH67">
        <v>0.64314411042152297</v>
      </c>
      <c r="AI67">
        <v>102.755208378505</v>
      </c>
      <c r="AJ67">
        <v>79.712408288436606</v>
      </c>
      <c r="AK67">
        <v>0.67019120625131701</v>
      </c>
      <c r="AL67">
        <v>82.049176963986596</v>
      </c>
      <c r="AM67">
        <v>89.254933282258094</v>
      </c>
      <c r="AN67">
        <v>0.99999997990370904</v>
      </c>
    </row>
    <row r="68" spans="1:40" x14ac:dyDescent="0.25">
      <c r="A68" t="str">
        <f>"20190312172332312"</f>
        <v>20190312172332312</v>
      </c>
      <c r="B68" t="str">
        <f>"1552382612310115"</f>
        <v>1552382612310115</v>
      </c>
      <c r="C68" t="s">
        <v>40</v>
      </c>
      <c r="D68">
        <v>3.637321</v>
      </c>
      <c r="E68">
        <v>0.56165369999999903</v>
      </c>
      <c r="F68" t="s">
        <v>41</v>
      </c>
      <c r="G68">
        <v>-474.15730000000002</v>
      </c>
      <c r="H68">
        <v>0.96353200000000006</v>
      </c>
      <c r="I68">
        <v>367.08519999999999</v>
      </c>
      <c r="J68">
        <v>-474.82929999999999</v>
      </c>
      <c r="K68">
        <v>1.1100110000000001</v>
      </c>
      <c r="L68">
        <v>367.20909999999998</v>
      </c>
      <c r="M68">
        <v>0.99994190000000005</v>
      </c>
      <c r="N68">
        <v>0</v>
      </c>
      <c r="O68">
        <v>-3.4938489999999998E-3</v>
      </c>
      <c r="P68">
        <v>0.99168149999999999</v>
      </c>
      <c r="Q68">
        <v>0.1277277</v>
      </c>
      <c r="R68">
        <v>-1.5941159999999999E-2</v>
      </c>
      <c r="S68">
        <v>3.0982669999999999</v>
      </c>
      <c r="T68">
        <v>-0.64024510000000001</v>
      </c>
      <c r="U68">
        <v>-0.54144289999999995</v>
      </c>
      <c r="V68">
        <v>1.2484749999999999E-2</v>
      </c>
      <c r="W68">
        <v>0.1378442</v>
      </c>
      <c r="X68">
        <v>0.99037520000000001</v>
      </c>
      <c r="Y68">
        <v>0.16538530000000001</v>
      </c>
      <c r="Z68">
        <v>-1.6076969999999999E-2</v>
      </c>
      <c r="AA68">
        <v>0.98609800000000003</v>
      </c>
      <c r="AB68">
        <v>4</v>
      </c>
      <c r="AC68">
        <v>0.67199999999996796</v>
      </c>
      <c r="AD68">
        <v>-0.146479</v>
      </c>
      <c r="AE68">
        <v>-0.123899999999991</v>
      </c>
      <c r="AF68">
        <v>0.11621124281456099</v>
      </c>
      <c r="AG68">
        <v>-0.146479</v>
      </c>
      <c r="AH68">
        <v>0.64288754137122905</v>
      </c>
      <c r="AI68">
        <v>102.637388727404</v>
      </c>
      <c r="AJ68">
        <v>79.753604169145305</v>
      </c>
      <c r="AK68">
        <v>0.66952635590232701</v>
      </c>
      <c r="AL68">
        <v>82.076881183530901</v>
      </c>
      <c r="AM68">
        <v>89.277763018074495</v>
      </c>
      <c r="AN68">
        <v>0.99999996461562002</v>
      </c>
    </row>
    <row r="69" spans="1:40" x14ac:dyDescent="0.25">
      <c r="A69" t="str">
        <f>"20190312172332334"</f>
        <v>20190312172332334</v>
      </c>
      <c r="B69" t="str">
        <f>"1552382612329635"</f>
        <v>1552382612329635</v>
      </c>
      <c r="C69" t="s">
        <v>40</v>
      </c>
      <c r="D69">
        <v>3.647888</v>
      </c>
      <c r="E69">
        <v>0.56181569999999903</v>
      </c>
      <c r="F69" t="s">
        <v>41</v>
      </c>
      <c r="G69">
        <v>-474.12200000000001</v>
      </c>
      <c r="H69">
        <v>0.96370020000000001</v>
      </c>
      <c r="I69">
        <v>367.08499999999998</v>
      </c>
      <c r="J69">
        <v>-474.79390000000001</v>
      </c>
      <c r="K69">
        <v>1.1102449999999999</v>
      </c>
      <c r="L69">
        <v>367.209</v>
      </c>
      <c r="M69">
        <v>0.99993560000000004</v>
      </c>
      <c r="N69">
        <v>0</v>
      </c>
      <c r="O69">
        <v>-3.5485780000000001E-3</v>
      </c>
      <c r="P69">
        <v>0.99178310000000003</v>
      </c>
      <c r="Q69">
        <v>0.1270134</v>
      </c>
      <c r="R69">
        <v>-1.530111E-2</v>
      </c>
      <c r="S69">
        <v>3.09903</v>
      </c>
      <c r="T69">
        <v>-0.64113019999999998</v>
      </c>
      <c r="U69">
        <v>-0.54391480000000003</v>
      </c>
      <c r="V69">
        <v>1.1789600000000001E-2</v>
      </c>
      <c r="W69">
        <v>0.13769870000000001</v>
      </c>
      <c r="X69">
        <v>0.99040399999999995</v>
      </c>
      <c r="Y69">
        <v>0.16603409999999999</v>
      </c>
      <c r="Z69">
        <v>-1.6148650000000001E-2</v>
      </c>
      <c r="AA69">
        <v>0.98598779999999997</v>
      </c>
      <c r="AB69">
        <v>4</v>
      </c>
      <c r="AC69">
        <v>0.67190000000005001</v>
      </c>
      <c r="AD69">
        <v>-0.1465448</v>
      </c>
      <c r="AE69">
        <v>-0.12400000000002299</v>
      </c>
      <c r="AF69">
        <v>0.116266197236899</v>
      </c>
      <c r="AG69">
        <v>-0.1465448</v>
      </c>
      <c r="AH69">
        <v>0.64276662542594998</v>
      </c>
      <c r="AI69">
        <v>102.644928928236</v>
      </c>
      <c r="AJ69">
        <v>79.746974012550794</v>
      </c>
      <c r="AK69">
        <v>0.66943419526375603</v>
      </c>
      <c r="AL69">
        <v>82.085298303101197</v>
      </c>
      <c r="AM69">
        <v>89.317993042482797</v>
      </c>
      <c r="AN69">
        <v>1.0000000049329201</v>
      </c>
    </row>
    <row r="70" spans="1:40" x14ac:dyDescent="0.25">
      <c r="A70" t="str">
        <f>"20190312172332357"</f>
        <v>20190312172332357</v>
      </c>
      <c r="B70" t="str">
        <f>"1552382612350131"</f>
        <v>1552382612350131</v>
      </c>
      <c r="C70" t="s">
        <v>40</v>
      </c>
      <c r="D70">
        <v>3.6841870000000001</v>
      </c>
      <c r="E70">
        <v>0.56195329999999999</v>
      </c>
      <c r="F70" t="s">
        <v>41</v>
      </c>
      <c r="G70">
        <v>-474.09100000000001</v>
      </c>
      <c r="H70">
        <v>0.96406959999999997</v>
      </c>
      <c r="I70">
        <v>367.08539999999999</v>
      </c>
      <c r="J70">
        <v>-474.75909999999999</v>
      </c>
      <c r="K70">
        <v>1.110792</v>
      </c>
      <c r="L70">
        <v>367.20870000000002</v>
      </c>
      <c r="M70">
        <v>0.99991399999999997</v>
      </c>
      <c r="N70">
        <v>0</v>
      </c>
      <c r="O70">
        <v>-3.591693E-3</v>
      </c>
      <c r="P70">
        <v>0.99196090000000003</v>
      </c>
      <c r="Q70">
        <v>0.1255897</v>
      </c>
      <c r="R70">
        <v>-1.550783E-2</v>
      </c>
      <c r="S70">
        <v>3.0989990000000001</v>
      </c>
      <c r="T70">
        <v>-0.64458850000000001</v>
      </c>
      <c r="U70">
        <v>-0.54394529999999996</v>
      </c>
      <c r="V70">
        <v>1.194984E-2</v>
      </c>
      <c r="W70">
        <v>0.13808979999999901</v>
      </c>
      <c r="X70">
        <v>0.99034759999999999</v>
      </c>
      <c r="Y70">
        <v>0.16596910000000001</v>
      </c>
      <c r="Z70">
        <v>-1.6218650000000001E-2</v>
      </c>
      <c r="AA70">
        <v>0.98599760000000003</v>
      </c>
      <c r="AB70">
        <v>4</v>
      </c>
      <c r="AC70">
        <v>0.66809999999998104</v>
      </c>
      <c r="AD70">
        <v>-0.1467224</v>
      </c>
      <c r="AE70">
        <v>-0.123300000000028</v>
      </c>
      <c r="AF70">
        <v>0.115511860109071</v>
      </c>
      <c r="AG70">
        <v>-0.1467224</v>
      </c>
      <c r="AH70">
        <v>0.63874703064689398</v>
      </c>
      <c r="AI70">
        <v>102.73692794361099</v>
      </c>
      <c r="AJ70">
        <v>79.749341506704894</v>
      </c>
      <c r="AK70">
        <v>0.66548344956718597</v>
      </c>
      <c r="AL70">
        <v>82.062673593051301</v>
      </c>
      <c r="AM70">
        <v>89.308684978752595</v>
      </c>
      <c r="AN70">
        <v>0.99999998018291203</v>
      </c>
    </row>
    <row r="71" spans="1:40" x14ac:dyDescent="0.25">
      <c r="A71" t="str">
        <f>"20190312172332379"</f>
        <v>20190312172332379</v>
      </c>
      <c r="B71" t="str">
        <f>"1552382612369651"</f>
        <v>1552382612369651</v>
      </c>
      <c r="C71" t="s">
        <v>40</v>
      </c>
      <c r="D71">
        <v>3.6646700000000001</v>
      </c>
      <c r="E71">
        <v>0.56205899999999998</v>
      </c>
      <c r="F71" t="s">
        <v>41</v>
      </c>
      <c r="G71">
        <v>-474.06319999999999</v>
      </c>
      <c r="H71">
        <v>0.96468149999999997</v>
      </c>
      <c r="I71">
        <v>367.08600000000001</v>
      </c>
      <c r="J71">
        <v>-474.7251</v>
      </c>
      <c r="K71">
        <v>1.110697</v>
      </c>
      <c r="L71">
        <v>367.20859999999999</v>
      </c>
      <c r="M71">
        <v>0.99991549999999996</v>
      </c>
      <c r="N71">
        <v>0</v>
      </c>
      <c r="O71">
        <v>-3.6337499999999998E-3</v>
      </c>
      <c r="P71">
        <v>0.99196580000000001</v>
      </c>
      <c r="Q71">
        <v>0.12557760000000001</v>
      </c>
      <c r="R71">
        <v>-1.5317300000000001E-2</v>
      </c>
      <c r="S71">
        <v>3.0981139999999998</v>
      </c>
      <c r="T71">
        <v>-0.65047429999999995</v>
      </c>
      <c r="U71">
        <v>-0.54577640000000005</v>
      </c>
      <c r="V71">
        <v>1.171754E-2</v>
      </c>
      <c r="W71">
        <v>0.1379599</v>
      </c>
      <c r="X71">
        <v>0.99036849999999998</v>
      </c>
      <c r="Y71">
        <v>0.16646849999999999</v>
      </c>
      <c r="Z71">
        <v>-1.641018E-2</v>
      </c>
      <c r="AA71">
        <v>0.98591019999999896</v>
      </c>
      <c r="AB71">
        <v>3</v>
      </c>
      <c r="AC71">
        <v>0.66190000000000204</v>
      </c>
      <c r="AD71">
        <v>-0.14601549999999899</v>
      </c>
      <c r="AE71">
        <v>-0.12259999999997701</v>
      </c>
      <c r="AF71">
        <v>0.114792778698814</v>
      </c>
      <c r="AG71">
        <v>-0.14601549999999899</v>
      </c>
      <c r="AH71">
        <v>0.63257811350035098</v>
      </c>
      <c r="AI71">
        <v>102.79576910562</v>
      </c>
      <c r="AJ71">
        <v>79.714568414351206</v>
      </c>
      <c r="AK71">
        <v>0.65928216869661205</v>
      </c>
      <c r="AL71">
        <v>82.070188399730995</v>
      </c>
      <c r="AM71">
        <v>89.322136897496605</v>
      </c>
      <c r="AN71">
        <v>1.00000000027195</v>
      </c>
    </row>
    <row r="72" spans="1:40" x14ac:dyDescent="0.25">
      <c r="A72" t="str">
        <f>"20190312172332400"</f>
        <v>20190312172332400</v>
      </c>
      <c r="B72" t="str">
        <f>"1552382612390146"</f>
        <v>1552382612390146</v>
      </c>
      <c r="C72" t="s">
        <v>40</v>
      </c>
      <c r="D72">
        <v>3.7023229999999998</v>
      </c>
      <c r="E72">
        <v>0.56218109999999999</v>
      </c>
      <c r="F72" t="s">
        <v>41</v>
      </c>
      <c r="G72">
        <v>-474.03120000000001</v>
      </c>
      <c r="H72">
        <v>0.96458319999999997</v>
      </c>
      <c r="I72">
        <v>367.08640000000003</v>
      </c>
      <c r="J72">
        <v>-474.68630000000002</v>
      </c>
      <c r="K72">
        <v>1.1102129999999999</v>
      </c>
      <c r="L72">
        <v>367.20839999999998</v>
      </c>
      <c r="M72">
        <v>0.99993350000000003</v>
      </c>
      <c r="N72">
        <v>0</v>
      </c>
      <c r="O72">
        <v>-3.6923680000000001E-3</v>
      </c>
      <c r="P72">
        <v>0.99185250000000003</v>
      </c>
      <c r="Q72">
        <v>0.1264537</v>
      </c>
      <c r="R72">
        <v>-1.543946E-2</v>
      </c>
      <c r="S72">
        <v>3.0985109999999998</v>
      </c>
      <c r="T72">
        <v>-0.65252730000000003</v>
      </c>
      <c r="U72">
        <v>-0.54489140000000003</v>
      </c>
      <c r="V72">
        <v>1.178365E-2</v>
      </c>
      <c r="W72">
        <v>0.13728499999999999</v>
      </c>
      <c r="X72">
        <v>0.99046149999999999</v>
      </c>
      <c r="Y72">
        <v>0.16610420000000001</v>
      </c>
      <c r="Z72">
        <v>-1.6409480000000001E-2</v>
      </c>
      <c r="AA72">
        <v>0.98597170000000001</v>
      </c>
      <c r="AB72">
        <v>3</v>
      </c>
      <c r="AC72">
        <v>0.65510000000000401</v>
      </c>
      <c r="AD72">
        <v>-0.145629799999999</v>
      </c>
      <c r="AE72">
        <v>-0.121999999999957</v>
      </c>
      <c r="AF72">
        <v>0.11412916777238501</v>
      </c>
      <c r="AG72">
        <v>-0.145629799999999</v>
      </c>
      <c r="AH72">
        <v>0.62566337755719503</v>
      </c>
      <c r="AI72">
        <v>102.897364582699</v>
      </c>
      <c r="AJ72">
        <v>79.662163974471895</v>
      </c>
      <c r="AK72">
        <v>0.65244782749330599</v>
      </c>
      <c r="AL72">
        <v>82.109228832907405</v>
      </c>
      <c r="AM72">
        <v>89.318376776039202</v>
      </c>
      <c r="AN72">
        <v>1.0000000043072801</v>
      </c>
    </row>
    <row r="73" spans="1:40" x14ac:dyDescent="0.25">
      <c r="A73" t="str">
        <f>"20190312172332424"</f>
        <v>20190312172332424</v>
      </c>
      <c r="B73" t="str">
        <f>"1552382612420403"</f>
        <v>1552382612420403</v>
      </c>
      <c r="C73" t="s">
        <v>40</v>
      </c>
      <c r="D73">
        <v>3.6571389999999999</v>
      </c>
      <c r="E73">
        <v>0.57052340000000001</v>
      </c>
      <c r="F73" t="s">
        <v>41</v>
      </c>
      <c r="G73">
        <v>-473.99450000000002</v>
      </c>
      <c r="H73">
        <v>0.96490220000000004</v>
      </c>
      <c r="I73">
        <v>367.08589999999998</v>
      </c>
      <c r="J73">
        <v>-474.64319999999998</v>
      </c>
      <c r="K73">
        <v>1.109828</v>
      </c>
      <c r="L73">
        <v>367.2081</v>
      </c>
      <c r="M73">
        <v>0.99994890000000003</v>
      </c>
      <c r="N73">
        <v>0</v>
      </c>
      <c r="O73">
        <v>-3.7657789999999999E-3</v>
      </c>
      <c r="P73">
        <v>0.99168920000000005</v>
      </c>
      <c r="Q73">
        <v>0.1277365</v>
      </c>
      <c r="R73">
        <v>-1.5369900000000001E-2</v>
      </c>
      <c r="S73">
        <v>3.0991819999999999</v>
      </c>
      <c r="T73">
        <v>-0.65117879999999995</v>
      </c>
      <c r="U73">
        <v>-0.54626459999999999</v>
      </c>
      <c r="V73">
        <v>1.164394E-2</v>
      </c>
      <c r="W73">
        <v>0.13703889999999999</v>
      </c>
      <c r="X73">
        <v>0.99049719999999997</v>
      </c>
      <c r="Y73">
        <v>0.16642970000000001</v>
      </c>
      <c r="Z73">
        <v>-1.6390709999999999E-2</v>
      </c>
      <c r="AA73">
        <v>0.98591709999999999</v>
      </c>
      <c r="AB73">
        <v>4</v>
      </c>
      <c r="AC73">
        <v>0.64869999999996197</v>
      </c>
      <c r="AD73">
        <v>-0.14492579999999999</v>
      </c>
      <c r="AE73">
        <v>-0.12220000000002</v>
      </c>
      <c r="AF73">
        <v>0.11424919622774</v>
      </c>
      <c r="AG73">
        <v>-0.14492579999999999</v>
      </c>
      <c r="AH73">
        <v>0.61930427779724895</v>
      </c>
      <c r="AI73">
        <v>102.95987382634701</v>
      </c>
      <c r="AJ73">
        <v>79.547597484283699</v>
      </c>
      <c r="AK73">
        <v>0.64621525426308002</v>
      </c>
      <c r="AL73">
        <v>82.123463611224906</v>
      </c>
      <c r="AM73">
        <v>89.326481802095103</v>
      </c>
      <c r="AN73">
        <v>0.99999997232988602</v>
      </c>
    </row>
    <row r="74" spans="1:40" x14ac:dyDescent="0.25">
      <c r="A74" t="str">
        <f>"20190312172332446"</f>
        <v>20190312172332446</v>
      </c>
      <c r="B74" t="str">
        <f>"1552382612439923"</f>
        <v>1552382612439923</v>
      </c>
      <c r="C74" t="s">
        <v>40</v>
      </c>
      <c r="D74">
        <v>3.6460520000000001</v>
      </c>
      <c r="E74">
        <v>0.57019869999999995</v>
      </c>
      <c r="F74" t="s">
        <v>41</v>
      </c>
      <c r="G74">
        <v>-473.92689999999999</v>
      </c>
      <c r="H74">
        <v>0.94585359999999996</v>
      </c>
      <c r="I74">
        <v>367.06619999999998</v>
      </c>
      <c r="J74">
        <v>-474.60169999999999</v>
      </c>
      <c r="K74">
        <v>1.109999</v>
      </c>
      <c r="L74">
        <v>367.2079</v>
      </c>
      <c r="M74">
        <v>0.99994669999999997</v>
      </c>
      <c r="N74">
        <v>0</v>
      </c>
      <c r="O74">
        <v>-3.824465E-3</v>
      </c>
      <c r="P74">
        <v>0.9917163</v>
      </c>
      <c r="Q74">
        <v>0.127472</v>
      </c>
      <c r="R74">
        <v>-1.579912E-2</v>
      </c>
      <c r="S74">
        <v>3.1073</v>
      </c>
      <c r="T74">
        <v>-0.71143710000000004</v>
      </c>
      <c r="U74">
        <v>-0.61398319999999995</v>
      </c>
      <c r="V74">
        <v>1.201487E-2</v>
      </c>
      <c r="W74">
        <v>0.13698179999999999</v>
      </c>
      <c r="X74">
        <v>0.99050070000000001</v>
      </c>
      <c r="Y74">
        <v>0.18556510000000001</v>
      </c>
      <c r="Z74">
        <v>-1.9922019999999999E-2</v>
      </c>
      <c r="AA74">
        <v>0.98243000000000003</v>
      </c>
      <c r="AB74">
        <v>4</v>
      </c>
      <c r="AC74">
        <v>0.67480000000000395</v>
      </c>
      <c r="AD74">
        <v>-0.1641454</v>
      </c>
      <c r="AE74">
        <v>-0.14170000000001401</v>
      </c>
      <c r="AF74">
        <v>0.13165686032663501</v>
      </c>
      <c r="AG74">
        <v>-0.1641454</v>
      </c>
      <c r="AH74">
        <v>0.63911707966510201</v>
      </c>
      <c r="AI74">
        <v>104.11977987637</v>
      </c>
      <c r="AJ74">
        <v>78.360007767631799</v>
      </c>
      <c r="AK74">
        <v>0.67286542691081697</v>
      </c>
      <c r="AL74">
        <v>82.126766594673597</v>
      </c>
      <c r="AM74">
        <v>89.305030696337099</v>
      </c>
      <c r="AN74">
        <v>1.0000000036664201</v>
      </c>
    </row>
    <row r="75" spans="1:40" x14ac:dyDescent="0.25">
      <c r="A75" t="str">
        <f>"20190312172332471"</f>
        <v>20190312172332471</v>
      </c>
      <c r="B75" t="str">
        <f>"1552382612460418"</f>
        <v>1552382612460418</v>
      </c>
      <c r="C75" t="s">
        <v>40</v>
      </c>
      <c r="D75">
        <v>3.6457950000000001</v>
      </c>
      <c r="E75">
        <v>0.56986979999999998</v>
      </c>
      <c r="F75" t="s">
        <v>41</v>
      </c>
      <c r="G75">
        <v>-473.8931</v>
      </c>
      <c r="H75">
        <v>0.94813139999999996</v>
      </c>
      <c r="I75">
        <v>367.06810000000002</v>
      </c>
      <c r="J75">
        <v>-474.5598</v>
      </c>
      <c r="K75">
        <v>1.11029</v>
      </c>
      <c r="L75">
        <v>367.20769999999999</v>
      </c>
      <c r="M75">
        <v>0.99993849999999995</v>
      </c>
      <c r="N75">
        <v>0</v>
      </c>
      <c r="O75">
        <v>-3.8791820000000001E-3</v>
      </c>
      <c r="P75">
        <v>0.99176560000000002</v>
      </c>
      <c r="Q75">
        <v>0.12703399999999901</v>
      </c>
      <c r="R75">
        <v>-1.6232949999999999E-2</v>
      </c>
      <c r="S75">
        <v>3.1065369999999999</v>
      </c>
      <c r="T75">
        <v>-0.70966899999999999</v>
      </c>
      <c r="U75">
        <v>-0.6120911</v>
      </c>
      <c r="V75">
        <v>1.2393059999999999E-2</v>
      </c>
      <c r="W75">
        <v>0.13733129999999999</v>
      </c>
      <c r="X75">
        <v>0.99044759999999998</v>
      </c>
      <c r="Y75">
        <v>0.18501570000000001</v>
      </c>
      <c r="Z75">
        <v>-1.980589E-2</v>
      </c>
      <c r="AA75">
        <v>0.98253599999999996</v>
      </c>
      <c r="AB75">
        <v>4</v>
      </c>
      <c r="AC75">
        <v>0.66669999999999097</v>
      </c>
      <c r="AD75">
        <v>-0.16215859999999899</v>
      </c>
      <c r="AE75">
        <v>-0.139599999999973</v>
      </c>
      <c r="AF75">
        <v>0.129663989018651</v>
      </c>
      <c r="AG75">
        <v>-0.16215859999999899</v>
      </c>
      <c r="AH75">
        <v>0.63144979300122706</v>
      </c>
      <c r="AI75">
        <v>104.12006002637</v>
      </c>
      <c r="AJ75">
        <v>78.395998275978698</v>
      </c>
      <c r="AK75">
        <v>0.664708208677673</v>
      </c>
      <c r="AL75">
        <v>82.106550328740099</v>
      </c>
      <c r="AM75">
        <v>89.2831190873585</v>
      </c>
      <c r="AN75">
        <v>0.99999996112080602</v>
      </c>
    </row>
    <row r="76" spans="1:40" x14ac:dyDescent="0.25">
      <c r="A76" t="str">
        <f>"20190312172332492"</f>
        <v>20190312172332492</v>
      </c>
      <c r="B76" t="str">
        <f>"1552382612479939"</f>
        <v>1552382612479939</v>
      </c>
      <c r="C76" t="s">
        <v>40</v>
      </c>
      <c r="D76">
        <v>3.6710029999999998</v>
      </c>
      <c r="E76">
        <v>0.56984760000000001</v>
      </c>
      <c r="F76" t="s">
        <v>41</v>
      </c>
      <c r="G76">
        <v>-473.85599999999999</v>
      </c>
      <c r="H76">
        <v>0.94977489999999998</v>
      </c>
      <c r="I76">
        <v>367.0693</v>
      </c>
      <c r="J76">
        <v>-474.51870000000002</v>
      </c>
      <c r="K76">
        <v>1.1100829999999999</v>
      </c>
      <c r="L76">
        <v>367.20749999999998</v>
      </c>
      <c r="M76">
        <v>0.99994629999999995</v>
      </c>
      <c r="N76">
        <v>0</v>
      </c>
      <c r="O76">
        <v>-3.9409170000000004E-3</v>
      </c>
      <c r="P76">
        <v>0.99168719999999999</v>
      </c>
      <c r="Q76">
        <v>0.12764880000000001</v>
      </c>
      <c r="R76">
        <v>-1.6208779999999999E-2</v>
      </c>
      <c r="S76">
        <v>3.1056520000000001</v>
      </c>
      <c r="T76">
        <v>-0.70831919999999904</v>
      </c>
      <c r="U76">
        <v>-0.60971070000000005</v>
      </c>
      <c r="V76">
        <v>1.2308980000000001E-2</v>
      </c>
      <c r="W76">
        <v>0.13715559999999999</v>
      </c>
      <c r="X76">
        <v>0.99047300000000005</v>
      </c>
      <c r="Y76">
        <v>0.18431549999999999</v>
      </c>
      <c r="Z76">
        <v>-1.968404E-2</v>
      </c>
      <c r="AA76">
        <v>0.98267000000000004</v>
      </c>
      <c r="AB76">
        <v>4</v>
      </c>
      <c r="AC76">
        <v>0.66270000000002904</v>
      </c>
      <c r="AD76">
        <v>-0.16030809999999901</v>
      </c>
      <c r="AE76">
        <v>-0.138199999999983</v>
      </c>
      <c r="AF76">
        <v>0.128387504790338</v>
      </c>
      <c r="AG76">
        <v>-0.16030809999999901</v>
      </c>
      <c r="AH76">
        <v>0.62802160253756401</v>
      </c>
      <c r="AI76">
        <v>104.040909858457</v>
      </c>
      <c r="AJ76">
        <v>78.446126929110406</v>
      </c>
      <c r="AK76">
        <v>0.660751974318465</v>
      </c>
      <c r="AL76">
        <v>82.116713410899393</v>
      </c>
      <c r="AM76">
        <v>89.288000479417704</v>
      </c>
      <c r="AN76">
        <v>0.99999996666449897</v>
      </c>
    </row>
    <row r="77" spans="1:40" x14ac:dyDescent="0.25">
      <c r="A77" t="str">
        <f>"20190312172332513"</f>
        <v>20190312172332513</v>
      </c>
      <c r="B77" t="str">
        <f>"1552382612510195"</f>
        <v>1552382612510195</v>
      </c>
      <c r="C77" t="s">
        <v>40</v>
      </c>
      <c r="D77">
        <v>3.6310829999999998</v>
      </c>
      <c r="E77">
        <v>0.57019739999999997</v>
      </c>
      <c r="F77" t="s">
        <v>41</v>
      </c>
      <c r="G77">
        <v>-473.81549999999999</v>
      </c>
      <c r="H77">
        <v>0.94990520000000001</v>
      </c>
      <c r="I77">
        <v>367.06909999999999</v>
      </c>
      <c r="J77">
        <v>-474.4753</v>
      </c>
      <c r="K77">
        <v>1.10975</v>
      </c>
      <c r="L77">
        <v>367.2072</v>
      </c>
      <c r="M77">
        <v>0.99995780000000001</v>
      </c>
      <c r="N77">
        <v>0</v>
      </c>
      <c r="O77">
        <v>-4.0135709999999996E-3</v>
      </c>
      <c r="P77">
        <v>0.99148099999999995</v>
      </c>
      <c r="Q77">
        <v>0.12922359999999999</v>
      </c>
      <c r="R77">
        <v>-1.633122E-2</v>
      </c>
      <c r="S77">
        <v>3.1062620000000001</v>
      </c>
      <c r="T77">
        <v>-0.70756030000000003</v>
      </c>
      <c r="U77">
        <v>-0.60919190000000001</v>
      </c>
      <c r="V77">
        <v>1.2362160000000001E-2</v>
      </c>
      <c r="W77">
        <v>0.13741059999999999</v>
      </c>
      <c r="X77">
        <v>0.99043700000000001</v>
      </c>
      <c r="Y77">
        <v>0.1840685</v>
      </c>
      <c r="Z77">
        <v>-1.9616370000000001E-2</v>
      </c>
      <c r="AA77">
        <v>0.98271759999999997</v>
      </c>
      <c r="AB77">
        <v>4</v>
      </c>
      <c r="AC77">
        <v>0.65980000000001804</v>
      </c>
      <c r="AD77">
        <v>-0.15984479999999901</v>
      </c>
      <c r="AE77">
        <v>-0.13810000000000799</v>
      </c>
      <c r="AF77">
        <v>0.128239985792309</v>
      </c>
      <c r="AG77">
        <v>-0.15984479999999901</v>
      </c>
      <c r="AH77">
        <v>0.62519558202454895</v>
      </c>
      <c r="AI77">
        <v>104.060888820255</v>
      </c>
      <c r="AJ77">
        <v>78.408287334926897</v>
      </c>
      <c r="AK77">
        <v>0.65792504879056402</v>
      </c>
      <c r="AL77">
        <v>82.101963384823804</v>
      </c>
      <c r="AM77">
        <v>89.284898670493703</v>
      </c>
      <c r="AN77">
        <v>0.99999997348061198</v>
      </c>
    </row>
    <row r="78" spans="1:40" x14ac:dyDescent="0.25">
      <c r="A78" t="str">
        <f>"20190312172332536"</f>
        <v>20190312172332536</v>
      </c>
      <c r="B78" t="str">
        <f>"1552382612529715"</f>
        <v>1552382612529715</v>
      </c>
      <c r="C78" t="s">
        <v>40</v>
      </c>
      <c r="D78">
        <v>3.6373440000000001</v>
      </c>
      <c r="E78">
        <v>0.57020230000000005</v>
      </c>
      <c r="F78" t="s">
        <v>41</v>
      </c>
      <c r="G78">
        <v>-473.7722</v>
      </c>
      <c r="H78">
        <v>0.94997849999999995</v>
      </c>
      <c r="I78">
        <v>367.0684</v>
      </c>
      <c r="J78">
        <v>-474.42759999999998</v>
      </c>
      <c r="K78">
        <v>1.1097709999999901</v>
      </c>
      <c r="L78">
        <v>367.20690000000002</v>
      </c>
      <c r="M78">
        <v>0.99995999999999996</v>
      </c>
      <c r="N78">
        <v>0</v>
      </c>
      <c r="O78">
        <v>-4.0889669999999998E-3</v>
      </c>
      <c r="P78">
        <v>0.99146630000000002</v>
      </c>
      <c r="Q78">
        <v>0.12927710000000001</v>
      </c>
      <c r="R78">
        <v>-1.6793369999999998E-2</v>
      </c>
      <c r="S78">
        <v>3.1077270000000001</v>
      </c>
      <c r="T78">
        <v>-0.70631860000000002</v>
      </c>
      <c r="U78">
        <v>-0.6116028</v>
      </c>
      <c r="V78">
        <v>1.274959E-2</v>
      </c>
      <c r="W78">
        <v>0.13715749999999999</v>
      </c>
      <c r="X78">
        <v>0.99046719999999999</v>
      </c>
      <c r="Y78">
        <v>0.1846489</v>
      </c>
      <c r="Z78">
        <v>-1.96203E-2</v>
      </c>
      <c r="AA78">
        <v>0.9826087</v>
      </c>
      <c r="AB78">
        <v>5</v>
      </c>
      <c r="AC78">
        <v>0.65539999999998599</v>
      </c>
      <c r="AD78">
        <v>-0.159792499999999</v>
      </c>
      <c r="AE78">
        <v>-0.138500000000021</v>
      </c>
      <c r="AF78">
        <v>0.12850658701981699</v>
      </c>
      <c r="AG78">
        <v>-0.159792499999999</v>
      </c>
      <c r="AH78">
        <v>0.62064501678395101</v>
      </c>
      <c r="AI78">
        <v>104.150211530156</v>
      </c>
      <c r="AJ78">
        <v>78.302019787301205</v>
      </c>
      <c r="AK78">
        <v>0.65364196837602295</v>
      </c>
      <c r="AL78">
        <v>82.116603799059405</v>
      </c>
      <c r="AM78">
        <v>89.262512322806899</v>
      </c>
      <c r="AN78">
        <v>1.00000000306362</v>
      </c>
    </row>
    <row r="79" spans="1:40" x14ac:dyDescent="0.25">
      <c r="A79" t="str">
        <f>"20190312172332558"</f>
        <v>20190312172332558</v>
      </c>
      <c r="B79" t="str">
        <f>"1552382612550211"</f>
        <v>1552382612550211</v>
      </c>
      <c r="C79" t="s">
        <v>40</v>
      </c>
      <c r="D79">
        <v>3.667735</v>
      </c>
      <c r="E79">
        <v>0.5703298</v>
      </c>
      <c r="F79" t="s">
        <v>41</v>
      </c>
      <c r="G79">
        <v>-473.73160000000001</v>
      </c>
      <c r="H79">
        <v>0.95143409999999995</v>
      </c>
      <c r="I79">
        <v>367.06979999999999</v>
      </c>
      <c r="J79">
        <v>-474.38580000000002</v>
      </c>
      <c r="K79">
        <v>1.110236</v>
      </c>
      <c r="L79">
        <v>367.20670000000001</v>
      </c>
      <c r="M79">
        <v>0.99994819999999995</v>
      </c>
      <c r="N79">
        <v>0</v>
      </c>
      <c r="O79">
        <v>-4.1449879999999996E-3</v>
      </c>
      <c r="P79">
        <v>0.99158040000000003</v>
      </c>
      <c r="Q79">
        <v>0.1283812</v>
      </c>
      <c r="R79">
        <v>-1.6939300000000001E-2</v>
      </c>
      <c r="S79">
        <v>3.107666</v>
      </c>
      <c r="T79">
        <v>-0.7069377</v>
      </c>
      <c r="U79">
        <v>-0.61233519999999997</v>
      </c>
      <c r="V79">
        <v>1.283727E-2</v>
      </c>
      <c r="W79">
        <v>0.13761329999999999</v>
      </c>
      <c r="X79">
        <v>0.99040280000000003</v>
      </c>
      <c r="Y79">
        <v>0.18481030000000001</v>
      </c>
      <c r="Z79">
        <v>-1.9642509999999998E-2</v>
      </c>
      <c r="AA79">
        <v>0.9825779</v>
      </c>
      <c r="AB79">
        <v>5</v>
      </c>
      <c r="AC79">
        <v>0.654200000000002</v>
      </c>
      <c r="AD79">
        <v>-0.158801899999999</v>
      </c>
      <c r="AE79">
        <v>-0.136900000000025</v>
      </c>
      <c r="AF79">
        <v>0.127016749135165</v>
      </c>
      <c r="AG79">
        <v>-0.158801899999999</v>
      </c>
      <c r="AH79">
        <v>0.61977455047163099</v>
      </c>
      <c r="AI79">
        <v>104.09060071674701</v>
      </c>
      <c r="AJ79">
        <v>78.418159363108998</v>
      </c>
      <c r="AK79">
        <v>0.65228198765318302</v>
      </c>
      <c r="AL79">
        <v>82.090238042424104</v>
      </c>
      <c r="AM79">
        <v>89.257392845363299</v>
      </c>
      <c r="AN79">
        <v>0.99999996104289002</v>
      </c>
    </row>
    <row r="80" spans="1:40" x14ac:dyDescent="0.25">
      <c r="A80" t="str">
        <f>"20190312172332580"</f>
        <v>20190312172332580</v>
      </c>
      <c r="B80" t="str">
        <f>"1552382612569731"</f>
        <v>1552382612569731</v>
      </c>
      <c r="C80" t="s">
        <v>40</v>
      </c>
      <c r="D80">
        <v>3.6759119999999998</v>
      </c>
      <c r="E80">
        <v>0.57042029999999999</v>
      </c>
      <c r="F80" t="s">
        <v>41</v>
      </c>
      <c r="G80">
        <v>-473.69490000000002</v>
      </c>
      <c r="H80">
        <v>0.95225059999999995</v>
      </c>
      <c r="I80">
        <v>367.07010000000002</v>
      </c>
      <c r="J80">
        <v>-474.3485</v>
      </c>
      <c r="K80">
        <v>1.1108039999999999</v>
      </c>
      <c r="L80">
        <v>367.20650000000001</v>
      </c>
      <c r="M80">
        <v>0.99992709999999996</v>
      </c>
      <c r="N80">
        <v>0</v>
      </c>
      <c r="O80">
        <v>-4.1867179999999999E-3</v>
      </c>
      <c r="P80">
        <v>0.99181600000000003</v>
      </c>
      <c r="Q80">
        <v>0.12655640000000001</v>
      </c>
      <c r="R80">
        <v>-1.6872089999999999E-2</v>
      </c>
      <c r="S80">
        <v>3.106995</v>
      </c>
      <c r="T80">
        <v>-0.71053520000000003</v>
      </c>
      <c r="U80">
        <v>-0.61331179999999996</v>
      </c>
      <c r="V80">
        <v>1.272415E-2</v>
      </c>
      <c r="W80">
        <v>0.13778470000000001</v>
      </c>
      <c r="X80">
        <v>0.9903805</v>
      </c>
      <c r="Y80">
        <v>0.18505530000000001</v>
      </c>
      <c r="Z80">
        <v>-1.9761589999999999E-2</v>
      </c>
      <c r="AA80">
        <v>0.9825294</v>
      </c>
      <c r="AB80">
        <v>4</v>
      </c>
      <c r="AC80">
        <v>0.65359999999998297</v>
      </c>
      <c r="AD80">
        <v>-0.15855340000000001</v>
      </c>
      <c r="AE80">
        <v>-0.13639999999998001</v>
      </c>
      <c r="AF80">
        <v>0.12652714385609001</v>
      </c>
      <c r="AG80">
        <v>-0.15855340000000001</v>
      </c>
      <c r="AH80">
        <v>0.61924525268515296</v>
      </c>
      <c r="AI80">
        <v>104.08260965681001</v>
      </c>
      <c r="AJ80">
        <v>78.452006244314006</v>
      </c>
      <c r="AK80">
        <v>0.65162334347154705</v>
      </c>
      <c r="AL80">
        <v>82.080323655744607</v>
      </c>
      <c r="AM80">
        <v>89.263919287576599</v>
      </c>
      <c r="AN80">
        <v>1.00000003116378</v>
      </c>
    </row>
    <row r="81" spans="1:40" x14ac:dyDescent="0.25">
      <c r="A81" t="str">
        <f>"20190312172332602"</f>
        <v>20190312172332602</v>
      </c>
      <c r="B81" t="str">
        <f>"1552382612590226"</f>
        <v>1552382612590226</v>
      </c>
      <c r="C81" t="s">
        <v>40</v>
      </c>
      <c r="D81">
        <v>3.6556690000000001</v>
      </c>
      <c r="E81">
        <v>0.570187</v>
      </c>
      <c r="F81" t="s">
        <v>41</v>
      </c>
      <c r="G81">
        <v>-473.6619</v>
      </c>
      <c r="H81">
        <v>0.95224109999999995</v>
      </c>
      <c r="I81">
        <v>367.07080000000002</v>
      </c>
      <c r="J81">
        <v>-474.30889999999999</v>
      </c>
      <c r="K81">
        <v>1.1106609999999999</v>
      </c>
      <c r="L81">
        <v>367.2063</v>
      </c>
      <c r="M81">
        <v>0.99992899999999996</v>
      </c>
      <c r="N81">
        <v>0</v>
      </c>
      <c r="O81">
        <v>-4.2351000000000003E-3</v>
      </c>
      <c r="P81">
        <v>0.99179119999999998</v>
      </c>
      <c r="Q81">
        <v>0.1267769</v>
      </c>
      <c r="R81">
        <v>-1.6673420000000001E-2</v>
      </c>
      <c r="S81">
        <v>3.1058349999999999</v>
      </c>
      <c r="T81">
        <v>-0.71720869999999903</v>
      </c>
      <c r="U81">
        <v>-0.61355590000000004</v>
      </c>
      <c r="V81">
        <v>1.2478309999999999E-2</v>
      </c>
      <c r="W81">
        <v>0.13782809999999901</v>
      </c>
      <c r="X81">
        <v>0.99037750000000002</v>
      </c>
      <c r="Y81">
        <v>0.18506590000000001</v>
      </c>
      <c r="Z81">
        <v>-1.993984E-2</v>
      </c>
      <c r="AA81">
        <v>0.98252379999999995</v>
      </c>
      <c r="AB81">
        <v>4</v>
      </c>
      <c r="AC81">
        <v>0.64699999999999103</v>
      </c>
      <c r="AD81">
        <v>-0.1584199</v>
      </c>
      <c r="AE81">
        <v>-0.135499999999979</v>
      </c>
      <c r="AF81">
        <v>0.12554780043316399</v>
      </c>
      <c r="AG81">
        <v>-0.1584199</v>
      </c>
      <c r="AH81">
        <v>0.61239578705400999</v>
      </c>
      <c r="AI81">
        <v>104.220414456893</v>
      </c>
      <c r="AJ81">
        <v>78.414275429638394</v>
      </c>
      <c r="AK81">
        <v>0.64489356866936998</v>
      </c>
      <c r="AL81">
        <v>82.077812362489794</v>
      </c>
      <c r="AM81">
        <v>89.278137205889195</v>
      </c>
      <c r="AN81">
        <v>0.99999994293815597</v>
      </c>
    </row>
    <row r="82" spans="1:40" x14ac:dyDescent="0.25">
      <c r="A82" t="str">
        <f>"20190312172332624"</f>
        <v>20190312172332624</v>
      </c>
      <c r="B82" t="str">
        <f>"1552382612619507"</f>
        <v>1552382612619507</v>
      </c>
      <c r="C82" t="s">
        <v>40</v>
      </c>
      <c r="D82">
        <v>3.68174</v>
      </c>
      <c r="E82">
        <v>0.5700674</v>
      </c>
      <c r="F82" t="s">
        <v>41</v>
      </c>
      <c r="G82">
        <v>-473.58589999999998</v>
      </c>
      <c r="H82">
        <v>0.94449479999999997</v>
      </c>
      <c r="I82">
        <v>367.06400000000002</v>
      </c>
      <c r="J82">
        <v>-474.26119999999997</v>
      </c>
      <c r="K82">
        <v>1.1101730000000001</v>
      </c>
      <c r="L82">
        <v>367.20600000000002</v>
      </c>
      <c r="M82">
        <v>0.99994430000000001</v>
      </c>
      <c r="N82">
        <v>0</v>
      </c>
      <c r="O82">
        <v>-4.3050919999999999E-3</v>
      </c>
      <c r="P82">
        <v>0.99149980000000004</v>
      </c>
      <c r="Q82">
        <v>0.12908249999999999</v>
      </c>
      <c r="R82">
        <v>-1.6308070000000001E-2</v>
      </c>
      <c r="S82">
        <v>3.105804</v>
      </c>
      <c r="T82">
        <v>-0.71376799999999996</v>
      </c>
      <c r="U82">
        <v>-0.61145019999999894</v>
      </c>
      <c r="V82">
        <v>1.2047759999999999E-2</v>
      </c>
      <c r="W82">
        <v>0.1386395</v>
      </c>
      <c r="X82">
        <v>0.99026970000000003</v>
      </c>
      <c r="Y82">
        <v>0.18441830000000001</v>
      </c>
      <c r="Z82">
        <v>-1.9759479999999999E-2</v>
      </c>
      <c r="AA82">
        <v>0.9826492</v>
      </c>
      <c r="AB82">
        <v>4</v>
      </c>
      <c r="AC82">
        <v>0.67529999999999202</v>
      </c>
      <c r="AD82">
        <v>-0.165678199999999</v>
      </c>
      <c r="AE82">
        <v>-0.14199999999993901</v>
      </c>
      <c r="AF82">
        <v>0.131510649224549</v>
      </c>
      <c r="AG82">
        <v>-0.165678199999999</v>
      </c>
      <c r="AH82">
        <v>0.63906732181155501</v>
      </c>
      <c r="AI82">
        <v>104.247925300193</v>
      </c>
      <c r="AJ82">
        <v>78.371701679704501</v>
      </c>
      <c r="AK82">
        <v>0.67316517930007003</v>
      </c>
      <c r="AL82">
        <v>82.030872929028604</v>
      </c>
      <c r="AM82">
        <v>89.302965903059004</v>
      </c>
      <c r="AN82">
        <v>1.00000006910967</v>
      </c>
    </row>
    <row r="83" spans="1:40" x14ac:dyDescent="0.25">
      <c r="A83" t="str">
        <f>"20190312172332647"</f>
        <v>20190312172332647</v>
      </c>
      <c r="B83" t="str">
        <f>"1552382612640003"</f>
        <v>1552382612640003</v>
      </c>
      <c r="C83" t="s">
        <v>40</v>
      </c>
      <c r="D83">
        <v>3.6679590000000002</v>
      </c>
      <c r="E83">
        <v>0.56997039999999999</v>
      </c>
      <c r="F83" t="s">
        <v>41</v>
      </c>
      <c r="G83">
        <v>-473.54059999999998</v>
      </c>
      <c r="H83">
        <v>0.94687180000000004</v>
      </c>
      <c r="I83">
        <v>367.06450000000001</v>
      </c>
      <c r="J83">
        <v>-474.209</v>
      </c>
      <c r="K83">
        <v>1.1097779999999999</v>
      </c>
      <c r="L83">
        <v>367.20569999999998</v>
      </c>
      <c r="M83">
        <v>0.99995710000000004</v>
      </c>
      <c r="N83">
        <v>0</v>
      </c>
      <c r="O83">
        <v>-4.3921050000000003E-3</v>
      </c>
      <c r="P83">
        <v>0.99126110000000001</v>
      </c>
      <c r="Q83">
        <v>0.13093840000000001</v>
      </c>
      <c r="R83">
        <v>-1.602342E-2</v>
      </c>
      <c r="S83">
        <v>3.1073909999999998</v>
      </c>
      <c r="T83">
        <v>-0.70419909999999997</v>
      </c>
      <c r="U83">
        <v>-0.60922240000000005</v>
      </c>
      <c r="V83">
        <v>1.168053E-2</v>
      </c>
      <c r="W83">
        <v>0.13901820000000001</v>
      </c>
      <c r="X83">
        <v>0.99022100000000002</v>
      </c>
      <c r="Y83">
        <v>0.18370159999999999</v>
      </c>
      <c r="Z83">
        <v>-1.939401E-2</v>
      </c>
      <c r="AA83">
        <v>0.98279070000000002</v>
      </c>
      <c r="AB83">
        <v>5</v>
      </c>
      <c r="AC83">
        <v>0.66840000000001898</v>
      </c>
      <c r="AD83">
        <v>-0.1629062</v>
      </c>
      <c r="AE83">
        <v>-0.14119999999996899</v>
      </c>
      <c r="AF83">
        <v>0.13082363793435101</v>
      </c>
      <c r="AG83">
        <v>-0.1629062</v>
      </c>
      <c r="AH83">
        <v>0.63301752007215795</v>
      </c>
      <c r="AI83">
        <v>104.14527331692599</v>
      </c>
      <c r="AJ83">
        <v>78.323260682999404</v>
      </c>
      <c r="AK83">
        <v>0.66660665685179199</v>
      </c>
      <c r="AL83">
        <v>82.008962791053605</v>
      </c>
      <c r="AM83">
        <v>89.3241770939525</v>
      </c>
      <c r="AN83">
        <v>1.00000006177665</v>
      </c>
    </row>
    <row r="84" spans="1:40" x14ac:dyDescent="0.25">
      <c r="A84" t="str">
        <f>"20190312172332671"</f>
        <v>20190312172332671</v>
      </c>
      <c r="B84" t="str">
        <f>"1552382612659522"</f>
        <v>1552382612659522</v>
      </c>
      <c r="C84" t="s">
        <v>40</v>
      </c>
      <c r="D84">
        <v>3.8829769999999999</v>
      </c>
      <c r="E84">
        <v>0.57002810000000004</v>
      </c>
      <c r="F84" t="s">
        <v>41</v>
      </c>
      <c r="G84">
        <v>-473.49369999999999</v>
      </c>
      <c r="H84">
        <v>0.94930479999999995</v>
      </c>
      <c r="I84">
        <v>367.0659</v>
      </c>
      <c r="J84">
        <v>-474.15499999999997</v>
      </c>
      <c r="K84">
        <v>1.10954</v>
      </c>
      <c r="L84">
        <v>367.2054</v>
      </c>
      <c r="M84">
        <v>0.9999654</v>
      </c>
      <c r="N84">
        <v>0</v>
      </c>
      <c r="O84">
        <v>-4.4899400000000004E-3</v>
      </c>
      <c r="P84">
        <v>0.99105909999999997</v>
      </c>
      <c r="Q84">
        <v>0.13246240000000001</v>
      </c>
      <c r="R84">
        <v>-1.5996509999999999E-2</v>
      </c>
      <c r="S84">
        <v>3.1087340000000001</v>
      </c>
      <c r="T84">
        <v>-0.69741750000000002</v>
      </c>
      <c r="U84">
        <v>-0.60720830000000003</v>
      </c>
      <c r="V84">
        <v>1.155991E-2</v>
      </c>
      <c r="W84">
        <v>0.13940159999999999</v>
      </c>
      <c r="X84">
        <v>0.99016850000000001</v>
      </c>
      <c r="Y84">
        <v>0.1830167</v>
      </c>
      <c r="Z84">
        <v>-1.9108199999999999E-2</v>
      </c>
      <c r="AA84">
        <v>0.98292409999999997</v>
      </c>
      <c r="AB84">
        <v>5</v>
      </c>
      <c r="AC84">
        <v>0.66129999999998201</v>
      </c>
      <c r="AD84">
        <v>-0.160235199999999</v>
      </c>
      <c r="AE84">
        <v>-0.13949999999999799</v>
      </c>
      <c r="AF84">
        <v>0.12926347166128199</v>
      </c>
      <c r="AG84">
        <v>-0.160235199999999</v>
      </c>
      <c r="AH84">
        <v>0.62669348643469402</v>
      </c>
      <c r="AI84">
        <v>104.058469544728</v>
      </c>
      <c r="AJ84">
        <v>78.345463109780098</v>
      </c>
      <c r="AK84">
        <v>0.659643153807146</v>
      </c>
      <c r="AL84">
        <v>81.986779479155203</v>
      </c>
      <c r="AM84">
        <v>89.331119940368197</v>
      </c>
      <c r="AN84">
        <v>1.0000000479969999</v>
      </c>
    </row>
    <row r="85" spans="1:40" x14ac:dyDescent="0.25">
      <c r="A85" t="str">
        <f>"20190312172332693"</f>
        <v>20190312172332693</v>
      </c>
      <c r="B85" t="str">
        <f>"1552382612689779"</f>
        <v>1552382612689779</v>
      </c>
      <c r="C85" t="s">
        <v>40</v>
      </c>
      <c r="D85">
        <v>3.6596950000000001</v>
      </c>
      <c r="E85">
        <v>0.56989000000000001</v>
      </c>
      <c r="F85" t="s">
        <v>41</v>
      </c>
      <c r="G85">
        <v>-473.4452</v>
      </c>
      <c r="H85">
        <v>0.95138750000000005</v>
      </c>
      <c r="I85">
        <v>367.06599999999997</v>
      </c>
      <c r="J85">
        <v>-474.1</v>
      </c>
      <c r="K85">
        <v>1.1093820000000001</v>
      </c>
      <c r="L85">
        <v>367.20499999999998</v>
      </c>
      <c r="M85">
        <v>0.99997130000000001</v>
      </c>
      <c r="N85">
        <v>0</v>
      </c>
      <c r="O85">
        <v>-4.5939520000000001E-3</v>
      </c>
      <c r="P85">
        <v>0.99091669999999998</v>
      </c>
      <c r="Q85">
        <v>0.13352030000000001</v>
      </c>
      <c r="R85">
        <v>-1.6023599999999999E-2</v>
      </c>
      <c r="S85">
        <v>3.1098940000000002</v>
      </c>
      <c r="T85">
        <v>-0.69304929999999998</v>
      </c>
      <c r="U85">
        <v>-0.60729979999999995</v>
      </c>
      <c r="V85">
        <v>1.148659E-2</v>
      </c>
      <c r="W85">
        <v>0.1394965</v>
      </c>
      <c r="X85">
        <v>0.99015589999999998</v>
      </c>
      <c r="Y85">
        <v>0.18293380000000001</v>
      </c>
      <c r="Z85">
        <v>-1.8952750000000001E-2</v>
      </c>
      <c r="AA85">
        <v>0.98294250000000005</v>
      </c>
      <c r="AB85">
        <v>5</v>
      </c>
      <c r="AC85">
        <v>0.65480000000002203</v>
      </c>
      <c r="AD85">
        <v>-0.15799449999999901</v>
      </c>
      <c r="AE85">
        <v>-0.13900000000001</v>
      </c>
      <c r="AF85">
        <v>0.128814260086003</v>
      </c>
      <c r="AG85">
        <v>-0.15799449999999901</v>
      </c>
      <c r="AH85">
        <v>0.62084507450303605</v>
      </c>
      <c r="AI85">
        <v>103.991806418954</v>
      </c>
      <c r="AJ85">
        <v>78.278460500423407</v>
      </c>
      <c r="AK85">
        <v>0.65345541712226596</v>
      </c>
      <c r="AL85">
        <v>81.981287754597105</v>
      </c>
      <c r="AM85">
        <v>89.335353546952703</v>
      </c>
      <c r="AN85">
        <v>0.999999960783443</v>
      </c>
    </row>
    <row r="86" spans="1:40" x14ac:dyDescent="0.25">
      <c r="A86" t="str">
        <f>"20190312172332714"</f>
        <v>20190312172332714</v>
      </c>
      <c r="B86" t="str">
        <f>"1552382612710275"</f>
        <v>1552382612710275</v>
      </c>
      <c r="C86" t="s">
        <v>40</v>
      </c>
      <c r="D86">
        <v>3.6723240000000001</v>
      </c>
      <c r="E86">
        <v>0.56983099999999998</v>
      </c>
      <c r="F86" t="s">
        <v>41</v>
      </c>
      <c r="G86">
        <v>-473.39449999999999</v>
      </c>
      <c r="H86">
        <v>0.9534241</v>
      </c>
      <c r="I86">
        <v>367.06720000000001</v>
      </c>
      <c r="J86">
        <v>-474.05040000000002</v>
      </c>
      <c r="K86">
        <v>1.1095219999999999</v>
      </c>
      <c r="L86">
        <v>367.2047</v>
      </c>
      <c r="M86">
        <v>0.99997060000000004</v>
      </c>
      <c r="N86">
        <v>0</v>
      </c>
      <c r="O86">
        <v>-4.6772659999999898E-3</v>
      </c>
      <c r="P86">
        <v>0.99093399999999998</v>
      </c>
      <c r="Q86">
        <v>0.13338720000000001</v>
      </c>
      <c r="R86">
        <v>-1.6070580000000001E-2</v>
      </c>
      <c r="S86">
        <v>3.1103519999999998</v>
      </c>
      <c r="T86">
        <v>-0.68762800000000002</v>
      </c>
      <c r="U86">
        <v>-0.60678100000000001</v>
      </c>
      <c r="V86">
        <v>1.145035E-2</v>
      </c>
      <c r="W86">
        <v>0.13943989999999901</v>
      </c>
      <c r="X86">
        <v>0.9901643</v>
      </c>
      <c r="Y86">
        <v>0.18273929999999999</v>
      </c>
      <c r="Z86">
        <v>-1.8766459999999999E-2</v>
      </c>
      <c r="AA86">
        <v>0.98298229999999998</v>
      </c>
      <c r="AB86">
        <v>5</v>
      </c>
      <c r="AC86">
        <v>0.65590000000003101</v>
      </c>
      <c r="AD86">
        <v>-0.15609789999999901</v>
      </c>
      <c r="AE86">
        <v>-0.13749999999998799</v>
      </c>
      <c r="AF86">
        <v>0.12751242431402399</v>
      </c>
      <c r="AG86">
        <v>-0.15609789999999901</v>
      </c>
      <c r="AH86">
        <v>0.622748684369961</v>
      </c>
      <c r="AI86">
        <v>103.79681793038</v>
      </c>
      <c r="AJ86">
        <v>78.428211763083098</v>
      </c>
      <c r="AK86">
        <v>0.65455473157205701</v>
      </c>
      <c r="AL86">
        <v>81.984562766546901</v>
      </c>
      <c r="AM86">
        <v>89.337455928409398</v>
      </c>
      <c r="AN86">
        <v>0.99999996861080998</v>
      </c>
    </row>
    <row r="87" spans="1:40" x14ac:dyDescent="0.25">
      <c r="A87" t="str">
        <f>"20190312172332738"</f>
        <v>20190312172332738</v>
      </c>
      <c r="B87" t="str">
        <f>"1552382612729795"</f>
        <v>1552382612729795</v>
      </c>
      <c r="C87" t="s">
        <v>40</v>
      </c>
      <c r="D87">
        <v>3.669003</v>
      </c>
      <c r="E87">
        <v>0.56985350000000001</v>
      </c>
      <c r="F87" t="s">
        <v>41</v>
      </c>
      <c r="G87">
        <v>-473.34730000000002</v>
      </c>
      <c r="H87">
        <v>0.95420320000000003</v>
      </c>
      <c r="I87">
        <v>367.06720000000001</v>
      </c>
      <c r="J87">
        <v>-473.99529999999999</v>
      </c>
      <c r="K87">
        <v>1.1100319999999999</v>
      </c>
      <c r="L87">
        <v>367.20429999999999</v>
      </c>
      <c r="M87">
        <v>0.99996019999999997</v>
      </c>
      <c r="N87">
        <v>0</v>
      </c>
      <c r="O87">
        <v>-4.7540890000000004E-3</v>
      </c>
      <c r="P87">
        <v>0.9910158</v>
      </c>
      <c r="Q87">
        <v>0.13272149999999999</v>
      </c>
      <c r="R87">
        <v>-1.651569E-2</v>
      </c>
      <c r="S87">
        <v>3.1101070000000002</v>
      </c>
      <c r="T87">
        <v>-0.68709160000000002</v>
      </c>
      <c r="U87">
        <v>-0.60623169999999904</v>
      </c>
      <c r="V87">
        <v>1.181551E-2</v>
      </c>
      <c r="W87">
        <v>0.14021939999999999</v>
      </c>
      <c r="X87">
        <v>0.99004999999999999</v>
      </c>
      <c r="Y87">
        <v>0.1825234</v>
      </c>
      <c r="Z87">
        <v>-1.871389E-2</v>
      </c>
      <c r="AA87">
        <v>0.98302339999999999</v>
      </c>
      <c r="AB87">
        <v>6</v>
      </c>
      <c r="AC87">
        <v>0.64799999999996705</v>
      </c>
      <c r="AD87">
        <v>-0.15582879999999999</v>
      </c>
      <c r="AE87">
        <v>-0.13709999999997499</v>
      </c>
      <c r="AF87">
        <v>0.12698872858250099</v>
      </c>
      <c r="AG87">
        <v>-0.15582879999999999</v>
      </c>
      <c r="AH87">
        <v>0.61462426135565396</v>
      </c>
      <c r="AI87">
        <v>103.944040378626</v>
      </c>
      <c r="AJ87">
        <v>78.326267798142595</v>
      </c>
      <c r="AK87">
        <v>0.64666199420054304</v>
      </c>
      <c r="AL87">
        <v>81.939458186569595</v>
      </c>
      <c r="AM87">
        <v>89.316249968547396</v>
      </c>
      <c r="AN87">
        <v>1.0000000444564501</v>
      </c>
    </row>
    <row r="88" spans="1:40" x14ac:dyDescent="0.25">
      <c r="A88" t="str">
        <f>"20190312172332760"</f>
        <v>20190312172332760</v>
      </c>
      <c r="B88" t="str">
        <f>"1552382612750291"</f>
        <v>1552382612750291</v>
      </c>
      <c r="C88" t="s">
        <v>40</v>
      </c>
      <c r="D88">
        <v>3.6519819999999998</v>
      </c>
      <c r="E88">
        <v>0.56973879999999999</v>
      </c>
      <c r="F88" t="s">
        <v>41</v>
      </c>
      <c r="G88">
        <v>-473.30220000000003</v>
      </c>
      <c r="H88">
        <v>0.95650990000000002</v>
      </c>
      <c r="I88">
        <v>367.06880000000001</v>
      </c>
      <c r="J88">
        <v>-473.94490000000002</v>
      </c>
      <c r="K88">
        <v>1.1101449999999999</v>
      </c>
      <c r="L88">
        <v>367.20389999999998</v>
      </c>
      <c r="M88">
        <v>0.99995690000000004</v>
      </c>
      <c r="N88">
        <v>0</v>
      </c>
      <c r="O88">
        <v>-4.8141310000000001E-3</v>
      </c>
      <c r="P88">
        <v>0.9910523</v>
      </c>
      <c r="Q88">
        <v>0.13242709999999999</v>
      </c>
      <c r="R88">
        <v>-1.668774E-2</v>
      </c>
      <c r="S88">
        <v>3.1093139999999999</v>
      </c>
      <c r="T88">
        <v>-0.6887316</v>
      </c>
      <c r="U88">
        <v>-0.60775760000000001</v>
      </c>
      <c r="V88">
        <v>1.1925430000000001E-2</v>
      </c>
      <c r="W88">
        <v>0.140294</v>
      </c>
      <c r="X88">
        <v>0.99003810000000003</v>
      </c>
      <c r="Y88">
        <v>0.18294659999999999</v>
      </c>
      <c r="Z88">
        <v>-1.8794149999999999E-2</v>
      </c>
      <c r="AA88">
        <v>0.98294320000000002</v>
      </c>
      <c r="AB88">
        <v>5</v>
      </c>
      <c r="AC88">
        <v>0.64269999999998995</v>
      </c>
      <c r="AD88">
        <v>-0.1536351</v>
      </c>
      <c r="AE88">
        <v>-0.135099999999965</v>
      </c>
      <c r="AF88">
        <v>0.12515517386928199</v>
      </c>
      <c r="AG88">
        <v>-0.1536351</v>
      </c>
      <c r="AH88">
        <v>0.60996273103890097</v>
      </c>
      <c r="AI88">
        <v>103.86008841224501</v>
      </c>
      <c r="AJ88">
        <v>78.404704537197304</v>
      </c>
      <c r="AK88">
        <v>0.64134397537880905</v>
      </c>
      <c r="AL88">
        <v>81.935141139251499</v>
      </c>
      <c r="AM88">
        <v>89.309881342249398</v>
      </c>
      <c r="AN88">
        <v>1.0000000308841399</v>
      </c>
    </row>
    <row r="89" spans="1:40" x14ac:dyDescent="0.25">
      <c r="A89" t="str">
        <f>"20190312172332782"</f>
        <v>20190312172332782</v>
      </c>
      <c r="B89" t="str">
        <f>"1552382612769811"</f>
        <v>1552382612769811</v>
      </c>
      <c r="C89" t="s">
        <v>40</v>
      </c>
      <c r="D89">
        <v>3.6566730000000001</v>
      </c>
      <c r="E89">
        <v>0.56971530000000004</v>
      </c>
      <c r="F89" t="s">
        <v>41</v>
      </c>
      <c r="G89">
        <v>-473.255</v>
      </c>
      <c r="H89">
        <v>0.95730470000000001</v>
      </c>
      <c r="I89">
        <v>367.06880000000001</v>
      </c>
      <c r="J89">
        <v>-473.89109999999999</v>
      </c>
      <c r="K89">
        <v>1.109856</v>
      </c>
      <c r="L89">
        <v>367.20359999999999</v>
      </c>
      <c r="M89">
        <v>0.99996379999999996</v>
      </c>
      <c r="N89">
        <v>0</v>
      </c>
      <c r="O89">
        <v>-4.8862710000000002E-3</v>
      </c>
      <c r="P89">
        <v>0.99089380000000005</v>
      </c>
      <c r="Q89">
        <v>0.1336</v>
      </c>
      <c r="R89">
        <v>-1.6757279999999999E-2</v>
      </c>
      <c r="S89">
        <v>3.1088870000000002</v>
      </c>
      <c r="T89">
        <v>-0.68881610000000004</v>
      </c>
      <c r="U89">
        <v>-0.60781859999999999</v>
      </c>
      <c r="V89">
        <v>1.192471E-2</v>
      </c>
      <c r="W89">
        <v>0.14052390000000001</v>
      </c>
      <c r="X89">
        <v>0.99000549999999998</v>
      </c>
      <c r="Y89">
        <v>0.18292</v>
      </c>
      <c r="Z89">
        <v>-1.878032E-2</v>
      </c>
      <c r="AA89">
        <v>0.98294840000000006</v>
      </c>
      <c r="AB89">
        <v>5</v>
      </c>
      <c r="AC89">
        <v>0.636099999999999</v>
      </c>
      <c r="AD89">
        <v>-0.1525513</v>
      </c>
      <c r="AE89">
        <v>-0.13479999999998399</v>
      </c>
      <c r="AF89">
        <v>0.124819697300407</v>
      </c>
      <c r="AG89">
        <v>-0.1525513</v>
      </c>
      <c r="AH89">
        <v>0.60353089017278605</v>
      </c>
      <c r="AI89">
        <v>103.902777473941</v>
      </c>
      <c r="AJ89">
        <v>78.315070125144203</v>
      </c>
      <c r="AK89">
        <v>0.63490266290086605</v>
      </c>
      <c r="AL89">
        <v>81.921837017504203</v>
      </c>
      <c r="AM89">
        <v>89.3099002828354</v>
      </c>
      <c r="AN89">
        <v>1.00000002760502</v>
      </c>
    </row>
    <row r="90" spans="1:40" x14ac:dyDescent="0.25">
      <c r="A90" t="str">
        <f>"20190312172332802"</f>
        <v>20190312172332802</v>
      </c>
      <c r="B90" t="str">
        <f>"1552382612800067"</f>
        <v>1552382612800067</v>
      </c>
      <c r="C90" t="s">
        <v>40</v>
      </c>
      <c r="D90">
        <v>3.6605379999999998</v>
      </c>
      <c r="E90">
        <v>0.56968869999999905</v>
      </c>
      <c r="F90" t="s">
        <v>41</v>
      </c>
      <c r="G90">
        <v>-473.15440000000001</v>
      </c>
      <c r="H90">
        <v>0.94771620000000001</v>
      </c>
      <c r="I90">
        <v>367.05919999999998</v>
      </c>
      <c r="J90">
        <v>-473.8331</v>
      </c>
      <c r="K90">
        <v>1.109553</v>
      </c>
      <c r="L90">
        <v>367.20319999999998</v>
      </c>
      <c r="M90">
        <v>0.99997069999999999</v>
      </c>
      <c r="N90">
        <v>0</v>
      </c>
      <c r="O90">
        <v>-4.974905E-3</v>
      </c>
      <c r="P90">
        <v>0.99071089999999995</v>
      </c>
      <c r="Q90">
        <v>0.13498089999999999</v>
      </c>
      <c r="R90">
        <v>-1.6496520000000001E-2</v>
      </c>
      <c r="S90">
        <v>3.1095890000000002</v>
      </c>
      <c r="T90">
        <v>-0.6844943</v>
      </c>
      <c r="U90">
        <v>-0.60781859999999999</v>
      </c>
      <c r="V90">
        <v>1.1578389999999999E-2</v>
      </c>
      <c r="W90">
        <v>0.14074200000000001</v>
      </c>
      <c r="X90">
        <v>0.98997860000000004</v>
      </c>
      <c r="Y90">
        <v>0.18284819999999999</v>
      </c>
      <c r="Z90">
        <v>-1.8634299999999999E-2</v>
      </c>
      <c r="AA90">
        <v>0.98296459999999997</v>
      </c>
      <c r="AB90">
        <v>6</v>
      </c>
      <c r="AC90">
        <v>0.67869999999999198</v>
      </c>
      <c r="AD90">
        <v>-0.1618368</v>
      </c>
      <c r="AE90">
        <v>-0.14400000000000501</v>
      </c>
      <c r="AF90">
        <v>0.13336533347085699</v>
      </c>
      <c r="AG90">
        <v>-0.1618368</v>
      </c>
      <c r="AH90">
        <v>0.644349193912792</v>
      </c>
      <c r="AI90">
        <v>103.81765199539799</v>
      </c>
      <c r="AJ90">
        <v>78.306221811542798</v>
      </c>
      <c r="AK90">
        <v>0.67761592786924496</v>
      </c>
      <c r="AL90">
        <v>81.909215139484701</v>
      </c>
      <c r="AM90">
        <v>89.329922247607797</v>
      </c>
      <c r="AN90">
        <v>0.99999999906847603</v>
      </c>
    </row>
    <row r="91" spans="1:40" x14ac:dyDescent="0.25">
      <c r="A91" t="str">
        <f>"20190312172332815"</f>
        <v>20190312172332815</v>
      </c>
      <c r="B91" t="str">
        <f>"1552382612809828"</f>
        <v>1552382612809828</v>
      </c>
      <c r="C91" t="s">
        <v>40</v>
      </c>
      <c r="D91">
        <v>3.6397469999999998</v>
      </c>
      <c r="E91">
        <v>0.56965859999999902</v>
      </c>
      <c r="F91" t="s">
        <v>41</v>
      </c>
      <c r="G91">
        <v>-473.09840000000003</v>
      </c>
      <c r="H91">
        <v>0.94892480000000001</v>
      </c>
      <c r="I91">
        <v>367.05959999999999</v>
      </c>
      <c r="J91">
        <v>-473.79610000000002</v>
      </c>
      <c r="K91">
        <v>1.1094310000000001</v>
      </c>
      <c r="L91">
        <v>367.20299999999997</v>
      </c>
      <c r="M91">
        <v>0.99997360000000002</v>
      </c>
      <c r="N91">
        <v>0</v>
      </c>
      <c r="O91">
        <v>-5.0348179999999999E-3</v>
      </c>
      <c r="P91">
        <v>0.99064620000000003</v>
      </c>
      <c r="Q91">
        <v>0.13542709999999999</v>
      </c>
      <c r="R91">
        <v>-1.672829E-2</v>
      </c>
      <c r="S91">
        <v>3.1107179999999999</v>
      </c>
      <c r="T91">
        <v>-0.68009459999999999</v>
      </c>
      <c r="U91">
        <v>-0.60739140000000003</v>
      </c>
      <c r="V91">
        <v>1.175205E-2</v>
      </c>
      <c r="W91">
        <v>0.14061319999999999</v>
      </c>
      <c r="X91">
        <v>0.98999490000000001</v>
      </c>
      <c r="Y91">
        <v>0.1826526</v>
      </c>
      <c r="Z91">
        <v>-1.8477250000000001E-2</v>
      </c>
      <c r="AA91">
        <v>0.98300390000000004</v>
      </c>
      <c r="AB91">
        <v>6</v>
      </c>
      <c r="AC91">
        <v>0.69769999999999699</v>
      </c>
      <c r="AD91">
        <v>-0.16050619999999999</v>
      </c>
      <c r="AE91">
        <v>-0.14340000000004199</v>
      </c>
      <c r="AF91">
        <v>0.13312547519621301</v>
      </c>
      <c r="AG91">
        <v>-0.16050619999999999</v>
      </c>
      <c r="AH91">
        <v>0.664662806162996</v>
      </c>
      <c r="AI91">
        <v>103.321294761491</v>
      </c>
      <c r="AJ91">
        <v>78.674078304096795</v>
      </c>
      <c r="AK91">
        <v>0.69660697547550199</v>
      </c>
      <c r="AL91">
        <v>81.916669313003595</v>
      </c>
      <c r="AM91">
        <v>89.319884132772998</v>
      </c>
      <c r="AN91">
        <v>1.00000004235972</v>
      </c>
    </row>
    <row r="92" spans="1:40" x14ac:dyDescent="0.25">
      <c r="A92" t="str">
        <f>"20190312172332829"</f>
        <v>20190312172332829</v>
      </c>
      <c r="B92" t="str">
        <f>"1552382612820565"</f>
        <v>1552382612820565</v>
      </c>
      <c r="C92" t="s">
        <v>40</v>
      </c>
      <c r="D92">
        <v>3.6677499999999998</v>
      </c>
      <c r="E92">
        <v>0.56963809999999904</v>
      </c>
      <c r="F92" t="s">
        <v>41</v>
      </c>
      <c r="G92">
        <v>-473.0951</v>
      </c>
      <c r="H92">
        <v>0.95653560000000004</v>
      </c>
      <c r="I92">
        <v>367.0659</v>
      </c>
      <c r="J92">
        <v>-473.7595</v>
      </c>
      <c r="K92">
        <v>1.1093420000000001</v>
      </c>
      <c r="L92">
        <v>367.20269999999999</v>
      </c>
      <c r="M92">
        <v>0.99997590000000003</v>
      </c>
      <c r="N92">
        <v>0</v>
      </c>
      <c r="O92">
        <v>-5.0958219999999999E-3</v>
      </c>
      <c r="P92">
        <v>0.99057810000000002</v>
      </c>
      <c r="Q92">
        <v>0.1359611</v>
      </c>
      <c r="R92">
        <v>-1.6422429999999998E-2</v>
      </c>
      <c r="S92">
        <v>3.11084</v>
      </c>
      <c r="T92">
        <v>-0.678602699999999</v>
      </c>
      <c r="U92">
        <v>-0.60778809999999905</v>
      </c>
      <c r="V92">
        <v>1.1387359999999999E-2</v>
      </c>
      <c r="W92">
        <v>0.1406599</v>
      </c>
      <c r="X92">
        <v>0.98999250000000005</v>
      </c>
      <c r="Y92">
        <v>0.18272389999999999</v>
      </c>
      <c r="Z92">
        <v>-1.8431300000000001E-2</v>
      </c>
      <c r="AA92">
        <v>0.98299150000000002</v>
      </c>
      <c r="AB92">
        <v>6</v>
      </c>
      <c r="AC92">
        <v>0.66439999999999999</v>
      </c>
      <c r="AD92">
        <v>-0.15280640000000001</v>
      </c>
      <c r="AE92">
        <v>-0.13679999999999301</v>
      </c>
      <c r="AF92">
        <v>0.126969480447748</v>
      </c>
      <c r="AG92">
        <v>-0.15280640000000001</v>
      </c>
      <c r="AH92">
        <v>0.63296862021578104</v>
      </c>
      <c r="AI92">
        <v>103.31666734608901</v>
      </c>
      <c r="AJ92">
        <v>78.657366311622596</v>
      </c>
      <c r="AK92">
        <v>0.66341564574857703</v>
      </c>
      <c r="AL92">
        <v>81.913966515351902</v>
      </c>
      <c r="AM92">
        <v>89.340986021964099</v>
      </c>
      <c r="AN92">
        <v>1.00000001474601</v>
      </c>
    </row>
    <row r="93" spans="1:40" x14ac:dyDescent="0.25">
      <c r="A93" t="str">
        <f>"20190312172332848"</f>
        <v>20190312172332848</v>
      </c>
      <c r="B93" t="str">
        <f>"1552382612840083"</f>
        <v>1552382612840083</v>
      </c>
      <c r="C93" t="s">
        <v>40</v>
      </c>
      <c r="D93">
        <v>3.6492300000000002</v>
      </c>
      <c r="E93">
        <v>0.56970019999999999</v>
      </c>
      <c r="F93" t="s">
        <v>41</v>
      </c>
      <c r="G93">
        <v>-473.0394</v>
      </c>
      <c r="H93">
        <v>0.952739</v>
      </c>
      <c r="I93">
        <v>367.06200000000001</v>
      </c>
      <c r="J93">
        <v>-473.70280000000002</v>
      </c>
      <c r="K93">
        <v>1.1092360000000001</v>
      </c>
      <c r="L93">
        <v>367.20240000000001</v>
      </c>
      <c r="M93">
        <v>0.99997820000000004</v>
      </c>
      <c r="N93">
        <v>0</v>
      </c>
      <c r="O93">
        <v>-5.1918579999999997E-3</v>
      </c>
      <c r="P93">
        <v>0.99049200000000004</v>
      </c>
      <c r="Q93">
        <v>0.13658219999999999</v>
      </c>
      <c r="R93">
        <v>-1.6457610000000001E-2</v>
      </c>
      <c r="S93">
        <v>3.1114199999999999</v>
      </c>
      <c r="T93">
        <v>-0.67687200000000003</v>
      </c>
      <c r="U93">
        <v>-0.60675049999999997</v>
      </c>
      <c r="V93">
        <v>1.132944E-2</v>
      </c>
      <c r="W93">
        <v>0.1406174</v>
      </c>
      <c r="X93">
        <v>0.98999919999999997</v>
      </c>
      <c r="Y93">
        <v>0.18231220000000001</v>
      </c>
      <c r="Z93">
        <v>-1.8318290000000001E-2</v>
      </c>
      <c r="AA93">
        <v>0.98307009999999995</v>
      </c>
      <c r="AB93">
        <v>6</v>
      </c>
      <c r="AC93">
        <v>0.66340000000002397</v>
      </c>
      <c r="AD93">
        <v>-0.156497</v>
      </c>
      <c r="AE93">
        <v>-0.14040000000005601</v>
      </c>
      <c r="AF93">
        <v>0.130028016556899</v>
      </c>
      <c r="AG93">
        <v>-0.156497</v>
      </c>
      <c r="AH93">
        <v>0.63053530677698</v>
      </c>
      <c r="AI93">
        <v>103.66259486893701</v>
      </c>
      <c r="AJ93">
        <v>78.347893092616999</v>
      </c>
      <c r="AK93">
        <v>0.66255065405677604</v>
      </c>
      <c r="AL93">
        <v>81.916426014414895</v>
      </c>
      <c r="AM93">
        <v>89.344342135561803</v>
      </c>
      <c r="AN93">
        <v>1.0000000126970501</v>
      </c>
    </row>
    <row r="94" spans="1:40" x14ac:dyDescent="0.25">
      <c r="A94" t="str">
        <f>"20190312172332873"</f>
        <v>20190312172332873</v>
      </c>
      <c r="B94" t="str">
        <f>"1552382612870338"</f>
        <v>1552382612870338</v>
      </c>
      <c r="C94" t="s">
        <v>40</v>
      </c>
      <c r="D94">
        <v>3.616441</v>
      </c>
      <c r="E94">
        <v>0.56976019999999905</v>
      </c>
      <c r="F94" t="s">
        <v>41</v>
      </c>
      <c r="G94">
        <v>-472.98020000000002</v>
      </c>
      <c r="H94">
        <v>0.95228270000000004</v>
      </c>
      <c r="I94">
        <v>367.06119999999999</v>
      </c>
      <c r="J94">
        <v>-473.63159999999999</v>
      </c>
      <c r="K94">
        <v>1.1091040000000001</v>
      </c>
      <c r="L94">
        <v>367.20179999999999</v>
      </c>
      <c r="M94">
        <v>0.99998089999999995</v>
      </c>
      <c r="N94">
        <v>0</v>
      </c>
      <c r="O94">
        <v>-5.3157050000000004E-3</v>
      </c>
      <c r="P94">
        <v>0.99041349999999995</v>
      </c>
      <c r="Q94">
        <v>0.1371568</v>
      </c>
      <c r="R94">
        <v>-1.6414040000000001E-2</v>
      </c>
      <c r="S94">
        <v>3.1119379999999999</v>
      </c>
      <c r="T94">
        <v>-0.67598510000000001</v>
      </c>
      <c r="U94">
        <v>-0.60711669999999995</v>
      </c>
      <c r="V94">
        <v>1.11652E-2</v>
      </c>
      <c r="W94">
        <v>0.14035400000000001</v>
      </c>
      <c r="X94">
        <v>0.99003850000000004</v>
      </c>
      <c r="Y94">
        <v>0.18228630000000001</v>
      </c>
      <c r="Z94">
        <v>-1.82626E-2</v>
      </c>
      <c r="AA94">
        <v>0.9830759</v>
      </c>
      <c r="AB94">
        <v>6</v>
      </c>
      <c r="AC94">
        <v>0.65139999999996601</v>
      </c>
      <c r="AD94">
        <v>-0.1568213</v>
      </c>
      <c r="AE94">
        <v>-0.140600000000006</v>
      </c>
      <c r="AF94">
        <v>0.12993952952309201</v>
      </c>
      <c r="AG94">
        <v>-0.1568213</v>
      </c>
      <c r="AH94">
        <v>0.61791895250741502</v>
      </c>
      <c r="AI94">
        <v>103.947643970374</v>
      </c>
      <c r="AJ94">
        <v>78.1245428835024</v>
      </c>
      <c r="AK94">
        <v>0.65061588770505197</v>
      </c>
      <c r="AL94">
        <v>81.931669349933898</v>
      </c>
      <c r="AM94">
        <v>89.353871875640294</v>
      </c>
      <c r="AN94">
        <v>1.00000006924464</v>
      </c>
    </row>
    <row r="95" spans="1:40" x14ac:dyDescent="0.25">
      <c r="A95" t="str">
        <f>"20190312172332896"</f>
        <v>20190312172332896</v>
      </c>
      <c r="B95" t="str">
        <f>"1552382612889859"</f>
        <v>1552382612889859</v>
      </c>
      <c r="C95" t="s">
        <v>40</v>
      </c>
      <c r="D95">
        <v>3.6738550000000001</v>
      </c>
      <c r="E95">
        <v>0.56979419999999903</v>
      </c>
      <c r="F95" t="s">
        <v>41</v>
      </c>
      <c r="G95">
        <v>-472.91739999999999</v>
      </c>
      <c r="H95">
        <v>0.95413119999999996</v>
      </c>
      <c r="I95">
        <v>367.06229999999999</v>
      </c>
      <c r="J95">
        <v>-473.55500000000001</v>
      </c>
      <c r="K95">
        <v>1.108957</v>
      </c>
      <c r="L95">
        <v>367.2013</v>
      </c>
      <c r="M95">
        <v>0.9999825</v>
      </c>
      <c r="N95">
        <v>0</v>
      </c>
      <c r="O95">
        <v>-5.4476339999999998E-3</v>
      </c>
      <c r="P95">
        <v>0.9902898</v>
      </c>
      <c r="Q95">
        <v>0.13801089999999999</v>
      </c>
      <c r="R95">
        <v>-1.670806E-2</v>
      </c>
      <c r="S95">
        <v>3.1124879999999999</v>
      </c>
      <c r="T95">
        <v>-0.67551260000000002</v>
      </c>
      <c r="U95">
        <v>-0.60708619999999902</v>
      </c>
      <c r="V95">
        <v>1.13306E-2</v>
      </c>
      <c r="W95">
        <v>0.14026710000000001</v>
      </c>
      <c r="X95">
        <v>0.99004890000000001</v>
      </c>
      <c r="Y95">
        <v>0.18212819999999999</v>
      </c>
      <c r="Z95">
        <v>-1.8202200000000002E-2</v>
      </c>
      <c r="AA95">
        <v>0.98310629999999999</v>
      </c>
      <c r="AB95">
        <v>7</v>
      </c>
      <c r="AC95">
        <v>0.63760000000002004</v>
      </c>
      <c r="AD95">
        <v>-0.15482579999999899</v>
      </c>
      <c r="AE95">
        <v>-0.13900000000001</v>
      </c>
      <c r="AF95">
        <v>0.12830247187652</v>
      </c>
      <c r="AG95">
        <v>-0.15482579999999899</v>
      </c>
      <c r="AH95">
        <v>0.604330476512842</v>
      </c>
      <c r="AI95">
        <v>104.069040777814</v>
      </c>
      <c r="AJ95">
        <v>78.013782904106804</v>
      </c>
      <c r="AK95">
        <v>0.63690492028049595</v>
      </c>
      <c r="AL95">
        <v>81.936697806242293</v>
      </c>
      <c r="AM95">
        <v>89.344307924069994</v>
      </c>
      <c r="AN95">
        <v>1.0000000331149801</v>
      </c>
    </row>
    <row r="96" spans="1:40" x14ac:dyDescent="0.25">
      <c r="A96" t="str">
        <f>"20190312172332917"</f>
        <v>20190312172332917</v>
      </c>
      <c r="B96" t="str">
        <f>"1552382612910355"</f>
        <v>1552382612910355</v>
      </c>
      <c r="C96" t="s">
        <v>40</v>
      </c>
      <c r="D96">
        <v>3.620352</v>
      </c>
      <c r="E96">
        <v>0.569855</v>
      </c>
      <c r="F96" t="s">
        <v>41</v>
      </c>
      <c r="G96">
        <v>-472.85140000000001</v>
      </c>
      <c r="H96">
        <v>0.95681170000000004</v>
      </c>
      <c r="I96">
        <v>367.06349999999998</v>
      </c>
      <c r="J96">
        <v>-473.4862</v>
      </c>
      <c r="K96">
        <v>1.108857</v>
      </c>
      <c r="L96">
        <v>367.20080000000002</v>
      </c>
      <c r="M96">
        <v>0.99998339999999997</v>
      </c>
      <c r="N96">
        <v>0</v>
      </c>
      <c r="O96">
        <v>-5.5609910000000004E-3</v>
      </c>
      <c r="P96">
        <v>0.99022969999999999</v>
      </c>
      <c r="Q96">
        <v>0.13841970000000001</v>
      </c>
      <c r="R96">
        <v>-1.6890079999999998E-2</v>
      </c>
      <c r="S96">
        <v>3.112946</v>
      </c>
      <c r="T96">
        <v>-0.67333669999999901</v>
      </c>
      <c r="U96">
        <v>-0.60879519999999998</v>
      </c>
      <c r="V96">
        <v>1.1401379999999999E-2</v>
      </c>
      <c r="W96">
        <v>0.13996539999999999</v>
      </c>
      <c r="X96">
        <v>0.99009069999999999</v>
      </c>
      <c r="Y96">
        <v>0.18252989999999999</v>
      </c>
      <c r="Z96">
        <v>-1.8159939999999999E-2</v>
      </c>
      <c r="AA96">
        <v>0.98303260000000003</v>
      </c>
      <c r="AB96">
        <v>7</v>
      </c>
      <c r="AC96">
        <v>0.63479999999998404</v>
      </c>
      <c r="AD96">
        <v>-0.152045299999999</v>
      </c>
      <c r="AE96">
        <v>-0.137300000000038</v>
      </c>
      <c r="AF96">
        <v>0.12681757850245301</v>
      </c>
      <c r="AG96">
        <v>-0.152045299999999</v>
      </c>
      <c r="AH96">
        <v>0.60253221627554798</v>
      </c>
      <c r="AI96">
        <v>103.870767990901</v>
      </c>
      <c r="AJ96">
        <v>78.114192872441905</v>
      </c>
      <c r="AK96">
        <v>0.63422830520187301</v>
      </c>
      <c r="AL96">
        <v>81.954155490447803</v>
      </c>
      <c r="AM96">
        <v>89.340240160007497</v>
      </c>
      <c r="AN96">
        <v>0.99999994944477499</v>
      </c>
    </row>
    <row r="97" spans="1:40" x14ac:dyDescent="0.25">
      <c r="A97" t="str">
        <f>"20190312172332940"</f>
        <v>20190312172332940</v>
      </c>
      <c r="B97" t="str">
        <f>"1552382612929875"</f>
        <v>1552382612929875</v>
      </c>
      <c r="C97" t="s">
        <v>40</v>
      </c>
      <c r="D97">
        <v>3.6152989999999998</v>
      </c>
      <c r="E97">
        <v>0.56989029999999996</v>
      </c>
      <c r="F97" t="s">
        <v>41</v>
      </c>
      <c r="G97">
        <v>-472.78429999999997</v>
      </c>
      <c r="H97">
        <v>0.95713760000000003</v>
      </c>
      <c r="I97">
        <v>367.06310000000002</v>
      </c>
      <c r="J97">
        <v>-473.40949999999998</v>
      </c>
      <c r="K97">
        <v>1.109245</v>
      </c>
      <c r="L97">
        <v>367.20030000000003</v>
      </c>
      <c r="M97">
        <v>0.99998100000000001</v>
      </c>
      <c r="N97">
        <v>0</v>
      </c>
      <c r="O97">
        <v>-5.6742140000000003E-3</v>
      </c>
      <c r="P97">
        <v>0.99032750000000003</v>
      </c>
      <c r="Q97">
        <v>0.1376925</v>
      </c>
      <c r="R97">
        <v>-1.710068E-2</v>
      </c>
      <c r="S97">
        <v>3.1133120000000001</v>
      </c>
      <c r="T97">
        <v>-0.67291009999999996</v>
      </c>
      <c r="U97">
        <v>-0.60916139999999996</v>
      </c>
      <c r="V97">
        <v>1.1497210000000001E-2</v>
      </c>
      <c r="W97">
        <v>0.14011979999999999</v>
      </c>
      <c r="X97">
        <v>0.99006780000000005</v>
      </c>
      <c r="Y97">
        <v>0.18251700000000001</v>
      </c>
      <c r="Z97">
        <v>-1.8121100000000001E-2</v>
      </c>
      <c r="AA97">
        <v>0.98303569999999996</v>
      </c>
      <c r="AB97">
        <v>7</v>
      </c>
      <c r="AC97">
        <v>0.62520000000000597</v>
      </c>
      <c r="AD97">
        <v>-0.152107399999999</v>
      </c>
      <c r="AE97">
        <v>-0.13720000000000701</v>
      </c>
      <c r="AF97">
        <v>0.12650616136831599</v>
      </c>
      <c r="AG97">
        <v>-0.152107399999999</v>
      </c>
      <c r="AH97">
        <v>0.59250811045498997</v>
      </c>
      <c r="AI97">
        <v>104.09334553898501</v>
      </c>
      <c r="AJ97">
        <v>77.947766259623407</v>
      </c>
      <c r="AK97">
        <v>0.624664974969662</v>
      </c>
      <c r="AL97">
        <v>81.945221356941801</v>
      </c>
      <c r="AM97">
        <v>89.334679906915397</v>
      </c>
      <c r="AN97">
        <v>0.99999999639333204</v>
      </c>
    </row>
    <row r="98" spans="1:40" x14ac:dyDescent="0.25">
      <c r="A98" t="str">
        <f>"20190312172332961"</f>
        <v>20190312172332961</v>
      </c>
      <c r="B98" t="str">
        <f>"1552382612950371"</f>
        <v>1552382612950371</v>
      </c>
      <c r="C98" t="s">
        <v>40</v>
      </c>
      <c r="D98">
        <v>3.6401309999999998</v>
      </c>
      <c r="E98">
        <v>0.56990980000000002</v>
      </c>
      <c r="F98" t="s">
        <v>41</v>
      </c>
      <c r="G98">
        <v>-472.71949999999998</v>
      </c>
      <c r="H98">
        <v>0.95943460000000003</v>
      </c>
      <c r="I98">
        <v>367.06470000000002</v>
      </c>
      <c r="J98">
        <v>-473.34910000000002</v>
      </c>
      <c r="K98">
        <v>1.109799</v>
      </c>
      <c r="L98">
        <v>367.19979999999998</v>
      </c>
      <c r="M98">
        <v>0.99997440000000004</v>
      </c>
      <c r="N98">
        <v>0</v>
      </c>
      <c r="O98">
        <v>-5.7554290000000003E-3</v>
      </c>
      <c r="P98">
        <v>0.99053760000000002</v>
      </c>
      <c r="Q98">
        <v>0.136128</v>
      </c>
      <c r="R98">
        <v>-1.7458789999999998E-2</v>
      </c>
      <c r="S98">
        <v>3.1127319999999998</v>
      </c>
      <c r="T98">
        <v>-0.67585490000000004</v>
      </c>
      <c r="U98">
        <v>-0.60998540000000001</v>
      </c>
      <c r="V98">
        <v>1.177008E-2</v>
      </c>
      <c r="W98">
        <v>0.1403771</v>
      </c>
      <c r="X98">
        <v>0.99002809999999997</v>
      </c>
      <c r="Y98">
        <v>0.18268509999999999</v>
      </c>
      <c r="Z98">
        <v>-1.8202059999999999E-2</v>
      </c>
      <c r="AA98">
        <v>0.98300299999999996</v>
      </c>
      <c r="AB98">
        <v>8</v>
      </c>
      <c r="AC98">
        <v>0.62960000000003902</v>
      </c>
      <c r="AD98">
        <v>-0.15036440000000001</v>
      </c>
      <c r="AE98">
        <v>-0.135099999999965</v>
      </c>
      <c r="AF98">
        <v>0.124675927636926</v>
      </c>
      <c r="AG98">
        <v>-0.15036440000000001</v>
      </c>
      <c r="AH98">
        <v>0.59777249465569704</v>
      </c>
      <c r="AI98">
        <v>103.83343324346799</v>
      </c>
      <c r="AJ98">
        <v>78.218851828212905</v>
      </c>
      <c r="AK98">
        <v>0.62887637504233196</v>
      </c>
      <c r="AL98">
        <v>81.930331629857804</v>
      </c>
      <c r="AM98">
        <v>89.318863637078906</v>
      </c>
      <c r="AN98">
        <v>0.99999995188861202</v>
      </c>
    </row>
    <row r="99" spans="1:40" x14ac:dyDescent="0.25">
      <c r="A99" t="str">
        <f>"20190312172332983"</f>
        <v>20190312172332983</v>
      </c>
      <c r="B99" t="str">
        <f>"1552382612969891"</f>
        <v>1552382612969891</v>
      </c>
      <c r="C99" t="s">
        <v>40</v>
      </c>
      <c r="D99">
        <v>3.642576</v>
      </c>
      <c r="E99">
        <v>0.56993819999999995</v>
      </c>
      <c r="F99" t="s">
        <v>41</v>
      </c>
      <c r="G99">
        <v>-472.65910000000002</v>
      </c>
      <c r="H99">
        <v>0.95874760000000003</v>
      </c>
      <c r="I99">
        <v>367.0641</v>
      </c>
      <c r="J99">
        <v>-473.2842</v>
      </c>
      <c r="K99">
        <v>1.1102829999999999</v>
      </c>
      <c r="L99">
        <v>367.19929999999999</v>
      </c>
      <c r="M99">
        <v>0.99996359999999995</v>
      </c>
      <c r="N99">
        <v>0</v>
      </c>
      <c r="O99">
        <v>-5.8195240000000004E-3</v>
      </c>
      <c r="P99">
        <v>0.99082119999999996</v>
      </c>
      <c r="Q99">
        <v>0.134051799999999</v>
      </c>
      <c r="R99">
        <v>-1.7421969999999998E-2</v>
      </c>
      <c r="S99">
        <v>3.1115110000000001</v>
      </c>
      <c r="T99">
        <v>-0.68127629999999995</v>
      </c>
      <c r="U99">
        <v>-0.61093140000000001</v>
      </c>
      <c r="V99">
        <v>1.166358E-2</v>
      </c>
      <c r="W99">
        <v>0.14023169999999999</v>
      </c>
      <c r="X99">
        <v>0.99004999999999999</v>
      </c>
      <c r="Y99">
        <v>0.18291289999999999</v>
      </c>
      <c r="Z99">
        <v>-1.8361860000000001E-2</v>
      </c>
      <c r="AA99">
        <v>0.98295770000000005</v>
      </c>
      <c r="AB99">
        <v>7</v>
      </c>
      <c r="AC99">
        <v>0.62509999999997401</v>
      </c>
      <c r="AD99">
        <v>-0.15153539999999899</v>
      </c>
      <c r="AE99">
        <v>-0.13519999999999699</v>
      </c>
      <c r="AF99">
        <v>0.12456665674567299</v>
      </c>
      <c r="AG99">
        <v>-0.15153539999999899</v>
      </c>
      <c r="AH99">
        <v>0.59260713913403096</v>
      </c>
      <c r="AI99">
        <v>104.049242937489</v>
      </c>
      <c r="AJ99">
        <v>78.1291872705022</v>
      </c>
      <c r="AK99">
        <v>0.62422996626129301</v>
      </c>
      <c r="AL99">
        <v>81.938745938650598</v>
      </c>
      <c r="AM99">
        <v>89.325041164964105</v>
      </c>
      <c r="AN99">
        <v>0.99999998564165304</v>
      </c>
    </row>
    <row r="100" spans="1:40" x14ac:dyDescent="0.25">
      <c r="A100" t="str">
        <f>"20190312172333005"</f>
        <v>20190312172333005</v>
      </c>
      <c r="B100" t="str">
        <f>"1552382613000147"</f>
        <v>1552382613000147</v>
      </c>
      <c r="C100" t="s">
        <v>40</v>
      </c>
      <c r="D100">
        <v>3.6427170000000002</v>
      </c>
      <c r="E100">
        <v>0.56995059999999997</v>
      </c>
      <c r="F100" t="s">
        <v>41</v>
      </c>
      <c r="G100">
        <v>-472.54250000000002</v>
      </c>
      <c r="H100">
        <v>0.94620700000000002</v>
      </c>
      <c r="I100">
        <v>367.053</v>
      </c>
      <c r="J100">
        <v>-473.21440000000001</v>
      </c>
      <c r="K100">
        <v>1.1101319999999999</v>
      </c>
      <c r="L100">
        <v>367.19889999999998</v>
      </c>
      <c r="M100">
        <v>0.99996379999999996</v>
      </c>
      <c r="N100">
        <v>0</v>
      </c>
      <c r="O100">
        <v>-5.8808039999999999E-3</v>
      </c>
      <c r="P100">
        <v>0.99081719999999895</v>
      </c>
      <c r="Q100">
        <v>0.13411099999999901</v>
      </c>
      <c r="R100">
        <v>-1.719946E-2</v>
      </c>
      <c r="S100">
        <v>3.1101070000000002</v>
      </c>
      <c r="T100">
        <v>-0.68811420000000001</v>
      </c>
      <c r="U100">
        <v>-0.61065669999999905</v>
      </c>
      <c r="V100">
        <v>1.137898E-2</v>
      </c>
      <c r="W100">
        <v>0.14022699999999999</v>
      </c>
      <c r="X100">
        <v>0.99005399999999999</v>
      </c>
      <c r="Y100">
        <v>0.1827734</v>
      </c>
      <c r="Z100">
        <v>-1.8521739999999998E-2</v>
      </c>
      <c r="AA100">
        <v>0.98298059999999998</v>
      </c>
      <c r="AB100">
        <v>6</v>
      </c>
      <c r="AC100">
        <v>0.67189999999999295</v>
      </c>
      <c r="AD100">
        <v>-0.16392499999999899</v>
      </c>
      <c r="AE100">
        <v>-0.14589999999992601</v>
      </c>
      <c r="AF100">
        <v>0.134311519979703</v>
      </c>
      <c r="AG100">
        <v>-0.16392499999999899</v>
      </c>
      <c r="AH100">
        <v>0.63656274278337599</v>
      </c>
      <c r="AI100">
        <v>104.142333336631</v>
      </c>
      <c r="AJ100">
        <v>78.0856335371775</v>
      </c>
      <c r="AK100">
        <v>0.67091215186800202</v>
      </c>
      <c r="AL100">
        <v>81.939018096146597</v>
      </c>
      <c r="AM100">
        <v>89.341511852833094</v>
      </c>
      <c r="AN100">
        <v>1.0000000078154201</v>
      </c>
    </row>
    <row r="101" spans="1:40" x14ac:dyDescent="0.25">
      <c r="A101" t="str">
        <f>"20190312172333028"</f>
        <v>20190312172333028</v>
      </c>
      <c r="B101" t="str">
        <f>"1552382613019667"</f>
        <v>1552382613019667</v>
      </c>
      <c r="C101" t="s">
        <v>40</v>
      </c>
      <c r="D101">
        <v>3.6223779999999999</v>
      </c>
      <c r="E101">
        <v>0.56998349999999998</v>
      </c>
      <c r="F101" t="s">
        <v>41</v>
      </c>
      <c r="G101">
        <v>-472.4753</v>
      </c>
      <c r="H101">
        <v>0.94659919999999997</v>
      </c>
      <c r="I101">
        <v>367.05349999999999</v>
      </c>
      <c r="J101">
        <v>-473.13369999999998</v>
      </c>
      <c r="K101">
        <v>1.1097440000000001</v>
      </c>
      <c r="L101">
        <v>367.19830000000002</v>
      </c>
      <c r="M101">
        <v>0.99996879999999999</v>
      </c>
      <c r="N101">
        <v>0</v>
      </c>
      <c r="O101">
        <v>-5.9615559999999998E-3</v>
      </c>
      <c r="P101">
        <v>0.99061949999999999</v>
      </c>
      <c r="Q101">
        <v>0.13556760000000001</v>
      </c>
      <c r="R101">
        <v>-1.7166049999999999E-2</v>
      </c>
      <c r="S101">
        <v>3.1103519999999998</v>
      </c>
      <c r="T101">
        <v>-0.68823769999999995</v>
      </c>
      <c r="U101">
        <v>-0.61053469999999999</v>
      </c>
      <c r="V101">
        <v>1.126665E-2</v>
      </c>
      <c r="W101">
        <v>0.14070569999999999</v>
      </c>
      <c r="X101">
        <v>0.98998739999999996</v>
      </c>
      <c r="Y101">
        <v>0.18264630000000001</v>
      </c>
      <c r="Z101">
        <v>-1.8492419999999999E-2</v>
      </c>
      <c r="AA101">
        <v>0.98300469999999895</v>
      </c>
      <c r="AB101">
        <v>7</v>
      </c>
      <c r="AC101">
        <v>0.65839999999997101</v>
      </c>
      <c r="AD101">
        <v>-0.16314480000000001</v>
      </c>
      <c r="AE101">
        <v>-0.14480000000003199</v>
      </c>
      <c r="AF101">
        <v>0.13307828736347499</v>
      </c>
      <c r="AG101">
        <v>-0.16314480000000001</v>
      </c>
      <c r="AH101">
        <v>0.62277733424300097</v>
      </c>
      <c r="AI101">
        <v>104.369005123226</v>
      </c>
      <c r="AJ101">
        <v>77.938144396419005</v>
      </c>
      <c r="AK101">
        <v>0.65740220898735602</v>
      </c>
      <c r="AL101">
        <v>81.911316228848406</v>
      </c>
      <c r="AM101">
        <v>89.347967835659801</v>
      </c>
      <c r="AN101">
        <v>1.0000000417867301</v>
      </c>
    </row>
    <row r="102" spans="1:40" x14ac:dyDescent="0.25">
      <c r="A102" t="str">
        <f>"20190312172333040"</f>
        <v>20190312172333040</v>
      </c>
      <c r="B102" t="str">
        <f>"1552382613030404"</f>
        <v>1552382613030404</v>
      </c>
      <c r="C102" t="s">
        <v>40</v>
      </c>
      <c r="D102">
        <v>3.6304590000000001</v>
      </c>
      <c r="E102">
        <v>0.56997469999999995</v>
      </c>
      <c r="F102" t="s">
        <v>41</v>
      </c>
      <c r="G102">
        <v>-472.40499999999997</v>
      </c>
      <c r="H102">
        <v>0.94953010000000004</v>
      </c>
      <c r="I102">
        <v>367.05450000000002</v>
      </c>
      <c r="J102">
        <v>-473.09019999999998</v>
      </c>
      <c r="K102">
        <v>1.109567</v>
      </c>
      <c r="L102">
        <v>367.19799999999998</v>
      </c>
      <c r="M102">
        <v>0.99997119999999995</v>
      </c>
      <c r="N102">
        <v>0</v>
      </c>
      <c r="O102">
        <v>-6.0069040000000004E-3</v>
      </c>
      <c r="P102">
        <v>0.99056330000000004</v>
      </c>
      <c r="Q102">
        <v>0.13598099999999999</v>
      </c>
      <c r="R102">
        <v>-1.7141030000000002E-2</v>
      </c>
      <c r="S102">
        <v>3.1114809999999999</v>
      </c>
      <c r="T102">
        <v>-0.68423519999999904</v>
      </c>
      <c r="U102">
        <v>-0.610321</v>
      </c>
      <c r="V102">
        <v>1.119737E-2</v>
      </c>
      <c r="W102">
        <v>0.14061170000000001</v>
      </c>
      <c r="X102">
        <v>0.99000149999999998</v>
      </c>
      <c r="Y102">
        <v>0.1825233</v>
      </c>
      <c r="Z102">
        <v>-1.8358030000000001E-2</v>
      </c>
      <c r="AA102">
        <v>0.98303010000000002</v>
      </c>
      <c r="AB102">
        <v>8</v>
      </c>
      <c r="AC102">
        <v>0.68520000000000802</v>
      </c>
      <c r="AD102">
        <v>-0.16003690000000001</v>
      </c>
      <c r="AE102">
        <v>-0.143500000000017</v>
      </c>
      <c r="AF102">
        <v>0.13245921517847201</v>
      </c>
      <c r="AG102">
        <v>-0.16003690000000001</v>
      </c>
      <c r="AH102">
        <v>0.65197776069493996</v>
      </c>
      <c r="AI102">
        <v>103.52549699276599</v>
      </c>
      <c r="AJ102">
        <v>78.515794696043599</v>
      </c>
      <c r="AK102">
        <v>0.68427498382455498</v>
      </c>
      <c r="AL102">
        <v>81.916755779602497</v>
      </c>
      <c r="AM102">
        <v>89.3519861463231</v>
      </c>
      <c r="AN102">
        <v>1.00000000063702</v>
      </c>
    </row>
    <row r="103" spans="1:40" x14ac:dyDescent="0.25">
      <c r="A103" t="str">
        <f>"20190312172333061"</f>
        <v>20190312172333061</v>
      </c>
      <c r="B103" t="str">
        <f>"1552382613049923"</f>
        <v>1552382613049923</v>
      </c>
      <c r="C103" t="s">
        <v>40</v>
      </c>
      <c r="D103">
        <v>3.6111249999999999</v>
      </c>
      <c r="E103">
        <v>0.56994549999999999</v>
      </c>
      <c r="F103" t="s">
        <v>41</v>
      </c>
      <c r="G103">
        <v>-472.40109999999999</v>
      </c>
      <c r="H103">
        <v>0.95832989999999996</v>
      </c>
      <c r="I103">
        <v>367.06209999999999</v>
      </c>
      <c r="J103">
        <v>-473.01839999999999</v>
      </c>
      <c r="K103">
        <v>1.1093789999999999</v>
      </c>
      <c r="L103">
        <v>367.19749999999999</v>
      </c>
      <c r="M103">
        <v>0.99997340000000001</v>
      </c>
      <c r="N103">
        <v>0</v>
      </c>
      <c r="O103">
        <v>-6.0823209999999999E-3</v>
      </c>
      <c r="P103">
        <v>0.99041829999999997</v>
      </c>
      <c r="Q103">
        <v>0.13708879999999901</v>
      </c>
      <c r="R103">
        <v>-1.6682510000000001E-2</v>
      </c>
      <c r="S103">
        <v>3.1117859999999999</v>
      </c>
      <c r="T103">
        <v>-0.68310990000000005</v>
      </c>
      <c r="U103">
        <v>-0.61001590000000006</v>
      </c>
      <c r="V103">
        <v>1.0665890000000001E-2</v>
      </c>
      <c r="W103">
        <v>0.14110410000000001</v>
      </c>
      <c r="X103">
        <v>0.98993730000000002</v>
      </c>
      <c r="Y103">
        <v>0.18235750000000001</v>
      </c>
      <c r="Z103">
        <v>-1.8292940000000001E-2</v>
      </c>
      <c r="AA103">
        <v>0.98306210000000005</v>
      </c>
      <c r="AB103">
        <v>8</v>
      </c>
      <c r="AC103">
        <v>0.61729999999999996</v>
      </c>
      <c r="AD103">
        <v>-0.15104909999999999</v>
      </c>
      <c r="AE103">
        <v>-0.13540000000000399</v>
      </c>
      <c r="AF103">
        <v>0.12452896376528599</v>
      </c>
      <c r="AG103">
        <v>-0.15104909999999999</v>
      </c>
      <c r="AH103">
        <v>0.58470980085235502</v>
      </c>
      <c r="AI103">
        <v>104.179865226761</v>
      </c>
      <c r="AJ103">
        <v>77.977026639581197</v>
      </c>
      <c r="AK103">
        <v>0.61661077240027695</v>
      </c>
      <c r="AL103">
        <v>81.888259160135703</v>
      </c>
      <c r="AM103">
        <v>89.382701473790704</v>
      </c>
      <c r="AN103">
        <v>0.99999999308879595</v>
      </c>
    </row>
    <row r="104" spans="1:40" x14ac:dyDescent="0.25">
      <c r="A104" t="str">
        <f>"20190312172333085"</f>
        <v>20190312172333085</v>
      </c>
      <c r="B104" t="str">
        <f>"1552382613080179"</f>
        <v>1552382613080179</v>
      </c>
      <c r="C104" t="s">
        <v>40</v>
      </c>
      <c r="D104">
        <v>3.6427830000000001</v>
      </c>
      <c r="E104">
        <v>0.56995620000000002</v>
      </c>
      <c r="F104" t="s">
        <v>41</v>
      </c>
      <c r="G104">
        <v>-472.33</v>
      </c>
      <c r="H104">
        <v>0.9592311</v>
      </c>
      <c r="I104">
        <v>367.06229999999999</v>
      </c>
      <c r="J104">
        <v>-472.93310000000002</v>
      </c>
      <c r="K104">
        <v>1.1092310000000001</v>
      </c>
      <c r="L104">
        <v>367.19690000000003</v>
      </c>
      <c r="M104">
        <v>0.99997510000000001</v>
      </c>
      <c r="N104">
        <v>0</v>
      </c>
      <c r="O104">
        <v>-6.1668819999999899E-3</v>
      </c>
      <c r="P104">
        <v>0.99029900000000004</v>
      </c>
      <c r="Q104">
        <v>0.13800879999999999</v>
      </c>
      <c r="R104">
        <v>-1.617561E-2</v>
      </c>
      <c r="S104">
        <v>3.1127009999999999</v>
      </c>
      <c r="T104">
        <v>-0.67907130000000004</v>
      </c>
      <c r="U104">
        <v>-0.60983279999999995</v>
      </c>
      <c r="V104">
        <v>1.0076450000000001E-2</v>
      </c>
      <c r="W104">
        <v>0.14141570000000001</v>
      </c>
      <c r="X104">
        <v>0.98989899999999997</v>
      </c>
      <c r="Y104">
        <v>0.18221870000000001</v>
      </c>
      <c r="Z104">
        <v>-1.8149289999999998E-2</v>
      </c>
      <c r="AA104">
        <v>0.98309049999999998</v>
      </c>
      <c r="AB104">
        <v>8</v>
      </c>
      <c r="AC104">
        <v>0.60310000000004005</v>
      </c>
      <c r="AD104">
        <v>-0.14999989999999899</v>
      </c>
      <c r="AE104">
        <v>-0.134600000000034</v>
      </c>
      <c r="AF104">
        <v>0.12359542523127599</v>
      </c>
      <c r="AG104">
        <v>-0.14999989999999899</v>
      </c>
      <c r="AH104">
        <v>0.57031340558215404</v>
      </c>
      <c r="AI104">
        <v>104.415579889787</v>
      </c>
      <c r="AJ104">
        <v>77.772236494704302</v>
      </c>
      <c r="AK104">
        <v>0.60252234790489301</v>
      </c>
      <c r="AL104">
        <v>81.870224872255903</v>
      </c>
      <c r="AM104">
        <v>89.4167908868193</v>
      </c>
      <c r="AN104">
        <v>0.99999998262604595</v>
      </c>
    </row>
    <row r="105" spans="1:40" x14ac:dyDescent="0.25">
      <c r="A105" t="str">
        <f>"20190312172333106"</f>
        <v>20190312172333106</v>
      </c>
      <c r="B105" t="str">
        <f>"1552382613099700"</f>
        <v>1552382613099700</v>
      </c>
      <c r="C105" t="s">
        <v>40</v>
      </c>
      <c r="D105">
        <v>3.662887</v>
      </c>
      <c r="E105">
        <v>0.56996910000000001</v>
      </c>
      <c r="F105" t="s">
        <v>41</v>
      </c>
      <c r="G105">
        <v>-472.18790000000001</v>
      </c>
      <c r="H105">
        <v>0.94743690000000003</v>
      </c>
      <c r="I105">
        <v>367.05070000000001</v>
      </c>
      <c r="J105">
        <v>-472.85149999999999</v>
      </c>
      <c r="K105">
        <v>1.1091009999999999</v>
      </c>
      <c r="L105">
        <v>367.19639999999998</v>
      </c>
      <c r="M105">
        <v>0.99997670000000005</v>
      </c>
      <c r="N105">
        <v>0</v>
      </c>
      <c r="O105">
        <v>-6.2416839999999999E-3</v>
      </c>
      <c r="P105">
        <v>0.99013649999999997</v>
      </c>
      <c r="Q105">
        <v>0.13922379999999901</v>
      </c>
      <c r="R105">
        <v>-1.5712739999999999E-2</v>
      </c>
      <c r="S105">
        <v>3.1136170000000001</v>
      </c>
      <c r="T105">
        <v>-0.67599730000000002</v>
      </c>
      <c r="U105">
        <v>-0.60934449999999996</v>
      </c>
      <c r="V105">
        <v>9.5411530000000001E-3</v>
      </c>
      <c r="W105">
        <v>0.14199200000000001</v>
      </c>
      <c r="X105">
        <v>0.98982179999999997</v>
      </c>
      <c r="Y105">
        <v>0.1819867</v>
      </c>
      <c r="Z105">
        <v>-1.8023560000000001E-2</v>
      </c>
      <c r="AA105">
        <v>0.9831358</v>
      </c>
      <c r="AB105">
        <v>8</v>
      </c>
      <c r="AC105">
        <v>0.66359999999997399</v>
      </c>
      <c r="AD105">
        <v>-0.16166410000000001</v>
      </c>
      <c r="AE105">
        <v>-0.14569999999997599</v>
      </c>
      <c r="AF105">
        <v>0.13396983314271399</v>
      </c>
      <c r="AG105">
        <v>-0.16166410000000001</v>
      </c>
      <c r="AH105">
        <v>0.62888898634942403</v>
      </c>
      <c r="AI105">
        <v>104.112874653055</v>
      </c>
      <c r="AJ105">
        <v>77.974257150181501</v>
      </c>
      <c r="AK105">
        <v>0.66301173034321403</v>
      </c>
      <c r="AL105">
        <v>81.836868687532302</v>
      </c>
      <c r="AM105">
        <v>89.447727996850404</v>
      </c>
      <c r="AN105">
        <v>0.99999997870990398</v>
      </c>
    </row>
    <row r="106" spans="1:40" x14ac:dyDescent="0.25">
      <c r="A106" t="str">
        <f>"20190312172333128"</f>
        <v>20190312172333128</v>
      </c>
      <c r="B106" t="str">
        <f>"1552382613120196"</f>
        <v>1552382613120196</v>
      </c>
      <c r="C106" t="s">
        <v>40</v>
      </c>
      <c r="D106">
        <v>3.6293319999999998</v>
      </c>
      <c r="E106">
        <v>0.56994789999999995</v>
      </c>
      <c r="F106" t="s">
        <v>41</v>
      </c>
      <c r="G106">
        <v>-472.10980000000001</v>
      </c>
      <c r="H106">
        <v>0.94908079999999995</v>
      </c>
      <c r="I106">
        <v>367.05119999999999</v>
      </c>
      <c r="J106">
        <v>-472.76859999999999</v>
      </c>
      <c r="K106">
        <v>1.108965</v>
      </c>
      <c r="L106">
        <v>367.19580000000002</v>
      </c>
      <c r="M106">
        <v>0.99997789999999998</v>
      </c>
      <c r="N106">
        <v>0</v>
      </c>
      <c r="O106">
        <v>-6.3107719999999897E-3</v>
      </c>
      <c r="P106">
        <v>0.98998120000000001</v>
      </c>
      <c r="Q106">
        <v>0.14034369999999999</v>
      </c>
      <c r="R106">
        <v>-1.551568E-2</v>
      </c>
      <c r="S106">
        <v>3.1147459999999998</v>
      </c>
      <c r="T106">
        <v>-0.67201049999999996</v>
      </c>
      <c r="U106">
        <v>-0.60876459999999999</v>
      </c>
      <c r="V106">
        <v>9.2769819999999996E-3</v>
      </c>
      <c r="W106">
        <v>0.14240259999999999</v>
      </c>
      <c r="X106">
        <v>0.98976529999999996</v>
      </c>
      <c r="Y106">
        <v>0.18173110000000001</v>
      </c>
      <c r="Z106">
        <v>-1.7872059999999999E-2</v>
      </c>
      <c r="AA106">
        <v>0.9831858</v>
      </c>
      <c r="AB106">
        <v>8</v>
      </c>
      <c r="AC106">
        <v>0.65879999999998495</v>
      </c>
      <c r="AD106">
        <v>-0.159884199999999</v>
      </c>
      <c r="AE106">
        <v>-0.14460000000002499</v>
      </c>
      <c r="AF106">
        <v>0.132967922639431</v>
      </c>
      <c r="AG106">
        <v>-0.159884199999999</v>
      </c>
      <c r="AH106">
        <v>0.62460215815550202</v>
      </c>
      <c r="AI106">
        <v>104.056045432041</v>
      </c>
      <c r="AJ106">
        <v>77.9820410911408</v>
      </c>
      <c r="AK106">
        <v>0.65830941192815795</v>
      </c>
      <c r="AL106">
        <v>81.813101338479697</v>
      </c>
      <c r="AM106">
        <v>89.462987487281595</v>
      </c>
      <c r="AN106">
        <v>0.999999955982938</v>
      </c>
    </row>
    <row r="107" spans="1:40" x14ac:dyDescent="0.25">
      <c r="A107" t="str">
        <f>"20190312172333150"</f>
        <v>20190312172333150</v>
      </c>
      <c r="B107" t="str">
        <f>"1552382613139719"</f>
        <v>1552382613139719</v>
      </c>
      <c r="C107" t="s">
        <v>40</v>
      </c>
      <c r="D107">
        <v>3.6300629999999998</v>
      </c>
      <c r="E107">
        <v>0.56992209999999999</v>
      </c>
      <c r="F107" t="s">
        <v>41</v>
      </c>
      <c r="G107">
        <v>-472.02940000000001</v>
      </c>
      <c r="H107">
        <v>0.95031790000000005</v>
      </c>
      <c r="I107">
        <v>367.05149999999998</v>
      </c>
      <c r="J107">
        <v>-472.67610000000002</v>
      </c>
      <c r="K107">
        <v>1.1088549999999999</v>
      </c>
      <c r="L107">
        <v>367.19510000000002</v>
      </c>
      <c r="M107">
        <v>0.99997879999999995</v>
      </c>
      <c r="N107">
        <v>0</v>
      </c>
      <c r="O107">
        <v>-6.3798800000000001E-3</v>
      </c>
      <c r="P107">
        <v>0.98988100000000001</v>
      </c>
      <c r="Q107">
        <v>0.1410661</v>
      </c>
      <c r="R107">
        <v>-1.5365149999999999E-2</v>
      </c>
      <c r="S107">
        <v>3.1156920000000001</v>
      </c>
      <c r="T107">
        <v>-0.66886820000000002</v>
      </c>
      <c r="U107">
        <v>-0.60733029999999999</v>
      </c>
      <c r="V107">
        <v>9.0583959999999998E-3</v>
      </c>
      <c r="W107">
        <v>0.14242630000000001</v>
      </c>
      <c r="X107">
        <v>0.98976399999999998</v>
      </c>
      <c r="Y107">
        <v>0.1812214</v>
      </c>
      <c r="Z107">
        <v>-1.7717730000000001E-2</v>
      </c>
      <c r="AA107">
        <v>0.98328269999999995</v>
      </c>
      <c r="AB107">
        <v>9</v>
      </c>
      <c r="AC107">
        <v>0.64670000000000905</v>
      </c>
      <c r="AD107">
        <v>-0.15853709999999899</v>
      </c>
      <c r="AE107">
        <v>-0.14360000000004899</v>
      </c>
      <c r="AF107">
        <v>0.13191591824354301</v>
      </c>
      <c r="AG107">
        <v>-0.15853709999999899</v>
      </c>
      <c r="AH107">
        <v>0.612521722523099</v>
      </c>
      <c r="AI107">
        <v>104.19927679924101</v>
      </c>
      <c r="AJ107">
        <v>77.846116494928495</v>
      </c>
      <c r="AK107">
        <v>0.64631159832166996</v>
      </c>
      <c r="AL107">
        <v>81.811730142372397</v>
      </c>
      <c r="AM107">
        <v>89.475639273706406</v>
      </c>
      <c r="AN107">
        <v>1.0000000405828899</v>
      </c>
    </row>
    <row r="108" spans="1:40" x14ac:dyDescent="0.25">
      <c r="A108" t="str">
        <f>"20190312172333164"</f>
        <v>20190312172333164</v>
      </c>
      <c r="B108" t="str">
        <f>"1552382613160211"</f>
        <v>1552382613160211</v>
      </c>
      <c r="C108" t="s">
        <v>40</v>
      </c>
      <c r="D108">
        <v>3.6465939999999999</v>
      </c>
      <c r="E108">
        <v>0.5699419</v>
      </c>
      <c r="F108" t="s">
        <v>41</v>
      </c>
      <c r="G108">
        <v>-471.94650000000001</v>
      </c>
      <c r="H108">
        <v>0.95275140000000003</v>
      </c>
      <c r="I108">
        <v>367.05279999999999</v>
      </c>
      <c r="J108">
        <v>-472.6216</v>
      </c>
      <c r="K108">
        <v>1.1088180000000001</v>
      </c>
      <c r="L108">
        <v>367.19470000000001</v>
      </c>
      <c r="M108">
        <v>0.99997879999999995</v>
      </c>
      <c r="N108">
        <v>0</v>
      </c>
      <c r="O108">
        <v>-6.4166300000000004E-3</v>
      </c>
      <c r="P108">
        <v>0.98988589999999999</v>
      </c>
      <c r="Q108">
        <v>0.14104929999999999</v>
      </c>
      <c r="R108">
        <v>-1.5205939999999999E-2</v>
      </c>
      <c r="S108">
        <v>3.1162109999999998</v>
      </c>
      <c r="T108">
        <v>-0.66668749999999999</v>
      </c>
      <c r="U108">
        <v>-0.60702509999999998</v>
      </c>
      <c r="V108">
        <v>8.8624669999999902E-3</v>
      </c>
      <c r="W108">
        <v>0.14209249999999901</v>
      </c>
      <c r="X108">
        <v>0.98981370000000002</v>
      </c>
      <c r="Y108">
        <v>0.18109130000000001</v>
      </c>
      <c r="Z108">
        <v>-1.763721E-2</v>
      </c>
      <c r="AA108">
        <v>0.98330810000000002</v>
      </c>
      <c r="AB108">
        <v>9</v>
      </c>
      <c r="AC108">
        <v>0.67509999999998604</v>
      </c>
      <c r="AD108">
        <v>-0.156066599999999</v>
      </c>
      <c r="AE108">
        <v>-0.14190000000002001</v>
      </c>
      <c r="AF108">
        <v>0.13086729824613899</v>
      </c>
      <c r="AG108">
        <v>-0.156066599999999</v>
      </c>
      <c r="AH108">
        <v>0.64308303029146796</v>
      </c>
      <c r="AI108">
        <v>103.377074497267</v>
      </c>
      <c r="AJ108">
        <v>78.497384034456502</v>
      </c>
      <c r="AK108">
        <v>0.67456565079661501</v>
      </c>
      <c r="AL108">
        <v>81.831051582020194</v>
      </c>
      <c r="AM108">
        <v>89.487006103776494</v>
      </c>
      <c r="AN108">
        <v>0.99999999129263295</v>
      </c>
    </row>
    <row r="109" spans="1:40" x14ac:dyDescent="0.25">
      <c r="A109" t="str">
        <f>"20190312172333183"</f>
        <v>20190312172333183</v>
      </c>
      <c r="B109" t="str">
        <f>"1552382613179732"</f>
        <v>1552382613179732</v>
      </c>
      <c r="C109" t="s">
        <v>40</v>
      </c>
      <c r="D109">
        <v>3.623329</v>
      </c>
      <c r="E109">
        <v>0.56995280000000004</v>
      </c>
      <c r="F109" t="s">
        <v>41</v>
      </c>
      <c r="G109">
        <v>-471.8655</v>
      </c>
      <c r="H109">
        <v>0.94704060000000001</v>
      </c>
      <c r="I109">
        <v>367.04750000000001</v>
      </c>
      <c r="J109">
        <v>-472.54079999999999</v>
      </c>
      <c r="K109">
        <v>1.1088229999999999</v>
      </c>
      <c r="L109">
        <v>367.19409999999999</v>
      </c>
      <c r="M109">
        <v>0.99997879999999995</v>
      </c>
      <c r="N109">
        <v>0</v>
      </c>
      <c r="O109">
        <v>-6.4653740000000003E-3</v>
      </c>
      <c r="P109">
        <v>0.98982210000000004</v>
      </c>
      <c r="Q109">
        <v>0.14150170000000001</v>
      </c>
      <c r="R109">
        <v>-1.515363E-2</v>
      </c>
      <c r="S109">
        <v>3.116333</v>
      </c>
      <c r="T109">
        <v>-0.66678499999999996</v>
      </c>
      <c r="U109">
        <v>-0.60699459999999905</v>
      </c>
      <c r="V109">
        <v>8.7619389999999998E-3</v>
      </c>
      <c r="W109">
        <v>0.1422794</v>
      </c>
      <c r="X109">
        <v>0.9897878</v>
      </c>
      <c r="Y109">
        <v>0.18102840000000001</v>
      </c>
      <c r="Z109">
        <v>-1.7622280000000001E-2</v>
      </c>
      <c r="AA109">
        <v>0.98331999999999997</v>
      </c>
      <c r="AB109">
        <v>9</v>
      </c>
      <c r="AC109">
        <v>0.67529999999999202</v>
      </c>
      <c r="AD109">
        <v>-0.16178239999999999</v>
      </c>
      <c r="AE109">
        <v>-0.146599999999978</v>
      </c>
      <c r="AF109">
        <v>0.13484011610301599</v>
      </c>
      <c r="AG109">
        <v>-0.16178239999999999</v>
      </c>
      <c r="AH109">
        <v>0.64109453522744297</v>
      </c>
      <c r="AI109">
        <v>103.871667072479</v>
      </c>
      <c r="AJ109">
        <v>78.122224127838507</v>
      </c>
      <c r="AK109">
        <v>0.67480190053001898</v>
      </c>
      <c r="AL109">
        <v>81.820233519590502</v>
      </c>
      <c r="AM109">
        <v>89.492811477176602</v>
      </c>
      <c r="AN109">
        <v>1.0000000441341099</v>
      </c>
    </row>
    <row r="110" spans="1:40" x14ac:dyDescent="0.25">
      <c r="A110" t="str">
        <f>"20190312172333197"</f>
        <v>20190312172333197</v>
      </c>
      <c r="B110" t="str">
        <f>"1552382613189491"</f>
        <v>1552382613189491</v>
      </c>
      <c r="C110" t="s">
        <v>40</v>
      </c>
      <c r="D110">
        <v>3.6413519999999999</v>
      </c>
      <c r="E110">
        <v>0.56995609999999997</v>
      </c>
      <c r="F110" t="s">
        <v>41</v>
      </c>
      <c r="G110">
        <v>-471.78089999999997</v>
      </c>
      <c r="H110">
        <v>0.94663509999999995</v>
      </c>
      <c r="I110">
        <v>367.0455</v>
      </c>
      <c r="J110">
        <v>-472.48039999999997</v>
      </c>
      <c r="K110">
        <v>1.108862</v>
      </c>
      <c r="L110">
        <v>367.19369999999998</v>
      </c>
      <c r="M110">
        <v>0.9999787</v>
      </c>
      <c r="N110">
        <v>0</v>
      </c>
      <c r="O110">
        <v>-6.498724E-3</v>
      </c>
      <c r="P110">
        <v>0.98981240000000004</v>
      </c>
      <c r="Q110">
        <v>0.14159479999999999</v>
      </c>
      <c r="R110">
        <v>-1.491602E-2</v>
      </c>
      <c r="S110">
        <v>3.1166689999999999</v>
      </c>
      <c r="T110">
        <v>-0.66524329999999998</v>
      </c>
      <c r="U110">
        <v>-0.60726930000000001</v>
      </c>
      <c r="V110">
        <v>8.4911680000000003E-3</v>
      </c>
      <c r="W110">
        <v>0.1423054</v>
      </c>
      <c r="X110">
        <v>0.98978639999999996</v>
      </c>
      <c r="Y110">
        <v>0.18107719999999999</v>
      </c>
      <c r="Z110">
        <v>-1.757858E-2</v>
      </c>
      <c r="AA110">
        <v>0.98331179999999996</v>
      </c>
      <c r="AB110">
        <v>9</v>
      </c>
      <c r="AC110">
        <v>0.69950000000000001</v>
      </c>
      <c r="AD110">
        <v>-0.16222689999999901</v>
      </c>
      <c r="AE110">
        <v>-0.14819999999997399</v>
      </c>
      <c r="AF110">
        <v>0.13661850035723699</v>
      </c>
      <c r="AG110">
        <v>-0.16222689999999901</v>
      </c>
      <c r="AH110">
        <v>0.66615751808855395</v>
      </c>
      <c r="AI110">
        <v>103.417755861248</v>
      </c>
      <c r="AJ110">
        <v>78.410234315933295</v>
      </c>
      <c r="AK110">
        <v>0.69910515706106202</v>
      </c>
      <c r="AL110">
        <v>81.818728334910602</v>
      </c>
      <c r="AM110">
        <v>89.508483693945905</v>
      </c>
      <c r="AN110">
        <v>1.0000000222140599</v>
      </c>
    </row>
    <row r="111" spans="1:40" x14ac:dyDescent="0.25">
      <c r="A111" t="str">
        <f>"20190312172333229"</f>
        <v>20190312172333229</v>
      </c>
      <c r="B111" t="str">
        <f>"1552382613219747"</f>
        <v>1552382613219747</v>
      </c>
      <c r="C111" t="s">
        <v>40</v>
      </c>
      <c r="D111">
        <v>3.6191689999999999</v>
      </c>
      <c r="E111">
        <v>0.56998070000000001</v>
      </c>
      <c r="F111" t="s">
        <v>41</v>
      </c>
      <c r="G111">
        <v>-471.77569999999997</v>
      </c>
      <c r="H111">
        <v>0.95856520000000001</v>
      </c>
      <c r="I111">
        <v>367.05590000000001</v>
      </c>
      <c r="J111">
        <v>-472.34390000000002</v>
      </c>
      <c r="K111">
        <v>1.1089549999999999</v>
      </c>
      <c r="L111">
        <v>367.1927</v>
      </c>
      <c r="M111">
        <v>0.99997820000000004</v>
      </c>
      <c r="N111">
        <v>0</v>
      </c>
      <c r="O111">
        <v>-6.5718039999999997E-3</v>
      </c>
      <c r="P111">
        <v>0.98969969999999996</v>
      </c>
      <c r="Q111">
        <v>0.1423024</v>
      </c>
      <c r="R111">
        <v>-1.5654230000000002E-2</v>
      </c>
      <c r="S111">
        <v>3.1168209999999998</v>
      </c>
      <c r="T111">
        <v>-0.66497249999999997</v>
      </c>
      <c r="U111">
        <v>-0.60705569999999998</v>
      </c>
      <c r="V111">
        <v>9.1575849999999993E-3</v>
      </c>
      <c r="W111">
        <v>0.14302570000000001</v>
      </c>
      <c r="X111">
        <v>0.98967660000000002</v>
      </c>
      <c r="Y111">
        <v>0.1809394</v>
      </c>
      <c r="Z111">
        <v>-1.7541169999999998E-2</v>
      </c>
      <c r="AA111">
        <v>0.98333780000000004</v>
      </c>
      <c r="AB111">
        <v>9</v>
      </c>
      <c r="AC111">
        <v>0.568200000000047</v>
      </c>
      <c r="AD111">
        <v>-0.15038979999999899</v>
      </c>
      <c r="AE111">
        <v>-0.13679999999999301</v>
      </c>
      <c r="AF111">
        <v>0.12479924231593301</v>
      </c>
      <c r="AG111">
        <v>-0.15038979999999899</v>
      </c>
      <c r="AH111">
        <v>0.53374434942264104</v>
      </c>
      <c r="AI111">
        <v>105.342349330747</v>
      </c>
      <c r="AJ111">
        <v>76.839624019061404</v>
      </c>
      <c r="AK111">
        <v>0.56839684496596998</v>
      </c>
      <c r="AL111">
        <v>81.7770314209465</v>
      </c>
      <c r="AM111">
        <v>89.469851063349196</v>
      </c>
      <c r="AN111">
        <v>0.99999999240554105</v>
      </c>
    </row>
    <row r="112" spans="1:40" x14ac:dyDescent="0.25">
      <c r="A112" t="str">
        <f>"20190312172333250"</f>
        <v>20190312172333250</v>
      </c>
      <c r="B112" t="str">
        <f>"1552382613240243"</f>
        <v>1552382613240243</v>
      </c>
      <c r="C112" t="s">
        <v>40</v>
      </c>
      <c r="D112">
        <v>3.6086079999999998</v>
      </c>
      <c r="E112">
        <v>0.57000699999999904</v>
      </c>
      <c r="F112" t="s">
        <v>41</v>
      </c>
      <c r="G112">
        <v>-471.6046</v>
      </c>
      <c r="H112">
        <v>0.95166099999999998</v>
      </c>
      <c r="I112">
        <v>367.0478</v>
      </c>
      <c r="J112">
        <v>-472.24799999999999</v>
      </c>
      <c r="K112">
        <v>1.109005</v>
      </c>
      <c r="L112">
        <v>367.19200000000001</v>
      </c>
      <c r="M112">
        <v>0.99997789999999998</v>
      </c>
      <c r="N112">
        <v>0</v>
      </c>
      <c r="O112">
        <v>-6.6246350000000002E-3</v>
      </c>
      <c r="P112">
        <v>0.98975630000000003</v>
      </c>
      <c r="Q112">
        <v>0.1418565</v>
      </c>
      <c r="R112">
        <v>-1.6112580000000001E-2</v>
      </c>
      <c r="S112">
        <v>3.116943</v>
      </c>
      <c r="T112">
        <v>-0.66338459999999999</v>
      </c>
      <c r="U112">
        <v>-0.60913090000000003</v>
      </c>
      <c r="V112">
        <v>9.5635949999999994E-3</v>
      </c>
      <c r="W112">
        <v>0.142627799999999</v>
      </c>
      <c r="X112">
        <v>0.9897302</v>
      </c>
      <c r="Y112">
        <v>0.18151829999999999</v>
      </c>
      <c r="Z112">
        <v>-1.7547799999999999E-2</v>
      </c>
      <c r="AA112">
        <v>0.98323099999999997</v>
      </c>
      <c r="AB112">
        <v>10</v>
      </c>
      <c r="AC112">
        <v>0.64340000000004205</v>
      </c>
      <c r="AD112">
        <v>-0.15734399999999901</v>
      </c>
      <c r="AE112">
        <v>-0.144199999999955</v>
      </c>
      <c r="AF112">
        <v>0.13239532786914601</v>
      </c>
      <c r="AG112">
        <v>-0.15734399999999901</v>
      </c>
      <c r="AH112">
        <v>0.60962615343156601</v>
      </c>
      <c r="AI112">
        <v>104.155881322364</v>
      </c>
      <c r="AJ112">
        <v>77.747081686585204</v>
      </c>
      <c r="AK112">
        <v>0.64337368933252603</v>
      </c>
      <c r="AL112">
        <v>81.8000657120174</v>
      </c>
      <c r="AM112">
        <v>89.446377833846697</v>
      </c>
      <c r="AN112">
        <v>1.0000000102371001</v>
      </c>
    </row>
    <row r="113" spans="1:40" x14ac:dyDescent="0.25">
      <c r="A113" t="str">
        <f>"20190312172333275"</f>
        <v>20190312172333275</v>
      </c>
      <c r="B113" t="str">
        <f>"1552382613269523"</f>
        <v>1552382613269523</v>
      </c>
      <c r="C113" t="s">
        <v>40</v>
      </c>
      <c r="D113">
        <v>3.6428250000000002</v>
      </c>
      <c r="E113">
        <v>0.57002439999999999</v>
      </c>
      <c r="F113" t="s">
        <v>41</v>
      </c>
      <c r="G113">
        <v>-471.51490000000001</v>
      </c>
      <c r="H113">
        <v>0.95249499999999998</v>
      </c>
      <c r="I113">
        <v>367.04820000000001</v>
      </c>
      <c r="J113">
        <v>-472.13869999999997</v>
      </c>
      <c r="K113">
        <v>1.1090390000000001</v>
      </c>
      <c r="L113">
        <v>367.19119999999998</v>
      </c>
      <c r="M113">
        <v>0.99997729999999996</v>
      </c>
      <c r="N113">
        <v>0</v>
      </c>
      <c r="O113">
        <v>-6.6877200000000003E-3</v>
      </c>
      <c r="P113">
        <v>0.98975440000000003</v>
      </c>
      <c r="Q113">
        <v>0.14181389999999999</v>
      </c>
      <c r="R113">
        <v>-1.658838E-2</v>
      </c>
      <c r="S113">
        <v>3.1165159999999998</v>
      </c>
      <c r="T113">
        <v>-0.66527819999999904</v>
      </c>
      <c r="U113">
        <v>-0.60995480000000002</v>
      </c>
      <c r="V113">
        <v>9.9780570000000002E-3</v>
      </c>
      <c r="W113">
        <v>0.14263339999999999</v>
      </c>
      <c r="X113">
        <v>0.98972530000000003</v>
      </c>
      <c r="Y113">
        <v>0.18170720000000001</v>
      </c>
      <c r="Z113">
        <v>-1.7605280000000001E-2</v>
      </c>
      <c r="AA113">
        <v>0.98319509999999999</v>
      </c>
      <c r="AB113">
        <v>10</v>
      </c>
      <c r="AC113">
        <v>0.62379999999996005</v>
      </c>
      <c r="AD113">
        <v>-0.15654399999999899</v>
      </c>
      <c r="AE113">
        <v>-0.14299999999997201</v>
      </c>
      <c r="AF113">
        <v>0.13098764993895001</v>
      </c>
      <c r="AG113">
        <v>-0.15654399999999899</v>
      </c>
      <c r="AH113">
        <v>0.58947262726215999</v>
      </c>
      <c r="AI113">
        <v>104.53357477642901</v>
      </c>
      <c r="AJ113">
        <v>77.471772790177894</v>
      </c>
      <c r="AK113">
        <v>0.62381228479718298</v>
      </c>
      <c r="AL113">
        <v>81.799741530609793</v>
      </c>
      <c r="AM113">
        <v>89.422383982809905</v>
      </c>
      <c r="AN113">
        <v>1.0000000089385701</v>
      </c>
    </row>
    <row r="114" spans="1:40" x14ac:dyDescent="0.25">
      <c r="A114" t="str">
        <f>"20190312172333296"</f>
        <v>20190312172333296</v>
      </c>
      <c r="B114" t="str">
        <f>"1552382613290019"</f>
        <v>1552382613290019</v>
      </c>
      <c r="C114" t="s">
        <v>40</v>
      </c>
      <c r="D114">
        <v>3.6341290000000002</v>
      </c>
      <c r="E114">
        <v>0.57005439999999996</v>
      </c>
      <c r="F114" t="s">
        <v>41</v>
      </c>
      <c r="G114">
        <v>-471.42239999999998</v>
      </c>
      <c r="H114">
        <v>0.95603749999999998</v>
      </c>
      <c r="I114">
        <v>367.05</v>
      </c>
      <c r="J114">
        <v>-472.03739999999999</v>
      </c>
      <c r="K114">
        <v>1.109054</v>
      </c>
      <c r="L114">
        <v>367.19049999999999</v>
      </c>
      <c r="M114">
        <v>0.999977</v>
      </c>
      <c r="N114">
        <v>0</v>
      </c>
      <c r="O114">
        <v>-6.7487759999999997E-3</v>
      </c>
      <c r="P114">
        <v>0.98981019999999997</v>
      </c>
      <c r="Q114">
        <v>0.1414252</v>
      </c>
      <c r="R114">
        <v>-1.6580080000000001E-2</v>
      </c>
      <c r="S114">
        <v>3.1161799999999999</v>
      </c>
      <c r="T114">
        <v>-0.66571829999999999</v>
      </c>
      <c r="U114">
        <v>-0.61141969999999901</v>
      </c>
      <c r="V114">
        <v>9.9100400000000002E-3</v>
      </c>
      <c r="W114">
        <v>0.142282299999999</v>
      </c>
      <c r="X114">
        <v>0.98977649999999995</v>
      </c>
      <c r="Y114">
        <v>0.1820997</v>
      </c>
      <c r="Z114">
        <v>-1.7646040000000002E-2</v>
      </c>
      <c r="AA114">
        <v>0.98312169999999999</v>
      </c>
      <c r="AB114">
        <v>10</v>
      </c>
      <c r="AC114">
        <v>0.61500000000000898</v>
      </c>
      <c r="AD114">
        <v>-0.1530165</v>
      </c>
      <c r="AE114">
        <v>-0.14049999999997401</v>
      </c>
      <c r="AF114">
        <v>0.12877018478549701</v>
      </c>
      <c r="AG114">
        <v>-0.1530165</v>
      </c>
      <c r="AH114">
        <v>0.581709655387041</v>
      </c>
      <c r="AI114">
        <v>104.403894065073</v>
      </c>
      <c r="AJ114">
        <v>77.518002161735296</v>
      </c>
      <c r="AK114">
        <v>0.61512757451804301</v>
      </c>
      <c r="AL114">
        <v>81.820065215339994</v>
      </c>
      <c r="AM114">
        <v>89.426350803246507</v>
      </c>
      <c r="AN114">
        <v>0.99999999086917002</v>
      </c>
    </row>
    <row r="115" spans="1:40" x14ac:dyDescent="0.25">
      <c r="A115" t="str">
        <f>"20190312172333318"</f>
        <v>20190312172333318</v>
      </c>
      <c r="B115" t="str">
        <f>"1552382613309540"</f>
        <v>1552382613309540</v>
      </c>
      <c r="C115" t="s">
        <v>40</v>
      </c>
      <c r="D115">
        <v>3.6289250000000002</v>
      </c>
      <c r="E115">
        <v>0.57007469999999905</v>
      </c>
      <c r="F115" t="s">
        <v>41</v>
      </c>
      <c r="G115">
        <v>-471.32929999999999</v>
      </c>
      <c r="H115">
        <v>0.95745910000000001</v>
      </c>
      <c r="I115">
        <v>367.05130000000003</v>
      </c>
      <c r="J115">
        <v>-471.9384</v>
      </c>
      <c r="K115">
        <v>1.109057</v>
      </c>
      <c r="L115">
        <v>367.18970000000002</v>
      </c>
      <c r="M115">
        <v>0.99997639999999999</v>
      </c>
      <c r="N115">
        <v>0</v>
      </c>
      <c r="O115">
        <v>-6.8104230000000003E-3</v>
      </c>
      <c r="P115">
        <v>0.98981090000000005</v>
      </c>
      <c r="Q115">
        <v>0.14137269999999999</v>
      </c>
      <c r="R115">
        <v>-1.6971219999999999E-2</v>
      </c>
      <c r="S115">
        <v>3.115936</v>
      </c>
      <c r="T115">
        <v>-0.66711209999999999</v>
      </c>
      <c r="U115">
        <v>-0.61175539999999995</v>
      </c>
      <c r="V115">
        <v>1.024109E-2</v>
      </c>
      <c r="W115">
        <v>0.14225399999999999</v>
      </c>
      <c r="X115">
        <v>0.98977720000000002</v>
      </c>
      <c r="Y115">
        <v>0.18213989999999999</v>
      </c>
      <c r="Z115">
        <v>-1.767463E-2</v>
      </c>
      <c r="AA115">
        <v>0.98311380000000004</v>
      </c>
      <c r="AB115">
        <v>10</v>
      </c>
      <c r="AC115">
        <v>0.60910000000001197</v>
      </c>
      <c r="AD115">
        <v>-0.15159789999999901</v>
      </c>
      <c r="AE115">
        <v>-0.13839999999999</v>
      </c>
      <c r="AF115">
        <v>0.12678064261497399</v>
      </c>
      <c r="AG115">
        <v>-0.15159789999999901</v>
      </c>
      <c r="AH115">
        <v>0.57609405480259301</v>
      </c>
      <c r="AI115">
        <v>104.412994952961</v>
      </c>
      <c r="AJ115">
        <v>77.588791651055601</v>
      </c>
      <c r="AK115">
        <v>0.60904812174833001</v>
      </c>
      <c r="AL115">
        <v>81.821703366633201</v>
      </c>
      <c r="AM115">
        <v>89.4071895205103</v>
      </c>
      <c r="AN115">
        <v>0.999999993040114</v>
      </c>
    </row>
    <row r="116" spans="1:40" x14ac:dyDescent="0.25">
      <c r="A116" t="str">
        <f>"20190312172333339"</f>
        <v>20190312172333339</v>
      </c>
      <c r="B116" t="str">
        <f>"1552382613330035"</f>
        <v>1552382613330035</v>
      </c>
      <c r="C116" t="s">
        <v>40</v>
      </c>
      <c r="D116">
        <v>3.6179209999999999</v>
      </c>
      <c r="E116">
        <v>0.57007180000000002</v>
      </c>
      <c r="F116" t="s">
        <v>41</v>
      </c>
      <c r="G116">
        <v>-471.23480000000001</v>
      </c>
      <c r="H116">
        <v>0.95824129999999996</v>
      </c>
      <c r="I116">
        <v>367.05099999999999</v>
      </c>
      <c r="J116">
        <v>-471.83190000000002</v>
      </c>
      <c r="K116">
        <v>1.1090500000000001</v>
      </c>
      <c r="L116">
        <v>367.18889999999999</v>
      </c>
      <c r="M116">
        <v>0.99997599999999998</v>
      </c>
      <c r="N116">
        <v>0</v>
      </c>
      <c r="O116">
        <v>-6.878019E-3</v>
      </c>
      <c r="P116">
        <v>0.98978449999999996</v>
      </c>
      <c r="Q116">
        <v>0.14151349999999999</v>
      </c>
      <c r="R116">
        <v>-1.7340830000000002E-2</v>
      </c>
      <c r="S116">
        <v>3.1157530000000002</v>
      </c>
      <c r="T116">
        <v>-0.66799430000000004</v>
      </c>
      <c r="U116">
        <v>-0.61202999999999996</v>
      </c>
      <c r="V116">
        <v>1.054482E-2</v>
      </c>
      <c r="W116">
        <v>0.14239889999999999</v>
      </c>
      <c r="X116">
        <v>0.9897532</v>
      </c>
      <c r="Y116">
        <v>0.1821585</v>
      </c>
      <c r="Z116">
        <v>-1.768612E-2</v>
      </c>
      <c r="AA116">
        <v>0.98311009999999999</v>
      </c>
      <c r="AB116">
        <v>10</v>
      </c>
      <c r="AC116">
        <v>0.59710000000001096</v>
      </c>
      <c r="AD116">
        <v>-0.15080869999999999</v>
      </c>
      <c r="AE116">
        <v>-0.13790000000000099</v>
      </c>
      <c r="AF116">
        <v>0.126150129149386</v>
      </c>
      <c r="AG116">
        <v>-0.15080869999999999</v>
      </c>
      <c r="AH116">
        <v>0.56388507059555704</v>
      </c>
      <c r="AI116">
        <v>104.627565931924</v>
      </c>
      <c r="AJ116">
        <v>77.389656990762006</v>
      </c>
      <c r="AK116">
        <v>0.59717961445502599</v>
      </c>
      <c r="AL116">
        <v>81.813316030276695</v>
      </c>
      <c r="AM116">
        <v>89.389594472773993</v>
      </c>
      <c r="AN116">
        <v>1.0000000184301401</v>
      </c>
    </row>
    <row r="117" spans="1:40" x14ac:dyDescent="0.25">
      <c r="A117" t="str">
        <f>"20190312172333362"</f>
        <v>20190312172333362</v>
      </c>
      <c r="B117" t="str">
        <f>"1552382613349559"</f>
        <v>1552382613349559</v>
      </c>
      <c r="C117" t="s">
        <v>40</v>
      </c>
      <c r="D117">
        <v>3.637276</v>
      </c>
      <c r="E117">
        <v>0.57009730000000003</v>
      </c>
      <c r="F117" t="s">
        <v>41</v>
      </c>
      <c r="G117">
        <v>-471.13810000000001</v>
      </c>
      <c r="H117">
        <v>0.96037050000000002</v>
      </c>
      <c r="I117">
        <v>367.05220000000003</v>
      </c>
      <c r="J117">
        <v>-471.72559999999999</v>
      </c>
      <c r="K117">
        <v>1.1090370000000001</v>
      </c>
      <c r="L117">
        <v>367.18810000000002</v>
      </c>
      <c r="M117">
        <v>0.99997559999999996</v>
      </c>
      <c r="N117">
        <v>0</v>
      </c>
      <c r="O117">
        <v>-6.946079E-3</v>
      </c>
      <c r="P117">
        <v>0.9897764</v>
      </c>
      <c r="Q117">
        <v>0.141548799999999</v>
      </c>
      <c r="R117">
        <v>-1.7517399999999999E-2</v>
      </c>
      <c r="S117">
        <v>3.1156920000000001</v>
      </c>
      <c r="T117">
        <v>-0.66774730000000004</v>
      </c>
      <c r="U117">
        <v>-0.61322019999999899</v>
      </c>
      <c r="V117">
        <v>1.065499E-2</v>
      </c>
      <c r="W117">
        <v>0.1424116</v>
      </c>
      <c r="X117">
        <v>0.98975009999999997</v>
      </c>
      <c r="Y117">
        <v>0.1824549</v>
      </c>
      <c r="Z117">
        <v>-1.769625E-2</v>
      </c>
      <c r="AA117">
        <v>0.98305489999999995</v>
      </c>
      <c r="AB117">
        <v>11</v>
      </c>
      <c r="AC117">
        <v>0.58749999999997704</v>
      </c>
      <c r="AD117">
        <v>-0.14866650000000001</v>
      </c>
      <c r="AE117">
        <v>-0.135899999999992</v>
      </c>
      <c r="AF117">
        <v>0.124262990372808</v>
      </c>
      <c r="AG117">
        <v>-0.14866650000000001</v>
      </c>
      <c r="AH117">
        <v>0.55471340760520205</v>
      </c>
      <c r="AI117">
        <v>104.655996864418</v>
      </c>
      <c r="AJ117">
        <v>77.373456246276703</v>
      </c>
      <c r="AK117">
        <v>0.58757976784060395</v>
      </c>
      <c r="AL117">
        <v>81.812580124056595</v>
      </c>
      <c r="AM117">
        <v>89.383215646220705</v>
      </c>
      <c r="AN117">
        <v>0.999999926538232</v>
      </c>
    </row>
    <row r="118" spans="1:40" x14ac:dyDescent="0.25">
      <c r="A118" t="str">
        <f>"20190312172333383"</f>
        <v>20190312172333383</v>
      </c>
      <c r="B118" t="str">
        <f>"1552382613379812"</f>
        <v>1552382613379812</v>
      </c>
      <c r="C118" t="s">
        <v>40</v>
      </c>
      <c r="D118">
        <v>3.657267</v>
      </c>
      <c r="E118">
        <v>0.57012099999999999</v>
      </c>
      <c r="F118" t="s">
        <v>41</v>
      </c>
      <c r="G118">
        <v>-470.94920000000002</v>
      </c>
      <c r="H118">
        <v>0.94269409999999998</v>
      </c>
      <c r="I118">
        <v>367.03489999999999</v>
      </c>
      <c r="J118">
        <v>-471.61799999999999</v>
      </c>
      <c r="K118">
        <v>1.1090139999999999</v>
      </c>
      <c r="L118">
        <v>367.18729999999999</v>
      </c>
      <c r="M118">
        <v>0.99997519999999995</v>
      </c>
      <c r="N118">
        <v>0</v>
      </c>
      <c r="O118">
        <v>-7.0147259999999998E-3</v>
      </c>
      <c r="P118">
        <v>0.98975800000000003</v>
      </c>
      <c r="Q118">
        <v>0.14168169999999999</v>
      </c>
      <c r="R118">
        <v>-1.7479160000000001E-2</v>
      </c>
      <c r="S118">
        <v>3.1156009999999998</v>
      </c>
      <c r="T118">
        <v>-0.66762100000000002</v>
      </c>
      <c r="U118">
        <v>-0.61425779999999996</v>
      </c>
      <c r="V118">
        <v>1.054941E-2</v>
      </c>
      <c r="W118">
        <v>0.1425022</v>
      </c>
      <c r="X118">
        <v>0.98973829999999996</v>
      </c>
      <c r="Y118">
        <v>0.1827056</v>
      </c>
      <c r="Z118">
        <v>-1.7704850000000001E-2</v>
      </c>
      <c r="AA118">
        <v>0.98300829999999995</v>
      </c>
      <c r="AB118">
        <v>11</v>
      </c>
      <c r="AC118">
        <v>0.66880000000003204</v>
      </c>
      <c r="AD118">
        <v>-0.16631989999999999</v>
      </c>
      <c r="AE118">
        <v>-0.15240000000000001</v>
      </c>
      <c r="AF118">
        <v>0.13950326018355499</v>
      </c>
      <c r="AG118">
        <v>-0.16631989999999999</v>
      </c>
      <c r="AH118">
        <v>0.63265797467509199</v>
      </c>
      <c r="AI118">
        <v>104.39823904415999</v>
      </c>
      <c r="AJ118">
        <v>77.565071002865594</v>
      </c>
      <c r="AK118">
        <v>0.66886439706254397</v>
      </c>
      <c r="AL118">
        <v>81.807336530367806</v>
      </c>
      <c r="AM118">
        <v>89.389319599991396</v>
      </c>
      <c r="AN118">
        <v>1.0000000347715301</v>
      </c>
    </row>
    <row r="119" spans="1:40" x14ac:dyDescent="0.25">
      <c r="A119" t="str">
        <f>"20190312172333407"</f>
        <v>20190312172333407</v>
      </c>
      <c r="B119" t="str">
        <f>"1552382613400307"</f>
        <v>1552382613400307</v>
      </c>
      <c r="C119" t="s">
        <v>40</v>
      </c>
      <c r="D119">
        <v>3.636123</v>
      </c>
      <c r="E119">
        <v>0.57013259999999999</v>
      </c>
      <c r="F119" t="s">
        <v>41</v>
      </c>
      <c r="G119">
        <v>-470.84769999999997</v>
      </c>
      <c r="H119">
        <v>0.94398870000000001</v>
      </c>
      <c r="I119">
        <v>367.03480000000002</v>
      </c>
      <c r="J119">
        <v>-471.50130000000001</v>
      </c>
      <c r="K119">
        <v>1.1089929999999999</v>
      </c>
      <c r="L119">
        <v>367.18639999999999</v>
      </c>
      <c r="M119">
        <v>0.99997469999999999</v>
      </c>
      <c r="N119">
        <v>0</v>
      </c>
      <c r="O119">
        <v>-7.0878959999999998E-3</v>
      </c>
      <c r="P119">
        <v>0.98974629999999997</v>
      </c>
      <c r="Q119">
        <v>0.14176800000000001</v>
      </c>
      <c r="R119">
        <v>-1.744683E-2</v>
      </c>
      <c r="S119">
        <v>3.1157530000000002</v>
      </c>
      <c r="T119">
        <v>-0.66769780000000001</v>
      </c>
      <c r="U119">
        <v>-0.61441040000000002</v>
      </c>
      <c r="V119">
        <v>1.044491E-2</v>
      </c>
      <c r="W119">
        <v>0.14253189999999999</v>
      </c>
      <c r="X119">
        <v>0.98973509999999998</v>
      </c>
      <c r="Y119">
        <v>0.1826728</v>
      </c>
      <c r="Z119">
        <v>-1.7687120000000001E-2</v>
      </c>
      <c r="AA119">
        <v>0.98301459999999996</v>
      </c>
      <c r="AB119">
        <v>11</v>
      </c>
      <c r="AC119">
        <v>0.65360000000003904</v>
      </c>
      <c r="AD119">
        <v>-0.16500429999999999</v>
      </c>
      <c r="AE119">
        <v>-0.15159999999997301</v>
      </c>
      <c r="AF119">
        <v>0.13858215402207499</v>
      </c>
      <c r="AG119">
        <v>-0.16500429999999999</v>
      </c>
      <c r="AH119">
        <v>0.61732269963944997</v>
      </c>
      <c r="AI119">
        <v>104.617111206933</v>
      </c>
      <c r="AJ119">
        <v>77.347487046593301</v>
      </c>
      <c r="AK119">
        <v>0.65384917826821998</v>
      </c>
      <c r="AL119">
        <v>81.805617037738202</v>
      </c>
      <c r="AM119">
        <v>89.395366451809807</v>
      </c>
      <c r="AN119">
        <v>1.00000000341726</v>
      </c>
    </row>
    <row r="120" spans="1:40" x14ac:dyDescent="0.25">
      <c r="A120" t="str">
        <f>"20190312172333429"</f>
        <v>20190312172333429</v>
      </c>
      <c r="B120" t="str">
        <f>"1552382613419827"</f>
        <v>1552382613419827</v>
      </c>
      <c r="C120" t="s">
        <v>40</v>
      </c>
      <c r="D120">
        <v>3.6145939999999999</v>
      </c>
      <c r="E120">
        <v>0.57014480000000001</v>
      </c>
      <c r="F120" t="s">
        <v>41</v>
      </c>
      <c r="G120">
        <v>-470.7439</v>
      </c>
      <c r="H120">
        <v>0.94674860000000005</v>
      </c>
      <c r="I120">
        <v>367.03680000000003</v>
      </c>
      <c r="J120">
        <v>-471.38229999999999</v>
      </c>
      <c r="K120">
        <v>1.1089659999999999</v>
      </c>
      <c r="L120">
        <v>367.18540000000002</v>
      </c>
      <c r="M120">
        <v>0.99997369999999997</v>
      </c>
      <c r="N120">
        <v>0</v>
      </c>
      <c r="O120">
        <v>-7.2297150000000003E-3</v>
      </c>
      <c r="P120">
        <v>0.98971370000000003</v>
      </c>
      <c r="Q120">
        <v>0.14197299999999999</v>
      </c>
      <c r="R120">
        <v>-1.7620139999999999E-2</v>
      </c>
      <c r="S120">
        <v>3.115875</v>
      </c>
      <c r="T120">
        <v>-0.66761419999999905</v>
      </c>
      <c r="U120">
        <v>-0.61407469999999997</v>
      </c>
      <c r="V120">
        <v>1.047736E-2</v>
      </c>
      <c r="W120">
        <v>0.14264569999999999</v>
      </c>
      <c r="X120">
        <v>0.9897184</v>
      </c>
      <c r="Y120">
        <v>0.1824336</v>
      </c>
      <c r="Z120">
        <v>-1.762961E-2</v>
      </c>
      <c r="AA120">
        <v>0.98306009999999999</v>
      </c>
      <c r="AB120">
        <v>11</v>
      </c>
      <c r="AC120">
        <v>0.63839999999998998</v>
      </c>
      <c r="AD120">
        <v>-0.16221739999999901</v>
      </c>
      <c r="AE120">
        <v>-0.14859999999998699</v>
      </c>
      <c r="AF120">
        <v>0.13567105113987299</v>
      </c>
      <c r="AG120">
        <v>-0.16221739999999901</v>
      </c>
      <c r="AH120">
        <v>0.60255237319045496</v>
      </c>
      <c r="AI120">
        <v>104.71590385195</v>
      </c>
      <c r="AJ120">
        <v>77.310858744746795</v>
      </c>
      <c r="AK120">
        <v>0.63858474881381799</v>
      </c>
      <c r="AL120">
        <v>81.799029777080904</v>
      </c>
      <c r="AM120">
        <v>89.393477897467505</v>
      </c>
      <c r="AN120">
        <v>1.0000000410498</v>
      </c>
    </row>
    <row r="121" spans="1:40" x14ac:dyDescent="0.25">
      <c r="A121" t="str">
        <f>"20190312172333451"</f>
        <v>20190312172333451</v>
      </c>
      <c r="B121" t="str">
        <f>"1552382613440323"</f>
        <v>1552382613440323</v>
      </c>
      <c r="C121" t="s">
        <v>40</v>
      </c>
      <c r="D121">
        <v>3.6693289999999998</v>
      </c>
      <c r="E121">
        <v>0.5701678</v>
      </c>
      <c r="F121" t="s">
        <v>41</v>
      </c>
      <c r="G121">
        <v>-470.63799999999998</v>
      </c>
      <c r="H121">
        <v>0.9496272</v>
      </c>
      <c r="I121">
        <v>367.03829999999999</v>
      </c>
      <c r="J121">
        <v>-471.26940000000002</v>
      </c>
      <c r="K121">
        <v>1.1088899999999999</v>
      </c>
      <c r="L121">
        <v>367.18459999999999</v>
      </c>
      <c r="M121">
        <v>0.99997239999999998</v>
      </c>
      <c r="N121">
        <v>0</v>
      </c>
      <c r="O121">
        <v>-7.42259199999999E-3</v>
      </c>
      <c r="P121">
        <v>0.98973999999999995</v>
      </c>
      <c r="Q121">
        <v>0.14174</v>
      </c>
      <c r="R121">
        <v>-1.802496E-2</v>
      </c>
      <c r="S121">
        <v>3.1159669999999999</v>
      </c>
      <c r="T121">
        <v>-0.66716790000000004</v>
      </c>
      <c r="U121">
        <v>-0.61398319999999995</v>
      </c>
      <c r="V121">
        <v>1.070056E-2</v>
      </c>
      <c r="W121">
        <v>0.14233509999999999</v>
      </c>
      <c r="X121">
        <v>0.98976070000000005</v>
      </c>
      <c r="Y121">
        <v>0.1822249</v>
      </c>
      <c r="Z121">
        <v>-1.7555299999999999E-2</v>
      </c>
      <c r="AA121">
        <v>0.98310010000000003</v>
      </c>
      <c r="AB121">
        <v>11</v>
      </c>
      <c r="AC121">
        <v>0.63139999999998497</v>
      </c>
      <c r="AD121">
        <v>-0.15926280000000001</v>
      </c>
      <c r="AE121">
        <v>-0.14629999999999599</v>
      </c>
      <c r="AF121">
        <v>0.13354559665628199</v>
      </c>
      <c r="AG121">
        <v>-0.15926280000000001</v>
      </c>
      <c r="AH121">
        <v>0.59645348590922398</v>
      </c>
      <c r="AI121">
        <v>104.604532932056</v>
      </c>
      <c r="AJ121">
        <v>77.379650059142804</v>
      </c>
      <c r="AK121">
        <v>0.63162950113447602</v>
      </c>
      <c r="AL121">
        <v>81.817009073978497</v>
      </c>
      <c r="AM121">
        <v>89.380584578511403</v>
      </c>
      <c r="AN121">
        <v>1.0000000129704001</v>
      </c>
    </row>
    <row r="122" spans="1:40" x14ac:dyDescent="0.25">
      <c r="A122" t="str">
        <f>"20190312172333474"</f>
        <v>20190312172333474</v>
      </c>
      <c r="B122" t="str">
        <f>"1552382613469603"</f>
        <v>1552382613469603</v>
      </c>
      <c r="C122" t="s">
        <v>40</v>
      </c>
      <c r="D122">
        <v>3.6128589999999998</v>
      </c>
      <c r="E122">
        <v>0.57019359999999997</v>
      </c>
      <c r="F122" t="s">
        <v>41</v>
      </c>
      <c r="G122">
        <v>-470.53129999999999</v>
      </c>
      <c r="H122">
        <v>0.95061700000000005</v>
      </c>
      <c r="I122">
        <v>367.0385</v>
      </c>
      <c r="J122">
        <v>-471.14769999999999</v>
      </c>
      <c r="K122">
        <v>1.1087100000000001</v>
      </c>
      <c r="L122">
        <v>367.18369999999999</v>
      </c>
      <c r="M122">
        <v>0.99997210000000003</v>
      </c>
      <c r="N122">
        <v>0</v>
      </c>
      <c r="O122">
        <v>-7.4539539999999996E-3</v>
      </c>
      <c r="P122">
        <v>0.98973230000000001</v>
      </c>
      <c r="Q122">
        <v>0.141783299999999</v>
      </c>
      <c r="R122">
        <v>-1.8111849999999999E-2</v>
      </c>
      <c r="S122">
        <v>3.11557</v>
      </c>
      <c r="T122">
        <v>-0.66812729999999998</v>
      </c>
      <c r="U122">
        <v>-0.61553959999999996</v>
      </c>
      <c r="V122">
        <v>1.0794460000000001E-2</v>
      </c>
      <c r="W122">
        <v>0.142392299999999</v>
      </c>
      <c r="X122">
        <v>0.98975150000000001</v>
      </c>
      <c r="Y122">
        <v>0.1826701</v>
      </c>
      <c r="Z122">
        <v>-1.762151E-2</v>
      </c>
      <c r="AA122">
        <v>0.98301629999999995</v>
      </c>
      <c r="AB122">
        <v>12</v>
      </c>
      <c r="AC122">
        <v>0.61639999999999795</v>
      </c>
      <c r="AD122">
        <v>-0.15809300000000001</v>
      </c>
      <c r="AE122">
        <v>-0.14519999999998801</v>
      </c>
      <c r="AF122">
        <v>0.13235276674012</v>
      </c>
      <c r="AG122">
        <v>-0.15809300000000001</v>
      </c>
      <c r="AH122">
        <v>0.58124070070397005</v>
      </c>
      <c r="AI122">
        <v>104.853132131359</v>
      </c>
      <c r="AJ122">
        <v>77.172058410492397</v>
      </c>
      <c r="AK122">
        <v>0.61672636044489604</v>
      </c>
      <c r="AL122">
        <v>81.813698414937903</v>
      </c>
      <c r="AM122">
        <v>89.375143679900106</v>
      </c>
      <c r="AN122">
        <v>1.0000000596091101</v>
      </c>
    </row>
    <row r="123" spans="1:40" x14ac:dyDescent="0.25">
      <c r="A123" t="str">
        <f>"20190312172333497"</f>
        <v>20190312172333497</v>
      </c>
      <c r="B123" t="str">
        <f>"1552382613490099"</f>
        <v>1552382613490099</v>
      </c>
      <c r="C123" t="s">
        <v>40</v>
      </c>
      <c r="D123">
        <v>3.606738</v>
      </c>
      <c r="E123">
        <v>0.57017519999999999</v>
      </c>
      <c r="F123" t="s">
        <v>41</v>
      </c>
      <c r="G123">
        <v>-470.42239999999998</v>
      </c>
      <c r="H123">
        <v>0.95324330000000002</v>
      </c>
      <c r="I123">
        <v>367.03989999999999</v>
      </c>
      <c r="J123">
        <v>-471.01929999999999</v>
      </c>
      <c r="K123">
        <v>1.108538</v>
      </c>
      <c r="L123">
        <v>367.18270000000001</v>
      </c>
      <c r="M123">
        <v>0.9999728</v>
      </c>
      <c r="N123">
        <v>0</v>
      </c>
      <c r="O123">
        <v>-7.3417119999999898E-3</v>
      </c>
      <c r="P123">
        <v>0.98968149999999999</v>
      </c>
      <c r="Q123">
        <v>0.14211579999999999</v>
      </c>
      <c r="R123">
        <v>-1.8263270000000002E-2</v>
      </c>
      <c r="S123">
        <v>3.1154790000000001</v>
      </c>
      <c r="T123">
        <v>-0.66785740000000005</v>
      </c>
      <c r="U123">
        <v>-0.61676030000000004</v>
      </c>
      <c r="V123">
        <v>1.1095320000000001E-2</v>
      </c>
      <c r="W123">
        <v>0.14274719999999999</v>
      </c>
      <c r="X123">
        <v>0.98969700000000005</v>
      </c>
      <c r="Y123">
        <v>0.1831469</v>
      </c>
      <c r="Z123">
        <v>-1.7688019999999999E-2</v>
      </c>
      <c r="AA123">
        <v>0.98292639999999998</v>
      </c>
      <c r="AB123">
        <v>12</v>
      </c>
      <c r="AC123">
        <v>0.59690000000000498</v>
      </c>
      <c r="AD123">
        <v>-0.15529469999999901</v>
      </c>
      <c r="AE123">
        <v>-0.14280000000002199</v>
      </c>
      <c r="AF123">
        <v>0.130085369062936</v>
      </c>
      <c r="AG123">
        <v>-0.15529469999999901</v>
      </c>
      <c r="AH123">
        <v>0.56195407442970502</v>
      </c>
      <c r="AI123">
        <v>105.068356429247</v>
      </c>
      <c r="AJ123">
        <v>76.966313932317206</v>
      </c>
      <c r="AK123">
        <v>0.597353353435366</v>
      </c>
      <c r="AL123">
        <v>81.793153874964702</v>
      </c>
      <c r="AM123">
        <v>89.357693943112295</v>
      </c>
      <c r="AN123">
        <v>1.00000001052137</v>
      </c>
    </row>
    <row r="124" spans="1:40" x14ac:dyDescent="0.25">
      <c r="A124" t="str">
        <f>"20190312172333519"</f>
        <v>20190312172333519</v>
      </c>
      <c r="B124" t="str">
        <f>"1552382613509619"</f>
        <v>1552382613509619</v>
      </c>
      <c r="C124" t="s">
        <v>40</v>
      </c>
      <c r="D124">
        <v>3.6144129999999999</v>
      </c>
      <c r="E124">
        <v>0.57018419999999903</v>
      </c>
      <c r="F124" t="s">
        <v>41</v>
      </c>
      <c r="G124">
        <v>-470.31110000000001</v>
      </c>
      <c r="H124">
        <v>0.95708839999999995</v>
      </c>
      <c r="I124">
        <v>367.04219999999998</v>
      </c>
      <c r="J124">
        <v>-470.89780000000002</v>
      </c>
      <c r="K124">
        <v>1.1084510000000001</v>
      </c>
      <c r="L124">
        <v>367.18180000000001</v>
      </c>
      <c r="M124">
        <v>0.99997369999999997</v>
      </c>
      <c r="N124">
        <v>0</v>
      </c>
      <c r="O124">
        <v>-7.2567430000000004E-3</v>
      </c>
      <c r="P124">
        <v>0.98962380000000005</v>
      </c>
      <c r="Q124">
        <v>0.1425524</v>
      </c>
      <c r="R124">
        <v>-1.7999270000000001E-2</v>
      </c>
      <c r="S124">
        <v>3.1156009999999998</v>
      </c>
      <c r="T124">
        <v>-0.66632819999999904</v>
      </c>
      <c r="U124">
        <v>-0.6176758</v>
      </c>
      <c r="V124">
        <v>1.092542E-2</v>
      </c>
      <c r="W124">
        <v>0.14315820000000001</v>
      </c>
      <c r="X124">
        <v>0.98963950000000001</v>
      </c>
      <c r="Y124">
        <v>0.18350910000000001</v>
      </c>
      <c r="Z124">
        <v>-1.7702989999999998E-2</v>
      </c>
      <c r="AA124">
        <v>0.98285860000000003</v>
      </c>
      <c r="AB124">
        <v>12</v>
      </c>
      <c r="AC124">
        <v>0.58670000000000699</v>
      </c>
      <c r="AD124">
        <v>-0.15136260000000001</v>
      </c>
      <c r="AE124">
        <v>-0.13960000000002901</v>
      </c>
      <c r="AF124">
        <v>0.127318689516425</v>
      </c>
      <c r="AG124">
        <v>-0.15136260000000001</v>
      </c>
      <c r="AH124">
        <v>0.55287095138433495</v>
      </c>
      <c r="AI124">
        <v>104.938162389013</v>
      </c>
      <c r="AJ124">
        <v>77.031648599863502</v>
      </c>
      <c r="AK124">
        <v>0.58718563867277895</v>
      </c>
      <c r="AL124">
        <v>81.769360754041401</v>
      </c>
      <c r="AM124">
        <v>89.367491873186495</v>
      </c>
      <c r="AN124">
        <v>0.99999998749483299</v>
      </c>
    </row>
    <row r="125" spans="1:40" x14ac:dyDescent="0.25">
      <c r="A125" t="str">
        <f>"20190312172333541"</f>
        <v>20190312172333541</v>
      </c>
      <c r="B125" t="str">
        <f>"1552382613530115"</f>
        <v>1552382613530115</v>
      </c>
      <c r="C125" t="s">
        <v>40</v>
      </c>
      <c r="D125">
        <v>3.6506759999999998</v>
      </c>
      <c r="E125">
        <v>0.57019560000000002</v>
      </c>
      <c r="F125" t="s">
        <v>41</v>
      </c>
      <c r="G125">
        <v>-470.19869999999997</v>
      </c>
      <c r="H125">
        <v>0.95939560000000002</v>
      </c>
      <c r="I125">
        <v>367.0428</v>
      </c>
      <c r="J125">
        <v>-470.77440000000001</v>
      </c>
      <c r="K125">
        <v>1.1084290000000001</v>
      </c>
      <c r="L125">
        <v>367.1807</v>
      </c>
      <c r="M125">
        <v>0.99997349999999996</v>
      </c>
      <c r="N125">
        <v>0</v>
      </c>
      <c r="O125">
        <v>-7.2672589999999999E-3</v>
      </c>
      <c r="P125">
        <v>0.98955249999999995</v>
      </c>
      <c r="Q125">
        <v>0.14308319999999999</v>
      </c>
      <c r="R125">
        <v>-1.7698820000000001E-2</v>
      </c>
      <c r="S125">
        <v>3.1159059999999998</v>
      </c>
      <c r="T125">
        <v>-0.66450410000000004</v>
      </c>
      <c r="U125">
        <v>-0.61734009999999995</v>
      </c>
      <c r="V125">
        <v>1.060439E-2</v>
      </c>
      <c r="W125">
        <v>0.1436231</v>
      </c>
      <c r="X125">
        <v>0.9895756</v>
      </c>
      <c r="Y125">
        <v>0.18340239999999999</v>
      </c>
      <c r="Z125">
        <v>-1.764073E-2</v>
      </c>
      <c r="AA125">
        <v>0.98287959999999996</v>
      </c>
      <c r="AB125">
        <v>12</v>
      </c>
      <c r="AC125">
        <v>0.57570000000003996</v>
      </c>
      <c r="AD125">
        <v>-0.14903340000000001</v>
      </c>
      <c r="AE125">
        <v>-0.13790000000000099</v>
      </c>
      <c r="AF125">
        <v>0.12574313032812601</v>
      </c>
      <c r="AG125">
        <v>-0.14903340000000001</v>
      </c>
      <c r="AH125">
        <v>0.54231556504908296</v>
      </c>
      <c r="AI125">
        <v>104.98707943202901</v>
      </c>
      <c r="AJ125">
        <v>76.945876045968404</v>
      </c>
      <c r="AK125">
        <v>0.576305874718263</v>
      </c>
      <c r="AL125">
        <v>81.742445565988803</v>
      </c>
      <c r="AM125">
        <v>89.386036260848797</v>
      </c>
      <c r="AN125">
        <v>0.99999995802812003</v>
      </c>
    </row>
    <row r="126" spans="1:40" x14ac:dyDescent="0.25">
      <c r="A126" t="str">
        <f>"20190312172333563"</f>
        <v>20190312172333563</v>
      </c>
      <c r="B126" t="str">
        <f>"1552382613559999"</f>
        <v>1552382613559999</v>
      </c>
      <c r="C126" t="s">
        <v>40</v>
      </c>
      <c r="D126">
        <v>3.626207</v>
      </c>
      <c r="E126">
        <v>0.57022229999999996</v>
      </c>
      <c r="F126" t="s">
        <v>41</v>
      </c>
      <c r="G126">
        <v>-470.08449999999999</v>
      </c>
      <c r="H126">
        <v>0.96175219999999995</v>
      </c>
      <c r="I126">
        <v>367.0437</v>
      </c>
      <c r="J126">
        <v>-470.6454</v>
      </c>
      <c r="K126">
        <v>1.108439</v>
      </c>
      <c r="L126">
        <v>367.17970000000003</v>
      </c>
      <c r="M126">
        <v>0.9999728</v>
      </c>
      <c r="N126">
        <v>0</v>
      </c>
      <c r="O126">
        <v>-7.3706049999999997E-3</v>
      </c>
      <c r="P126">
        <v>0.98953170000000001</v>
      </c>
      <c r="Q126">
        <v>0.14327999999999999</v>
      </c>
      <c r="R126">
        <v>-1.7261120000000001E-2</v>
      </c>
      <c r="S126">
        <v>3.1164860000000001</v>
      </c>
      <c r="T126">
        <v>-0.66266689999999995</v>
      </c>
      <c r="U126">
        <v>-0.61703490000000005</v>
      </c>
      <c r="V126">
        <v>1.004534E-2</v>
      </c>
      <c r="W126">
        <v>0.1437311</v>
      </c>
      <c r="X126">
        <v>0.98956580000000005</v>
      </c>
      <c r="Y126">
        <v>0.18320210000000001</v>
      </c>
      <c r="Z126">
        <v>-1.7547630000000002E-2</v>
      </c>
      <c r="AA126">
        <v>0.98291870000000003</v>
      </c>
      <c r="AB126">
        <v>12</v>
      </c>
      <c r="AC126">
        <v>0.56090000000000295</v>
      </c>
      <c r="AD126">
        <v>-0.14668680000000001</v>
      </c>
      <c r="AE126">
        <v>-0.13600000000002399</v>
      </c>
      <c r="AF126">
        <v>0.123861272706883</v>
      </c>
      <c r="AG126">
        <v>-0.14668680000000001</v>
      </c>
      <c r="AH126">
        <v>0.52779412718110796</v>
      </c>
      <c r="AI126">
        <v>105.140193249604</v>
      </c>
      <c r="AJ126">
        <v>76.792974660634698</v>
      </c>
      <c r="AK126">
        <v>0.56162734340279097</v>
      </c>
      <c r="AL126">
        <v>81.736193139088996</v>
      </c>
      <c r="AM126">
        <v>89.418395606407103</v>
      </c>
      <c r="AN126">
        <v>1.0000000052462801</v>
      </c>
    </row>
    <row r="127" spans="1:40" x14ac:dyDescent="0.25">
      <c r="A127" t="str">
        <f>"20190312172333585"</f>
        <v>20190312172333585</v>
      </c>
      <c r="B127" t="str">
        <f>"1552382613579520"</f>
        <v>1552382613579520</v>
      </c>
      <c r="C127" t="s">
        <v>40</v>
      </c>
      <c r="D127">
        <v>3.669346</v>
      </c>
      <c r="E127">
        <v>0.57023829999999998</v>
      </c>
      <c r="F127" t="s">
        <v>41</v>
      </c>
      <c r="G127">
        <v>-469.86110000000002</v>
      </c>
      <c r="H127">
        <v>0.9417449</v>
      </c>
      <c r="I127">
        <v>367.0249</v>
      </c>
      <c r="J127">
        <v>-470.51780000000002</v>
      </c>
      <c r="K127">
        <v>1.1084590000000001</v>
      </c>
      <c r="L127">
        <v>367.17869999999999</v>
      </c>
      <c r="M127">
        <v>0.99997179999999997</v>
      </c>
      <c r="N127">
        <v>0</v>
      </c>
      <c r="O127">
        <v>-7.5042619999999899E-3</v>
      </c>
      <c r="P127">
        <v>0.9894809</v>
      </c>
      <c r="Q127">
        <v>0.14365020000000001</v>
      </c>
      <c r="R127">
        <v>-1.7103340000000002E-2</v>
      </c>
      <c r="S127">
        <v>3.116943</v>
      </c>
      <c r="T127">
        <v>-0.66243989999999997</v>
      </c>
      <c r="U127">
        <v>-0.615448</v>
      </c>
      <c r="V127">
        <v>9.7391149999999996E-3</v>
      </c>
      <c r="W127">
        <v>0.14400439999999901</v>
      </c>
      <c r="X127">
        <v>0.98952910000000005</v>
      </c>
      <c r="Y127">
        <v>0.1825811</v>
      </c>
      <c r="Z127">
        <v>-1.744762E-2</v>
      </c>
      <c r="AA127">
        <v>0.98303600000000002</v>
      </c>
      <c r="AB127">
        <v>13</v>
      </c>
      <c r="AC127">
        <v>0.65669999999999995</v>
      </c>
      <c r="AD127">
        <v>-0.166714099999999</v>
      </c>
      <c r="AE127">
        <v>-0.153799999999989</v>
      </c>
      <c r="AF127">
        <v>0.140295959393617</v>
      </c>
      <c r="AG127">
        <v>-0.166714099999999</v>
      </c>
      <c r="AH127">
        <v>0.61995809084057996</v>
      </c>
      <c r="AI127">
        <v>104.69650487822901</v>
      </c>
      <c r="AJ127">
        <v>77.248789775518105</v>
      </c>
      <c r="AK127">
        <v>0.65713361028004202</v>
      </c>
      <c r="AL127">
        <v>81.720369367332793</v>
      </c>
      <c r="AM127">
        <v>89.436103325410002</v>
      </c>
      <c r="AN127">
        <v>0.99999997866357604</v>
      </c>
    </row>
    <row r="128" spans="1:40" x14ac:dyDescent="0.25">
      <c r="A128" t="str">
        <f>"20190312172333607"</f>
        <v>20190312172333607</v>
      </c>
      <c r="B128" t="str">
        <f>"1552382613600015"</f>
        <v>1552382613600015</v>
      </c>
      <c r="C128" t="s">
        <v>40</v>
      </c>
      <c r="D128">
        <v>3.6674380000000002</v>
      </c>
      <c r="E128">
        <v>0.57026909999999997</v>
      </c>
      <c r="F128" t="s">
        <v>41</v>
      </c>
      <c r="G128">
        <v>-469.74149999999997</v>
      </c>
      <c r="H128">
        <v>0.94364190000000003</v>
      </c>
      <c r="I128">
        <v>367.02539999999999</v>
      </c>
      <c r="J128">
        <v>-470.3809</v>
      </c>
      <c r="K128">
        <v>1.108473</v>
      </c>
      <c r="L128">
        <v>367.17759999999998</v>
      </c>
      <c r="M128">
        <v>0.9999709</v>
      </c>
      <c r="N128">
        <v>0</v>
      </c>
      <c r="O128">
        <v>-7.641526E-3</v>
      </c>
      <c r="P128">
        <v>0.98941959999999995</v>
      </c>
      <c r="Q128">
        <v>0.1440816</v>
      </c>
      <c r="R128">
        <v>-1.7022039999999999E-2</v>
      </c>
      <c r="S128">
        <v>3.11734</v>
      </c>
      <c r="T128">
        <v>-0.66178079999999995</v>
      </c>
      <c r="U128">
        <v>-0.61428830000000001</v>
      </c>
      <c r="V128">
        <v>9.5119909999999992E-3</v>
      </c>
      <c r="W128">
        <v>0.1443247</v>
      </c>
      <c r="X128">
        <v>0.98948469999999999</v>
      </c>
      <c r="Y128">
        <v>0.1820919</v>
      </c>
      <c r="Z128">
        <v>-1.7349679999999999E-2</v>
      </c>
      <c r="AA128">
        <v>0.98312840000000001</v>
      </c>
      <c r="AB128">
        <v>13</v>
      </c>
      <c r="AC128">
        <v>0.63940000000002295</v>
      </c>
      <c r="AD128">
        <v>-0.16483110000000001</v>
      </c>
      <c r="AE128">
        <v>-0.15219999999999301</v>
      </c>
      <c r="AF128">
        <v>0.13859312641596799</v>
      </c>
      <c r="AG128">
        <v>-0.16483110000000001</v>
      </c>
      <c r="AH128">
        <v>0.60264278891995404</v>
      </c>
      <c r="AI128">
        <v>104.925480285097</v>
      </c>
      <c r="AJ128">
        <v>77.048564224077495</v>
      </c>
      <c r="AK128">
        <v>0.63996537191803005</v>
      </c>
      <c r="AL128">
        <v>81.701824261284401</v>
      </c>
      <c r="AM128">
        <v>89.449228318483804</v>
      </c>
      <c r="AN128">
        <v>1.0000000342684801</v>
      </c>
    </row>
    <row r="129" spans="1:40" x14ac:dyDescent="0.25">
      <c r="A129" t="str">
        <f>"20190312172333630"</f>
        <v>20190312172333630</v>
      </c>
      <c r="B129" t="str">
        <f>"1552382613619535"</f>
        <v>1552382613619535</v>
      </c>
      <c r="C129" t="s">
        <v>40</v>
      </c>
      <c r="D129">
        <v>3.675319</v>
      </c>
      <c r="E129">
        <v>0.57029659999999904</v>
      </c>
      <c r="F129" t="s">
        <v>41</v>
      </c>
      <c r="G129">
        <v>-469.61930000000001</v>
      </c>
      <c r="H129">
        <v>0.94707750000000002</v>
      </c>
      <c r="I129">
        <v>367.02749999999997</v>
      </c>
      <c r="J129">
        <v>-470.24810000000002</v>
      </c>
      <c r="K129">
        <v>1.1084719999999999</v>
      </c>
      <c r="L129">
        <v>367.17649999999998</v>
      </c>
      <c r="M129">
        <v>0.99997000000000003</v>
      </c>
      <c r="N129">
        <v>0</v>
      </c>
      <c r="O129">
        <v>-7.75640599999999E-3</v>
      </c>
      <c r="P129">
        <v>0.98945110000000003</v>
      </c>
      <c r="Q129">
        <v>0.1438461</v>
      </c>
      <c r="R129">
        <v>-1.7181499999999999E-2</v>
      </c>
      <c r="S129">
        <v>3.117737</v>
      </c>
      <c r="T129">
        <v>-0.66063539999999998</v>
      </c>
      <c r="U129">
        <v>-0.61416630000000005</v>
      </c>
      <c r="V129">
        <v>9.5529659999999995E-3</v>
      </c>
      <c r="W129">
        <v>0.14397739999999901</v>
      </c>
      <c r="X129">
        <v>0.9895349</v>
      </c>
      <c r="Y129">
        <v>0.18193770000000001</v>
      </c>
      <c r="Z129">
        <v>-1.7278379999999999E-2</v>
      </c>
      <c r="AA129">
        <v>0.98315819999999998</v>
      </c>
      <c r="AB129">
        <v>13</v>
      </c>
      <c r="AC129">
        <v>0.62880000000001202</v>
      </c>
      <c r="AD129">
        <v>-0.161394499999999</v>
      </c>
      <c r="AE129">
        <v>-0.14899999999999999</v>
      </c>
      <c r="AF129">
        <v>0.135656403359324</v>
      </c>
      <c r="AG129">
        <v>-0.161394499999999</v>
      </c>
      <c r="AH129">
        <v>0.59295013189913504</v>
      </c>
      <c r="AI129">
        <v>104.860085583379</v>
      </c>
      <c r="AJ129">
        <v>77.113525218887901</v>
      </c>
      <c r="AK129">
        <v>0.62931764898327702</v>
      </c>
      <c r="AL129">
        <v>81.721933110549401</v>
      </c>
      <c r="AM129">
        <v>89.4468839548001</v>
      </c>
      <c r="AN129">
        <v>1.00000003459408</v>
      </c>
    </row>
    <row r="130" spans="1:40" x14ac:dyDescent="0.25">
      <c r="A130" t="str">
        <f>"20190312172333652"</f>
        <v>20190312172333652</v>
      </c>
      <c r="B130" t="str">
        <f>"1552382613639569"</f>
        <v>1552382613639569</v>
      </c>
      <c r="C130" t="s">
        <v>40</v>
      </c>
      <c r="D130">
        <v>3.627767</v>
      </c>
      <c r="E130">
        <v>0.57031369999999904</v>
      </c>
      <c r="F130" t="s">
        <v>41</v>
      </c>
      <c r="G130">
        <v>-469.49590000000001</v>
      </c>
      <c r="H130">
        <v>0.94896530000000001</v>
      </c>
      <c r="I130">
        <v>367.0274</v>
      </c>
      <c r="J130">
        <v>-470.11110000000002</v>
      </c>
      <c r="K130">
        <v>1.108471</v>
      </c>
      <c r="L130">
        <v>367.17529999999999</v>
      </c>
      <c r="M130">
        <v>0.9999692</v>
      </c>
      <c r="N130">
        <v>0</v>
      </c>
      <c r="O130">
        <v>-7.8617610000000001E-3</v>
      </c>
      <c r="P130">
        <v>0.98948950000000002</v>
      </c>
      <c r="Q130">
        <v>0.1435843</v>
      </c>
      <c r="R130">
        <v>-1.7151949999999999E-2</v>
      </c>
      <c r="S130">
        <v>3.1174620000000002</v>
      </c>
      <c r="T130">
        <v>-0.66128369999999903</v>
      </c>
      <c r="U130">
        <v>-0.61520390000000003</v>
      </c>
      <c r="V130">
        <v>9.4171959999999992E-3</v>
      </c>
      <c r="W130">
        <v>0.14360139999999999</v>
      </c>
      <c r="X130">
        <v>0.98959079999999999</v>
      </c>
      <c r="Y130">
        <v>0.1821556</v>
      </c>
      <c r="Z130">
        <v>-1.7296659999999998E-2</v>
      </c>
      <c r="AA130">
        <v>0.98311760000000004</v>
      </c>
      <c r="AB130">
        <v>14</v>
      </c>
      <c r="AC130">
        <v>0.61520000000001496</v>
      </c>
      <c r="AD130">
        <v>-0.159505699999999</v>
      </c>
      <c r="AE130">
        <v>-0.14789999999999201</v>
      </c>
      <c r="AF130">
        <v>0.13451068194676</v>
      </c>
      <c r="AG130">
        <v>-0.159505699999999</v>
      </c>
      <c r="AH130">
        <v>0.57951537367747397</v>
      </c>
      <c r="AI130">
        <v>105.008720641255</v>
      </c>
      <c r="AJ130">
        <v>76.932527665239107</v>
      </c>
      <c r="AK130">
        <v>0.61593283742532701</v>
      </c>
      <c r="AL130">
        <v>81.743702244577605</v>
      </c>
      <c r="AM130">
        <v>89.454775348543606</v>
      </c>
      <c r="AN130">
        <v>0.99999999855355104</v>
      </c>
    </row>
    <row r="131" spans="1:40" x14ac:dyDescent="0.25">
      <c r="A131" t="str">
        <f>"20190312172333675"</f>
        <v>20190312172333675</v>
      </c>
      <c r="B131" t="str">
        <f>"1552382613669825"</f>
        <v>1552382613669825</v>
      </c>
      <c r="C131" t="s">
        <v>40</v>
      </c>
      <c r="D131">
        <v>3.659478</v>
      </c>
      <c r="E131">
        <v>0.57032340000000004</v>
      </c>
      <c r="F131" t="s">
        <v>41</v>
      </c>
      <c r="G131">
        <v>-469.37049999999999</v>
      </c>
      <c r="H131">
        <v>0.95122169999999895</v>
      </c>
      <c r="I131">
        <v>367.02870000000001</v>
      </c>
      <c r="J131">
        <v>-469.96699999999998</v>
      </c>
      <c r="K131">
        <v>1.108465</v>
      </c>
      <c r="L131">
        <v>367.17410000000001</v>
      </c>
      <c r="M131">
        <v>0.99996819999999997</v>
      </c>
      <c r="N131">
        <v>0</v>
      </c>
      <c r="O131">
        <v>-7.9658139999999999E-3</v>
      </c>
      <c r="P131">
        <v>0.98948349999999996</v>
      </c>
      <c r="Q131">
        <v>0.14358180000000001</v>
      </c>
      <c r="R131">
        <v>-1.7509520000000001E-2</v>
      </c>
      <c r="S131">
        <v>3.1172490000000002</v>
      </c>
      <c r="T131">
        <v>-0.66200329999999996</v>
      </c>
      <c r="U131">
        <v>-0.61630249999999998</v>
      </c>
      <c r="V131">
        <v>9.6707540000000002E-3</v>
      </c>
      <c r="W131">
        <v>0.14348529999999901</v>
      </c>
      <c r="X131">
        <v>0.98960519999999996</v>
      </c>
      <c r="Y131">
        <v>0.18238860000000001</v>
      </c>
      <c r="Z131">
        <v>-1.731827E-2</v>
      </c>
      <c r="AA131">
        <v>0.983074</v>
      </c>
      <c r="AB131">
        <v>14</v>
      </c>
      <c r="AC131">
        <v>0.59649999999999104</v>
      </c>
      <c r="AD131">
        <v>-0.1572433</v>
      </c>
      <c r="AE131">
        <v>-0.14539999999999501</v>
      </c>
      <c r="AF131">
        <v>0.13198641112301099</v>
      </c>
      <c r="AG131">
        <v>-0.1572433</v>
      </c>
      <c r="AH131">
        <v>0.56085144868778902</v>
      </c>
      <c r="AI131">
        <v>105.264868544499</v>
      </c>
      <c r="AJ131">
        <v>76.757412043302296</v>
      </c>
      <c r="AK131">
        <v>0.59724384937077002</v>
      </c>
      <c r="AL131">
        <v>81.750423933492002</v>
      </c>
      <c r="AM131">
        <v>89.440104244046097</v>
      </c>
      <c r="AN131">
        <v>1.0000000033330201</v>
      </c>
    </row>
    <row r="132" spans="1:40" x14ac:dyDescent="0.25">
      <c r="A132" t="str">
        <f>"20190312172333698"</f>
        <v>20190312172333698</v>
      </c>
      <c r="B132" t="str">
        <f>"1552382613690322"</f>
        <v>1552382613690322</v>
      </c>
      <c r="C132" t="s">
        <v>40</v>
      </c>
      <c r="D132">
        <v>3.6826840000000001</v>
      </c>
      <c r="E132">
        <v>0.57031860000000001</v>
      </c>
      <c r="F132" t="s">
        <v>41</v>
      </c>
      <c r="G132">
        <v>-469.24259999999998</v>
      </c>
      <c r="H132">
        <v>0.95462380000000002</v>
      </c>
      <c r="I132">
        <v>367.0299</v>
      </c>
      <c r="J132">
        <v>-469.82150000000001</v>
      </c>
      <c r="K132">
        <v>1.108473</v>
      </c>
      <c r="L132">
        <v>367.1728</v>
      </c>
      <c r="M132">
        <v>0.99996750000000001</v>
      </c>
      <c r="N132">
        <v>0</v>
      </c>
      <c r="O132">
        <v>-8.0673719999999997E-3</v>
      </c>
      <c r="P132">
        <v>0.98947350000000001</v>
      </c>
      <c r="Q132">
        <v>0.143648</v>
      </c>
      <c r="R132">
        <v>-1.754698E-2</v>
      </c>
      <c r="S132">
        <v>3.117035</v>
      </c>
      <c r="T132">
        <v>-0.66211750000000003</v>
      </c>
      <c r="U132">
        <v>-0.61727909999999997</v>
      </c>
      <c r="V132">
        <v>9.6061259999999996E-3</v>
      </c>
      <c r="W132">
        <v>0.14344749999999901</v>
      </c>
      <c r="X132">
        <v>0.98961129999999997</v>
      </c>
      <c r="Y132">
        <v>0.18259429999999999</v>
      </c>
      <c r="Z132">
        <v>-1.7322099999999899E-2</v>
      </c>
      <c r="AA132">
        <v>0.98303569999999996</v>
      </c>
      <c r="AB132">
        <v>14</v>
      </c>
      <c r="AC132">
        <v>0.57890000000003194</v>
      </c>
      <c r="AD132">
        <v>-0.15384919999999899</v>
      </c>
      <c r="AE132">
        <v>-0.142899999999997</v>
      </c>
      <c r="AF132">
        <v>0.129597512270235</v>
      </c>
      <c r="AG132">
        <v>-0.15384919999999899</v>
      </c>
      <c r="AH132">
        <v>0.54382985234394798</v>
      </c>
      <c r="AI132">
        <v>105.38655136332299</v>
      </c>
      <c r="AJ132">
        <v>76.596115191714702</v>
      </c>
      <c r="AK132">
        <v>0.57984135746574195</v>
      </c>
      <c r="AL132">
        <v>81.7526122752286</v>
      </c>
      <c r="AM132">
        <v>89.443849124038906</v>
      </c>
      <c r="AN132">
        <v>0.99999999400033301</v>
      </c>
    </row>
    <row r="133" spans="1:40" x14ac:dyDescent="0.25">
      <c r="A133" t="str">
        <f>"20190312172333720"</f>
        <v>20190312172333720</v>
      </c>
      <c r="B133" t="str">
        <f>"1552382613709841"</f>
        <v>1552382613709841</v>
      </c>
      <c r="C133" t="s">
        <v>40</v>
      </c>
      <c r="D133">
        <v>3.6985980000000001</v>
      </c>
      <c r="E133">
        <v>0.57033639999999997</v>
      </c>
      <c r="F133" t="s">
        <v>41</v>
      </c>
      <c r="G133">
        <v>-469.11290000000002</v>
      </c>
      <c r="H133">
        <v>0.95798159999999999</v>
      </c>
      <c r="I133">
        <v>367.03210000000001</v>
      </c>
      <c r="J133">
        <v>-469.6755</v>
      </c>
      <c r="K133">
        <v>1.1084889999999901</v>
      </c>
      <c r="L133">
        <v>367.17140000000001</v>
      </c>
      <c r="M133">
        <v>0.99996669999999999</v>
      </c>
      <c r="N133">
        <v>0</v>
      </c>
      <c r="O133">
        <v>-8.1636909999999903E-3</v>
      </c>
      <c r="P133">
        <v>0.98948820000000004</v>
      </c>
      <c r="Q133">
        <v>0.143562299999999</v>
      </c>
      <c r="R133">
        <v>-1.741173E-2</v>
      </c>
      <c r="S133">
        <v>3.1170960000000001</v>
      </c>
      <c r="T133">
        <v>-0.66212109999999902</v>
      </c>
      <c r="U133">
        <v>-0.61715699999999996</v>
      </c>
      <c r="V133">
        <v>9.3725760000000005E-3</v>
      </c>
      <c r="W133">
        <v>0.14326820000000001</v>
      </c>
      <c r="X133">
        <v>0.98963950000000001</v>
      </c>
      <c r="Y133">
        <v>0.18246390000000001</v>
      </c>
      <c r="Z133">
        <v>-1.7288319999999999E-2</v>
      </c>
      <c r="AA133">
        <v>0.9830605</v>
      </c>
      <c r="AB133">
        <v>14</v>
      </c>
      <c r="AC133">
        <v>0.56259999999997401</v>
      </c>
      <c r="AD133">
        <v>-0.15050739999999899</v>
      </c>
      <c r="AE133">
        <v>-0.13929999999999099</v>
      </c>
      <c r="AF133">
        <v>0.12619284173359699</v>
      </c>
      <c r="AG133">
        <v>-0.15050739999999899</v>
      </c>
      <c r="AH133">
        <v>0.52810639641203805</v>
      </c>
      <c r="AI133">
        <v>105.492878430055</v>
      </c>
      <c r="AJ133">
        <v>76.560977686897701</v>
      </c>
      <c r="AK133">
        <v>0.56344784735667397</v>
      </c>
      <c r="AL133">
        <v>81.762992521385996</v>
      </c>
      <c r="AM133">
        <v>89.457385246532297</v>
      </c>
      <c r="AN133">
        <v>0.99999998113618205</v>
      </c>
    </row>
    <row r="134" spans="1:40" x14ac:dyDescent="0.25">
      <c r="A134" t="str">
        <f>"20190312172333742"</f>
        <v>20190312172333742</v>
      </c>
      <c r="B134" t="str">
        <f>"1552382613729361"</f>
        <v>1552382613729361</v>
      </c>
      <c r="C134" t="s">
        <v>40</v>
      </c>
      <c r="D134">
        <v>3.6476419999999998</v>
      </c>
      <c r="E134">
        <v>0.57034750000000001</v>
      </c>
      <c r="F134" t="s">
        <v>41</v>
      </c>
      <c r="G134">
        <v>-468.98140000000001</v>
      </c>
      <c r="H134">
        <v>0.96101499999999995</v>
      </c>
      <c r="I134">
        <v>367.03379999999999</v>
      </c>
      <c r="J134">
        <v>-469.53399999999999</v>
      </c>
      <c r="K134">
        <v>1.1085119999999999</v>
      </c>
      <c r="L134">
        <v>367.17020000000002</v>
      </c>
      <c r="M134">
        <v>0.99996600000000002</v>
      </c>
      <c r="N134">
        <v>0</v>
      </c>
      <c r="O134">
        <v>-8.2510750000000001E-3</v>
      </c>
      <c r="P134">
        <v>0.98940410000000001</v>
      </c>
      <c r="Q134">
        <v>0.1441366</v>
      </c>
      <c r="R134">
        <v>-1.7449070000000001E-2</v>
      </c>
      <c r="S134">
        <v>3.1170960000000001</v>
      </c>
      <c r="T134">
        <v>-0.66241380000000005</v>
      </c>
      <c r="U134">
        <v>-0.61694340000000003</v>
      </c>
      <c r="V134">
        <v>9.3207450000000001E-3</v>
      </c>
      <c r="W134">
        <v>0.14376040000000001</v>
      </c>
      <c r="X134">
        <v>0.98956869999999997</v>
      </c>
      <c r="Y134">
        <v>0.182315</v>
      </c>
      <c r="Z134">
        <v>-1.7262220000000002E-2</v>
      </c>
      <c r="AA134">
        <v>0.98308859999999998</v>
      </c>
      <c r="AB134">
        <v>14</v>
      </c>
      <c r="AC134">
        <v>0.55259999999998399</v>
      </c>
      <c r="AD134">
        <v>-0.14749699999999999</v>
      </c>
      <c r="AE134">
        <v>-0.13640000000003699</v>
      </c>
      <c r="AF134">
        <v>0.12353985829820199</v>
      </c>
      <c r="AG134">
        <v>-0.14749699999999999</v>
      </c>
      <c r="AH134">
        <v>0.51886386378159599</v>
      </c>
      <c r="AI134">
        <v>105.458182310448</v>
      </c>
      <c r="AJ134">
        <v>76.607414139931905</v>
      </c>
      <c r="AK134">
        <v>0.55338699906639099</v>
      </c>
      <c r="AL134">
        <v>81.7344972979961</v>
      </c>
      <c r="AM134">
        <v>89.460347160962598</v>
      </c>
      <c r="AN134">
        <v>1.0000000704576</v>
      </c>
    </row>
    <row r="135" spans="1:40" x14ac:dyDescent="0.25">
      <c r="A135" t="str">
        <f>"20190312172333754"</f>
        <v>20190312172333754</v>
      </c>
      <c r="B135" t="str">
        <f>"1552382613749582"</f>
        <v>1552382613749582</v>
      </c>
      <c r="C135" t="s">
        <v>40</v>
      </c>
      <c r="D135">
        <v>3.7506879999999998</v>
      </c>
      <c r="E135">
        <v>0.57034309999999999</v>
      </c>
      <c r="F135" t="s">
        <v>41</v>
      </c>
      <c r="G135">
        <v>-468.7253</v>
      </c>
      <c r="H135">
        <v>0.9371294</v>
      </c>
      <c r="I135">
        <v>367.00940000000003</v>
      </c>
      <c r="J135">
        <v>-469.4504</v>
      </c>
      <c r="K135">
        <v>1.1085210000000001</v>
      </c>
      <c r="L135">
        <v>367.1694</v>
      </c>
      <c r="M135">
        <v>0.99996549999999995</v>
      </c>
      <c r="N135">
        <v>0</v>
      </c>
      <c r="O135">
        <v>-8.2993589999999992E-3</v>
      </c>
      <c r="P135">
        <v>0.98937140000000001</v>
      </c>
      <c r="Q135">
        <v>0.14435880000000001</v>
      </c>
      <c r="R135">
        <v>-1.746574E-2</v>
      </c>
      <c r="S135">
        <v>3.1175540000000002</v>
      </c>
      <c r="T135">
        <v>-0.66081959999999995</v>
      </c>
      <c r="U135">
        <v>-0.61706539999999999</v>
      </c>
      <c r="V135">
        <v>9.2876409999999993E-3</v>
      </c>
      <c r="W135">
        <v>0.14393919999999999</v>
      </c>
      <c r="X135">
        <v>0.98954299999999995</v>
      </c>
      <c r="Y135">
        <v>0.1822974</v>
      </c>
      <c r="Z135">
        <v>-1.7207219999999999E-2</v>
      </c>
      <c r="AA135">
        <v>0.98309279999999999</v>
      </c>
      <c r="AB135">
        <v>15</v>
      </c>
      <c r="AC135">
        <v>0.72509999999999697</v>
      </c>
      <c r="AD135">
        <v>-0.17139159999999901</v>
      </c>
      <c r="AE135">
        <v>-0.159999999999968</v>
      </c>
      <c r="AF135">
        <v>0.14618822283295599</v>
      </c>
      <c r="AG135">
        <v>-0.17139159999999901</v>
      </c>
      <c r="AH135">
        <v>0.68966022178908504</v>
      </c>
      <c r="AI135">
        <v>103.66432763163201</v>
      </c>
      <c r="AJ135">
        <v>78.032083397570105</v>
      </c>
      <c r="AK135">
        <v>0.725518641086353</v>
      </c>
      <c r="AL135">
        <v>81.724144985720599</v>
      </c>
      <c r="AM135">
        <v>89.462249739787495</v>
      </c>
      <c r="AN135">
        <v>1.0000000512104901</v>
      </c>
    </row>
    <row r="136" spans="1:40" x14ac:dyDescent="0.25">
      <c r="A136" t="str">
        <f>"20190312172333775"</f>
        <v>20190312172333775</v>
      </c>
      <c r="B136" t="str">
        <f>"1552382613770079"</f>
        <v>1552382613770079</v>
      </c>
      <c r="C136" t="s">
        <v>40</v>
      </c>
      <c r="D136">
        <v>3.6609530000000001</v>
      </c>
      <c r="E136">
        <v>0.57034669999999998</v>
      </c>
      <c r="F136" t="s">
        <v>41</v>
      </c>
      <c r="G136">
        <v>-468.71850000000001</v>
      </c>
      <c r="H136">
        <v>0.95359179999999999</v>
      </c>
      <c r="I136">
        <v>367.02390000000003</v>
      </c>
      <c r="J136">
        <v>-469.3098</v>
      </c>
      <c r="K136">
        <v>1.108544</v>
      </c>
      <c r="L136">
        <v>367.16809999999998</v>
      </c>
      <c r="M136">
        <v>0.99996490000000005</v>
      </c>
      <c r="N136">
        <v>0</v>
      </c>
      <c r="O136">
        <v>-8.3793610000000001E-3</v>
      </c>
      <c r="P136">
        <v>0.98938749999999998</v>
      </c>
      <c r="Q136">
        <v>0.14424609999999999</v>
      </c>
      <c r="R136">
        <v>-1.7483579999999999E-2</v>
      </c>
      <c r="S136">
        <v>3.117645</v>
      </c>
      <c r="T136">
        <v>-0.66014469999999903</v>
      </c>
      <c r="U136">
        <v>-0.61721800000000004</v>
      </c>
      <c r="V136">
        <v>9.2217970000000003E-3</v>
      </c>
      <c r="W136">
        <v>0.1437571</v>
      </c>
      <c r="X136">
        <v>0.98956999999999995</v>
      </c>
      <c r="Y136">
        <v>0.18226970000000001</v>
      </c>
      <c r="Z136">
        <v>-1.7169980000000001E-2</v>
      </c>
      <c r="AA136">
        <v>0.98309860000000004</v>
      </c>
      <c r="AB136">
        <v>15</v>
      </c>
      <c r="AC136">
        <v>0.59129999999998895</v>
      </c>
      <c r="AD136">
        <v>-0.15495219999999901</v>
      </c>
      <c r="AE136">
        <v>-0.144199999999955</v>
      </c>
      <c r="AF136">
        <v>0.130764439280387</v>
      </c>
      <c r="AG136">
        <v>-0.15495219999999901</v>
      </c>
      <c r="AH136">
        <v>0.55642185001049405</v>
      </c>
      <c r="AI136">
        <v>105.16798850316</v>
      </c>
      <c r="AJ136">
        <v>76.774931178067803</v>
      </c>
      <c r="AK136">
        <v>0.59221178478164005</v>
      </c>
      <c r="AL136">
        <v>81.7346874819101</v>
      </c>
      <c r="AM136">
        <v>89.466076423872295</v>
      </c>
      <c r="AN136">
        <v>0.99999996512015898</v>
      </c>
    </row>
    <row r="137" spans="1:40" x14ac:dyDescent="0.25">
      <c r="A137" t="str">
        <f>"20190312172333798"</f>
        <v>20190312172333798</v>
      </c>
      <c r="B137" t="str">
        <f>"1552382613789598"</f>
        <v>1552382613789598</v>
      </c>
      <c r="C137" t="s">
        <v>40</v>
      </c>
      <c r="D137">
        <v>3.6576879999999998</v>
      </c>
      <c r="E137">
        <v>0.57034359999999995</v>
      </c>
      <c r="F137" t="s">
        <v>41</v>
      </c>
      <c r="G137">
        <v>-468.58229999999998</v>
      </c>
      <c r="H137">
        <v>0.95430280000000001</v>
      </c>
      <c r="I137">
        <v>367.024</v>
      </c>
      <c r="J137">
        <v>-469.15010000000001</v>
      </c>
      <c r="K137">
        <v>1.1085659999999999</v>
      </c>
      <c r="L137">
        <v>367.16669999999999</v>
      </c>
      <c r="M137">
        <v>0.99996399999999996</v>
      </c>
      <c r="N137">
        <v>0</v>
      </c>
      <c r="O137">
        <v>-8.4686650000000002E-3</v>
      </c>
      <c r="P137">
        <v>0.98935189999999995</v>
      </c>
      <c r="Q137">
        <v>0.14451369999999999</v>
      </c>
      <c r="R137">
        <v>-1.7286019999999999E-2</v>
      </c>
      <c r="S137">
        <v>3.1175540000000002</v>
      </c>
      <c r="T137">
        <v>-0.66092109999999904</v>
      </c>
      <c r="U137">
        <v>-0.61743159999999997</v>
      </c>
      <c r="V137">
        <v>8.9320500000000004E-3</v>
      </c>
      <c r="W137">
        <v>0.14395429999999901</v>
      </c>
      <c r="X137">
        <v>0.98954399999999998</v>
      </c>
      <c r="Y137">
        <v>0.18224589999999999</v>
      </c>
      <c r="Z137">
        <v>-1.7169110000000001E-2</v>
      </c>
      <c r="AA137">
        <v>0.98310310000000001</v>
      </c>
      <c r="AB137">
        <v>15</v>
      </c>
      <c r="AC137">
        <v>0.56780000000003295</v>
      </c>
      <c r="AD137">
        <v>-0.15426319999999899</v>
      </c>
      <c r="AE137">
        <v>-0.14269999999999</v>
      </c>
      <c r="AF137">
        <v>0.128934701495201</v>
      </c>
      <c r="AG137">
        <v>-0.15426319999999899</v>
      </c>
      <c r="AH137">
        <v>0.53204904063286196</v>
      </c>
      <c r="AI137">
        <v>105.737069335003</v>
      </c>
      <c r="AJ137">
        <v>76.377773884054506</v>
      </c>
      <c r="AK137">
        <v>0.56876838323015599</v>
      </c>
      <c r="AL137">
        <v>81.723270078897897</v>
      </c>
      <c r="AM137">
        <v>89.482837681754404</v>
      </c>
      <c r="AN137">
        <v>0.99999997497084503</v>
      </c>
    </row>
    <row r="138" spans="1:40" x14ac:dyDescent="0.25">
      <c r="A138" t="str">
        <f>"20190312172333819"</f>
        <v>20190312172333819</v>
      </c>
      <c r="B138" t="str">
        <f>"1552382613810094"</f>
        <v>1552382613810094</v>
      </c>
      <c r="C138" t="s">
        <v>40</v>
      </c>
      <c r="D138">
        <v>3.6728689999999999</v>
      </c>
      <c r="E138">
        <v>0.57035639999999999</v>
      </c>
      <c r="F138" t="s">
        <v>41</v>
      </c>
      <c r="G138">
        <v>-468.4425</v>
      </c>
      <c r="H138">
        <v>0.95879420000000004</v>
      </c>
      <c r="I138">
        <v>367.02659999999997</v>
      </c>
      <c r="J138">
        <v>-468.99790000000002</v>
      </c>
      <c r="K138">
        <v>1.108582</v>
      </c>
      <c r="L138">
        <v>367.1653</v>
      </c>
      <c r="M138">
        <v>0.99996320000000005</v>
      </c>
      <c r="N138">
        <v>0</v>
      </c>
      <c r="O138">
        <v>-8.5545139999999992E-3</v>
      </c>
      <c r="P138">
        <v>0.98937549999999996</v>
      </c>
      <c r="Q138">
        <v>0.14436949999999901</v>
      </c>
      <c r="R138">
        <v>-1.714073E-2</v>
      </c>
      <c r="S138">
        <v>3.11795</v>
      </c>
      <c r="T138">
        <v>-0.66009510000000005</v>
      </c>
      <c r="U138">
        <v>-0.61679079999999997</v>
      </c>
      <c r="V138">
        <v>8.6981279999999994E-3</v>
      </c>
      <c r="W138">
        <v>0.14375099999999999</v>
      </c>
      <c r="X138">
        <v>0.98957569999999995</v>
      </c>
      <c r="Y138">
        <v>0.18196109999999999</v>
      </c>
      <c r="Z138">
        <v>-1.7099E-2</v>
      </c>
      <c r="AA138">
        <v>0.98315699999999995</v>
      </c>
      <c r="AB138">
        <v>15</v>
      </c>
      <c r="AC138">
        <v>0.55540000000001999</v>
      </c>
      <c r="AD138">
        <v>-0.1497878</v>
      </c>
      <c r="AE138">
        <v>-0.138700000000028</v>
      </c>
      <c r="AF138">
        <v>0.12536093505964699</v>
      </c>
      <c r="AG138">
        <v>-0.1497878</v>
      </c>
      <c r="AH138">
        <v>0.52090268882049395</v>
      </c>
      <c r="AI138">
        <v>105.619511991198</v>
      </c>
      <c r="AJ138">
        <v>76.468465032770695</v>
      </c>
      <c r="AK138">
        <v>0.55631947681911098</v>
      </c>
      <c r="AL138">
        <v>81.735041250424004</v>
      </c>
      <c r="AM138">
        <v>89.496397102205094</v>
      </c>
      <c r="AN138">
        <v>1.0000000367310899</v>
      </c>
    </row>
    <row r="139" spans="1:40" x14ac:dyDescent="0.25">
      <c r="A139" t="str">
        <f>"20190312172333833"</f>
        <v>20190312172333833</v>
      </c>
      <c r="B139" t="str">
        <f>"1552382613829615"</f>
        <v>1552382613829615</v>
      </c>
      <c r="C139" t="s">
        <v>40</v>
      </c>
      <c r="D139">
        <v>3.6718579999999998</v>
      </c>
      <c r="E139">
        <v>0.57034779999999996</v>
      </c>
      <c r="F139" t="s">
        <v>41</v>
      </c>
      <c r="G139">
        <v>-468.30180000000001</v>
      </c>
      <c r="H139">
        <v>0.96108689999999997</v>
      </c>
      <c r="I139">
        <v>367.02730000000003</v>
      </c>
      <c r="J139">
        <v>-468.90550000000002</v>
      </c>
      <c r="K139">
        <v>1.108592</v>
      </c>
      <c r="L139">
        <v>367.1644</v>
      </c>
      <c r="M139">
        <v>0.99996289999999999</v>
      </c>
      <c r="N139">
        <v>0</v>
      </c>
      <c r="O139">
        <v>-8.6080489999999996E-3</v>
      </c>
      <c r="P139">
        <v>0.98937180000000002</v>
      </c>
      <c r="Q139">
        <v>0.14438809999999999</v>
      </c>
      <c r="R139">
        <v>-1.7203220000000002E-2</v>
      </c>
      <c r="S139">
        <v>3.1179199999999998</v>
      </c>
      <c r="T139">
        <v>-0.66067980000000004</v>
      </c>
      <c r="U139">
        <v>-0.61685179999999995</v>
      </c>
      <c r="V139">
        <v>8.7063039999999998E-3</v>
      </c>
      <c r="W139">
        <v>0.1437377</v>
      </c>
      <c r="X139">
        <v>0.9895775</v>
      </c>
      <c r="Y139">
        <v>0.18192430000000001</v>
      </c>
      <c r="Z139">
        <v>-1.7099019999999999E-2</v>
      </c>
      <c r="AA139">
        <v>0.98316389999999998</v>
      </c>
      <c r="AB139">
        <v>15</v>
      </c>
      <c r="AC139">
        <v>0.60370000000000301</v>
      </c>
      <c r="AD139">
        <v>-0.147505099999999</v>
      </c>
      <c r="AE139">
        <v>-0.13709999999997499</v>
      </c>
      <c r="AF139">
        <v>0.124812428925707</v>
      </c>
      <c r="AG139">
        <v>-0.147505099999999</v>
      </c>
      <c r="AH139">
        <v>0.57236374162574299</v>
      </c>
      <c r="AI139">
        <v>104.13299758094</v>
      </c>
      <c r="AJ139">
        <v>77.698380113559693</v>
      </c>
      <c r="AK139">
        <v>0.60409945345792604</v>
      </c>
      <c r="AL139">
        <v>81.735810786712406</v>
      </c>
      <c r="AM139">
        <v>89.495924670655896</v>
      </c>
      <c r="AN139">
        <v>0.99999997731844004</v>
      </c>
    </row>
    <row r="140" spans="1:40" x14ac:dyDescent="0.25">
      <c r="A140" t="str">
        <f>"20190312172333852"</f>
        <v>20190312172333852</v>
      </c>
      <c r="B140" t="str">
        <f>"1552382613849649"</f>
        <v>1552382613849649</v>
      </c>
      <c r="C140" t="s">
        <v>40</v>
      </c>
      <c r="D140">
        <v>3.6965349999999999</v>
      </c>
      <c r="E140">
        <v>0.57034180000000001</v>
      </c>
      <c r="F140" t="s">
        <v>41</v>
      </c>
      <c r="G140">
        <v>-468.16419999999999</v>
      </c>
      <c r="H140">
        <v>0.95145849999999998</v>
      </c>
      <c r="I140">
        <v>367.01729999999998</v>
      </c>
      <c r="J140">
        <v>-468.76710000000003</v>
      </c>
      <c r="K140">
        <v>1.1085510000000001</v>
      </c>
      <c r="L140">
        <v>367.16309999999999</v>
      </c>
      <c r="M140">
        <v>0.99996200000000002</v>
      </c>
      <c r="N140">
        <v>0</v>
      </c>
      <c r="O140">
        <v>-8.6881149999999997E-3</v>
      </c>
      <c r="P140">
        <v>0.98933970000000004</v>
      </c>
      <c r="Q140">
        <v>0.1445698</v>
      </c>
      <c r="R140">
        <v>-1.7513299999999999E-2</v>
      </c>
      <c r="S140">
        <v>3.1179809999999999</v>
      </c>
      <c r="T140">
        <v>-0.66106560000000003</v>
      </c>
      <c r="U140">
        <v>-0.61706539999999999</v>
      </c>
      <c r="V140">
        <v>8.9359750000000005E-3</v>
      </c>
      <c r="W140">
        <v>0.1436906</v>
      </c>
      <c r="X140">
        <v>0.98958230000000003</v>
      </c>
      <c r="Y140">
        <v>0.18190480000000001</v>
      </c>
      <c r="Z140">
        <v>-1.7089710000000001E-2</v>
      </c>
      <c r="AA140">
        <v>0.98316760000000003</v>
      </c>
      <c r="AB140">
        <v>16</v>
      </c>
      <c r="AC140">
        <v>0.60290000000003297</v>
      </c>
      <c r="AD140">
        <v>-0.1570925</v>
      </c>
      <c r="AE140">
        <v>-0.14580000000000801</v>
      </c>
      <c r="AF140">
        <v>0.13208438698493</v>
      </c>
      <c r="AG140">
        <v>-0.1570925</v>
      </c>
      <c r="AH140">
        <v>0.56772917146223201</v>
      </c>
      <c r="AI140">
        <v>105.083163219382</v>
      </c>
      <c r="AJ140">
        <v>76.9029036966419</v>
      </c>
      <c r="AK140">
        <v>0.60368928346511797</v>
      </c>
      <c r="AL140">
        <v>81.738537783977705</v>
      </c>
      <c r="AM140">
        <v>89.4826304616318</v>
      </c>
      <c r="AN140">
        <v>0.99999998432542503</v>
      </c>
    </row>
    <row r="141" spans="1:40" x14ac:dyDescent="0.25">
      <c r="A141" t="str">
        <f>"20190312172333876"</f>
        <v>20190312172333876</v>
      </c>
      <c r="B141" t="str">
        <f>"1552382613870147"</f>
        <v>1552382613870147</v>
      </c>
      <c r="C141" t="s">
        <v>40</v>
      </c>
      <c r="D141">
        <v>3.7229350000000001</v>
      </c>
      <c r="E141">
        <v>0.57034240000000003</v>
      </c>
      <c r="F141" t="s">
        <v>41</v>
      </c>
      <c r="G141">
        <v>-468.02</v>
      </c>
      <c r="H141">
        <v>0.95020139999999997</v>
      </c>
      <c r="I141">
        <v>367.01490000000001</v>
      </c>
      <c r="J141">
        <v>-468.59859999999998</v>
      </c>
      <c r="K141">
        <v>1.108428</v>
      </c>
      <c r="L141">
        <v>367.16149999999999</v>
      </c>
      <c r="M141">
        <v>0.99996079999999998</v>
      </c>
      <c r="N141">
        <v>0</v>
      </c>
      <c r="O141">
        <v>-8.7868189999999995E-3</v>
      </c>
      <c r="P141">
        <v>0.9892957</v>
      </c>
      <c r="Q141">
        <v>0.1448825</v>
      </c>
      <c r="R141">
        <v>-1.7411139999999999E-2</v>
      </c>
      <c r="S141">
        <v>3.11795</v>
      </c>
      <c r="T141">
        <v>-0.6609391</v>
      </c>
      <c r="U141">
        <v>-0.61755369999999998</v>
      </c>
      <c r="V141">
        <v>8.7359829999999992E-3</v>
      </c>
      <c r="W141">
        <v>0.14374149999999999</v>
      </c>
      <c r="X141">
        <v>0.98957669999999998</v>
      </c>
      <c r="Y141">
        <v>0.18196019999999999</v>
      </c>
      <c r="Z141">
        <v>-1.707169E-2</v>
      </c>
      <c r="AA141">
        <v>0.98315770000000002</v>
      </c>
      <c r="AB141">
        <v>16</v>
      </c>
      <c r="AC141">
        <v>0.57859999999999401</v>
      </c>
      <c r="AD141">
        <v>-0.158226599999999</v>
      </c>
      <c r="AE141">
        <v>-0.146599999999978</v>
      </c>
      <c r="AF141">
        <v>0.132219030877399</v>
      </c>
      <c r="AG141">
        <v>-0.158226599999999</v>
      </c>
      <c r="AH141">
        <v>0.54179310135027603</v>
      </c>
      <c r="AI141">
        <v>105.839500480571</v>
      </c>
      <c r="AJ141">
        <v>76.285615837023201</v>
      </c>
      <c r="AK141">
        <v>0.57970448829077503</v>
      </c>
      <c r="AL141">
        <v>81.735590889456702</v>
      </c>
      <c r="AM141">
        <v>89.494206003861393</v>
      </c>
      <c r="AN141">
        <v>0.99999999070205803</v>
      </c>
    </row>
    <row r="142" spans="1:40" x14ac:dyDescent="0.25">
      <c r="A142" t="str">
        <f>"20190312172333900"</f>
        <v>20190312172333900</v>
      </c>
      <c r="B142" t="str">
        <f>"1552382613889665"</f>
        <v>1552382613889665</v>
      </c>
      <c r="C142" t="s">
        <v>40</v>
      </c>
      <c r="D142">
        <v>3.7157480000000001</v>
      </c>
      <c r="E142">
        <v>0.57034839999999998</v>
      </c>
      <c r="F142" t="s">
        <v>41</v>
      </c>
      <c r="G142">
        <v>-467.87220000000002</v>
      </c>
      <c r="H142">
        <v>0.95461739999999995</v>
      </c>
      <c r="I142">
        <v>367.01729999999998</v>
      </c>
      <c r="J142">
        <v>-468.41750000000002</v>
      </c>
      <c r="K142">
        <v>1.10833</v>
      </c>
      <c r="L142">
        <v>367.15980000000002</v>
      </c>
      <c r="M142">
        <v>0.99995990000000001</v>
      </c>
      <c r="N142">
        <v>0</v>
      </c>
      <c r="O142">
        <v>-8.8921490000000002E-3</v>
      </c>
      <c r="P142">
        <v>0.98931270000000004</v>
      </c>
      <c r="Q142">
        <v>0.14473939999999999</v>
      </c>
      <c r="R142">
        <v>-1.7633940000000001E-2</v>
      </c>
      <c r="S142">
        <v>3.118347</v>
      </c>
      <c r="T142">
        <v>-0.66023829999999994</v>
      </c>
      <c r="U142">
        <v>-0.61715699999999996</v>
      </c>
      <c r="V142">
        <v>8.8549249999999996E-3</v>
      </c>
      <c r="W142">
        <v>0.14369949999999901</v>
      </c>
      <c r="X142">
        <v>0.98958179999999996</v>
      </c>
      <c r="Y142">
        <v>0.18172830000000001</v>
      </c>
      <c r="Z142">
        <v>-1.7006190000000001E-2</v>
      </c>
      <c r="AA142">
        <v>0.98320169999999996</v>
      </c>
      <c r="AB142">
        <v>16</v>
      </c>
      <c r="AC142">
        <v>0.54529999999999701</v>
      </c>
      <c r="AD142">
        <v>-0.15371259999999901</v>
      </c>
      <c r="AE142">
        <v>-0.14250000000004001</v>
      </c>
      <c r="AF142">
        <v>0.12811614108508501</v>
      </c>
      <c r="AG142">
        <v>-0.15371259999999901</v>
      </c>
      <c r="AH142">
        <v>0.50870767798147198</v>
      </c>
      <c r="AI142">
        <v>106.33128957097099</v>
      </c>
      <c r="AJ142">
        <v>75.864237898175404</v>
      </c>
      <c r="AK142">
        <v>0.54664870862611104</v>
      </c>
      <c r="AL142">
        <v>81.738023029093696</v>
      </c>
      <c r="AM142">
        <v>89.487322533623697</v>
      </c>
      <c r="AN142">
        <v>1.00000004744412</v>
      </c>
    </row>
    <row r="143" spans="1:40" x14ac:dyDescent="0.25">
      <c r="A143" t="str">
        <f>"20190312172333923"</f>
        <v>20190312172333923</v>
      </c>
      <c r="B143" t="str">
        <f>"1552382613919920"</f>
        <v>1552382613919920</v>
      </c>
      <c r="C143" t="s">
        <v>40</v>
      </c>
      <c r="D143">
        <v>3.6809050000000001</v>
      </c>
      <c r="E143">
        <v>0.57034339999999994</v>
      </c>
      <c r="F143" t="s">
        <v>41</v>
      </c>
      <c r="G143">
        <v>-467.72250000000003</v>
      </c>
      <c r="H143">
        <v>0.96105680000000004</v>
      </c>
      <c r="I143">
        <v>367.02159999999998</v>
      </c>
      <c r="J143">
        <v>-468.24880000000002</v>
      </c>
      <c r="K143">
        <v>1.108263</v>
      </c>
      <c r="L143">
        <v>367.15820000000002</v>
      </c>
      <c r="M143">
        <v>0.9999593</v>
      </c>
      <c r="N143">
        <v>0</v>
      </c>
      <c r="O143">
        <v>-8.9908990000000001E-3</v>
      </c>
      <c r="P143">
        <v>0.98933729999999998</v>
      </c>
      <c r="Q143">
        <v>0.14459430000000001</v>
      </c>
      <c r="R143">
        <v>-1.744617E-2</v>
      </c>
      <c r="S143">
        <v>3.118042</v>
      </c>
      <c r="T143">
        <v>-0.66085109999999903</v>
      </c>
      <c r="U143">
        <v>-0.61804199999999998</v>
      </c>
      <c r="V143">
        <v>8.5702509999999992E-3</v>
      </c>
      <c r="W143">
        <v>0.14372779999999999</v>
      </c>
      <c r="X143">
        <v>0.98958020000000002</v>
      </c>
      <c r="Y143">
        <v>0.18190909999999999</v>
      </c>
      <c r="Z143">
        <v>-1.7021069999999999E-2</v>
      </c>
      <c r="AA143">
        <v>0.98316800000000004</v>
      </c>
      <c r="AB143">
        <v>16</v>
      </c>
      <c r="AC143">
        <v>0.526299999999992</v>
      </c>
      <c r="AD143">
        <v>-0.14720619999999901</v>
      </c>
      <c r="AE143">
        <v>-0.13660000000004399</v>
      </c>
      <c r="AF143">
        <v>0.122857747368555</v>
      </c>
      <c r="AG143">
        <v>-0.14720619999999901</v>
      </c>
      <c r="AH143">
        <v>0.49148373870023099</v>
      </c>
      <c r="AI143">
        <v>106.202436718021</v>
      </c>
      <c r="AJ143">
        <v>75.965203448284498</v>
      </c>
      <c r="AK143">
        <v>0.527560382149449</v>
      </c>
      <c r="AL143">
        <v>81.736384579362294</v>
      </c>
      <c r="AM143">
        <v>89.503802788731505</v>
      </c>
      <c r="AN143">
        <v>1.0000000509635401</v>
      </c>
    </row>
    <row r="144" spans="1:40" x14ac:dyDescent="0.25">
      <c r="A144" t="str">
        <f>"20190312172333944"</f>
        <v>20190312172333944</v>
      </c>
      <c r="B144" t="str">
        <f>"1552382613939424"</f>
        <v>1552382613939424</v>
      </c>
      <c r="C144" t="s">
        <v>40</v>
      </c>
      <c r="D144">
        <v>3.6978490000000002</v>
      </c>
      <c r="E144">
        <v>0.57034399999999996</v>
      </c>
      <c r="F144" t="s">
        <v>41</v>
      </c>
      <c r="G144">
        <v>-467.4341</v>
      </c>
      <c r="H144">
        <v>0.93543580000000004</v>
      </c>
      <c r="I144">
        <v>366.99650000000003</v>
      </c>
      <c r="J144">
        <v>-468.09210000000002</v>
      </c>
      <c r="K144">
        <v>1.10816</v>
      </c>
      <c r="L144">
        <v>367.1567</v>
      </c>
      <c r="M144">
        <v>0.99995840000000003</v>
      </c>
      <c r="N144">
        <v>0</v>
      </c>
      <c r="O144">
        <v>-9.0831729999999999E-3</v>
      </c>
      <c r="P144">
        <v>0.9893324</v>
      </c>
      <c r="Q144">
        <v>0.14463509999999999</v>
      </c>
      <c r="R144">
        <v>-1.7388859999999999E-2</v>
      </c>
      <c r="S144">
        <v>3.1181030000000001</v>
      </c>
      <c r="T144">
        <v>-0.66147080000000003</v>
      </c>
      <c r="U144">
        <v>-0.61807250000000002</v>
      </c>
      <c r="V144">
        <v>8.4227780000000006E-3</v>
      </c>
      <c r="W144">
        <v>0.14374200000000001</v>
      </c>
      <c r="X144">
        <v>0.9895794</v>
      </c>
      <c r="Y144">
        <v>0.18182119999999999</v>
      </c>
      <c r="Z144">
        <v>-1.700805E-2</v>
      </c>
      <c r="AA144">
        <v>0.98318450000000002</v>
      </c>
      <c r="AB144">
        <v>17</v>
      </c>
      <c r="AC144">
        <v>0.65800000000001502</v>
      </c>
      <c r="AD144">
        <v>-0.17272419999999999</v>
      </c>
      <c r="AE144">
        <v>-0.160199999999974</v>
      </c>
      <c r="AF144">
        <v>0.144797609919494</v>
      </c>
      <c r="AG144">
        <v>-0.17272419999999999</v>
      </c>
      <c r="AH144">
        <v>0.61915226685097302</v>
      </c>
      <c r="AI144">
        <v>105.19708834495199</v>
      </c>
      <c r="AJ144">
        <v>76.837129869337303</v>
      </c>
      <c r="AK144">
        <v>0.65890024028735705</v>
      </c>
      <c r="AL144">
        <v>81.735562412204104</v>
      </c>
      <c r="AM144">
        <v>89.512340315572303</v>
      </c>
      <c r="AN144">
        <v>1.00000004732879</v>
      </c>
    </row>
    <row r="145" spans="1:40" x14ac:dyDescent="0.25">
      <c r="A145" t="str">
        <f>"20190312172333965"</f>
        <v>20190312172333965</v>
      </c>
      <c r="B145" t="str">
        <f>"1552382613959904"</f>
        <v>1552382613959904</v>
      </c>
      <c r="C145" t="s">
        <v>40</v>
      </c>
      <c r="D145">
        <v>3.6700270000000002</v>
      </c>
      <c r="E145">
        <v>0.57034430000000003</v>
      </c>
      <c r="F145" t="s">
        <v>41</v>
      </c>
      <c r="G145">
        <v>-467.28089999999997</v>
      </c>
      <c r="H145">
        <v>0.93603360000000002</v>
      </c>
      <c r="I145">
        <v>366.99549999999999</v>
      </c>
      <c r="J145">
        <v>-467.93009999999998</v>
      </c>
      <c r="K145">
        <v>1.1080589999999999</v>
      </c>
      <c r="L145">
        <v>367.15519999999998</v>
      </c>
      <c r="M145">
        <v>0.9999574</v>
      </c>
      <c r="N145">
        <v>0</v>
      </c>
      <c r="O145">
        <v>-9.1793229999999996E-3</v>
      </c>
      <c r="P145">
        <v>0.98926709999999995</v>
      </c>
      <c r="Q145">
        <v>0.14511289999999999</v>
      </c>
      <c r="R145">
        <v>-1.711625E-2</v>
      </c>
      <c r="S145">
        <v>3.1182560000000001</v>
      </c>
      <c r="T145">
        <v>-0.66170949999999995</v>
      </c>
      <c r="U145">
        <v>-0.6176758</v>
      </c>
      <c r="V145">
        <v>8.0571219999999999E-3</v>
      </c>
      <c r="W145">
        <v>0.14405109999999999</v>
      </c>
      <c r="X145">
        <v>0.98953749999999996</v>
      </c>
      <c r="Y145">
        <v>0.1816015</v>
      </c>
      <c r="Z145">
        <v>-1.6970639999999999E-2</v>
      </c>
      <c r="AA145">
        <v>0.98322580000000004</v>
      </c>
      <c r="AB145">
        <v>17</v>
      </c>
      <c r="AC145">
        <v>0.64920000000000699</v>
      </c>
      <c r="AD145">
        <v>-0.17202539999999999</v>
      </c>
      <c r="AE145">
        <v>-0.15969999999998599</v>
      </c>
      <c r="AF145">
        <v>0.144187645361119</v>
      </c>
      <c r="AG145">
        <v>-0.17202539999999999</v>
      </c>
      <c r="AH145">
        <v>0.61023595227340599</v>
      </c>
      <c r="AI145">
        <v>105.34138638862601</v>
      </c>
      <c r="AJ145">
        <v>76.705870876392495</v>
      </c>
      <c r="AK145">
        <v>0.65020822262331901</v>
      </c>
      <c r="AL145">
        <v>81.717666059713096</v>
      </c>
      <c r="AM145">
        <v>89.533490257589307</v>
      </c>
      <c r="AN145">
        <v>1.0000000502661901</v>
      </c>
    </row>
    <row r="146" spans="1:40" x14ac:dyDescent="0.25">
      <c r="A146" t="str">
        <f>"20190312172333989"</f>
        <v>20190312172333989</v>
      </c>
      <c r="B146" t="str">
        <f>"1552382613979427"</f>
        <v>1552382613979427</v>
      </c>
      <c r="C146" t="s">
        <v>40</v>
      </c>
      <c r="D146">
        <v>3.6932719999999999</v>
      </c>
      <c r="E146">
        <v>0.57035089999999999</v>
      </c>
      <c r="F146" t="s">
        <v>41</v>
      </c>
      <c r="G146">
        <v>-467.12509999999997</v>
      </c>
      <c r="H146">
        <v>0.93758859999999999</v>
      </c>
      <c r="I146">
        <v>366.99590000000001</v>
      </c>
      <c r="J146">
        <v>-467.74189999999999</v>
      </c>
      <c r="K146">
        <v>1.1079909999999999</v>
      </c>
      <c r="L146">
        <v>367.1533</v>
      </c>
      <c r="M146">
        <v>0.99995610000000001</v>
      </c>
      <c r="N146">
        <v>0</v>
      </c>
      <c r="O146">
        <v>-9.2906229999999996E-3</v>
      </c>
      <c r="P146">
        <v>0.98924719999999999</v>
      </c>
      <c r="Q146">
        <v>0.1452475</v>
      </c>
      <c r="R146">
        <v>-1.71247E-2</v>
      </c>
      <c r="S146">
        <v>3.118805</v>
      </c>
      <c r="T146">
        <v>-0.66050769999999903</v>
      </c>
      <c r="U146">
        <v>-0.616699199999999</v>
      </c>
      <c r="V146">
        <v>7.9565260000000002E-3</v>
      </c>
      <c r="W146">
        <v>0.14402179999999901</v>
      </c>
      <c r="X146">
        <v>0.98954249999999999</v>
      </c>
      <c r="Y146">
        <v>0.1811883</v>
      </c>
      <c r="Z146">
        <v>-1.6872140000000001E-2</v>
      </c>
      <c r="AA146">
        <v>0.9833037</v>
      </c>
      <c r="AB146">
        <v>17</v>
      </c>
      <c r="AC146">
        <v>0.61680000000001201</v>
      </c>
      <c r="AD146">
        <v>-0.17040239999999901</v>
      </c>
      <c r="AE146">
        <v>-0.15739999999999499</v>
      </c>
      <c r="AF146">
        <v>0.141521612203208</v>
      </c>
      <c r="AG146">
        <v>-0.17040239999999901</v>
      </c>
      <c r="AH146">
        <v>0.57689655920504102</v>
      </c>
      <c r="AI146">
        <v>106.00669838629101</v>
      </c>
      <c r="AJ146">
        <v>76.216652573186707</v>
      </c>
      <c r="AK146">
        <v>0.61796034231087305</v>
      </c>
      <c r="AL146">
        <v>81.719361865351104</v>
      </c>
      <c r="AM146">
        <v>89.539316870738304</v>
      </c>
      <c r="AN146">
        <v>0.99999997224373904</v>
      </c>
    </row>
    <row r="147" spans="1:40" x14ac:dyDescent="0.25">
      <c r="A147" t="str">
        <f>"20190312172334010"</f>
        <v>20190312172334010</v>
      </c>
      <c r="B147" t="str">
        <f>"1552382613999920"</f>
        <v>1552382613999920</v>
      </c>
      <c r="C147" t="s">
        <v>40</v>
      </c>
      <c r="D147">
        <v>3.6648529999999999</v>
      </c>
      <c r="E147">
        <v>0.57033730000000005</v>
      </c>
      <c r="F147" t="s">
        <v>41</v>
      </c>
      <c r="G147">
        <v>-466.96570000000003</v>
      </c>
      <c r="H147">
        <v>0.94358730000000002</v>
      </c>
      <c r="I147">
        <v>366.99950000000001</v>
      </c>
      <c r="J147">
        <v>-467.57159999999999</v>
      </c>
      <c r="K147">
        <v>1.1079889999999999</v>
      </c>
      <c r="L147">
        <v>367.15159999999997</v>
      </c>
      <c r="M147">
        <v>0.99995520000000004</v>
      </c>
      <c r="N147">
        <v>0</v>
      </c>
      <c r="O147">
        <v>-9.3900609999999999E-3</v>
      </c>
      <c r="P147">
        <v>0.98926400000000003</v>
      </c>
      <c r="Q147">
        <v>0.14513809999999999</v>
      </c>
      <c r="R147">
        <v>-1.7086520000000001E-2</v>
      </c>
      <c r="S147">
        <v>3.1190190000000002</v>
      </c>
      <c r="T147">
        <v>-0.66066269999999905</v>
      </c>
      <c r="U147">
        <v>-0.61611939999999998</v>
      </c>
      <c r="V147">
        <v>7.8204769999999993E-3</v>
      </c>
      <c r="W147">
        <v>0.14387649999999999</v>
      </c>
      <c r="X147">
        <v>0.98956480000000002</v>
      </c>
      <c r="Y147">
        <v>0.1809086</v>
      </c>
      <c r="Z147">
        <v>-1.682554E-2</v>
      </c>
      <c r="AA147">
        <v>0.98335600000000001</v>
      </c>
      <c r="AB147">
        <v>17</v>
      </c>
      <c r="AC147">
        <v>0.60589999999996202</v>
      </c>
      <c r="AD147">
        <v>-0.16440169999999901</v>
      </c>
      <c r="AE147">
        <v>-0.15209999999996099</v>
      </c>
      <c r="AF147">
        <v>0.136920966457106</v>
      </c>
      <c r="AG147">
        <v>-0.16440169999999901</v>
      </c>
      <c r="AH147">
        <v>0.56796531854273102</v>
      </c>
      <c r="AI147">
        <v>105.716386455002</v>
      </c>
      <c r="AJ147">
        <v>76.446163851550693</v>
      </c>
      <c r="AK147">
        <v>0.60692657965011199</v>
      </c>
      <c r="AL147">
        <v>81.727775209704703</v>
      </c>
      <c r="AM147">
        <v>89.547203985316301</v>
      </c>
      <c r="AN147">
        <v>1.0000000502558899</v>
      </c>
    </row>
    <row r="148" spans="1:40" x14ac:dyDescent="0.25">
      <c r="A148" t="str">
        <f>"20190312172334032"</f>
        <v>20190312172334032</v>
      </c>
      <c r="B148" t="str">
        <f>"1552382614030176"</f>
        <v>1552382614030176</v>
      </c>
      <c r="C148" t="s">
        <v>40</v>
      </c>
      <c r="D148">
        <v>3.6629480000000001</v>
      </c>
      <c r="E148">
        <v>0.57030150000000002</v>
      </c>
      <c r="F148" t="s">
        <v>41</v>
      </c>
      <c r="G148">
        <v>-466.80599999999998</v>
      </c>
      <c r="H148">
        <v>0.94581809999999999</v>
      </c>
      <c r="I148">
        <v>367.00009999999997</v>
      </c>
      <c r="J148">
        <v>-467.39929999999998</v>
      </c>
      <c r="K148">
        <v>1.108023</v>
      </c>
      <c r="L148">
        <v>367.1499</v>
      </c>
      <c r="M148">
        <v>0.99995420000000002</v>
      </c>
      <c r="N148">
        <v>0</v>
      </c>
      <c r="O148">
        <v>-9.4894590000000004E-3</v>
      </c>
      <c r="P148">
        <v>0.98925430000000003</v>
      </c>
      <c r="Q148">
        <v>0.1452204</v>
      </c>
      <c r="R148">
        <v>-1.694408E-2</v>
      </c>
      <c r="S148">
        <v>3.1188660000000001</v>
      </c>
      <c r="T148">
        <v>-0.66070680000000004</v>
      </c>
      <c r="U148">
        <v>-0.616394</v>
      </c>
      <c r="V148">
        <v>7.5802869999999998E-3</v>
      </c>
      <c r="W148">
        <v>0.14399589999999901</v>
      </c>
      <c r="X148">
        <v>0.98954929999999997</v>
      </c>
      <c r="Y148">
        <v>0.1809048</v>
      </c>
      <c r="Z148">
        <v>-1.680628E-2</v>
      </c>
      <c r="AA148">
        <v>0.98335700000000004</v>
      </c>
      <c r="AB148">
        <v>18</v>
      </c>
      <c r="AC148">
        <v>0.59329999999999905</v>
      </c>
      <c r="AD148">
        <v>-0.16220490000000001</v>
      </c>
      <c r="AE148">
        <v>-0.14980000000002699</v>
      </c>
      <c r="AF148">
        <v>0.134698541361392</v>
      </c>
      <c r="AG148">
        <v>-0.16220490000000001</v>
      </c>
      <c r="AH148">
        <v>0.555651847136587</v>
      </c>
      <c r="AI148">
        <v>105.838710047814</v>
      </c>
      <c r="AJ148">
        <v>76.373485933960694</v>
      </c>
      <c r="AK148">
        <v>0.59430892796187895</v>
      </c>
      <c r="AL148">
        <v>81.7208620934057</v>
      </c>
      <c r="AM148">
        <v>89.561103264380606</v>
      </c>
      <c r="AN148">
        <v>1.00000004854915</v>
      </c>
    </row>
    <row r="149" spans="1:40" x14ac:dyDescent="0.25">
      <c r="A149" t="str">
        <f>"20190312172334046"</f>
        <v>20190312172334046</v>
      </c>
      <c r="B149" t="str">
        <f>"1552382614039484"</f>
        <v>1552382614039484</v>
      </c>
      <c r="C149" t="s">
        <v>40</v>
      </c>
      <c r="D149">
        <v>3.6920630000000001</v>
      </c>
      <c r="E149">
        <v>0.57030570000000003</v>
      </c>
      <c r="F149" t="s">
        <v>41</v>
      </c>
      <c r="G149">
        <v>-466.64429999999999</v>
      </c>
      <c r="H149">
        <v>0.94829810000000003</v>
      </c>
      <c r="I149">
        <v>366.99990000000003</v>
      </c>
      <c r="J149">
        <v>-467.28969999999998</v>
      </c>
      <c r="K149">
        <v>1.1080509999999999</v>
      </c>
      <c r="L149">
        <v>367.14879999999999</v>
      </c>
      <c r="M149">
        <v>0.99995369999999995</v>
      </c>
      <c r="N149">
        <v>0</v>
      </c>
      <c r="O149">
        <v>-9.5526210000000007E-3</v>
      </c>
      <c r="P149">
        <v>0.98927120000000002</v>
      </c>
      <c r="Q149">
        <v>0.145095899999999</v>
      </c>
      <c r="R149">
        <v>-1.701687E-2</v>
      </c>
      <c r="S149">
        <v>3.1188660000000001</v>
      </c>
      <c r="T149">
        <v>-0.65988159999999996</v>
      </c>
      <c r="U149">
        <v>-0.61666869999999996</v>
      </c>
      <c r="V149">
        <v>7.5908640000000001E-3</v>
      </c>
      <c r="W149">
        <v>0.14390530000000001</v>
      </c>
      <c r="X149">
        <v>0.98956230000000001</v>
      </c>
      <c r="Y149">
        <v>0.18093590000000001</v>
      </c>
      <c r="Z149">
        <v>-1.6775729999999999E-2</v>
      </c>
      <c r="AA149">
        <v>0.9833518</v>
      </c>
      <c r="AB149">
        <v>18</v>
      </c>
      <c r="AC149">
        <v>0.64539999999999498</v>
      </c>
      <c r="AD149">
        <v>-0.1597529</v>
      </c>
      <c r="AE149">
        <v>-0.148899999999969</v>
      </c>
      <c r="AF149">
        <v>0.13488154556479201</v>
      </c>
      <c r="AG149">
        <v>-0.1597529</v>
      </c>
      <c r="AH149">
        <v>0.61123583070405896</v>
      </c>
      <c r="AI149">
        <v>104.317404751502</v>
      </c>
      <c r="AJ149">
        <v>77.555958615675905</v>
      </c>
      <c r="AK149">
        <v>0.64600562004431294</v>
      </c>
      <c r="AL149">
        <v>81.726106912601097</v>
      </c>
      <c r="AM149">
        <v>89.560496656370901</v>
      </c>
      <c r="AN149">
        <v>0.99999995108282203</v>
      </c>
    </row>
    <row r="150" spans="1:40" x14ac:dyDescent="0.25">
      <c r="A150" t="str">
        <f>"20190312172334065"</f>
        <v>20190312172334065</v>
      </c>
      <c r="B150" t="str">
        <f>"1552382614059963"</f>
        <v>1552382614059963</v>
      </c>
      <c r="C150" t="s">
        <v>40</v>
      </c>
      <c r="D150">
        <v>3.6624989999999999</v>
      </c>
      <c r="E150">
        <v>0.57030029999999998</v>
      </c>
      <c r="F150" t="s">
        <v>41</v>
      </c>
      <c r="G150">
        <v>-466.4862</v>
      </c>
      <c r="H150">
        <v>0.93787799999999999</v>
      </c>
      <c r="I150">
        <v>366.9898</v>
      </c>
      <c r="J150">
        <v>-467.13369999999998</v>
      </c>
      <c r="K150">
        <v>1.10809</v>
      </c>
      <c r="L150">
        <v>367.1472</v>
      </c>
      <c r="M150">
        <v>0.99995290000000003</v>
      </c>
      <c r="N150">
        <v>0</v>
      </c>
      <c r="O150">
        <v>-9.6429610000000002E-3</v>
      </c>
      <c r="P150">
        <v>0.98930169999999995</v>
      </c>
      <c r="Q150">
        <v>0.14488529999999999</v>
      </c>
      <c r="R150">
        <v>-1.7039490000000001E-2</v>
      </c>
      <c r="S150">
        <v>3.1188349999999998</v>
      </c>
      <c r="T150">
        <v>-0.66053519999999999</v>
      </c>
      <c r="U150">
        <v>-0.61630249999999998</v>
      </c>
      <c r="V150">
        <v>7.5238869999999999E-3</v>
      </c>
      <c r="W150">
        <v>0.14373540000000001</v>
      </c>
      <c r="X150">
        <v>0.98958749999999995</v>
      </c>
      <c r="Y150">
        <v>0.1807367</v>
      </c>
      <c r="Z150">
        <v>-1.6752929999999999E-2</v>
      </c>
      <c r="AA150">
        <v>0.98338879999999995</v>
      </c>
      <c r="AB150">
        <v>18</v>
      </c>
      <c r="AC150">
        <v>0.64749999999997898</v>
      </c>
      <c r="AD150">
        <v>-0.170211999999999</v>
      </c>
      <c r="AE150">
        <v>-0.15739999999999499</v>
      </c>
      <c r="AF150">
        <v>0.14189077478838</v>
      </c>
      <c r="AG150">
        <v>-0.170211999999999</v>
      </c>
      <c r="AH150">
        <v>0.60923626429302602</v>
      </c>
      <c r="AI150">
        <v>105.221851981459</v>
      </c>
      <c r="AJ150">
        <v>76.889557487347901</v>
      </c>
      <c r="AK150">
        <v>0.64828538672699498</v>
      </c>
      <c r="AL150">
        <v>81.735943698489194</v>
      </c>
      <c r="AM150">
        <v>89.564385499625899</v>
      </c>
      <c r="AN150">
        <v>0.99999994712249796</v>
      </c>
    </row>
    <row r="151" spans="1:40" x14ac:dyDescent="0.25">
      <c r="A151" t="str">
        <f>"20190312172334089"</f>
        <v>20190312172334089</v>
      </c>
      <c r="B151" t="str">
        <f>"1552382614079487"</f>
        <v>1552382614079487</v>
      </c>
      <c r="C151" t="s">
        <v>40</v>
      </c>
      <c r="D151">
        <v>3.6513460000000002</v>
      </c>
      <c r="E151">
        <v>0.57029430000000003</v>
      </c>
      <c r="F151" t="s">
        <v>41</v>
      </c>
      <c r="G151">
        <v>-466.32240000000002</v>
      </c>
      <c r="H151">
        <v>0.93611100000000003</v>
      </c>
      <c r="I151">
        <v>366.98630000000003</v>
      </c>
      <c r="J151">
        <v>-466.93509999999998</v>
      </c>
      <c r="K151">
        <v>1.108134</v>
      </c>
      <c r="L151">
        <v>367.14510000000001</v>
      </c>
      <c r="M151">
        <v>0.99995179999999995</v>
      </c>
      <c r="N151">
        <v>0</v>
      </c>
      <c r="O151">
        <v>-9.7577400000000009E-3</v>
      </c>
      <c r="P151">
        <v>0.98929140000000004</v>
      </c>
      <c r="Q151">
        <v>0.14497370000000001</v>
      </c>
      <c r="R151">
        <v>-1.689444E-2</v>
      </c>
      <c r="S151">
        <v>3.1186829999999999</v>
      </c>
      <c r="T151">
        <v>-0.66137429999999997</v>
      </c>
      <c r="U151">
        <v>-0.61621090000000001</v>
      </c>
      <c r="V151">
        <v>7.2654529999999998E-3</v>
      </c>
      <c r="W151">
        <v>0.14386179999999901</v>
      </c>
      <c r="X151">
        <v>0.98957110000000004</v>
      </c>
      <c r="Y151">
        <v>0.18060109999999999</v>
      </c>
      <c r="Z151">
        <v>-1.673666E-2</v>
      </c>
      <c r="AA151">
        <v>0.98341409999999996</v>
      </c>
      <c r="AB151">
        <v>18</v>
      </c>
      <c r="AC151">
        <v>0.61269999999996105</v>
      </c>
      <c r="AD151">
        <v>-0.17202299999999901</v>
      </c>
      <c r="AE151">
        <v>-0.15879999999998501</v>
      </c>
      <c r="AF151">
        <v>0.142302611981275</v>
      </c>
      <c r="AG151">
        <v>-0.17202299999999901</v>
      </c>
      <c r="AH151">
        <v>0.57197139377210204</v>
      </c>
      <c r="AI151">
        <v>106.270278578915</v>
      </c>
      <c r="AJ151">
        <v>76.028850452486196</v>
      </c>
      <c r="AK151">
        <v>0.61399773712880601</v>
      </c>
      <c r="AL151">
        <v>81.728625752769105</v>
      </c>
      <c r="AM151">
        <v>89.579340672440594</v>
      </c>
      <c r="AN151">
        <v>0.99999998313087202</v>
      </c>
    </row>
    <row r="152" spans="1:40" x14ac:dyDescent="0.25">
      <c r="A152" t="str">
        <f>"20190312172334112"</f>
        <v>20190312172334112</v>
      </c>
      <c r="B152" t="str">
        <f>"1552382614099979"</f>
        <v>1552382614099979</v>
      </c>
      <c r="C152" t="s">
        <v>40</v>
      </c>
      <c r="D152">
        <v>3.670369</v>
      </c>
      <c r="E152">
        <v>0.57028009999999996</v>
      </c>
      <c r="F152" t="s">
        <v>41</v>
      </c>
      <c r="G152">
        <v>-466.15370000000001</v>
      </c>
      <c r="H152">
        <v>0.9425365</v>
      </c>
      <c r="I152">
        <v>366.99090000000001</v>
      </c>
      <c r="J152">
        <v>-466.74439999999998</v>
      </c>
      <c r="K152">
        <v>1.1081799999999999</v>
      </c>
      <c r="L152">
        <v>367.14319999999998</v>
      </c>
      <c r="M152">
        <v>0.99995089999999998</v>
      </c>
      <c r="N152">
        <v>0</v>
      </c>
      <c r="O152">
        <v>-9.8683469999999995E-3</v>
      </c>
      <c r="P152">
        <v>0.98932469999999995</v>
      </c>
      <c r="Q152">
        <v>0.14474479999999901</v>
      </c>
      <c r="R152">
        <v>-1.6906629999999999E-2</v>
      </c>
      <c r="S152">
        <v>3.1188660000000001</v>
      </c>
      <c r="T152">
        <v>-0.66096639999999995</v>
      </c>
      <c r="U152">
        <v>-0.61566160000000003</v>
      </c>
      <c r="V152">
        <v>7.1679419999999897E-3</v>
      </c>
      <c r="W152">
        <v>0.14367360000000001</v>
      </c>
      <c r="X152">
        <v>0.98959920000000001</v>
      </c>
      <c r="Y152">
        <v>0.1803276</v>
      </c>
      <c r="Z152">
        <v>-1.6674540000000002E-2</v>
      </c>
      <c r="AA152">
        <v>0.98346529999999999</v>
      </c>
      <c r="AB152">
        <v>18</v>
      </c>
      <c r="AC152">
        <v>0.59069999999996903</v>
      </c>
      <c r="AD152">
        <v>-0.165643499999999</v>
      </c>
      <c r="AE152">
        <v>-0.15229999999996799</v>
      </c>
      <c r="AF152">
        <v>0.13640570543215799</v>
      </c>
      <c r="AG152">
        <v>-0.165643499999999</v>
      </c>
      <c r="AH152">
        <v>0.551509563272915</v>
      </c>
      <c r="AI152">
        <v>106.254584079437</v>
      </c>
      <c r="AJ152">
        <v>76.107744922616902</v>
      </c>
      <c r="AK152">
        <v>0.591782970309366</v>
      </c>
      <c r="AL152">
        <v>81.739522402141304</v>
      </c>
      <c r="AM152">
        <v>89.584998004972604</v>
      </c>
      <c r="AN152">
        <v>1.00000002968505</v>
      </c>
    </row>
    <row r="153" spans="1:40" x14ac:dyDescent="0.25">
      <c r="A153" t="str">
        <f>"20190312172334134"</f>
        <v>20190312172334134</v>
      </c>
      <c r="B153" t="str">
        <f>"1552382614130236"</f>
        <v>1552382614130236</v>
      </c>
      <c r="C153" t="s">
        <v>40</v>
      </c>
      <c r="D153">
        <v>3.6871239999999998</v>
      </c>
      <c r="E153">
        <v>0.57028840000000003</v>
      </c>
      <c r="F153" t="s">
        <v>41</v>
      </c>
      <c r="G153">
        <v>-465.9837</v>
      </c>
      <c r="H153">
        <v>0.94678839999999997</v>
      </c>
      <c r="I153">
        <v>366.99259999999998</v>
      </c>
      <c r="J153">
        <v>-466.55860000000001</v>
      </c>
      <c r="K153">
        <v>1.1082270000000001</v>
      </c>
      <c r="L153">
        <v>367.14120000000003</v>
      </c>
      <c r="M153">
        <v>0.9999498</v>
      </c>
      <c r="N153">
        <v>0</v>
      </c>
      <c r="O153">
        <v>-9.9757319999999993E-3</v>
      </c>
      <c r="P153">
        <v>0.98926990000000004</v>
      </c>
      <c r="Q153">
        <v>0.14511019999999999</v>
      </c>
      <c r="R153">
        <v>-1.6974329999999999E-2</v>
      </c>
      <c r="S153">
        <v>3.118652</v>
      </c>
      <c r="T153">
        <v>-0.66175319999999904</v>
      </c>
      <c r="U153">
        <v>-0.615753199999999</v>
      </c>
      <c r="V153">
        <v>7.1301089999999999E-3</v>
      </c>
      <c r="W153">
        <v>0.14408979999999999</v>
      </c>
      <c r="X153">
        <v>0.9895389</v>
      </c>
      <c r="Y153">
        <v>0.18025740000000001</v>
      </c>
      <c r="Z153">
        <v>-1.66654E-2</v>
      </c>
      <c r="AA153">
        <v>0.98347830000000003</v>
      </c>
      <c r="AB153">
        <v>19</v>
      </c>
      <c r="AC153">
        <v>0.57490000000001296</v>
      </c>
      <c r="AD153">
        <v>-0.16143859999999999</v>
      </c>
      <c r="AE153">
        <v>-0.148600000000044</v>
      </c>
      <c r="AF153">
        <v>0.13302480535851</v>
      </c>
      <c r="AG153">
        <v>-0.16143859999999999</v>
      </c>
      <c r="AH153">
        <v>0.53668390507577202</v>
      </c>
      <c r="AI153">
        <v>106.276345661269</v>
      </c>
      <c r="AJ153">
        <v>76.078980336293199</v>
      </c>
      <c r="AK153">
        <v>0.57601009919793</v>
      </c>
      <c r="AL153">
        <v>81.715424681754598</v>
      </c>
      <c r="AM153">
        <v>89.587163189530401</v>
      </c>
      <c r="AN153">
        <v>0.99999997176580002</v>
      </c>
    </row>
    <row r="154" spans="1:40" x14ac:dyDescent="0.25">
      <c r="A154" t="str">
        <f>"20190312172334155"</f>
        <v>20190312172334155</v>
      </c>
      <c r="B154" t="str">
        <f>"1552382614149756"</f>
        <v>1552382614149756</v>
      </c>
      <c r="C154" t="s">
        <v>40</v>
      </c>
      <c r="D154">
        <v>5.5802290000000001</v>
      </c>
      <c r="E154">
        <v>0.57030499999999995</v>
      </c>
      <c r="F154" t="s">
        <v>41</v>
      </c>
      <c r="G154">
        <v>-465.81229999999999</v>
      </c>
      <c r="H154">
        <v>0.95015760000000005</v>
      </c>
      <c r="I154">
        <v>366.99369999999999</v>
      </c>
      <c r="J154">
        <v>-466.3725</v>
      </c>
      <c r="K154">
        <v>1.1082749999999999</v>
      </c>
      <c r="L154">
        <v>367.13920000000002</v>
      </c>
      <c r="M154">
        <v>0.99994870000000002</v>
      </c>
      <c r="N154">
        <v>0</v>
      </c>
      <c r="O154">
        <v>-1.0084070000000001E-2</v>
      </c>
      <c r="P154">
        <v>0.98920350000000001</v>
      </c>
      <c r="Q154">
        <v>0.145566</v>
      </c>
      <c r="R154">
        <v>-1.6947279999999999E-2</v>
      </c>
      <c r="S154">
        <v>3.1188660000000001</v>
      </c>
      <c r="T154">
        <v>-0.66066069999999999</v>
      </c>
      <c r="U154">
        <v>-0.61621090000000001</v>
      </c>
      <c r="V154">
        <v>6.9967980000000003E-3</v>
      </c>
      <c r="W154">
        <v>0.1446017</v>
      </c>
      <c r="X154">
        <v>0.98946520000000004</v>
      </c>
      <c r="Y154">
        <v>0.18029120000000001</v>
      </c>
      <c r="Z154">
        <v>-1.6618190000000001E-2</v>
      </c>
      <c r="AA154">
        <v>0.98347289999999998</v>
      </c>
      <c r="AB154">
        <v>19</v>
      </c>
      <c r="AC154">
        <v>0.56020000000000802</v>
      </c>
      <c r="AD154">
        <v>-0.15811739999999899</v>
      </c>
      <c r="AE154">
        <v>-0.145500000000026</v>
      </c>
      <c r="AF154">
        <v>0.130131592916232</v>
      </c>
      <c r="AG154">
        <v>-0.15811739999999899</v>
      </c>
      <c r="AH154">
        <v>0.52263382496335198</v>
      </c>
      <c r="AI154">
        <v>106.360971597898</v>
      </c>
      <c r="AJ154">
        <v>76.018131253317705</v>
      </c>
      <c r="AK154">
        <v>0.56132117246145197</v>
      </c>
      <c r="AL154">
        <v>81.685784748991694</v>
      </c>
      <c r="AM154">
        <v>89.594851528046405</v>
      </c>
      <c r="AN154">
        <v>0.99999999441809095</v>
      </c>
    </row>
    <row r="155" spans="1:40" x14ac:dyDescent="0.25">
      <c r="A155" t="str">
        <f>"20190312172334169"</f>
        <v>20190312172334169</v>
      </c>
      <c r="B155" t="str">
        <f>"1552382614159517"</f>
        <v>1552382614159517</v>
      </c>
      <c r="C155" t="s">
        <v>40</v>
      </c>
      <c r="D155">
        <v>3.6897099999999998</v>
      </c>
      <c r="E155">
        <v>0.57030499999999995</v>
      </c>
      <c r="F155" t="s">
        <v>41</v>
      </c>
      <c r="G155">
        <v>-465.63920000000002</v>
      </c>
      <c r="H155">
        <v>0.95333330000000005</v>
      </c>
      <c r="I155">
        <v>366.99380000000002</v>
      </c>
      <c r="J155">
        <v>-466.2559</v>
      </c>
      <c r="K155">
        <v>1.108306</v>
      </c>
      <c r="L155">
        <v>367.1379</v>
      </c>
      <c r="M155">
        <v>0.99994810000000001</v>
      </c>
      <c r="N155">
        <v>0</v>
      </c>
      <c r="O155">
        <v>-1.0152120000000001E-2</v>
      </c>
      <c r="P155">
        <v>0.98921389999999998</v>
      </c>
      <c r="Q155">
        <v>0.14550729999999901</v>
      </c>
      <c r="R155">
        <v>-1.684157E-2</v>
      </c>
      <c r="S155">
        <v>3.1192630000000001</v>
      </c>
      <c r="T155">
        <v>-0.659215</v>
      </c>
      <c r="U155">
        <v>-0.61645509999999903</v>
      </c>
      <c r="V155">
        <v>6.823679E-3</v>
      </c>
      <c r="W155">
        <v>0.14457809999999999</v>
      </c>
      <c r="X155">
        <v>0.98946990000000001</v>
      </c>
      <c r="Y155">
        <v>0.1802927</v>
      </c>
      <c r="Z155">
        <v>-1.656651E-2</v>
      </c>
      <c r="AA155">
        <v>0.9834735</v>
      </c>
      <c r="AB155">
        <v>19</v>
      </c>
      <c r="AC155">
        <v>0.61669999999998004</v>
      </c>
      <c r="AD155">
        <v>-0.15497269999999899</v>
      </c>
      <c r="AE155">
        <v>-0.14409999999997999</v>
      </c>
      <c r="AF155">
        <v>0.13004479194179999</v>
      </c>
      <c r="AG155">
        <v>-0.15497269999999899</v>
      </c>
      <c r="AH155">
        <v>0.58320909440458002</v>
      </c>
      <c r="AI155">
        <v>104.539575885346</v>
      </c>
      <c r="AJ155">
        <v>77.429747144477105</v>
      </c>
      <c r="AK155">
        <v>0.617301412158345</v>
      </c>
      <c r="AL155">
        <v>81.687151640081694</v>
      </c>
      <c r="AM155">
        <v>89.604877511055903</v>
      </c>
      <c r="AN155">
        <v>1.0000000363003501</v>
      </c>
    </row>
    <row r="156" spans="1:40" x14ac:dyDescent="0.25">
      <c r="A156" t="str">
        <f>"20190312172334302"</f>
        <v>20190312172334302</v>
      </c>
      <c r="B156" t="str">
        <f>"1552382614290300"</f>
        <v>1552382614290300</v>
      </c>
      <c r="C156" t="s">
        <v>40</v>
      </c>
      <c r="D156">
        <v>3.920388</v>
      </c>
      <c r="E156">
        <v>0.49972569999999999</v>
      </c>
      <c r="F156" t="s">
        <v>41</v>
      </c>
      <c r="G156">
        <v>-464.56939999999997</v>
      </c>
      <c r="H156">
        <v>0.95477020000000001</v>
      </c>
      <c r="I156">
        <v>367.09289999999999</v>
      </c>
      <c r="J156">
        <v>-465.0652</v>
      </c>
      <c r="K156">
        <v>1.1084750000000001</v>
      </c>
      <c r="L156">
        <v>367.12479999999999</v>
      </c>
      <c r="M156">
        <v>0.99994119999999997</v>
      </c>
      <c r="N156">
        <v>0</v>
      </c>
      <c r="O156">
        <v>-1.084368E-2</v>
      </c>
      <c r="P156">
        <v>0.98935819999999997</v>
      </c>
      <c r="Q156">
        <v>0.144834299999999</v>
      </c>
      <c r="R156">
        <v>-1.3911959999999999E-2</v>
      </c>
      <c r="S156">
        <v>3.1301269999999999</v>
      </c>
      <c r="T156">
        <v>-0.67801919999999904</v>
      </c>
      <c r="U156">
        <v>-0.15093989999999999</v>
      </c>
      <c r="V156">
        <v>3.2116839999999998E-3</v>
      </c>
      <c r="W156">
        <v>0.1442138</v>
      </c>
      <c r="X156">
        <v>0.98954140000000002</v>
      </c>
      <c r="Y156">
        <v>3.6732819999999999E-2</v>
      </c>
      <c r="Z156">
        <v>-1.610106E-3</v>
      </c>
      <c r="AA156">
        <v>0.99932379999999998</v>
      </c>
      <c r="AB156">
        <v>20</v>
      </c>
      <c r="AC156">
        <v>0.49580000000003099</v>
      </c>
      <c r="AD156">
        <v>-0.1537048</v>
      </c>
      <c r="AE156">
        <v>-3.1900000000007298E-2</v>
      </c>
      <c r="AF156">
        <v>2.42051022624355E-2</v>
      </c>
      <c r="AG156">
        <v>-0.1537048</v>
      </c>
      <c r="AH156">
        <v>0.45278014162371799</v>
      </c>
      <c r="AI156">
        <v>108.725883571396</v>
      </c>
      <c r="AJ156">
        <v>86.939946786352394</v>
      </c>
      <c r="AK156">
        <v>0.47877020497036898</v>
      </c>
      <c r="AL156">
        <v>81.708245743157207</v>
      </c>
      <c r="AM156">
        <v>89.814039824724802</v>
      </c>
      <c r="AN156">
        <v>1.0000000586692499</v>
      </c>
    </row>
    <row r="157" spans="1:40" x14ac:dyDescent="0.25">
      <c r="A157" t="str">
        <f>"20190312172334323"</f>
        <v>20190312172334323</v>
      </c>
      <c r="B157" t="str">
        <f>"1552382614319580"</f>
        <v>1552382614319580</v>
      </c>
      <c r="C157" t="s">
        <v>40</v>
      </c>
      <c r="D157">
        <v>3.6251009999999999</v>
      </c>
      <c r="E157">
        <v>0.50243379999999904</v>
      </c>
      <c r="F157" t="s">
        <v>42</v>
      </c>
      <c r="G157">
        <v>-432.58420000000001</v>
      </c>
      <c r="H157">
        <v>-0.05</v>
      </c>
      <c r="I157">
        <v>366.67570000000001</v>
      </c>
      <c r="J157">
        <v>-464.86309999999997</v>
      </c>
      <c r="K157">
        <v>1.108493</v>
      </c>
      <c r="L157">
        <v>367.1225</v>
      </c>
      <c r="M157">
        <v>0.99993980000000005</v>
      </c>
      <c r="N157">
        <v>0</v>
      </c>
      <c r="O157">
        <v>-1.0960370000000001E-2</v>
      </c>
      <c r="P157">
        <v>0.98933979999999999</v>
      </c>
      <c r="Q157">
        <v>0.14495429999999901</v>
      </c>
      <c r="R157">
        <v>-1.3960200000000001E-2</v>
      </c>
      <c r="S157">
        <v>3.047577</v>
      </c>
      <c r="T157">
        <v>-0.10869570000000001</v>
      </c>
      <c r="U157">
        <v>-4.214478E-2</v>
      </c>
      <c r="V157">
        <v>3.14504E-3</v>
      </c>
      <c r="W157">
        <v>0.14438139999999999</v>
      </c>
      <c r="X157">
        <v>0.98951710000000004</v>
      </c>
      <c r="Y157">
        <v>2.8726049999999999E-3</v>
      </c>
      <c r="Z157">
        <v>3.3955090000000002E-4</v>
      </c>
      <c r="AA157">
        <v>0.99999579999999999</v>
      </c>
      <c r="AB157">
        <v>21</v>
      </c>
      <c r="AC157">
        <v>32.278899999999901</v>
      </c>
      <c r="AD157">
        <v>-1.158493</v>
      </c>
      <c r="AE157">
        <v>-0.44679999999999598</v>
      </c>
      <c r="AF157">
        <v>9.2864831626024297E-2</v>
      </c>
      <c r="AG157">
        <v>-1.158493</v>
      </c>
      <c r="AH157">
        <v>32.240337404031202</v>
      </c>
      <c r="AI157">
        <v>92.057917000275097</v>
      </c>
      <c r="AJ157">
        <v>89.834966112919304</v>
      </c>
      <c r="AK157">
        <v>32.261278428384998</v>
      </c>
      <c r="AL157">
        <v>81.698540797639794</v>
      </c>
      <c r="AM157">
        <v>89.817894090338896</v>
      </c>
      <c r="AN157">
        <v>0.99999998556748504</v>
      </c>
    </row>
    <row r="158" spans="1:40" x14ac:dyDescent="0.25">
      <c r="A158" t="str">
        <f>"20190312172334344"</f>
        <v>20190312172334344</v>
      </c>
      <c r="B158" t="str">
        <f>"1552382614340076"</f>
        <v>1552382614340076</v>
      </c>
      <c r="C158" t="s">
        <v>40</v>
      </c>
      <c r="D158">
        <v>3.6428379999999998</v>
      </c>
      <c r="E158">
        <v>0.50365919999999997</v>
      </c>
      <c r="F158" t="s">
        <v>41</v>
      </c>
      <c r="G158">
        <v>-463.95850000000002</v>
      </c>
      <c r="H158">
        <v>1.0524819999999999</v>
      </c>
      <c r="I158">
        <v>367.10309999999998</v>
      </c>
      <c r="J158">
        <v>-464.66340000000002</v>
      </c>
      <c r="K158">
        <v>1.108511</v>
      </c>
      <c r="L158">
        <v>367.12020000000001</v>
      </c>
      <c r="M158">
        <v>0.99993849999999995</v>
      </c>
      <c r="N158">
        <v>0</v>
      </c>
      <c r="O158">
        <v>-1.107612E-2</v>
      </c>
      <c r="P158">
        <v>0.98933269999999995</v>
      </c>
      <c r="Q158">
        <v>0.14488239999999999</v>
      </c>
      <c r="R158">
        <v>-1.5159860000000001E-2</v>
      </c>
      <c r="S158">
        <v>3.0591740000000001</v>
      </c>
      <c r="T158">
        <v>-0.18961910000000001</v>
      </c>
      <c r="U158">
        <v>-6.4239500000000005E-2</v>
      </c>
      <c r="V158">
        <v>4.2305149999999998E-3</v>
      </c>
      <c r="W158">
        <v>0.14435490000000001</v>
      </c>
      <c r="X158">
        <v>0.98951690000000003</v>
      </c>
      <c r="Y158">
        <v>9.9215950000000001E-3</v>
      </c>
      <c r="Z158">
        <v>3.7861520000000002E-4</v>
      </c>
      <c r="AA158">
        <v>0.99995069999999997</v>
      </c>
      <c r="AB158">
        <v>21</v>
      </c>
      <c r="AC158">
        <v>0.70490000000000896</v>
      </c>
      <c r="AD158">
        <v>-5.60290000000001E-2</v>
      </c>
      <c r="AE158">
        <v>-1.71000000000276E-2</v>
      </c>
      <c r="AF158">
        <v>9.2330936471924398E-3</v>
      </c>
      <c r="AG158">
        <v>-5.60290000000001E-2</v>
      </c>
      <c r="AH158">
        <v>0.70062232386700996</v>
      </c>
      <c r="AI158">
        <v>94.571836930404501</v>
      </c>
      <c r="AJ158">
        <v>89.244975990529895</v>
      </c>
      <c r="AK158">
        <v>0.70291972483357401</v>
      </c>
      <c r="AL158">
        <v>81.700075037493505</v>
      </c>
      <c r="AM158">
        <v>89.755042912517297</v>
      </c>
      <c r="AN158">
        <v>0.99999996489839205</v>
      </c>
    </row>
    <row r="159" spans="1:40" x14ac:dyDescent="0.25">
      <c r="A159" t="str">
        <f>"20190312172334367"</f>
        <v>20190312172334367</v>
      </c>
      <c r="B159" t="str">
        <f>"1552382614360572"</f>
        <v>1552382614360572</v>
      </c>
      <c r="C159" t="s">
        <v>40</v>
      </c>
      <c r="D159">
        <v>3.6366849999999999</v>
      </c>
      <c r="E159">
        <v>0.50368809999999997</v>
      </c>
      <c r="F159" t="s">
        <v>41</v>
      </c>
      <c r="G159">
        <v>-463.77370000000002</v>
      </c>
      <c r="H159">
        <v>1.049383</v>
      </c>
      <c r="I159">
        <v>367.09699999999998</v>
      </c>
      <c r="J159">
        <v>-464.44380000000001</v>
      </c>
      <c r="K159">
        <v>1.108527</v>
      </c>
      <c r="L159">
        <v>367.11759999999998</v>
      </c>
      <c r="M159">
        <v>0.99993719999999997</v>
      </c>
      <c r="N159">
        <v>0</v>
      </c>
      <c r="O159">
        <v>-1.120259E-2</v>
      </c>
      <c r="P159">
        <v>0.98933059999999995</v>
      </c>
      <c r="Q159">
        <v>0.1448469</v>
      </c>
      <c r="R159">
        <v>-1.5637379999999999E-2</v>
      </c>
      <c r="S159">
        <v>3.0609739999999999</v>
      </c>
      <c r="T159">
        <v>-0.20367550000000001</v>
      </c>
      <c r="U159">
        <v>-7.778931E-2</v>
      </c>
      <c r="V159">
        <v>4.5836310000000003E-3</v>
      </c>
      <c r="W159">
        <v>0.1443691</v>
      </c>
      <c r="X159">
        <v>0.98951330000000004</v>
      </c>
      <c r="Y159">
        <v>1.419786E-2</v>
      </c>
      <c r="Z159">
        <v>2.7267170000000001E-4</v>
      </c>
      <c r="AA159">
        <v>0.99989910000000004</v>
      </c>
      <c r="AB159">
        <v>21</v>
      </c>
      <c r="AC159">
        <v>0.67009999999999004</v>
      </c>
      <c r="AD159">
        <v>-5.9144000000000002E-2</v>
      </c>
      <c r="AE159">
        <v>-2.06000000000017E-2</v>
      </c>
      <c r="AF159">
        <v>1.2990747930753801E-2</v>
      </c>
      <c r="AG159">
        <v>-5.9144000000000002E-2</v>
      </c>
      <c r="AH159">
        <v>0.66511233480565601</v>
      </c>
      <c r="AI159">
        <v>95.080601480979098</v>
      </c>
      <c r="AJ159">
        <v>88.881060591812201</v>
      </c>
      <c r="AK159">
        <v>0.66786315228378301</v>
      </c>
      <c r="AL159">
        <v>81.699253191593002</v>
      </c>
      <c r="AM159">
        <v>89.734595954623401</v>
      </c>
      <c r="AN159">
        <v>1.0000000087924199</v>
      </c>
    </row>
    <row r="160" spans="1:40" x14ac:dyDescent="0.25">
      <c r="A160" t="str">
        <f>"20190312172334390"</f>
        <v>20190312172334390</v>
      </c>
      <c r="B160" t="str">
        <f>"1552382614380092"</f>
        <v>1552382614380092</v>
      </c>
      <c r="C160" t="s">
        <v>40</v>
      </c>
      <c r="D160">
        <v>3.6785399999999999</v>
      </c>
      <c r="E160">
        <v>0.50383509999999998</v>
      </c>
      <c r="F160" t="s">
        <v>41</v>
      </c>
      <c r="G160">
        <v>-463.5838</v>
      </c>
      <c r="H160">
        <v>1.047364</v>
      </c>
      <c r="I160">
        <v>367.0949</v>
      </c>
      <c r="J160">
        <v>-464.22660000000002</v>
      </c>
      <c r="K160">
        <v>1.108538</v>
      </c>
      <c r="L160">
        <v>367.11500000000001</v>
      </c>
      <c r="M160">
        <v>0.99993569999999998</v>
      </c>
      <c r="N160">
        <v>0</v>
      </c>
      <c r="O160">
        <v>-1.1327520000000001E-2</v>
      </c>
      <c r="P160">
        <v>0.98931380000000002</v>
      </c>
      <c r="Q160">
        <v>0.1448808</v>
      </c>
      <c r="R160">
        <v>-1.6365950000000001E-2</v>
      </c>
      <c r="S160">
        <v>3.0630190000000002</v>
      </c>
      <c r="T160">
        <v>-0.21808910000000001</v>
      </c>
      <c r="U160">
        <v>-7.9833979999999999E-2</v>
      </c>
      <c r="V160">
        <v>5.189005E-3</v>
      </c>
      <c r="W160">
        <v>0.1444522</v>
      </c>
      <c r="X160">
        <v>0.98949819999999999</v>
      </c>
      <c r="Y160">
        <v>1.4721049999999999E-2</v>
      </c>
      <c r="Z160">
        <v>2.820055E-4</v>
      </c>
      <c r="AA160">
        <v>0.99989159999999999</v>
      </c>
      <c r="AB160">
        <v>21</v>
      </c>
      <c r="AC160">
        <v>0.64280000000002202</v>
      </c>
      <c r="AD160">
        <v>-6.1173999999999999E-2</v>
      </c>
      <c r="AE160">
        <v>-2.0100000000013499E-2</v>
      </c>
      <c r="AF160">
        <v>1.2702446471599E-2</v>
      </c>
      <c r="AG160">
        <v>-6.1173999999999999E-2</v>
      </c>
      <c r="AH160">
        <v>0.637220802039692</v>
      </c>
      <c r="AI160">
        <v>95.482579428324996</v>
      </c>
      <c r="AJ160">
        <v>88.858009356407507</v>
      </c>
      <c r="AK160">
        <v>0.64027647229495499</v>
      </c>
      <c r="AL160">
        <v>81.694441617706502</v>
      </c>
      <c r="AM160">
        <v>89.699539260345404</v>
      </c>
      <c r="AN160">
        <v>1.00000002583048</v>
      </c>
    </row>
    <row r="161" spans="1:40" x14ac:dyDescent="0.25">
      <c r="A161" t="str">
        <f>"20190312172334412"</f>
        <v>20190312172334412</v>
      </c>
      <c r="B161" t="str">
        <f>"1552382614399615"</f>
        <v>1552382614399615</v>
      </c>
      <c r="C161" t="s">
        <v>40</v>
      </c>
      <c r="D161">
        <v>3.7058879999999998</v>
      </c>
      <c r="E161">
        <v>0.50409950000000003</v>
      </c>
      <c r="F161" t="s">
        <v>41</v>
      </c>
      <c r="G161">
        <v>-463.39120000000003</v>
      </c>
      <c r="H161">
        <v>1.0464789999999999</v>
      </c>
      <c r="I161">
        <v>367.09199999999998</v>
      </c>
      <c r="J161">
        <v>-464.0188</v>
      </c>
      <c r="K161">
        <v>1.108549</v>
      </c>
      <c r="L161">
        <v>367.11250000000001</v>
      </c>
      <c r="M161">
        <v>0.99993449999999995</v>
      </c>
      <c r="N161">
        <v>0</v>
      </c>
      <c r="O161">
        <v>-1.144708E-2</v>
      </c>
      <c r="P161">
        <v>0.98932109999999995</v>
      </c>
      <c r="Q161">
        <v>0.1447851</v>
      </c>
      <c r="R161">
        <v>-1.6765309999999999E-2</v>
      </c>
      <c r="S161">
        <v>3.0643919999999998</v>
      </c>
      <c r="T161">
        <v>-0.2277824</v>
      </c>
      <c r="U161">
        <v>-8.306885E-2</v>
      </c>
      <c r="V161">
        <v>5.4705789999999997E-3</v>
      </c>
      <c r="W161">
        <v>0.14440210000000001</v>
      </c>
      <c r="X161">
        <v>0.98950400000000005</v>
      </c>
      <c r="Y161">
        <v>1.564161E-2</v>
      </c>
      <c r="Z161">
        <v>2.6908089999999997E-4</v>
      </c>
      <c r="AA161">
        <v>0.99987760000000003</v>
      </c>
      <c r="AB161">
        <v>21</v>
      </c>
      <c r="AC161">
        <v>0.62759999999997196</v>
      </c>
      <c r="AD161">
        <v>-6.2069999999999799E-2</v>
      </c>
      <c r="AE161">
        <v>-2.0500000000026799E-2</v>
      </c>
      <c r="AF161">
        <v>1.3185634084504501E-2</v>
      </c>
      <c r="AG161">
        <v>-6.2069999999999799E-2</v>
      </c>
      <c r="AH161">
        <v>0.62171879360642901</v>
      </c>
      <c r="AI161">
        <v>95.700023711366796</v>
      </c>
      <c r="AJ161">
        <v>88.785032797511604</v>
      </c>
      <c r="AK161">
        <v>0.62494864122553595</v>
      </c>
      <c r="AL161">
        <v>81.697342584961802</v>
      </c>
      <c r="AM161">
        <v>89.683237364621903</v>
      </c>
      <c r="AN161">
        <v>1.0000000298675</v>
      </c>
    </row>
    <row r="162" spans="1:40" x14ac:dyDescent="0.25">
      <c r="A162" t="str">
        <f>"20190312172334433"</f>
        <v>20190312172334433</v>
      </c>
      <c r="B162" t="str">
        <f>"1552382614429867"</f>
        <v>1552382614429867</v>
      </c>
      <c r="C162" t="s">
        <v>40</v>
      </c>
      <c r="D162">
        <v>3.7058080000000002</v>
      </c>
      <c r="E162">
        <v>0.5043339</v>
      </c>
      <c r="F162" t="s">
        <v>41</v>
      </c>
      <c r="G162">
        <v>-463.19720000000001</v>
      </c>
      <c r="H162">
        <v>1.045309</v>
      </c>
      <c r="I162">
        <v>367.08920000000001</v>
      </c>
      <c r="J162">
        <v>-463.80489999999998</v>
      </c>
      <c r="K162">
        <v>1.1085529999999999</v>
      </c>
      <c r="L162">
        <v>367.11</v>
      </c>
      <c r="M162">
        <v>0.99993299999999996</v>
      </c>
      <c r="N162">
        <v>0</v>
      </c>
      <c r="O162">
        <v>-1.1570220000000001E-2</v>
      </c>
      <c r="P162">
        <v>0.98932929999999997</v>
      </c>
      <c r="Q162">
        <v>0.144676799999999</v>
      </c>
      <c r="R162">
        <v>-1.7215359999999999E-2</v>
      </c>
      <c r="S162">
        <v>3.0654910000000002</v>
      </c>
      <c r="T162">
        <v>-0.23601369999999999</v>
      </c>
      <c r="U162">
        <v>-8.627319E-2</v>
      </c>
      <c r="V162">
        <v>5.7988900000000001E-3</v>
      </c>
      <c r="W162">
        <v>0.14434079999999999</v>
      </c>
      <c r="X162">
        <v>0.98951109999999998</v>
      </c>
      <c r="Y162">
        <v>1.6549970000000001E-2</v>
      </c>
      <c r="Z162">
        <v>2.5322609999999998E-4</v>
      </c>
      <c r="AA162">
        <v>0.99986299999999995</v>
      </c>
      <c r="AB162">
        <v>22</v>
      </c>
      <c r="AC162">
        <v>0.60769999999996505</v>
      </c>
      <c r="AD162">
        <v>-6.3243999999999995E-2</v>
      </c>
      <c r="AE162">
        <v>-2.0800000000008301E-2</v>
      </c>
      <c r="AF162">
        <v>1.36200413595513E-2</v>
      </c>
      <c r="AG162">
        <v>-6.3243999999999995E-2</v>
      </c>
      <c r="AH162">
        <v>0.60139403141222603</v>
      </c>
      <c r="AI162">
        <v>96.001764682553898</v>
      </c>
      <c r="AJ162">
        <v>88.702618470160502</v>
      </c>
      <c r="AK162">
        <v>0.60486369545616203</v>
      </c>
      <c r="AL162">
        <v>81.700892214316596</v>
      </c>
      <c r="AM162">
        <v>89.664230022946995</v>
      </c>
      <c r="AN162">
        <v>1.00000005534653</v>
      </c>
    </row>
    <row r="163" spans="1:40" x14ac:dyDescent="0.25">
      <c r="A163" t="str">
        <f>"20190312172334457"</f>
        <v>20190312172334457</v>
      </c>
      <c r="B163" t="str">
        <f>"1552382614450364"</f>
        <v>1552382614450364</v>
      </c>
      <c r="C163" t="s">
        <v>40</v>
      </c>
      <c r="D163">
        <v>3.7145860000000002</v>
      </c>
      <c r="E163">
        <v>0.50447949999999997</v>
      </c>
      <c r="F163" t="s">
        <v>41</v>
      </c>
      <c r="G163">
        <v>-463.0009</v>
      </c>
      <c r="H163">
        <v>1.0447040000000001</v>
      </c>
      <c r="I163">
        <v>367.08620000000002</v>
      </c>
      <c r="J163">
        <v>-463.57549999999998</v>
      </c>
      <c r="K163">
        <v>1.1085659999999999</v>
      </c>
      <c r="L163">
        <v>367.1071</v>
      </c>
      <c r="M163">
        <v>0.99993149999999997</v>
      </c>
      <c r="N163">
        <v>0</v>
      </c>
      <c r="O163">
        <v>-1.170206E-2</v>
      </c>
      <c r="P163">
        <v>0.98939109999999997</v>
      </c>
      <c r="Q163">
        <v>0.1442561</v>
      </c>
      <c r="R163">
        <v>-1.7189630000000001E-2</v>
      </c>
      <c r="S163">
        <v>3.0664669999999998</v>
      </c>
      <c r="T163">
        <v>-0.24370459999999999</v>
      </c>
      <c r="U163">
        <v>-8.9447020000000002E-2</v>
      </c>
      <c r="V163">
        <v>5.6422879999999996E-3</v>
      </c>
      <c r="W163">
        <v>0.14397079999999901</v>
      </c>
      <c r="X163">
        <v>0.98956580000000005</v>
      </c>
      <c r="Y163">
        <v>1.7439840000000002E-2</v>
      </c>
      <c r="Z163">
        <v>2.3652419999999999E-4</v>
      </c>
      <c r="AA163">
        <v>0.99984790000000001</v>
      </c>
      <c r="AB163">
        <v>22</v>
      </c>
      <c r="AC163">
        <v>0.57459999999997502</v>
      </c>
      <c r="AD163">
        <v>-6.3861999999999794E-2</v>
      </c>
      <c r="AE163">
        <v>-2.0899999999983199E-2</v>
      </c>
      <c r="AF163">
        <v>1.4001836344229E-2</v>
      </c>
      <c r="AG163">
        <v>-6.3861999999999794E-2</v>
      </c>
      <c r="AH163">
        <v>0.56780075485234904</v>
      </c>
      <c r="AI163">
        <v>96.415299711170704</v>
      </c>
      <c r="AJ163">
        <v>88.587385515123501</v>
      </c>
      <c r="AK163">
        <v>0.57155236302189105</v>
      </c>
      <c r="AL163">
        <v>81.722314535448007</v>
      </c>
      <c r="AM163">
        <v>89.673315522866602</v>
      </c>
      <c r="AN163">
        <v>0.99999994959807603</v>
      </c>
    </row>
    <row r="164" spans="1:40" x14ac:dyDescent="0.25">
      <c r="A164" t="str">
        <f>"20190312172334478"</f>
        <v>20190312172334478</v>
      </c>
      <c r="B164" t="str">
        <f>"1552382614469884"</f>
        <v>1552382614469884</v>
      </c>
      <c r="C164" t="s">
        <v>40</v>
      </c>
      <c r="D164">
        <v>3.7182680000000001</v>
      </c>
      <c r="E164">
        <v>0.50436550000000002</v>
      </c>
      <c r="F164" t="s">
        <v>41</v>
      </c>
      <c r="G164">
        <v>-462.80119999999999</v>
      </c>
      <c r="H164">
        <v>1.0458879999999999</v>
      </c>
      <c r="I164">
        <v>367.08370000000002</v>
      </c>
      <c r="J164">
        <v>-463.35140000000001</v>
      </c>
      <c r="K164">
        <v>1.108568</v>
      </c>
      <c r="L164">
        <v>367.1044</v>
      </c>
      <c r="M164">
        <v>0.99993010000000004</v>
      </c>
      <c r="N164">
        <v>0</v>
      </c>
      <c r="O164">
        <v>-1.183093E-2</v>
      </c>
      <c r="P164">
        <v>0.9893885</v>
      </c>
      <c r="Q164">
        <v>0.1442995</v>
      </c>
      <c r="R164">
        <v>-1.6980729999999999E-2</v>
      </c>
      <c r="S164">
        <v>3.0668329999999999</v>
      </c>
      <c r="T164">
        <v>-0.2485542</v>
      </c>
      <c r="U164">
        <v>-9.1156009999999996E-2</v>
      </c>
      <c r="V164">
        <v>5.3063059999999898E-3</v>
      </c>
      <c r="W164">
        <v>0.14406329999999901</v>
      </c>
      <c r="X164">
        <v>0.98955420000000005</v>
      </c>
      <c r="Y164">
        <v>1.7862510000000002E-2</v>
      </c>
      <c r="Z164">
        <v>2.3451160000000001E-4</v>
      </c>
      <c r="AA164">
        <v>0.99984039999999996</v>
      </c>
      <c r="AB164">
        <v>22</v>
      </c>
      <c r="AC164">
        <v>0.55020000000001801</v>
      </c>
      <c r="AD164">
        <v>-6.268E-2</v>
      </c>
      <c r="AE164">
        <v>-2.0699999999976602E-2</v>
      </c>
      <c r="AF164">
        <v>1.4007636213404701E-2</v>
      </c>
      <c r="AG164">
        <v>-6.268E-2</v>
      </c>
      <c r="AH164">
        <v>0.54336443029281301</v>
      </c>
      <c r="AI164">
        <v>96.578124200104696</v>
      </c>
      <c r="AJ164">
        <v>88.523273387857103</v>
      </c>
      <c r="AK164">
        <v>0.54714705553417797</v>
      </c>
      <c r="AL164">
        <v>81.716958872079005</v>
      </c>
      <c r="AM164">
        <v>89.692764656457101</v>
      </c>
      <c r="AN164">
        <v>0.99999995301394595</v>
      </c>
    </row>
    <row r="165" spans="1:40" x14ac:dyDescent="0.25">
      <c r="A165" t="str">
        <f>"20190312172334503"</f>
        <v>20190312172334503</v>
      </c>
      <c r="B165" t="str">
        <f>"1552382614490380"</f>
        <v>1552382614490380</v>
      </c>
      <c r="C165" t="s">
        <v>40</v>
      </c>
      <c r="D165">
        <v>3.735576</v>
      </c>
      <c r="E165">
        <v>0.49151030000000001</v>
      </c>
      <c r="F165" t="s">
        <v>41</v>
      </c>
      <c r="G165">
        <v>-462.59949999999998</v>
      </c>
      <c r="H165">
        <v>1.047234</v>
      </c>
      <c r="I165">
        <v>367.08199999999999</v>
      </c>
      <c r="J165">
        <v>-463.1216</v>
      </c>
      <c r="K165">
        <v>1.108581</v>
      </c>
      <c r="L165">
        <v>367.10149999999999</v>
      </c>
      <c r="M165">
        <v>0.9999285</v>
      </c>
      <c r="N165">
        <v>0</v>
      </c>
      <c r="O165">
        <v>-1.1962530000000001E-2</v>
      </c>
      <c r="P165">
        <v>0.98939909999999998</v>
      </c>
      <c r="Q165">
        <v>0.14421629999999999</v>
      </c>
      <c r="R165">
        <v>-1.7056439999999999E-2</v>
      </c>
      <c r="S165">
        <v>3.0671390000000001</v>
      </c>
      <c r="T165">
        <v>-0.25041429999999998</v>
      </c>
      <c r="U165">
        <v>-8.950806E-2</v>
      </c>
      <c r="V165">
        <v>5.252395E-3</v>
      </c>
      <c r="W165">
        <v>0.14403079999999999</v>
      </c>
      <c r="X165">
        <v>0.98955930000000003</v>
      </c>
      <c r="Y165">
        <v>1.719358E-2</v>
      </c>
      <c r="Z165">
        <v>2.7421919999999999E-4</v>
      </c>
      <c r="AA165">
        <v>0.99985210000000002</v>
      </c>
      <c r="AB165">
        <v>22</v>
      </c>
      <c r="AC165">
        <v>0.52210000000002299</v>
      </c>
      <c r="AD165">
        <v>-6.1346999999999999E-2</v>
      </c>
      <c r="AE165">
        <v>-1.9499999999993599E-2</v>
      </c>
      <c r="AF165">
        <v>1.30727326613699E-2</v>
      </c>
      <c r="AG165">
        <v>-6.1346999999999999E-2</v>
      </c>
      <c r="AH165">
        <v>0.51519287995503604</v>
      </c>
      <c r="AI165">
        <v>96.788401534120894</v>
      </c>
      <c r="AJ165">
        <v>88.546463381444298</v>
      </c>
      <c r="AK165">
        <v>0.51899716213540104</v>
      </c>
      <c r="AL165">
        <v>81.718841282056502</v>
      </c>
      <c r="AM165">
        <v>89.695887614043698</v>
      </c>
      <c r="AN165">
        <v>1.0000000336091801</v>
      </c>
    </row>
    <row r="166" spans="1:40" x14ac:dyDescent="0.25">
      <c r="A166" t="str">
        <f>"20190312172334526"</f>
        <v>20190312172334526</v>
      </c>
      <c r="B166" t="str">
        <f>"1552382614519660"</f>
        <v>1552382614519660</v>
      </c>
      <c r="C166" t="s">
        <v>40</v>
      </c>
      <c r="D166">
        <v>3.7139859999999998</v>
      </c>
      <c r="E166">
        <v>0.49274200000000001</v>
      </c>
      <c r="F166" t="s">
        <v>43</v>
      </c>
      <c r="G166">
        <v>-445.62270000000001</v>
      </c>
      <c r="H166" s="1">
        <v>-2.4823790000000002E-6</v>
      </c>
      <c r="I166">
        <v>367.17669999999998</v>
      </c>
      <c r="J166">
        <v>-462.88549999999998</v>
      </c>
      <c r="K166">
        <v>1.108582</v>
      </c>
      <c r="L166">
        <v>367.0985</v>
      </c>
      <c r="M166">
        <v>0.99992700000000001</v>
      </c>
      <c r="N166">
        <v>0</v>
      </c>
      <c r="O166">
        <v>-1.2097719999999999E-2</v>
      </c>
      <c r="P166">
        <v>0.98937889999999995</v>
      </c>
      <c r="Q166">
        <v>0.14439630000000001</v>
      </c>
      <c r="R166">
        <v>-1.6715669999999998E-2</v>
      </c>
      <c r="S166">
        <v>3.0606080000000002</v>
      </c>
      <c r="T166">
        <v>-0.19389429999999999</v>
      </c>
      <c r="U166">
        <v>1.3153079999999999E-2</v>
      </c>
      <c r="V166">
        <v>4.7787109999999997E-3</v>
      </c>
      <c r="W166">
        <v>0.144263</v>
      </c>
      <c r="X166">
        <v>0.98952779999999996</v>
      </c>
      <c r="Y166">
        <v>-1.633778E-2</v>
      </c>
      <c r="Z166">
        <v>1.2826210000000001E-3</v>
      </c>
      <c r="AA166">
        <v>0.99986569999999997</v>
      </c>
      <c r="AB166">
        <v>23</v>
      </c>
      <c r="AC166">
        <v>17.262799999999899</v>
      </c>
      <c r="AD166">
        <v>-1.1085844823790001</v>
      </c>
      <c r="AE166">
        <v>7.8199999999981104E-2</v>
      </c>
      <c r="AF166">
        <v>-0.28585592450548503</v>
      </c>
      <c r="AG166">
        <v>-1.1085844823790001</v>
      </c>
      <c r="AH166">
        <v>17.189702366269099</v>
      </c>
      <c r="AI166">
        <v>93.689454711434607</v>
      </c>
      <c r="AJ166">
        <v>90.952711581052696</v>
      </c>
      <c r="AK166">
        <v>17.2277839725562</v>
      </c>
      <c r="AL166">
        <v>81.705396161617202</v>
      </c>
      <c r="AM166">
        <v>89.7233045465495</v>
      </c>
      <c r="AN166">
        <v>0.99999995811032905</v>
      </c>
    </row>
    <row r="167" spans="1:40" x14ac:dyDescent="0.25">
      <c r="A167" t="str">
        <f>"20190312172334546"</f>
        <v>20190312172334546</v>
      </c>
      <c r="B167" t="str">
        <f>"1552382614540156"</f>
        <v>1552382614540156</v>
      </c>
      <c r="C167" t="s">
        <v>40</v>
      </c>
      <c r="D167">
        <v>3.6924480000000002</v>
      </c>
      <c r="E167">
        <v>0.493205</v>
      </c>
      <c r="F167" t="s">
        <v>43</v>
      </c>
      <c r="G167">
        <v>-445.38749999999999</v>
      </c>
      <c r="H167" s="1">
        <v>-2.6027659999999998E-6</v>
      </c>
      <c r="I167">
        <v>367.12509999999997</v>
      </c>
      <c r="J167">
        <v>-462.66550000000001</v>
      </c>
      <c r="K167">
        <v>1.108587</v>
      </c>
      <c r="L167">
        <v>367.09570000000002</v>
      </c>
      <c r="M167">
        <v>0.99992539999999996</v>
      </c>
      <c r="N167">
        <v>0</v>
      </c>
      <c r="O167">
        <v>-1.222349E-2</v>
      </c>
      <c r="P167">
        <v>0.98937640000000004</v>
      </c>
      <c r="Q167">
        <v>0.1443681</v>
      </c>
      <c r="R167">
        <v>-1.7101700000000001E-2</v>
      </c>
      <c r="S167">
        <v>3.0606080000000002</v>
      </c>
      <c r="T167">
        <v>-0.1939044</v>
      </c>
      <c r="U167">
        <v>4.6386719999999999E-3</v>
      </c>
      <c r="V167">
        <v>5.0407569999999999E-3</v>
      </c>
      <c r="W167">
        <v>0.1442832</v>
      </c>
      <c r="X167">
        <v>0.98952359999999995</v>
      </c>
      <c r="Y167">
        <v>-1.3687019999999999E-2</v>
      </c>
      <c r="Z167">
        <v>1.2067639999999999E-3</v>
      </c>
      <c r="AA167">
        <v>0.99990559999999995</v>
      </c>
      <c r="AB167">
        <v>23</v>
      </c>
      <c r="AC167">
        <v>17.277999999999999</v>
      </c>
      <c r="AD167">
        <v>-1.108589602766</v>
      </c>
      <c r="AE167">
        <v>2.9399999999952801E-2</v>
      </c>
      <c r="AF167">
        <v>-0.23960883340982</v>
      </c>
      <c r="AG167">
        <v>-1.108589602766</v>
      </c>
      <c r="AH167">
        <v>17.205519153067598</v>
      </c>
      <c r="AI167">
        <v>93.686241162790495</v>
      </c>
      <c r="AJ167">
        <v>90.797865345268306</v>
      </c>
      <c r="AK167">
        <v>17.242861497645499</v>
      </c>
      <c r="AL167">
        <v>81.704226925218805</v>
      </c>
      <c r="AM167">
        <v>89.708130656573204</v>
      </c>
      <c r="AN167">
        <v>1.0000000029951599</v>
      </c>
    </row>
    <row r="168" spans="1:40" x14ac:dyDescent="0.25">
      <c r="A168" t="str">
        <f>"20190312172334568"</f>
        <v>20190312172334568</v>
      </c>
      <c r="B168" t="str">
        <f>"1552382614559676"</f>
        <v>1552382614559676</v>
      </c>
      <c r="C168" t="s">
        <v>40</v>
      </c>
      <c r="D168">
        <v>3.693044</v>
      </c>
      <c r="E168">
        <v>0.49316979999999999</v>
      </c>
      <c r="F168" t="s">
        <v>43</v>
      </c>
      <c r="G168">
        <v>-445.1422</v>
      </c>
      <c r="H168" s="1">
        <v>-2.7238890000000002E-6</v>
      </c>
      <c r="I168">
        <v>367.09589999999997</v>
      </c>
      <c r="J168">
        <v>-462.43310000000002</v>
      </c>
      <c r="K168">
        <v>1.1085910000000001</v>
      </c>
      <c r="L168">
        <v>367.09280000000001</v>
      </c>
      <c r="M168">
        <v>0.99992380000000003</v>
      </c>
      <c r="N168">
        <v>0</v>
      </c>
      <c r="O168">
        <v>-1.235605E-2</v>
      </c>
      <c r="P168">
        <v>0.98939770000000005</v>
      </c>
      <c r="Q168">
        <v>0.14415739999999999</v>
      </c>
      <c r="R168">
        <v>-1.7636229999999999E-2</v>
      </c>
      <c r="S168">
        <v>3.060486</v>
      </c>
      <c r="T168">
        <v>-0.19361729999999999</v>
      </c>
      <c r="U168" s="1">
        <v>3.0517579999999999E-5</v>
      </c>
      <c r="V168">
        <v>5.4442780000000003E-3</v>
      </c>
      <c r="W168">
        <v>0.14412369999999999</v>
      </c>
      <c r="X168">
        <v>0.98954470000000005</v>
      </c>
      <c r="Y168">
        <v>-1.23167E-2</v>
      </c>
      <c r="Z168">
        <v>1.170103E-3</v>
      </c>
      <c r="AA168">
        <v>0.99992349999999997</v>
      </c>
      <c r="AB168">
        <v>23</v>
      </c>
      <c r="AC168">
        <v>17.290900000000001</v>
      </c>
      <c r="AD168">
        <v>-1.10859372388899</v>
      </c>
      <c r="AE168">
        <v>3.0999999999607999E-3</v>
      </c>
      <c r="AF168">
        <v>-0.21585963700536001</v>
      </c>
      <c r="AG168">
        <v>-1.10859372388899</v>
      </c>
      <c r="AH168">
        <v>17.218761569755699</v>
      </c>
      <c r="AI168">
        <v>93.683495196330796</v>
      </c>
      <c r="AJ168">
        <v>90.718239710376395</v>
      </c>
      <c r="AK168">
        <v>17.2557620933887</v>
      </c>
      <c r="AL168">
        <v>81.713462079292896</v>
      </c>
      <c r="AM168">
        <v>89.684773204730504</v>
      </c>
      <c r="AN168">
        <v>0.99999999718136001</v>
      </c>
    </row>
    <row r="169" spans="1:40" x14ac:dyDescent="0.25">
      <c r="A169" t="str">
        <f>"20190312172334590"</f>
        <v>20190312172334590</v>
      </c>
      <c r="B169" t="str">
        <f>"1552382614580172"</f>
        <v>1552382614580172</v>
      </c>
      <c r="C169" t="s">
        <v>40</v>
      </c>
      <c r="D169">
        <v>3.6976200000000001</v>
      </c>
      <c r="E169">
        <v>0.4933169</v>
      </c>
      <c r="F169" t="s">
        <v>43</v>
      </c>
      <c r="G169">
        <v>-445.0025</v>
      </c>
      <c r="H169" s="1">
        <v>-2.7920429999999998E-6</v>
      </c>
      <c r="I169">
        <v>367.08370000000002</v>
      </c>
      <c r="J169">
        <v>-462.20580000000001</v>
      </c>
      <c r="K169">
        <v>1.1085969999999901</v>
      </c>
      <c r="L169">
        <v>367.08980000000003</v>
      </c>
      <c r="M169">
        <v>0.99992199999999998</v>
      </c>
      <c r="N169">
        <v>0</v>
      </c>
      <c r="O169">
        <v>-1.2485639999999999E-2</v>
      </c>
      <c r="P169">
        <v>0.9894136</v>
      </c>
      <c r="Q169">
        <v>0.14398849999999999</v>
      </c>
      <c r="R169">
        <v>-1.8111490000000001E-2</v>
      </c>
      <c r="S169">
        <v>3.060486</v>
      </c>
      <c r="T169">
        <v>-0.19464870000000001</v>
      </c>
      <c r="U169">
        <v>-1.586914E-3</v>
      </c>
      <c r="V169">
        <v>5.7914280000000004E-3</v>
      </c>
      <c r="W169">
        <v>0.14400479999999999</v>
      </c>
      <c r="X169">
        <v>0.98956010000000005</v>
      </c>
      <c r="Y169">
        <v>-1.1917860000000001E-2</v>
      </c>
      <c r="Z169">
        <v>1.171886E-3</v>
      </c>
      <c r="AA169">
        <v>0.99992829999999999</v>
      </c>
      <c r="AB169">
        <v>23</v>
      </c>
      <c r="AC169">
        <v>17.203299999999999</v>
      </c>
      <c r="AD169">
        <v>-1.10859979204299</v>
      </c>
      <c r="AE169">
        <v>-6.1000000000035401E-3</v>
      </c>
      <c r="AF169">
        <v>-0.20783164370990001</v>
      </c>
      <c r="AG169">
        <v>-1.10859979204299</v>
      </c>
      <c r="AH169">
        <v>17.1308964604168</v>
      </c>
      <c r="AI169">
        <v>93.702374207882997</v>
      </c>
      <c r="AJ169">
        <v>90.695076985213305</v>
      </c>
      <c r="AK169">
        <v>17.167987681395999</v>
      </c>
      <c r="AL169">
        <v>81.7203468631687</v>
      </c>
      <c r="AM169">
        <v>89.664678685738096</v>
      </c>
      <c r="AN169">
        <v>1.0000000572866601</v>
      </c>
    </row>
    <row r="170" spans="1:40" x14ac:dyDescent="0.25">
      <c r="A170" t="str">
        <f>"20190312172334612"</f>
        <v>20190312172334612</v>
      </c>
      <c r="B170" t="str">
        <f>"1552382614599692"</f>
        <v>1552382614599692</v>
      </c>
      <c r="C170" t="s">
        <v>40</v>
      </c>
      <c r="D170">
        <v>3.6917949999999999</v>
      </c>
      <c r="E170">
        <v>0.49349660000000001</v>
      </c>
      <c r="F170" t="s">
        <v>43</v>
      </c>
      <c r="G170">
        <v>-444.76929999999999</v>
      </c>
      <c r="H170" s="1">
        <v>-2.9054059999999999E-6</v>
      </c>
      <c r="I170">
        <v>367.06619999999998</v>
      </c>
      <c r="J170">
        <v>-461.97309999999999</v>
      </c>
      <c r="K170">
        <v>1.1086</v>
      </c>
      <c r="L170">
        <v>367.08679999999998</v>
      </c>
      <c r="M170">
        <v>0.99992040000000004</v>
      </c>
      <c r="N170">
        <v>0</v>
      </c>
      <c r="O170">
        <v>-1.2618570000000001E-2</v>
      </c>
      <c r="P170">
        <v>0.98939279999999996</v>
      </c>
      <c r="Q170">
        <v>0.14412520000000001</v>
      </c>
      <c r="R170">
        <v>-1.8176600000000001E-2</v>
      </c>
      <c r="S170">
        <v>3.0603030000000002</v>
      </c>
      <c r="T170">
        <v>-0.19457199999999999</v>
      </c>
      <c r="U170">
        <v>-4.1503909999999998E-3</v>
      </c>
      <c r="V170">
        <v>5.7256649999999996E-3</v>
      </c>
      <c r="W170">
        <v>0.14419309999999999</v>
      </c>
      <c r="X170">
        <v>0.989533</v>
      </c>
      <c r="Y170">
        <v>-1.121434E-2</v>
      </c>
      <c r="Z170">
        <v>1.1575929999999999E-3</v>
      </c>
      <c r="AA170">
        <v>0.99993650000000001</v>
      </c>
      <c r="AB170">
        <v>23</v>
      </c>
      <c r="AC170">
        <v>17.203800000000001</v>
      </c>
      <c r="AD170">
        <v>-1.108602905406</v>
      </c>
      <c r="AE170">
        <v>-2.06000000000017E-2</v>
      </c>
      <c r="AF170">
        <v>-0.19567645754596899</v>
      </c>
      <c r="AG170">
        <v>-1.108602905406</v>
      </c>
      <c r="AH170">
        <v>17.131552598007101</v>
      </c>
      <c r="AI170">
        <v>93.702274035849697</v>
      </c>
      <c r="AJ170">
        <v>90.654403480736804</v>
      </c>
      <c r="AK170">
        <v>17.168499762535902</v>
      </c>
      <c r="AL170">
        <v>81.709443767234504</v>
      </c>
      <c r="AM170">
        <v>89.668477172241694</v>
      </c>
      <c r="AN170">
        <v>0.99999999570815101</v>
      </c>
    </row>
    <row r="171" spans="1:40" x14ac:dyDescent="0.25">
      <c r="A171" t="str">
        <f>"20190312172334634"</f>
        <v>20190312172334634</v>
      </c>
      <c r="B171" t="str">
        <f>"1552382614629948"</f>
        <v>1552382614629948</v>
      </c>
      <c r="C171" t="s">
        <v>40</v>
      </c>
      <c r="D171">
        <v>3.6684779999999999</v>
      </c>
      <c r="E171">
        <v>0.49363580000000001</v>
      </c>
      <c r="F171" t="s">
        <v>43</v>
      </c>
      <c r="G171">
        <v>-444.58319999999998</v>
      </c>
      <c r="H171" s="1">
        <v>-2.995716E-6</v>
      </c>
      <c r="I171">
        <v>367.05309999999997</v>
      </c>
      <c r="J171">
        <v>-461.73750000000001</v>
      </c>
      <c r="K171">
        <v>1.108595</v>
      </c>
      <c r="L171">
        <v>367.08359999999999</v>
      </c>
      <c r="M171">
        <v>0.9999188</v>
      </c>
      <c r="N171">
        <v>0</v>
      </c>
      <c r="O171">
        <v>-1.2752690000000001E-2</v>
      </c>
      <c r="P171">
        <v>0.98940340000000004</v>
      </c>
      <c r="Q171">
        <v>0.14396829999999999</v>
      </c>
      <c r="R171">
        <v>-1.882122E-2</v>
      </c>
      <c r="S171">
        <v>3.060486</v>
      </c>
      <c r="T171">
        <v>-0.19510479999999999</v>
      </c>
      <c r="U171">
        <v>-5.9204100000000001E-3</v>
      </c>
      <c r="V171">
        <v>6.2379519999999997E-3</v>
      </c>
      <c r="W171">
        <v>0.144089299999999</v>
      </c>
      <c r="X171">
        <v>0.98954500000000001</v>
      </c>
      <c r="Y171">
        <v>-1.077061E-2</v>
      </c>
      <c r="Z171">
        <v>1.155098E-3</v>
      </c>
      <c r="AA171">
        <v>0.99994130000000003</v>
      </c>
      <c r="AB171">
        <v>24</v>
      </c>
      <c r="AC171">
        <v>17.154299999999999</v>
      </c>
      <c r="AD171">
        <v>-1.1085979957159999</v>
      </c>
      <c r="AE171">
        <v>-3.05000000000177E-2</v>
      </c>
      <c r="AF171">
        <v>-0.18748292292694199</v>
      </c>
      <c r="AG171">
        <v>-1.1085979957159999</v>
      </c>
      <c r="AH171">
        <v>17.081953131054401</v>
      </c>
      <c r="AI171">
        <v>93.712996110848394</v>
      </c>
      <c r="AJ171">
        <v>90.6288243991455</v>
      </c>
      <c r="AK171">
        <v>17.118915331703501</v>
      </c>
      <c r="AL171">
        <v>81.715453639728494</v>
      </c>
      <c r="AM171">
        <v>89.638820277792703</v>
      </c>
      <c r="AN171">
        <v>0.999999972722321</v>
      </c>
    </row>
    <row r="172" spans="1:40" x14ac:dyDescent="0.25">
      <c r="A172" t="str">
        <f>"20190312172334659"</f>
        <v>20190312172334659</v>
      </c>
      <c r="B172" t="str">
        <f>"1552382614650444"</f>
        <v>1552382614650444</v>
      </c>
      <c r="C172" t="s">
        <v>40</v>
      </c>
      <c r="D172">
        <v>3.6831659999999999</v>
      </c>
      <c r="E172">
        <v>0.49370239999999999</v>
      </c>
      <c r="F172" t="s">
        <v>43</v>
      </c>
      <c r="G172">
        <v>-444.47149999999999</v>
      </c>
      <c r="H172" s="1">
        <v>-3.0521200000000001E-6</v>
      </c>
      <c r="I172">
        <v>367.03269999999998</v>
      </c>
      <c r="J172">
        <v>-461.47660000000002</v>
      </c>
      <c r="K172">
        <v>1.1085989999999999</v>
      </c>
      <c r="L172">
        <v>367.08010000000002</v>
      </c>
      <c r="M172">
        <v>0.9999169</v>
      </c>
      <c r="N172">
        <v>0</v>
      </c>
      <c r="O172">
        <v>-1.290123E-2</v>
      </c>
      <c r="P172">
        <v>0.98942419999999998</v>
      </c>
      <c r="Q172">
        <v>0.14384720000000001</v>
      </c>
      <c r="R172">
        <v>-1.865754E-2</v>
      </c>
      <c r="S172">
        <v>3.0605470000000001</v>
      </c>
      <c r="T172">
        <v>-0.1965085</v>
      </c>
      <c r="U172">
        <v>-9.0332030000000001E-3</v>
      </c>
      <c r="V172">
        <v>5.927608E-3</v>
      </c>
      <c r="W172">
        <v>0.1440265</v>
      </c>
      <c r="X172">
        <v>0.98955610000000005</v>
      </c>
      <c r="Y172">
        <v>-9.9029800000000005E-3</v>
      </c>
      <c r="Z172">
        <v>1.145067E-3</v>
      </c>
      <c r="AA172">
        <v>0.99995029999999996</v>
      </c>
      <c r="AB172">
        <v>24</v>
      </c>
      <c r="AC172">
        <v>17.005099999999999</v>
      </c>
      <c r="AD172">
        <v>-1.10860205212</v>
      </c>
      <c r="AE172">
        <v>-4.7400000000038703E-2</v>
      </c>
      <c r="AF172">
        <v>-0.171262755992349</v>
      </c>
      <c r="AG172">
        <v>-1.10860205212</v>
      </c>
      <c r="AH172">
        <v>16.932333750774902</v>
      </c>
      <c r="AI172">
        <v>93.745759880254795</v>
      </c>
      <c r="AJ172">
        <v>90.579500655228003</v>
      </c>
      <c r="AK172">
        <v>16.969450659617301</v>
      </c>
      <c r="AL172">
        <v>81.719090154140304</v>
      </c>
      <c r="AM172">
        <v>89.656792718556005</v>
      </c>
      <c r="AN172">
        <v>1.0000000221430301</v>
      </c>
    </row>
    <row r="173" spans="1:40" x14ac:dyDescent="0.25">
      <c r="A173" t="str">
        <f>"20190312172334680"</f>
        <v>20190312172334680</v>
      </c>
      <c r="B173" t="str">
        <f>"1552382614669964"</f>
        <v>1552382614669964</v>
      </c>
      <c r="C173" t="s">
        <v>40</v>
      </c>
      <c r="D173">
        <v>3.6664680000000001</v>
      </c>
      <c r="E173">
        <v>0.49374709999999999</v>
      </c>
      <c r="F173" t="s">
        <v>43</v>
      </c>
      <c r="G173">
        <v>-444.27769999999998</v>
      </c>
      <c r="H173" s="1">
        <v>-3.1441219999999999E-6</v>
      </c>
      <c r="I173">
        <v>367.03059999999999</v>
      </c>
      <c r="J173">
        <v>-461.24149999999997</v>
      </c>
      <c r="K173">
        <v>1.108598</v>
      </c>
      <c r="L173">
        <v>367.077</v>
      </c>
      <c r="M173">
        <v>0.9999152</v>
      </c>
      <c r="N173">
        <v>0</v>
      </c>
      <c r="O173">
        <v>-1.3034759999999999E-2</v>
      </c>
      <c r="P173">
        <v>0.98944880000000002</v>
      </c>
      <c r="Q173">
        <v>0.1437061</v>
      </c>
      <c r="R173">
        <v>-1.844293E-2</v>
      </c>
      <c r="S173">
        <v>3.0605769999999999</v>
      </c>
      <c r="T173">
        <v>-0.1972777</v>
      </c>
      <c r="U173">
        <v>-8.8195800000000005E-3</v>
      </c>
      <c r="V173">
        <v>5.5810110000000003E-3</v>
      </c>
      <c r="W173">
        <v>0.14393919999999999</v>
      </c>
      <c r="X173">
        <v>0.98957079999999997</v>
      </c>
      <c r="Y173">
        <v>-1.010527E-2</v>
      </c>
      <c r="Z173">
        <v>1.1646390000000001E-3</v>
      </c>
      <c r="AA173">
        <v>0.99994830000000001</v>
      </c>
      <c r="AB173">
        <v>24</v>
      </c>
      <c r="AC173">
        <v>16.9637999999999</v>
      </c>
      <c r="AD173">
        <v>-1.1086011441220001</v>
      </c>
      <c r="AE173">
        <v>-4.6400000000005499E-2</v>
      </c>
      <c r="AF173">
        <v>-0.173979949470738</v>
      </c>
      <c r="AG173">
        <v>-1.1086011441220001</v>
      </c>
      <c r="AH173">
        <v>16.890827638013899</v>
      </c>
      <c r="AI173">
        <v>93.754927933910494</v>
      </c>
      <c r="AJ173">
        <v>90.590140668639293</v>
      </c>
      <c r="AK173">
        <v>16.9280632033514</v>
      </c>
      <c r="AL173">
        <v>81.724144597244802</v>
      </c>
      <c r="AM173">
        <v>89.6768649747777</v>
      </c>
      <c r="AN173">
        <v>1.00000000459653</v>
      </c>
    </row>
    <row r="174" spans="1:40" x14ac:dyDescent="0.25">
      <c r="A174" t="str">
        <f>"20190312172334706"</f>
        <v>20190312172334706</v>
      </c>
      <c r="B174" t="str">
        <f>"1552382614700220"</f>
        <v>1552382614700220</v>
      </c>
      <c r="C174" t="s">
        <v>40</v>
      </c>
      <c r="D174">
        <v>3.6592730000000002</v>
      </c>
      <c r="E174">
        <v>0.49379699999999999</v>
      </c>
      <c r="F174" t="s">
        <v>43</v>
      </c>
      <c r="G174">
        <v>-444.07130000000001</v>
      </c>
      <c r="H174" s="1">
        <v>-3.2423669999999998E-6</v>
      </c>
      <c r="I174">
        <v>367.02670000000001</v>
      </c>
      <c r="J174">
        <v>-460.98739999999998</v>
      </c>
      <c r="K174">
        <v>1.1086069999999999</v>
      </c>
      <c r="L174">
        <v>367.07350000000002</v>
      </c>
      <c r="M174">
        <v>0.99991319999999995</v>
      </c>
      <c r="N174">
        <v>0</v>
      </c>
      <c r="O174">
        <v>-1.3178779999999999E-2</v>
      </c>
      <c r="P174">
        <v>0.98945419999999995</v>
      </c>
      <c r="Q174">
        <v>0.1436692</v>
      </c>
      <c r="R174">
        <v>-1.8434280000000001E-2</v>
      </c>
      <c r="S174">
        <v>3.0605159999999998</v>
      </c>
      <c r="T174">
        <v>-0.19760349999999999</v>
      </c>
      <c r="U174">
        <v>-8.9721680000000009E-3</v>
      </c>
      <c r="V174">
        <v>5.4301870000000004E-3</v>
      </c>
      <c r="W174">
        <v>0.14395959999999999</v>
      </c>
      <c r="X174">
        <v>0.98956869999999997</v>
      </c>
      <c r="Y174">
        <v>-1.019873E-2</v>
      </c>
      <c r="Z174">
        <v>1.1788839999999901E-3</v>
      </c>
      <c r="AA174">
        <v>0.99994729999999998</v>
      </c>
      <c r="AB174">
        <v>24</v>
      </c>
      <c r="AC174">
        <v>16.916099999999901</v>
      </c>
      <c r="AD174">
        <v>-1.1086102423669999</v>
      </c>
      <c r="AE174">
        <v>-4.6800000000018799E-2</v>
      </c>
      <c r="AF174">
        <v>-0.17538435503115299</v>
      </c>
      <c r="AG174">
        <v>-1.1086102423669999</v>
      </c>
      <c r="AH174">
        <v>16.8429089466315</v>
      </c>
      <c r="AI174">
        <v>93.765606582377998</v>
      </c>
      <c r="AJ174">
        <v>90.596596478463894</v>
      </c>
      <c r="AK174">
        <v>16.880265345248301</v>
      </c>
      <c r="AL174">
        <v>81.722963696055004</v>
      </c>
      <c r="AM174">
        <v>89.6855966905039</v>
      </c>
      <c r="AN174">
        <v>1.0000000326913501</v>
      </c>
    </row>
    <row r="175" spans="1:40" x14ac:dyDescent="0.25">
      <c r="A175" t="str">
        <f>"20190312172334727"</f>
        <v>20190312172334727</v>
      </c>
      <c r="B175" t="str">
        <f>"1552382614719740"</f>
        <v>1552382614719740</v>
      </c>
      <c r="C175" t="s">
        <v>40</v>
      </c>
      <c r="D175">
        <v>3.6523949999999998</v>
      </c>
      <c r="E175">
        <v>0.49377219999999999</v>
      </c>
      <c r="F175" t="s">
        <v>43</v>
      </c>
      <c r="G175">
        <v>-443.79640000000001</v>
      </c>
      <c r="H175" s="1">
        <v>-3.3733270000000001E-6</v>
      </c>
      <c r="I175">
        <v>367.02109999999999</v>
      </c>
      <c r="J175">
        <v>-460.73410000000001</v>
      </c>
      <c r="K175">
        <v>1.1086069999999999</v>
      </c>
      <c r="L175">
        <v>367.07010000000002</v>
      </c>
      <c r="M175">
        <v>0.99991140000000001</v>
      </c>
      <c r="N175">
        <v>0</v>
      </c>
      <c r="O175">
        <v>-1.332245E-2</v>
      </c>
      <c r="P175">
        <v>0.98945280000000002</v>
      </c>
      <c r="Q175">
        <v>0.14364830000000001</v>
      </c>
      <c r="R175">
        <v>-1.8663180000000001E-2</v>
      </c>
      <c r="S175">
        <v>3.060486</v>
      </c>
      <c r="T175">
        <v>-0.1973635</v>
      </c>
      <c r="U175">
        <v>-9.3383790000000008E-3</v>
      </c>
      <c r="V175">
        <v>5.5177380000000003E-3</v>
      </c>
      <c r="W175">
        <v>0.14399729999999999</v>
      </c>
      <c r="X175">
        <v>0.98956270000000002</v>
      </c>
      <c r="Y175">
        <v>-1.0222490000000001E-2</v>
      </c>
      <c r="Z175">
        <v>1.187486E-3</v>
      </c>
      <c r="AA175">
        <v>0.99994709999999998</v>
      </c>
      <c r="AB175">
        <v>24</v>
      </c>
      <c r="AC175">
        <v>16.9377</v>
      </c>
      <c r="AD175">
        <v>-1.1086103733270001</v>
      </c>
      <c r="AE175">
        <v>-4.9000000000035002E-2</v>
      </c>
      <c r="AF175">
        <v>-0.17590241780707</v>
      </c>
      <c r="AG175">
        <v>-1.1086103733270001</v>
      </c>
      <c r="AH175">
        <v>16.8646023417765</v>
      </c>
      <c r="AI175">
        <v>93.760776455978402</v>
      </c>
      <c r="AJ175">
        <v>90.597588990554399</v>
      </c>
      <c r="AK175">
        <v>16.9019161862403</v>
      </c>
      <c r="AL175">
        <v>81.720780650907599</v>
      </c>
      <c r="AM175">
        <v>89.680525727665199</v>
      </c>
      <c r="AN175">
        <v>1.0000000025356</v>
      </c>
    </row>
    <row r="176" spans="1:40" x14ac:dyDescent="0.25">
      <c r="A176" t="str">
        <f>"20190312172334749"</f>
        <v>20190312172334749</v>
      </c>
      <c r="B176" t="str">
        <f>"1552382614740236"</f>
        <v>1552382614740236</v>
      </c>
      <c r="C176" t="s">
        <v>40</v>
      </c>
      <c r="D176">
        <v>3.63869</v>
      </c>
      <c r="E176">
        <v>0.49370920000000001</v>
      </c>
      <c r="F176" t="s">
        <v>43</v>
      </c>
      <c r="G176">
        <v>-443.50459999999998</v>
      </c>
      <c r="H176" s="1">
        <v>-3.5127010000000001E-6</v>
      </c>
      <c r="I176">
        <v>367.01280000000003</v>
      </c>
      <c r="J176">
        <v>-460.4907</v>
      </c>
      <c r="K176">
        <v>1.108611</v>
      </c>
      <c r="L176">
        <v>367.06670000000003</v>
      </c>
      <c r="M176">
        <v>0.99990939999999995</v>
      </c>
      <c r="N176">
        <v>0</v>
      </c>
      <c r="O176">
        <v>-1.346004E-2</v>
      </c>
      <c r="P176">
        <v>0.98950539999999998</v>
      </c>
      <c r="Q176">
        <v>0.14329529999999999</v>
      </c>
      <c r="R176">
        <v>-1.8593680000000001E-2</v>
      </c>
      <c r="S176">
        <v>3.0603639999999999</v>
      </c>
      <c r="T176">
        <v>-0.19691500000000001</v>
      </c>
      <c r="U176">
        <v>-1.0162350000000001E-2</v>
      </c>
      <c r="V176">
        <v>5.3116580000000004E-3</v>
      </c>
      <c r="W176">
        <v>0.14369999999999999</v>
      </c>
      <c r="X176">
        <v>0.98960700000000001</v>
      </c>
      <c r="Y176">
        <v>-1.009095E-2</v>
      </c>
      <c r="Z176">
        <v>1.1894550000000001E-3</v>
      </c>
      <c r="AA176">
        <v>0.99994839999999996</v>
      </c>
      <c r="AB176">
        <v>25</v>
      </c>
      <c r="AC176">
        <v>16.9861</v>
      </c>
      <c r="AD176">
        <v>-1.1086145127009901</v>
      </c>
      <c r="AE176">
        <v>-5.3899999999998699E-2</v>
      </c>
      <c r="AF176">
        <v>-0.173997310529143</v>
      </c>
      <c r="AG176">
        <v>-1.1086145127009901</v>
      </c>
      <c r="AH176">
        <v>16.913242972710002</v>
      </c>
      <c r="AI176">
        <v>93.750011266664302</v>
      </c>
      <c r="AJ176">
        <v>90.589417409544893</v>
      </c>
      <c r="AK176">
        <v>16.950430350164201</v>
      </c>
      <c r="AL176">
        <v>81.737993345591406</v>
      </c>
      <c r="AM176">
        <v>89.692471189988495</v>
      </c>
      <c r="AN176">
        <v>0.99999995907985295</v>
      </c>
    </row>
    <row r="177" spans="1:40" x14ac:dyDescent="0.25">
      <c r="A177" t="str">
        <f>"20190312172334770"</f>
        <v>20190312172334770</v>
      </c>
      <c r="B177" t="str">
        <f>"1552382614759756"</f>
        <v>1552382614759756</v>
      </c>
      <c r="C177" t="s">
        <v>40</v>
      </c>
      <c r="D177">
        <v>3.6475939999999998</v>
      </c>
      <c r="E177">
        <v>0.49362240000000002</v>
      </c>
      <c r="F177" t="s">
        <v>43</v>
      </c>
      <c r="G177">
        <v>-443.34019999999998</v>
      </c>
      <c r="H177" s="1">
        <v>-3.5903090000000002E-6</v>
      </c>
      <c r="I177">
        <v>367.01339999999999</v>
      </c>
      <c r="J177">
        <v>-460.24529999999999</v>
      </c>
      <c r="K177">
        <v>1.108614</v>
      </c>
      <c r="L177">
        <v>367.06319999999999</v>
      </c>
      <c r="M177">
        <v>0.99990749999999995</v>
      </c>
      <c r="N177">
        <v>0</v>
      </c>
      <c r="O177">
        <v>-1.3598580000000001E-2</v>
      </c>
      <c r="P177">
        <v>0.98951699999999998</v>
      </c>
      <c r="Q177">
        <v>0.14319779999999999</v>
      </c>
      <c r="R177">
        <v>-1.8722920000000001E-2</v>
      </c>
      <c r="S177">
        <v>3.0603030000000002</v>
      </c>
      <c r="T177">
        <v>-0.1978201</v>
      </c>
      <c r="U177">
        <v>-9.5214840000000002E-3</v>
      </c>
      <c r="V177">
        <v>5.3041609999999999E-3</v>
      </c>
      <c r="W177">
        <v>0.14365939999999999</v>
      </c>
      <c r="X177">
        <v>0.98961299999999996</v>
      </c>
      <c r="Y177">
        <v>-1.043736E-2</v>
      </c>
      <c r="Z177">
        <v>1.215065E-3</v>
      </c>
      <c r="AA177">
        <v>0.99994479999999997</v>
      </c>
      <c r="AB177">
        <v>25</v>
      </c>
      <c r="AC177">
        <v>16.905100000000001</v>
      </c>
      <c r="AD177">
        <v>-1.1086175903090001</v>
      </c>
      <c r="AE177">
        <v>-4.9800000000004702E-2</v>
      </c>
      <c r="AF177">
        <v>-0.17931879762887501</v>
      </c>
      <c r="AG177">
        <v>-1.1086175903090001</v>
      </c>
      <c r="AH177">
        <v>16.831827916848098</v>
      </c>
      <c r="AI177">
        <v>93.7680938662632</v>
      </c>
      <c r="AJ177">
        <v>90.610380623374397</v>
      </c>
      <c r="AK177">
        <v>16.869250701056998</v>
      </c>
      <c r="AL177">
        <v>81.7403444797948</v>
      </c>
      <c r="AM177">
        <v>89.692907096994006</v>
      </c>
      <c r="AN177">
        <v>1.0000000235506299</v>
      </c>
    </row>
    <row r="178" spans="1:40" x14ac:dyDescent="0.25">
      <c r="A178" t="str">
        <f>"20190312172334792"</f>
        <v>20190312172334792</v>
      </c>
      <c r="B178" t="str">
        <f>"1552382614780253"</f>
        <v>1552382614780253</v>
      </c>
      <c r="C178" t="s">
        <v>40</v>
      </c>
      <c r="D178">
        <v>3.6443310000000002</v>
      </c>
      <c r="E178">
        <v>0.49359429999999999</v>
      </c>
      <c r="F178" t="s">
        <v>43</v>
      </c>
      <c r="G178">
        <v>-443.06139999999999</v>
      </c>
      <c r="H178" s="1">
        <v>-3.7223980000000001E-6</v>
      </c>
      <c r="I178">
        <v>367.01179999999999</v>
      </c>
      <c r="J178">
        <v>-459.99310000000003</v>
      </c>
      <c r="K178">
        <v>1.108616</v>
      </c>
      <c r="L178">
        <v>367.05970000000002</v>
      </c>
      <c r="M178">
        <v>0.99990540000000006</v>
      </c>
      <c r="N178">
        <v>0</v>
      </c>
      <c r="O178">
        <v>-1.37407E-2</v>
      </c>
      <c r="P178">
        <v>0.98945559999999999</v>
      </c>
      <c r="Q178">
        <v>0.14355509999999999</v>
      </c>
      <c r="R178">
        <v>-1.922372E-2</v>
      </c>
      <c r="S178">
        <v>3.060181</v>
      </c>
      <c r="T178">
        <v>-0.19742760000000001</v>
      </c>
      <c r="U178">
        <v>-9.1552730000000002E-3</v>
      </c>
      <c r="V178">
        <v>5.665593E-3</v>
      </c>
      <c r="W178">
        <v>0.1440747</v>
      </c>
      <c r="X178">
        <v>0.98955059999999995</v>
      </c>
      <c r="Y178">
        <v>-1.069839E-2</v>
      </c>
      <c r="Z178">
        <v>1.230278E-3</v>
      </c>
      <c r="AA178">
        <v>0.999942</v>
      </c>
      <c r="AB178">
        <v>25</v>
      </c>
      <c r="AC178">
        <v>16.931699999999999</v>
      </c>
      <c r="AD178">
        <v>-1.1086197223980001</v>
      </c>
      <c r="AE178">
        <v>-4.79000000000269E-2</v>
      </c>
      <c r="AF178">
        <v>-0.18396928777166699</v>
      </c>
      <c r="AG178">
        <v>-1.1086197223980001</v>
      </c>
      <c r="AH178">
        <v>16.8584861794841</v>
      </c>
      <c r="AI178">
        <v>93.762149257173405</v>
      </c>
      <c r="AJ178">
        <v>90.625218970362894</v>
      </c>
      <c r="AK178">
        <v>16.8959000544981</v>
      </c>
      <c r="AL178">
        <v>81.716299239876093</v>
      </c>
      <c r="AM178">
        <v>89.671961170650306</v>
      </c>
      <c r="AN178">
        <v>1.0000000040422401</v>
      </c>
    </row>
    <row r="179" spans="1:40" x14ac:dyDescent="0.25">
      <c r="A179" t="str">
        <f>"20190312172334813"</f>
        <v>20190312172334813</v>
      </c>
      <c r="B179" t="str">
        <f>"1552382614799772"</f>
        <v>1552382614799772</v>
      </c>
      <c r="C179" t="s">
        <v>40</v>
      </c>
      <c r="D179">
        <v>3.6346750000000001</v>
      </c>
      <c r="E179">
        <v>0.49361300000000002</v>
      </c>
      <c r="F179" t="s">
        <v>43</v>
      </c>
      <c r="G179">
        <v>-442.66899999999998</v>
      </c>
      <c r="H179" s="1">
        <v>-3.9099100000000003E-6</v>
      </c>
      <c r="I179">
        <v>367.00040000000001</v>
      </c>
      <c r="J179">
        <v>-459.75819999999999</v>
      </c>
      <c r="K179">
        <v>1.1086199999999999</v>
      </c>
      <c r="L179">
        <v>367.05630000000002</v>
      </c>
      <c r="M179">
        <v>0.99990369999999995</v>
      </c>
      <c r="N179">
        <v>0</v>
      </c>
      <c r="O179">
        <v>-1.3873170000000001E-2</v>
      </c>
      <c r="P179">
        <v>0.98949830000000005</v>
      </c>
      <c r="Q179">
        <v>0.14323640000000001</v>
      </c>
      <c r="R179">
        <v>-1.941793E-2</v>
      </c>
      <c r="S179">
        <v>3.060181</v>
      </c>
      <c r="T179">
        <v>-0.19583020000000001</v>
      </c>
      <c r="U179">
        <v>-1.0467529999999999E-2</v>
      </c>
      <c r="V179">
        <v>5.7286439999999998E-3</v>
      </c>
      <c r="W179">
        <v>0.1438104</v>
      </c>
      <c r="X179">
        <v>0.98958869999999999</v>
      </c>
      <c r="Y179">
        <v>-1.0403219999999999E-2</v>
      </c>
      <c r="Z179">
        <v>1.219375E-3</v>
      </c>
      <c r="AA179">
        <v>0.99994519999999998</v>
      </c>
      <c r="AB179">
        <v>25</v>
      </c>
      <c r="AC179">
        <v>17.089199999999899</v>
      </c>
      <c r="AD179">
        <v>-1.1086239099099999</v>
      </c>
      <c r="AE179">
        <v>-5.59000000000082E-2</v>
      </c>
      <c r="AF179">
        <v>-0.180427454567128</v>
      </c>
      <c r="AG179">
        <v>-1.1086239099099999</v>
      </c>
      <c r="AH179">
        <v>17.016717189452699</v>
      </c>
      <c r="AI179">
        <v>93.727292166298099</v>
      </c>
      <c r="AJ179">
        <v>90.607481699774993</v>
      </c>
      <c r="AK179">
        <v>17.053746361014099</v>
      </c>
      <c r="AL179">
        <v>81.731602023509893</v>
      </c>
      <c r="AM179">
        <v>89.668323357832705</v>
      </c>
      <c r="AN179">
        <v>1.00000002183896</v>
      </c>
    </row>
    <row r="180" spans="1:40" x14ac:dyDescent="0.25">
      <c r="A180" t="str">
        <f>"20190312172334827"</f>
        <v>20190312172334827</v>
      </c>
      <c r="B180" t="str">
        <f>"1552382614820268"</f>
        <v>1552382614820268</v>
      </c>
      <c r="C180" t="s">
        <v>40</v>
      </c>
      <c r="D180">
        <v>3.6423480000000001</v>
      </c>
      <c r="E180">
        <v>0.4936294</v>
      </c>
      <c r="F180" t="s">
        <v>43</v>
      </c>
      <c r="G180">
        <v>-442.51839999999999</v>
      </c>
      <c r="H180" s="1">
        <v>-3.9822440000000001E-6</v>
      </c>
      <c r="I180">
        <v>366.99400000000003</v>
      </c>
      <c r="J180">
        <v>-459.60149999999999</v>
      </c>
      <c r="K180">
        <v>1.108625</v>
      </c>
      <c r="L180">
        <v>367.05399999999997</v>
      </c>
      <c r="M180">
        <v>0.99990239999999997</v>
      </c>
      <c r="N180">
        <v>0</v>
      </c>
      <c r="O180">
        <v>-1.3961039999999999E-2</v>
      </c>
      <c r="P180">
        <v>0.98948349999999996</v>
      </c>
      <c r="Q180">
        <v>0.14329</v>
      </c>
      <c r="R180">
        <v>-1.9767969999999999E-2</v>
      </c>
      <c r="S180">
        <v>3.06012</v>
      </c>
      <c r="T180">
        <v>-0.1967834</v>
      </c>
      <c r="U180">
        <v>-1.1047360000000001E-2</v>
      </c>
      <c r="V180">
        <v>5.991995E-3</v>
      </c>
      <c r="W180">
        <v>0.14390059999999999</v>
      </c>
      <c r="X180">
        <v>0.98957399999999995</v>
      </c>
      <c r="Y180">
        <v>-1.030111E-2</v>
      </c>
      <c r="Z180">
        <v>1.2276870000000001E-3</v>
      </c>
      <c r="AA180">
        <v>0.99994620000000001</v>
      </c>
      <c r="AB180">
        <v>25</v>
      </c>
      <c r="AC180">
        <v>17.083100000000002</v>
      </c>
      <c r="AD180">
        <v>-1.1086289822440001</v>
      </c>
      <c r="AE180">
        <v>-6.0000000000002197E-2</v>
      </c>
      <c r="AF180">
        <v>-0.17775511303815</v>
      </c>
      <c r="AG180">
        <v>-1.1086289822440001</v>
      </c>
      <c r="AH180">
        <v>17.0106329681029</v>
      </c>
      <c r="AI180">
        <v>93.728644564065405</v>
      </c>
      <c r="AJ180">
        <v>90.598698890499705</v>
      </c>
      <c r="AK180">
        <v>17.0476476112099</v>
      </c>
      <c r="AL180">
        <v>81.726379393319604</v>
      </c>
      <c r="AM180">
        <v>89.653071090576802</v>
      </c>
      <c r="AN180">
        <v>0.999999994080219</v>
      </c>
    </row>
    <row r="181" spans="1:40" x14ac:dyDescent="0.25">
      <c r="A181" t="str">
        <f>"20190312172334848"</f>
        <v>20190312172334848</v>
      </c>
      <c r="B181" t="str">
        <f>"1552382614839788"</f>
        <v>1552382614839788</v>
      </c>
      <c r="C181" t="s">
        <v>40</v>
      </c>
      <c r="D181">
        <v>3.6047929999999999</v>
      </c>
      <c r="E181">
        <v>0.49363119999999999</v>
      </c>
      <c r="F181" t="s">
        <v>43</v>
      </c>
      <c r="G181">
        <v>-442.32190000000003</v>
      </c>
      <c r="H181" s="1">
        <v>-4.0769709999999999E-6</v>
      </c>
      <c r="I181">
        <v>366.98349999999999</v>
      </c>
      <c r="J181">
        <v>-459.34789999999998</v>
      </c>
      <c r="K181">
        <v>1.1086290000000001</v>
      </c>
      <c r="L181">
        <v>367.05029999999999</v>
      </c>
      <c r="M181">
        <v>0.99990049999999997</v>
      </c>
      <c r="N181">
        <v>0</v>
      </c>
      <c r="O181">
        <v>-1.41039999999999E-2</v>
      </c>
      <c r="P181">
        <v>0.98952850000000003</v>
      </c>
      <c r="Q181">
        <v>0.14294029999999999</v>
      </c>
      <c r="R181">
        <v>-2.0044650000000001E-2</v>
      </c>
      <c r="S181">
        <v>3.060028</v>
      </c>
      <c r="T181">
        <v>-0.1963261</v>
      </c>
      <c r="U181">
        <v>-1.248169E-2</v>
      </c>
      <c r="V181">
        <v>6.1272729999999999E-3</v>
      </c>
      <c r="W181">
        <v>0.14360989999999901</v>
      </c>
      <c r="X181">
        <v>0.98961540000000003</v>
      </c>
      <c r="Y181">
        <v>-9.9758729999999997E-3</v>
      </c>
      <c r="Z181">
        <v>1.223614E-3</v>
      </c>
      <c r="AA181">
        <v>0.99994950000000005</v>
      </c>
      <c r="AB181">
        <v>26</v>
      </c>
      <c r="AC181">
        <v>17.0259999999999</v>
      </c>
      <c r="AD181">
        <v>-1.108633076971</v>
      </c>
      <c r="AE181">
        <v>-6.6800000000000595E-2</v>
      </c>
      <c r="AF181">
        <v>-0.17260952932912699</v>
      </c>
      <c r="AG181">
        <v>-1.108633076971</v>
      </c>
      <c r="AH181">
        <v>16.953370007853</v>
      </c>
      <c r="AI181">
        <v>93.741227103022496</v>
      </c>
      <c r="AJ181">
        <v>90.583332742727904</v>
      </c>
      <c r="AK181">
        <v>16.9904566145863</v>
      </c>
      <c r="AL181">
        <v>81.743210086700799</v>
      </c>
      <c r="AM181">
        <v>89.645253704807999</v>
      </c>
      <c r="AN181">
        <v>0.99999999338479295</v>
      </c>
    </row>
    <row r="182" spans="1:40" x14ac:dyDescent="0.25">
      <c r="A182" t="str">
        <f>"20190312172334871"</f>
        <v>20190312172334871</v>
      </c>
      <c r="B182" t="str">
        <f>"1552382614860284"</f>
        <v>1552382614860284</v>
      </c>
      <c r="C182" t="s">
        <v>40</v>
      </c>
      <c r="D182">
        <v>3.6527620000000001</v>
      </c>
      <c r="E182">
        <v>0.49363059999999997</v>
      </c>
      <c r="F182" t="s">
        <v>43</v>
      </c>
      <c r="G182">
        <v>-442.15159999999997</v>
      </c>
      <c r="H182" s="1">
        <v>-4.1589860000000004E-6</v>
      </c>
      <c r="I182">
        <v>366.97500000000002</v>
      </c>
      <c r="J182">
        <v>-459.09219999999999</v>
      </c>
      <c r="K182">
        <v>1.108633</v>
      </c>
      <c r="L182">
        <v>367.04660000000001</v>
      </c>
      <c r="M182">
        <v>0.99989830000000002</v>
      </c>
      <c r="N182">
        <v>0</v>
      </c>
      <c r="O182">
        <v>-1.4248159999999999E-2</v>
      </c>
      <c r="P182">
        <v>0.98950400000000005</v>
      </c>
      <c r="Q182">
        <v>0.1430516</v>
      </c>
      <c r="R182">
        <v>-2.0446929999999999E-2</v>
      </c>
      <c r="S182">
        <v>3.0599669999999999</v>
      </c>
      <c r="T182">
        <v>-0.1972739</v>
      </c>
      <c r="U182">
        <v>-1.339722E-2</v>
      </c>
      <c r="V182">
        <v>6.3874839999999997E-3</v>
      </c>
      <c r="W182">
        <v>0.14378170000000001</v>
      </c>
      <c r="X182">
        <v>0.98958880000000005</v>
      </c>
      <c r="Y182">
        <v>-9.8203240000000001E-3</v>
      </c>
      <c r="Z182">
        <v>1.2338060000000001E-3</v>
      </c>
      <c r="AA182">
        <v>0.99995100000000003</v>
      </c>
      <c r="AB182">
        <v>26</v>
      </c>
      <c r="AC182">
        <v>16.9406</v>
      </c>
      <c r="AD182">
        <v>-1.108637158986</v>
      </c>
      <c r="AE182">
        <v>-7.1599999999989394E-2</v>
      </c>
      <c r="AF182">
        <v>-0.16905568533357199</v>
      </c>
      <c r="AG182">
        <v>-1.108637158986</v>
      </c>
      <c r="AH182">
        <v>16.8676620742173</v>
      </c>
      <c r="AI182">
        <v>93.760202445455604</v>
      </c>
      <c r="AJ182">
        <v>90.574226168620896</v>
      </c>
      <c r="AK182">
        <v>16.904901065224099</v>
      </c>
      <c r="AL182">
        <v>81.733263375930605</v>
      </c>
      <c r="AM182">
        <v>89.630178926349501</v>
      </c>
      <c r="AN182">
        <v>0.99999998514609001</v>
      </c>
    </row>
    <row r="183" spans="1:40" x14ac:dyDescent="0.25">
      <c r="A183" t="str">
        <f>"20190312172334884"</f>
        <v>20190312172334884</v>
      </c>
      <c r="B183" t="str">
        <f>"1552382614879806"</f>
        <v>1552382614879806</v>
      </c>
      <c r="C183" t="s">
        <v>40</v>
      </c>
      <c r="D183">
        <v>3.6166589999999998</v>
      </c>
      <c r="E183">
        <v>0.4936355</v>
      </c>
      <c r="F183" t="s">
        <v>43</v>
      </c>
      <c r="G183">
        <v>-441.81229999999999</v>
      </c>
      <c r="H183" s="1">
        <v>-4.3215229999999996E-6</v>
      </c>
      <c r="I183">
        <v>366.96280000000002</v>
      </c>
      <c r="J183">
        <v>-458.93079999999998</v>
      </c>
      <c r="K183">
        <v>1.1086389999999999</v>
      </c>
      <c r="L183">
        <v>367.04419999999999</v>
      </c>
      <c r="M183">
        <v>0.99989689999999998</v>
      </c>
      <c r="N183">
        <v>0</v>
      </c>
      <c r="O183">
        <v>-1.433925E-2</v>
      </c>
      <c r="P183">
        <v>0.98950349999999998</v>
      </c>
      <c r="Q183">
        <v>0.14303940000000001</v>
      </c>
      <c r="R183">
        <v>-2.0555E-2</v>
      </c>
      <c r="S183">
        <v>3.0599059999999998</v>
      </c>
      <c r="T183">
        <v>-0.19631699999999999</v>
      </c>
      <c r="U183">
        <v>-1.4831540000000001E-2</v>
      </c>
      <c r="V183">
        <v>6.4057840000000003E-3</v>
      </c>
      <c r="W183">
        <v>0.14380760000000001</v>
      </c>
      <c r="X183">
        <v>0.98958489999999999</v>
      </c>
      <c r="Y183">
        <v>-9.4436910000000006E-3</v>
      </c>
      <c r="Z183">
        <v>1.2216239999999999E-3</v>
      </c>
      <c r="AA183">
        <v>0.99995460000000003</v>
      </c>
      <c r="AB183">
        <v>26</v>
      </c>
      <c r="AC183">
        <v>17.118499999999901</v>
      </c>
      <c r="AD183">
        <v>-1.1086433215229901</v>
      </c>
      <c r="AE183">
        <v>-8.1399999999973702E-2</v>
      </c>
      <c r="AF183">
        <v>-0.16338961248676501</v>
      </c>
      <c r="AG183">
        <v>-1.1086433215229901</v>
      </c>
      <c r="AH183">
        <v>17.046412258728498</v>
      </c>
      <c r="AI183">
        <v>93.720920520400796</v>
      </c>
      <c r="AJ183">
        <v>90.549162392531898</v>
      </c>
      <c r="AK183">
        <v>17.083206873252902</v>
      </c>
      <c r="AL183">
        <v>81.731763680995499</v>
      </c>
      <c r="AM183">
        <v>89.629117965112798</v>
      </c>
      <c r="AN183">
        <v>0.99999996709721095</v>
      </c>
    </row>
    <row r="184" spans="1:40" x14ac:dyDescent="0.25">
      <c r="A184" t="str">
        <f>"20190312172334904"</f>
        <v>20190312172334904</v>
      </c>
      <c r="B184" t="str">
        <f>"1552382614900300"</f>
        <v>1552382614900300</v>
      </c>
      <c r="C184" t="s">
        <v>40</v>
      </c>
      <c r="D184">
        <v>3.6451750000000001</v>
      </c>
      <c r="E184">
        <v>0.49361709999999898</v>
      </c>
      <c r="F184" t="s">
        <v>43</v>
      </c>
      <c r="G184">
        <v>-441.6558</v>
      </c>
      <c r="H184" s="1">
        <v>-4.3960610000000001E-6</v>
      </c>
      <c r="I184">
        <v>366.9597</v>
      </c>
      <c r="J184">
        <v>-458.70499999999998</v>
      </c>
      <c r="K184">
        <v>1.1086400000000001</v>
      </c>
      <c r="L184">
        <v>367.04079999999999</v>
      </c>
      <c r="M184">
        <v>0.99989499999999998</v>
      </c>
      <c r="N184">
        <v>0</v>
      </c>
      <c r="O184">
        <v>-1.446648E-2</v>
      </c>
      <c r="P184">
        <v>0.98947309999999999</v>
      </c>
      <c r="Q184">
        <v>0.14314250000000001</v>
      </c>
      <c r="R184">
        <v>-2.1294150000000001E-2</v>
      </c>
      <c r="S184">
        <v>3.0599059999999998</v>
      </c>
      <c r="T184">
        <v>-0.19637260000000001</v>
      </c>
      <c r="U184">
        <v>-1.4953610000000001E-2</v>
      </c>
      <c r="V184">
        <v>7.0196540000000002E-3</v>
      </c>
      <c r="W184">
        <v>0.14396329999999999</v>
      </c>
      <c r="X184">
        <v>0.98955820000000005</v>
      </c>
      <c r="Y184">
        <v>-9.5305679999999997E-3</v>
      </c>
      <c r="Z184">
        <v>1.2329109999999999E-3</v>
      </c>
      <c r="AA184">
        <v>0.9999538</v>
      </c>
      <c r="AB184">
        <v>26</v>
      </c>
      <c r="AC184">
        <v>17.0491999999999</v>
      </c>
      <c r="AD184">
        <v>-1.108644396061</v>
      </c>
      <c r="AE184">
        <v>-8.1099999999992095E-2</v>
      </c>
      <c r="AF184">
        <v>-0.164853433859594</v>
      </c>
      <c r="AG184">
        <v>-1.108644396061</v>
      </c>
      <c r="AH184">
        <v>16.9768059396478</v>
      </c>
      <c r="AI184">
        <v>93.736132582286999</v>
      </c>
      <c r="AJ184">
        <v>90.556353719721102</v>
      </c>
      <c r="AK184">
        <v>17.013765278856798</v>
      </c>
      <c r="AL184">
        <v>81.7227497747798</v>
      </c>
      <c r="AM184">
        <v>89.593566298835896</v>
      </c>
      <c r="AN184">
        <v>1.0000000692382001</v>
      </c>
    </row>
    <row r="185" spans="1:40" x14ac:dyDescent="0.25">
      <c r="A185" t="str">
        <f>"20190312172334928"</f>
        <v>20190312172334928</v>
      </c>
      <c r="B185" t="str">
        <f>"1552382614919821"</f>
        <v>1552382614919821</v>
      </c>
      <c r="C185" t="s">
        <v>40</v>
      </c>
      <c r="D185">
        <v>3.601108</v>
      </c>
      <c r="E185">
        <v>0.4936046</v>
      </c>
      <c r="F185" t="s">
        <v>43</v>
      </c>
      <c r="G185">
        <v>-441.3999</v>
      </c>
      <c r="H185" s="1">
        <v>-4.5193899999999996E-6</v>
      </c>
      <c r="I185">
        <v>366.94639999999998</v>
      </c>
      <c r="J185">
        <v>-458.41809999999998</v>
      </c>
      <c r="K185">
        <v>1.108641</v>
      </c>
      <c r="L185">
        <v>367.03649999999999</v>
      </c>
      <c r="M185">
        <v>0.99989269999999997</v>
      </c>
      <c r="N185">
        <v>0</v>
      </c>
      <c r="O185">
        <v>-1.462769E-2</v>
      </c>
      <c r="P185">
        <v>0.98950020000000005</v>
      </c>
      <c r="Q185">
        <v>0.14286779999999999</v>
      </c>
      <c r="R185">
        <v>-2.1869670000000001E-2</v>
      </c>
      <c r="S185">
        <v>3.0599370000000001</v>
      </c>
      <c r="T185">
        <v>-0.1960344</v>
      </c>
      <c r="U185">
        <v>-1.6693119999999999E-2</v>
      </c>
      <c r="V185">
        <v>7.4357900000000003E-3</v>
      </c>
      <c r="W185">
        <v>0.14375660000000001</v>
      </c>
      <c r="X185">
        <v>0.98958520000000005</v>
      </c>
      <c r="Y185">
        <v>-9.1240790000000002E-3</v>
      </c>
      <c r="Z185">
        <v>1.228086E-3</v>
      </c>
      <c r="AA185">
        <v>0.9999576</v>
      </c>
      <c r="AB185">
        <v>26</v>
      </c>
      <c r="AC185">
        <v>17.018199999999901</v>
      </c>
      <c r="AD185">
        <v>-1.10864551939</v>
      </c>
      <c r="AE185">
        <v>-9.0100000000006703E-2</v>
      </c>
      <c r="AF185">
        <v>-0.15817541979861099</v>
      </c>
      <c r="AG185">
        <v>-1.10864551939</v>
      </c>
      <c r="AH185">
        <v>16.9457841281063</v>
      </c>
      <c r="AI185">
        <v>93.742969865913295</v>
      </c>
      <c r="AJ185">
        <v>90.5347950095952</v>
      </c>
      <c r="AK185">
        <v>16.982747541769299</v>
      </c>
      <c r="AL185">
        <v>81.734717216335497</v>
      </c>
      <c r="AM185">
        <v>89.569484904960902</v>
      </c>
      <c r="AN185">
        <v>1.0000000595377601</v>
      </c>
    </row>
    <row r="186" spans="1:40" x14ac:dyDescent="0.25">
      <c r="A186" t="str">
        <f>"20190312172334951"</f>
        <v>20190312172334951</v>
      </c>
      <c r="B186" t="str">
        <f>"1552382614940316"</f>
        <v>1552382614940316</v>
      </c>
      <c r="C186" t="s">
        <v>40</v>
      </c>
      <c r="D186">
        <v>3.6591849999999999</v>
      </c>
      <c r="E186">
        <v>0.49356450000000002</v>
      </c>
      <c r="F186" t="s">
        <v>43</v>
      </c>
      <c r="G186">
        <v>-441.19060000000002</v>
      </c>
      <c r="H186" s="1">
        <v>-4.6208669999999998E-6</v>
      </c>
      <c r="I186">
        <v>366.93220000000002</v>
      </c>
      <c r="J186">
        <v>-458.15019999999998</v>
      </c>
      <c r="K186">
        <v>1.1086450000000001</v>
      </c>
      <c r="L186">
        <v>367.0324</v>
      </c>
      <c r="M186">
        <v>0.99989030000000001</v>
      </c>
      <c r="N186">
        <v>0</v>
      </c>
      <c r="O186">
        <v>-1.4777459999999999E-2</v>
      </c>
      <c r="P186">
        <v>0.98955700000000002</v>
      </c>
      <c r="Q186">
        <v>0.14241470000000001</v>
      </c>
      <c r="R186">
        <v>-2.2242410000000001E-2</v>
      </c>
      <c r="S186">
        <v>3.0598749999999999</v>
      </c>
      <c r="T186">
        <v>-0.1969129</v>
      </c>
      <c r="U186">
        <v>-1.852417E-2</v>
      </c>
      <c r="V186">
        <v>7.6600069999999999E-3</v>
      </c>
      <c r="W186">
        <v>0.14336779999999999</v>
      </c>
      <c r="X186">
        <v>0.98963979999999996</v>
      </c>
      <c r="Y186">
        <v>-8.6755659999999991E-3</v>
      </c>
      <c r="Z186">
        <v>1.2288100000000001E-3</v>
      </c>
      <c r="AA186">
        <v>0.99996160000000001</v>
      </c>
      <c r="AB186">
        <v>26</v>
      </c>
      <c r="AC186">
        <v>16.959599999999899</v>
      </c>
      <c r="AD186">
        <v>-1.108649620867</v>
      </c>
      <c r="AE186">
        <v>-0.10019999999997201</v>
      </c>
      <c r="AF186">
        <v>-0.14979080894631899</v>
      </c>
      <c r="AG186">
        <v>-1.108649620867</v>
      </c>
      <c r="AH186">
        <v>16.887068836247401</v>
      </c>
      <c r="AI186">
        <v>93.755976426741995</v>
      </c>
      <c r="AJ186">
        <v>90.508208746609597</v>
      </c>
      <c r="AK186">
        <v>16.924084470022301</v>
      </c>
      <c r="AL186">
        <v>81.757226224519997</v>
      </c>
      <c r="AM186">
        <v>89.556528236025002</v>
      </c>
      <c r="AN186">
        <v>0.99999996776405897</v>
      </c>
    </row>
    <row r="187" spans="1:40" x14ac:dyDescent="0.25">
      <c r="A187" t="str">
        <f>"20190312172334971"</f>
        <v>20190312172334971</v>
      </c>
      <c r="B187" t="str">
        <f>"1552382614959836"</f>
        <v>1552382614959836</v>
      </c>
      <c r="C187" t="s">
        <v>40</v>
      </c>
      <c r="D187">
        <v>3.6317840000000001</v>
      </c>
      <c r="E187">
        <v>0.49352459999999998</v>
      </c>
      <c r="F187" t="s">
        <v>43</v>
      </c>
      <c r="G187">
        <v>-441.03769999999997</v>
      </c>
      <c r="H187" s="1">
        <v>-4.6947519999999999E-6</v>
      </c>
      <c r="I187">
        <v>366.92320000000001</v>
      </c>
      <c r="J187">
        <v>-457.90030000000002</v>
      </c>
      <c r="K187">
        <v>1.1086480000000001</v>
      </c>
      <c r="L187">
        <v>367.02859999999998</v>
      </c>
      <c r="M187">
        <v>0.99988829999999995</v>
      </c>
      <c r="N187">
        <v>0</v>
      </c>
      <c r="O187">
        <v>-1.4917450000000001E-2</v>
      </c>
      <c r="P187">
        <v>0.98954279999999994</v>
      </c>
      <c r="Q187">
        <v>0.14240520000000001</v>
      </c>
      <c r="R187">
        <v>-2.2934860000000001E-2</v>
      </c>
      <c r="S187">
        <v>3.0597840000000001</v>
      </c>
      <c r="T187">
        <v>-0.19823089999999999</v>
      </c>
      <c r="U187">
        <v>-1.953125E-2</v>
      </c>
      <c r="V187">
        <v>8.2143990000000007E-3</v>
      </c>
      <c r="W187">
        <v>0.14341779999999901</v>
      </c>
      <c r="X187">
        <v>0.98962810000000001</v>
      </c>
      <c r="Y187">
        <v>-8.4857279999999997E-3</v>
      </c>
      <c r="Z187">
        <v>1.2399679999999999E-3</v>
      </c>
      <c r="AA187">
        <v>0.99996320000000005</v>
      </c>
      <c r="AB187">
        <v>27</v>
      </c>
      <c r="AC187">
        <v>16.8626</v>
      </c>
      <c r="AD187">
        <v>-1.1086526947519999</v>
      </c>
      <c r="AE187">
        <v>-0.105399999999974</v>
      </c>
      <c r="AF187">
        <v>-0.145529790177264</v>
      </c>
      <c r="AG187">
        <v>-1.1086526947519999</v>
      </c>
      <c r="AH187">
        <v>16.789724064765601</v>
      </c>
      <c r="AI187">
        <v>93.777707371467898</v>
      </c>
      <c r="AJ187">
        <v>90.496615306413005</v>
      </c>
      <c r="AK187">
        <v>16.826916648286499</v>
      </c>
      <c r="AL187">
        <v>81.7543314484696</v>
      </c>
      <c r="AM187">
        <v>89.524427827581803</v>
      </c>
      <c r="AN187">
        <v>0.99999995900868899</v>
      </c>
    </row>
    <row r="188" spans="1:40" x14ac:dyDescent="0.25">
      <c r="A188" t="str">
        <f>"20190312172334993"</f>
        <v>20190312172334993</v>
      </c>
      <c r="B188" t="str">
        <f>"1552382614990093"</f>
        <v>1552382614990093</v>
      </c>
      <c r="C188" t="s">
        <v>40</v>
      </c>
      <c r="D188">
        <v>3.6228609999999999</v>
      </c>
      <c r="E188">
        <v>0.49349140000000002</v>
      </c>
      <c r="F188" t="s">
        <v>43</v>
      </c>
      <c r="G188">
        <v>-440.77980000000002</v>
      </c>
      <c r="H188" s="1">
        <v>-4.8188569999999996E-6</v>
      </c>
      <c r="I188">
        <v>366.91059999999999</v>
      </c>
      <c r="J188">
        <v>-457.62459999999999</v>
      </c>
      <c r="K188">
        <v>1.1086510000000001</v>
      </c>
      <c r="L188">
        <v>367.02429999999998</v>
      </c>
      <c r="M188">
        <v>0.99988580000000005</v>
      </c>
      <c r="N188">
        <v>0</v>
      </c>
      <c r="O188">
        <v>-1.507116E-2</v>
      </c>
      <c r="P188">
        <v>0.98951040000000001</v>
      </c>
      <c r="Q188">
        <v>0.14252279999999901</v>
      </c>
      <c r="R188">
        <v>-2.3590050000000001E-2</v>
      </c>
      <c r="S188">
        <v>3.0596920000000001</v>
      </c>
      <c r="T188">
        <v>-0.1981339</v>
      </c>
      <c r="U188">
        <v>-2.1087649999999999E-2</v>
      </c>
      <c r="V188">
        <v>8.7181669999999902E-3</v>
      </c>
      <c r="W188">
        <v>0.14360139999999999</v>
      </c>
      <c r="X188">
        <v>0.98959719999999995</v>
      </c>
      <c r="Y188">
        <v>-8.1310889999999993E-3</v>
      </c>
      <c r="Z188">
        <v>1.2378689999999999E-3</v>
      </c>
      <c r="AA188">
        <v>0.99996620000000003</v>
      </c>
      <c r="AB188">
        <v>27</v>
      </c>
      <c r="AC188">
        <v>16.8447999999999</v>
      </c>
      <c r="AD188">
        <v>-1.1086558188569999</v>
      </c>
      <c r="AE188">
        <v>-0.113699999999994</v>
      </c>
      <c r="AF188">
        <v>-0.139579155712932</v>
      </c>
      <c r="AG188">
        <v>-1.1086558188569999</v>
      </c>
      <c r="AH188">
        <v>16.771952095619501</v>
      </c>
      <c r="AI188">
        <v>93.781720408460004</v>
      </c>
      <c r="AJ188">
        <v>90.476814616757594</v>
      </c>
      <c r="AK188">
        <v>16.809133742199599</v>
      </c>
      <c r="AL188">
        <v>81.743702201588505</v>
      </c>
      <c r="AM188">
        <v>89.495247913099305</v>
      </c>
      <c r="AN188">
        <v>0.99999999338281897</v>
      </c>
    </row>
    <row r="189" spans="1:40" x14ac:dyDescent="0.25">
      <c r="A189" t="str">
        <f>"20190312172335015"</f>
        <v>20190312172335015</v>
      </c>
      <c r="B189" t="str">
        <f>"1552382615010589"</f>
        <v>1552382615010589</v>
      </c>
      <c r="C189" t="s">
        <v>40</v>
      </c>
      <c r="D189">
        <v>3.5976309999999998</v>
      </c>
      <c r="E189">
        <v>0.49346040000000002</v>
      </c>
      <c r="F189" t="s">
        <v>43</v>
      </c>
      <c r="G189">
        <v>-440.48809999999997</v>
      </c>
      <c r="H189" s="1">
        <v>-4.9587100000000003E-6</v>
      </c>
      <c r="I189">
        <v>366.8997</v>
      </c>
      <c r="J189">
        <v>-457.36770000000001</v>
      </c>
      <c r="K189">
        <v>1.1086560000000001</v>
      </c>
      <c r="L189">
        <v>367.02030000000002</v>
      </c>
      <c r="M189">
        <v>0.99988370000000004</v>
      </c>
      <c r="N189">
        <v>0</v>
      </c>
      <c r="O189">
        <v>-1.5212109999999999E-2</v>
      </c>
      <c r="P189">
        <v>0.98960890000000001</v>
      </c>
      <c r="Q189">
        <v>0.14177300000000001</v>
      </c>
      <c r="R189">
        <v>-2.3971449999999998E-2</v>
      </c>
      <c r="S189">
        <v>3.0597840000000001</v>
      </c>
      <c r="T189">
        <v>-0.19795389999999999</v>
      </c>
      <c r="U189">
        <v>-2.2247309999999999E-2</v>
      </c>
      <c r="V189">
        <v>8.958522E-3</v>
      </c>
      <c r="W189">
        <v>0.14291419999999999</v>
      </c>
      <c r="X189">
        <v>0.98969450000000003</v>
      </c>
      <c r="Y189">
        <v>-7.8935759999999994E-3</v>
      </c>
      <c r="Z189">
        <v>1.2381409999999999E-3</v>
      </c>
      <c r="AA189">
        <v>0.99996810000000003</v>
      </c>
      <c r="AB189">
        <v>27</v>
      </c>
      <c r="AC189">
        <v>16.8796</v>
      </c>
      <c r="AD189">
        <v>-1.10866095870999</v>
      </c>
      <c r="AE189">
        <v>-0.12060000000002399</v>
      </c>
      <c r="AF189">
        <v>-0.13560348373487</v>
      </c>
      <c r="AG189">
        <v>-1.10866095870999</v>
      </c>
      <c r="AH189">
        <v>16.8069809692084</v>
      </c>
      <c r="AI189">
        <v>93.773886674614999</v>
      </c>
      <c r="AJ189">
        <v>90.462268549899093</v>
      </c>
      <c r="AK189">
        <v>16.844053156099399</v>
      </c>
      <c r="AL189">
        <v>81.783485971164197</v>
      </c>
      <c r="AM189">
        <v>89.481383918723594</v>
      </c>
      <c r="AN189">
        <v>0.99999996350415599</v>
      </c>
    </row>
    <row r="190" spans="1:40" x14ac:dyDescent="0.25">
      <c r="A190" t="str">
        <f>"20190312172335029"</f>
        <v>20190312172335029</v>
      </c>
      <c r="B190" t="str">
        <f>"1552382615020350"</f>
        <v>1552382615020350</v>
      </c>
      <c r="C190" t="s">
        <v>40</v>
      </c>
      <c r="D190">
        <v>3.6231460000000002</v>
      </c>
      <c r="E190">
        <v>0.4934386</v>
      </c>
      <c r="F190" t="s">
        <v>43</v>
      </c>
      <c r="G190">
        <v>-440.41840000000002</v>
      </c>
      <c r="H190" s="1">
        <v>-4.9927039999999998E-6</v>
      </c>
      <c r="I190">
        <v>366.8938</v>
      </c>
      <c r="J190">
        <v>-457.18860000000001</v>
      </c>
      <c r="K190">
        <v>1.108657</v>
      </c>
      <c r="L190">
        <v>367.01740000000001</v>
      </c>
      <c r="M190">
        <v>0.9998821</v>
      </c>
      <c r="N190">
        <v>0</v>
      </c>
      <c r="O190">
        <v>-1.530608E-2</v>
      </c>
      <c r="P190">
        <v>0.98961980000000005</v>
      </c>
      <c r="Q190">
        <v>0.14164199999999999</v>
      </c>
      <c r="R190">
        <v>-2.429862E-2</v>
      </c>
      <c r="S190">
        <v>3.059631</v>
      </c>
      <c r="T190">
        <v>-0.20013110000000001</v>
      </c>
      <c r="U190">
        <v>-2.2827150000000001E-2</v>
      </c>
      <c r="V190">
        <v>9.1918350000000006E-3</v>
      </c>
      <c r="W190">
        <v>0.14282929999999999</v>
      </c>
      <c r="X190">
        <v>0.98970469999999999</v>
      </c>
      <c r="Y190">
        <v>-7.796636E-3</v>
      </c>
      <c r="Z190">
        <v>1.254762E-3</v>
      </c>
      <c r="AA190">
        <v>0.99996879999999999</v>
      </c>
      <c r="AB190">
        <v>27</v>
      </c>
      <c r="AC190">
        <v>16.7701999999999</v>
      </c>
      <c r="AD190">
        <v>-1.108661992704</v>
      </c>
      <c r="AE190">
        <v>-0.12360000000000999</v>
      </c>
      <c r="AF190">
        <v>-0.13252155414399899</v>
      </c>
      <c r="AG190">
        <v>-1.108661992704</v>
      </c>
      <c r="AH190">
        <v>16.697157882663902</v>
      </c>
      <c r="AI190">
        <v>93.798643936957603</v>
      </c>
      <c r="AJ190">
        <v>90.454734055593406</v>
      </c>
      <c r="AK190">
        <v>16.7344487430864</v>
      </c>
      <c r="AL190">
        <v>81.788401485237799</v>
      </c>
      <c r="AM190">
        <v>89.467883491113497</v>
      </c>
      <c r="AN190">
        <v>1.00000004598562</v>
      </c>
    </row>
    <row r="191" spans="1:40" x14ac:dyDescent="0.25">
      <c r="A191" t="str">
        <f>"20190312172335050"</f>
        <v>20190312172335050</v>
      </c>
      <c r="B191" t="str">
        <f>"1552382615039869"</f>
        <v>1552382615039869</v>
      </c>
      <c r="C191" t="s">
        <v>40</v>
      </c>
      <c r="D191">
        <v>3.617686</v>
      </c>
      <c r="E191">
        <v>0.49338539999999997</v>
      </c>
      <c r="F191" t="s">
        <v>43</v>
      </c>
      <c r="G191">
        <v>-440.2706</v>
      </c>
      <c r="H191" s="1">
        <v>-5.0639099999999998E-6</v>
      </c>
      <c r="I191">
        <v>366.8861</v>
      </c>
      <c r="J191">
        <v>-456.93380000000002</v>
      </c>
      <c r="K191">
        <v>1.108668</v>
      </c>
      <c r="L191">
        <v>367.01339999999999</v>
      </c>
      <c r="M191">
        <v>0.99988010000000005</v>
      </c>
      <c r="N191">
        <v>0</v>
      </c>
      <c r="O191">
        <v>-1.5429740000000001E-2</v>
      </c>
      <c r="P191">
        <v>0.98966790000000004</v>
      </c>
      <c r="Q191">
        <v>0.14123629999999901</v>
      </c>
      <c r="R191">
        <v>-2.4696450000000002E-2</v>
      </c>
      <c r="S191">
        <v>3.0595400000000001</v>
      </c>
      <c r="T191">
        <v>-0.20049610000000001</v>
      </c>
      <c r="U191">
        <v>-2.3742679999999999E-2</v>
      </c>
      <c r="V191">
        <v>9.4643680000000008E-3</v>
      </c>
      <c r="W191">
        <v>0.14249419999999999</v>
      </c>
      <c r="X191">
        <v>0.98975040000000003</v>
      </c>
      <c r="Y191">
        <v>-7.6208040000000001E-3</v>
      </c>
      <c r="Z191">
        <v>1.2594209999999999E-3</v>
      </c>
      <c r="AA191">
        <v>0.99997020000000003</v>
      </c>
      <c r="AB191">
        <v>27</v>
      </c>
      <c r="AC191">
        <v>16.6632</v>
      </c>
      <c r="AD191">
        <v>-1.10867306391</v>
      </c>
      <c r="AE191">
        <v>-0.127299999999991</v>
      </c>
      <c r="AF191">
        <v>-0.12925207768595301</v>
      </c>
      <c r="AG191">
        <v>-1.10867306391</v>
      </c>
      <c r="AH191">
        <v>16.589745279485101</v>
      </c>
      <c r="AI191">
        <v>93.823208508700304</v>
      </c>
      <c r="AJ191">
        <v>90.446387125483994</v>
      </c>
      <c r="AK191">
        <v>16.6272520429692</v>
      </c>
      <c r="AL191">
        <v>81.807799441162899</v>
      </c>
      <c r="AM191">
        <v>89.452132765097105</v>
      </c>
      <c r="AN191">
        <v>1.00000001279771</v>
      </c>
    </row>
    <row r="192" spans="1:40" x14ac:dyDescent="0.25">
      <c r="A192" t="str">
        <f>"20190312172335071"</f>
        <v>20190312172335071</v>
      </c>
      <c r="B192" t="str">
        <f>"1552382615060364"</f>
        <v>1552382615060364</v>
      </c>
      <c r="C192" t="s">
        <v>40</v>
      </c>
      <c r="D192">
        <v>3.583774</v>
      </c>
      <c r="E192">
        <v>0.49336089999999999</v>
      </c>
      <c r="F192" t="s">
        <v>43</v>
      </c>
      <c r="G192">
        <v>-440.1225</v>
      </c>
      <c r="H192" s="1">
        <v>-5.1349629999999996E-6</v>
      </c>
      <c r="I192">
        <v>366.88029999999998</v>
      </c>
      <c r="J192">
        <v>-456.67430000000002</v>
      </c>
      <c r="K192">
        <v>1.108687</v>
      </c>
      <c r="L192">
        <v>367.0093</v>
      </c>
      <c r="M192">
        <v>0.9998785</v>
      </c>
      <c r="N192">
        <v>0</v>
      </c>
      <c r="O192">
        <v>-1.553802E-2</v>
      </c>
      <c r="P192">
        <v>0.9896083</v>
      </c>
      <c r="Q192">
        <v>0.14151</v>
      </c>
      <c r="R192">
        <v>-2.550782E-2</v>
      </c>
      <c r="S192">
        <v>3.0595089999999998</v>
      </c>
      <c r="T192">
        <v>-0.20176910000000001</v>
      </c>
      <c r="U192">
        <v>-2.4230959999999999E-2</v>
      </c>
      <c r="V192">
        <v>1.0165769999999999E-2</v>
      </c>
      <c r="W192">
        <v>0.14284349999999901</v>
      </c>
      <c r="X192">
        <v>0.98969309999999999</v>
      </c>
      <c r="Y192">
        <v>-7.5686850000000003E-3</v>
      </c>
      <c r="Z192">
        <v>1.272827E-3</v>
      </c>
      <c r="AA192">
        <v>0.99997060000000004</v>
      </c>
      <c r="AB192">
        <v>28</v>
      </c>
      <c r="AC192">
        <v>16.5518</v>
      </c>
      <c r="AD192">
        <v>-1.1086921349629999</v>
      </c>
      <c r="AE192">
        <v>-0.12900000000001899</v>
      </c>
      <c r="AF192">
        <v>-0.12762538473110699</v>
      </c>
      <c r="AG192">
        <v>-1.1086921349629999</v>
      </c>
      <c r="AH192">
        <v>16.477878667511</v>
      </c>
      <c r="AI192">
        <v>93.849153493565197</v>
      </c>
      <c r="AJ192">
        <v>90.443761593076403</v>
      </c>
      <c r="AK192">
        <v>16.515628110071098</v>
      </c>
      <c r="AL192">
        <v>81.787579243814903</v>
      </c>
      <c r="AM192">
        <v>89.411499147061704</v>
      </c>
      <c r="AN192">
        <v>1.0000000202797701</v>
      </c>
    </row>
    <row r="193" spans="1:40" x14ac:dyDescent="0.25">
      <c r="A193" t="str">
        <f>"20190312172335092"</f>
        <v>20190312172335092</v>
      </c>
      <c r="B193" t="str">
        <f>"1552382615079884"</f>
        <v>1552382615079884</v>
      </c>
      <c r="C193" t="s">
        <v>40</v>
      </c>
      <c r="D193">
        <v>3.6034440000000001</v>
      </c>
      <c r="E193">
        <v>0.4933419</v>
      </c>
      <c r="F193" t="s">
        <v>42</v>
      </c>
      <c r="G193">
        <v>-439.03469999999999</v>
      </c>
      <c r="H193">
        <v>-0.05</v>
      </c>
      <c r="I193">
        <v>366.85980000000001</v>
      </c>
      <c r="J193">
        <v>-456.40589999999997</v>
      </c>
      <c r="K193">
        <v>1.108711</v>
      </c>
      <c r="L193">
        <v>367.00510000000003</v>
      </c>
      <c r="M193">
        <v>0.99987689999999996</v>
      </c>
      <c r="N193">
        <v>0</v>
      </c>
      <c r="O193">
        <v>-1.5625199999999999E-2</v>
      </c>
      <c r="P193">
        <v>0.98959090000000005</v>
      </c>
      <c r="Q193">
        <v>0.14153760000000001</v>
      </c>
      <c r="R193">
        <v>-2.6016770000000002E-2</v>
      </c>
      <c r="S193">
        <v>3.0596009999999998</v>
      </c>
      <c r="T193">
        <v>-0.2009753</v>
      </c>
      <c r="U193">
        <v>-2.5939940000000002E-2</v>
      </c>
      <c r="V193">
        <v>1.0582670000000001E-2</v>
      </c>
      <c r="W193">
        <v>0.14295150000000001</v>
      </c>
      <c r="X193">
        <v>0.98967309999999997</v>
      </c>
      <c r="Y193">
        <v>-7.0988170000000003E-3</v>
      </c>
      <c r="Z193">
        <v>1.2580919999999999E-3</v>
      </c>
      <c r="AA193">
        <v>0.99997400000000003</v>
      </c>
      <c r="AB193">
        <v>28</v>
      </c>
      <c r="AC193">
        <v>17.371199999999899</v>
      </c>
      <c r="AD193">
        <v>-1.158711</v>
      </c>
      <c r="AE193">
        <v>-0.14530000000002</v>
      </c>
      <c r="AF193">
        <v>-0.12558775209509701</v>
      </c>
      <c r="AG193">
        <v>-1.158711</v>
      </c>
      <c r="AH193">
        <v>17.294407214877001</v>
      </c>
      <c r="AI193">
        <v>93.832940631310507</v>
      </c>
      <c r="AJ193">
        <v>90.416060613426396</v>
      </c>
      <c r="AK193">
        <v>17.3336350595883</v>
      </c>
      <c r="AL193">
        <v>81.7813268418668</v>
      </c>
      <c r="AM193">
        <v>89.387354048149604</v>
      </c>
      <c r="AN193">
        <v>0.99999998456009398</v>
      </c>
    </row>
    <row r="194" spans="1:40" x14ac:dyDescent="0.25">
      <c r="A194" t="str">
        <f>"20190312172335115"</f>
        <v>20190312172335115</v>
      </c>
      <c r="B194" t="str">
        <f>"1552382615110141"</f>
        <v>1552382615110141</v>
      </c>
      <c r="C194" t="s">
        <v>40</v>
      </c>
      <c r="D194">
        <v>3.6312609999999999</v>
      </c>
      <c r="E194">
        <v>0.50918699999999995</v>
      </c>
      <c r="F194" t="s">
        <v>42</v>
      </c>
      <c r="G194">
        <v>-438.76369999999997</v>
      </c>
      <c r="H194">
        <v>-0.05</v>
      </c>
      <c r="I194">
        <v>366.84930000000003</v>
      </c>
      <c r="J194">
        <v>-456.11869999999999</v>
      </c>
      <c r="K194">
        <v>1.108733</v>
      </c>
      <c r="L194">
        <v>367.00049999999999</v>
      </c>
      <c r="M194">
        <v>0.99987579999999998</v>
      </c>
      <c r="N194">
        <v>0</v>
      </c>
      <c r="O194">
        <v>-1.5689120000000001E-2</v>
      </c>
      <c r="P194">
        <v>0.98971920000000002</v>
      </c>
      <c r="Q194">
        <v>0.14068120000000001</v>
      </c>
      <c r="R194">
        <v>-2.5787879999999999E-2</v>
      </c>
      <c r="S194">
        <v>3.0596619999999999</v>
      </c>
      <c r="T194">
        <v>-0.2009541</v>
      </c>
      <c r="U194">
        <v>-2.700806E-2</v>
      </c>
      <c r="V194">
        <v>1.0280839999999999E-2</v>
      </c>
      <c r="W194">
        <v>0.14218459999999999</v>
      </c>
      <c r="X194">
        <v>0.98978670000000002</v>
      </c>
      <c r="Y194">
        <v>-6.8143489999999999E-3</v>
      </c>
      <c r="Z194">
        <v>1.252794E-3</v>
      </c>
      <c r="AA194">
        <v>0.99997599999999998</v>
      </c>
      <c r="AB194">
        <v>28</v>
      </c>
      <c r="AC194">
        <v>17.355</v>
      </c>
      <c r="AD194">
        <v>-1.158733</v>
      </c>
      <c r="AE194">
        <v>-0.15119999999996001</v>
      </c>
      <c r="AF194">
        <v>-0.120566176720421</v>
      </c>
      <c r="AG194">
        <v>-1.158733</v>
      </c>
      <c r="AH194">
        <v>17.278219649571099</v>
      </c>
      <c r="AI194">
        <v>93.836601260232698</v>
      </c>
      <c r="AJ194">
        <v>90.399799348678101</v>
      </c>
      <c r="AK194">
        <v>17.317449945851799</v>
      </c>
      <c r="AL194">
        <v>81.825720040131799</v>
      </c>
      <c r="AM194">
        <v>89.404894449060194</v>
      </c>
      <c r="AN194">
        <v>0.99999993382257502</v>
      </c>
    </row>
    <row r="195" spans="1:40" x14ac:dyDescent="0.25">
      <c r="A195" t="str">
        <f>"20190312172335140"</f>
        <v>20190312172335140</v>
      </c>
      <c r="B195" t="str">
        <f>"1552382615129661"</f>
        <v>1552382615129661</v>
      </c>
      <c r="C195" t="s">
        <v>40</v>
      </c>
      <c r="D195">
        <v>3.6546400000000001</v>
      </c>
      <c r="E195">
        <v>0.5247039</v>
      </c>
      <c r="F195" t="s">
        <v>41</v>
      </c>
      <c r="G195">
        <v>-455.32510000000002</v>
      </c>
      <c r="H195">
        <v>1.0291410000000001</v>
      </c>
      <c r="I195">
        <v>366.96039999999999</v>
      </c>
      <c r="J195">
        <v>-455.8116</v>
      </c>
      <c r="K195">
        <v>1.1087670000000001</v>
      </c>
      <c r="L195">
        <v>366.99560000000002</v>
      </c>
      <c r="M195">
        <v>0.99987490000000001</v>
      </c>
      <c r="N195">
        <v>0</v>
      </c>
      <c r="O195">
        <v>-1.5730290000000001E-2</v>
      </c>
      <c r="P195">
        <v>0.98978630000000001</v>
      </c>
      <c r="Q195">
        <v>0.1401878</v>
      </c>
      <c r="R195">
        <v>-2.5884750000000002E-2</v>
      </c>
      <c r="S195">
        <v>3.0709529999999998</v>
      </c>
      <c r="T195">
        <v>-0.30819010000000002</v>
      </c>
      <c r="U195">
        <v>-0.15365599999999999</v>
      </c>
      <c r="V195">
        <v>1.032864E-2</v>
      </c>
      <c r="W195">
        <v>0.14179140000000001</v>
      </c>
      <c r="X195">
        <v>0.98984269999999996</v>
      </c>
      <c r="Y195">
        <v>3.4163569999999997E-2</v>
      </c>
      <c r="Z195">
        <v>-1.3540809999999901E-4</v>
      </c>
      <c r="AA195">
        <v>0.99941619999999998</v>
      </c>
      <c r="AB195">
        <v>28</v>
      </c>
      <c r="AC195">
        <v>0.48649999999997801</v>
      </c>
      <c r="AD195">
        <v>-7.9625999999999905E-2</v>
      </c>
      <c r="AE195">
        <v>-3.5200000000031602E-2</v>
      </c>
      <c r="AF195">
        <v>2.6827918249521299E-2</v>
      </c>
      <c r="AG195">
        <v>-7.9625999999999905E-2</v>
      </c>
      <c r="AH195">
        <v>0.47435261863015499</v>
      </c>
      <c r="AI195">
        <v>99.514046266091995</v>
      </c>
      <c r="AJ195">
        <v>86.762976234414396</v>
      </c>
      <c r="AK195">
        <v>0.48173690316903101</v>
      </c>
      <c r="AL195">
        <v>81.848480090032993</v>
      </c>
      <c r="AM195">
        <v>89.402161572453906</v>
      </c>
      <c r="AN195">
        <v>1.00000002633074</v>
      </c>
    </row>
    <row r="196" spans="1:40" x14ac:dyDescent="0.25">
      <c r="A196" t="str">
        <f>"20190312172335163"</f>
        <v>20190312172335163</v>
      </c>
      <c r="B196" t="str">
        <f>"1552382615159917"</f>
        <v>1552382615159917</v>
      </c>
      <c r="C196" t="s">
        <v>40</v>
      </c>
      <c r="D196">
        <v>3.632269</v>
      </c>
      <c r="E196">
        <v>0.53782609999999997</v>
      </c>
      <c r="F196" t="s">
        <v>41</v>
      </c>
      <c r="G196">
        <v>-455.08339999999998</v>
      </c>
      <c r="H196">
        <v>1.0066139999999999</v>
      </c>
      <c r="I196">
        <v>366.92970000000003</v>
      </c>
      <c r="J196">
        <v>-455.52769999999998</v>
      </c>
      <c r="K196">
        <v>1.1087940000000001</v>
      </c>
      <c r="L196">
        <v>366.99110000000002</v>
      </c>
      <c r="M196">
        <v>0.99987479999999995</v>
      </c>
      <c r="N196">
        <v>0</v>
      </c>
      <c r="O196">
        <v>-1.5739630000000001E-2</v>
      </c>
      <c r="P196">
        <v>0.98977599999999999</v>
      </c>
      <c r="Q196">
        <v>0.14023379999999999</v>
      </c>
      <c r="R196">
        <v>-2.6043529999999999E-2</v>
      </c>
      <c r="S196">
        <v>3.084991</v>
      </c>
      <c r="T196">
        <v>-0.4327531</v>
      </c>
      <c r="U196">
        <v>-0.27923579999999998</v>
      </c>
      <c r="V196">
        <v>1.047121E-2</v>
      </c>
      <c r="W196">
        <v>0.1419358</v>
      </c>
      <c r="X196">
        <v>0.98982049999999999</v>
      </c>
      <c r="Y196">
        <v>7.389445E-2</v>
      </c>
      <c r="Z196">
        <v>-2.9549440000000001E-3</v>
      </c>
      <c r="AA196">
        <v>0.99726170000000003</v>
      </c>
      <c r="AB196">
        <v>28</v>
      </c>
      <c r="AC196">
        <v>0.44429999999999797</v>
      </c>
      <c r="AD196">
        <v>-0.10218000000000001</v>
      </c>
      <c r="AE196">
        <v>-6.1399999999991899E-2</v>
      </c>
      <c r="AF196">
        <v>5.17152697743253E-2</v>
      </c>
      <c r="AG196">
        <v>-0.10218000000000001</v>
      </c>
      <c r="AH196">
        <v>0.42324515840967802</v>
      </c>
      <c r="AI196">
        <v>103.476126614937</v>
      </c>
      <c r="AJ196">
        <v>83.033703158023698</v>
      </c>
      <c r="AK196">
        <v>0.43846514758309502</v>
      </c>
      <c r="AL196">
        <v>81.840121995338805</v>
      </c>
      <c r="AM196">
        <v>89.393896408573099</v>
      </c>
      <c r="AN196">
        <v>1.00000001989037</v>
      </c>
    </row>
    <row r="197" spans="1:40" x14ac:dyDescent="0.25">
      <c r="A197" t="str">
        <f>"20190312172335183"</f>
        <v>20190312172335183</v>
      </c>
      <c r="B197" t="str">
        <f>"1552382615180413"</f>
        <v>1552382615180413</v>
      </c>
      <c r="C197" t="s">
        <v>40</v>
      </c>
      <c r="D197">
        <v>3.6709420000000001</v>
      </c>
      <c r="E197">
        <v>0.54251159999999998</v>
      </c>
      <c r="F197" t="s">
        <v>41</v>
      </c>
      <c r="G197">
        <v>-454.59890000000001</v>
      </c>
      <c r="H197">
        <v>0.95315740000000004</v>
      </c>
      <c r="I197">
        <v>366.87529999999998</v>
      </c>
      <c r="J197">
        <v>-455.26190000000003</v>
      </c>
      <c r="K197">
        <v>1.1088229999999999</v>
      </c>
      <c r="L197">
        <v>366.98689999999999</v>
      </c>
      <c r="M197">
        <v>0.99987479999999995</v>
      </c>
      <c r="N197">
        <v>0</v>
      </c>
      <c r="O197">
        <v>-1.5718099999999999E-2</v>
      </c>
      <c r="P197">
        <v>0.98979969999999995</v>
      </c>
      <c r="Q197">
        <v>0.14005219999999999</v>
      </c>
      <c r="R197">
        <v>-2.611424E-2</v>
      </c>
      <c r="S197">
        <v>3.0943299999999998</v>
      </c>
      <c r="T197">
        <v>-0.51846289999999995</v>
      </c>
      <c r="U197">
        <v>-0.3855286</v>
      </c>
      <c r="V197">
        <v>1.055641E-2</v>
      </c>
      <c r="W197">
        <v>0.1418499</v>
      </c>
      <c r="X197">
        <v>0.98983189999999999</v>
      </c>
      <c r="Y197">
        <v>0.1067738</v>
      </c>
      <c r="Z197">
        <v>-6.2448800000000004E-3</v>
      </c>
      <c r="AA197">
        <v>0.99426369999999997</v>
      </c>
      <c r="AB197">
        <v>28</v>
      </c>
      <c r="AC197">
        <v>0.66300000000001003</v>
      </c>
      <c r="AD197">
        <v>-0.15566559999999899</v>
      </c>
      <c r="AE197">
        <v>-0.111600000000009</v>
      </c>
      <c r="AF197">
        <v>9.6017835211664404E-2</v>
      </c>
      <c r="AG197">
        <v>-0.15566559999999899</v>
      </c>
      <c r="AH197">
        <v>0.630853843419106</v>
      </c>
      <c r="AI197">
        <v>103.709231617629</v>
      </c>
      <c r="AJ197">
        <v>81.345830468436304</v>
      </c>
      <c r="AK197">
        <v>0.65683161880253005</v>
      </c>
      <c r="AL197">
        <v>81.845093937169693</v>
      </c>
      <c r="AM197">
        <v>89.388972198056393</v>
      </c>
      <c r="AN197">
        <v>1.0000000110898499</v>
      </c>
    </row>
    <row r="198" spans="1:40" x14ac:dyDescent="0.25">
      <c r="A198" t="str">
        <f>"20190312172335204"</f>
        <v>20190312172335204</v>
      </c>
      <c r="B198" t="str">
        <f>"1552382615199933"</f>
        <v>1552382615199933</v>
      </c>
      <c r="C198" t="s">
        <v>40</v>
      </c>
      <c r="D198">
        <v>3.6267469999999999</v>
      </c>
      <c r="E198">
        <v>0.54523159999999904</v>
      </c>
      <c r="F198" t="s">
        <v>41</v>
      </c>
      <c r="G198">
        <v>-454.3449</v>
      </c>
      <c r="H198">
        <v>0.94574499999999995</v>
      </c>
      <c r="I198">
        <v>366.86099999999999</v>
      </c>
      <c r="J198">
        <v>-454.9785</v>
      </c>
      <c r="K198">
        <v>1.1088559999999901</v>
      </c>
      <c r="L198">
        <v>366.98250000000002</v>
      </c>
      <c r="M198">
        <v>0.99987550000000003</v>
      </c>
      <c r="N198">
        <v>0</v>
      </c>
      <c r="O198">
        <v>-1.5670469999999999E-2</v>
      </c>
      <c r="P198">
        <v>0.98982530000000002</v>
      </c>
      <c r="Q198">
        <v>0.1399108</v>
      </c>
      <c r="R198">
        <v>-2.5903929999999999E-2</v>
      </c>
      <c r="S198">
        <v>3.0977480000000002</v>
      </c>
      <c r="T198">
        <v>-0.55108279999999998</v>
      </c>
      <c r="U198">
        <v>-0.42352289999999998</v>
      </c>
      <c r="V198">
        <v>1.038624E-2</v>
      </c>
      <c r="W198">
        <v>0.14181359999999901</v>
      </c>
      <c r="X198">
        <v>0.98983889999999997</v>
      </c>
      <c r="Y198">
        <v>0.1183351</v>
      </c>
      <c r="Z198">
        <v>-7.6438410000000002E-3</v>
      </c>
      <c r="AA198">
        <v>0.9929443</v>
      </c>
      <c r="AB198">
        <v>29</v>
      </c>
      <c r="AC198">
        <v>0.63360000000000105</v>
      </c>
      <c r="AD198">
        <v>-0.16311099999999901</v>
      </c>
      <c r="AE198">
        <v>-0.121500000000025</v>
      </c>
      <c r="AF198">
        <v>0.104853755866811</v>
      </c>
      <c r="AG198">
        <v>-0.16311099999999901</v>
      </c>
      <c r="AH198">
        <v>0.59724863023894403</v>
      </c>
      <c r="AI198">
        <v>105.055629998885</v>
      </c>
      <c r="AJ198">
        <v>80.042552063388598</v>
      </c>
      <c r="AK198">
        <v>0.62793744494389803</v>
      </c>
      <c r="AL198">
        <v>81.847195001470595</v>
      </c>
      <c r="AM198">
        <v>89.398825527350397</v>
      </c>
      <c r="AN198">
        <v>1.0000000095397501</v>
      </c>
    </row>
    <row r="199" spans="1:40" x14ac:dyDescent="0.25">
      <c r="A199" t="str">
        <f>"20190312172335238"</f>
        <v>20190312172335238</v>
      </c>
      <c r="B199" t="str">
        <f>"1552382615230199"</f>
        <v>1552382615230199</v>
      </c>
      <c r="C199" t="s">
        <v>40</v>
      </c>
      <c r="D199">
        <v>3.832525</v>
      </c>
      <c r="E199">
        <v>0.54781539999999995</v>
      </c>
      <c r="F199" t="s">
        <v>41</v>
      </c>
      <c r="G199">
        <v>-454.08679999999998</v>
      </c>
      <c r="H199">
        <v>0.94451680000000005</v>
      </c>
      <c r="I199">
        <v>366.85410000000002</v>
      </c>
      <c r="J199">
        <v>-454.53980000000001</v>
      </c>
      <c r="K199">
        <v>1.1089039999999999</v>
      </c>
      <c r="L199">
        <v>366.97579999999999</v>
      </c>
      <c r="M199">
        <v>0.99987700000000002</v>
      </c>
      <c r="N199">
        <v>0</v>
      </c>
      <c r="O199">
        <v>-1.5555650000000001E-2</v>
      </c>
      <c r="P199">
        <v>0.989846</v>
      </c>
      <c r="Q199">
        <v>0.13995009999999999</v>
      </c>
      <c r="R199">
        <v>-2.4888489999999999E-2</v>
      </c>
      <c r="S199">
        <v>3.0999150000000002</v>
      </c>
      <c r="T199">
        <v>-0.57147959999999998</v>
      </c>
      <c r="U199">
        <v>-0.44631959999999998</v>
      </c>
      <c r="V199">
        <v>9.4745520000000007E-3</v>
      </c>
      <c r="W199">
        <v>0.14201749999999999</v>
      </c>
      <c r="X199">
        <v>0.9898188</v>
      </c>
      <c r="Y199">
        <v>0.12528359999999999</v>
      </c>
      <c r="Z199">
        <v>-8.5657519999999994E-3</v>
      </c>
      <c r="AA199">
        <v>0.99208399999999997</v>
      </c>
      <c r="AB199">
        <v>29</v>
      </c>
      <c r="AC199">
        <v>0.45300000000003099</v>
      </c>
      <c r="AD199">
        <v>-0.16438720000000001</v>
      </c>
      <c r="AE199">
        <v>-0.12169999999997499</v>
      </c>
      <c r="AF199">
        <v>0.102098651509221</v>
      </c>
      <c r="AG199">
        <v>-0.16438720000000001</v>
      </c>
      <c r="AH199">
        <v>0.40508518422692902</v>
      </c>
      <c r="AI199">
        <v>111.479771326048</v>
      </c>
      <c r="AJ199">
        <v>75.853670992759206</v>
      </c>
      <c r="AK199">
        <v>0.44893350581573499</v>
      </c>
      <c r="AL199">
        <v>81.835392838783505</v>
      </c>
      <c r="AM199">
        <v>89.451581174256702</v>
      </c>
      <c r="AN199">
        <v>0.99999999713764498</v>
      </c>
    </row>
    <row r="200" spans="1:40" x14ac:dyDescent="0.25">
      <c r="A200" t="str">
        <f>"20190312172335261"</f>
        <v>20190312172335261</v>
      </c>
      <c r="B200" t="str">
        <f>"1552382615249712"</f>
        <v>1552382615249712</v>
      </c>
      <c r="C200" t="s">
        <v>40</v>
      </c>
      <c r="D200">
        <v>3.6372260000000001</v>
      </c>
      <c r="E200">
        <v>0.54932009999999998</v>
      </c>
      <c r="F200" t="s">
        <v>41</v>
      </c>
      <c r="G200">
        <v>-453.81439999999998</v>
      </c>
      <c r="H200">
        <v>0.97160360000000001</v>
      </c>
      <c r="I200">
        <v>366.86649999999997</v>
      </c>
      <c r="J200">
        <v>-454.25049999999999</v>
      </c>
      <c r="K200">
        <v>1.1089359999999999</v>
      </c>
      <c r="L200">
        <v>366.97129999999999</v>
      </c>
      <c r="M200">
        <v>0.99987820000000005</v>
      </c>
      <c r="N200">
        <v>0</v>
      </c>
      <c r="O200">
        <v>-1.5458919999999999E-2</v>
      </c>
      <c r="P200">
        <v>0.98985650000000003</v>
      </c>
      <c r="Q200">
        <v>0.13996720000000001</v>
      </c>
      <c r="R200">
        <v>-2.436197E-2</v>
      </c>
      <c r="S200">
        <v>3.1020509999999999</v>
      </c>
      <c r="T200">
        <v>-0.58733570000000002</v>
      </c>
      <c r="U200">
        <v>-0.4661865</v>
      </c>
      <c r="V200">
        <v>9.0387190000000006E-3</v>
      </c>
      <c r="W200">
        <v>0.14214450000000001</v>
      </c>
      <c r="X200">
        <v>0.98980469999999998</v>
      </c>
      <c r="Y200">
        <v>0.13129759999999999</v>
      </c>
      <c r="Z200">
        <v>-9.368843E-3</v>
      </c>
      <c r="AA200">
        <v>0.99129869999999998</v>
      </c>
      <c r="AB200">
        <v>29</v>
      </c>
      <c r="AC200">
        <v>0.43610000000000998</v>
      </c>
      <c r="AD200">
        <v>-0.13733239999999999</v>
      </c>
      <c r="AE200">
        <v>-0.104800000000011</v>
      </c>
      <c r="AF200">
        <v>8.9641551056242594E-2</v>
      </c>
      <c r="AG200">
        <v>-0.13733239999999999</v>
      </c>
      <c r="AH200">
        <v>0.40015203741994199</v>
      </c>
      <c r="AI200">
        <v>108.515699860555</v>
      </c>
      <c r="AJ200">
        <v>77.373141272542895</v>
      </c>
      <c r="AK200">
        <v>0.43245514081446601</v>
      </c>
      <c r="AL200">
        <v>81.828042138649295</v>
      </c>
      <c r="AM200">
        <v>89.476799760347603</v>
      </c>
      <c r="AN200">
        <v>1.0000000507317399</v>
      </c>
    </row>
    <row r="201" spans="1:40" x14ac:dyDescent="0.25">
      <c r="A201" t="str">
        <f>"20190312172335282"</f>
        <v>20190312172335282</v>
      </c>
      <c r="B201" t="str">
        <f>"1552382615270205"</f>
        <v>1552382615270205</v>
      </c>
      <c r="C201" t="s">
        <v>40</v>
      </c>
      <c r="D201">
        <v>3.6068220000000002</v>
      </c>
      <c r="E201">
        <v>0.55045980000000005</v>
      </c>
      <c r="F201" t="s">
        <v>41</v>
      </c>
      <c r="G201">
        <v>-453.55160000000001</v>
      </c>
      <c r="H201">
        <v>0.97480149999999999</v>
      </c>
      <c r="I201">
        <v>366.86430000000001</v>
      </c>
      <c r="J201">
        <v>-453.9742</v>
      </c>
      <c r="K201">
        <v>1.108954</v>
      </c>
      <c r="L201">
        <v>366.96719999999999</v>
      </c>
      <c r="M201">
        <v>0.99987950000000003</v>
      </c>
      <c r="N201">
        <v>0</v>
      </c>
      <c r="O201">
        <v>-1.5355890000000001E-2</v>
      </c>
      <c r="P201">
        <v>0.98987040000000004</v>
      </c>
      <c r="Q201">
        <v>0.13992379999999999</v>
      </c>
      <c r="R201">
        <v>-2.4038980000000001E-2</v>
      </c>
      <c r="S201">
        <v>3.1032410000000001</v>
      </c>
      <c r="T201">
        <v>-0.59545059999999905</v>
      </c>
      <c r="U201">
        <v>-0.47628779999999998</v>
      </c>
      <c r="V201">
        <v>8.8143739999999998E-3</v>
      </c>
      <c r="W201">
        <v>0.14220820000000001</v>
      </c>
      <c r="X201">
        <v>0.9897975</v>
      </c>
      <c r="Y201">
        <v>0.1343877</v>
      </c>
      <c r="Z201">
        <v>-9.8018350000000001E-3</v>
      </c>
      <c r="AA201">
        <v>0.99088039999999999</v>
      </c>
      <c r="AB201">
        <v>29</v>
      </c>
      <c r="AC201">
        <v>0.42259999999998799</v>
      </c>
      <c r="AD201">
        <v>-0.13415250000000001</v>
      </c>
      <c r="AE201">
        <v>-0.102899999999976</v>
      </c>
      <c r="AF201">
        <v>8.8024546381812799E-2</v>
      </c>
      <c r="AG201">
        <v>-0.13415250000000001</v>
      </c>
      <c r="AH201">
        <v>0.38728710376146203</v>
      </c>
      <c r="AI201">
        <v>108.663717516652</v>
      </c>
      <c r="AJ201">
        <v>77.195065719663006</v>
      </c>
      <c r="AK201">
        <v>0.41920939250202299</v>
      </c>
      <c r="AL201">
        <v>81.824354343417497</v>
      </c>
      <c r="AM201">
        <v>89.489781415058303</v>
      </c>
      <c r="AN201">
        <v>0.99999997817124997</v>
      </c>
    </row>
    <row r="202" spans="1:40" x14ac:dyDescent="0.25">
      <c r="A202" t="str">
        <f>"20190312172335305"</f>
        <v>20190312172335305</v>
      </c>
      <c r="B202" t="str">
        <f>"1552382615300461"</f>
        <v>1552382615300461</v>
      </c>
      <c r="C202" t="s">
        <v>40</v>
      </c>
      <c r="D202">
        <v>3.6063369999999999</v>
      </c>
      <c r="E202">
        <v>0.55180079999999998</v>
      </c>
      <c r="F202" t="s">
        <v>41</v>
      </c>
      <c r="G202">
        <v>-453.04590000000002</v>
      </c>
      <c r="H202">
        <v>0.92903820000000004</v>
      </c>
      <c r="I202">
        <v>366.82260000000002</v>
      </c>
      <c r="J202">
        <v>-453.66890000000001</v>
      </c>
      <c r="K202">
        <v>1.1089659999999999</v>
      </c>
      <c r="L202">
        <v>366.96260000000001</v>
      </c>
      <c r="M202">
        <v>0.99988109999999997</v>
      </c>
      <c r="N202">
        <v>0</v>
      </c>
      <c r="O202">
        <v>-1.5235250000000001E-2</v>
      </c>
      <c r="P202">
        <v>0.98996170000000006</v>
      </c>
      <c r="Q202">
        <v>0.13933090000000001</v>
      </c>
      <c r="R202">
        <v>-2.3729920000000002E-2</v>
      </c>
      <c r="S202">
        <v>3.1040040000000002</v>
      </c>
      <c r="T202">
        <v>-0.60166759999999997</v>
      </c>
      <c r="U202">
        <v>-0.48291020000000001</v>
      </c>
      <c r="V202">
        <v>8.6210499999999999E-3</v>
      </c>
      <c r="W202">
        <v>0.14173339999999901</v>
      </c>
      <c r="X202">
        <v>0.98986730000000001</v>
      </c>
      <c r="Y202">
        <v>0.13645309999999999</v>
      </c>
      <c r="Z202">
        <v>-1.011863E-2</v>
      </c>
      <c r="AA202">
        <v>0.99059489999999994</v>
      </c>
      <c r="AB202">
        <v>29</v>
      </c>
      <c r="AC202">
        <v>0.62299999999999001</v>
      </c>
      <c r="AD202">
        <v>-0.179927799999999</v>
      </c>
      <c r="AE202">
        <v>-0.139999999999986</v>
      </c>
      <c r="AF202">
        <v>0.12089314930973501</v>
      </c>
      <c r="AG202">
        <v>-0.179927799999999</v>
      </c>
      <c r="AH202">
        <v>0.57908112260253197</v>
      </c>
      <c r="AI202">
        <v>106.917410134739</v>
      </c>
      <c r="AJ202">
        <v>78.207888008795294</v>
      </c>
      <c r="AK202">
        <v>0.61832363153729997</v>
      </c>
      <c r="AL202">
        <v>81.851836731196002</v>
      </c>
      <c r="AM202">
        <v>89.501006557613806</v>
      </c>
      <c r="AN202">
        <v>0.999999975393975</v>
      </c>
    </row>
    <row r="203" spans="1:40" x14ac:dyDescent="0.25">
      <c r="A203" t="str">
        <f>"20190312172335329"</f>
        <v>20190312172335329</v>
      </c>
      <c r="B203" t="str">
        <f>"1552382615319980"</f>
        <v>1552382615319980</v>
      </c>
      <c r="C203" t="s">
        <v>40</v>
      </c>
      <c r="D203">
        <v>3.6065119999999999</v>
      </c>
      <c r="E203">
        <v>0.55222059999999995</v>
      </c>
      <c r="F203" t="s">
        <v>41</v>
      </c>
      <c r="G203">
        <v>-452.77879999999999</v>
      </c>
      <c r="H203">
        <v>0.93385759999999995</v>
      </c>
      <c r="I203">
        <v>366.82080000000002</v>
      </c>
      <c r="J203">
        <v>-453.35079999999999</v>
      </c>
      <c r="K203">
        <v>1.1089789999999999</v>
      </c>
      <c r="L203">
        <v>366.9579</v>
      </c>
      <c r="M203">
        <v>0.99988279999999996</v>
      </c>
      <c r="N203">
        <v>0</v>
      </c>
      <c r="O203">
        <v>-1.5105199999999999E-2</v>
      </c>
      <c r="P203">
        <v>0.9899597</v>
      </c>
      <c r="Q203">
        <v>0.13929369999999999</v>
      </c>
      <c r="R203">
        <v>-2.4029680000000001E-2</v>
      </c>
      <c r="S203">
        <v>3.1046450000000001</v>
      </c>
      <c r="T203">
        <v>-0.6109504</v>
      </c>
      <c r="U203">
        <v>-0.49252319999999999</v>
      </c>
      <c r="V203">
        <v>9.0480430000000004E-3</v>
      </c>
      <c r="W203">
        <v>0.14181779999999999</v>
      </c>
      <c r="X203">
        <v>0.98985140000000005</v>
      </c>
      <c r="Y203">
        <v>0.13942009999999999</v>
      </c>
      <c r="Z203">
        <v>-1.0580040000000001E-2</v>
      </c>
      <c r="AA203">
        <v>0.99017679999999997</v>
      </c>
      <c r="AB203">
        <v>30</v>
      </c>
      <c r="AC203">
        <v>0.57200000000000195</v>
      </c>
      <c r="AD203">
        <v>-0.17512140000000001</v>
      </c>
      <c r="AE203">
        <v>-0.13709999999997499</v>
      </c>
      <c r="AF203">
        <v>0.117985950072094</v>
      </c>
      <c r="AG203">
        <v>-0.17512140000000001</v>
      </c>
      <c r="AH203">
        <v>0.52726886061959</v>
      </c>
      <c r="AI203">
        <v>107.95822499502501</v>
      </c>
      <c r="AJ203">
        <v>77.386815917647198</v>
      </c>
      <c r="AK203">
        <v>0.56797943671532303</v>
      </c>
      <c r="AL203">
        <v>81.846951616891403</v>
      </c>
      <c r="AM203">
        <v>89.476284784899903</v>
      </c>
      <c r="AN203">
        <v>0.99999997478046398</v>
      </c>
    </row>
    <row r="204" spans="1:40" x14ac:dyDescent="0.25">
      <c r="A204" t="str">
        <f>"20190312172335352"</f>
        <v>20190312172335352</v>
      </c>
      <c r="B204" t="str">
        <f>"1552382615340477"</f>
        <v>1552382615340477</v>
      </c>
      <c r="C204" t="s">
        <v>40</v>
      </c>
      <c r="D204">
        <v>3.6013220000000001</v>
      </c>
      <c r="E204">
        <v>0.56815249999999995</v>
      </c>
      <c r="F204" t="s">
        <v>41</v>
      </c>
      <c r="G204">
        <v>-452.50850000000003</v>
      </c>
      <c r="H204">
        <v>0.94257409999999997</v>
      </c>
      <c r="I204">
        <v>366.82260000000002</v>
      </c>
      <c r="J204">
        <v>-453.04390000000001</v>
      </c>
      <c r="K204">
        <v>1.108994</v>
      </c>
      <c r="L204">
        <v>366.95330000000001</v>
      </c>
      <c r="M204">
        <v>0.9998842</v>
      </c>
      <c r="N204">
        <v>0</v>
      </c>
      <c r="O204">
        <v>-1.497646E-2</v>
      </c>
      <c r="P204">
        <v>0.99004859999999995</v>
      </c>
      <c r="Q204">
        <v>0.13851920000000001</v>
      </c>
      <c r="R204">
        <v>-2.4823129999999999E-2</v>
      </c>
      <c r="S204">
        <v>3.1046749999999999</v>
      </c>
      <c r="T204">
        <v>-0.61350249999999995</v>
      </c>
      <c r="U204">
        <v>-0.4968262</v>
      </c>
      <c r="V204">
        <v>9.9663689999999992E-3</v>
      </c>
      <c r="W204">
        <v>0.1411588</v>
      </c>
      <c r="X204">
        <v>0.98993679999999995</v>
      </c>
      <c r="Y204">
        <v>0.1408365</v>
      </c>
      <c r="Z204">
        <v>-1.078498E-2</v>
      </c>
      <c r="AA204">
        <v>0.98997409999999997</v>
      </c>
      <c r="AB204">
        <v>30</v>
      </c>
      <c r="AC204">
        <v>0.535399999999981</v>
      </c>
      <c r="AD204">
        <v>-0.16641990000000001</v>
      </c>
      <c r="AE204">
        <v>-0.13069999999998999</v>
      </c>
      <c r="AF204">
        <v>0.112416427887959</v>
      </c>
      <c r="AG204">
        <v>-0.16641990000000001</v>
      </c>
      <c r="AH204">
        <v>0.49239888573949903</v>
      </c>
      <c r="AI204">
        <v>108.237036576694</v>
      </c>
      <c r="AJ204">
        <v>77.139583966256396</v>
      </c>
      <c r="AK204">
        <v>0.53177974674915796</v>
      </c>
      <c r="AL204">
        <v>81.885093464433297</v>
      </c>
      <c r="AM204">
        <v>89.423183794105299</v>
      </c>
      <c r="AN204">
        <v>1.0000000016613599</v>
      </c>
    </row>
    <row r="205" spans="1:40" x14ac:dyDescent="0.25">
      <c r="A205" t="str">
        <f>"20190312172335372"</f>
        <v>20190312172335372</v>
      </c>
      <c r="B205" t="str">
        <f>"1552382615359997"</f>
        <v>1552382615359997</v>
      </c>
      <c r="C205" t="s">
        <v>40</v>
      </c>
      <c r="D205">
        <v>3.6498879999999998</v>
      </c>
      <c r="E205">
        <v>0.5689012</v>
      </c>
      <c r="F205" t="s">
        <v>41</v>
      </c>
      <c r="G205">
        <v>-452.24430000000001</v>
      </c>
      <c r="H205">
        <v>0.93316840000000001</v>
      </c>
      <c r="I205">
        <v>366.7919</v>
      </c>
      <c r="J205">
        <v>-452.77550000000002</v>
      </c>
      <c r="K205">
        <v>1.1090089999999999</v>
      </c>
      <c r="L205">
        <v>366.94940000000003</v>
      </c>
      <c r="M205">
        <v>0.99988580000000005</v>
      </c>
      <c r="N205">
        <v>0</v>
      </c>
      <c r="O205">
        <v>-1.4857479999999999E-2</v>
      </c>
      <c r="P205">
        <v>0.98998249999999999</v>
      </c>
      <c r="Q205">
        <v>0.13879720000000001</v>
      </c>
      <c r="R205">
        <v>-2.5886240000000001E-2</v>
      </c>
      <c r="S205">
        <v>3.1101679999999998</v>
      </c>
      <c r="T205">
        <v>-0.68403530000000001</v>
      </c>
      <c r="U205">
        <v>-0.62640379999999996</v>
      </c>
      <c r="V205">
        <v>1.1146369999999999E-2</v>
      </c>
      <c r="W205">
        <v>0.141537</v>
      </c>
      <c r="X205">
        <v>0.98987020000000003</v>
      </c>
      <c r="Y205">
        <v>0.17908270000000001</v>
      </c>
      <c r="Z205">
        <v>-1.6077040000000001E-2</v>
      </c>
      <c r="AA205">
        <v>0.98370270000000004</v>
      </c>
      <c r="AB205">
        <v>30</v>
      </c>
      <c r="AC205">
        <v>0.531200000000012</v>
      </c>
      <c r="AD205">
        <v>-0.17584059999999899</v>
      </c>
      <c r="AE205">
        <v>-0.15750000000002701</v>
      </c>
      <c r="AF205">
        <v>0.13590184919899101</v>
      </c>
      <c r="AG205">
        <v>-0.17584059999999899</v>
      </c>
      <c r="AH205">
        <v>0.48466455822361498</v>
      </c>
      <c r="AI205">
        <v>109.256107017007</v>
      </c>
      <c r="AJ205">
        <v>74.336294591675795</v>
      </c>
      <c r="AK205">
        <v>0.53318754976289295</v>
      </c>
      <c r="AL205">
        <v>81.863204325606304</v>
      </c>
      <c r="AM205">
        <v>89.3548518105585</v>
      </c>
      <c r="AN205">
        <v>0.999999988390608</v>
      </c>
    </row>
    <row r="206" spans="1:40" x14ac:dyDescent="0.25">
      <c r="A206" t="str">
        <f>"20190312172335394"</f>
        <v>20190312172335394</v>
      </c>
      <c r="B206" t="str">
        <f>"1552382615390253"</f>
        <v>1552382615390253</v>
      </c>
      <c r="C206" t="s">
        <v>40</v>
      </c>
      <c r="D206">
        <v>3.5791279999999999</v>
      </c>
      <c r="E206">
        <v>0.56892489999999996</v>
      </c>
      <c r="F206" t="s">
        <v>41</v>
      </c>
      <c r="G206">
        <v>-451.97570000000002</v>
      </c>
      <c r="H206">
        <v>0.9323053</v>
      </c>
      <c r="I206">
        <v>366.786</v>
      </c>
      <c r="J206">
        <v>-452.47699999999998</v>
      </c>
      <c r="K206">
        <v>1.1090329999999999</v>
      </c>
      <c r="L206">
        <v>366.94510000000002</v>
      </c>
      <c r="M206">
        <v>0.99988779999999999</v>
      </c>
      <c r="N206">
        <v>0</v>
      </c>
      <c r="O206">
        <v>-1.471275E-2</v>
      </c>
      <c r="P206">
        <v>0.98996110000000004</v>
      </c>
      <c r="Q206">
        <v>0.13876740000000001</v>
      </c>
      <c r="R206">
        <v>-2.6852859999999999E-2</v>
      </c>
      <c r="S206">
        <v>3.110077</v>
      </c>
      <c r="T206">
        <v>-0.687175599999999</v>
      </c>
      <c r="U206">
        <v>-0.63412480000000004</v>
      </c>
      <c r="V206">
        <v>1.2253089999999999E-2</v>
      </c>
      <c r="W206">
        <v>0.14161679999999999</v>
      </c>
      <c r="X206">
        <v>0.98984570000000005</v>
      </c>
      <c r="Y206">
        <v>0.1814846</v>
      </c>
      <c r="Z206">
        <v>-1.6436699999999999E-2</v>
      </c>
      <c r="AA206">
        <v>0.98325640000000003</v>
      </c>
      <c r="AB206">
        <v>30</v>
      </c>
      <c r="AC206">
        <v>0.501299999999957</v>
      </c>
      <c r="AD206">
        <v>-0.17672769999999899</v>
      </c>
      <c r="AE206">
        <v>-0.159100000000023</v>
      </c>
      <c r="AF206">
        <v>0.13631576763373399</v>
      </c>
      <c r="AG206">
        <v>-0.17672769999999899</v>
      </c>
      <c r="AH206">
        <v>0.45249510182466202</v>
      </c>
      <c r="AI206">
        <v>110.503883172789</v>
      </c>
      <c r="AJ206">
        <v>73.234884370619099</v>
      </c>
      <c r="AK206">
        <v>0.504545821138354</v>
      </c>
      <c r="AL206">
        <v>81.858585555200307</v>
      </c>
      <c r="AM206">
        <v>89.290783920289996</v>
      </c>
      <c r="AN206">
        <v>0.99999998303263904</v>
      </c>
    </row>
    <row r="207" spans="1:40" x14ac:dyDescent="0.25">
      <c r="A207" t="str">
        <f>"20190312172335417"</f>
        <v>20190312172335417</v>
      </c>
      <c r="B207" t="str">
        <f>"1552382615409773"</f>
        <v>1552382615409773</v>
      </c>
      <c r="C207" t="s">
        <v>40</v>
      </c>
      <c r="D207">
        <v>3.5912259999999998</v>
      </c>
      <c r="E207">
        <v>0.56918669999999905</v>
      </c>
      <c r="F207" t="s">
        <v>41</v>
      </c>
      <c r="G207">
        <v>-451.70339999999999</v>
      </c>
      <c r="H207">
        <v>0.93802620000000003</v>
      </c>
      <c r="I207">
        <v>366.78629999999998</v>
      </c>
      <c r="J207">
        <v>-452.1628</v>
      </c>
      <c r="K207">
        <v>1.109062</v>
      </c>
      <c r="L207">
        <v>366.94069999999999</v>
      </c>
      <c r="M207">
        <v>0.9998899</v>
      </c>
      <c r="N207">
        <v>0</v>
      </c>
      <c r="O207">
        <v>-1.4538209999999999E-2</v>
      </c>
      <c r="P207">
        <v>0.99001530000000004</v>
      </c>
      <c r="Q207">
        <v>0.1382726</v>
      </c>
      <c r="R207">
        <v>-2.7398140000000001E-2</v>
      </c>
      <c r="S207">
        <v>3.1095280000000001</v>
      </c>
      <c r="T207">
        <v>-0.68756450000000002</v>
      </c>
      <c r="U207">
        <v>-0.63644409999999996</v>
      </c>
      <c r="V207">
        <v>1.296481E-2</v>
      </c>
      <c r="W207">
        <v>0.14123579999999999</v>
      </c>
      <c r="X207">
        <v>0.98989110000000002</v>
      </c>
      <c r="Y207">
        <v>0.18236469999999999</v>
      </c>
      <c r="Z207">
        <v>-1.6580310000000001E-2</v>
      </c>
      <c r="AA207">
        <v>0.98309120000000005</v>
      </c>
      <c r="AB207">
        <v>30</v>
      </c>
      <c r="AC207">
        <v>0.45940000000001602</v>
      </c>
      <c r="AD207">
        <v>-0.17103579999999999</v>
      </c>
      <c r="AE207">
        <v>-0.154400000000009</v>
      </c>
      <c r="AF207">
        <v>0.13134669761534901</v>
      </c>
      <c r="AG207">
        <v>-0.17103579999999999</v>
      </c>
      <c r="AH207">
        <v>0.41047502414370501</v>
      </c>
      <c r="AI207">
        <v>111.645921244075</v>
      </c>
      <c r="AJ207">
        <v>72.256000734978301</v>
      </c>
      <c r="AK207">
        <v>0.463675474121581</v>
      </c>
      <c r="AL207">
        <v>81.880637140886606</v>
      </c>
      <c r="AM207">
        <v>89.249628140530206</v>
      </c>
      <c r="AN207">
        <v>1.0000000136795899</v>
      </c>
    </row>
    <row r="208" spans="1:40" x14ac:dyDescent="0.25">
      <c r="A208" t="str">
        <f>"20190312172335441"</f>
        <v>20190312172335441</v>
      </c>
      <c r="B208" t="str">
        <f>"1552382615430268"</f>
        <v>1552382615430268</v>
      </c>
      <c r="C208" t="s">
        <v>40</v>
      </c>
      <c r="D208">
        <v>3.5701619999999998</v>
      </c>
      <c r="E208">
        <v>0.56901489999999999</v>
      </c>
      <c r="F208" t="s">
        <v>41</v>
      </c>
      <c r="G208">
        <v>-451.42869999999999</v>
      </c>
      <c r="H208">
        <v>0.94609620000000005</v>
      </c>
      <c r="I208">
        <v>366.78960000000001</v>
      </c>
      <c r="J208">
        <v>-451.84640000000002</v>
      </c>
      <c r="K208">
        <v>1.109092</v>
      </c>
      <c r="L208">
        <v>366.93619999999999</v>
      </c>
      <c r="M208">
        <v>0.99989249999999996</v>
      </c>
      <c r="N208">
        <v>0</v>
      </c>
      <c r="O208">
        <v>-1.433121E-2</v>
      </c>
      <c r="P208">
        <v>0.99008099999999999</v>
      </c>
      <c r="Q208">
        <v>0.13793620000000001</v>
      </c>
      <c r="R208">
        <v>-2.670486E-2</v>
      </c>
      <c r="S208">
        <v>3.1089479999999998</v>
      </c>
      <c r="T208">
        <v>-0.69026399999999999</v>
      </c>
      <c r="U208">
        <v>-0.63952640000000005</v>
      </c>
      <c r="V208">
        <v>1.246739E-2</v>
      </c>
      <c r="W208">
        <v>0.14101159999999999</v>
      </c>
      <c r="X208">
        <v>0.98992939999999996</v>
      </c>
      <c r="Y208">
        <v>0.18347759999999999</v>
      </c>
      <c r="Z208">
        <v>-1.6811059999999999E-2</v>
      </c>
      <c r="AA208">
        <v>0.98288010000000003</v>
      </c>
      <c r="AB208">
        <v>30</v>
      </c>
      <c r="AC208">
        <v>0.417700000000024</v>
      </c>
      <c r="AD208">
        <v>-0.1629958</v>
      </c>
      <c r="AE208">
        <v>-0.146599999999978</v>
      </c>
      <c r="AF208">
        <v>0.123813012082297</v>
      </c>
      <c r="AG208">
        <v>-0.1629958</v>
      </c>
      <c r="AH208">
        <v>0.36964413746582703</v>
      </c>
      <c r="AI208">
        <v>112.690855873206</v>
      </c>
      <c r="AJ208">
        <v>71.481627584426207</v>
      </c>
      <c r="AK208">
        <v>0.42253293497831201</v>
      </c>
      <c r="AL208">
        <v>81.893612293215597</v>
      </c>
      <c r="AM208">
        <v>89.278442417689703</v>
      </c>
      <c r="AN208">
        <v>0.99999996206616504</v>
      </c>
    </row>
    <row r="209" spans="1:40" x14ac:dyDescent="0.25">
      <c r="A209" t="str">
        <f>"20190312172335461"</f>
        <v>20190312172335461</v>
      </c>
      <c r="B209" t="str">
        <f>"1552382615449789"</f>
        <v>1552382615449789</v>
      </c>
      <c r="C209" t="s">
        <v>40</v>
      </c>
      <c r="D209">
        <v>3.6045280000000002</v>
      </c>
      <c r="E209">
        <v>0.56934819999999997</v>
      </c>
      <c r="F209" t="s">
        <v>41</v>
      </c>
      <c r="G209">
        <v>-451.1524</v>
      </c>
      <c r="H209">
        <v>0.95479639999999999</v>
      </c>
      <c r="I209">
        <v>366.79379999999998</v>
      </c>
      <c r="J209">
        <v>-451.56470000000002</v>
      </c>
      <c r="K209">
        <v>1.109129</v>
      </c>
      <c r="L209">
        <v>366.93239999999997</v>
      </c>
      <c r="M209">
        <v>0.99989539999999999</v>
      </c>
      <c r="N209">
        <v>0</v>
      </c>
      <c r="O209">
        <v>-1.4109760000000001E-2</v>
      </c>
      <c r="P209">
        <v>0.99000869999999996</v>
      </c>
      <c r="Q209">
        <v>0.1385277</v>
      </c>
      <c r="R209">
        <v>-2.632346E-2</v>
      </c>
      <c r="S209">
        <v>3.109283</v>
      </c>
      <c r="T209">
        <v>-0.69150610000000001</v>
      </c>
      <c r="U209">
        <v>-0.63546749999999996</v>
      </c>
      <c r="V209">
        <v>1.229628E-2</v>
      </c>
      <c r="W209">
        <v>0.1417022</v>
      </c>
      <c r="X209">
        <v>0.98983290000000002</v>
      </c>
      <c r="Y209">
        <v>0.18244730000000001</v>
      </c>
      <c r="Z209">
        <v>-1.6777029999999998E-2</v>
      </c>
      <c r="AA209">
        <v>0.98307250000000002</v>
      </c>
      <c r="AB209">
        <v>30</v>
      </c>
      <c r="AC209">
        <v>0.41230000000001599</v>
      </c>
      <c r="AD209">
        <v>-0.15433259999999999</v>
      </c>
      <c r="AE209">
        <v>-0.138599999999996</v>
      </c>
      <c r="AF209">
        <v>0.11792334539454701</v>
      </c>
      <c r="AG209">
        <v>-0.15433259999999999</v>
      </c>
      <c r="AH209">
        <v>0.36789967664128598</v>
      </c>
      <c r="AI209">
        <v>111.775566264581</v>
      </c>
      <c r="AJ209">
        <v>72.227721313436803</v>
      </c>
      <c r="AK209">
        <v>0.41602240190230699</v>
      </c>
      <c r="AL209">
        <v>81.853642303411903</v>
      </c>
      <c r="AM209">
        <v>89.288275111710703</v>
      </c>
      <c r="AN209">
        <v>0.99999994095454203</v>
      </c>
    </row>
    <row r="210" spans="1:40" x14ac:dyDescent="0.25">
      <c r="A210" t="str">
        <f>"20190312172335483"</f>
        <v>20190312172335483</v>
      </c>
      <c r="B210" t="str">
        <f>"1552382615480045"</f>
        <v>1552382615480045</v>
      </c>
      <c r="C210" t="s">
        <v>40</v>
      </c>
      <c r="D210">
        <v>3.7116069999999999</v>
      </c>
      <c r="E210">
        <v>0.56926669999999902</v>
      </c>
      <c r="F210" t="s">
        <v>41</v>
      </c>
      <c r="G210">
        <v>-450.87799999999999</v>
      </c>
      <c r="H210">
        <v>0.95665049999999996</v>
      </c>
      <c r="I210">
        <v>366.79180000000002</v>
      </c>
      <c r="J210">
        <v>-451.2586</v>
      </c>
      <c r="K210">
        <v>1.1091770000000001</v>
      </c>
      <c r="L210">
        <v>366.92829999999998</v>
      </c>
      <c r="M210">
        <v>0.99989910000000004</v>
      </c>
      <c r="N210">
        <v>0</v>
      </c>
      <c r="O210">
        <v>-1.382368E-2</v>
      </c>
      <c r="P210">
        <v>0.98995880000000003</v>
      </c>
      <c r="Q210">
        <v>0.1390168</v>
      </c>
      <c r="R210">
        <v>-2.5620670000000002E-2</v>
      </c>
      <c r="S210">
        <v>3.1099549999999998</v>
      </c>
      <c r="T210">
        <v>-0.69039819999999996</v>
      </c>
      <c r="U210">
        <v>-0.63638309999999998</v>
      </c>
      <c r="V210">
        <v>1.1864660000000001E-2</v>
      </c>
      <c r="W210">
        <v>0.14229929999999999</v>
      </c>
      <c r="X210">
        <v>0.98975259999999998</v>
      </c>
      <c r="Y210">
        <v>0.18296009999999999</v>
      </c>
      <c r="Z210">
        <v>-1.68645999999999E-2</v>
      </c>
      <c r="AA210">
        <v>0.98297570000000001</v>
      </c>
      <c r="AB210">
        <v>30</v>
      </c>
      <c r="AC210">
        <v>0.38059999999995803</v>
      </c>
      <c r="AD210">
        <v>-0.15252650000000001</v>
      </c>
      <c r="AE210">
        <v>-0.13649999999995499</v>
      </c>
      <c r="AF210">
        <v>0.114878494069018</v>
      </c>
      <c r="AG210">
        <v>-0.15252650000000001</v>
      </c>
      <c r="AH210">
        <v>0.33480764393892198</v>
      </c>
      <c r="AI210">
        <v>113.311450420382</v>
      </c>
      <c r="AJ210">
        <v>71.061988131035207</v>
      </c>
      <c r="AK210">
        <v>0.38543165417716801</v>
      </c>
      <c r="AL210">
        <v>81.819081538459699</v>
      </c>
      <c r="AM210">
        <v>89.313199698643999</v>
      </c>
      <c r="AN210">
        <v>1.0000000350720799</v>
      </c>
    </row>
    <row r="211" spans="1:40" x14ac:dyDescent="0.25">
      <c r="A211" t="str">
        <f>"20190312172335507"</f>
        <v>20190312172335507</v>
      </c>
      <c r="B211" t="str">
        <f>"1552382615500541"</f>
        <v>1552382615500541</v>
      </c>
      <c r="C211" t="s">
        <v>40</v>
      </c>
      <c r="D211">
        <v>3.5875460000000001</v>
      </c>
      <c r="E211">
        <v>0.56941459999999999</v>
      </c>
      <c r="F211" t="s">
        <v>41</v>
      </c>
      <c r="G211">
        <v>-450.34730000000002</v>
      </c>
      <c r="H211">
        <v>0.90730690000000003</v>
      </c>
      <c r="I211">
        <v>366.74299999999999</v>
      </c>
      <c r="J211">
        <v>-450.93389999999999</v>
      </c>
      <c r="K211">
        <v>1.1092249999999999</v>
      </c>
      <c r="L211">
        <v>366.92419999999998</v>
      </c>
      <c r="M211">
        <v>0.9999034</v>
      </c>
      <c r="N211">
        <v>0</v>
      </c>
      <c r="O211">
        <v>-1.3468340000000001E-2</v>
      </c>
      <c r="P211">
        <v>0.98997590000000002</v>
      </c>
      <c r="Q211">
        <v>0.1390352</v>
      </c>
      <c r="R211">
        <v>-2.4835630000000001E-2</v>
      </c>
      <c r="S211">
        <v>3.1108090000000002</v>
      </c>
      <c r="T211">
        <v>-0.68896630000000003</v>
      </c>
      <c r="U211">
        <v>-0.63293459999999901</v>
      </c>
      <c r="V211">
        <v>1.141732E-2</v>
      </c>
      <c r="W211">
        <v>0.14243239999999999</v>
      </c>
      <c r="X211">
        <v>0.98973869999999997</v>
      </c>
      <c r="Y211">
        <v>0.1822357</v>
      </c>
      <c r="Z211">
        <v>-1.6826230000000001E-2</v>
      </c>
      <c r="AA211">
        <v>0.98311090000000001</v>
      </c>
      <c r="AB211">
        <v>31</v>
      </c>
      <c r="AC211">
        <v>0.58659999999997503</v>
      </c>
      <c r="AD211">
        <v>-0.20191809999999999</v>
      </c>
      <c r="AE211">
        <v>-0.181199999999932</v>
      </c>
      <c r="AF211">
        <v>0.15636931850618199</v>
      </c>
      <c r="AG211">
        <v>-0.20191809999999999</v>
      </c>
      <c r="AH211">
        <v>0.531497859815384</v>
      </c>
      <c r="AI211">
        <v>110.024676930344</v>
      </c>
      <c r="AJ211">
        <v>73.605854230438496</v>
      </c>
      <c r="AK211">
        <v>0.58967131341623802</v>
      </c>
      <c r="AL211">
        <v>81.811376860456505</v>
      </c>
      <c r="AM211">
        <v>89.339082896679699</v>
      </c>
      <c r="AN211">
        <v>1.00000001902171</v>
      </c>
    </row>
    <row r="212" spans="1:40" x14ac:dyDescent="0.25">
      <c r="A212" t="str">
        <f>"20190312172335530"</f>
        <v>20190312172335530</v>
      </c>
      <c r="B212" t="str">
        <f>"1552382615520061"</f>
        <v>1552382615520061</v>
      </c>
      <c r="C212" t="s">
        <v>40</v>
      </c>
      <c r="D212">
        <v>3.58528</v>
      </c>
      <c r="E212">
        <v>0.56940729999999995</v>
      </c>
      <c r="F212" t="s">
        <v>41</v>
      </c>
      <c r="G212">
        <v>-450.06639999999999</v>
      </c>
      <c r="H212">
        <v>0.91699560000000002</v>
      </c>
      <c r="I212">
        <v>366.74759999999998</v>
      </c>
      <c r="J212">
        <v>-450.6155</v>
      </c>
      <c r="K212">
        <v>1.109275</v>
      </c>
      <c r="L212">
        <v>366.9203</v>
      </c>
      <c r="M212">
        <v>0.99990829999999997</v>
      </c>
      <c r="N212">
        <v>0</v>
      </c>
      <c r="O212">
        <v>-1.3078920000000001E-2</v>
      </c>
      <c r="P212">
        <v>0.99009599999999998</v>
      </c>
      <c r="Q212">
        <v>0.1383586</v>
      </c>
      <c r="R212">
        <v>-2.381316E-2</v>
      </c>
      <c r="S212">
        <v>3.111389</v>
      </c>
      <c r="T212">
        <v>-0.68960909999999997</v>
      </c>
      <c r="U212">
        <v>-0.63208009999999903</v>
      </c>
      <c r="V212">
        <v>1.076706E-2</v>
      </c>
      <c r="W212">
        <v>0.14186689999999999</v>
      </c>
      <c r="X212">
        <v>0.98982720000000002</v>
      </c>
      <c r="Y212">
        <v>0.18230640000000001</v>
      </c>
      <c r="Z212">
        <v>-1.693105E-2</v>
      </c>
      <c r="AA212">
        <v>0.98309599999999997</v>
      </c>
      <c r="AB212">
        <v>31</v>
      </c>
      <c r="AC212">
        <v>0.54910000000000903</v>
      </c>
      <c r="AD212">
        <v>-0.19227939999999999</v>
      </c>
      <c r="AE212">
        <v>-0.17270000000002</v>
      </c>
      <c r="AF212">
        <v>0.148890004397526</v>
      </c>
      <c r="AG212">
        <v>-0.19227939999999999</v>
      </c>
      <c r="AH212">
        <v>0.49597010663646401</v>
      </c>
      <c r="AI212">
        <v>110.370615769151</v>
      </c>
      <c r="AJ212">
        <v>73.290266842773093</v>
      </c>
      <c r="AK212">
        <v>0.55238206682588897</v>
      </c>
      <c r="AL212">
        <v>81.844110001332993</v>
      </c>
      <c r="AM212">
        <v>89.376777314561295</v>
      </c>
      <c r="AN212">
        <v>1.0000000163782401</v>
      </c>
    </row>
    <row r="213" spans="1:40" x14ac:dyDescent="0.25">
      <c r="A213" t="str">
        <f>"20190312172335552"</f>
        <v>20190312172335552</v>
      </c>
      <c r="B213" t="str">
        <f>"1552382615540558"</f>
        <v>1552382615540558</v>
      </c>
      <c r="C213" t="s">
        <v>40</v>
      </c>
      <c r="D213">
        <v>3.5854550000000001</v>
      </c>
      <c r="E213">
        <v>0.56944169999999905</v>
      </c>
      <c r="F213" t="s">
        <v>41</v>
      </c>
      <c r="G213">
        <v>-449.78519999999997</v>
      </c>
      <c r="H213">
        <v>0.92471329999999996</v>
      </c>
      <c r="I213">
        <v>366.75229999999999</v>
      </c>
      <c r="J213">
        <v>-450.30630000000002</v>
      </c>
      <c r="K213">
        <v>1.1093170000000001</v>
      </c>
      <c r="L213">
        <v>366.91669999999999</v>
      </c>
      <c r="M213">
        <v>0.99991319999999995</v>
      </c>
      <c r="N213">
        <v>0</v>
      </c>
      <c r="O213">
        <v>-1.266317E-2</v>
      </c>
      <c r="P213">
        <v>0.99011099999999996</v>
      </c>
      <c r="Q213">
        <v>0.13841700000000001</v>
      </c>
      <c r="R213">
        <v>-2.2824469999999999E-2</v>
      </c>
      <c r="S213">
        <v>3.111542</v>
      </c>
      <c r="T213">
        <v>-0.69163140000000001</v>
      </c>
      <c r="U213">
        <v>-0.63018799999999997</v>
      </c>
      <c r="V213">
        <v>1.017902E-2</v>
      </c>
      <c r="W213">
        <v>0.14203499999999999</v>
      </c>
      <c r="X213">
        <v>0.9898093</v>
      </c>
      <c r="Y213">
        <v>0.18210319999999999</v>
      </c>
      <c r="Z213">
        <v>-1.7047989999999999E-2</v>
      </c>
      <c r="AA213">
        <v>0.98313159999999999</v>
      </c>
      <c r="AB213">
        <v>31</v>
      </c>
      <c r="AC213">
        <v>0.52110000000004597</v>
      </c>
      <c r="AD213">
        <v>-0.18460370000000001</v>
      </c>
      <c r="AE213">
        <v>-0.16439999999999999</v>
      </c>
      <c r="AF213">
        <v>0.14162336509420601</v>
      </c>
      <c r="AG213">
        <v>-0.18460370000000001</v>
      </c>
      <c r="AH213">
        <v>0.46954684002367197</v>
      </c>
      <c r="AI213">
        <v>110.62655002135</v>
      </c>
      <c r="AJ213">
        <v>73.215789892427097</v>
      </c>
      <c r="AK213">
        <v>0.524032383131532</v>
      </c>
      <c r="AL213">
        <v>81.834379934449402</v>
      </c>
      <c r="AM213">
        <v>89.410801325861499</v>
      </c>
      <c r="AN213">
        <v>1.0000000020198201</v>
      </c>
    </row>
    <row r="214" spans="1:40" x14ac:dyDescent="0.25">
      <c r="A214" t="str">
        <f>"20190312172335573"</f>
        <v>20190312172335573</v>
      </c>
      <c r="B214" t="str">
        <f>"1552382615569837"</f>
        <v>1552382615569837</v>
      </c>
      <c r="C214" t="s">
        <v>40</v>
      </c>
      <c r="D214">
        <v>3.599091</v>
      </c>
      <c r="E214">
        <v>0.56954099999999996</v>
      </c>
      <c r="F214" t="s">
        <v>41</v>
      </c>
      <c r="G214">
        <v>-449.50349999999997</v>
      </c>
      <c r="H214">
        <v>0.93110850000000001</v>
      </c>
      <c r="I214">
        <v>366.75380000000001</v>
      </c>
      <c r="J214">
        <v>-450.01350000000002</v>
      </c>
      <c r="K214">
        <v>1.1093630000000001</v>
      </c>
      <c r="L214">
        <v>366.91329999999999</v>
      </c>
      <c r="M214">
        <v>0.99991810000000003</v>
      </c>
      <c r="N214">
        <v>0</v>
      </c>
      <c r="O214">
        <v>-1.2238489999999999E-2</v>
      </c>
      <c r="P214">
        <v>0.99009360000000002</v>
      </c>
      <c r="Q214">
        <v>0.13868229999999901</v>
      </c>
      <c r="R214">
        <v>-2.1962450000000001E-2</v>
      </c>
      <c r="S214">
        <v>3.1120610000000002</v>
      </c>
      <c r="T214">
        <v>-0.69098059999999994</v>
      </c>
      <c r="U214">
        <v>-0.62908940000000002</v>
      </c>
      <c r="V214">
        <v>9.7281069999999997E-3</v>
      </c>
      <c r="W214">
        <v>0.1424088</v>
      </c>
      <c r="X214">
        <v>0.98976010000000003</v>
      </c>
      <c r="Y214">
        <v>0.18215229999999999</v>
      </c>
      <c r="Z214">
        <v>-1.7127699999999999E-2</v>
      </c>
      <c r="AA214">
        <v>0.98312120000000003</v>
      </c>
      <c r="AB214">
        <v>31</v>
      </c>
      <c r="AC214">
        <v>0.51000000000004697</v>
      </c>
      <c r="AD214">
        <v>-0.17825449999999901</v>
      </c>
      <c r="AE214">
        <v>-0.15949999999997999</v>
      </c>
      <c r="AF214">
        <v>0.13790089137877201</v>
      </c>
      <c r="AG214">
        <v>-0.17825449999999901</v>
      </c>
      <c r="AH214">
        <v>0.46065281814669901</v>
      </c>
      <c r="AI214">
        <v>110.340061473055</v>
      </c>
      <c r="AJ214">
        <v>73.334418801890294</v>
      </c>
      <c r="AK214">
        <v>0.51282778930144302</v>
      </c>
      <c r="AL214">
        <v>81.812742636415194</v>
      </c>
      <c r="AM214">
        <v>89.436872100259293</v>
      </c>
      <c r="AN214">
        <v>0.99999997896762605</v>
      </c>
    </row>
    <row r="215" spans="1:40" x14ac:dyDescent="0.25">
      <c r="A215" t="str">
        <f>"20190312172335596"</f>
        <v>20190312172335596</v>
      </c>
      <c r="B215" t="str">
        <f>"1552382615590333"</f>
        <v>1552382615590333</v>
      </c>
      <c r="C215" t="s">
        <v>40</v>
      </c>
      <c r="D215">
        <v>3.596581</v>
      </c>
      <c r="E215">
        <v>0.56948829999999995</v>
      </c>
      <c r="F215" t="s">
        <v>41</v>
      </c>
      <c r="G215">
        <v>-449.22219999999999</v>
      </c>
      <c r="H215">
        <v>0.93377880000000002</v>
      </c>
      <c r="I215">
        <v>366.75380000000001</v>
      </c>
      <c r="J215">
        <v>-449.69130000000001</v>
      </c>
      <c r="K215">
        <v>1.109405</v>
      </c>
      <c r="L215">
        <v>366.90980000000002</v>
      </c>
      <c r="M215">
        <v>0.99992360000000002</v>
      </c>
      <c r="N215">
        <v>0</v>
      </c>
      <c r="O215">
        <v>-1.1744340000000001E-2</v>
      </c>
      <c r="P215">
        <v>0.99005730000000003</v>
      </c>
      <c r="Q215">
        <v>0.13911180000000001</v>
      </c>
      <c r="R215">
        <v>-2.085265E-2</v>
      </c>
      <c r="S215">
        <v>3.1128230000000001</v>
      </c>
      <c r="T215">
        <v>-0.69072679999999997</v>
      </c>
      <c r="U215">
        <v>-0.62768550000000001</v>
      </c>
      <c r="V215">
        <v>9.0985340000000001E-3</v>
      </c>
      <c r="W215">
        <v>0.1429666</v>
      </c>
      <c r="X215">
        <v>0.9896857</v>
      </c>
      <c r="Y215">
        <v>0.1821576</v>
      </c>
      <c r="Z215">
        <v>-1.722605E-2</v>
      </c>
      <c r="AA215">
        <v>0.98311839999999995</v>
      </c>
      <c r="AB215">
        <v>31</v>
      </c>
      <c r="AC215">
        <v>0.469100000000025</v>
      </c>
      <c r="AD215">
        <v>-0.17562619999999901</v>
      </c>
      <c r="AE215">
        <v>-0.156000000000005</v>
      </c>
      <c r="AF215">
        <v>0.13361622718737901</v>
      </c>
      <c r="AG215">
        <v>-0.17562619999999901</v>
      </c>
      <c r="AH215">
        <v>0.41812786347054998</v>
      </c>
      <c r="AI215">
        <v>111.806243682369</v>
      </c>
      <c r="AJ215">
        <v>72.278288344187104</v>
      </c>
      <c r="AK215">
        <v>0.47278829142088102</v>
      </c>
      <c r="AL215">
        <v>81.780452894289098</v>
      </c>
      <c r="AM215">
        <v>89.473274280806294</v>
      </c>
      <c r="AN215">
        <v>1.0000000084104901</v>
      </c>
    </row>
    <row r="216" spans="1:40" x14ac:dyDescent="0.25">
      <c r="A216" t="str">
        <f>"20190312172335618"</f>
        <v>20190312172335618</v>
      </c>
      <c r="B216" t="str">
        <f>"1552382615609853"</f>
        <v>1552382615609853</v>
      </c>
      <c r="C216" t="s">
        <v>40</v>
      </c>
      <c r="D216">
        <v>3.5926740000000001</v>
      </c>
      <c r="E216">
        <v>0.56949340000000004</v>
      </c>
      <c r="F216" t="s">
        <v>41</v>
      </c>
      <c r="G216">
        <v>-448.93709999999999</v>
      </c>
      <c r="H216">
        <v>0.94279740000000001</v>
      </c>
      <c r="I216">
        <v>366.75810000000001</v>
      </c>
      <c r="J216">
        <v>-449.37869999999998</v>
      </c>
      <c r="K216">
        <v>1.1094469999999901</v>
      </c>
      <c r="L216">
        <v>366.90660000000003</v>
      </c>
      <c r="M216">
        <v>0.99992879999999995</v>
      </c>
      <c r="N216">
        <v>0</v>
      </c>
      <c r="O216">
        <v>-1.124498E-2</v>
      </c>
      <c r="P216">
        <v>0.99005089999999996</v>
      </c>
      <c r="Q216">
        <v>0.13924639999999999</v>
      </c>
      <c r="R216">
        <v>-2.024666E-2</v>
      </c>
      <c r="S216">
        <v>3.1136780000000002</v>
      </c>
      <c r="T216">
        <v>-0.68799299999999997</v>
      </c>
      <c r="U216">
        <v>-0.62414550000000002</v>
      </c>
      <c r="V216">
        <v>8.9793979999999995E-3</v>
      </c>
      <c r="W216">
        <v>0.14323749999999999</v>
      </c>
      <c r="X216">
        <v>0.98964759999999996</v>
      </c>
      <c r="Y216">
        <v>0.1815561</v>
      </c>
      <c r="Z216">
        <v>-1.7199639999999999E-2</v>
      </c>
      <c r="AA216">
        <v>0.98323020000000005</v>
      </c>
      <c r="AB216">
        <v>31</v>
      </c>
      <c r="AC216">
        <v>0.441599999999993</v>
      </c>
      <c r="AD216">
        <v>-0.16664959999999901</v>
      </c>
      <c r="AE216">
        <v>-0.14850000000001201</v>
      </c>
      <c r="AF216">
        <v>0.12724449771444701</v>
      </c>
      <c r="AG216">
        <v>-0.16664959999999901</v>
      </c>
      <c r="AH216">
        <v>0.39296418997016302</v>
      </c>
      <c r="AI216">
        <v>111.972058249664</v>
      </c>
      <c r="AJ216">
        <v>72.057691412151499</v>
      </c>
      <c r="AK216">
        <v>0.44540330710230303</v>
      </c>
      <c r="AL216">
        <v>81.764769919512801</v>
      </c>
      <c r="AM216">
        <v>89.4801508229977</v>
      </c>
      <c r="AN216">
        <v>0.99999999159022601</v>
      </c>
    </row>
    <row r="217" spans="1:40" x14ac:dyDescent="0.25">
      <c r="A217" t="str">
        <f>"20190312172335641"</f>
        <v>20190312172335641</v>
      </c>
      <c r="B217" t="str">
        <f>"1552382615630349"</f>
        <v>1552382615630349</v>
      </c>
      <c r="C217" t="s">
        <v>40</v>
      </c>
      <c r="D217">
        <v>3.6381459999999999</v>
      </c>
      <c r="E217">
        <v>0.56953019999999999</v>
      </c>
      <c r="F217" t="s">
        <v>41</v>
      </c>
      <c r="G217">
        <v>-448.65190000000001</v>
      </c>
      <c r="H217">
        <v>0.94920360000000004</v>
      </c>
      <c r="I217">
        <v>366.76080000000002</v>
      </c>
      <c r="J217">
        <v>-449.0607</v>
      </c>
      <c r="K217">
        <v>1.1094850000000001</v>
      </c>
      <c r="L217">
        <v>366.90359999999998</v>
      </c>
      <c r="M217">
        <v>0.99993379999999998</v>
      </c>
      <c r="N217">
        <v>0</v>
      </c>
      <c r="O217">
        <v>-1.0723740000000001E-2</v>
      </c>
      <c r="P217">
        <v>0.99012180000000005</v>
      </c>
      <c r="Q217">
        <v>0.13886670000000001</v>
      </c>
      <c r="R217">
        <v>-1.937034E-2</v>
      </c>
      <c r="S217">
        <v>3.1140140000000001</v>
      </c>
      <c r="T217">
        <v>-0.68668960000000001</v>
      </c>
      <c r="U217">
        <v>-0.62316890000000003</v>
      </c>
      <c r="V217">
        <v>8.6126190000000002E-3</v>
      </c>
      <c r="W217">
        <v>0.143011</v>
      </c>
      <c r="X217">
        <v>0.9896836</v>
      </c>
      <c r="Y217">
        <v>0.18174999999999999</v>
      </c>
      <c r="Z217">
        <v>-1.72999E-2</v>
      </c>
      <c r="AA217">
        <v>0.98319259999999997</v>
      </c>
      <c r="AB217">
        <v>31</v>
      </c>
      <c r="AC217">
        <v>0.40879999999998501</v>
      </c>
      <c r="AD217">
        <v>-0.16028139999999999</v>
      </c>
      <c r="AE217">
        <v>-0.14279999999996501</v>
      </c>
      <c r="AF217">
        <v>0.121729996025207</v>
      </c>
      <c r="AG217">
        <v>-0.16028139999999999</v>
      </c>
      <c r="AH217">
        <v>0.36086653234074101</v>
      </c>
      <c r="AI217">
        <v>112.82415217245</v>
      </c>
      <c r="AJ217">
        <v>71.359364375220295</v>
      </c>
      <c r="AK217">
        <v>0.41319846718240399</v>
      </c>
      <c r="AL217">
        <v>81.777882278964597</v>
      </c>
      <c r="AM217">
        <v>89.501402000805896</v>
      </c>
      <c r="AN217">
        <v>0.99999997571799903</v>
      </c>
    </row>
    <row r="218" spans="1:40" x14ac:dyDescent="0.25">
      <c r="A218" t="str">
        <f>"20190312172335663"</f>
        <v>20190312172335663</v>
      </c>
      <c r="B218" t="str">
        <f>"1552382615659629"</f>
        <v>1552382615659629</v>
      </c>
      <c r="C218" t="s">
        <v>40</v>
      </c>
      <c r="D218">
        <v>3.6332399999999998</v>
      </c>
      <c r="E218">
        <v>0.56971629999999995</v>
      </c>
      <c r="F218" t="s">
        <v>41</v>
      </c>
      <c r="G218">
        <v>-448.36559999999997</v>
      </c>
      <c r="H218">
        <v>0.95602069999999995</v>
      </c>
      <c r="I218">
        <v>366.76420000000002</v>
      </c>
      <c r="J218">
        <v>-448.74919999999997</v>
      </c>
      <c r="K218">
        <v>1.1095219999999999</v>
      </c>
      <c r="L218">
        <v>366.9008</v>
      </c>
      <c r="M218">
        <v>0.99993849999999995</v>
      </c>
      <c r="N218">
        <v>0</v>
      </c>
      <c r="O218">
        <v>-1.02054E-2</v>
      </c>
      <c r="P218">
        <v>0.99016219999999999</v>
      </c>
      <c r="Q218">
        <v>0.1386705</v>
      </c>
      <c r="R218">
        <v>-1.869811E-2</v>
      </c>
      <c r="S218">
        <v>3.1142270000000001</v>
      </c>
      <c r="T218">
        <v>-0.68786689999999995</v>
      </c>
      <c r="U218">
        <v>-0.62100219999999995</v>
      </c>
      <c r="V218">
        <v>8.448924E-3</v>
      </c>
      <c r="W218">
        <v>0.14298459999999999</v>
      </c>
      <c r="X218">
        <v>0.98968889999999998</v>
      </c>
      <c r="Y218">
        <v>0.18156720000000001</v>
      </c>
      <c r="Z218">
        <v>-1.7421099999999998E-2</v>
      </c>
      <c r="AA218">
        <v>0.98322419999999999</v>
      </c>
      <c r="AB218">
        <v>32</v>
      </c>
      <c r="AC218">
        <v>0.383600000000001</v>
      </c>
      <c r="AD218">
        <v>-0.15350129999999901</v>
      </c>
      <c r="AE218">
        <v>-0.13659999999998701</v>
      </c>
      <c r="AF218">
        <v>0.11616949148113501</v>
      </c>
      <c r="AG218">
        <v>-0.15350129999999901</v>
      </c>
      <c r="AH218">
        <v>0.337073404818165</v>
      </c>
      <c r="AI218">
        <v>113.29391426867601</v>
      </c>
      <c r="AJ218">
        <v>70.983922258098701</v>
      </c>
      <c r="AK218">
        <v>0.38817068422072498</v>
      </c>
      <c r="AL218">
        <v>81.779411204533602</v>
      </c>
      <c r="AM218">
        <v>89.510880715023106</v>
      </c>
      <c r="AN218">
        <v>1.0000000494685599</v>
      </c>
    </row>
    <row r="219" spans="1:40" x14ac:dyDescent="0.25">
      <c r="A219" t="str">
        <f>"20190312172335685"</f>
        <v>20190312172335685</v>
      </c>
      <c r="B219" t="str">
        <f>"1552382615680126"</f>
        <v>1552382615680126</v>
      </c>
      <c r="C219" t="s">
        <v>40</v>
      </c>
      <c r="D219">
        <v>3.6225299999999998</v>
      </c>
      <c r="E219">
        <v>0.56986559999999997</v>
      </c>
      <c r="F219" t="s">
        <v>41</v>
      </c>
      <c r="G219">
        <v>-447.81729999999999</v>
      </c>
      <c r="H219">
        <v>0.90376909999999999</v>
      </c>
      <c r="I219">
        <v>366.71449999999999</v>
      </c>
      <c r="J219">
        <v>-448.43459999999999</v>
      </c>
      <c r="K219">
        <v>1.1095600000000001</v>
      </c>
      <c r="L219">
        <v>366.8981</v>
      </c>
      <c r="M219">
        <v>0.99994289999999997</v>
      </c>
      <c r="N219">
        <v>0</v>
      </c>
      <c r="O219">
        <v>-9.6765259999999995E-3</v>
      </c>
      <c r="P219">
        <v>0.99022010000000005</v>
      </c>
      <c r="Q219">
        <v>0.1383296</v>
      </c>
      <c r="R219">
        <v>-1.8140400000000001E-2</v>
      </c>
      <c r="S219">
        <v>3.1144409999999998</v>
      </c>
      <c r="T219">
        <v>-0.68782290000000001</v>
      </c>
      <c r="U219">
        <v>-0.62066650000000001</v>
      </c>
      <c r="V219">
        <v>8.4114519999999998E-3</v>
      </c>
      <c r="W219">
        <v>0.14283589999999999</v>
      </c>
      <c r="X219">
        <v>0.9897106</v>
      </c>
      <c r="Y219">
        <v>0.18195159999999999</v>
      </c>
      <c r="Z219">
        <v>-1.7574860000000001E-2</v>
      </c>
      <c r="AA219">
        <v>0.98315039999999998</v>
      </c>
      <c r="AB219">
        <v>32</v>
      </c>
      <c r="AC219">
        <v>0.61729999999999996</v>
      </c>
      <c r="AD219">
        <v>-0.2057909</v>
      </c>
      <c r="AE219">
        <v>-0.183600000000012</v>
      </c>
      <c r="AF219">
        <v>0.16116252975815001</v>
      </c>
      <c r="AG219">
        <v>-0.2057909</v>
      </c>
      <c r="AH219">
        <v>0.561695800827267</v>
      </c>
      <c r="AI219">
        <v>109.40048704954</v>
      </c>
      <c r="AJ219">
        <v>73.990683257422404</v>
      </c>
      <c r="AK219">
        <v>0.61953646235539805</v>
      </c>
      <c r="AL219">
        <v>81.788018698947596</v>
      </c>
      <c r="AM219">
        <v>89.513060589687996</v>
      </c>
      <c r="AN219">
        <v>0.99999995930295804</v>
      </c>
    </row>
    <row r="220" spans="1:40" x14ac:dyDescent="0.25">
      <c r="A220" t="str">
        <f>"20190312172335707"</f>
        <v>20190312172335707</v>
      </c>
      <c r="B220" t="str">
        <f>"1552382615699645"</f>
        <v>1552382615699645</v>
      </c>
      <c r="C220" t="s">
        <v>40</v>
      </c>
      <c r="D220">
        <v>3.6788780000000001</v>
      </c>
      <c r="E220">
        <v>0.56989119999999904</v>
      </c>
      <c r="F220" t="s">
        <v>41</v>
      </c>
      <c r="G220">
        <v>-447.52940000000001</v>
      </c>
      <c r="H220">
        <v>0.90903579999999995</v>
      </c>
      <c r="I220">
        <v>366.71749999999997</v>
      </c>
      <c r="J220">
        <v>-448.1103</v>
      </c>
      <c r="K220">
        <v>1.109607</v>
      </c>
      <c r="L220">
        <v>366.8954</v>
      </c>
      <c r="M220">
        <v>0.99994709999999998</v>
      </c>
      <c r="N220">
        <v>0</v>
      </c>
      <c r="O220">
        <v>-9.1291089999999998E-3</v>
      </c>
      <c r="P220">
        <v>0.9903691</v>
      </c>
      <c r="Q220">
        <v>0.13734749999999901</v>
      </c>
      <c r="R220">
        <v>-1.746903E-2</v>
      </c>
      <c r="S220">
        <v>3.114716</v>
      </c>
      <c r="T220">
        <v>-0.69008829999999999</v>
      </c>
      <c r="U220">
        <v>-0.61959839999999999</v>
      </c>
      <c r="V220">
        <v>8.278746E-3</v>
      </c>
      <c r="W220">
        <v>0.1420661</v>
      </c>
      <c r="X220">
        <v>0.9898226</v>
      </c>
      <c r="Y220">
        <v>0.1821065</v>
      </c>
      <c r="Z220">
        <v>-1.7765920000000001E-2</v>
      </c>
      <c r="AA220">
        <v>0.9831183</v>
      </c>
      <c r="AB220">
        <v>32</v>
      </c>
      <c r="AC220">
        <v>0.58089999999998498</v>
      </c>
      <c r="AD220">
        <v>-0.20057119999999901</v>
      </c>
      <c r="AE220">
        <v>-0.17790000000002201</v>
      </c>
      <c r="AF220">
        <v>0.155627069813253</v>
      </c>
      <c r="AG220">
        <v>-0.20057119999999901</v>
      </c>
      <c r="AH220">
        <v>0.52525088399005604</v>
      </c>
      <c r="AI220">
        <v>110.10895005953</v>
      </c>
      <c r="AJ220">
        <v>73.495921579981598</v>
      </c>
      <c r="AK220">
        <v>0.58338416353243105</v>
      </c>
      <c r="AL220">
        <v>81.832580150451506</v>
      </c>
      <c r="AM220">
        <v>89.520796812192998</v>
      </c>
      <c r="AN220">
        <v>1.00000004693765</v>
      </c>
    </row>
    <row r="221" spans="1:40" x14ac:dyDescent="0.25">
      <c r="A221" t="str">
        <f>"20190312172335729"</f>
        <v>20190312172335729</v>
      </c>
      <c r="B221" t="str">
        <f>"1552382615720141"</f>
        <v>1552382615720141</v>
      </c>
      <c r="C221" t="s">
        <v>40</v>
      </c>
      <c r="D221">
        <v>3.672898</v>
      </c>
      <c r="E221">
        <v>0.56992039999999999</v>
      </c>
      <c r="F221" t="s">
        <v>41</v>
      </c>
      <c r="G221">
        <v>-447.24</v>
      </c>
      <c r="H221">
        <v>0.91601739999999998</v>
      </c>
      <c r="I221">
        <v>366.72219999999999</v>
      </c>
      <c r="J221">
        <v>-447.78629999999998</v>
      </c>
      <c r="K221">
        <v>1.1096459999999999</v>
      </c>
      <c r="L221">
        <v>366.89299999999997</v>
      </c>
      <c r="M221">
        <v>0.99995089999999998</v>
      </c>
      <c r="N221">
        <v>0</v>
      </c>
      <c r="O221">
        <v>-8.5811510000000004E-3</v>
      </c>
      <c r="P221">
        <v>0.9903923</v>
      </c>
      <c r="Q221">
        <v>0.1372051</v>
      </c>
      <c r="R221">
        <v>-1.7267660000000001E-2</v>
      </c>
      <c r="S221">
        <v>3.1143800000000001</v>
      </c>
      <c r="T221">
        <v>-0.69303349999999997</v>
      </c>
      <c r="U221">
        <v>-0.61746219999999996</v>
      </c>
      <c r="V221">
        <v>8.6176989999999995E-3</v>
      </c>
      <c r="W221">
        <v>0.14215059999999999</v>
      </c>
      <c r="X221">
        <v>0.98980749999999995</v>
      </c>
      <c r="Y221">
        <v>0.18197089999999999</v>
      </c>
      <c r="Z221">
        <v>-1.7947499999999901E-2</v>
      </c>
      <c r="AA221">
        <v>0.98314009999999996</v>
      </c>
      <c r="AB221">
        <v>32</v>
      </c>
      <c r="AC221">
        <v>0.54629999999997303</v>
      </c>
      <c r="AD221">
        <v>-0.19362859999999901</v>
      </c>
      <c r="AE221">
        <v>-0.170800000000042</v>
      </c>
      <c r="AF221">
        <v>0.149048798356894</v>
      </c>
      <c r="AG221">
        <v>-0.19362859999999901</v>
      </c>
      <c r="AH221">
        <v>0.49149898711272</v>
      </c>
      <c r="AI221">
        <v>110.65651376733</v>
      </c>
      <c r="AJ221">
        <v>73.1298881635621</v>
      </c>
      <c r="AK221">
        <v>0.54888872584743797</v>
      </c>
      <c r="AL221">
        <v>81.8276884047267</v>
      </c>
      <c r="AM221">
        <v>89.501170372597898</v>
      </c>
      <c r="AN221">
        <v>0.99999997243633099</v>
      </c>
    </row>
    <row r="222" spans="1:40" x14ac:dyDescent="0.25">
      <c r="A222" t="str">
        <f>"20190312172335753"</f>
        <v>20190312172335753</v>
      </c>
      <c r="B222" t="str">
        <f>"1552382615750147"</f>
        <v>1552382615750147</v>
      </c>
      <c r="C222" t="s">
        <v>40</v>
      </c>
      <c r="D222">
        <v>3.6374</v>
      </c>
      <c r="E222">
        <v>0.569982199999999</v>
      </c>
      <c r="F222" t="s">
        <v>41</v>
      </c>
      <c r="G222">
        <v>-446.94979999999998</v>
      </c>
      <c r="H222">
        <v>0.92336700000000005</v>
      </c>
      <c r="I222">
        <v>366.72699999999998</v>
      </c>
      <c r="J222">
        <v>-447.45170000000002</v>
      </c>
      <c r="K222">
        <v>1.1096870000000001</v>
      </c>
      <c r="L222">
        <v>366.89069999999998</v>
      </c>
      <c r="M222">
        <v>0.99995420000000002</v>
      </c>
      <c r="N222">
        <v>0</v>
      </c>
      <c r="O222">
        <v>-8.0146739999999994E-3</v>
      </c>
      <c r="P222">
        <v>0.99048259999999999</v>
      </c>
      <c r="Q222">
        <v>0.13662349999999901</v>
      </c>
      <c r="R222">
        <v>-1.6680730000000001E-2</v>
      </c>
      <c r="S222">
        <v>3.1145019999999999</v>
      </c>
      <c r="T222">
        <v>-0.69376130000000003</v>
      </c>
      <c r="U222">
        <v>-0.61694340000000003</v>
      </c>
      <c r="V222">
        <v>8.5897059999999904E-3</v>
      </c>
      <c r="W222">
        <v>0.14181969999999999</v>
      </c>
      <c r="X222">
        <v>0.98985520000000005</v>
      </c>
      <c r="Y222">
        <v>0.1823322</v>
      </c>
      <c r="Z222">
        <v>-1.8128350000000001E-2</v>
      </c>
      <c r="AA222">
        <v>0.98306979999999999</v>
      </c>
      <c r="AB222">
        <v>32</v>
      </c>
      <c r="AC222">
        <v>0.50190000000003399</v>
      </c>
      <c r="AD222">
        <v>-0.18632000000000001</v>
      </c>
      <c r="AE222">
        <v>-0.16370000000000501</v>
      </c>
      <c r="AF222">
        <v>0.141986258589099</v>
      </c>
      <c r="AG222">
        <v>-0.18632000000000001</v>
      </c>
      <c r="AH222">
        <v>0.447460095910789</v>
      </c>
      <c r="AI222">
        <v>111.647750767568</v>
      </c>
      <c r="AJ222">
        <v>72.394932954152594</v>
      </c>
      <c r="AK222">
        <v>0.50507007183223895</v>
      </c>
      <c r="AL222">
        <v>81.846841552099406</v>
      </c>
      <c r="AM222">
        <v>89.502814605577299</v>
      </c>
      <c r="AN222">
        <v>0.99999996366214705</v>
      </c>
    </row>
    <row r="223" spans="1:40" x14ac:dyDescent="0.25">
      <c r="A223" t="str">
        <f>"20190312172335775"</f>
        <v>20190312172335775</v>
      </c>
      <c r="B223" t="str">
        <f>"1552382615769667"</f>
        <v>1552382615769667</v>
      </c>
      <c r="C223" t="s">
        <v>40</v>
      </c>
      <c r="D223">
        <v>3.683538</v>
      </c>
      <c r="E223">
        <v>0.57004060000000001</v>
      </c>
      <c r="F223" t="s">
        <v>41</v>
      </c>
      <c r="G223">
        <v>-446.6583</v>
      </c>
      <c r="H223">
        <v>0.93240670000000003</v>
      </c>
      <c r="I223">
        <v>366.73340000000002</v>
      </c>
      <c r="J223">
        <v>-447.13869999999997</v>
      </c>
      <c r="K223">
        <v>1.109726</v>
      </c>
      <c r="L223">
        <v>366.88869999999997</v>
      </c>
      <c r="M223">
        <v>0.99995710000000004</v>
      </c>
      <c r="N223">
        <v>0</v>
      </c>
      <c r="O223">
        <v>-7.4852969999999897E-3</v>
      </c>
      <c r="P223">
        <v>0.99045419999999995</v>
      </c>
      <c r="Q223">
        <v>0.13684279999999999</v>
      </c>
      <c r="R223">
        <v>-1.6581160000000001E-2</v>
      </c>
      <c r="S223">
        <v>3.1145019999999999</v>
      </c>
      <c r="T223">
        <v>-0.69617519999999999</v>
      </c>
      <c r="U223">
        <v>-0.61511229999999995</v>
      </c>
      <c r="V223">
        <v>9.0123589999999993E-3</v>
      </c>
      <c r="W223">
        <v>0.142287</v>
      </c>
      <c r="X223">
        <v>0.98978440000000001</v>
      </c>
      <c r="Y223">
        <v>0.18225640000000001</v>
      </c>
      <c r="Z223">
        <v>-1.8298399999999999E-2</v>
      </c>
      <c r="AA223">
        <v>0.98308070000000003</v>
      </c>
      <c r="AB223">
        <v>32</v>
      </c>
      <c r="AC223">
        <v>0.48039999999997401</v>
      </c>
      <c r="AD223">
        <v>-0.17731930000000001</v>
      </c>
      <c r="AE223">
        <v>-0.155299999999954</v>
      </c>
      <c r="AF223">
        <v>0.13504223067963</v>
      </c>
      <c r="AG223">
        <v>-0.17731930000000001</v>
      </c>
      <c r="AH223">
        <v>0.428672384561814</v>
      </c>
      <c r="AI223">
        <v>111.530908253441</v>
      </c>
      <c r="AJ223">
        <v>72.514304520532605</v>
      </c>
      <c r="AK223">
        <v>0.48315479041952197</v>
      </c>
      <c r="AL223">
        <v>81.819793114896598</v>
      </c>
      <c r="AM223">
        <v>89.478314808271406</v>
      </c>
      <c r="AN223">
        <v>0.99999998573355198</v>
      </c>
    </row>
    <row r="224" spans="1:40" x14ac:dyDescent="0.25">
      <c r="A224" t="str">
        <f>"20190312172335796"</f>
        <v>20190312172335796</v>
      </c>
      <c r="B224" t="str">
        <f>"1552382615790163"</f>
        <v>1552382615790163</v>
      </c>
      <c r="C224" t="s">
        <v>40</v>
      </c>
      <c r="D224">
        <v>3.6346989999999999</v>
      </c>
      <c r="E224">
        <v>0.57014409999999904</v>
      </c>
      <c r="F224" t="s">
        <v>41</v>
      </c>
      <c r="G224">
        <v>-446.36759999999998</v>
      </c>
      <c r="H224">
        <v>0.93754119999999996</v>
      </c>
      <c r="I224">
        <v>366.73610000000002</v>
      </c>
      <c r="J224">
        <v>-446.82170000000002</v>
      </c>
      <c r="K224">
        <v>1.1097619999999999</v>
      </c>
      <c r="L224">
        <v>366.88679999999999</v>
      </c>
      <c r="M224">
        <v>0.99995940000000005</v>
      </c>
      <c r="N224">
        <v>0</v>
      </c>
      <c r="O224">
        <v>-6.9491869999999999E-3</v>
      </c>
      <c r="P224">
        <v>0.990479</v>
      </c>
      <c r="Q224">
        <v>0.13669039999999999</v>
      </c>
      <c r="R224">
        <v>-1.6349510000000001E-2</v>
      </c>
      <c r="S224">
        <v>3.1147459999999998</v>
      </c>
      <c r="T224">
        <v>-0.69567069999999998</v>
      </c>
      <c r="U224">
        <v>-0.61465449999999999</v>
      </c>
      <c r="V224">
        <v>9.3100030000000007E-3</v>
      </c>
      <c r="W224">
        <v>0.14239649999999901</v>
      </c>
      <c r="X224">
        <v>0.98976589999999998</v>
      </c>
      <c r="Y224">
        <v>0.18261450000000001</v>
      </c>
      <c r="Z224">
        <v>-1.8440620000000001E-2</v>
      </c>
      <c r="AA224">
        <v>0.98301170000000004</v>
      </c>
      <c r="AB224">
        <v>32</v>
      </c>
      <c r="AC224">
        <v>0.45410000000003897</v>
      </c>
      <c r="AD224">
        <v>-0.17222080000000001</v>
      </c>
      <c r="AE224">
        <v>-0.150699999999972</v>
      </c>
      <c r="AF224">
        <v>0.13061708958023299</v>
      </c>
      <c r="AG224">
        <v>-0.17222080000000001</v>
      </c>
      <c r="AH224">
        <v>0.40293007206189602</v>
      </c>
      <c r="AI224">
        <v>112.126231291998</v>
      </c>
      <c r="AJ224">
        <v>72.038957952127404</v>
      </c>
      <c r="AK224">
        <v>0.45724552596483098</v>
      </c>
      <c r="AL224">
        <v>81.813454705740199</v>
      </c>
      <c r="AM224">
        <v>89.461076454624802</v>
      </c>
      <c r="AN224">
        <v>0.99999998808545898</v>
      </c>
    </row>
    <row r="225" spans="1:40" x14ac:dyDescent="0.25">
      <c r="A225" t="str">
        <f>"20190312172335819"</f>
        <v>20190312172335819</v>
      </c>
      <c r="B225" t="str">
        <f>"1552382615809683"</f>
        <v>1552382615809683</v>
      </c>
      <c r="C225" t="s">
        <v>40</v>
      </c>
      <c r="D225">
        <v>3.6689820000000002</v>
      </c>
      <c r="E225">
        <v>0.57015869999999902</v>
      </c>
      <c r="F225" t="s">
        <v>41</v>
      </c>
      <c r="G225">
        <v>-446.07619999999997</v>
      </c>
      <c r="H225">
        <v>0.94297160000000002</v>
      </c>
      <c r="I225">
        <v>366.73930000000001</v>
      </c>
      <c r="J225">
        <v>-446.49099999999999</v>
      </c>
      <c r="K225">
        <v>1.109807</v>
      </c>
      <c r="L225">
        <v>366.88510000000002</v>
      </c>
      <c r="M225">
        <v>0.99996149999999995</v>
      </c>
      <c r="N225">
        <v>0</v>
      </c>
      <c r="O225">
        <v>-6.3897919999999896E-3</v>
      </c>
      <c r="P225">
        <v>0.99058710000000005</v>
      </c>
      <c r="Q225">
        <v>0.13593939999999999</v>
      </c>
      <c r="R225">
        <v>-1.6062899999999901E-2</v>
      </c>
      <c r="S225">
        <v>3.114868</v>
      </c>
      <c r="T225">
        <v>-0.69704889999999997</v>
      </c>
      <c r="U225">
        <v>-0.61380000000000001</v>
      </c>
      <c r="V225">
        <v>9.575577E-3</v>
      </c>
      <c r="W225">
        <v>0.14192639999999901</v>
      </c>
      <c r="X225">
        <v>0.98983089999999996</v>
      </c>
      <c r="Y225">
        <v>0.18286160000000001</v>
      </c>
      <c r="Z225">
        <v>-1.8625599999999999E-2</v>
      </c>
      <c r="AA225">
        <v>0.98296220000000001</v>
      </c>
      <c r="AB225">
        <v>32</v>
      </c>
      <c r="AC225">
        <v>0.41480000000001299</v>
      </c>
      <c r="AD225">
        <v>-0.166835399999999</v>
      </c>
      <c r="AE225">
        <v>-0.14580000000000801</v>
      </c>
      <c r="AF225">
        <v>0.125130059771656</v>
      </c>
      <c r="AG225">
        <v>-0.166835399999999</v>
      </c>
      <c r="AH225">
        <v>0.36340022357016499</v>
      </c>
      <c r="AI225">
        <v>113.464836300288</v>
      </c>
      <c r="AJ225">
        <v>70.999812796197304</v>
      </c>
      <c r="AK225">
        <v>0.41898843067853803</v>
      </c>
      <c r="AL225">
        <v>81.840665942029105</v>
      </c>
      <c r="AM225">
        <v>89.445740646640502</v>
      </c>
      <c r="AN225">
        <v>1.00000000264332</v>
      </c>
    </row>
    <row r="226" spans="1:40" x14ac:dyDescent="0.25">
      <c r="A226" t="str">
        <f>"20190312172335840"</f>
        <v>20190312172335840</v>
      </c>
      <c r="B226" t="str">
        <f>"1552382615830179"</f>
        <v>1552382615830179</v>
      </c>
      <c r="C226" t="s">
        <v>40</v>
      </c>
      <c r="D226">
        <v>3.7663090000000001</v>
      </c>
      <c r="E226">
        <v>0.57015079999999996</v>
      </c>
      <c r="F226" t="s">
        <v>41</v>
      </c>
      <c r="G226">
        <v>-445.78289999999998</v>
      </c>
      <c r="H226">
        <v>0.95080889999999996</v>
      </c>
      <c r="I226">
        <v>366.74520000000001</v>
      </c>
      <c r="J226">
        <v>-446.17880000000002</v>
      </c>
      <c r="K226">
        <v>1.109861</v>
      </c>
      <c r="L226">
        <v>366.8836</v>
      </c>
      <c r="M226">
        <v>0.99996260000000003</v>
      </c>
      <c r="N226">
        <v>0</v>
      </c>
      <c r="O226">
        <v>-5.8629859999999997E-3</v>
      </c>
      <c r="P226">
        <v>0.99065119999999895</v>
      </c>
      <c r="Q226">
        <v>0.13552929999999999</v>
      </c>
      <c r="R226">
        <v>-1.555368E-2</v>
      </c>
      <c r="S226">
        <v>3.1145320000000001</v>
      </c>
      <c r="T226">
        <v>-0.69961130000000005</v>
      </c>
      <c r="U226">
        <v>-0.61318969999999995</v>
      </c>
      <c r="V226">
        <v>9.5867230000000001E-3</v>
      </c>
      <c r="W226">
        <v>0.14184430000000001</v>
      </c>
      <c r="X226">
        <v>0.98984249999999996</v>
      </c>
      <c r="Y226">
        <v>0.18316209999999999</v>
      </c>
      <c r="Z226">
        <v>-1.8843530000000001E-2</v>
      </c>
      <c r="AA226">
        <v>0.9829021</v>
      </c>
      <c r="AB226">
        <v>32</v>
      </c>
      <c r="AC226">
        <v>0.39590000000004</v>
      </c>
      <c r="AD226">
        <v>-0.1590521</v>
      </c>
      <c r="AE226">
        <v>-0.13839999999999</v>
      </c>
      <c r="AF226">
        <v>0.11896611981138799</v>
      </c>
      <c r="AG226">
        <v>-0.1590521</v>
      </c>
      <c r="AH226">
        <v>0.346822862121339</v>
      </c>
      <c r="AI226">
        <v>113.45058178843</v>
      </c>
      <c r="AJ226">
        <v>71.067162905597797</v>
      </c>
      <c r="AK226">
        <v>0.39967062172171802</v>
      </c>
      <c r="AL226">
        <v>81.845417509935302</v>
      </c>
      <c r="AM226">
        <v>89.445102029968595</v>
      </c>
      <c r="AN226">
        <v>0.99999994275330695</v>
      </c>
    </row>
    <row r="227" spans="1:40" x14ac:dyDescent="0.25">
      <c r="A227" t="str">
        <f>"20190312172335854"</f>
        <v>20190312172335854</v>
      </c>
      <c r="B227" t="str">
        <f>"1552382615849699"</f>
        <v>1552382615849699</v>
      </c>
      <c r="C227" t="s">
        <v>40</v>
      </c>
      <c r="D227">
        <v>3.6600459999999999</v>
      </c>
      <c r="E227">
        <v>0.57012269999999998</v>
      </c>
      <c r="F227" t="s">
        <v>41</v>
      </c>
      <c r="G227">
        <v>-445.49099999999999</v>
      </c>
      <c r="H227">
        <v>0.95509469999999996</v>
      </c>
      <c r="I227">
        <v>366.74779999999998</v>
      </c>
      <c r="J227">
        <v>-445.99400000000003</v>
      </c>
      <c r="K227">
        <v>1.1099110000000001</v>
      </c>
      <c r="L227">
        <v>366.88279999999997</v>
      </c>
      <c r="M227">
        <v>0.99996260000000003</v>
      </c>
      <c r="N227">
        <v>0</v>
      </c>
      <c r="O227">
        <v>-5.5481330000000002E-3</v>
      </c>
      <c r="P227">
        <v>0.99067000000000005</v>
      </c>
      <c r="Q227">
        <v>0.1354436</v>
      </c>
      <c r="R227">
        <v>-1.5102600000000001E-2</v>
      </c>
      <c r="S227">
        <v>3.1146240000000001</v>
      </c>
      <c r="T227">
        <v>-0.70107849999999905</v>
      </c>
      <c r="U227">
        <v>-0.61172490000000002</v>
      </c>
      <c r="V227">
        <v>9.4455860000000006E-3</v>
      </c>
      <c r="W227">
        <v>0.14202509999999999</v>
      </c>
      <c r="X227">
        <v>0.98981799999999998</v>
      </c>
      <c r="Y227">
        <v>0.1829992</v>
      </c>
      <c r="Z227">
        <v>-1.8933780000000001E-2</v>
      </c>
      <c r="AA227">
        <v>0.98293070000000005</v>
      </c>
      <c r="AB227">
        <v>32</v>
      </c>
      <c r="AC227">
        <v>0.50300000000004197</v>
      </c>
      <c r="AD227">
        <v>-0.15481629999999999</v>
      </c>
      <c r="AE227">
        <v>-0.13499999999998999</v>
      </c>
      <c r="AF227">
        <v>0.121472969465691</v>
      </c>
      <c r="AG227">
        <v>-0.15481629999999999</v>
      </c>
      <c r="AH227">
        <v>0.46284144461952798</v>
      </c>
      <c r="AI227">
        <v>107.928157228571</v>
      </c>
      <c r="AJ227">
        <v>75.294349339157904</v>
      </c>
      <c r="AK227">
        <v>0.50293734392466305</v>
      </c>
      <c r="AL227">
        <v>81.834953042657403</v>
      </c>
      <c r="AM227">
        <v>89.453257279619805</v>
      </c>
      <c r="AN227">
        <v>1.00000001062444</v>
      </c>
    </row>
    <row r="228" spans="1:40" x14ac:dyDescent="0.25">
      <c r="A228" t="str">
        <f>"20190312172335867"</f>
        <v>20190312172335867</v>
      </c>
      <c r="B228" t="str">
        <f>"1552382615860436"</f>
        <v>1552382615860436</v>
      </c>
      <c r="C228" t="s">
        <v>40</v>
      </c>
      <c r="D228">
        <v>3.675583</v>
      </c>
      <c r="E228">
        <v>0.57010139999999998</v>
      </c>
      <c r="F228" t="s">
        <v>41</v>
      </c>
      <c r="G228">
        <v>-445.21019999999999</v>
      </c>
      <c r="H228">
        <v>0.93348520000000001</v>
      </c>
      <c r="I228">
        <v>366.72890000000001</v>
      </c>
      <c r="J228">
        <v>-445.80590000000001</v>
      </c>
      <c r="K228">
        <v>1.10997099999999</v>
      </c>
      <c r="L228">
        <v>366.88200000000001</v>
      </c>
      <c r="M228">
        <v>0.99996229999999997</v>
      </c>
      <c r="N228">
        <v>0</v>
      </c>
      <c r="O228">
        <v>-5.2322219999999999E-3</v>
      </c>
      <c r="P228">
        <v>0.99072959999999999</v>
      </c>
      <c r="Q228">
        <v>0.1350392</v>
      </c>
      <c r="R228">
        <v>-1.4820740000000001E-2</v>
      </c>
      <c r="S228">
        <v>3.1148380000000002</v>
      </c>
      <c r="T228">
        <v>-0.70135999999999998</v>
      </c>
      <c r="U228">
        <v>-0.60983279999999995</v>
      </c>
      <c r="V228">
        <v>9.4750249999999998E-3</v>
      </c>
      <c r="W228">
        <v>0.1419231</v>
      </c>
      <c r="X228">
        <v>0.9898323</v>
      </c>
      <c r="Y228">
        <v>0.1827175</v>
      </c>
      <c r="Z228">
        <v>-1.8979570000000001E-2</v>
      </c>
      <c r="AA228">
        <v>0.98298220000000003</v>
      </c>
      <c r="AB228">
        <v>32</v>
      </c>
      <c r="AC228">
        <v>0.59570000000002199</v>
      </c>
      <c r="AD228">
        <v>-0.176485799999999</v>
      </c>
      <c r="AE228">
        <v>-0.15309999999993801</v>
      </c>
      <c r="AF228">
        <v>0.13857167279964799</v>
      </c>
      <c r="AG228">
        <v>-0.176485799999999</v>
      </c>
      <c r="AH228">
        <v>0.55111663710958003</v>
      </c>
      <c r="AI228">
        <v>107.253038164236</v>
      </c>
      <c r="AJ228">
        <v>75.886237263435007</v>
      </c>
      <c r="AK228">
        <v>0.59504528718670302</v>
      </c>
      <c r="AL228">
        <v>81.840856619930506</v>
      </c>
      <c r="AM228">
        <v>89.451561276725698</v>
      </c>
      <c r="AN228">
        <v>0.99999996226782395</v>
      </c>
    </row>
    <row r="229" spans="1:40" x14ac:dyDescent="0.25">
      <c r="A229" t="str">
        <f>"20190312172335886"</f>
        <v>20190312172335886</v>
      </c>
      <c r="B229" t="str">
        <f>"1552382615879955"</f>
        <v>1552382615879955</v>
      </c>
      <c r="C229" t="s">
        <v>40</v>
      </c>
      <c r="D229">
        <v>3.6898930000000001</v>
      </c>
      <c r="E229">
        <v>0.57010240000000001</v>
      </c>
      <c r="F229" t="s">
        <v>41</v>
      </c>
      <c r="G229">
        <v>-444.92880000000002</v>
      </c>
      <c r="H229">
        <v>0.91211310000000001</v>
      </c>
      <c r="I229">
        <v>366.71019999999999</v>
      </c>
      <c r="J229">
        <v>-445.5256</v>
      </c>
      <c r="K229">
        <v>1.1100639999999999</v>
      </c>
      <c r="L229">
        <v>366.88099999999997</v>
      </c>
      <c r="M229">
        <v>0.99996099999999999</v>
      </c>
      <c r="N229">
        <v>0</v>
      </c>
      <c r="O229">
        <v>-4.7674869999999999E-3</v>
      </c>
      <c r="P229">
        <v>0.99079689999999998</v>
      </c>
      <c r="Q229">
        <v>0.1346318</v>
      </c>
      <c r="R229">
        <v>-1.3994799999999899E-2</v>
      </c>
      <c r="S229">
        <v>3.1146850000000001</v>
      </c>
      <c r="T229">
        <v>-0.70274230000000004</v>
      </c>
      <c r="U229">
        <v>-0.60852050000000002</v>
      </c>
      <c r="V229">
        <v>9.1072270000000007E-3</v>
      </c>
      <c r="W229">
        <v>0.142018899999999</v>
      </c>
      <c r="X229">
        <v>0.98982199999999998</v>
      </c>
      <c r="Y229">
        <v>0.18275449999999999</v>
      </c>
      <c r="Z229">
        <v>-1.9124390000000002E-2</v>
      </c>
      <c r="AA229">
        <v>0.98297259999999997</v>
      </c>
      <c r="AB229">
        <v>32</v>
      </c>
      <c r="AC229">
        <v>0.59679999999997302</v>
      </c>
      <c r="AD229">
        <v>-0.19795090000000001</v>
      </c>
      <c r="AE229">
        <v>-0.17079999999998499</v>
      </c>
      <c r="AF229">
        <v>0.152450438167613</v>
      </c>
      <c r="AG229">
        <v>-0.19795090000000001</v>
      </c>
      <c r="AH229">
        <v>0.54244739995596003</v>
      </c>
      <c r="AI229">
        <v>109.356956428955</v>
      </c>
      <c r="AJ229">
        <v>74.302412965792101</v>
      </c>
      <c r="AK229">
        <v>0.59722263572916301</v>
      </c>
      <c r="AL229">
        <v>81.835311420864002</v>
      </c>
      <c r="AM229">
        <v>89.472843656493296</v>
      </c>
      <c r="AN229">
        <v>0.99999995061241798</v>
      </c>
    </row>
    <row r="230" spans="1:40" x14ac:dyDescent="0.25">
      <c r="A230" t="str">
        <f>"20190312172335910"</f>
        <v>20190312172335910</v>
      </c>
      <c r="B230" t="str">
        <f>"1552382615899475"</f>
        <v>1552382615899475</v>
      </c>
      <c r="C230" t="s">
        <v>40</v>
      </c>
      <c r="D230">
        <v>3.674226</v>
      </c>
      <c r="E230">
        <v>0.57012669999999999</v>
      </c>
      <c r="F230" t="s">
        <v>41</v>
      </c>
      <c r="G230">
        <v>-444.64019999999999</v>
      </c>
      <c r="H230">
        <v>0.90988040000000003</v>
      </c>
      <c r="I230">
        <v>366.70850000000002</v>
      </c>
      <c r="J230">
        <v>-445.18740000000003</v>
      </c>
      <c r="K230">
        <v>1.1101529999999999</v>
      </c>
      <c r="L230">
        <v>366.88</v>
      </c>
      <c r="M230">
        <v>0.99995900000000004</v>
      </c>
      <c r="N230">
        <v>0</v>
      </c>
      <c r="O230">
        <v>-4.1957030000000003E-3</v>
      </c>
      <c r="P230">
        <v>0.99091090000000004</v>
      </c>
      <c r="Q230">
        <v>0.13386310000000001</v>
      </c>
      <c r="R230">
        <v>-1.327975E-2</v>
      </c>
      <c r="S230">
        <v>3.1150509999999998</v>
      </c>
      <c r="T230">
        <v>-0.70442380000000004</v>
      </c>
      <c r="U230">
        <v>-0.60546880000000003</v>
      </c>
      <c r="V230">
        <v>8.9573789999999997E-3</v>
      </c>
      <c r="W230">
        <v>0.14181550000000001</v>
      </c>
      <c r="X230">
        <v>0.98985259999999997</v>
      </c>
      <c r="Y230">
        <v>0.18234220000000001</v>
      </c>
      <c r="Z230">
        <v>-1.9249510000000001E-2</v>
      </c>
      <c r="AA230">
        <v>0.98304669999999905</v>
      </c>
      <c r="AB230">
        <v>32</v>
      </c>
      <c r="AC230">
        <v>0.54720000000003199</v>
      </c>
      <c r="AD230">
        <v>-0.2002726</v>
      </c>
      <c r="AE230">
        <v>-0.17149999999998</v>
      </c>
      <c r="AF230">
        <v>0.150808224559183</v>
      </c>
      <c r="AG230">
        <v>-0.2002726</v>
      </c>
      <c r="AH230">
        <v>0.48834999506504301</v>
      </c>
      <c r="AI230">
        <v>111.39733170978501</v>
      </c>
      <c r="AJ230">
        <v>72.838696492826401</v>
      </c>
      <c r="AK230">
        <v>0.54894257676507596</v>
      </c>
      <c r="AL230">
        <v>81.847085115541901</v>
      </c>
      <c r="AM230">
        <v>89.481532902964304</v>
      </c>
      <c r="AN230">
        <v>1.0000000202027699</v>
      </c>
    </row>
    <row r="231" spans="1:40" x14ac:dyDescent="0.25">
      <c r="A231" t="str">
        <f>"20190312172335931"</f>
        <v>20190312172335931</v>
      </c>
      <c r="B231" t="str">
        <f>"1552382615919971"</f>
        <v>1552382615919971</v>
      </c>
      <c r="C231" t="s">
        <v>40</v>
      </c>
      <c r="D231">
        <v>3.6938119999999999</v>
      </c>
      <c r="E231">
        <v>0.57020280000000001</v>
      </c>
      <c r="F231" t="s">
        <v>41</v>
      </c>
      <c r="G231">
        <v>-444.34699999999998</v>
      </c>
      <c r="H231">
        <v>0.9193462</v>
      </c>
      <c r="I231">
        <v>366.71710000000002</v>
      </c>
      <c r="J231">
        <v>-444.87560000000002</v>
      </c>
      <c r="K231">
        <v>1.1102099999999999</v>
      </c>
      <c r="L231">
        <v>366.8793</v>
      </c>
      <c r="M231">
        <v>0.9999574</v>
      </c>
      <c r="N231">
        <v>0</v>
      </c>
      <c r="O231">
        <v>-3.6619339999999999E-3</v>
      </c>
      <c r="P231">
        <v>0.99098929999999996</v>
      </c>
      <c r="Q231">
        <v>0.133329</v>
      </c>
      <c r="R231">
        <v>-1.280384E-2</v>
      </c>
      <c r="S231">
        <v>3.115021</v>
      </c>
      <c r="T231">
        <v>-0.70747169999999904</v>
      </c>
      <c r="U231">
        <v>-0.60241699999999998</v>
      </c>
      <c r="V231">
        <v>9.0086460000000004E-3</v>
      </c>
      <c r="W231">
        <v>0.141739</v>
      </c>
      <c r="X231">
        <v>0.9898631</v>
      </c>
      <c r="Y231">
        <v>0.18189959999999999</v>
      </c>
      <c r="Z231">
        <v>-1.9402119999999998E-2</v>
      </c>
      <c r="AA231">
        <v>0.98312569999999999</v>
      </c>
      <c r="AB231">
        <v>32</v>
      </c>
      <c r="AC231">
        <v>0.52860000000003904</v>
      </c>
      <c r="AD231">
        <v>-0.1908638</v>
      </c>
      <c r="AE231">
        <v>-0.162199999999984</v>
      </c>
      <c r="AF231">
        <v>0.14320008535277501</v>
      </c>
      <c r="AG231">
        <v>-0.1908638</v>
      </c>
      <c r="AH231">
        <v>0.47284805708013</v>
      </c>
      <c r="AI231">
        <v>111.122543747254</v>
      </c>
      <c r="AJ231">
        <v>73.151279753899601</v>
      </c>
      <c r="AK231">
        <v>0.52964189758735702</v>
      </c>
      <c r="AL231">
        <v>81.851513036462904</v>
      </c>
      <c r="AM231">
        <v>89.478571183075999</v>
      </c>
      <c r="AN231">
        <v>1.00000002828268</v>
      </c>
    </row>
    <row r="232" spans="1:40" x14ac:dyDescent="0.25">
      <c r="A232" t="str">
        <f>"20190312172335955"</f>
        <v>20190312172335955</v>
      </c>
      <c r="B232" t="str">
        <f>"1552382615950227"</f>
        <v>1552382615950227</v>
      </c>
      <c r="C232" t="s">
        <v>40</v>
      </c>
      <c r="D232">
        <v>3.675373</v>
      </c>
      <c r="E232">
        <v>0.57027320000000004</v>
      </c>
      <c r="F232" t="s">
        <v>41</v>
      </c>
      <c r="G232">
        <v>-444.05599999999998</v>
      </c>
      <c r="H232">
        <v>0.92352820000000002</v>
      </c>
      <c r="I232">
        <v>366.7208</v>
      </c>
      <c r="J232">
        <v>-444.54070000000002</v>
      </c>
      <c r="K232">
        <v>1.1102590000000001</v>
      </c>
      <c r="L232">
        <v>366.87869999999998</v>
      </c>
      <c r="M232">
        <v>0.9999555</v>
      </c>
      <c r="N232">
        <v>0</v>
      </c>
      <c r="O232">
        <v>-3.0938659999999998E-3</v>
      </c>
      <c r="P232">
        <v>0.99103680000000005</v>
      </c>
      <c r="Q232">
        <v>0.13306999999999999</v>
      </c>
      <c r="R232">
        <v>-1.1775529999999999E-2</v>
      </c>
      <c r="S232">
        <v>3.1149900000000001</v>
      </c>
      <c r="T232">
        <v>-0.70965449999999997</v>
      </c>
      <c r="U232">
        <v>-0.60147090000000003</v>
      </c>
      <c r="V232">
        <v>8.5411740000000003E-3</v>
      </c>
      <c r="W232">
        <v>0.14192260000000001</v>
      </c>
      <c r="X232">
        <v>0.98984090000000002</v>
      </c>
      <c r="Y232">
        <v>0.18212490000000001</v>
      </c>
      <c r="Z232">
        <v>-1.961299E-2</v>
      </c>
      <c r="AA232">
        <v>0.98307979999999995</v>
      </c>
      <c r="AB232">
        <v>32</v>
      </c>
      <c r="AC232">
        <v>0.48470000000003199</v>
      </c>
      <c r="AD232">
        <v>-0.1867308</v>
      </c>
      <c r="AE232">
        <v>-0.157899999999983</v>
      </c>
      <c r="AF232">
        <v>0.13789685116131301</v>
      </c>
      <c r="AG232">
        <v>-0.1867308</v>
      </c>
      <c r="AH232">
        <v>0.42778662666595302</v>
      </c>
      <c r="AI232">
        <v>112.56059583406299</v>
      </c>
      <c r="AJ232">
        <v>72.133294058814897</v>
      </c>
      <c r="AK232">
        <v>0.48670867177715399</v>
      </c>
      <c r="AL232">
        <v>81.840885802368405</v>
      </c>
      <c r="AM232">
        <v>89.505616430773301</v>
      </c>
      <c r="AN232">
        <v>0.99999999167843401</v>
      </c>
    </row>
    <row r="233" spans="1:40" x14ac:dyDescent="0.25">
      <c r="A233" t="str">
        <f>"20190312172335976"</f>
        <v>20190312172335976</v>
      </c>
      <c r="B233" t="str">
        <f>"1552382615969747"</f>
        <v>1552382615969747</v>
      </c>
      <c r="C233" t="s">
        <v>40</v>
      </c>
      <c r="D233">
        <v>3.6945939999999999</v>
      </c>
      <c r="E233">
        <v>0.57035089999999999</v>
      </c>
      <c r="F233" t="s">
        <v>41</v>
      </c>
      <c r="G233">
        <v>-443.76299999999998</v>
      </c>
      <c r="H233">
        <v>0.93289840000000002</v>
      </c>
      <c r="I233">
        <v>366.7285</v>
      </c>
      <c r="J233">
        <v>-444.21769999999998</v>
      </c>
      <c r="K233">
        <v>1.1102939999999999</v>
      </c>
      <c r="L233">
        <v>366.87830000000002</v>
      </c>
      <c r="M233">
        <v>0.99995350000000005</v>
      </c>
      <c r="N233">
        <v>0</v>
      </c>
      <c r="O233">
        <v>-2.5483490000000001E-3</v>
      </c>
      <c r="P233">
        <v>0.99105370000000004</v>
      </c>
      <c r="Q233">
        <v>0.13299810000000001</v>
      </c>
      <c r="R233">
        <v>-1.1160150000000001E-2</v>
      </c>
      <c r="S233">
        <v>3.1154480000000002</v>
      </c>
      <c r="T233">
        <v>-0.71075859999999902</v>
      </c>
      <c r="U233">
        <v>-0.59890750000000004</v>
      </c>
      <c r="V233">
        <v>8.4649649999999996E-3</v>
      </c>
      <c r="W233">
        <v>0.14223749999999999</v>
      </c>
      <c r="X233">
        <v>0.98979629999999996</v>
      </c>
      <c r="Y233">
        <v>0.1818343</v>
      </c>
      <c r="Z233">
        <v>-1.9730810000000001E-2</v>
      </c>
      <c r="AA233">
        <v>0.98313119999999998</v>
      </c>
      <c r="AB233">
        <v>32</v>
      </c>
      <c r="AC233">
        <v>0.45469999999994498</v>
      </c>
      <c r="AD233">
        <v>-0.17739559999999999</v>
      </c>
      <c r="AE233">
        <v>-0.14980000000002699</v>
      </c>
      <c r="AF233">
        <v>0.130695586721883</v>
      </c>
      <c r="AG233">
        <v>-0.17739559999999999</v>
      </c>
      <c r="AH233">
        <v>0.40013921412106002</v>
      </c>
      <c r="AI233">
        <v>112.85175529706601</v>
      </c>
      <c r="AJ233">
        <v>71.911652794719899</v>
      </c>
      <c r="AK233">
        <v>0.45679527795869002</v>
      </c>
      <c r="AL233">
        <v>81.822658012125302</v>
      </c>
      <c r="AM233">
        <v>89.510005296869195</v>
      </c>
      <c r="AN233">
        <v>0.99999993876619298</v>
      </c>
    </row>
    <row r="234" spans="1:40" x14ac:dyDescent="0.25">
      <c r="A234" t="str">
        <f>"20190312172335999"</f>
        <v>20190312172335999</v>
      </c>
      <c r="B234" t="str">
        <f>"1552382615990243"</f>
        <v>1552382615990243</v>
      </c>
      <c r="C234" t="s">
        <v>40</v>
      </c>
      <c r="D234">
        <v>3.8045460000000002</v>
      </c>
      <c r="E234">
        <v>0.57035930000000001</v>
      </c>
      <c r="F234" t="s">
        <v>41</v>
      </c>
      <c r="G234">
        <v>-443.47089999999997</v>
      </c>
      <c r="H234">
        <v>0.93980589999999997</v>
      </c>
      <c r="I234">
        <v>366.73469999999998</v>
      </c>
      <c r="J234">
        <v>-443.90190000000001</v>
      </c>
      <c r="K234">
        <v>1.110317</v>
      </c>
      <c r="L234">
        <v>366.87810000000002</v>
      </c>
      <c r="M234">
        <v>0.99995140000000005</v>
      </c>
      <c r="N234">
        <v>0</v>
      </c>
      <c r="O234">
        <v>-2.012401E-3</v>
      </c>
      <c r="P234">
        <v>0.99106349999999999</v>
      </c>
      <c r="Q234">
        <v>0.1329506</v>
      </c>
      <c r="R234">
        <v>-1.084095E-2</v>
      </c>
      <c r="S234">
        <v>3.1158450000000002</v>
      </c>
      <c r="T234">
        <v>-0.71146239999999905</v>
      </c>
      <c r="U234">
        <v>-0.59762569999999904</v>
      </c>
      <c r="V234">
        <v>8.6772749999999999E-3</v>
      </c>
      <c r="W234">
        <v>0.14252960000000001</v>
      </c>
      <c r="X234">
        <v>0.98975250000000004</v>
      </c>
      <c r="Y234">
        <v>0.181924</v>
      </c>
      <c r="Z234">
        <v>-1.9877969999999998E-2</v>
      </c>
      <c r="AA234">
        <v>0.98311170000000003</v>
      </c>
      <c r="AB234">
        <v>32</v>
      </c>
      <c r="AC234">
        <v>0.43100000000004002</v>
      </c>
      <c r="AD234">
        <v>-0.170511099999999</v>
      </c>
      <c r="AE234">
        <v>-0.14340000000004199</v>
      </c>
      <c r="AF234">
        <v>0.124928184404345</v>
      </c>
      <c r="AG234">
        <v>-0.170511099999999</v>
      </c>
      <c r="AH234">
        <v>0.37801945572039503</v>
      </c>
      <c r="AI234">
        <v>113.184594012144</v>
      </c>
      <c r="AJ234">
        <v>71.712269471577898</v>
      </c>
      <c r="AK234">
        <v>0.43310483186512699</v>
      </c>
      <c r="AL234">
        <v>81.805750121229295</v>
      </c>
      <c r="AM234">
        <v>89.4976941226723</v>
      </c>
      <c r="AN234">
        <v>0.99999999661691696</v>
      </c>
    </row>
    <row r="235" spans="1:40" x14ac:dyDescent="0.25">
      <c r="A235" t="str">
        <f>"20190312172336020"</f>
        <v>20190312172336020</v>
      </c>
      <c r="B235" t="str">
        <f>"1552382616009765"</f>
        <v>1552382616009765</v>
      </c>
      <c r="C235" t="s">
        <v>40</v>
      </c>
      <c r="D235">
        <v>3.6854369999999999</v>
      </c>
      <c r="E235">
        <v>0.57030899999999995</v>
      </c>
      <c r="F235" t="s">
        <v>41</v>
      </c>
      <c r="G235">
        <v>-443.17930000000001</v>
      </c>
      <c r="H235">
        <v>0.94527700000000003</v>
      </c>
      <c r="I235">
        <v>366.73919999999998</v>
      </c>
      <c r="J235">
        <v>-443.58179999999999</v>
      </c>
      <c r="K235">
        <v>1.1103320000000001</v>
      </c>
      <c r="L235">
        <v>366.87810000000002</v>
      </c>
      <c r="M235">
        <v>0.99994930000000004</v>
      </c>
      <c r="N235">
        <v>0</v>
      </c>
      <c r="O235">
        <v>-1.46578299999999E-3</v>
      </c>
      <c r="P235">
        <v>0.99112679999999997</v>
      </c>
      <c r="Q235">
        <v>0.13257550000000001</v>
      </c>
      <c r="R235">
        <v>-9.5645580000000008E-3</v>
      </c>
      <c r="S235">
        <v>3.1160580000000002</v>
      </c>
      <c r="T235">
        <v>-0.71194860000000004</v>
      </c>
      <c r="U235">
        <v>-0.59622189999999997</v>
      </c>
      <c r="V235">
        <v>7.9443859999999995E-3</v>
      </c>
      <c r="W235">
        <v>0.1424588</v>
      </c>
      <c r="X235">
        <v>0.98976889999999995</v>
      </c>
      <c r="Y235">
        <v>0.18199989999999999</v>
      </c>
      <c r="Z235">
        <v>-2.002143E-2</v>
      </c>
      <c r="AA235">
        <v>0.98309469999999999</v>
      </c>
      <c r="AB235">
        <v>32</v>
      </c>
      <c r="AC235">
        <v>0.40249999999997499</v>
      </c>
      <c r="AD235">
        <v>-0.16505499999999901</v>
      </c>
      <c r="AE235">
        <v>-0.138900000000035</v>
      </c>
      <c r="AF235">
        <v>0.120241612186386</v>
      </c>
      <c r="AG235">
        <v>-0.16505499999999901</v>
      </c>
      <c r="AH235">
        <v>0.35009568114673101</v>
      </c>
      <c r="AI235">
        <v>114.031663305851</v>
      </c>
      <c r="AJ235">
        <v>71.044782831945298</v>
      </c>
      <c r="AK235">
        <v>0.40530011631354701</v>
      </c>
      <c r="AL235">
        <v>81.809848917123205</v>
      </c>
      <c r="AM235">
        <v>89.540124958416698</v>
      </c>
      <c r="AN235">
        <v>1.00000004918678</v>
      </c>
    </row>
    <row r="236" spans="1:40" x14ac:dyDescent="0.25">
      <c r="A236" t="str">
        <f>"20190312172336033"</f>
        <v>20190312172336033</v>
      </c>
      <c r="B236" t="str">
        <f>"1552382616030260"</f>
        <v>1552382616030260</v>
      </c>
      <c r="C236" t="s">
        <v>40</v>
      </c>
      <c r="D236">
        <v>3.7384330000000001</v>
      </c>
      <c r="E236">
        <v>0.57032969999999905</v>
      </c>
      <c r="F236" t="s">
        <v>41</v>
      </c>
      <c r="G236">
        <v>-442.88740000000001</v>
      </c>
      <c r="H236">
        <v>0.95152309999999996</v>
      </c>
      <c r="I236">
        <v>366.74579999999997</v>
      </c>
      <c r="J236">
        <v>-443.40620000000001</v>
      </c>
      <c r="K236">
        <v>1.1103339999999999</v>
      </c>
      <c r="L236">
        <v>366.87819999999999</v>
      </c>
      <c r="M236">
        <v>0.99994810000000001</v>
      </c>
      <c r="N236">
        <v>0</v>
      </c>
      <c r="O236">
        <v>-1.16512E-3</v>
      </c>
      <c r="P236">
        <v>0.99112730000000004</v>
      </c>
      <c r="Q236">
        <v>0.13259649999999901</v>
      </c>
      <c r="R236">
        <v>-9.211426E-3</v>
      </c>
      <c r="S236">
        <v>3.1164860000000001</v>
      </c>
      <c r="T236">
        <v>-0.71279380000000003</v>
      </c>
      <c r="U236">
        <v>-0.592315699999999</v>
      </c>
      <c r="V236">
        <v>7.8898909999999996E-3</v>
      </c>
      <c r="W236">
        <v>0.142627799999999</v>
      </c>
      <c r="X236">
        <v>0.98974499999999999</v>
      </c>
      <c r="Y236">
        <v>0.18108589999999999</v>
      </c>
      <c r="Z236">
        <v>-2.0009240000000001E-2</v>
      </c>
      <c r="AA236">
        <v>0.98326369999999996</v>
      </c>
      <c r="AB236">
        <v>32</v>
      </c>
      <c r="AC236">
        <v>0.51879999999999804</v>
      </c>
      <c r="AD236">
        <v>-0.15881089999999901</v>
      </c>
      <c r="AE236">
        <v>-0.132400000000018</v>
      </c>
      <c r="AF236">
        <v>0.121138295562659</v>
      </c>
      <c r="AG236">
        <v>-0.15881089999999901</v>
      </c>
      <c r="AH236">
        <v>0.47699074433661298</v>
      </c>
      <c r="AI236">
        <v>107.884854230871</v>
      </c>
      <c r="AJ236">
        <v>75.750216786728501</v>
      </c>
      <c r="AK236">
        <v>0.51712238280066003</v>
      </c>
      <c r="AL236">
        <v>81.8000660598737</v>
      </c>
      <c r="AM236">
        <v>89.543268336950803</v>
      </c>
      <c r="AN236">
        <v>1.0000000523689101</v>
      </c>
    </row>
    <row r="237" spans="1:40" x14ac:dyDescent="0.25">
      <c r="A237" t="str">
        <f>"20190312172336052"</f>
        <v>20190312172336052</v>
      </c>
      <c r="B237" t="str">
        <f>"1552382616049779"</f>
        <v>1552382616049779</v>
      </c>
      <c r="C237" t="s">
        <v>40</v>
      </c>
      <c r="D237">
        <v>3.6849769999999999</v>
      </c>
      <c r="E237">
        <v>0.57036960000000003</v>
      </c>
      <c r="F237" t="s">
        <v>41</v>
      </c>
      <c r="G237">
        <v>-442.60820000000001</v>
      </c>
      <c r="H237">
        <v>0.92785169999999995</v>
      </c>
      <c r="I237">
        <v>366.72640000000001</v>
      </c>
      <c r="J237">
        <v>-443.1191</v>
      </c>
      <c r="K237">
        <v>1.110344</v>
      </c>
      <c r="L237">
        <v>366.8784</v>
      </c>
      <c r="M237">
        <v>0.99994629999999995</v>
      </c>
      <c r="N237">
        <v>0</v>
      </c>
      <c r="O237">
        <v>-6.7458809999999998E-4</v>
      </c>
      <c r="P237">
        <v>0.99116329999999997</v>
      </c>
      <c r="Q237">
        <v>0.13239229999999999</v>
      </c>
      <c r="R237">
        <v>-8.2427709999999994E-3</v>
      </c>
      <c r="S237">
        <v>3.11673</v>
      </c>
      <c r="T237">
        <v>-0.71291040000000006</v>
      </c>
      <c r="U237">
        <v>-0.59158330000000003</v>
      </c>
      <c r="V237">
        <v>7.4087919999999896E-3</v>
      </c>
      <c r="W237">
        <v>0.1426481</v>
      </c>
      <c r="X237">
        <v>0.98974569999999995</v>
      </c>
      <c r="Y237">
        <v>0.1813118</v>
      </c>
      <c r="Z237">
        <v>-2.014647E-2</v>
      </c>
      <c r="AA237">
        <v>0.98321930000000002</v>
      </c>
      <c r="AB237">
        <v>32</v>
      </c>
      <c r="AC237">
        <v>0.51089999999999203</v>
      </c>
      <c r="AD237">
        <v>-0.1824923</v>
      </c>
      <c r="AE237">
        <v>-0.15199999999998601</v>
      </c>
      <c r="AF237">
        <v>0.13574406661284699</v>
      </c>
      <c r="AG237">
        <v>-0.1824923</v>
      </c>
      <c r="AH237">
        <v>0.45738953715429498</v>
      </c>
      <c r="AI237">
        <v>110.931711287664</v>
      </c>
      <c r="AJ237">
        <v>73.470164526854504</v>
      </c>
      <c r="AK237">
        <v>0.51081804967924105</v>
      </c>
      <c r="AL237">
        <v>81.798890182557699</v>
      </c>
      <c r="AM237">
        <v>89.571117525885697</v>
      </c>
      <c r="AN237">
        <v>0.99999996065049801</v>
      </c>
    </row>
    <row r="238" spans="1:40" x14ac:dyDescent="0.25">
      <c r="A238" t="str">
        <f>"20190312172336076"</f>
        <v>20190312172336076</v>
      </c>
      <c r="B238" t="str">
        <f>"1552382616070276"</f>
        <v>1552382616070276</v>
      </c>
      <c r="C238" t="s">
        <v>40</v>
      </c>
      <c r="D238">
        <v>3.6949960000000002</v>
      </c>
      <c r="E238">
        <v>0.57046030000000003</v>
      </c>
      <c r="F238" t="s">
        <v>41</v>
      </c>
      <c r="G238">
        <v>-442.31950000000001</v>
      </c>
      <c r="H238">
        <v>0.92726830000000005</v>
      </c>
      <c r="I238">
        <v>366.72719999999998</v>
      </c>
      <c r="J238">
        <v>-442.77929999999998</v>
      </c>
      <c r="K238">
        <v>1.1103529999999999</v>
      </c>
      <c r="L238">
        <v>366.87880000000001</v>
      </c>
      <c r="M238">
        <v>0.99994419999999995</v>
      </c>
      <c r="N238">
        <v>0</v>
      </c>
      <c r="O238" s="1">
        <v>-9.6521750000000005E-5</v>
      </c>
      <c r="P238">
        <v>0.99119610000000002</v>
      </c>
      <c r="Q238">
        <v>0.1322015</v>
      </c>
      <c r="R238">
        <v>-7.318148E-3</v>
      </c>
      <c r="S238">
        <v>3.1171880000000001</v>
      </c>
      <c r="T238">
        <v>-0.71371839999999998</v>
      </c>
      <c r="U238">
        <v>-0.58917240000000004</v>
      </c>
      <c r="V238">
        <v>7.058501E-3</v>
      </c>
      <c r="W238">
        <v>0.1426915</v>
      </c>
      <c r="X238">
        <v>0.98974200000000001</v>
      </c>
      <c r="Y238">
        <v>0.18110039999999999</v>
      </c>
      <c r="Z238">
        <v>-2.027315E-2</v>
      </c>
      <c r="AA238">
        <v>0.98325560000000001</v>
      </c>
      <c r="AB238">
        <v>32</v>
      </c>
      <c r="AC238">
        <v>0.45979999999997201</v>
      </c>
      <c r="AD238">
        <v>-0.18308469999999999</v>
      </c>
      <c r="AE238">
        <v>-0.15160000000002999</v>
      </c>
      <c r="AF238">
        <v>0.132594091123723</v>
      </c>
      <c r="AG238">
        <v>-0.18308469999999999</v>
      </c>
      <c r="AH238">
        <v>0.40228600360908101</v>
      </c>
      <c r="AI238">
        <v>113.37580951733</v>
      </c>
      <c r="AJ238">
        <v>71.757699918967006</v>
      </c>
      <c r="AK238">
        <v>0.46144905360698502</v>
      </c>
      <c r="AL238">
        <v>81.796377811702598</v>
      </c>
      <c r="AM238">
        <v>89.591393049078306</v>
      </c>
      <c r="AN238">
        <v>0.99999995658630703</v>
      </c>
    </row>
    <row r="239" spans="1:40" x14ac:dyDescent="0.25">
      <c r="A239" t="str">
        <f>"20190312172336089"</f>
        <v>20190312172336089</v>
      </c>
      <c r="B239" t="str">
        <f>"1552382616080036"</f>
        <v>1552382616080036</v>
      </c>
      <c r="C239" t="s">
        <v>40</v>
      </c>
      <c r="D239">
        <v>3.7151399999999999</v>
      </c>
      <c r="E239">
        <v>0.57050690000000004</v>
      </c>
      <c r="F239" t="s">
        <v>41</v>
      </c>
      <c r="G239">
        <v>-442.0265</v>
      </c>
      <c r="H239">
        <v>0.93782140000000003</v>
      </c>
      <c r="I239">
        <v>366.73680000000002</v>
      </c>
      <c r="J239">
        <v>-442.59070000000003</v>
      </c>
      <c r="K239">
        <v>1.110355</v>
      </c>
      <c r="L239">
        <v>366.87909999999999</v>
      </c>
      <c r="M239">
        <v>0.99994269999999996</v>
      </c>
      <c r="N239">
        <v>0</v>
      </c>
      <c r="O239">
        <v>2.209251E-4</v>
      </c>
      <c r="P239">
        <v>0.99120920000000001</v>
      </c>
      <c r="Q239">
        <v>0.13213549999999999</v>
      </c>
      <c r="R239">
        <v>-6.6906450000000003E-3</v>
      </c>
      <c r="S239">
        <v>3.117645</v>
      </c>
      <c r="T239">
        <v>-0.71453199999999994</v>
      </c>
      <c r="U239">
        <v>-0.58694460000000004</v>
      </c>
      <c r="V239">
        <v>6.7470389999999998E-3</v>
      </c>
      <c r="W239">
        <v>0.14274100000000001</v>
      </c>
      <c r="X239">
        <v>0.98973710000000004</v>
      </c>
      <c r="Y239">
        <v>0.1806999</v>
      </c>
      <c r="Z239">
        <v>-2.032043E-2</v>
      </c>
      <c r="AA239">
        <v>0.98332830000000004</v>
      </c>
      <c r="AB239">
        <v>32</v>
      </c>
      <c r="AC239">
        <v>0.56420000000002701</v>
      </c>
      <c r="AD239">
        <v>-0.17253359999999901</v>
      </c>
      <c r="AE239">
        <v>-0.142299999999977</v>
      </c>
      <c r="AF239">
        <v>0.13091439074698499</v>
      </c>
      <c r="AG239">
        <v>-0.17253359999999901</v>
      </c>
      <c r="AH239">
        <v>0.518574430652322</v>
      </c>
      <c r="AI239">
        <v>107.879017132659</v>
      </c>
      <c r="AJ239">
        <v>75.8316869175638</v>
      </c>
      <c r="AK239">
        <v>0.56198386183234394</v>
      </c>
      <c r="AL239">
        <v>81.793512873770098</v>
      </c>
      <c r="AM239">
        <v>89.609420652405902</v>
      </c>
      <c r="AN239">
        <v>1.00000002136633</v>
      </c>
    </row>
    <row r="240" spans="1:40" x14ac:dyDescent="0.25">
      <c r="A240" t="str">
        <f>"20190312172336101"</f>
        <v>20190312172336101</v>
      </c>
      <c r="B240" t="str">
        <f>"1552382616089796"</f>
        <v>1552382616089796</v>
      </c>
      <c r="C240" t="s">
        <v>40</v>
      </c>
      <c r="D240">
        <v>3.685276</v>
      </c>
      <c r="E240">
        <v>0.57053240000000005</v>
      </c>
      <c r="F240" t="s">
        <v>41</v>
      </c>
      <c r="G240">
        <v>-441.74579999999997</v>
      </c>
      <c r="H240">
        <v>0.91669339999999999</v>
      </c>
      <c r="I240">
        <v>366.72019999999998</v>
      </c>
      <c r="J240">
        <v>-442.41329999999999</v>
      </c>
      <c r="K240">
        <v>1.110358</v>
      </c>
      <c r="L240">
        <v>366.87950000000001</v>
      </c>
      <c r="M240">
        <v>0.99994150000000004</v>
      </c>
      <c r="N240">
        <v>0</v>
      </c>
      <c r="O240">
        <v>5.1702319999999999E-4</v>
      </c>
      <c r="P240">
        <v>0.99118980000000001</v>
      </c>
      <c r="Q240">
        <v>0.1323011</v>
      </c>
      <c r="R240">
        <v>-6.2689089999999996E-3</v>
      </c>
      <c r="S240">
        <v>3.1178889999999999</v>
      </c>
      <c r="T240">
        <v>-0.71475290000000002</v>
      </c>
      <c r="U240">
        <v>-0.58609009999999995</v>
      </c>
      <c r="V240">
        <v>6.61985E-3</v>
      </c>
      <c r="W240">
        <v>0.14300959999999999</v>
      </c>
      <c r="X240">
        <v>0.9896992</v>
      </c>
      <c r="Y240">
        <v>0.1807066</v>
      </c>
      <c r="Z240">
        <v>-2.039272E-2</v>
      </c>
      <c r="AA240">
        <v>0.98332560000000002</v>
      </c>
      <c r="AB240">
        <v>32</v>
      </c>
      <c r="AC240">
        <v>0.66750000000001797</v>
      </c>
      <c r="AD240">
        <v>-0.19366459999999899</v>
      </c>
      <c r="AE240">
        <v>-0.15930000000003</v>
      </c>
      <c r="AF240">
        <v>0.147868577642738</v>
      </c>
      <c r="AG240">
        <v>-0.19366459999999899</v>
      </c>
      <c r="AH240">
        <v>0.61818418249833795</v>
      </c>
      <c r="AI240">
        <v>106.945172338318</v>
      </c>
      <c r="AJ240">
        <v>76.5477093841955</v>
      </c>
      <c r="AK240">
        <v>0.66447180304237496</v>
      </c>
      <c r="AL240">
        <v>81.7779638359047</v>
      </c>
      <c r="AM240">
        <v>89.616768600226195</v>
      </c>
      <c r="AN240">
        <v>1.0000000372934099</v>
      </c>
    </row>
    <row r="241" spans="1:40" x14ac:dyDescent="0.25">
      <c r="A241" t="str">
        <f>"20190312172336120"</f>
        <v>20190312172336120</v>
      </c>
      <c r="B241" t="str">
        <f>"1552382616110291"</f>
        <v>1552382616110291</v>
      </c>
      <c r="C241" t="s">
        <v>40</v>
      </c>
      <c r="D241">
        <v>3.6991429999999998</v>
      </c>
      <c r="E241">
        <v>0.57057650000000004</v>
      </c>
      <c r="F241" t="s">
        <v>41</v>
      </c>
      <c r="G241">
        <v>-441.46589999999998</v>
      </c>
      <c r="H241">
        <v>0.89342060000000001</v>
      </c>
      <c r="I241">
        <v>366.7011</v>
      </c>
      <c r="J241">
        <v>-442.13909999999998</v>
      </c>
      <c r="K241">
        <v>1.1103590000000001</v>
      </c>
      <c r="L241">
        <v>366.88010000000003</v>
      </c>
      <c r="M241">
        <v>0.99993969999999999</v>
      </c>
      <c r="N241">
        <v>0</v>
      </c>
      <c r="O241">
        <v>9.6197850000000001E-4</v>
      </c>
      <c r="P241">
        <v>0.99126749999999997</v>
      </c>
      <c r="Q241">
        <v>0.13175609999999999</v>
      </c>
      <c r="R241">
        <v>-5.4329850000000004E-3</v>
      </c>
      <c r="S241">
        <v>3.1183169999999998</v>
      </c>
      <c r="T241">
        <v>-0.71416040000000003</v>
      </c>
      <c r="U241">
        <v>-0.58566280000000004</v>
      </c>
      <c r="V241">
        <v>6.2288049999999996E-3</v>
      </c>
      <c r="W241">
        <v>0.1426065</v>
      </c>
      <c r="X241">
        <v>0.98975990000000003</v>
      </c>
      <c r="Y241">
        <v>0.18097969999999999</v>
      </c>
      <c r="Z241">
        <v>-2.0504189999999999E-2</v>
      </c>
      <c r="AA241">
        <v>0.98327310000000001</v>
      </c>
      <c r="AB241">
        <v>32</v>
      </c>
      <c r="AC241">
        <v>0.67320000000000801</v>
      </c>
      <c r="AD241">
        <v>-0.2169384</v>
      </c>
      <c r="AE241">
        <v>-0.17900000000003</v>
      </c>
      <c r="AF241">
        <v>0.16376441522144999</v>
      </c>
      <c r="AG241">
        <v>-0.2169384</v>
      </c>
      <c r="AH241">
        <v>0.61352323651059104</v>
      </c>
      <c r="AI241">
        <v>108.86187817954</v>
      </c>
      <c r="AJ241">
        <v>75.054788913430102</v>
      </c>
      <c r="AK241">
        <v>0.67103786392856801</v>
      </c>
      <c r="AL241">
        <v>81.801298926582604</v>
      </c>
      <c r="AM241">
        <v>89.639428181968199</v>
      </c>
      <c r="AN241">
        <v>1.0000000357509899</v>
      </c>
    </row>
    <row r="242" spans="1:40" x14ac:dyDescent="0.25">
      <c r="A242" t="str">
        <f>"20190312172336145"</f>
        <v>20190312172336145</v>
      </c>
      <c r="B242" t="str">
        <f>"1552382616139571"</f>
        <v>1552382616139571</v>
      </c>
      <c r="C242" t="s">
        <v>40</v>
      </c>
      <c r="D242">
        <v>3.723916</v>
      </c>
      <c r="E242">
        <v>0.57066090000000003</v>
      </c>
      <c r="F242" t="s">
        <v>41</v>
      </c>
      <c r="G242">
        <v>-441.44310000000002</v>
      </c>
      <c r="H242">
        <v>0.95066260000000002</v>
      </c>
      <c r="I242">
        <v>366.74919999999997</v>
      </c>
      <c r="J242">
        <v>-441.79820000000001</v>
      </c>
      <c r="K242">
        <v>1.1103510000000001</v>
      </c>
      <c r="L242">
        <v>366.8811</v>
      </c>
      <c r="M242">
        <v>0.99993730000000003</v>
      </c>
      <c r="N242">
        <v>0</v>
      </c>
      <c r="O242">
        <v>1.4890999999999999E-3</v>
      </c>
      <c r="P242">
        <v>0.99130289999999999</v>
      </c>
      <c r="Q242">
        <v>0.13152659999999999</v>
      </c>
      <c r="R242">
        <v>-4.4224310000000001E-3</v>
      </c>
      <c r="S242">
        <v>3.118347</v>
      </c>
      <c r="T242">
        <v>-0.71567609999999904</v>
      </c>
      <c r="U242">
        <v>-0.58453369999999905</v>
      </c>
      <c r="V242">
        <v>5.7477910000000004E-3</v>
      </c>
      <c r="W242">
        <v>0.14253289999999999</v>
      </c>
      <c r="X242">
        <v>0.98977340000000003</v>
      </c>
      <c r="Y242">
        <v>0.1811159</v>
      </c>
      <c r="Z242">
        <v>-2.0680839999999999E-2</v>
      </c>
      <c r="AA242">
        <v>0.98324429999999996</v>
      </c>
      <c r="AB242">
        <v>32</v>
      </c>
      <c r="AC242">
        <v>0.35509999999999298</v>
      </c>
      <c r="AD242">
        <v>-0.15968840000000001</v>
      </c>
      <c r="AE242">
        <v>-0.13190000000002999</v>
      </c>
      <c r="AF242">
        <v>0.112445815020355</v>
      </c>
      <c r="AG242">
        <v>-0.15968840000000001</v>
      </c>
      <c r="AH242">
        <v>0.30134999336924601</v>
      </c>
      <c r="AI242">
        <v>116.40316507196</v>
      </c>
      <c r="AJ242">
        <v>69.537430130409902</v>
      </c>
      <c r="AK242">
        <v>0.359104810485458</v>
      </c>
      <c r="AL242">
        <v>81.805559320895497</v>
      </c>
      <c r="AM242">
        <v>89.667276910119398</v>
      </c>
      <c r="AN242">
        <v>1.0000000240156699</v>
      </c>
    </row>
    <row r="243" spans="1:40" x14ac:dyDescent="0.25">
      <c r="A243" t="str">
        <f>"20190312172336166"</f>
        <v>20190312172336166</v>
      </c>
      <c r="B243" t="str">
        <f>"1552382616160067"</f>
        <v>1552382616160067</v>
      </c>
      <c r="C243" t="s">
        <v>40</v>
      </c>
      <c r="D243">
        <v>3.6789070000000001</v>
      </c>
      <c r="E243">
        <v>0.57073949999999996</v>
      </c>
      <c r="F243" t="s">
        <v>41</v>
      </c>
      <c r="G243">
        <v>-440.88569999999999</v>
      </c>
      <c r="H243">
        <v>0.90084560000000002</v>
      </c>
      <c r="I243">
        <v>366.71030000000002</v>
      </c>
      <c r="J243">
        <v>-441.47039999999998</v>
      </c>
      <c r="K243">
        <v>1.1102609999999999</v>
      </c>
      <c r="L243">
        <v>366.88209999999998</v>
      </c>
      <c r="M243">
        <v>0.99993770000000004</v>
      </c>
      <c r="N243">
        <v>0</v>
      </c>
      <c r="O243">
        <v>1.955689E-3</v>
      </c>
      <c r="P243">
        <v>0.99123320000000004</v>
      </c>
      <c r="Q243">
        <v>0.13208</v>
      </c>
      <c r="R243">
        <v>-3.4518249999999999E-3</v>
      </c>
      <c r="S243">
        <v>3.1186829999999999</v>
      </c>
      <c r="T243">
        <v>-0.71605739999999996</v>
      </c>
      <c r="U243">
        <v>-0.58306880000000005</v>
      </c>
      <c r="V243">
        <v>5.2494079999999997E-3</v>
      </c>
      <c r="W243">
        <v>0.14297279999999901</v>
      </c>
      <c r="X243">
        <v>0.9897127</v>
      </c>
      <c r="Y243">
        <v>0.18109330000000001</v>
      </c>
      <c r="Z243">
        <v>-2.0792660000000001E-2</v>
      </c>
      <c r="AA243">
        <v>0.98324610000000001</v>
      </c>
      <c r="AB243">
        <v>32</v>
      </c>
      <c r="AC243">
        <v>0.584699999999997</v>
      </c>
      <c r="AD243">
        <v>-0.2094154</v>
      </c>
      <c r="AE243">
        <v>-0.17179999999996101</v>
      </c>
      <c r="AF243">
        <v>0.15467833221090199</v>
      </c>
      <c r="AG243">
        <v>-0.2094154</v>
      </c>
      <c r="AH243">
        <v>0.522647077923448</v>
      </c>
      <c r="AI243">
        <v>111.017245006755</v>
      </c>
      <c r="AJ243">
        <v>73.513786646402195</v>
      </c>
      <c r="AK243">
        <v>0.58390081715529896</v>
      </c>
      <c r="AL243">
        <v>81.780093930018396</v>
      </c>
      <c r="AM243">
        <v>89.696107665418495</v>
      </c>
      <c r="AN243">
        <v>1.0000000031827401</v>
      </c>
    </row>
    <row r="244" spans="1:40" x14ac:dyDescent="0.25">
      <c r="A244" t="str">
        <f>"20190312172336189"</f>
        <v>20190312172336189</v>
      </c>
      <c r="B244" t="str">
        <f>"1552382616180564"</f>
        <v>1552382616180564</v>
      </c>
      <c r="C244" t="s">
        <v>40</v>
      </c>
      <c r="D244">
        <v>3.6875300000000002</v>
      </c>
      <c r="E244">
        <v>0.57081130000000002</v>
      </c>
      <c r="F244" t="s">
        <v>41</v>
      </c>
      <c r="G244">
        <v>-440.59050000000002</v>
      </c>
      <c r="H244">
        <v>0.90877350000000001</v>
      </c>
      <c r="I244">
        <v>366.71809999999999</v>
      </c>
      <c r="J244">
        <v>-441.14109999999999</v>
      </c>
      <c r="K244">
        <v>1.109937</v>
      </c>
      <c r="L244">
        <v>366.88319999999999</v>
      </c>
      <c r="M244">
        <v>0.99994749999999999</v>
      </c>
      <c r="N244">
        <v>0</v>
      </c>
      <c r="O244">
        <v>2.3934300000000002E-3</v>
      </c>
      <c r="P244">
        <v>0.99105779999999999</v>
      </c>
      <c r="Q244">
        <v>0.13340179999999999</v>
      </c>
      <c r="R244">
        <v>-2.9502980000000001E-3</v>
      </c>
      <c r="S244">
        <v>3.11972</v>
      </c>
      <c r="T244">
        <v>-0.71443100000000004</v>
      </c>
      <c r="U244">
        <v>-0.5808411</v>
      </c>
      <c r="V244">
        <v>5.194181E-3</v>
      </c>
      <c r="W244">
        <v>0.14328659999999999</v>
      </c>
      <c r="X244">
        <v>0.98966759999999998</v>
      </c>
      <c r="Y244">
        <v>0.18080489999999999</v>
      </c>
      <c r="Z244">
        <v>-2.080711E-2</v>
      </c>
      <c r="AA244">
        <v>0.98329880000000003</v>
      </c>
      <c r="AB244">
        <v>32</v>
      </c>
      <c r="AC244">
        <v>0.550599999999974</v>
      </c>
      <c r="AD244">
        <v>-0.2011635</v>
      </c>
      <c r="AE244">
        <v>-0.165099999999995</v>
      </c>
      <c r="AF244">
        <v>0.14825984515785501</v>
      </c>
      <c r="AG244">
        <v>-0.2011635</v>
      </c>
      <c r="AH244">
        <v>0.49017134605520302</v>
      </c>
      <c r="AI244">
        <v>111.445835659647</v>
      </c>
      <c r="AJ244">
        <v>73.171253172829907</v>
      </c>
      <c r="AK244">
        <v>0.55019604134531097</v>
      </c>
      <c r="AL244">
        <v>81.761927394210204</v>
      </c>
      <c r="AM244">
        <v>89.6992910379346</v>
      </c>
      <c r="AN244">
        <v>0.99999999387279004</v>
      </c>
    </row>
    <row r="245" spans="1:40" x14ac:dyDescent="0.25">
      <c r="A245" t="str">
        <f>"20190312172336221"</f>
        <v>20190312172336221</v>
      </c>
      <c r="B245" t="str">
        <f>"1552382616209843"</f>
        <v>1552382616209843</v>
      </c>
      <c r="C245" t="s">
        <v>40</v>
      </c>
      <c r="D245">
        <v>3.6949540000000001</v>
      </c>
      <c r="E245">
        <v>0.57086029999999999</v>
      </c>
      <c r="F245" t="s">
        <v>41</v>
      </c>
      <c r="G245">
        <v>-440.29289999999997</v>
      </c>
      <c r="H245">
        <v>0.91690229999999995</v>
      </c>
      <c r="I245">
        <v>366.7251</v>
      </c>
      <c r="J245">
        <v>-440.67140000000001</v>
      </c>
      <c r="K245">
        <v>1.1094250000000001</v>
      </c>
      <c r="L245">
        <v>366.88490000000002</v>
      </c>
      <c r="M245">
        <v>0.99996019999999997</v>
      </c>
      <c r="N245">
        <v>0</v>
      </c>
      <c r="O245">
        <v>2.966214E-3</v>
      </c>
      <c r="P245">
        <v>0.99085679999999998</v>
      </c>
      <c r="Q245">
        <v>0.13490350000000001</v>
      </c>
      <c r="R245">
        <v>-2.0136220000000001E-3</v>
      </c>
      <c r="S245">
        <v>3.1209720000000001</v>
      </c>
      <c r="T245">
        <v>-0.71035309999999996</v>
      </c>
      <c r="U245">
        <v>-0.58001709999999995</v>
      </c>
      <c r="V245">
        <v>4.8454099999999996E-3</v>
      </c>
      <c r="W245">
        <v>0.143238</v>
      </c>
      <c r="X245">
        <v>0.98967640000000001</v>
      </c>
      <c r="Y245">
        <v>0.18107960000000001</v>
      </c>
      <c r="Z245">
        <v>-2.0842059999999999E-2</v>
      </c>
      <c r="AA245">
        <v>0.9832476</v>
      </c>
      <c r="AB245">
        <v>33</v>
      </c>
      <c r="AC245">
        <v>0.37850000000002998</v>
      </c>
      <c r="AD245">
        <v>-0.19252269999999999</v>
      </c>
      <c r="AE245">
        <v>-0.15980000000001801</v>
      </c>
      <c r="AF245">
        <v>0.131948575976124</v>
      </c>
      <c r="AG245">
        <v>-0.19252269999999999</v>
      </c>
      <c r="AH245">
        <v>0.30996231228349602</v>
      </c>
      <c r="AI245">
        <v>119.74754198066699</v>
      </c>
      <c r="AJ245">
        <v>66.940918025625706</v>
      </c>
      <c r="AK245">
        <v>0.388010375832333</v>
      </c>
      <c r="AL245">
        <v>81.764740957292204</v>
      </c>
      <c r="AM245">
        <v>89.719484747931105</v>
      </c>
      <c r="AN245">
        <v>0.99999998967951398</v>
      </c>
    </row>
    <row r="246" spans="1:40" x14ac:dyDescent="0.25">
      <c r="A246" t="str">
        <f>"20190312172336243"</f>
        <v>20190312172336243</v>
      </c>
      <c r="B246" t="str">
        <f>"1552382616240099"</f>
        <v>1552382616240099</v>
      </c>
      <c r="C246" t="s">
        <v>40</v>
      </c>
      <c r="D246">
        <v>3.6592570000000002</v>
      </c>
      <c r="E246">
        <v>0.57096150000000001</v>
      </c>
      <c r="F246" t="s">
        <v>41</v>
      </c>
      <c r="G246">
        <v>-439.98129999999998</v>
      </c>
      <c r="H246">
        <v>0.95372610000000002</v>
      </c>
      <c r="I246">
        <v>366.7568</v>
      </c>
      <c r="J246">
        <v>-440.3528</v>
      </c>
      <c r="K246">
        <v>1.1089610000000001</v>
      </c>
      <c r="L246">
        <v>366.88619999999997</v>
      </c>
      <c r="M246">
        <v>0.99996549999999995</v>
      </c>
      <c r="N246">
        <v>0</v>
      </c>
      <c r="O246">
        <v>3.2989009999999999E-3</v>
      </c>
      <c r="P246">
        <v>0.99071509999999996</v>
      </c>
      <c r="Q246">
        <v>0.13594229999999999</v>
      </c>
      <c r="R246">
        <v>-1.8194979999999999E-3</v>
      </c>
      <c r="S246">
        <v>3.1224370000000001</v>
      </c>
      <c r="T246">
        <v>-0.70454380000000005</v>
      </c>
      <c r="U246">
        <v>-0.57876590000000006</v>
      </c>
      <c r="V246">
        <v>4.9921899999999996E-3</v>
      </c>
      <c r="W246">
        <v>0.14349049999999999</v>
      </c>
      <c r="X246">
        <v>0.98963909999999999</v>
      </c>
      <c r="Y246">
        <v>0.18101320000000001</v>
      </c>
      <c r="Z246">
        <v>-2.073332E-2</v>
      </c>
      <c r="AA246">
        <v>0.98326210000000003</v>
      </c>
      <c r="AB246">
        <v>33</v>
      </c>
      <c r="AC246">
        <v>0.37150000000002498</v>
      </c>
      <c r="AD246">
        <v>-0.15523490000000001</v>
      </c>
      <c r="AE246">
        <v>-0.12939999999997501</v>
      </c>
      <c r="AF246">
        <v>0.113025192785349</v>
      </c>
      <c r="AG246">
        <v>-0.15523490000000001</v>
      </c>
      <c r="AH246">
        <v>0.32107500096904501</v>
      </c>
      <c r="AI246">
        <v>114.515503217659</v>
      </c>
      <c r="AJ246">
        <v>70.606853014105297</v>
      </c>
      <c r="AK246">
        <v>0.37411458756569199</v>
      </c>
      <c r="AL246">
        <v>81.750122826719902</v>
      </c>
      <c r="AM246">
        <v>89.710976464656895</v>
      </c>
      <c r="AN246">
        <v>0.99999999690002805</v>
      </c>
    </row>
    <row r="247" spans="1:40" x14ac:dyDescent="0.25">
      <c r="A247" t="str">
        <f>"20190312172336265"</f>
        <v>20190312172336265</v>
      </c>
      <c r="B247" t="str">
        <f>"1552382616259620"</f>
        <v>1552382616259620</v>
      </c>
      <c r="C247" t="s">
        <v>40</v>
      </c>
      <c r="D247">
        <v>3.6785130000000001</v>
      </c>
      <c r="E247">
        <v>0.57105790000000001</v>
      </c>
      <c r="F247" t="s">
        <v>41</v>
      </c>
      <c r="G247">
        <v>-439.4042</v>
      </c>
      <c r="H247">
        <v>0.89607630000000005</v>
      </c>
      <c r="I247">
        <v>366.7099</v>
      </c>
      <c r="J247">
        <v>-440.00970000000001</v>
      </c>
      <c r="K247">
        <v>1.108279</v>
      </c>
      <c r="L247">
        <v>366.88749999999999</v>
      </c>
      <c r="M247">
        <v>0.99996910000000006</v>
      </c>
      <c r="N247">
        <v>0</v>
      </c>
      <c r="O247">
        <v>3.5862649999999999E-3</v>
      </c>
      <c r="P247">
        <v>0.99053670000000005</v>
      </c>
      <c r="Q247">
        <v>0.13723460000000001</v>
      </c>
      <c r="R247">
        <v>-2.0342300000000002E-3</v>
      </c>
      <c r="S247">
        <v>3.12323</v>
      </c>
      <c r="T247">
        <v>-0.70084829999999998</v>
      </c>
      <c r="U247">
        <v>-0.57992549999999998</v>
      </c>
      <c r="V247">
        <v>5.5005039999999998E-3</v>
      </c>
      <c r="W247">
        <v>0.14420069999999999</v>
      </c>
      <c r="X247">
        <v>0.9895332</v>
      </c>
      <c r="Y247">
        <v>0.18163070000000001</v>
      </c>
      <c r="Z247">
        <v>-2.0752509999999998E-2</v>
      </c>
      <c r="AA247">
        <v>0.98314780000000002</v>
      </c>
      <c r="AB247">
        <v>33</v>
      </c>
      <c r="AC247">
        <v>0.60550000000000603</v>
      </c>
      <c r="AD247">
        <v>-0.21220269999999999</v>
      </c>
      <c r="AE247">
        <v>-0.17759999999998399</v>
      </c>
      <c r="AF247">
        <v>0.161505453407399</v>
      </c>
      <c r="AG247">
        <v>-0.21220269999999999</v>
      </c>
      <c r="AH247">
        <v>0.54340457316777602</v>
      </c>
      <c r="AI247">
        <v>110.522031028866</v>
      </c>
      <c r="AJ247">
        <v>73.447506857431094</v>
      </c>
      <c r="AK247">
        <v>0.60531192579303505</v>
      </c>
      <c r="AL247">
        <v>81.709003970493299</v>
      </c>
      <c r="AM247">
        <v>89.681514052829996</v>
      </c>
      <c r="AN247">
        <v>1.00000002566349</v>
      </c>
    </row>
    <row r="248" spans="1:40" x14ac:dyDescent="0.25">
      <c r="A248" t="str">
        <f>"20190312172336287"</f>
        <v>20190312172336287</v>
      </c>
      <c r="B248" t="str">
        <f>"1552382616280115"</f>
        <v>1552382616280115</v>
      </c>
      <c r="C248" t="s">
        <v>40</v>
      </c>
      <c r="D248">
        <v>3.6826989999999999</v>
      </c>
      <c r="E248">
        <v>0.57116460000000002</v>
      </c>
      <c r="F248" t="s">
        <v>41</v>
      </c>
      <c r="G248">
        <v>-439.09730000000002</v>
      </c>
      <c r="H248">
        <v>0.90468669999999995</v>
      </c>
      <c r="I248">
        <v>366.7176</v>
      </c>
      <c r="J248">
        <v>-439.65879999999999</v>
      </c>
      <c r="K248">
        <v>1.1073550000000001</v>
      </c>
      <c r="L248">
        <v>366.88900000000001</v>
      </c>
      <c r="M248">
        <v>0.99997040000000004</v>
      </c>
      <c r="N248">
        <v>0</v>
      </c>
      <c r="O248">
        <v>3.805896E-3</v>
      </c>
      <c r="P248">
        <v>0.99037730000000002</v>
      </c>
      <c r="Q248">
        <v>0.13837079999999999</v>
      </c>
      <c r="R248">
        <v>-2.5086090000000002E-3</v>
      </c>
      <c r="S248">
        <v>3.1240230000000002</v>
      </c>
      <c r="T248">
        <v>-0.69716239999999996</v>
      </c>
      <c r="U248">
        <v>-0.58065800000000001</v>
      </c>
      <c r="V248">
        <v>6.1994939999999998E-3</v>
      </c>
      <c r="W248">
        <v>0.14500279999999999</v>
      </c>
      <c r="X248">
        <v>0.98941179999999995</v>
      </c>
      <c r="Y248">
        <v>0.18205769999999999</v>
      </c>
      <c r="Z248">
        <v>-2.0735179999999999E-2</v>
      </c>
      <c r="AA248">
        <v>0.98306919999999998</v>
      </c>
      <c r="AB248">
        <v>34</v>
      </c>
      <c r="AC248">
        <v>0.56149999999996603</v>
      </c>
      <c r="AD248">
        <v>-0.202668299999999</v>
      </c>
      <c r="AE248">
        <v>-0.17140000000000499</v>
      </c>
      <c r="AF248">
        <v>0.15505708690469799</v>
      </c>
      <c r="AG248">
        <v>-0.202668299999999</v>
      </c>
      <c r="AH248">
        <v>0.50112290641591395</v>
      </c>
      <c r="AI248">
        <v>111.12434259270999</v>
      </c>
      <c r="AJ248">
        <v>72.8069246292158</v>
      </c>
      <c r="AK248">
        <v>0.56235336520642798</v>
      </c>
      <c r="AL248">
        <v>81.662558483373402</v>
      </c>
      <c r="AM248">
        <v>89.640998628788395</v>
      </c>
      <c r="AN248">
        <v>0.99999997785646699</v>
      </c>
    </row>
    <row r="249" spans="1:40" x14ac:dyDescent="0.25">
      <c r="A249" t="str">
        <f>"20190312172336310"</f>
        <v>20190312172336310</v>
      </c>
      <c r="B249" t="str">
        <f>"1552382616299639"</f>
        <v>1552382616299639</v>
      </c>
      <c r="C249" t="s">
        <v>40</v>
      </c>
      <c r="D249">
        <v>3.7057470000000001</v>
      </c>
      <c r="E249">
        <v>0.57126929999999998</v>
      </c>
      <c r="F249" t="s">
        <v>41</v>
      </c>
      <c r="G249">
        <v>-438.7878</v>
      </c>
      <c r="H249">
        <v>0.91381230000000002</v>
      </c>
      <c r="I249">
        <v>366.72710000000001</v>
      </c>
      <c r="J249">
        <v>-439.31939999999997</v>
      </c>
      <c r="K249">
        <v>1.1062510000000001</v>
      </c>
      <c r="L249">
        <v>366.8904</v>
      </c>
      <c r="M249">
        <v>0.99997000000000003</v>
      </c>
      <c r="N249">
        <v>0</v>
      </c>
      <c r="O249">
        <v>3.9496169999999999E-3</v>
      </c>
      <c r="P249">
        <v>0.99040569999999895</v>
      </c>
      <c r="Q249">
        <v>0.13816110000000001</v>
      </c>
      <c r="R249">
        <v>-2.8421850000000001E-3</v>
      </c>
      <c r="S249">
        <v>3.124695</v>
      </c>
      <c r="T249">
        <v>-0.69441119999999901</v>
      </c>
      <c r="U249">
        <v>-0.58142090000000002</v>
      </c>
      <c r="V249">
        <v>6.6837700000000003E-3</v>
      </c>
      <c r="W249">
        <v>0.14477209999999999</v>
      </c>
      <c r="X249">
        <v>0.9894425</v>
      </c>
      <c r="Y249">
        <v>0.18241750000000001</v>
      </c>
      <c r="Z249">
        <v>-2.0721030000000001E-2</v>
      </c>
      <c r="AA249">
        <v>0.98300279999999995</v>
      </c>
      <c r="AB249">
        <v>34</v>
      </c>
      <c r="AC249">
        <v>0.53159999999996899</v>
      </c>
      <c r="AD249">
        <v>-0.19243869999999999</v>
      </c>
      <c r="AE249">
        <v>-0.16329999999999201</v>
      </c>
      <c r="AF249">
        <v>0.14771090802940601</v>
      </c>
      <c r="AG249">
        <v>-0.19243869999999999</v>
      </c>
      <c r="AH249">
        <v>0.47417169533525599</v>
      </c>
      <c r="AI249">
        <v>111.180181119812</v>
      </c>
      <c r="AJ249">
        <v>72.697480828406498</v>
      </c>
      <c r="AK249">
        <v>0.532625536625566</v>
      </c>
      <c r="AL249">
        <v>81.675918165201693</v>
      </c>
      <c r="AM249">
        <v>89.6129679212833</v>
      </c>
      <c r="AN249">
        <v>1.0000000472630299</v>
      </c>
    </row>
    <row r="250" spans="1:40" x14ac:dyDescent="0.25">
      <c r="A250" t="str">
        <f>"20190312172336331"</f>
        <v>20190312172336331</v>
      </c>
      <c r="B250" t="str">
        <f>"1552382616320132"</f>
        <v>1552382616320132</v>
      </c>
      <c r="C250" t="s">
        <v>40</v>
      </c>
      <c r="D250">
        <v>3.699589</v>
      </c>
      <c r="E250">
        <v>0.57132349999999998</v>
      </c>
      <c r="F250" t="s">
        <v>41</v>
      </c>
      <c r="G250">
        <v>-438.4778</v>
      </c>
      <c r="H250">
        <v>0.91882969999999997</v>
      </c>
      <c r="I250">
        <v>366.73320000000001</v>
      </c>
      <c r="J250">
        <v>-438.99459999999999</v>
      </c>
      <c r="K250">
        <v>1.1050450000000001</v>
      </c>
      <c r="L250">
        <v>366.89179999999999</v>
      </c>
      <c r="M250">
        <v>0.99996689999999999</v>
      </c>
      <c r="N250">
        <v>0</v>
      </c>
      <c r="O250">
        <v>4.0246809999999996E-3</v>
      </c>
      <c r="P250">
        <v>0.99050249999999995</v>
      </c>
      <c r="Q250">
        <v>0.13745660000000001</v>
      </c>
      <c r="R250">
        <v>-3.1878840000000002E-3</v>
      </c>
      <c r="S250">
        <v>3.1245120000000002</v>
      </c>
      <c r="T250">
        <v>-0.69587390000000005</v>
      </c>
      <c r="U250">
        <v>-0.58197019999999899</v>
      </c>
      <c r="V250">
        <v>7.1152999999999997E-3</v>
      </c>
      <c r="W250">
        <v>0.1444616</v>
      </c>
      <c r="X250">
        <v>0.98948480000000005</v>
      </c>
      <c r="Y250">
        <v>0.1826429</v>
      </c>
      <c r="Z250">
        <v>-2.0805480000000001E-2</v>
      </c>
      <c r="AA250">
        <v>0.98295920000000003</v>
      </c>
      <c r="AB250">
        <v>34</v>
      </c>
      <c r="AC250">
        <v>0.51679999999998905</v>
      </c>
      <c r="AD250">
        <v>-0.1862153</v>
      </c>
      <c r="AE250">
        <v>-0.15859999999997801</v>
      </c>
      <c r="AF250">
        <v>0.14363526197186399</v>
      </c>
      <c r="AG250">
        <v>-0.1862153</v>
      </c>
      <c r="AH250">
        <v>0.461407797026473</v>
      </c>
      <c r="AI250">
        <v>111.073738582665</v>
      </c>
      <c r="AJ250">
        <v>72.708746228751707</v>
      </c>
      <c r="AK250">
        <v>0.51788452534579399</v>
      </c>
      <c r="AL250">
        <v>81.693896906552098</v>
      </c>
      <c r="AM250">
        <v>89.587998084150797</v>
      </c>
      <c r="AN250">
        <v>0.99999997539984398</v>
      </c>
    </row>
    <row r="251" spans="1:40" x14ac:dyDescent="0.25">
      <c r="A251" t="str">
        <f>"20190312172336356"</f>
        <v>20190312172336356</v>
      </c>
      <c r="B251" t="str">
        <f>"1552382616350387"</f>
        <v>1552382616350387</v>
      </c>
      <c r="C251" t="s">
        <v>40</v>
      </c>
      <c r="D251">
        <v>3.7181329999999999</v>
      </c>
      <c r="E251">
        <v>0.57139449999999903</v>
      </c>
      <c r="F251" t="s">
        <v>41</v>
      </c>
      <c r="G251">
        <v>-438.16800000000001</v>
      </c>
      <c r="H251">
        <v>0.9201144</v>
      </c>
      <c r="I251">
        <v>366.73770000000002</v>
      </c>
      <c r="J251">
        <v>-438.62549999999999</v>
      </c>
      <c r="K251">
        <v>1.103612</v>
      </c>
      <c r="L251">
        <v>366.89339999999999</v>
      </c>
      <c r="M251">
        <v>0.99995780000000001</v>
      </c>
      <c r="N251">
        <v>0</v>
      </c>
      <c r="O251">
        <v>4.0525120000000003E-3</v>
      </c>
      <c r="P251">
        <v>0.99068659999999997</v>
      </c>
      <c r="Q251">
        <v>0.1361261</v>
      </c>
      <c r="R251">
        <v>-3.1541590000000001E-3</v>
      </c>
      <c r="S251">
        <v>3.123901</v>
      </c>
      <c r="T251">
        <v>-0.69880830000000005</v>
      </c>
      <c r="U251">
        <v>-0.58291630000000005</v>
      </c>
      <c r="V251">
        <v>7.1278210000000003E-3</v>
      </c>
      <c r="W251">
        <v>0.14429449999999999</v>
      </c>
      <c r="X251">
        <v>0.98950910000000003</v>
      </c>
      <c r="Y251">
        <v>0.1829462</v>
      </c>
      <c r="Z251">
        <v>-2.093387E-2</v>
      </c>
      <c r="AA251">
        <v>0.9829</v>
      </c>
      <c r="AB251">
        <v>34</v>
      </c>
      <c r="AC251">
        <v>0.45749999999998098</v>
      </c>
      <c r="AD251">
        <v>-0.18349760000000001</v>
      </c>
      <c r="AE251">
        <v>-0.155699999999967</v>
      </c>
      <c r="AF251">
        <v>0.13770019049864099</v>
      </c>
      <c r="AG251">
        <v>-0.18349760000000001</v>
      </c>
      <c r="AH251">
        <v>0.39929742839574101</v>
      </c>
      <c r="AI251">
        <v>113.48221967056099</v>
      </c>
      <c r="AJ251">
        <v>70.972929176700404</v>
      </c>
      <c r="AK251">
        <v>0.46051183263036199</v>
      </c>
      <c r="AL251">
        <v>81.703572475575697</v>
      </c>
      <c r="AM251">
        <v>89.587283232719898</v>
      </c>
      <c r="AN251">
        <v>0.99999998377263399</v>
      </c>
    </row>
    <row r="252" spans="1:40" x14ac:dyDescent="0.25">
      <c r="A252" t="str">
        <f>"20190312172336378"</f>
        <v>20190312172336378</v>
      </c>
      <c r="B252" t="str">
        <f>"1552382616369908"</f>
        <v>1552382616369908</v>
      </c>
      <c r="C252" t="s">
        <v>40</v>
      </c>
      <c r="D252">
        <v>3.6859320000000002</v>
      </c>
      <c r="E252">
        <v>0.57143120000000003</v>
      </c>
      <c r="F252" t="s">
        <v>41</v>
      </c>
      <c r="G252">
        <v>-437.8546</v>
      </c>
      <c r="H252">
        <v>0.92988409999999999</v>
      </c>
      <c r="I252">
        <v>366.7491</v>
      </c>
      <c r="J252">
        <v>-438.27030000000002</v>
      </c>
      <c r="K252">
        <v>1.1021080000000001</v>
      </c>
      <c r="L252">
        <v>366.89490000000001</v>
      </c>
      <c r="M252">
        <v>0.99994590000000005</v>
      </c>
      <c r="N252">
        <v>0</v>
      </c>
      <c r="O252">
        <v>4.043357E-3</v>
      </c>
      <c r="P252">
        <v>0.99084139999999998</v>
      </c>
      <c r="Q252">
        <v>0.13498499999999999</v>
      </c>
      <c r="R252">
        <v>-3.5440620000000002E-3</v>
      </c>
      <c r="S252">
        <v>3.122986</v>
      </c>
      <c r="T252">
        <v>-0.70374559999999997</v>
      </c>
      <c r="U252">
        <v>-0.58270259999999996</v>
      </c>
      <c r="V252">
        <v>7.5302980000000004E-3</v>
      </c>
      <c r="W252">
        <v>0.14447670000000001</v>
      </c>
      <c r="X252">
        <v>0.98947949999999996</v>
      </c>
      <c r="Y252">
        <v>0.1828613</v>
      </c>
      <c r="Z252">
        <v>-2.107293E-2</v>
      </c>
      <c r="AA252">
        <v>0.98291280000000003</v>
      </c>
      <c r="AB252">
        <v>35</v>
      </c>
      <c r="AC252">
        <v>0.415700000000015</v>
      </c>
      <c r="AD252">
        <v>-0.17222390000000001</v>
      </c>
      <c r="AE252">
        <v>-0.14580000000000801</v>
      </c>
      <c r="AF252">
        <v>0.127927122882738</v>
      </c>
      <c r="AG252">
        <v>-0.17222390000000001</v>
      </c>
      <c r="AH252">
        <v>0.36007293092718301</v>
      </c>
      <c r="AI252">
        <v>114.261231244244</v>
      </c>
      <c r="AJ252">
        <v>70.440833420699093</v>
      </c>
      <c r="AK252">
        <v>0.41914071155968302</v>
      </c>
      <c r="AL252">
        <v>81.693022368532695</v>
      </c>
      <c r="AM252">
        <v>89.563966747605207</v>
      </c>
      <c r="AN252">
        <v>0.99999995157555299</v>
      </c>
    </row>
    <row r="253" spans="1:40" x14ac:dyDescent="0.25">
      <c r="A253" t="str">
        <f>"20190312172336400"</f>
        <v>20190312172336400</v>
      </c>
      <c r="B253" t="str">
        <f>"1552382616390403"</f>
        <v>1552382616390403</v>
      </c>
      <c r="C253" t="s">
        <v>40</v>
      </c>
      <c r="D253">
        <v>3.7011180000000001</v>
      </c>
      <c r="E253">
        <v>0.57146350000000001</v>
      </c>
      <c r="F253" t="s">
        <v>41</v>
      </c>
      <c r="G253">
        <v>-437.53989999999999</v>
      </c>
      <c r="H253">
        <v>0.93647959999999997</v>
      </c>
      <c r="I253">
        <v>366.75810000000001</v>
      </c>
      <c r="J253">
        <v>-437.93209999999999</v>
      </c>
      <c r="K253">
        <v>1.100501</v>
      </c>
      <c r="L253">
        <v>366.8963</v>
      </c>
      <c r="M253">
        <v>0.99993379999999998</v>
      </c>
      <c r="N253">
        <v>0</v>
      </c>
      <c r="O253">
        <v>4.0205450000000004E-3</v>
      </c>
      <c r="P253">
        <v>0.99082879999999995</v>
      </c>
      <c r="Q253">
        <v>0.13508609999999999</v>
      </c>
      <c r="R253">
        <v>-3.2277450000000002E-3</v>
      </c>
      <c r="S253">
        <v>3.1221009999999998</v>
      </c>
      <c r="T253">
        <v>-0.70802369999999903</v>
      </c>
      <c r="U253">
        <v>-0.58364869999999902</v>
      </c>
      <c r="V253">
        <v>7.2077510000000001E-3</v>
      </c>
      <c r="W253">
        <v>0.14576320000000001</v>
      </c>
      <c r="X253">
        <v>0.98929330000000004</v>
      </c>
      <c r="Y253">
        <v>0.18311450000000001</v>
      </c>
      <c r="Z253">
        <v>-2.1226209999999999E-2</v>
      </c>
      <c r="AA253">
        <v>0.98286240000000002</v>
      </c>
      <c r="AB253">
        <v>35</v>
      </c>
      <c r="AC253">
        <v>0.39220000000000199</v>
      </c>
      <c r="AD253">
        <v>-0.16402139999999901</v>
      </c>
      <c r="AE253">
        <v>-0.138199999999983</v>
      </c>
      <c r="AF253">
        <v>0.120957227370561</v>
      </c>
      <c r="AG253">
        <v>-0.16402139999999901</v>
      </c>
      <c r="AH253">
        <v>0.33891287095669698</v>
      </c>
      <c r="AI253">
        <v>114.50368491426801</v>
      </c>
      <c r="AJ253">
        <v>70.358633927905501</v>
      </c>
      <c r="AK253">
        <v>0.39546884151756401</v>
      </c>
      <c r="AL253">
        <v>81.618523502765498</v>
      </c>
      <c r="AM253">
        <v>89.582564235377802</v>
      </c>
      <c r="AN253">
        <v>1.0000000477868001</v>
      </c>
    </row>
    <row r="254" spans="1:40" x14ac:dyDescent="0.25">
      <c r="A254" t="str">
        <f>"20190312172336422"</f>
        <v>20190312172336422</v>
      </c>
      <c r="B254" t="str">
        <f>"1552382616409923"</f>
        <v>1552382616409923</v>
      </c>
      <c r="C254" t="s">
        <v>40</v>
      </c>
      <c r="D254">
        <v>3.8421789999999998</v>
      </c>
      <c r="E254">
        <v>0.57142899999999996</v>
      </c>
      <c r="F254" t="s">
        <v>41</v>
      </c>
      <c r="G254">
        <v>-437.2251</v>
      </c>
      <c r="H254">
        <v>0.94025669999999995</v>
      </c>
      <c r="I254">
        <v>366.7638</v>
      </c>
      <c r="J254">
        <v>-437.58780000000002</v>
      </c>
      <c r="K254">
        <v>1.0986899999999999</v>
      </c>
      <c r="L254">
        <v>366.89769999999999</v>
      </c>
      <c r="M254">
        <v>0.99992020000000004</v>
      </c>
      <c r="N254">
        <v>0</v>
      </c>
      <c r="O254">
        <v>3.9857510000000001E-3</v>
      </c>
      <c r="P254">
        <v>0.99067559999999999</v>
      </c>
      <c r="Q254">
        <v>0.13622339999999999</v>
      </c>
      <c r="R254">
        <v>-2.2577180000000001E-3</v>
      </c>
      <c r="S254">
        <v>3.1223749999999999</v>
      </c>
      <c r="T254">
        <v>-0.70773019999999998</v>
      </c>
      <c r="U254">
        <v>-0.58279419999999904</v>
      </c>
      <c r="V254">
        <v>6.2153520000000004E-3</v>
      </c>
      <c r="W254">
        <v>0.148089</v>
      </c>
      <c r="X254">
        <v>0.98895449999999996</v>
      </c>
      <c r="Y254">
        <v>0.18281729999999999</v>
      </c>
      <c r="Z254">
        <v>-2.1175639999999999E-2</v>
      </c>
      <c r="AA254">
        <v>0.98291890000000004</v>
      </c>
      <c r="AB254">
        <v>35</v>
      </c>
      <c r="AC254">
        <v>0.36270000000001701</v>
      </c>
      <c r="AD254">
        <v>-0.1584333</v>
      </c>
      <c r="AE254">
        <v>-0.13389999999998201</v>
      </c>
      <c r="AF254">
        <v>0.115884996044924</v>
      </c>
      <c r="AG254">
        <v>-0.1584333</v>
      </c>
      <c r="AH254">
        <v>0.31009202045693701</v>
      </c>
      <c r="AI254">
        <v>115.57554331839501</v>
      </c>
      <c r="AJ254">
        <v>69.508699206740303</v>
      </c>
      <c r="AK254">
        <v>0.36699796185849298</v>
      </c>
      <c r="AL254">
        <v>81.483802421558394</v>
      </c>
      <c r="AM254">
        <v>89.639913919933093</v>
      </c>
      <c r="AN254">
        <v>0.99999999279586604</v>
      </c>
    </row>
    <row r="255" spans="1:40" x14ac:dyDescent="0.25">
      <c r="A255" t="str">
        <f>"20190312172336444"</f>
        <v>20190312172336444</v>
      </c>
      <c r="B255" t="str">
        <f>"1552382616440179"</f>
        <v>1552382616440179</v>
      </c>
      <c r="C255" t="s">
        <v>40</v>
      </c>
      <c r="D255">
        <v>3.7550490000000001</v>
      </c>
      <c r="E255">
        <v>0.52595879999999995</v>
      </c>
      <c r="F255" t="s">
        <v>41</v>
      </c>
      <c r="G255">
        <v>-436.62090000000001</v>
      </c>
      <c r="H255">
        <v>0.88079019999999997</v>
      </c>
      <c r="I255">
        <v>366.71780000000001</v>
      </c>
      <c r="J255">
        <v>-437.25150000000002</v>
      </c>
      <c r="K255">
        <v>1.0967260000000001</v>
      </c>
      <c r="L255">
        <v>366.899</v>
      </c>
      <c r="M255">
        <v>0.99990699999999999</v>
      </c>
      <c r="N255">
        <v>0</v>
      </c>
      <c r="O255">
        <v>3.9350569999999996E-3</v>
      </c>
      <c r="P255">
        <v>0.99037160000000002</v>
      </c>
      <c r="Q255">
        <v>0.13843449999999999</v>
      </c>
      <c r="R255" s="1">
        <v>5.7857949999999997E-5</v>
      </c>
      <c r="S255">
        <v>3.1237490000000001</v>
      </c>
      <c r="T255">
        <v>-0.70411569999999901</v>
      </c>
      <c r="U255">
        <v>-0.5795593</v>
      </c>
      <c r="V255">
        <v>3.8537039999999999E-3</v>
      </c>
      <c r="W255">
        <v>0.1513496</v>
      </c>
      <c r="X255">
        <v>0.98847280000000004</v>
      </c>
      <c r="Y255">
        <v>0.1817809</v>
      </c>
      <c r="Z255">
        <v>-2.0937509999999999E-2</v>
      </c>
      <c r="AA255">
        <v>0.98311610000000005</v>
      </c>
      <c r="AB255">
        <v>35</v>
      </c>
      <c r="AC255">
        <v>0.63060000000001504</v>
      </c>
      <c r="AD255">
        <v>-0.21593580000000001</v>
      </c>
      <c r="AE255">
        <v>-0.18119999999998901</v>
      </c>
      <c r="AF255">
        <v>0.16572936850395401</v>
      </c>
      <c r="AG255">
        <v>-0.21593580000000001</v>
      </c>
      <c r="AH255">
        <v>0.56832428620266395</v>
      </c>
      <c r="AI255">
        <v>110.039904737867</v>
      </c>
      <c r="AJ255">
        <v>73.742757503195193</v>
      </c>
      <c r="AK255">
        <v>0.63014838537770401</v>
      </c>
      <c r="AL255">
        <v>81.294854176318495</v>
      </c>
      <c r="AM255">
        <v>89.776625258661596</v>
      </c>
      <c r="AN255">
        <v>1.0000000143972501</v>
      </c>
    </row>
    <row r="256" spans="1:40" x14ac:dyDescent="0.25">
      <c r="A256" t="str">
        <f>"20190312172336466"</f>
        <v>20190312172336466</v>
      </c>
      <c r="B256" t="str">
        <f>"1552382616459700"</f>
        <v>1552382616459700</v>
      </c>
      <c r="C256" t="s">
        <v>40</v>
      </c>
      <c r="D256">
        <v>3.685257</v>
      </c>
      <c r="E256">
        <v>0.51904450000000002</v>
      </c>
      <c r="F256" t="s">
        <v>41</v>
      </c>
      <c r="G256">
        <v>-436.27499999999998</v>
      </c>
      <c r="H256">
        <v>0.95889159999999996</v>
      </c>
      <c r="I256">
        <v>366.8329</v>
      </c>
      <c r="J256">
        <v>-436.88709999999998</v>
      </c>
      <c r="K256">
        <v>1.094347</v>
      </c>
      <c r="L256">
        <v>366.90039999999999</v>
      </c>
      <c r="M256">
        <v>0.99989550000000005</v>
      </c>
      <c r="N256">
        <v>0</v>
      </c>
      <c r="O256">
        <v>3.8735480000000001E-3</v>
      </c>
      <c r="P256">
        <v>0.99001280000000003</v>
      </c>
      <c r="Q256">
        <v>0.14094029999999999</v>
      </c>
      <c r="R256">
        <v>3.2544660000000001E-3</v>
      </c>
      <c r="S256">
        <v>3.0902099999999999</v>
      </c>
      <c r="T256">
        <v>-0.43629489999999999</v>
      </c>
      <c r="U256">
        <v>-0.2085571</v>
      </c>
      <c r="V256">
        <v>5.9854120000000003E-4</v>
      </c>
      <c r="W256">
        <v>0.15471879999999999</v>
      </c>
      <c r="X256">
        <v>0.98795840000000001</v>
      </c>
      <c r="Y256">
        <v>7.0467080000000001E-2</v>
      </c>
      <c r="Z256">
        <v>-5.4880550000000004E-3</v>
      </c>
      <c r="AA256">
        <v>0.99749900000000002</v>
      </c>
      <c r="AB256">
        <v>35</v>
      </c>
      <c r="AC256">
        <v>0.61209999999999798</v>
      </c>
      <c r="AD256">
        <v>-0.135455399999999</v>
      </c>
      <c r="AE256">
        <v>-6.7499999999995397E-2</v>
      </c>
      <c r="AF256">
        <v>6.6646140637274406E-2</v>
      </c>
      <c r="AG256">
        <v>-0.135455399999999</v>
      </c>
      <c r="AH256">
        <v>0.58359736359549397</v>
      </c>
      <c r="AI256">
        <v>102.98570246715801</v>
      </c>
      <c r="AJ256">
        <v>83.485111779153002</v>
      </c>
      <c r="AK256">
        <v>0.60280656619401096</v>
      </c>
      <c r="AL256">
        <v>81.099512348886606</v>
      </c>
      <c r="AM256">
        <v>89.965288133155198</v>
      </c>
      <c r="AN256">
        <v>1.00000003272778</v>
      </c>
    </row>
    <row r="257" spans="1:40" x14ac:dyDescent="0.25">
      <c r="A257" t="str">
        <f>"20190312172336488"</f>
        <v>20190312172336488</v>
      </c>
      <c r="B257" t="str">
        <f>"1552382616480199"</f>
        <v>1552382616480199</v>
      </c>
      <c r="C257" t="s">
        <v>40</v>
      </c>
      <c r="D257">
        <v>3.6472129999999998</v>
      </c>
      <c r="E257">
        <v>0.48489169999999998</v>
      </c>
      <c r="F257" t="s">
        <v>41</v>
      </c>
      <c r="G257">
        <v>-435.94959999999998</v>
      </c>
      <c r="H257">
        <v>0.97990270000000002</v>
      </c>
      <c r="I257">
        <v>366.85660000000001</v>
      </c>
      <c r="J257">
        <v>-436.53300000000002</v>
      </c>
      <c r="K257">
        <v>1.0918060000000001</v>
      </c>
      <c r="L257">
        <v>366.90170000000001</v>
      </c>
      <c r="M257">
        <v>0.99988790000000005</v>
      </c>
      <c r="N257">
        <v>0</v>
      </c>
      <c r="O257">
        <v>3.8136239999999998E-3</v>
      </c>
      <c r="P257">
        <v>0.9896665</v>
      </c>
      <c r="Q257">
        <v>0.1432515</v>
      </c>
      <c r="R257">
        <v>6.2747810000000001E-3</v>
      </c>
      <c r="S257">
        <v>3.084381</v>
      </c>
      <c r="T257">
        <v>-0.37689080000000003</v>
      </c>
      <c r="U257">
        <v>-0.14193729999999999</v>
      </c>
      <c r="V257">
        <v>-2.479481E-3</v>
      </c>
      <c r="W257">
        <v>0.1575693</v>
      </c>
      <c r="X257">
        <v>0.98750479999999996</v>
      </c>
      <c r="Y257">
        <v>4.9384209999999998E-2</v>
      </c>
      <c r="Z257">
        <v>-3.4685470000000002E-3</v>
      </c>
      <c r="AA257">
        <v>0.99877380000000004</v>
      </c>
      <c r="AB257">
        <v>35</v>
      </c>
      <c r="AC257">
        <v>0.58340000000004</v>
      </c>
      <c r="AD257">
        <v>-0.1119033</v>
      </c>
      <c r="AE257">
        <v>-4.50999999999908E-2</v>
      </c>
      <c r="AF257">
        <v>4.5655014636244003E-2</v>
      </c>
      <c r="AG257">
        <v>-0.1119033</v>
      </c>
      <c r="AH257">
        <v>0.56264587509794095</v>
      </c>
      <c r="AI257">
        <v>101.212721211432</v>
      </c>
      <c r="AJ257">
        <v>85.360987748889798</v>
      </c>
      <c r="AK257">
        <v>0.575479895111075</v>
      </c>
      <c r="AL257">
        <v>80.934162069611006</v>
      </c>
      <c r="AM257">
        <v>90.143861070996394</v>
      </c>
      <c r="AN257">
        <v>0.99999998107577903</v>
      </c>
    </row>
    <row r="258" spans="1:40" x14ac:dyDescent="0.25">
      <c r="A258" t="str">
        <f>"20190312172336511"</f>
        <v>20190312172336511</v>
      </c>
      <c r="B258" t="str">
        <f>"1552382616499719"</f>
        <v>1552382616499719</v>
      </c>
      <c r="C258" t="s">
        <v>40</v>
      </c>
      <c r="D258">
        <v>3.6924760000000001</v>
      </c>
      <c r="E258">
        <v>0.4852938</v>
      </c>
      <c r="F258" t="s">
        <v>43</v>
      </c>
      <c r="G258">
        <v>-392.79070000000002</v>
      </c>
      <c r="H258" s="1">
        <v>-3.1978359999999998E-6</v>
      </c>
      <c r="I258">
        <v>368.92419999999998</v>
      </c>
      <c r="J258">
        <v>-436.19200000000001</v>
      </c>
      <c r="K258">
        <v>1.089208</v>
      </c>
      <c r="L258">
        <v>366.90300000000002</v>
      </c>
      <c r="M258">
        <v>0.99988279999999996</v>
      </c>
      <c r="N258">
        <v>0</v>
      </c>
      <c r="O258">
        <v>3.7634220000000002E-3</v>
      </c>
      <c r="P258">
        <v>0.98940189999999995</v>
      </c>
      <c r="Q258">
        <v>0.14489830000000001</v>
      </c>
      <c r="R258">
        <v>9.3983620000000004E-3</v>
      </c>
      <c r="S258">
        <v>3.041382</v>
      </c>
      <c r="T258">
        <v>-7.5912950000000007E-2</v>
      </c>
      <c r="U258">
        <v>0.140625</v>
      </c>
      <c r="V258">
        <v>-5.6508849999999996E-3</v>
      </c>
      <c r="W258">
        <v>0.1595627</v>
      </c>
      <c r="X258">
        <v>0.98717160000000004</v>
      </c>
      <c r="Y258">
        <v>-4.2415700000000001E-2</v>
      </c>
      <c r="Z258">
        <v>4.3510510000000001E-4</v>
      </c>
      <c r="AA258">
        <v>0.99909999999999999</v>
      </c>
      <c r="AB258">
        <v>35</v>
      </c>
      <c r="AC258">
        <v>43.4012999999999</v>
      </c>
      <c r="AD258">
        <v>-1.089211197836</v>
      </c>
      <c r="AE258">
        <v>2.0211999999999599</v>
      </c>
      <c r="AF258">
        <v>-1.856663448495</v>
      </c>
      <c r="AG258">
        <v>-1.089211197836</v>
      </c>
      <c r="AH258">
        <v>43.381336595468902</v>
      </c>
      <c r="AI258">
        <v>91.436955577298306</v>
      </c>
      <c r="AJ258">
        <v>92.450687480561896</v>
      </c>
      <c r="AK258">
        <v>43.434708989514803</v>
      </c>
      <c r="AL258">
        <v>80.818485108621303</v>
      </c>
      <c r="AM258">
        <v>90.3279757284852</v>
      </c>
      <c r="AN258">
        <v>0.99999997778956595</v>
      </c>
    </row>
    <row r="259" spans="1:40" x14ac:dyDescent="0.25">
      <c r="A259" t="str">
        <f>"20190312172336532"</f>
        <v>20190312172336532</v>
      </c>
      <c r="B259" t="str">
        <f>"1552382616520212"</f>
        <v>1552382616520212</v>
      </c>
      <c r="C259" t="s">
        <v>40</v>
      </c>
      <c r="D259">
        <v>3.7633860000000001</v>
      </c>
      <c r="E259">
        <v>0.48614010000000002</v>
      </c>
      <c r="F259" t="s">
        <v>43</v>
      </c>
      <c r="G259">
        <v>-390.62779999999998</v>
      </c>
      <c r="H259" s="1">
        <v>-4.0929670000000002E-6</v>
      </c>
      <c r="I259">
        <v>369.10890000000001</v>
      </c>
      <c r="J259">
        <v>-435.85079999999999</v>
      </c>
      <c r="K259">
        <v>1.0865290000000001</v>
      </c>
      <c r="L259">
        <v>366.9042</v>
      </c>
      <c r="M259">
        <v>0.99987910000000002</v>
      </c>
      <c r="N259">
        <v>0</v>
      </c>
      <c r="O259">
        <v>3.714396E-3</v>
      </c>
      <c r="P259">
        <v>0.98925339999999995</v>
      </c>
      <c r="Q259">
        <v>0.1456906</v>
      </c>
      <c r="R259">
        <v>1.2336929999999999E-2</v>
      </c>
      <c r="S259">
        <v>3.0414119999999998</v>
      </c>
      <c r="T259">
        <v>-7.2704790000000005E-2</v>
      </c>
      <c r="U259">
        <v>0.1472473</v>
      </c>
      <c r="V259">
        <v>-8.6365480000000008E-3</v>
      </c>
      <c r="W259">
        <v>0.1606165</v>
      </c>
      <c r="X259">
        <v>0.9869791</v>
      </c>
      <c r="Y259">
        <v>-4.4635010000000003E-2</v>
      </c>
      <c r="Z259">
        <v>4.4437470000000001E-4</v>
      </c>
      <c r="AA259">
        <v>0.99900330000000004</v>
      </c>
      <c r="AB259">
        <v>35</v>
      </c>
      <c r="AC259">
        <v>45.222999999999999</v>
      </c>
      <c r="AD259">
        <v>-1.0865330929670001</v>
      </c>
      <c r="AE259">
        <v>2.2046999999999999</v>
      </c>
      <c r="AF259">
        <v>-2.0355172806950899</v>
      </c>
      <c r="AG259">
        <v>-1.0865330929670001</v>
      </c>
      <c r="AH259">
        <v>45.204845207047597</v>
      </c>
      <c r="AI259">
        <v>91.375489634118793</v>
      </c>
      <c r="AJ259">
        <v>92.578215255850495</v>
      </c>
      <c r="AK259">
        <v>45.263693121035303</v>
      </c>
      <c r="AL259">
        <v>80.757318085433795</v>
      </c>
      <c r="AM259">
        <v>90.501353190218694</v>
      </c>
      <c r="AN259">
        <v>0.99999999693520802</v>
      </c>
    </row>
    <row r="260" spans="1:40" x14ac:dyDescent="0.25">
      <c r="A260" t="str">
        <f>"20190312172336557"</f>
        <v>20190312172336557</v>
      </c>
      <c r="B260" t="str">
        <f>"1552382616550467"</f>
        <v>1552382616550467</v>
      </c>
      <c r="C260" t="s">
        <v>40</v>
      </c>
      <c r="D260">
        <v>3.7574130000000001</v>
      </c>
      <c r="E260">
        <v>0.48759429999999998</v>
      </c>
      <c r="F260" t="s">
        <v>43</v>
      </c>
      <c r="G260">
        <v>-391.51429999999999</v>
      </c>
      <c r="H260" s="1">
        <v>-3.7182210000000002E-6</v>
      </c>
      <c r="I260">
        <v>369.07760000000002</v>
      </c>
      <c r="J260">
        <v>-435.4794</v>
      </c>
      <c r="K260">
        <v>1.0835969999999999</v>
      </c>
      <c r="L260">
        <v>366.90550000000002</v>
      </c>
      <c r="M260">
        <v>0.99987729999999997</v>
      </c>
      <c r="N260">
        <v>0</v>
      </c>
      <c r="O260">
        <v>3.6582149999999998E-3</v>
      </c>
      <c r="P260">
        <v>0.98901609999999995</v>
      </c>
      <c r="Q260">
        <v>0.14712529999999999</v>
      </c>
      <c r="R260">
        <v>1.419454E-2</v>
      </c>
      <c r="S260">
        <v>3.0417179999999999</v>
      </c>
      <c r="T260">
        <v>-7.4541689999999994E-2</v>
      </c>
      <c r="U260">
        <v>0.14910889999999999</v>
      </c>
      <c r="V260">
        <v>-1.0548780000000001E-2</v>
      </c>
      <c r="W260">
        <v>0.1621822</v>
      </c>
      <c r="X260">
        <v>0.98670449999999998</v>
      </c>
      <c r="Y260">
        <v>-4.5295439999999999E-2</v>
      </c>
      <c r="Z260">
        <v>4.6500799999999999E-4</v>
      </c>
      <c r="AA260">
        <v>0.99897349999999996</v>
      </c>
      <c r="AB260">
        <v>35</v>
      </c>
      <c r="AC260">
        <v>43.9651</v>
      </c>
      <c r="AD260">
        <v>-1.0836007182209999</v>
      </c>
      <c r="AE260">
        <v>2.1720999999999999</v>
      </c>
      <c r="AF260">
        <v>-2.0100149700430698</v>
      </c>
      <c r="AG260">
        <v>-1.0836007182209999</v>
      </c>
      <c r="AH260">
        <v>43.946121878023298</v>
      </c>
      <c r="AI260">
        <v>91.411008918269005</v>
      </c>
      <c r="AJ260">
        <v>92.618778686222001</v>
      </c>
      <c r="AK260">
        <v>44.0054085177538</v>
      </c>
      <c r="AL260">
        <v>80.666418863417803</v>
      </c>
      <c r="AM260">
        <v>90.612521325053606</v>
      </c>
      <c r="AN260">
        <v>1.0000000565382801</v>
      </c>
    </row>
    <row r="261" spans="1:40" x14ac:dyDescent="0.25">
      <c r="A261" t="str">
        <f>"20190312172336579"</f>
        <v>20190312172336579</v>
      </c>
      <c r="B261" t="str">
        <f>"1552382616569988"</f>
        <v>1552382616569988</v>
      </c>
      <c r="C261" t="s">
        <v>40</v>
      </c>
      <c r="D261">
        <v>3.7944390000000001</v>
      </c>
      <c r="E261">
        <v>0.48831780000000002</v>
      </c>
      <c r="F261" t="s">
        <v>43</v>
      </c>
      <c r="G261">
        <v>-394.32870000000003</v>
      </c>
      <c r="H261" s="1">
        <v>-2.5527620000000002E-6</v>
      </c>
      <c r="I261">
        <v>368.84129999999999</v>
      </c>
      <c r="J261">
        <v>-435.11360000000002</v>
      </c>
      <c r="K261">
        <v>1.0807709999999999</v>
      </c>
      <c r="L261">
        <v>366.90679999999998</v>
      </c>
      <c r="M261">
        <v>0.9998783</v>
      </c>
      <c r="N261">
        <v>0</v>
      </c>
      <c r="O261">
        <v>3.6002669999999999E-3</v>
      </c>
      <c r="P261">
        <v>0.98881799999999997</v>
      </c>
      <c r="Q261">
        <v>0.14832809999999999</v>
      </c>
      <c r="R261">
        <v>1.5416330000000001E-2</v>
      </c>
      <c r="S261">
        <v>3.0431819999999998</v>
      </c>
      <c r="T261">
        <v>-8.0134269999999994E-2</v>
      </c>
      <c r="U261">
        <v>0.14315799999999901</v>
      </c>
      <c r="V261">
        <v>-1.182767E-2</v>
      </c>
      <c r="W261">
        <v>0.16332639999999901</v>
      </c>
      <c r="X261">
        <v>0.98650119999999997</v>
      </c>
      <c r="Y261">
        <v>-4.3379460000000002E-2</v>
      </c>
      <c r="Z261">
        <v>4.759845E-4</v>
      </c>
      <c r="AA261">
        <v>0.99905849999999996</v>
      </c>
      <c r="AB261">
        <v>35</v>
      </c>
      <c r="AC261">
        <v>40.784899999999901</v>
      </c>
      <c r="AD261">
        <v>-1.0807735527619999</v>
      </c>
      <c r="AE261">
        <v>1.9345000000000101</v>
      </c>
      <c r="AF261">
        <v>-1.7863823997254999</v>
      </c>
      <c r="AG261">
        <v>-1.0807735527619999</v>
      </c>
      <c r="AH261">
        <v>40.763040933385398</v>
      </c>
      <c r="AI261">
        <v>91.517303969859995</v>
      </c>
      <c r="AJ261">
        <v>92.509300643351693</v>
      </c>
      <c r="AK261">
        <v>40.816476326200103</v>
      </c>
      <c r="AL261">
        <v>80.5999746922366</v>
      </c>
      <c r="AM261">
        <v>90.686915640518293</v>
      </c>
      <c r="AN261">
        <v>1.0000000121580099</v>
      </c>
    </row>
    <row r="262" spans="1:40" x14ac:dyDescent="0.25">
      <c r="A262" t="str">
        <f>"20190312172336601"</f>
        <v>20190312172336601</v>
      </c>
      <c r="B262" t="str">
        <f>"1552382616590488"</f>
        <v>1552382616590488</v>
      </c>
      <c r="C262" t="s">
        <v>40</v>
      </c>
      <c r="D262">
        <v>3.757584</v>
      </c>
      <c r="E262">
        <v>0.48893940000000002</v>
      </c>
      <c r="F262" t="s">
        <v>43</v>
      </c>
      <c r="G262">
        <v>-394.87430000000001</v>
      </c>
      <c r="H262" s="1">
        <v>-2.3303649999999998E-6</v>
      </c>
      <c r="I262">
        <v>368.77539999999999</v>
      </c>
      <c r="J262">
        <v>-434.78410000000002</v>
      </c>
      <c r="K262">
        <v>1.078333</v>
      </c>
      <c r="L262">
        <v>366.90800000000002</v>
      </c>
      <c r="M262">
        <v>0.99988140000000003</v>
      </c>
      <c r="N262">
        <v>0</v>
      </c>
      <c r="O262">
        <v>3.5468399999999999E-3</v>
      </c>
      <c r="P262">
        <v>0.98868020000000001</v>
      </c>
      <c r="Q262">
        <v>0.1492155</v>
      </c>
      <c r="R262">
        <v>1.568897E-2</v>
      </c>
      <c r="S262">
        <v>3.0439759999999998</v>
      </c>
      <c r="T262">
        <v>-8.1756830000000003E-2</v>
      </c>
      <c r="U262">
        <v>0.14135739999999999</v>
      </c>
      <c r="V262">
        <v>-1.2152710000000001E-2</v>
      </c>
      <c r="W262">
        <v>0.1640202</v>
      </c>
      <c r="X262">
        <v>0.98638210000000004</v>
      </c>
      <c r="Y262">
        <v>-4.283058E-2</v>
      </c>
      <c r="Z262">
        <v>4.7956749999999998E-4</v>
      </c>
      <c r="AA262">
        <v>0.99908220000000003</v>
      </c>
      <c r="AB262">
        <v>35</v>
      </c>
      <c r="AC262">
        <v>39.909799999999997</v>
      </c>
      <c r="AD262">
        <v>-1.0783353303650001</v>
      </c>
      <c r="AE262">
        <v>1.86739999999997</v>
      </c>
      <c r="AF262">
        <v>-1.72456242200275</v>
      </c>
      <c r="AG262">
        <v>-1.0783353303650001</v>
      </c>
      <c r="AH262">
        <v>39.8871173156463</v>
      </c>
      <c r="AI262">
        <v>91.547150975182504</v>
      </c>
      <c r="AJ262">
        <v>92.475702767661403</v>
      </c>
      <c r="AK262">
        <v>39.938941528090503</v>
      </c>
      <c r="AL262">
        <v>80.559679184012495</v>
      </c>
      <c r="AM262">
        <v>90.705876317517294</v>
      </c>
      <c r="AN262">
        <v>0.999999980784397</v>
      </c>
    </row>
    <row r="263" spans="1:40" x14ac:dyDescent="0.25">
      <c r="A263" t="str">
        <f>"20190312172336622"</f>
        <v>20190312172336622</v>
      </c>
      <c r="B263" t="str">
        <f>"1552382616610004"</f>
        <v>1552382616610004</v>
      </c>
      <c r="C263" t="s">
        <v>40</v>
      </c>
      <c r="D263">
        <v>3.799058</v>
      </c>
      <c r="E263">
        <v>0.48955680000000001</v>
      </c>
      <c r="F263" t="s">
        <v>43</v>
      </c>
      <c r="G263">
        <v>-395.20440000000002</v>
      </c>
      <c r="H263" s="1">
        <v>-2.2019520000000002E-6</v>
      </c>
      <c r="I263">
        <v>368.7011</v>
      </c>
      <c r="J263">
        <v>-434.4468</v>
      </c>
      <c r="K263">
        <v>1.0760110000000001</v>
      </c>
      <c r="L263">
        <v>366.90910000000002</v>
      </c>
      <c r="M263">
        <v>0.99988619999999995</v>
      </c>
      <c r="N263">
        <v>0</v>
      </c>
      <c r="O263">
        <v>3.4925500000000001E-3</v>
      </c>
      <c r="P263">
        <v>0.98858710000000005</v>
      </c>
      <c r="Q263">
        <v>0.1498391</v>
      </c>
      <c r="R263">
        <v>1.5621950000000001E-2</v>
      </c>
      <c r="S263">
        <v>3.0446469999999999</v>
      </c>
      <c r="T263">
        <v>-8.2950120000000002E-2</v>
      </c>
      <c r="U263">
        <v>0.13793949999999999</v>
      </c>
      <c r="V263">
        <v>-1.213934E-2</v>
      </c>
      <c r="W263">
        <v>0.16435039999999901</v>
      </c>
      <c r="X263">
        <v>0.98632730000000002</v>
      </c>
      <c r="Y263">
        <v>-4.1755349999999997E-2</v>
      </c>
      <c r="Z263">
        <v>4.7331160000000001E-4</v>
      </c>
      <c r="AA263">
        <v>0.99912769999999995</v>
      </c>
      <c r="AB263">
        <v>35</v>
      </c>
      <c r="AC263">
        <v>39.242399999999897</v>
      </c>
      <c r="AD263">
        <v>-1.0760132019519999</v>
      </c>
      <c r="AE263">
        <v>1.7919999999999701</v>
      </c>
      <c r="AF263">
        <v>-1.65367755175221</v>
      </c>
      <c r="AG263">
        <v>-1.0760132019519999</v>
      </c>
      <c r="AH263">
        <v>39.218994975615999</v>
      </c>
      <c r="AI263">
        <v>91.570179513307394</v>
      </c>
      <c r="AJ263">
        <v>92.414458933134497</v>
      </c>
      <c r="AK263">
        <v>39.2685882195087</v>
      </c>
      <c r="AL263">
        <v>80.540499838050494</v>
      </c>
      <c r="AM263">
        <v>90.7051389858877</v>
      </c>
      <c r="AN263">
        <v>0.99999998014054203</v>
      </c>
    </row>
    <row r="264" spans="1:40" x14ac:dyDescent="0.25">
      <c r="A264" t="str">
        <f>"20190312172336645"</f>
        <v>20190312172336645</v>
      </c>
      <c r="B264" t="str">
        <f>"1552382616640260"</f>
        <v>1552382616640260</v>
      </c>
      <c r="C264" t="s">
        <v>40</v>
      </c>
      <c r="D264">
        <v>3.8050250000000001</v>
      </c>
      <c r="E264">
        <v>0.49032290000000001</v>
      </c>
      <c r="F264" t="s">
        <v>43</v>
      </c>
      <c r="G264">
        <v>-396.13850000000002</v>
      </c>
      <c r="H264" s="1">
        <v>-1.8241710000000001E-6</v>
      </c>
      <c r="I264">
        <v>368.57159999999999</v>
      </c>
      <c r="J264">
        <v>-434.10160000000002</v>
      </c>
      <c r="K264">
        <v>1.0738460000000001</v>
      </c>
      <c r="L264">
        <v>366.91030000000001</v>
      </c>
      <c r="M264">
        <v>0.99989139999999999</v>
      </c>
      <c r="N264">
        <v>0</v>
      </c>
      <c r="O264">
        <v>3.4379670000000001E-3</v>
      </c>
      <c r="P264">
        <v>0.98838720000000002</v>
      </c>
      <c r="Q264">
        <v>0.15123320000000001</v>
      </c>
      <c r="R264">
        <v>1.480273E-2</v>
      </c>
      <c r="S264">
        <v>3.0455320000000001</v>
      </c>
      <c r="T264">
        <v>-8.5543510000000003E-2</v>
      </c>
      <c r="U264">
        <v>0.1321716</v>
      </c>
      <c r="V264">
        <v>-1.1374479999999999E-2</v>
      </c>
      <c r="W264">
        <v>0.16538699999999901</v>
      </c>
      <c r="X264">
        <v>0.98616309999999996</v>
      </c>
      <c r="Y264">
        <v>-3.9908029999999997E-2</v>
      </c>
      <c r="Z264">
        <v>4.6358860000000001E-4</v>
      </c>
      <c r="AA264">
        <v>0.99920330000000002</v>
      </c>
      <c r="AB264">
        <v>35</v>
      </c>
      <c r="AC264">
        <v>37.963099999999997</v>
      </c>
      <c r="AD264">
        <v>-1.0738478241710001</v>
      </c>
      <c r="AE264">
        <v>1.66129999999998</v>
      </c>
      <c r="AF264">
        <v>-1.5295393953212999</v>
      </c>
      <c r="AG264">
        <v>-1.0738478241710001</v>
      </c>
      <c r="AH264">
        <v>37.938290025085898</v>
      </c>
      <c r="AI264">
        <v>91.620015606050401</v>
      </c>
      <c r="AJ264">
        <v>92.308715449997905</v>
      </c>
      <c r="AK264">
        <v>37.984292673931002</v>
      </c>
      <c r="AL264">
        <v>80.480282695374797</v>
      </c>
      <c r="AM264">
        <v>90.660824563823596</v>
      </c>
      <c r="AN264">
        <v>0.999999949182938</v>
      </c>
    </row>
    <row r="265" spans="1:40" x14ac:dyDescent="0.25">
      <c r="A265" t="str">
        <f>"20190312172336668"</f>
        <v>20190312172336668</v>
      </c>
      <c r="B265" t="str">
        <f>"1552382616659783"</f>
        <v>1552382616659783</v>
      </c>
      <c r="C265" t="s">
        <v>40</v>
      </c>
      <c r="D265">
        <v>3.829993</v>
      </c>
      <c r="E265">
        <v>0.49071029999999999</v>
      </c>
      <c r="F265" t="s">
        <v>43</v>
      </c>
      <c r="G265">
        <v>-396.30610000000001</v>
      </c>
      <c r="H265" s="1">
        <v>-1.7748069999999999E-6</v>
      </c>
      <c r="I265">
        <v>368.44459999999998</v>
      </c>
      <c r="J265">
        <v>-433.72800000000001</v>
      </c>
      <c r="K265">
        <v>1.0717479999999999</v>
      </c>
      <c r="L265">
        <v>366.91149999999999</v>
      </c>
      <c r="M265">
        <v>0.99989749999999999</v>
      </c>
      <c r="N265">
        <v>0</v>
      </c>
      <c r="O265">
        <v>3.3788429999999999E-3</v>
      </c>
      <c r="P265">
        <v>0.98832149999999996</v>
      </c>
      <c r="Q265">
        <v>0.15177379999999999</v>
      </c>
      <c r="R265">
        <v>1.3624850000000001E-2</v>
      </c>
      <c r="S265">
        <v>3.0466310000000001</v>
      </c>
      <c r="T265">
        <v>-8.6560960000000006E-2</v>
      </c>
      <c r="U265">
        <v>0.1236877</v>
      </c>
      <c r="V265">
        <v>-1.025555E-2</v>
      </c>
      <c r="W265">
        <v>0.16551679999999999</v>
      </c>
      <c r="X265">
        <v>0.98615370000000002</v>
      </c>
      <c r="Y265">
        <v>-3.7174560000000002E-2</v>
      </c>
      <c r="Z265">
        <v>4.3183019999999998E-4</v>
      </c>
      <c r="AA265">
        <v>0.99930870000000005</v>
      </c>
      <c r="AB265">
        <v>35</v>
      </c>
      <c r="AC265">
        <v>37.421900000000001</v>
      </c>
      <c r="AD265">
        <v>-1.071749774807</v>
      </c>
      <c r="AE265">
        <v>1.5330999999999899</v>
      </c>
      <c r="AF265">
        <v>-1.40548539402644</v>
      </c>
      <c r="AG265">
        <v>-1.071749774807</v>
      </c>
      <c r="AH265">
        <v>37.396244858491997</v>
      </c>
      <c r="AI265">
        <v>91.640449386101196</v>
      </c>
      <c r="AJ265">
        <v>92.1523684393254</v>
      </c>
      <c r="AK265">
        <v>37.437990948886501</v>
      </c>
      <c r="AL265">
        <v>80.472742777851195</v>
      </c>
      <c r="AM265">
        <v>90.595828571026601</v>
      </c>
      <c r="AN265">
        <v>1.00000005370586</v>
      </c>
    </row>
    <row r="266" spans="1:40" x14ac:dyDescent="0.25">
      <c r="A266" t="str">
        <f>"20190312172336690"</f>
        <v>20190312172336690</v>
      </c>
      <c r="B266" t="str">
        <f>"1552382616680279"</f>
        <v>1552382616680279</v>
      </c>
      <c r="C266" t="s">
        <v>40</v>
      </c>
      <c r="D266">
        <v>3.8150590000000002</v>
      </c>
      <c r="E266">
        <v>0.4910332</v>
      </c>
      <c r="F266" t="s">
        <v>43</v>
      </c>
      <c r="G266">
        <v>-396.77620000000002</v>
      </c>
      <c r="H266" s="1">
        <v>-1.593189E-6</v>
      </c>
      <c r="I266">
        <v>368.33159999999998</v>
      </c>
      <c r="J266">
        <v>-433.38339999999999</v>
      </c>
      <c r="K266">
        <v>1.070025</v>
      </c>
      <c r="L266">
        <v>366.9126</v>
      </c>
      <c r="M266">
        <v>0.99990299999999999</v>
      </c>
      <c r="N266">
        <v>0</v>
      </c>
      <c r="O266">
        <v>3.324956E-3</v>
      </c>
      <c r="P266">
        <v>0.9882457</v>
      </c>
      <c r="Q266">
        <v>0.15238940000000001</v>
      </c>
      <c r="R266">
        <v>1.2160239999999999E-2</v>
      </c>
      <c r="S266">
        <v>3.0473940000000002</v>
      </c>
      <c r="T266">
        <v>-8.8386419999999993E-2</v>
      </c>
      <c r="U266">
        <v>0.11712649999999999</v>
      </c>
      <c r="V266">
        <v>-8.8440069999999992E-3</v>
      </c>
      <c r="W266">
        <v>0.16575239999999999</v>
      </c>
      <c r="X266">
        <v>0.98612770000000005</v>
      </c>
      <c r="Y266">
        <v>-3.5070259999999999E-2</v>
      </c>
      <c r="Z266">
        <v>4.1190520000000002E-4</v>
      </c>
      <c r="AA266">
        <v>0.99938479999999996</v>
      </c>
      <c r="AB266">
        <v>35</v>
      </c>
      <c r="AC266">
        <v>36.607199999999899</v>
      </c>
      <c r="AD266">
        <v>-1.0700265931890001</v>
      </c>
      <c r="AE266">
        <v>1.4189999999999801</v>
      </c>
      <c r="AF266">
        <v>-1.29615792797794</v>
      </c>
      <c r="AG266">
        <v>-1.0700265931890001</v>
      </c>
      <c r="AH266">
        <v>36.580509026417701</v>
      </c>
      <c r="AI266">
        <v>91.674446735069793</v>
      </c>
      <c r="AJ266">
        <v>92.029313549923202</v>
      </c>
      <c r="AK266">
        <v>36.619101885712801</v>
      </c>
      <c r="AL266">
        <v>80.459053898678604</v>
      </c>
      <c r="AM266">
        <v>90.513838816241702</v>
      </c>
      <c r="AN266">
        <v>0.99999995763643201</v>
      </c>
    </row>
    <row r="267" spans="1:40" x14ac:dyDescent="0.25">
      <c r="A267" t="str">
        <f>"20190312172336712"</f>
        <v>20190312172336712</v>
      </c>
      <c r="B267" t="str">
        <f>"1552382616699796"</f>
        <v>1552382616699796</v>
      </c>
      <c r="C267" t="s">
        <v>40</v>
      </c>
      <c r="D267">
        <v>3.8302209999999999</v>
      </c>
      <c r="E267">
        <v>0.49135839999999997</v>
      </c>
      <c r="F267" t="s">
        <v>43</v>
      </c>
      <c r="G267">
        <v>-397.16890000000001</v>
      </c>
      <c r="H267" s="1">
        <v>-1.4445750000000001E-6</v>
      </c>
      <c r="I267">
        <v>368.21960000000001</v>
      </c>
      <c r="J267">
        <v>-433.04169999999999</v>
      </c>
      <c r="K267">
        <v>1.0685169999999999</v>
      </c>
      <c r="L267">
        <v>366.91370000000001</v>
      </c>
      <c r="M267">
        <v>0.99990809999999997</v>
      </c>
      <c r="N267">
        <v>0</v>
      </c>
      <c r="O267">
        <v>3.271417E-3</v>
      </c>
      <c r="P267">
        <v>0.9882339</v>
      </c>
      <c r="Q267">
        <v>0.1525368</v>
      </c>
      <c r="R267">
        <v>1.1249840000000001E-2</v>
      </c>
      <c r="S267">
        <v>3.0482480000000001</v>
      </c>
      <c r="T267">
        <v>-9.0066190000000004E-2</v>
      </c>
      <c r="U267">
        <v>0.1100159</v>
      </c>
      <c r="V267">
        <v>-7.9870789999999994E-3</v>
      </c>
      <c r="W267">
        <v>0.16553889999999999</v>
      </c>
      <c r="X267">
        <v>0.98617089999999996</v>
      </c>
      <c r="Y267">
        <v>-3.2785389999999998E-2</v>
      </c>
      <c r="Z267">
        <v>3.8747519999999999E-4</v>
      </c>
      <c r="AA267">
        <v>0.99946239999999997</v>
      </c>
      <c r="AB267">
        <v>35</v>
      </c>
      <c r="AC267">
        <v>35.872799999999899</v>
      </c>
      <c r="AD267">
        <v>-1.068518444575</v>
      </c>
      <c r="AE267">
        <v>1.3059000000000001</v>
      </c>
      <c r="AF267">
        <v>-1.1874758020757901</v>
      </c>
      <c r="AG267">
        <v>-1.068518444575</v>
      </c>
      <c r="AH267">
        <v>35.845119944701104</v>
      </c>
      <c r="AI267">
        <v>91.706506672242</v>
      </c>
      <c r="AJ267">
        <v>91.897398550945496</v>
      </c>
      <c r="AK267">
        <v>35.880697516867201</v>
      </c>
      <c r="AL267">
        <v>80.471458143742495</v>
      </c>
      <c r="AM267">
        <v>90.464033071469501</v>
      </c>
      <c r="AN267">
        <v>0.99999998242548505</v>
      </c>
    </row>
    <row r="268" spans="1:40" x14ac:dyDescent="0.25">
      <c r="A268" t="str">
        <f>"20190312172336734"</f>
        <v>20190312172336734</v>
      </c>
      <c r="B268" t="str">
        <f>"1552382616730053"</f>
        <v>1552382616730053</v>
      </c>
      <c r="C268" t="s">
        <v>40</v>
      </c>
      <c r="D268">
        <v>3.8072569999999999</v>
      </c>
      <c r="E268">
        <v>0.49158390000000002</v>
      </c>
      <c r="F268" t="s">
        <v>43</v>
      </c>
      <c r="G268">
        <v>-397.88490000000002</v>
      </c>
      <c r="H268" s="1">
        <v>-1.156168E-6</v>
      </c>
      <c r="I268">
        <v>368.11399999999998</v>
      </c>
      <c r="J268">
        <v>-432.68200000000002</v>
      </c>
      <c r="K268">
        <v>1.067132</v>
      </c>
      <c r="L268">
        <v>366.91480000000001</v>
      </c>
      <c r="M268">
        <v>0.99991280000000005</v>
      </c>
      <c r="N268">
        <v>0</v>
      </c>
      <c r="O268">
        <v>3.215196E-3</v>
      </c>
      <c r="P268">
        <v>0.98817460000000001</v>
      </c>
      <c r="Q268">
        <v>0.1529517</v>
      </c>
      <c r="R268">
        <v>1.0808109999999999E-2</v>
      </c>
      <c r="S268">
        <v>3.0488590000000002</v>
      </c>
      <c r="T268">
        <v>-9.2663529999999994E-2</v>
      </c>
      <c r="U268">
        <v>0.10409549999999999</v>
      </c>
      <c r="V268">
        <v>-7.6013999999999899E-3</v>
      </c>
      <c r="W268">
        <v>0.16560050000000001</v>
      </c>
      <c r="X268">
        <v>0.98616360000000003</v>
      </c>
      <c r="Y268">
        <v>-3.089602E-2</v>
      </c>
      <c r="Z268">
        <v>3.7158969999999999E-4</v>
      </c>
      <c r="AA268">
        <v>0.99952249999999998</v>
      </c>
      <c r="AB268">
        <v>35</v>
      </c>
      <c r="AC268">
        <v>34.797099999999901</v>
      </c>
      <c r="AD268">
        <v>-1.067133156168</v>
      </c>
      <c r="AE268">
        <v>1.19920000000001</v>
      </c>
      <c r="AF268">
        <v>-1.08628470477577</v>
      </c>
      <c r="AG268">
        <v>-1.067133156168</v>
      </c>
      <c r="AH268">
        <v>34.768116046310197</v>
      </c>
      <c r="AI268">
        <v>91.757162924235899</v>
      </c>
      <c r="AJ268">
        <v>91.789550190301398</v>
      </c>
      <c r="AK268">
        <v>34.801446536638601</v>
      </c>
      <c r="AL268">
        <v>80.4678792714422</v>
      </c>
      <c r="AM268">
        <v>90.441630083689702</v>
      </c>
      <c r="AN268">
        <v>0.99999997642358396</v>
      </c>
    </row>
    <row r="269" spans="1:40" x14ac:dyDescent="0.25">
      <c r="A269" t="str">
        <f>"20190312172336758"</f>
        <v>20190312172336758</v>
      </c>
      <c r="B269" t="str">
        <f>"1552382616750548"</f>
        <v>1552382616750548</v>
      </c>
      <c r="C269" t="s">
        <v>40</v>
      </c>
      <c r="D269">
        <v>3.8773270000000002</v>
      </c>
      <c r="E269">
        <v>0.494973</v>
      </c>
      <c r="F269" t="s">
        <v>43</v>
      </c>
      <c r="G269">
        <v>-398.17290000000003</v>
      </c>
      <c r="H269" s="1">
        <v>-1.0429110000000001E-6</v>
      </c>
      <c r="I269">
        <v>368.05579999999998</v>
      </c>
      <c r="J269">
        <v>-432.31229999999999</v>
      </c>
      <c r="K269">
        <v>1.0659080000000001</v>
      </c>
      <c r="L269">
        <v>366.916</v>
      </c>
      <c r="M269">
        <v>0.99991730000000001</v>
      </c>
      <c r="N269">
        <v>0</v>
      </c>
      <c r="O269">
        <v>3.1574319999999999E-3</v>
      </c>
      <c r="P269">
        <v>0.98815719999999996</v>
      </c>
      <c r="Q269">
        <v>0.1530879</v>
      </c>
      <c r="R269">
        <v>1.0479759999999999E-2</v>
      </c>
      <c r="S269">
        <v>3.0494080000000001</v>
      </c>
      <c r="T269">
        <v>-9.4297409999999998E-2</v>
      </c>
      <c r="U269">
        <v>0.10083010000000001</v>
      </c>
      <c r="V269">
        <v>-7.3298390000000003E-3</v>
      </c>
      <c r="W269">
        <v>0.1654091</v>
      </c>
      <c r="X269">
        <v>0.98619780000000001</v>
      </c>
      <c r="Y269">
        <v>-2.9878519999999999E-2</v>
      </c>
      <c r="Z269">
        <v>3.6413899999999998E-4</v>
      </c>
      <c r="AA269">
        <v>0.99955340000000004</v>
      </c>
      <c r="AB269">
        <v>35</v>
      </c>
      <c r="AC269">
        <v>34.139399999999902</v>
      </c>
      <c r="AD269">
        <v>-1.0659090429109901</v>
      </c>
      <c r="AE269">
        <v>1.1397999999999699</v>
      </c>
      <c r="AF269">
        <v>-1.0309891864555001</v>
      </c>
      <c r="AG269">
        <v>-1.0659090429109901</v>
      </c>
      <c r="AH269">
        <v>34.109614893902297</v>
      </c>
      <c r="AI269">
        <v>91.789066524512904</v>
      </c>
      <c r="AJ269">
        <v>91.731281634786995</v>
      </c>
      <c r="AK269">
        <v>34.141835466194102</v>
      </c>
      <c r="AL269">
        <v>80.478999251941801</v>
      </c>
      <c r="AM269">
        <v>90.425838616059806</v>
      </c>
      <c r="AN269">
        <v>0.99999999881370705</v>
      </c>
    </row>
    <row r="270" spans="1:40" x14ac:dyDescent="0.25">
      <c r="A270" t="str">
        <f>"20190312172336780"</f>
        <v>20190312172336780</v>
      </c>
      <c r="B270" t="str">
        <f>"1552382616770068"</f>
        <v>1552382616770068</v>
      </c>
      <c r="C270" t="s">
        <v>40</v>
      </c>
      <c r="D270">
        <v>3.8805000000000001</v>
      </c>
      <c r="E270">
        <v>0.49468970000000001</v>
      </c>
      <c r="F270" t="s">
        <v>42</v>
      </c>
      <c r="G270">
        <v>-412.5394</v>
      </c>
      <c r="H270">
        <v>-0.05</v>
      </c>
      <c r="I270">
        <v>367.38569999999999</v>
      </c>
      <c r="J270">
        <v>-431.95</v>
      </c>
      <c r="K270">
        <v>1.064881</v>
      </c>
      <c r="L270">
        <v>366.9171</v>
      </c>
      <c r="M270">
        <v>0.99992099999999995</v>
      </c>
      <c r="N270">
        <v>0</v>
      </c>
      <c r="O270">
        <v>3.1008450000000001E-3</v>
      </c>
      <c r="P270">
        <v>0.98816999999999999</v>
      </c>
      <c r="Q270">
        <v>0.1530195</v>
      </c>
      <c r="R270">
        <v>1.026381E-2</v>
      </c>
      <c r="S270">
        <v>3.0619510000000001</v>
      </c>
      <c r="T270">
        <v>-0.17280570000000001</v>
      </c>
      <c r="U270">
        <v>7.2753910000000005E-2</v>
      </c>
      <c r="V270">
        <v>-7.1703840000000001E-3</v>
      </c>
      <c r="W270">
        <v>0.16505500000000001</v>
      </c>
      <c r="X270">
        <v>0.98625830000000003</v>
      </c>
      <c r="Y270">
        <v>-2.0625750000000002E-2</v>
      </c>
      <c r="Z270">
        <v>4.0662959999999997E-4</v>
      </c>
      <c r="AA270">
        <v>0.99978719999999999</v>
      </c>
      <c r="AB270">
        <v>35</v>
      </c>
      <c r="AC270">
        <v>19.410599999999899</v>
      </c>
      <c r="AD270">
        <v>-1.114881</v>
      </c>
      <c r="AE270">
        <v>0.46859999999997998</v>
      </c>
      <c r="AF270">
        <v>-0.40706191381400503</v>
      </c>
      <c r="AG270">
        <v>-1.114881</v>
      </c>
      <c r="AH270">
        <v>19.348167875038602</v>
      </c>
      <c r="AI270">
        <v>93.297125244514802</v>
      </c>
      <c r="AJ270">
        <v>91.205255690374102</v>
      </c>
      <c r="AK270">
        <v>19.384536599220301</v>
      </c>
      <c r="AL270">
        <v>80.499570464210606</v>
      </c>
      <c r="AM270">
        <v>90.416549602106599</v>
      </c>
      <c r="AN270">
        <v>1.0000000008752901</v>
      </c>
    </row>
    <row r="271" spans="1:40" x14ac:dyDescent="0.25">
      <c r="A271" t="str">
        <f>"20190312172336801"</f>
        <v>20190312172336801</v>
      </c>
      <c r="B271" t="str">
        <f>"1552382616790564"</f>
        <v>1552382616790564</v>
      </c>
      <c r="C271" t="s">
        <v>40</v>
      </c>
      <c r="D271">
        <v>3.8474270000000002</v>
      </c>
      <c r="E271">
        <v>0.4948631</v>
      </c>
      <c r="F271" t="s">
        <v>42</v>
      </c>
      <c r="G271">
        <v>-412.4348</v>
      </c>
      <c r="H271">
        <v>-0.05</v>
      </c>
      <c r="I271">
        <v>367.39060000000001</v>
      </c>
      <c r="J271">
        <v>-431.6284</v>
      </c>
      <c r="K271">
        <v>1.0641080000000001</v>
      </c>
      <c r="L271">
        <v>366.91800000000001</v>
      </c>
      <c r="M271">
        <v>0.99992389999999998</v>
      </c>
      <c r="N271">
        <v>0</v>
      </c>
      <c r="O271">
        <v>3.0510390000000002E-3</v>
      </c>
      <c r="P271">
        <v>0.98820560000000002</v>
      </c>
      <c r="Q271">
        <v>0.1527946</v>
      </c>
      <c r="R271">
        <v>1.0173750000000001E-2</v>
      </c>
      <c r="S271">
        <v>3.0622250000000002</v>
      </c>
      <c r="T271">
        <v>-0.1749415</v>
      </c>
      <c r="U271">
        <v>7.4310299999999996E-2</v>
      </c>
      <c r="V271">
        <v>-7.1290679999999997E-3</v>
      </c>
      <c r="W271">
        <v>0.16460720000000001</v>
      </c>
      <c r="X271">
        <v>0.98633340000000003</v>
      </c>
      <c r="Y271">
        <v>-2.1179610000000001E-2</v>
      </c>
      <c r="Z271">
        <v>4.3025669999999998E-4</v>
      </c>
      <c r="AA271">
        <v>0.99977559999999999</v>
      </c>
      <c r="AB271">
        <v>35</v>
      </c>
      <c r="AC271">
        <v>19.1936</v>
      </c>
      <c r="AD271">
        <v>-1.1141080000000001</v>
      </c>
      <c r="AE271">
        <v>0.47259999999999902</v>
      </c>
      <c r="AF271">
        <v>-0.41264370917950799</v>
      </c>
      <c r="AG271">
        <v>-1.1141080000000001</v>
      </c>
      <c r="AH271">
        <v>19.130534919624299</v>
      </c>
      <c r="AI271">
        <v>93.332205470576795</v>
      </c>
      <c r="AJ271">
        <v>91.235672573852696</v>
      </c>
      <c r="AK271">
        <v>19.1673910007949</v>
      </c>
      <c r="AL271">
        <v>80.525582979671597</v>
      </c>
      <c r="AM271">
        <v>90.414117980284502</v>
      </c>
      <c r="AN271">
        <v>0.99999996492897303</v>
      </c>
    </row>
    <row r="272" spans="1:40" x14ac:dyDescent="0.25">
      <c r="A272" t="str">
        <f>"20190312172336823"</f>
        <v>20190312172336823</v>
      </c>
      <c r="B272" t="str">
        <f>"1552382616819843"</f>
        <v>1552382616819843</v>
      </c>
      <c r="C272" t="s">
        <v>40</v>
      </c>
      <c r="D272">
        <v>3.8233199999999998</v>
      </c>
      <c r="E272">
        <v>0.49499799999999999</v>
      </c>
      <c r="F272" t="s">
        <v>42</v>
      </c>
      <c r="G272">
        <v>-412.34410000000003</v>
      </c>
      <c r="H272">
        <v>-0.05</v>
      </c>
      <c r="I272">
        <v>367.37880000000001</v>
      </c>
      <c r="J272">
        <v>-431.27940000000001</v>
      </c>
      <c r="K272">
        <v>1.063391</v>
      </c>
      <c r="L272">
        <v>366.91899999999998</v>
      </c>
      <c r="M272">
        <v>0.9999266</v>
      </c>
      <c r="N272">
        <v>0</v>
      </c>
      <c r="O272">
        <v>2.9968019999999998E-3</v>
      </c>
      <c r="P272">
        <v>0.98829440000000002</v>
      </c>
      <c r="Q272">
        <v>0.15224699999999999</v>
      </c>
      <c r="R272">
        <v>9.7629299999999995E-3</v>
      </c>
      <c r="S272">
        <v>3.0623779999999998</v>
      </c>
      <c r="T272">
        <v>-0.17692260000000001</v>
      </c>
      <c r="U272">
        <v>7.318115E-2</v>
      </c>
      <c r="V272">
        <v>-6.7720239999999998E-3</v>
      </c>
      <c r="W272">
        <v>0.16384670000000001</v>
      </c>
      <c r="X272">
        <v>0.98646259999999997</v>
      </c>
      <c r="Y272">
        <v>-2.0863989999999999E-2</v>
      </c>
      <c r="Z272">
        <v>4.2912370000000003E-4</v>
      </c>
      <c r="AA272">
        <v>0.99978219999999995</v>
      </c>
      <c r="AB272">
        <v>35</v>
      </c>
      <c r="AC272">
        <v>18.935299999999899</v>
      </c>
      <c r="AD272">
        <v>-1.113391</v>
      </c>
      <c r="AE272">
        <v>0.45979999999997201</v>
      </c>
      <c r="AF272">
        <v>-0.40166079141430899</v>
      </c>
      <c r="AG272">
        <v>-1.113391</v>
      </c>
      <c r="AH272">
        <v>18.871385296415301</v>
      </c>
      <c r="AI272">
        <v>93.375711218987604</v>
      </c>
      <c r="AJ272">
        <v>91.219306033348602</v>
      </c>
      <c r="AK272">
        <v>18.908467783403299</v>
      </c>
      <c r="AL272">
        <v>80.569756812427599</v>
      </c>
      <c r="AM272">
        <v>90.393326922710003</v>
      </c>
      <c r="AN272">
        <v>1.00000003130435</v>
      </c>
    </row>
    <row r="273" spans="1:40" x14ac:dyDescent="0.25">
      <c r="A273" t="str">
        <f>"20190312172336846"</f>
        <v>20190312172336846</v>
      </c>
      <c r="B273" t="str">
        <f>"1552382616840340"</f>
        <v>1552382616840340</v>
      </c>
      <c r="C273" t="s">
        <v>40</v>
      </c>
      <c r="D273">
        <v>3.828519</v>
      </c>
      <c r="E273">
        <v>0.495255</v>
      </c>
      <c r="F273" t="s">
        <v>42</v>
      </c>
      <c r="G273">
        <v>-412.22739999999999</v>
      </c>
      <c r="H273">
        <v>-0.05</v>
      </c>
      <c r="I273">
        <v>367.36020000000002</v>
      </c>
      <c r="J273">
        <v>-430.92039999999997</v>
      </c>
      <c r="K273">
        <v>1.0627709999999999</v>
      </c>
      <c r="L273">
        <v>366.92</v>
      </c>
      <c r="M273">
        <v>0.99992910000000002</v>
      </c>
      <c r="N273">
        <v>0</v>
      </c>
      <c r="O273">
        <v>2.941113E-3</v>
      </c>
      <c r="P273">
        <v>0.98831579999999997</v>
      </c>
      <c r="Q273">
        <v>0.15211429999999901</v>
      </c>
      <c r="R273">
        <v>9.6691060000000002E-3</v>
      </c>
      <c r="S273">
        <v>3.062408</v>
      </c>
      <c r="T273">
        <v>-0.17896509999999999</v>
      </c>
      <c r="U273">
        <v>7.0922849999999996E-2</v>
      </c>
      <c r="V273">
        <v>-6.7333519999999997E-3</v>
      </c>
      <c r="W273">
        <v>0.16351969999999999</v>
      </c>
      <c r="X273">
        <v>0.98651710000000004</v>
      </c>
      <c r="Y273">
        <v>-2.0182950000000002E-2</v>
      </c>
      <c r="Z273">
        <v>4.1744040000000002E-4</v>
      </c>
      <c r="AA273">
        <v>0.99979620000000002</v>
      </c>
      <c r="AB273">
        <v>35</v>
      </c>
      <c r="AC273">
        <v>18.692999999999898</v>
      </c>
      <c r="AD273">
        <v>-1.112771</v>
      </c>
      <c r="AE273">
        <v>0.44020000000000398</v>
      </c>
      <c r="AF273">
        <v>-0.38385670159416102</v>
      </c>
      <c r="AG273">
        <v>-1.112771</v>
      </c>
      <c r="AH273">
        <v>18.628238115310101</v>
      </c>
      <c r="AI273">
        <v>93.417817819701</v>
      </c>
      <c r="AJ273">
        <v>91.1804796940892</v>
      </c>
      <c r="AK273">
        <v>18.6653920544545</v>
      </c>
      <c r="AL273">
        <v>80.588748468438794</v>
      </c>
      <c r="AM273">
        <v>90.391059274011297</v>
      </c>
      <c r="AN273">
        <v>1.00000000945482</v>
      </c>
    </row>
    <row r="274" spans="1:40" x14ac:dyDescent="0.25">
      <c r="A274" t="str">
        <f>"20190312172336868"</f>
        <v>20190312172336868</v>
      </c>
      <c r="B274" t="str">
        <f>"1552382616859860"</f>
        <v>1552382616859860</v>
      </c>
      <c r="C274" t="s">
        <v>40</v>
      </c>
      <c r="D274">
        <v>3.84043</v>
      </c>
      <c r="E274">
        <v>0.4954075</v>
      </c>
      <c r="F274" t="s">
        <v>42</v>
      </c>
      <c r="G274">
        <v>-411.86450000000002</v>
      </c>
      <c r="H274">
        <v>-0.05</v>
      </c>
      <c r="I274">
        <v>367.3458</v>
      </c>
      <c r="J274">
        <v>-430.55290000000002</v>
      </c>
      <c r="K274">
        <v>1.0622469999999999</v>
      </c>
      <c r="L274">
        <v>366.92110000000002</v>
      </c>
      <c r="M274">
        <v>0.99993120000000002</v>
      </c>
      <c r="N274">
        <v>0</v>
      </c>
      <c r="O274">
        <v>2.8839019999999998E-3</v>
      </c>
      <c r="P274">
        <v>0.9883227</v>
      </c>
      <c r="Q274">
        <v>0.1520754</v>
      </c>
      <c r="R274">
        <v>9.5589939999999995E-3</v>
      </c>
      <c r="S274">
        <v>3.0623170000000002</v>
      </c>
      <c r="T274">
        <v>-0.17882419999999999</v>
      </c>
      <c r="U274">
        <v>6.8420410000000001E-2</v>
      </c>
      <c r="V274">
        <v>-6.6799619999999898E-3</v>
      </c>
      <c r="W274">
        <v>0.16330899999999901</v>
      </c>
      <c r="X274">
        <v>0.9865524</v>
      </c>
      <c r="Y274">
        <v>-1.942549E-2</v>
      </c>
      <c r="Z274">
        <v>3.9837249999999998E-4</v>
      </c>
      <c r="AA274">
        <v>0.99981120000000001</v>
      </c>
      <c r="AB274">
        <v>35</v>
      </c>
      <c r="AC274">
        <v>18.688400000000001</v>
      </c>
      <c r="AD274">
        <v>-1.112247</v>
      </c>
      <c r="AE274">
        <v>0.42469999999997199</v>
      </c>
      <c r="AF274">
        <v>-0.36949114416560402</v>
      </c>
      <c r="AG274">
        <v>-1.112247</v>
      </c>
      <c r="AH274">
        <v>18.623614882239298</v>
      </c>
      <c r="AI274">
        <v>93.417111048204305</v>
      </c>
      <c r="AJ274">
        <v>91.136594920841404</v>
      </c>
      <c r="AK274">
        <v>18.660456810501501</v>
      </c>
      <c r="AL274">
        <v>80.600985514679195</v>
      </c>
      <c r="AM274">
        <v>90.387944706281701</v>
      </c>
      <c r="AN274">
        <v>1.0000000446595301</v>
      </c>
    </row>
    <row r="275" spans="1:40" x14ac:dyDescent="0.25">
      <c r="A275" t="str">
        <f>"20190312172336881"</f>
        <v>20190312172336881</v>
      </c>
      <c r="B275" t="str">
        <f>"1552382616870597"</f>
        <v>1552382616870597</v>
      </c>
      <c r="C275" t="s">
        <v>40</v>
      </c>
      <c r="D275">
        <v>3.8110409999999999</v>
      </c>
      <c r="E275">
        <v>0.4954886</v>
      </c>
      <c r="F275" t="s">
        <v>42</v>
      </c>
      <c r="G275">
        <v>-411.42840000000001</v>
      </c>
      <c r="H275">
        <v>-0.05</v>
      </c>
      <c r="I275">
        <v>367.33879999999999</v>
      </c>
      <c r="J275">
        <v>-430.35829999999999</v>
      </c>
      <c r="K275">
        <v>1.061993</v>
      </c>
      <c r="L275">
        <v>366.92160000000001</v>
      </c>
      <c r="M275">
        <v>0.9999323</v>
      </c>
      <c r="N275">
        <v>0</v>
      </c>
      <c r="O275">
        <v>2.8532200000000001E-3</v>
      </c>
      <c r="P275">
        <v>0.98834820000000001</v>
      </c>
      <c r="Q275">
        <v>0.15193400000000001</v>
      </c>
      <c r="R275">
        <v>9.1867509999999999E-3</v>
      </c>
      <c r="S275">
        <v>3.0622250000000002</v>
      </c>
      <c r="T275">
        <v>-0.17809320000000001</v>
      </c>
      <c r="U275">
        <v>6.6894529999999994E-2</v>
      </c>
      <c r="V275">
        <v>-6.3382019999999898E-3</v>
      </c>
      <c r="W275">
        <v>0.1630846</v>
      </c>
      <c r="X275">
        <v>0.98659180000000002</v>
      </c>
      <c r="Y275">
        <v>-1.895985E-2</v>
      </c>
      <c r="Z275">
        <v>3.8501630000000001E-4</v>
      </c>
      <c r="AA275">
        <v>0.99982020000000005</v>
      </c>
      <c r="AB275">
        <v>36</v>
      </c>
      <c r="AC275">
        <v>18.9298999999999</v>
      </c>
      <c r="AD275">
        <v>-1.111993</v>
      </c>
      <c r="AE275">
        <v>0.41719999999997898</v>
      </c>
      <c r="AF275">
        <v>-0.361935370610315</v>
      </c>
      <c r="AG275">
        <v>-1.111993</v>
      </c>
      <c r="AH275">
        <v>18.865944228880899</v>
      </c>
      <c r="AI275">
        <v>93.372595378968299</v>
      </c>
      <c r="AJ275">
        <v>91.099061111593898</v>
      </c>
      <c r="AK275">
        <v>18.902152715809802</v>
      </c>
      <c r="AL275">
        <v>80.614017635631399</v>
      </c>
      <c r="AM275">
        <v>90.368082552885696</v>
      </c>
      <c r="AN275">
        <v>1.00000006969449</v>
      </c>
    </row>
    <row r="276" spans="1:40" x14ac:dyDescent="0.25">
      <c r="A276" t="str">
        <f>"20190312172336895"</f>
        <v>20190312172336895</v>
      </c>
      <c r="B276" t="str">
        <f>"1552382616890116"</f>
        <v>1552382616890116</v>
      </c>
      <c r="C276" t="s">
        <v>40</v>
      </c>
      <c r="D276">
        <v>3.8216039999999998</v>
      </c>
      <c r="E276">
        <v>0.49551859999999998</v>
      </c>
      <c r="F276" t="s">
        <v>42</v>
      </c>
      <c r="G276">
        <v>-411.21499999999997</v>
      </c>
      <c r="H276">
        <v>-0.05</v>
      </c>
      <c r="I276">
        <v>367.32600000000002</v>
      </c>
      <c r="J276">
        <v>-430.13150000000002</v>
      </c>
      <c r="K276">
        <v>1.0617399999999999</v>
      </c>
      <c r="L276">
        <v>366.92219999999998</v>
      </c>
      <c r="M276">
        <v>0.99993339999999997</v>
      </c>
      <c r="N276">
        <v>0</v>
      </c>
      <c r="O276">
        <v>2.8178819999999999E-3</v>
      </c>
      <c r="P276">
        <v>0.98835010000000001</v>
      </c>
      <c r="Q276">
        <v>0.1519218</v>
      </c>
      <c r="R276">
        <v>9.1758970000000006E-3</v>
      </c>
      <c r="S276">
        <v>3.0621339999999999</v>
      </c>
      <c r="T276">
        <v>-0.1778729</v>
      </c>
      <c r="U276">
        <v>6.4697270000000001E-2</v>
      </c>
      <c r="V276">
        <v>-6.3622949999999996E-3</v>
      </c>
      <c r="W276">
        <v>0.16298959999999901</v>
      </c>
      <c r="X276">
        <v>0.98660729999999996</v>
      </c>
      <c r="Y276">
        <v>-1.8279879999999998E-2</v>
      </c>
      <c r="Z276">
        <v>3.6687619999999999E-4</v>
      </c>
      <c r="AA276">
        <v>0.99983290000000002</v>
      </c>
      <c r="AB276">
        <v>36</v>
      </c>
      <c r="AC276">
        <v>18.916499999999999</v>
      </c>
      <c r="AD276">
        <v>-1.11174</v>
      </c>
      <c r="AE276">
        <v>0.403799999999989</v>
      </c>
      <c r="AF276">
        <v>-0.34928470612152102</v>
      </c>
      <c r="AG276">
        <v>-1.11174</v>
      </c>
      <c r="AH276">
        <v>18.852475643122201</v>
      </c>
      <c r="AI276">
        <v>93.374274868323795</v>
      </c>
      <c r="AJ276">
        <v>91.061412332743203</v>
      </c>
      <c r="AK276">
        <v>18.888456885305601</v>
      </c>
      <c r="AL276">
        <v>80.619534141734604</v>
      </c>
      <c r="AM276">
        <v>90.369475878180694</v>
      </c>
      <c r="AN276">
        <v>1.0000000264595501</v>
      </c>
    </row>
    <row r="277" spans="1:40" x14ac:dyDescent="0.25">
      <c r="A277" t="str">
        <f>"20190312172336914"</f>
        <v>20190312172336914</v>
      </c>
      <c r="B277" t="str">
        <f>"1552382616910613"</f>
        <v>1552382616910613</v>
      </c>
      <c r="C277" t="s">
        <v>40</v>
      </c>
      <c r="D277">
        <v>3.8147340000000001</v>
      </c>
      <c r="E277">
        <v>0.49564180000000002</v>
      </c>
      <c r="F277" t="s">
        <v>42</v>
      </c>
      <c r="G277">
        <v>-410.95920000000001</v>
      </c>
      <c r="H277">
        <v>-0.05</v>
      </c>
      <c r="I277">
        <v>367.3279</v>
      </c>
      <c r="J277">
        <v>-429.84640000000002</v>
      </c>
      <c r="K277">
        <v>1.061458</v>
      </c>
      <c r="L277">
        <v>366.92290000000003</v>
      </c>
      <c r="M277">
        <v>0.9999344</v>
      </c>
      <c r="N277">
        <v>0</v>
      </c>
      <c r="O277">
        <v>2.7734130000000002E-3</v>
      </c>
      <c r="P277">
        <v>0.98839429999999995</v>
      </c>
      <c r="Q277">
        <v>0.15166949999999901</v>
      </c>
      <c r="R277">
        <v>8.5595180000000003E-3</v>
      </c>
      <c r="S277">
        <v>3.0620419999999999</v>
      </c>
      <c r="T277">
        <v>-0.17755770000000001</v>
      </c>
      <c r="U277">
        <v>6.4788819999999997E-2</v>
      </c>
      <c r="V277">
        <v>-5.7900879999999997E-3</v>
      </c>
      <c r="W277">
        <v>0.16264609999999999</v>
      </c>
      <c r="X277">
        <v>0.98666750000000003</v>
      </c>
      <c r="Y277">
        <v>-1.8354760000000001E-2</v>
      </c>
      <c r="Z277">
        <v>3.7098319999999998E-4</v>
      </c>
      <c r="AA277">
        <v>0.99983149999999998</v>
      </c>
      <c r="AB277">
        <v>36</v>
      </c>
      <c r="AC277">
        <v>18.8872</v>
      </c>
      <c r="AD277">
        <v>-1.1114580000000001</v>
      </c>
      <c r="AE277">
        <v>0.40499999999997199</v>
      </c>
      <c r="AF277">
        <v>-0.35139687740265102</v>
      </c>
      <c r="AG277">
        <v>-1.1114580000000001</v>
      </c>
      <c r="AH277">
        <v>18.823096460101699</v>
      </c>
      <c r="AI277">
        <v>93.378665158494201</v>
      </c>
      <c r="AJ277">
        <v>91.069495639783298</v>
      </c>
      <c r="AK277">
        <v>18.859156370249099</v>
      </c>
      <c r="AL277">
        <v>80.639481328216306</v>
      </c>
      <c r="AM277">
        <v>90.336226537640798</v>
      </c>
      <c r="AN277">
        <v>1.0000000172602499</v>
      </c>
    </row>
    <row r="278" spans="1:40" x14ac:dyDescent="0.25">
      <c r="A278" t="str">
        <f>"20190312172336936"</f>
        <v>20190312172336936</v>
      </c>
      <c r="B278" t="str">
        <f>"1552382616930132"</f>
        <v>1552382616930132</v>
      </c>
      <c r="C278" t="s">
        <v>40</v>
      </c>
      <c r="D278">
        <v>3.8247409999999999</v>
      </c>
      <c r="E278">
        <v>0.4957009</v>
      </c>
      <c r="F278" t="s">
        <v>42</v>
      </c>
      <c r="G278">
        <v>-410.82859999999999</v>
      </c>
      <c r="H278">
        <v>-0.05</v>
      </c>
      <c r="I278">
        <v>367.30919999999998</v>
      </c>
      <c r="J278">
        <v>-429.4785</v>
      </c>
      <c r="K278">
        <v>1.0611489999999999</v>
      </c>
      <c r="L278">
        <v>366.92399999999998</v>
      </c>
      <c r="M278">
        <v>0.99993560000000004</v>
      </c>
      <c r="N278">
        <v>0</v>
      </c>
      <c r="O278">
        <v>2.7160880000000002E-3</v>
      </c>
      <c r="P278">
        <v>0.98840799999999995</v>
      </c>
      <c r="Q278">
        <v>0.15161340000000001</v>
      </c>
      <c r="R278">
        <v>7.9563140000000008E-3</v>
      </c>
      <c r="S278">
        <v>3.0621339999999999</v>
      </c>
      <c r="T278">
        <v>-0.17896029999999999</v>
      </c>
      <c r="U278">
        <v>6.2194819999999998E-2</v>
      </c>
      <c r="V278">
        <v>-5.2435229999999999E-3</v>
      </c>
      <c r="W278">
        <v>0.16249420000000001</v>
      </c>
      <c r="X278">
        <v>0.98669560000000001</v>
      </c>
      <c r="Y278">
        <v>-1.756566E-2</v>
      </c>
      <c r="Z278">
        <v>3.5421170000000002E-4</v>
      </c>
      <c r="AA278">
        <v>0.9998456</v>
      </c>
      <c r="AB278">
        <v>36</v>
      </c>
      <c r="AC278">
        <v>18.649899999999999</v>
      </c>
      <c r="AD278">
        <v>-1.1111489999999999</v>
      </c>
      <c r="AE278">
        <v>0.38519999999993998</v>
      </c>
      <c r="AF278">
        <v>-0.33335791806475001</v>
      </c>
      <c r="AG278">
        <v>-1.1111489999999999</v>
      </c>
      <c r="AH278">
        <v>18.584934699175498</v>
      </c>
      <c r="AI278">
        <v>93.420956368143806</v>
      </c>
      <c r="AJ278">
        <v>91.027604029374501</v>
      </c>
      <c r="AK278">
        <v>18.6211056968794</v>
      </c>
      <c r="AL278">
        <v>80.648302048582295</v>
      </c>
      <c r="AM278">
        <v>90.304479831028004</v>
      </c>
      <c r="AN278">
        <v>1.00000003331322</v>
      </c>
    </row>
    <row r="279" spans="1:40" x14ac:dyDescent="0.25">
      <c r="A279" t="str">
        <f>"20190312172336960"</f>
        <v>20190312172336960</v>
      </c>
      <c r="B279" t="str">
        <f>"1552382616950627"</f>
        <v>1552382616950627</v>
      </c>
      <c r="C279" t="s">
        <v>40</v>
      </c>
      <c r="D279">
        <v>3.8015810000000001</v>
      </c>
      <c r="E279">
        <v>0.49576340000000002</v>
      </c>
      <c r="F279" t="s">
        <v>42</v>
      </c>
      <c r="G279">
        <v>-410.53149999999999</v>
      </c>
      <c r="H279">
        <v>-0.05</v>
      </c>
      <c r="I279">
        <v>367.29270000000002</v>
      </c>
      <c r="J279">
        <v>-429.11</v>
      </c>
      <c r="K279">
        <v>1.0608919999999999</v>
      </c>
      <c r="L279">
        <v>366.92489999999998</v>
      </c>
      <c r="M279">
        <v>0.99993659999999995</v>
      </c>
      <c r="N279">
        <v>0</v>
      </c>
      <c r="O279">
        <v>2.658938E-3</v>
      </c>
      <c r="P279">
        <v>0.98845419999999995</v>
      </c>
      <c r="Q279">
        <v>0.1513409</v>
      </c>
      <c r="R279">
        <v>7.35847699999999E-3</v>
      </c>
      <c r="S279">
        <v>3.0622560000000001</v>
      </c>
      <c r="T279">
        <v>-0.1795862</v>
      </c>
      <c r="U279">
        <v>5.960083E-2</v>
      </c>
      <c r="V279">
        <v>-4.7017869999999998E-3</v>
      </c>
      <c r="W279">
        <v>0.16214600000000001</v>
      </c>
      <c r="X279">
        <v>0.98675559999999995</v>
      </c>
      <c r="Y279">
        <v>-1.6776449999999998E-2</v>
      </c>
      <c r="Z279">
        <v>3.3566619999999999E-4</v>
      </c>
      <c r="AA279">
        <v>0.99985919999999895</v>
      </c>
      <c r="AB279">
        <v>36</v>
      </c>
      <c r="AC279">
        <v>18.578499999999998</v>
      </c>
      <c r="AD279">
        <v>-1.110892</v>
      </c>
      <c r="AE279">
        <v>0.36780000000004498</v>
      </c>
      <c r="AF279">
        <v>-0.31726277156675903</v>
      </c>
      <c r="AG279">
        <v>-1.110892</v>
      </c>
      <c r="AH279">
        <v>18.513246347552201</v>
      </c>
      <c r="AI279">
        <v>93.433427242394004</v>
      </c>
      <c r="AJ279">
        <v>90.981785598151404</v>
      </c>
      <c r="AK279">
        <v>18.549259473818299</v>
      </c>
      <c r="AL279">
        <v>80.668520477466004</v>
      </c>
      <c r="AM279">
        <v>90.273006317384002</v>
      </c>
      <c r="AN279">
        <v>1.0000000231241699</v>
      </c>
    </row>
    <row r="280" spans="1:40" x14ac:dyDescent="0.25">
      <c r="A280" t="str">
        <f>"20190312172336982"</f>
        <v>20190312172336982</v>
      </c>
      <c r="B280" t="str">
        <f>"1552382616970149"</f>
        <v>1552382616970149</v>
      </c>
      <c r="C280" t="s">
        <v>40</v>
      </c>
      <c r="D280">
        <v>3.803652</v>
      </c>
      <c r="E280">
        <v>0.49581439999999999</v>
      </c>
      <c r="F280" t="s">
        <v>42</v>
      </c>
      <c r="G280">
        <v>-410.28730000000002</v>
      </c>
      <c r="H280">
        <v>-0.05</v>
      </c>
      <c r="I280">
        <v>367.2749</v>
      </c>
      <c r="J280">
        <v>-428.75560000000002</v>
      </c>
      <c r="K280">
        <v>1.060694</v>
      </c>
      <c r="L280">
        <v>366.92579999999998</v>
      </c>
      <c r="M280">
        <v>0.99993739999999998</v>
      </c>
      <c r="N280">
        <v>0</v>
      </c>
      <c r="O280">
        <v>2.6033430000000002E-3</v>
      </c>
      <c r="P280">
        <v>0.98850550000000004</v>
      </c>
      <c r="Q280">
        <v>0.1510234</v>
      </c>
      <c r="R280">
        <v>7.0019390000000004E-3</v>
      </c>
      <c r="S280">
        <v>3.0622859999999998</v>
      </c>
      <c r="T280">
        <v>-0.18073249999999999</v>
      </c>
      <c r="U280">
        <v>5.6945799999999998E-2</v>
      </c>
      <c r="V280">
        <v>-4.4004539999999998E-3</v>
      </c>
      <c r="W280">
        <v>0.16177469999999999</v>
      </c>
      <c r="X280">
        <v>0.98681790000000003</v>
      </c>
      <c r="Y280">
        <v>-1.5966279999999999E-2</v>
      </c>
      <c r="Z280">
        <v>3.1719769999999999E-4</v>
      </c>
      <c r="AA280">
        <v>0.99987250000000005</v>
      </c>
      <c r="AB280">
        <v>36</v>
      </c>
      <c r="AC280">
        <v>18.468299999999999</v>
      </c>
      <c r="AD280">
        <v>-1.1106940000000001</v>
      </c>
      <c r="AE280">
        <v>0.349100000000021</v>
      </c>
      <c r="AF280">
        <v>-0.29993221670888098</v>
      </c>
      <c r="AG280">
        <v>-1.1106940000000001</v>
      </c>
      <c r="AH280">
        <v>18.4026098928422</v>
      </c>
      <c r="AI280">
        <v>93.453453328733801</v>
      </c>
      <c r="AJ280">
        <v>90.933744118907399</v>
      </c>
      <c r="AK280">
        <v>18.438537126474799</v>
      </c>
      <c r="AL280">
        <v>80.690078745718793</v>
      </c>
      <c r="AM280">
        <v>90.255493714690999</v>
      </c>
      <c r="AN280">
        <v>0.99999999265795303</v>
      </c>
    </row>
    <row r="281" spans="1:40" x14ac:dyDescent="0.25">
      <c r="A281" t="str">
        <f>"20190312172337004"</f>
        <v>20190312172337004</v>
      </c>
      <c r="B281" t="str">
        <f>"1552382617000404"</f>
        <v>1552382617000404</v>
      </c>
      <c r="C281" t="s">
        <v>40</v>
      </c>
      <c r="D281">
        <v>3.8143570000000002</v>
      </c>
      <c r="E281">
        <v>0.49593379999999998</v>
      </c>
      <c r="F281" t="s">
        <v>42</v>
      </c>
      <c r="G281">
        <v>-410.10399999999998</v>
      </c>
      <c r="H281">
        <v>-0.05</v>
      </c>
      <c r="I281">
        <v>367.26420000000002</v>
      </c>
      <c r="J281">
        <v>-428.40129999999999</v>
      </c>
      <c r="K281">
        <v>1.0605359999999999</v>
      </c>
      <c r="L281">
        <v>366.92660000000001</v>
      </c>
      <c r="M281">
        <v>0.99993799999999999</v>
      </c>
      <c r="N281">
        <v>0</v>
      </c>
      <c r="O281">
        <v>2.548355E-3</v>
      </c>
      <c r="P281">
        <v>0.98850530000000003</v>
      </c>
      <c r="Q281">
        <v>0.1510437</v>
      </c>
      <c r="R281">
        <v>6.5714129999999999E-3</v>
      </c>
      <c r="S281">
        <v>3.0623779999999998</v>
      </c>
      <c r="T281">
        <v>-0.18236359999999999</v>
      </c>
      <c r="U281">
        <v>5.5572509999999999E-2</v>
      </c>
      <c r="V281">
        <v>-4.0240229999999998E-3</v>
      </c>
      <c r="W281">
        <v>0.16175819999999999</v>
      </c>
      <c r="X281">
        <v>0.98682219999999998</v>
      </c>
      <c r="Y281">
        <v>-1.557266E-2</v>
      </c>
      <c r="Z281">
        <v>3.1161010000000001E-4</v>
      </c>
      <c r="AA281">
        <v>0.99987870000000001</v>
      </c>
      <c r="AB281">
        <v>36</v>
      </c>
      <c r="AC281">
        <v>18.2972999999999</v>
      </c>
      <c r="AD281">
        <v>-1.110536</v>
      </c>
      <c r="AE281">
        <v>0.337600000000008</v>
      </c>
      <c r="AF281">
        <v>-0.289900587433913</v>
      </c>
      <c r="AG281">
        <v>-1.110536</v>
      </c>
      <c r="AH281">
        <v>18.230965319715601</v>
      </c>
      <c r="AI281">
        <v>93.485415344142098</v>
      </c>
      <c r="AJ281">
        <v>90.911014861541304</v>
      </c>
      <c r="AK281">
        <v>18.267058576754</v>
      </c>
      <c r="AL281">
        <v>80.691036636395793</v>
      </c>
      <c r="AM281">
        <v>90.233637079356996</v>
      </c>
      <c r="AN281">
        <v>0.99999998122059197</v>
      </c>
    </row>
    <row r="282" spans="1:40" x14ac:dyDescent="0.25">
      <c r="A282" t="str">
        <f>"20190312172337025"</f>
        <v>20190312172337025</v>
      </c>
      <c r="B282" t="str">
        <f>"1552382617019925"</f>
        <v>1552382617019925</v>
      </c>
      <c r="C282" t="s">
        <v>40</v>
      </c>
      <c r="D282">
        <v>3.810327</v>
      </c>
      <c r="E282">
        <v>0.4959384</v>
      </c>
      <c r="F282" t="s">
        <v>42</v>
      </c>
      <c r="G282">
        <v>-409.90300000000002</v>
      </c>
      <c r="H282">
        <v>-0.05</v>
      </c>
      <c r="I282">
        <v>367.24799999999999</v>
      </c>
      <c r="J282">
        <v>-428.06479999999999</v>
      </c>
      <c r="K282">
        <v>1.0604100000000001</v>
      </c>
      <c r="L282">
        <v>366.92739999999998</v>
      </c>
      <c r="M282">
        <v>0.99993829999999995</v>
      </c>
      <c r="N282">
        <v>0</v>
      </c>
      <c r="O282">
        <v>2.4960939999999999E-3</v>
      </c>
      <c r="P282">
        <v>0.98853840000000004</v>
      </c>
      <c r="Q282">
        <v>0.15083840000000001</v>
      </c>
      <c r="R282">
        <v>6.2815980000000002E-3</v>
      </c>
      <c r="S282">
        <v>3.0626220000000002</v>
      </c>
      <c r="T282">
        <v>-0.18386269999999999</v>
      </c>
      <c r="U282">
        <v>5.3222659999999998E-2</v>
      </c>
      <c r="V282">
        <v>-3.785596E-3</v>
      </c>
      <c r="W282">
        <v>0.16153000000000001</v>
      </c>
      <c r="X282">
        <v>0.98686059999999998</v>
      </c>
      <c r="Y282">
        <v>-1.485734E-2</v>
      </c>
      <c r="Z282">
        <v>2.9582779999999997E-4</v>
      </c>
      <c r="AA282">
        <v>0.99988960000000005</v>
      </c>
      <c r="AB282">
        <v>36</v>
      </c>
      <c r="AC282">
        <v>18.1617999999999</v>
      </c>
      <c r="AD282">
        <v>-1.1104099999999999</v>
      </c>
      <c r="AE282">
        <v>0.320600000000069</v>
      </c>
      <c r="AF282">
        <v>-0.27423798010431899</v>
      </c>
      <c r="AG282">
        <v>-1.1104099999999999</v>
      </c>
      <c r="AH282">
        <v>18.0949244491051</v>
      </c>
      <c r="AI282">
        <v>93.511197137451305</v>
      </c>
      <c r="AJ282">
        <v>90.868280828596795</v>
      </c>
      <c r="AK282">
        <v>18.131037136817501</v>
      </c>
      <c r="AL282">
        <v>80.704286488913297</v>
      </c>
      <c r="AM282">
        <v>90.219785458930303</v>
      </c>
      <c r="AN282">
        <v>1.0000000577347099</v>
      </c>
    </row>
    <row r="283" spans="1:40" x14ac:dyDescent="0.25">
      <c r="A283" t="str">
        <f>"20190312172337048"</f>
        <v>20190312172337048</v>
      </c>
      <c r="B283" t="str">
        <f>"1552382617040420"</f>
        <v>1552382617040420</v>
      </c>
      <c r="C283" t="s">
        <v>40</v>
      </c>
      <c r="D283">
        <v>3.7830029999999999</v>
      </c>
      <c r="E283">
        <v>0.4958959</v>
      </c>
      <c r="F283" t="s">
        <v>42</v>
      </c>
      <c r="G283">
        <v>-409.71460000000002</v>
      </c>
      <c r="H283">
        <v>-0.05</v>
      </c>
      <c r="I283">
        <v>367.24099999999999</v>
      </c>
      <c r="J283">
        <v>-427.69819999999999</v>
      </c>
      <c r="K283">
        <v>1.0603</v>
      </c>
      <c r="L283">
        <v>366.92829999999998</v>
      </c>
      <c r="M283">
        <v>0.99993869999999896</v>
      </c>
      <c r="N283">
        <v>0</v>
      </c>
      <c r="O283">
        <v>2.4392400000000001E-3</v>
      </c>
      <c r="P283">
        <v>0.98859430000000004</v>
      </c>
      <c r="Q283">
        <v>0.15047049999999901</v>
      </c>
      <c r="R283">
        <v>6.3472789999999999E-3</v>
      </c>
      <c r="S283">
        <v>3.0627439999999999</v>
      </c>
      <c r="T283">
        <v>-0.18533289999999999</v>
      </c>
      <c r="U283">
        <v>5.2337649999999999E-2</v>
      </c>
      <c r="V283">
        <v>-3.9077199999999999E-3</v>
      </c>
      <c r="W283">
        <v>0.16115070000000001</v>
      </c>
      <c r="X283">
        <v>0.98692210000000002</v>
      </c>
      <c r="Y283">
        <v>-1.462463E-2</v>
      </c>
      <c r="Z283">
        <v>2.945809E-4</v>
      </c>
      <c r="AA283">
        <v>0.99989300000000003</v>
      </c>
      <c r="AB283">
        <v>36</v>
      </c>
      <c r="AC283">
        <v>17.9835999999999</v>
      </c>
      <c r="AD283">
        <v>-1.1103000000000001</v>
      </c>
      <c r="AE283">
        <v>0.31270000000000597</v>
      </c>
      <c r="AF283">
        <v>-0.26780967248732501</v>
      </c>
      <c r="AG283">
        <v>-1.1103000000000001</v>
      </c>
      <c r="AH283">
        <v>17.916037999807401</v>
      </c>
      <c r="AI283">
        <v>93.545827048633697</v>
      </c>
      <c r="AJ283">
        <v>90.856395885704302</v>
      </c>
      <c r="AK283">
        <v>17.9524066832617</v>
      </c>
      <c r="AL283">
        <v>80.726306968173603</v>
      </c>
      <c r="AM283">
        <v>90.226861566354401</v>
      </c>
      <c r="AN283">
        <v>1.00000002492724</v>
      </c>
    </row>
    <row r="284" spans="1:40" x14ac:dyDescent="0.25">
      <c r="A284" t="str">
        <f>"20190312172337059"</f>
        <v>20190312172337059</v>
      </c>
      <c r="B284" t="str">
        <f>"1552382617050180"</f>
        <v>1552382617050180</v>
      </c>
      <c r="C284" t="s">
        <v>40</v>
      </c>
      <c r="D284">
        <v>3.779506</v>
      </c>
      <c r="E284">
        <v>0.4958997</v>
      </c>
      <c r="F284" t="s">
        <v>42</v>
      </c>
      <c r="G284">
        <v>-409.5</v>
      </c>
      <c r="H284">
        <v>-0.05</v>
      </c>
      <c r="I284">
        <v>367.23950000000002</v>
      </c>
      <c r="J284">
        <v>-427.49770000000001</v>
      </c>
      <c r="K284">
        <v>1.060243</v>
      </c>
      <c r="L284">
        <v>366.92880000000002</v>
      </c>
      <c r="M284">
        <v>0.99993869999999896</v>
      </c>
      <c r="N284">
        <v>0</v>
      </c>
      <c r="O284">
        <v>2.4082560000000001E-3</v>
      </c>
      <c r="P284">
        <v>0.98858279999999998</v>
      </c>
      <c r="Q284">
        <v>0.15054529999999999</v>
      </c>
      <c r="R284">
        <v>6.3676690000000003E-3</v>
      </c>
      <c r="S284">
        <v>3.0627140000000002</v>
      </c>
      <c r="T284">
        <v>-0.18686130000000001</v>
      </c>
      <c r="U284">
        <v>5.2368159999999997E-2</v>
      </c>
      <c r="V284">
        <v>-3.9589680000000002E-3</v>
      </c>
      <c r="W284">
        <v>0.16122320000000001</v>
      </c>
      <c r="X284">
        <v>0.98690999999999995</v>
      </c>
      <c r="Y284">
        <v>-1.466524E-2</v>
      </c>
      <c r="Z284">
        <v>3.0013499999999999E-4</v>
      </c>
      <c r="AA284">
        <v>0.99989240000000001</v>
      </c>
      <c r="AB284">
        <v>36</v>
      </c>
      <c r="AC284">
        <v>17.997699999999998</v>
      </c>
      <c r="AD284">
        <v>-1.1102430000000001</v>
      </c>
      <c r="AE284">
        <v>0.31069999999999698</v>
      </c>
      <c r="AF284">
        <v>-0.26634026513844999</v>
      </c>
      <c r="AG284">
        <v>-1.1102430000000001</v>
      </c>
      <c r="AH284">
        <v>17.9301846200398</v>
      </c>
      <c r="AI284">
        <v>93.542860086795002</v>
      </c>
      <c r="AJ284">
        <v>90.851025864624503</v>
      </c>
      <c r="AK284">
        <v>17.9664993018839</v>
      </c>
      <c r="AL284">
        <v>80.722097481230307</v>
      </c>
      <c r="AM284">
        <v>90.229839540499697</v>
      </c>
      <c r="AN284">
        <v>0.99999997087293102</v>
      </c>
    </row>
    <row r="285" spans="1:40" x14ac:dyDescent="0.25">
      <c r="A285" t="str">
        <f>"20190312172337081"</f>
        <v>20190312172337081</v>
      </c>
      <c r="B285" t="str">
        <f>"1552382617069700"</f>
        <v>1552382617069700</v>
      </c>
      <c r="C285" t="s">
        <v>40</v>
      </c>
      <c r="D285">
        <v>3.7735129999999999</v>
      </c>
      <c r="E285">
        <v>0.49586180000000002</v>
      </c>
      <c r="F285" t="s">
        <v>42</v>
      </c>
      <c r="G285">
        <v>-409.31229999999999</v>
      </c>
      <c r="H285">
        <v>-0.05</v>
      </c>
      <c r="I285">
        <v>367.24020000000002</v>
      </c>
      <c r="J285">
        <v>-427.16919999999999</v>
      </c>
      <c r="K285">
        <v>1.0601739999999999</v>
      </c>
      <c r="L285">
        <v>366.92950000000002</v>
      </c>
      <c r="M285">
        <v>0.99993880000000002</v>
      </c>
      <c r="N285">
        <v>0</v>
      </c>
      <c r="O285">
        <v>2.3573700000000001E-3</v>
      </c>
      <c r="P285">
        <v>0.9885912</v>
      </c>
      <c r="Q285">
        <v>0.15049860000000001</v>
      </c>
      <c r="R285">
        <v>6.1599339999999997E-3</v>
      </c>
      <c r="S285">
        <v>3.0627439999999999</v>
      </c>
      <c r="T285">
        <v>-0.1869847</v>
      </c>
      <c r="U285">
        <v>5.2459720000000001E-2</v>
      </c>
      <c r="V285">
        <v>-3.801343E-3</v>
      </c>
      <c r="W285">
        <v>0.1611841</v>
      </c>
      <c r="X285">
        <v>0.98691700000000004</v>
      </c>
      <c r="Y285">
        <v>-1.474556E-2</v>
      </c>
      <c r="Z285">
        <v>3.058828E-4</v>
      </c>
      <c r="AA285">
        <v>0.99989119999999998</v>
      </c>
      <c r="AB285">
        <v>36</v>
      </c>
      <c r="AC285">
        <v>17.8568999999999</v>
      </c>
      <c r="AD285">
        <v>-1.110174</v>
      </c>
      <c r="AE285">
        <v>0.31069999999999698</v>
      </c>
      <c r="AF285">
        <v>-0.267567472795535</v>
      </c>
      <c r="AG285">
        <v>-1.110174</v>
      </c>
      <c r="AH285">
        <v>17.788846530931099</v>
      </c>
      <c r="AI285">
        <v>93.570705386543395</v>
      </c>
      <c r="AJ285">
        <v>90.8617383329982</v>
      </c>
      <c r="AK285">
        <v>17.825463235601799</v>
      </c>
      <c r="AL285">
        <v>80.724367375881499</v>
      </c>
      <c r="AM285">
        <v>90.220687082401994</v>
      </c>
      <c r="AN285">
        <v>0.99999996459520601</v>
      </c>
    </row>
    <row r="286" spans="1:40" x14ac:dyDescent="0.25">
      <c r="A286" t="str">
        <f>"20190312172337103"</f>
        <v>20190312172337103</v>
      </c>
      <c r="B286" t="str">
        <f>"1552382617099956"</f>
        <v>1552382617099956</v>
      </c>
      <c r="C286" t="s">
        <v>40</v>
      </c>
      <c r="D286">
        <v>3.8192740000000001</v>
      </c>
      <c r="E286">
        <v>0.49657750000000001</v>
      </c>
      <c r="F286" t="s">
        <v>42</v>
      </c>
      <c r="G286">
        <v>-409.0342</v>
      </c>
      <c r="H286">
        <v>-0.05</v>
      </c>
      <c r="I286">
        <v>367.2371</v>
      </c>
      <c r="J286">
        <v>-426.8184</v>
      </c>
      <c r="K286">
        <v>1.060114</v>
      </c>
      <c r="L286">
        <v>366.93029999999999</v>
      </c>
      <c r="M286">
        <v>0.99993880000000002</v>
      </c>
      <c r="N286">
        <v>0</v>
      </c>
      <c r="O286">
        <v>2.3025680000000001E-3</v>
      </c>
      <c r="P286">
        <v>0.98860749999999997</v>
      </c>
      <c r="Q286">
        <v>0.15039</v>
      </c>
      <c r="R286">
        <v>6.2001160000000003E-3</v>
      </c>
      <c r="S286">
        <v>3.0628660000000001</v>
      </c>
      <c r="T286">
        <v>-0.1874999</v>
      </c>
      <c r="U286">
        <v>5.1940920000000002E-2</v>
      </c>
      <c r="V286">
        <v>-3.895992E-3</v>
      </c>
      <c r="W286">
        <v>0.16109229999999899</v>
      </c>
      <c r="X286">
        <v>0.98693160000000002</v>
      </c>
      <c r="Y286">
        <v>-1.463035E-2</v>
      </c>
      <c r="Z286">
        <v>3.0654089999999998E-4</v>
      </c>
      <c r="AA286">
        <v>0.99989300000000003</v>
      </c>
      <c r="AB286">
        <v>36</v>
      </c>
      <c r="AC286">
        <v>17.784199999999998</v>
      </c>
      <c r="AD286">
        <v>-1.110114</v>
      </c>
      <c r="AE286">
        <v>0.30680000000000901</v>
      </c>
      <c r="AF286">
        <v>-0.264815930271809</v>
      </c>
      <c r="AG286">
        <v>-1.110114</v>
      </c>
      <c r="AH286">
        <v>17.715851343333501</v>
      </c>
      <c r="AI286">
        <v>93.585191313637793</v>
      </c>
      <c r="AJ286">
        <v>90.8563915404726</v>
      </c>
      <c r="AK286">
        <v>17.752573599030999</v>
      </c>
      <c r="AL286">
        <v>80.7296965951912</v>
      </c>
      <c r="AM286">
        <v>90.226178530608394</v>
      </c>
      <c r="AN286">
        <v>0.99999994547575499</v>
      </c>
    </row>
    <row r="287" spans="1:40" x14ac:dyDescent="0.25">
      <c r="A287" t="str">
        <f>"20190312172337125"</f>
        <v>20190312172337125</v>
      </c>
      <c r="B287" t="str">
        <f>"1552382617120453"</f>
        <v>1552382617120453</v>
      </c>
      <c r="C287" t="s">
        <v>40</v>
      </c>
      <c r="D287">
        <v>3.8165659999999999</v>
      </c>
      <c r="E287">
        <v>0.49747140000000001</v>
      </c>
      <c r="F287" t="s">
        <v>42</v>
      </c>
      <c r="G287">
        <v>-408.78100000000001</v>
      </c>
      <c r="H287">
        <v>-0.05</v>
      </c>
      <c r="I287">
        <v>367.20150000000001</v>
      </c>
      <c r="J287">
        <v>-426.45760000000001</v>
      </c>
      <c r="K287">
        <v>1.06006</v>
      </c>
      <c r="L287">
        <v>366.93110000000001</v>
      </c>
      <c r="M287">
        <v>0.99993849999999995</v>
      </c>
      <c r="N287">
        <v>0</v>
      </c>
      <c r="O287">
        <v>2.2467329999999999E-3</v>
      </c>
      <c r="P287">
        <v>0.98861860000000001</v>
      </c>
      <c r="Q287">
        <v>0.15033879999999999</v>
      </c>
      <c r="R287">
        <v>5.6535149999999996E-3</v>
      </c>
      <c r="S287">
        <v>3.0629879999999998</v>
      </c>
      <c r="T287">
        <v>-0.18851229999999999</v>
      </c>
      <c r="U287">
        <v>4.605103E-2</v>
      </c>
      <c r="V287">
        <v>-3.4042270000000001E-3</v>
      </c>
      <c r="W287">
        <v>0.16106029999999999</v>
      </c>
      <c r="X287">
        <v>0.98693869999999895</v>
      </c>
      <c r="Y287">
        <v>-1.276643E-2</v>
      </c>
      <c r="Z287">
        <v>2.5431819999999997E-4</v>
      </c>
      <c r="AA287">
        <v>0.99991850000000004</v>
      </c>
      <c r="AB287">
        <v>36</v>
      </c>
      <c r="AC287">
        <v>17.676600000000001</v>
      </c>
      <c r="AD287">
        <v>-1.11006</v>
      </c>
      <c r="AE287">
        <v>0.27039999999999498</v>
      </c>
      <c r="AF287">
        <v>-0.22977643482093901</v>
      </c>
      <c r="AG287">
        <v>-1.11006</v>
      </c>
      <c r="AH287">
        <v>17.607740878362701</v>
      </c>
      <c r="AI287">
        <v>93.607066804425003</v>
      </c>
      <c r="AJ287">
        <v>90.7476525686792</v>
      </c>
      <c r="AK287">
        <v>17.644193641341701</v>
      </c>
      <c r="AL287">
        <v>80.731554858925605</v>
      </c>
      <c r="AM287">
        <v>90.197628349238997</v>
      </c>
      <c r="AN287">
        <v>1.00000000327762</v>
      </c>
    </row>
    <row r="288" spans="1:40" x14ac:dyDescent="0.25">
      <c r="A288" t="str">
        <f>"20190312172337147"</f>
        <v>20190312172337147</v>
      </c>
      <c r="B288" t="str">
        <f>"1552382617139972"</f>
        <v>1552382617139972</v>
      </c>
      <c r="C288" t="s">
        <v>40</v>
      </c>
      <c r="D288">
        <v>3.8144969999999998</v>
      </c>
      <c r="E288">
        <v>0.49831170000000002</v>
      </c>
      <c r="F288" t="s">
        <v>42</v>
      </c>
      <c r="G288">
        <v>-408.46949999999998</v>
      </c>
      <c r="H288">
        <v>-0.05</v>
      </c>
      <c r="I288">
        <v>367.14879999999999</v>
      </c>
      <c r="J288">
        <v>-426.09070000000003</v>
      </c>
      <c r="K288">
        <v>1.0600160000000001</v>
      </c>
      <c r="L288">
        <v>366.93189999999998</v>
      </c>
      <c r="M288">
        <v>0.99993849999999995</v>
      </c>
      <c r="N288">
        <v>0</v>
      </c>
      <c r="O288">
        <v>2.1898740000000001E-3</v>
      </c>
      <c r="P288">
        <v>0.98863230000000002</v>
      </c>
      <c r="Q288">
        <v>0.15025740000000001</v>
      </c>
      <c r="R288">
        <v>5.3840559999999999E-3</v>
      </c>
      <c r="S288">
        <v>3.0630799999999998</v>
      </c>
      <c r="T288">
        <v>-0.18902559999999999</v>
      </c>
      <c r="U288">
        <v>3.7078859999999998E-2</v>
      </c>
      <c r="V288">
        <v>-3.191073E-3</v>
      </c>
      <c r="W288">
        <v>0.1609997</v>
      </c>
      <c r="X288">
        <v>0.98694930000000003</v>
      </c>
      <c r="Y288">
        <v>-9.8996669999999991E-3</v>
      </c>
      <c r="Z288">
        <v>1.701443E-4</v>
      </c>
      <c r="AA288">
        <v>0.99995100000000003</v>
      </c>
      <c r="AB288">
        <v>36</v>
      </c>
      <c r="AC288">
        <v>17.621200000000002</v>
      </c>
      <c r="AD288">
        <v>-1.1100159999999999</v>
      </c>
      <c r="AE288">
        <v>0.216900000000009</v>
      </c>
      <c r="AF288">
        <v>-0.17760433837689801</v>
      </c>
      <c r="AG288">
        <v>-1.1100159999999999</v>
      </c>
      <c r="AH288">
        <v>17.5519944497449</v>
      </c>
      <c r="AI288">
        <v>93.618472191227497</v>
      </c>
      <c r="AJ288">
        <v>90.579742191646204</v>
      </c>
      <c r="AK288">
        <v>17.587955764816499</v>
      </c>
      <c r="AL288">
        <v>80.735072897871405</v>
      </c>
      <c r="AM288">
        <v>90.185252046788094</v>
      </c>
      <c r="AN288">
        <v>1.00000000355873</v>
      </c>
    </row>
    <row r="289" spans="1:40" x14ac:dyDescent="0.25">
      <c r="A289" t="str">
        <f>"20190312172337172"</f>
        <v>20190312172337172</v>
      </c>
      <c r="B289" t="str">
        <f>"1552382617160468"</f>
        <v>1552382617160468</v>
      </c>
      <c r="C289" t="s">
        <v>40</v>
      </c>
      <c r="D289">
        <v>3.815715</v>
      </c>
      <c r="E289">
        <v>0.49910349999999998</v>
      </c>
      <c r="F289" t="s">
        <v>42</v>
      </c>
      <c r="G289">
        <v>-408.16079999999999</v>
      </c>
      <c r="H289">
        <v>-0.05</v>
      </c>
      <c r="I289">
        <v>367.1037</v>
      </c>
      <c r="J289">
        <v>-425.71570000000003</v>
      </c>
      <c r="K289">
        <v>1.059984</v>
      </c>
      <c r="L289">
        <v>366.93259999999998</v>
      </c>
      <c r="M289">
        <v>0.99993829999999995</v>
      </c>
      <c r="N289">
        <v>0</v>
      </c>
      <c r="O289">
        <v>2.1317839999999998E-3</v>
      </c>
      <c r="P289">
        <v>0.98867870000000002</v>
      </c>
      <c r="Q289">
        <v>0.14995929999999999</v>
      </c>
      <c r="R289">
        <v>5.1823729999999997E-3</v>
      </c>
      <c r="S289">
        <v>3.063202</v>
      </c>
      <c r="T289">
        <v>-0.18963849999999999</v>
      </c>
      <c r="U289">
        <v>2.9357910000000001E-2</v>
      </c>
      <c r="V289">
        <v>-3.0472009999999998E-3</v>
      </c>
      <c r="W289">
        <v>0.1607295</v>
      </c>
      <c r="X289">
        <v>0.98699380000000003</v>
      </c>
      <c r="Y289">
        <v>-7.4416209999999998E-3</v>
      </c>
      <c r="Z289" s="1">
        <v>9.8270570000000005E-5</v>
      </c>
      <c r="AA289">
        <v>0.99997230000000004</v>
      </c>
      <c r="AB289">
        <v>36</v>
      </c>
      <c r="AC289">
        <v>17.5549</v>
      </c>
      <c r="AD289">
        <v>-1.1099840000000001</v>
      </c>
      <c r="AE289">
        <v>0.17110000000002401</v>
      </c>
      <c r="AF289">
        <v>-0.133141888854382</v>
      </c>
      <c r="AG289">
        <v>-1.1099840000000001</v>
      </c>
      <c r="AH289">
        <v>17.4853261594853</v>
      </c>
      <c r="AI289">
        <v>93.6322078831478</v>
      </c>
      <c r="AJ289">
        <v>90.436269864752404</v>
      </c>
      <c r="AK289">
        <v>17.5210279991331</v>
      </c>
      <c r="AL289">
        <v>80.7507585538673</v>
      </c>
      <c r="AM289">
        <v>90.176891893250598</v>
      </c>
      <c r="AN289">
        <v>1.00000000942131</v>
      </c>
    </row>
    <row r="290" spans="1:40" x14ac:dyDescent="0.25">
      <c r="A290" t="str">
        <f>"20190312172337193"</f>
        <v>20190312172337193</v>
      </c>
      <c r="B290" t="str">
        <f>"1552382617179988"</f>
        <v>1552382617179988</v>
      </c>
      <c r="C290" t="s">
        <v>40</v>
      </c>
      <c r="D290">
        <v>3.816354</v>
      </c>
      <c r="E290">
        <v>0.49981969999999998</v>
      </c>
      <c r="F290" t="s">
        <v>42</v>
      </c>
      <c r="G290">
        <v>-407.90190000000001</v>
      </c>
      <c r="H290">
        <v>-0.05</v>
      </c>
      <c r="I290">
        <v>367.06290000000001</v>
      </c>
      <c r="J290">
        <v>-425.37189999999998</v>
      </c>
      <c r="K290">
        <v>1.059958</v>
      </c>
      <c r="L290">
        <v>366.93329999999997</v>
      </c>
      <c r="M290">
        <v>0.9999382</v>
      </c>
      <c r="N290">
        <v>0</v>
      </c>
      <c r="O290">
        <v>2.0785489999999998E-3</v>
      </c>
      <c r="P290">
        <v>0.98868089999999997</v>
      </c>
      <c r="Q290">
        <v>0.14994150000000001</v>
      </c>
      <c r="R290">
        <v>5.2886139999999996E-3</v>
      </c>
      <c r="S290">
        <v>3.0632320000000002</v>
      </c>
      <c r="T290">
        <v>-0.19087090000000001</v>
      </c>
      <c r="U290">
        <v>2.23999E-2</v>
      </c>
      <c r="V290">
        <v>-3.2057969999999998E-3</v>
      </c>
      <c r="W290">
        <v>0.16074459999999999</v>
      </c>
      <c r="X290">
        <v>0.98699079999999995</v>
      </c>
      <c r="Y290">
        <v>-5.2275680000000001E-3</v>
      </c>
      <c r="Z290" s="1">
        <v>3.3310469999999997E-5</v>
      </c>
      <c r="AA290">
        <v>0.99998640000000005</v>
      </c>
      <c r="AB290">
        <v>36</v>
      </c>
      <c r="AC290">
        <v>17.469999999999899</v>
      </c>
      <c r="AD290">
        <v>-1.109958</v>
      </c>
      <c r="AE290">
        <v>0.12960000000003899</v>
      </c>
      <c r="AF290">
        <v>-9.2910272242636802E-2</v>
      </c>
      <c r="AG290">
        <v>-1.109958</v>
      </c>
      <c r="AH290">
        <v>17.399996820669902</v>
      </c>
      <c r="AI290">
        <v>93.649940510716704</v>
      </c>
      <c r="AJ290">
        <v>90.3059377501732</v>
      </c>
      <c r="AK290">
        <v>17.435610928206</v>
      </c>
      <c r="AL290">
        <v>80.749881635310999</v>
      </c>
      <c r="AM290">
        <v>90.186098991148697</v>
      </c>
      <c r="AN290">
        <v>0.99999997142410202</v>
      </c>
    </row>
    <row r="291" spans="1:40" x14ac:dyDescent="0.25">
      <c r="A291" t="str">
        <f>"20190312172337227"</f>
        <v>20190312172337227</v>
      </c>
      <c r="B291" t="str">
        <f>"1552382617220005"</f>
        <v>1552382617220005</v>
      </c>
      <c r="C291" t="s">
        <v>40</v>
      </c>
      <c r="D291">
        <v>3.8147639999999998</v>
      </c>
      <c r="E291">
        <v>0.50106229999999996</v>
      </c>
      <c r="F291" t="s">
        <v>42</v>
      </c>
      <c r="G291">
        <v>-407.61070000000001</v>
      </c>
      <c r="H291">
        <v>-0.05</v>
      </c>
      <c r="I291">
        <v>367.02949999999998</v>
      </c>
      <c r="J291">
        <v>-424.83409999999998</v>
      </c>
      <c r="K291">
        <v>1.059933</v>
      </c>
      <c r="L291">
        <v>366.93430000000001</v>
      </c>
      <c r="M291">
        <v>0.99993750000000003</v>
      </c>
      <c r="N291">
        <v>0</v>
      </c>
      <c r="O291">
        <v>1.995611E-3</v>
      </c>
      <c r="P291">
        <v>0.98861410000000005</v>
      </c>
      <c r="Q291">
        <v>0.1503949</v>
      </c>
      <c r="R291">
        <v>4.8930709999999997E-3</v>
      </c>
      <c r="S291">
        <v>3.0632630000000001</v>
      </c>
      <c r="T291">
        <v>-0.19143460000000001</v>
      </c>
      <c r="U291">
        <v>1.6601560000000001E-2</v>
      </c>
      <c r="V291">
        <v>-2.8921060000000002E-3</v>
      </c>
      <c r="W291">
        <v>0.16126550000000001</v>
      </c>
      <c r="X291">
        <v>0.98690679999999997</v>
      </c>
      <c r="Y291">
        <v>-3.420995E-3</v>
      </c>
      <c r="Z291" s="1">
        <v>-1.78076399999999E-5</v>
      </c>
      <c r="AA291">
        <v>0.99999420000000006</v>
      </c>
      <c r="AB291">
        <v>36</v>
      </c>
      <c r="AC291">
        <v>17.223399999999899</v>
      </c>
      <c r="AD291">
        <v>-1.1099330000000001</v>
      </c>
      <c r="AE291">
        <v>9.5199999999976997E-2</v>
      </c>
      <c r="AF291">
        <v>-6.0574967458119397E-2</v>
      </c>
      <c r="AG291">
        <v>-1.1099330000000001</v>
      </c>
      <c r="AH291">
        <v>17.152325276549298</v>
      </c>
      <c r="AI291">
        <v>93.702444832073397</v>
      </c>
      <c r="AJ291">
        <v>90.202344317443007</v>
      </c>
      <c r="AK291">
        <v>17.1883065769646</v>
      </c>
      <c r="AL291">
        <v>80.719641809521207</v>
      </c>
      <c r="AM291">
        <v>90.167903385977993</v>
      </c>
      <c r="AN291">
        <v>0.99999997882680203</v>
      </c>
    </row>
    <row r="292" spans="1:40" x14ac:dyDescent="0.25">
      <c r="A292" t="str">
        <f>"20190312172337249"</f>
        <v>20190312172337249</v>
      </c>
      <c r="B292" t="str">
        <f>"1552382617240500"</f>
        <v>1552382617240500</v>
      </c>
      <c r="C292" t="s">
        <v>40</v>
      </c>
      <c r="D292">
        <v>3.7999770000000002</v>
      </c>
      <c r="E292">
        <v>0.50160879999999997</v>
      </c>
      <c r="F292" t="s">
        <v>42</v>
      </c>
      <c r="G292">
        <v>-407.01240000000001</v>
      </c>
      <c r="H292">
        <v>-0.05</v>
      </c>
      <c r="I292">
        <v>366.96589999999998</v>
      </c>
      <c r="J292">
        <v>-424.47190000000001</v>
      </c>
      <c r="K292">
        <v>1.059925</v>
      </c>
      <c r="L292">
        <v>366.935</v>
      </c>
      <c r="M292">
        <v>0.99993690000000002</v>
      </c>
      <c r="N292">
        <v>0</v>
      </c>
      <c r="O292">
        <v>1.9402810000000001E-3</v>
      </c>
      <c r="P292">
        <v>0.98863330000000005</v>
      </c>
      <c r="Q292">
        <v>0.15029189999999901</v>
      </c>
      <c r="R292">
        <v>4.0614129999999998E-3</v>
      </c>
      <c r="S292">
        <v>3.0635379999999999</v>
      </c>
      <c r="T292">
        <v>-0.19079660000000001</v>
      </c>
      <c r="U292">
        <v>5.432129E-3</v>
      </c>
      <c r="V292">
        <v>-2.1147010000000001E-3</v>
      </c>
      <c r="W292">
        <v>0.16121750000000001</v>
      </c>
      <c r="X292">
        <v>0.98691660000000003</v>
      </c>
      <c r="Y292">
        <v>1.6317170000000001E-4</v>
      </c>
      <c r="Z292">
        <v>-1.2580689999999999E-4</v>
      </c>
      <c r="AA292">
        <v>1</v>
      </c>
      <c r="AB292">
        <v>36</v>
      </c>
      <c r="AC292">
        <v>17.459499999999899</v>
      </c>
      <c r="AD292">
        <v>-1.1099250000000001</v>
      </c>
      <c r="AE292">
        <v>3.0899999999974101E-2</v>
      </c>
      <c r="AF292">
        <v>2.9664797758631699E-3</v>
      </c>
      <c r="AG292">
        <v>-1.1099250000000001</v>
      </c>
      <c r="AH292">
        <v>17.3892517105512</v>
      </c>
      <c r="AI292">
        <v>93.652133348875594</v>
      </c>
      <c r="AJ292">
        <v>89.990225757131498</v>
      </c>
      <c r="AK292">
        <v>17.424638227479299</v>
      </c>
      <c r="AL292">
        <v>80.722428339330904</v>
      </c>
      <c r="AM292">
        <v>90.122769499266099</v>
      </c>
      <c r="AN292">
        <v>0.99999996481106401</v>
      </c>
    </row>
    <row r="293" spans="1:40" x14ac:dyDescent="0.25">
      <c r="A293" t="str">
        <f>"20190312172337270"</f>
        <v>20190312172337270</v>
      </c>
      <c r="B293" t="str">
        <f>"1552382617259915"</f>
        <v>1552382617259915</v>
      </c>
      <c r="C293" t="s">
        <v>40</v>
      </c>
      <c r="D293">
        <v>3.8082029999999998</v>
      </c>
      <c r="E293">
        <v>0.50213969999999997</v>
      </c>
      <c r="F293" t="s">
        <v>42</v>
      </c>
      <c r="G293">
        <v>-406.71719999999999</v>
      </c>
      <c r="H293">
        <v>-0.05</v>
      </c>
      <c r="I293">
        <v>366.92680000000001</v>
      </c>
      <c r="J293">
        <v>-424.11880000000002</v>
      </c>
      <c r="K293">
        <v>1.059917</v>
      </c>
      <c r="L293">
        <v>366.93560000000002</v>
      </c>
      <c r="M293">
        <v>0.99993659999999995</v>
      </c>
      <c r="N293">
        <v>0</v>
      </c>
      <c r="O293">
        <v>1.886027E-3</v>
      </c>
      <c r="P293">
        <v>0.98866880000000001</v>
      </c>
      <c r="Q293">
        <v>0.15006659999999999</v>
      </c>
      <c r="R293">
        <v>3.7970109999999999E-3</v>
      </c>
      <c r="S293">
        <v>3.0636290000000002</v>
      </c>
      <c r="T293">
        <v>-0.19152089999999999</v>
      </c>
      <c r="U293">
        <v>-1.403809E-3</v>
      </c>
      <c r="V293">
        <v>-1.903926E-3</v>
      </c>
      <c r="W293">
        <v>0.16104669999999999</v>
      </c>
      <c r="X293">
        <v>0.98694499999999996</v>
      </c>
      <c r="Y293">
        <v>2.3361179999999999E-3</v>
      </c>
      <c r="Z293">
        <v>-1.9074540000000001E-4</v>
      </c>
      <c r="AA293">
        <v>0.99999729999999998</v>
      </c>
      <c r="AB293">
        <v>36</v>
      </c>
      <c r="AC293">
        <v>17.401599999999998</v>
      </c>
      <c r="AD293">
        <v>-1.109917</v>
      </c>
      <c r="AE293">
        <v>-8.8000000000079091E-3</v>
      </c>
      <c r="AF293">
        <v>4.1453254099776397E-2</v>
      </c>
      <c r="AG293">
        <v>-1.109917</v>
      </c>
      <c r="AH293">
        <v>17.331046247691798</v>
      </c>
      <c r="AI293">
        <v>93.664328755573294</v>
      </c>
      <c r="AJ293">
        <v>89.862957380425399</v>
      </c>
      <c r="AK293">
        <v>17.366600074821701</v>
      </c>
      <c r="AL293">
        <v>80.732344813619306</v>
      </c>
      <c r="AM293">
        <v>90.110529754935001</v>
      </c>
      <c r="AN293">
        <v>1.00000004877005</v>
      </c>
    </row>
    <row r="294" spans="1:40" x14ac:dyDescent="0.25">
      <c r="A294" t="str">
        <f>"20190312172337293"</f>
        <v>20190312172337293</v>
      </c>
      <c r="B294" t="str">
        <f>"1552382617280410"</f>
        <v>1552382617280410</v>
      </c>
      <c r="C294" t="s">
        <v>40</v>
      </c>
      <c r="D294">
        <v>3.808163</v>
      </c>
      <c r="E294">
        <v>0.50259869999999995</v>
      </c>
      <c r="F294" t="s">
        <v>42</v>
      </c>
      <c r="G294">
        <v>-406.46620000000001</v>
      </c>
      <c r="H294">
        <v>-0.05</v>
      </c>
      <c r="I294">
        <v>366.899</v>
      </c>
      <c r="J294">
        <v>-423.77569999999997</v>
      </c>
      <c r="K294">
        <v>1.059911</v>
      </c>
      <c r="L294">
        <v>366.93619999999999</v>
      </c>
      <c r="M294">
        <v>0.99993600000000005</v>
      </c>
      <c r="N294">
        <v>0</v>
      </c>
      <c r="O294">
        <v>1.8338709999999999E-3</v>
      </c>
      <c r="P294">
        <v>0.98875009999999997</v>
      </c>
      <c r="Q294">
        <v>0.14953540000000001</v>
      </c>
      <c r="R294">
        <v>3.58911E-3</v>
      </c>
      <c r="S294">
        <v>3.0636899999999998</v>
      </c>
      <c r="T294">
        <v>-0.1926322</v>
      </c>
      <c r="U294">
        <v>-6.3476560000000001E-3</v>
      </c>
      <c r="V294">
        <v>-1.7473499999999999E-3</v>
      </c>
      <c r="W294">
        <v>0.1605685</v>
      </c>
      <c r="X294">
        <v>0.98702319999999999</v>
      </c>
      <c r="Y294">
        <v>3.8945609999999999E-3</v>
      </c>
      <c r="Z294">
        <v>-2.3751560000000001E-4</v>
      </c>
      <c r="AA294">
        <v>0.9999924</v>
      </c>
      <c r="AB294">
        <v>36</v>
      </c>
      <c r="AC294">
        <v>17.3094999999999</v>
      </c>
      <c r="AD294">
        <v>-1.1099110000000001</v>
      </c>
      <c r="AE294">
        <v>-3.7199999999984301E-2</v>
      </c>
      <c r="AF294">
        <v>6.8662994702466701E-2</v>
      </c>
      <c r="AG294">
        <v>-1.1099110000000001</v>
      </c>
      <c r="AH294">
        <v>17.238525657003699</v>
      </c>
      <c r="AI294">
        <v>93.683903003080502</v>
      </c>
      <c r="AJ294">
        <v>89.771785645792605</v>
      </c>
      <c r="AK294">
        <v>17.274356250290101</v>
      </c>
      <c r="AL294">
        <v>80.760104913165605</v>
      </c>
      <c r="AM294">
        <v>90.101431937712604</v>
      </c>
      <c r="AN294">
        <v>1.00000004688125</v>
      </c>
    </row>
    <row r="295" spans="1:40" x14ac:dyDescent="0.25">
      <c r="A295" t="str">
        <f>"20190312172337315"</f>
        <v>20190312172337315</v>
      </c>
      <c r="B295" t="str">
        <f>"1552382617310667"</f>
        <v>1552382617310667</v>
      </c>
      <c r="C295" t="s">
        <v>40</v>
      </c>
      <c r="D295">
        <v>3.7852969999999999</v>
      </c>
      <c r="E295">
        <v>0.50321720000000003</v>
      </c>
      <c r="F295" t="s">
        <v>42</v>
      </c>
      <c r="G295">
        <v>-406.27159999999998</v>
      </c>
      <c r="H295">
        <v>-0.05</v>
      </c>
      <c r="I295">
        <v>366.87259999999998</v>
      </c>
      <c r="J295">
        <v>-423.41410000000002</v>
      </c>
      <c r="K295">
        <v>1.0599050000000001</v>
      </c>
      <c r="L295">
        <v>366.93689999999998</v>
      </c>
      <c r="M295">
        <v>0.99993560000000004</v>
      </c>
      <c r="N295">
        <v>0</v>
      </c>
      <c r="O295">
        <v>1.7781240000000001E-3</v>
      </c>
      <c r="P295">
        <v>0.98870910000000001</v>
      </c>
      <c r="Q295">
        <v>0.14980969999999999</v>
      </c>
      <c r="R295">
        <v>3.430981E-3</v>
      </c>
      <c r="S295">
        <v>3.0635379999999999</v>
      </c>
      <c r="T295">
        <v>-0.19425480000000001</v>
      </c>
      <c r="U295">
        <v>-1.113892E-2</v>
      </c>
      <c r="V295">
        <v>-1.6441889999999999E-3</v>
      </c>
      <c r="W295">
        <v>0.1608975</v>
      </c>
      <c r="X295">
        <v>0.98696980000000001</v>
      </c>
      <c r="Y295">
        <v>5.3997439999999997E-3</v>
      </c>
      <c r="Z295">
        <v>-2.83665E-4</v>
      </c>
      <c r="AA295">
        <v>0.99998540000000002</v>
      </c>
      <c r="AB295">
        <v>36</v>
      </c>
      <c r="AC295">
        <v>17.142499999999998</v>
      </c>
      <c r="AD295">
        <v>-1.1099049999999999</v>
      </c>
      <c r="AE295">
        <v>-6.4300000000002897E-2</v>
      </c>
      <c r="AF295">
        <v>9.4387634702677498E-2</v>
      </c>
      <c r="AG295">
        <v>-1.1099049999999999</v>
      </c>
      <c r="AH295">
        <v>17.070798442073301</v>
      </c>
      <c r="AI295">
        <v>93.719950306595194</v>
      </c>
      <c r="AJ295">
        <v>89.683204156211204</v>
      </c>
      <c r="AK295">
        <v>17.107102547903999</v>
      </c>
      <c r="AL295">
        <v>80.741006286320598</v>
      </c>
      <c r="AM295">
        <v>90.095448719176304</v>
      </c>
      <c r="AN295">
        <v>1.0000000474878701</v>
      </c>
    </row>
    <row r="296" spans="1:40" x14ac:dyDescent="0.25">
      <c r="A296" t="str">
        <f>"20190312172337337"</f>
        <v>20190312172337337</v>
      </c>
      <c r="B296" t="str">
        <f>"1552382617330186"</f>
        <v>1552382617330186</v>
      </c>
      <c r="C296" t="s">
        <v>40</v>
      </c>
      <c r="D296">
        <v>3.7970449999999998</v>
      </c>
      <c r="E296">
        <v>0.50360779999999905</v>
      </c>
      <c r="F296" t="s">
        <v>42</v>
      </c>
      <c r="G296">
        <v>-405.83640000000003</v>
      </c>
      <c r="H296">
        <v>-0.05</v>
      </c>
      <c r="I296">
        <v>366.84039999999999</v>
      </c>
      <c r="J296">
        <v>-423.04390000000001</v>
      </c>
      <c r="K296">
        <v>1.059898</v>
      </c>
      <c r="L296">
        <v>366.93740000000003</v>
      </c>
      <c r="M296">
        <v>0.99993500000000002</v>
      </c>
      <c r="N296">
        <v>0</v>
      </c>
      <c r="O296">
        <v>1.7210680000000001E-3</v>
      </c>
      <c r="P296">
        <v>0.98870000000000002</v>
      </c>
      <c r="Q296">
        <v>0.14987490000000001</v>
      </c>
      <c r="R296">
        <v>3.1682590000000001E-3</v>
      </c>
      <c r="S296">
        <v>3.063599</v>
      </c>
      <c r="T296">
        <v>-0.19344459999999999</v>
      </c>
      <c r="U296">
        <v>-1.6815190000000001E-2</v>
      </c>
      <c r="V296">
        <v>-1.4384980000000001E-3</v>
      </c>
      <c r="W296">
        <v>0.16101750000000001</v>
      </c>
      <c r="X296">
        <v>0.98695049999999995</v>
      </c>
      <c r="Y296">
        <v>7.1920150000000004E-3</v>
      </c>
      <c r="Z296">
        <v>-3.3540629999999903E-4</v>
      </c>
      <c r="AA296">
        <v>0.99997409999999998</v>
      </c>
      <c r="AB296">
        <v>36</v>
      </c>
      <c r="AC296">
        <v>17.2074999999999</v>
      </c>
      <c r="AD296">
        <v>-1.1098980000000001</v>
      </c>
      <c r="AE296">
        <v>-9.7000000000036807E-2</v>
      </c>
      <c r="AF296">
        <v>0.12609244229518099</v>
      </c>
      <c r="AG296">
        <v>-1.1098980000000001</v>
      </c>
      <c r="AH296">
        <v>17.1360178739499</v>
      </c>
      <c r="AI296">
        <v>93.705764896264597</v>
      </c>
      <c r="AJ296">
        <v>89.578406463038704</v>
      </c>
      <c r="AK296">
        <v>17.172387179735299</v>
      </c>
      <c r="AL296">
        <v>80.734039489771405</v>
      </c>
      <c r="AM296">
        <v>90.083509563929397</v>
      </c>
      <c r="AN296">
        <v>0.999999997016498</v>
      </c>
    </row>
    <row r="297" spans="1:40" x14ac:dyDescent="0.25">
      <c r="A297" t="str">
        <f>"20190312172337360"</f>
        <v>20190312172337360</v>
      </c>
      <c r="B297" t="str">
        <f>"1552382617349709"</f>
        <v>1552382617349709</v>
      </c>
      <c r="C297" t="s">
        <v>40</v>
      </c>
      <c r="D297">
        <v>3.7828210000000002</v>
      </c>
      <c r="E297">
        <v>0.50395109999999999</v>
      </c>
      <c r="F297" t="s">
        <v>42</v>
      </c>
      <c r="G297">
        <v>-405.43920000000003</v>
      </c>
      <c r="H297">
        <v>-0.05</v>
      </c>
      <c r="I297">
        <v>366.82049999999998</v>
      </c>
      <c r="J297">
        <v>-422.67930000000001</v>
      </c>
      <c r="K297">
        <v>1.059893</v>
      </c>
      <c r="L297">
        <v>366.93799999999999</v>
      </c>
      <c r="M297">
        <v>0.99993460000000001</v>
      </c>
      <c r="N297">
        <v>0</v>
      </c>
      <c r="O297">
        <v>1.664516E-3</v>
      </c>
      <c r="P297">
        <v>0.98874799999999996</v>
      </c>
      <c r="Q297">
        <v>0.14956520000000001</v>
      </c>
      <c r="R297">
        <v>2.8382490000000002E-3</v>
      </c>
      <c r="S297">
        <v>3.06366</v>
      </c>
      <c r="T297">
        <v>-0.19315089999999999</v>
      </c>
      <c r="U297">
        <v>-2.035522E-2</v>
      </c>
      <c r="V297">
        <v>-1.1646499999999999E-3</v>
      </c>
      <c r="W297">
        <v>0.16075780000000001</v>
      </c>
      <c r="X297">
        <v>0.98699320000000001</v>
      </c>
      <c r="Y297">
        <v>8.2887589999999997E-3</v>
      </c>
      <c r="Z297">
        <v>-3.6586609999999999E-4</v>
      </c>
      <c r="AA297">
        <v>0.99996560000000001</v>
      </c>
      <c r="AB297">
        <v>36</v>
      </c>
      <c r="AC297">
        <v>17.240099999999899</v>
      </c>
      <c r="AD297">
        <v>-1.109893</v>
      </c>
      <c r="AE297">
        <v>-0.117500000000063</v>
      </c>
      <c r="AF297">
        <v>0.14559469281305401</v>
      </c>
      <c r="AG297">
        <v>-1.109893</v>
      </c>
      <c r="AH297">
        <v>17.168726316356199</v>
      </c>
      <c r="AI297">
        <v>93.698675210309403</v>
      </c>
      <c r="AJ297">
        <v>89.514130442527303</v>
      </c>
      <c r="AK297">
        <v>17.205180138899099</v>
      </c>
      <c r="AL297">
        <v>80.749115648714493</v>
      </c>
      <c r="AM297">
        <v>90.067608873737498</v>
      </c>
      <c r="AN297">
        <v>1.0000000017583499</v>
      </c>
    </row>
    <row r="298" spans="1:40" x14ac:dyDescent="0.25">
      <c r="A298" t="str">
        <f>"20190312172337383"</f>
        <v>20190312172337383</v>
      </c>
      <c r="B298" t="str">
        <f>"1552382617379963"</f>
        <v>1552382617379963</v>
      </c>
      <c r="C298" t="s">
        <v>40</v>
      </c>
      <c r="D298">
        <v>3.8144439999999999</v>
      </c>
      <c r="E298">
        <v>0.50452029999999903</v>
      </c>
      <c r="F298" t="s">
        <v>42</v>
      </c>
      <c r="G298">
        <v>-405.16849999999999</v>
      </c>
      <c r="H298">
        <v>-0.05</v>
      </c>
      <c r="I298">
        <v>366.80180000000001</v>
      </c>
      <c r="J298">
        <v>-422.31689999999998</v>
      </c>
      <c r="K298">
        <v>1.05989</v>
      </c>
      <c r="L298">
        <v>366.93849999999998</v>
      </c>
      <c r="M298">
        <v>0.99993410000000005</v>
      </c>
      <c r="N298">
        <v>0</v>
      </c>
      <c r="O298">
        <v>1.6086500000000001E-3</v>
      </c>
      <c r="P298">
        <v>0.98881289999999999</v>
      </c>
      <c r="Q298">
        <v>0.14914179999999999</v>
      </c>
      <c r="R298">
        <v>2.493941E-3</v>
      </c>
      <c r="S298">
        <v>3.063507</v>
      </c>
      <c r="T298">
        <v>-0.19417509999999999</v>
      </c>
      <c r="U298">
        <v>-2.3834230000000001E-2</v>
      </c>
      <c r="V298">
        <v>-8.7526379999999999E-4</v>
      </c>
      <c r="W298">
        <v>0.1603793</v>
      </c>
      <c r="X298">
        <v>0.98705509999999996</v>
      </c>
      <c r="Y298">
        <v>9.3664839999999996E-3</v>
      </c>
      <c r="Z298">
        <v>-3.9840170000000002E-4</v>
      </c>
      <c r="AA298">
        <v>0.99995610000000001</v>
      </c>
      <c r="AB298">
        <v>36</v>
      </c>
      <c r="AC298">
        <v>17.148399999999899</v>
      </c>
      <c r="AD298">
        <v>-1.10989</v>
      </c>
      <c r="AE298">
        <v>-0.13669999999996199</v>
      </c>
      <c r="AF298">
        <v>0.16360208984071101</v>
      </c>
      <c r="AG298">
        <v>-1.10989</v>
      </c>
      <c r="AH298">
        <v>17.076628063172699</v>
      </c>
      <c r="AI298">
        <v>93.718520350480006</v>
      </c>
      <c r="AJ298">
        <v>89.451096407398197</v>
      </c>
      <c r="AK298">
        <v>17.1134405501593</v>
      </c>
      <c r="AL298">
        <v>80.771087435005498</v>
      </c>
      <c r="AM298">
        <v>90.050806594845895</v>
      </c>
      <c r="AN298">
        <v>1.0000000281956001</v>
      </c>
    </row>
    <row r="299" spans="1:40" x14ac:dyDescent="0.25">
      <c r="A299" t="str">
        <f>"20190312172337405"</f>
        <v>20190312172337405</v>
      </c>
      <c r="B299" t="str">
        <f>"1552382617400458"</f>
        <v>1552382617400458</v>
      </c>
      <c r="C299" t="s">
        <v>40</v>
      </c>
      <c r="D299">
        <v>3.7755139999999998</v>
      </c>
      <c r="E299">
        <v>0.50481980000000004</v>
      </c>
      <c r="F299" t="s">
        <v>41</v>
      </c>
      <c r="G299">
        <v>-421.28820000000002</v>
      </c>
      <c r="H299">
        <v>0.99396719999999905</v>
      </c>
      <c r="I299">
        <v>366.9282</v>
      </c>
      <c r="J299">
        <v>-421.9588</v>
      </c>
      <c r="K299">
        <v>1.059887</v>
      </c>
      <c r="L299">
        <v>366.93900000000002</v>
      </c>
      <c r="M299">
        <v>0.99993370000000004</v>
      </c>
      <c r="N299">
        <v>0</v>
      </c>
      <c r="O299">
        <v>1.553706E-3</v>
      </c>
      <c r="P299">
        <v>0.98885400000000001</v>
      </c>
      <c r="Q299">
        <v>0.14887249999999999</v>
      </c>
      <c r="R299">
        <v>2.2147709999999999E-3</v>
      </c>
      <c r="S299">
        <v>3.0636290000000002</v>
      </c>
      <c r="T299">
        <v>-0.19650960000000001</v>
      </c>
      <c r="U299">
        <v>-2.9815669999999999E-2</v>
      </c>
      <c r="V299">
        <v>-6.5031059999999996E-4</v>
      </c>
      <c r="W299">
        <v>0.1601496</v>
      </c>
      <c r="X299">
        <v>0.98709259999999999</v>
      </c>
      <c r="Y299">
        <v>1.1259069999999999E-2</v>
      </c>
      <c r="Z299">
        <v>-4.6027580000000001E-4</v>
      </c>
      <c r="AA299">
        <v>0.99993650000000001</v>
      </c>
      <c r="AB299">
        <v>36</v>
      </c>
      <c r="AC299">
        <v>0.67059999999997899</v>
      </c>
      <c r="AD299">
        <v>-6.5919800000000195E-2</v>
      </c>
      <c r="AE299">
        <v>-1.08000000000174E-2</v>
      </c>
      <c r="AF299">
        <v>1.17286672171786E-2</v>
      </c>
      <c r="AG299">
        <v>-6.5919800000000195E-2</v>
      </c>
      <c r="AH299">
        <v>0.66416634224155102</v>
      </c>
      <c r="AI299">
        <v>95.667276015968994</v>
      </c>
      <c r="AJ299">
        <v>88.988305719802995</v>
      </c>
      <c r="AK299">
        <v>0.66753270469187698</v>
      </c>
      <c r="AL299">
        <v>80.784420905979601</v>
      </c>
      <c r="AM299">
        <v>90.037747266428596</v>
      </c>
      <c r="AN299">
        <v>1.0000000591293901</v>
      </c>
    </row>
    <row r="300" spans="1:40" x14ac:dyDescent="0.25">
      <c r="A300" t="str">
        <f>"20190312172337427"</f>
        <v>20190312172337427</v>
      </c>
      <c r="B300" t="str">
        <f>"1552382617419978"</f>
        <v>1552382617419978</v>
      </c>
      <c r="C300" t="s">
        <v>40</v>
      </c>
      <c r="D300">
        <v>3.7766069999999998</v>
      </c>
      <c r="E300">
        <v>0.50509300000000001</v>
      </c>
      <c r="F300" t="s">
        <v>41</v>
      </c>
      <c r="G300">
        <v>-420.96280000000002</v>
      </c>
      <c r="H300">
        <v>0.99580100000000005</v>
      </c>
      <c r="I300">
        <v>366.928</v>
      </c>
      <c r="J300">
        <v>-421.59640000000002</v>
      </c>
      <c r="K300">
        <v>1.0598920000000001</v>
      </c>
      <c r="L300">
        <v>366.93950000000001</v>
      </c>
      <c r="M300">
        <v>0.99993339999999997</v>
      </c>
      <c r="N300">
        <v>0</v>
      </c>
      <c r="O300">
        <v>1.4974159999999999E-3</v>
      </c>
      <c r="P300">
        <v>0.98885919999999905</v>
      </c>
      <c r="Q300">
        <v>0.1488448</v>
      </c>
      <c r="R300">
        <v>1.789777E-3</v>
      </c>
      <c r="S300">
        <v>3.0636290000000002</v>
      </c>
      <c r="T300">
        <v>-0.1971996</v>
      </c>
      <c r="U300">
        <v>-3.3203129999999997E-2</v>
      </c>
      <c r="V300">
        <v>-2.812952E-4</v>
      </c>
      <c r="W300">
        <v>0.16015769999999999</v>
      </c>
      <c r="X300">
        <v>0.98709139999999995</v>
      </c>
      <c r="Y300">
        <v>1.2306060000000001E-2</v>
      </c>
      <c r="Z300">
        <v>-4.9192660000000005E-4</v>
      </c>
      <c r="AA300">
        <v>0.99992420000000004</v>
      </c>
      <c r="AB300">
        <v>36</v>
      </c>
      <c r="AC300">
        <v>0.63360000000000105</v>
      </c>
      <c r="AD300">
        <v>-6.4090999999999995E-2</v>
      </c>
      <c r="AE300">
        <v>-1.14999999999554E-2</v>
      </c>
      <c r="AF300">
        <v>1.2322766055159501E-2</v>
      </c>
      <c r="AG300">
        <v>-6.4090999999999995E-2</v>
      </c>
      <c r="AH300">
        <v>0.62716696145465101</v>
      </c>
      <c r="AI300">
        <v>95.833756284762202</v>
      </c>
      <c r="AJ300">
        <v>88.8743800390437</v>
      </c>
      <c r="AK300">
        <v>0.63055364909300904</v>
      </c>
      <c r="AL300">
        <v>80.783950191434897</v>
      </c>
      <c r="AM300">
        <v>90.016327796312396</v>
      </c>
      <c r="AN300">
        <v>0.99999999997511901</v>
      </c>
    </row>
    <row r="301" spans="1:40" x14ac:dyDescent="0.25">
      <c r="A301" t="str">
        <f>"20190312172337450"</f>
        <v>20190312172337450</v>
      </c>
      <c r="B301" t="str">
        <f>"1552382617440474"</f>
        <v>1552382617440474</v>
      </c>
      <c r="C301" t="s">
        <v>40</v>
      </c>
      <c r="D301">
        <v>3.7697229999999999</v>
      </c>
      <c r="E301">
        <v>0.50536819999999905</v>
      </c>
      <c r="F301" t="s">
        <v>42</v>
      </c>
      <c r="G301">
        <v>-404.36259999999999</v>
      </c>
      <c r="H301">
        <v>-0.05</v>
      </c>
      <c r="I301">
        <v>366.73439999999999</v>
      </c>
      <c r="J301">
        <v>-421.23970000000003</v>
      </c>
      <c r="K301">
        <v>1.0598920000000001</v>
      </c>
      <c r="L301">
        <v>366.94</v>
      </c>
      <c r="M301">
        <v>0.99993310000000002</v>
      </c>
      <c r="N301">
        <v>0</v>
      </c>
      <c r="O301">
        <v>1.4422809999999999E-3</v>
      </c>
      <c r="P301">
        <v>0.98885140000000005</v>
      </c>
      <c r="Q301">
        <v>0.14890059999999999</v>
      </c>
      <c r="R301">
        <v>1.3938939999999999E-3</v>
      </c>
      <c r="S301">
        <v>3.0635680000000001</v>
      </c>
      <c r="T301">
        <v>-0.19729959999999999</v>
      </c>
      <c r="U301">
        <v>-3.6468510000000003E-2</v>
      </c>
      <c r="V301" s="1">
        <v>6.0192129999999998E-5</v>
      </c>
      <c r="W301">
        <v>0.16024379999999999</v>
      </c>
      <c r="X301">
        <v>0.98707750000000005</v>
      </c>
      <c r="Y301">
        <v>1.331478E-2</v>
      </c>
      <c r="Z301">
        <v>-5.210824E-4</v>
      </c>
      <c r="AA301">
        <v>0.9999112</v>
      </c>
      <c r="AB301">
        <v>36</v>
      </c>
      <c r="AC301">
        <v>16.877099999999999</v>
      </c>
      <c r="AD301">
        <v>-1.1098920000000001</v>
      </c>
      <c r="AE301">
        <v>-0.205600000000003</v>
      </c>
      <c r="AF301">
        <v>0.228952882063272</v>
      </c>
      <c r="AG301">
        <v>-1.1098920000000001</v>
      </c>
      <c r="AH301">
        <v>16.804122246416199</v>
      </c>
      <c r="AI301">
        <v>93.778478834593201</v>
      </c>
      <c r="AJ301">
        <v>89.219404499429004</v>
      </c>
      <c r="AK301">
        <v>16.842292128637599</v>
      </c>
      <c r="AL301">
        <v>80.778952802700999</v>
      </c>
      <c r="AM301">
        <v>89.996506095008101</v>
      </c>
      <c r="AN301">
        <v>1.00000003503389</v>
      </c>
    </row>
    <row r="302" spans="1:40" x14ac:dyDescent="0.25">
      <c r="A302" t="str">
        <f>"20190312172337471"</f>
        <v>20190312172337471</v>
      </c>
      <c r="B302" t="str">
        <f>"1552382617460499"</f>
        <v>1552382617460499</v>
      </c>
      <c r="C302" t="s">
        <v>40</v>
      </c>
      <c r="D302">
        <v>3.7534010000000002</v>
      </c>
      <c r="E302">
        <v>0.50564869999999995</v>
      </c>
      <c r="F302" t="s">
        <v>42</v>
      </c>
      <c r="G302">
        <v>-403.99560000000002</v>
      </c>
      <c r="H302">
        <v>-0.05</v>
      </c>
      <c r="I302">
        <v>366.71550000000002</v>
      </c>
      <c r="J302">
        <v>-420.89420000000001</v>
      </c>
      <c r="K302">
        <v>1.059893</v>
      </c>
      <c r="L302">
        <v>366.94049999999999</v>
      </c>
      <c r="M302">
        <v>0.99993279999999995</v>
      </c>
      <c r="N302">
        <v>0</v>
      </c>
      <c r="O302">
        <v>1.3889099999999999E-3</v>
      </c>
      <c r="P302">
        <v>0.98884000000000005</v>
      </c>
      <c r="Q302">
        <v>0.148974</v>
      </c>
      <c r="R302">
        <v>1.5230129999999999E-3</v>
      </c>
      <c r="S302">
        <v>3.0636290000000002</v>
      </c>
      <c r="T302">
        <v>-0.19718649999999999</v>
      </c>
      <c r="U302">
        <v>-3.988647E-2</v>
      </c>
      <c r="V302">
        <v>-1.212596E-4</v>
      </c>
      <c r="W302">
        <v>0.16034209999999999</v>
      </c>
      <c r="X302">
        <v>0.98706150000000004</v>
      </c>
      <c r="Y302">
        <v>1.437451E-2</v>
      </c>
      <c r="Z302">
        <v>-5.5140590000000002E-4</v>
      </c>
      <c r="AA302">
        <v>0.99989649999999997</v>
      </c>
      <c r="AB302">
        <v>36</v>
      </c>
      <c r="AC302">
        <v>16.898599999999899</v>
      </c>
      <c r="AD302">
        <v>-1.109893</v>
      </c>
      <c r="AE302">
        <v>-0.22499999999996501</v>
      </c>
      <c r="AF302">
        <v>0.24740490417879599</v>
      </c>
      <c r="AG302">
        <v>-1.109893</v>
      </c>
      <c r="AH302">
        <v>16.825701200467599</v>
      </c>
      <c r="AI302">
        <v>93.773592832876901</v>
      </c>
      <c r="AJ302">
        <v>89.157584269082093</v>
      </c>
      <c r="AK302">
        <v>16.864082914451</v>
      </c>
      <c r="AL302">
        <v>80.773246560402498</v>
      </c>
      <c r="AM302">
        <v>90.007038733929406</v>
      </c>
      <c r="AN302">
        <v>1.00000000425927</v>
      </c>
    </row>
    <row r="303" spans="1:40" x14ac:dyDescent="0.25">
      <c r="A303" t="str">
        <f>"20190312172337493"</f>
        <v>20190312172337493</v>
      </c>
      <c r="B303" t="str">
        <f>"1552382617489780"</f>
        <v>1552382617489780</v>
      </c>
      <c r="C303" t="s">
        <v>40</v>
      </c>
      <c r="D303">
        <v>3.7733300000000001</v>
      </c>
      <c r="E303">
        <v>0.50602449999999999</v>
      </c>
      <c r="F303" t="s">
        <v>42</v>
      </c>
      <c r="G303">
        <v>-403.61149999999998</v>
      </c>
      <c r="H303">
        <v>-0.05</v>
      </c>
      <c r="I303">
        <v>366.70650000000001</v>
      </c>
      <c r="J303">
        <v>-420.53750000000002</v>
      </c>
      <c r="K303">
        <v>1.05989</v>
      </c>
      <c r="L303">
        <v>366.9409</v>
      </c>
      <c r="M303">
        <v>0.99993279999999995</v>
      </c>
      <c r="N303">
        <v>0</v>
      </c>
      <c r="O303">
        <v>1.3339230000000001E-3</v>
      </c>
      <c r="P303">
        <v>0.98889389999999999</v>
      </c>
      <c r="Q303">
        <v>0.14861729999999901</v>
      </c>
      <c r="R303">
        <v>1.4496729999999901E-3</v>
      </c>
      <c r="S303">
        <v>3.0635379999999999</v>
      </c>
      <c r="T303">
        <v>-0.19673969999999999</v>
      </c>
      <c r="U303">
        <v>-4.1473389999999999E-2</v>
      </c>
      <c r="V303">
        <v>-1.0243870000000001E-4</v>
      </c>
      <c r="W303">
        <v>0.16000139999999999</v>
      </c>
      <c r="X303">
        <v>0.98711680000000002</v>
      </c>
      <c r="Y303">
        <v>1.4837070000000001E-2</v>
      </c>
      <c r="Z303">
        <v>-5.614827E-4</v>
      </c>
      <c r="AA303">
        <v>0.99988980000000005</v>
      </c>
      <c r="AB303">
        <v>36</v>
      </c>
      <c r="AC303">
        <v>16.925999999999998</v>
      </c>
      <c r="AD303">
        <v>-1.10989</v>
      </c>
      <c r="AE303">
        <v>-0.234399999999993</v>
      </c>
      <c r="AF303">
        <v>0.25587924330610701</v>
      </c>
      <c r="AG303">
        <v>-1.10989</v>
      </c>
      <c r="AH303">
        <v>16.853220173945299</v>
      </c>
      <c r="AI303">
        <v>93.767411811391696</v>
      </c>
      <c r="AJ303">
        <v>89.130155887948504</v>
      </c>
      <c r="AK303">
        <v>16.8916654072572</v>
      </c>
      <c r="AL303">
        <v>80.793022681761798</v>
      </c>
      <c r="AM303">
        <v>90.005945907462703</v>
      </c>
      <c r="AN303">
        <v>1.0000000176689401</v>
      </c>
    </row>
    <row r="304" spans="1:40" x14ac:dyDescent="0.25">
      <c r="A304" t="str">
        <f>"20190312172337516"</f>
        <v>20190312172337516</v>
      </c>
      <c r="B304" t="str">
        <f>"1552382617510275"</f>
        <v>1552382617510275</v>
      </c>
      <c r="C304" t="s">
        <v>40</v>
      </c>
      <c r="D304">
        <v>3.7415060000000002</v>
      </c>
      <c r="E304">
        <v>0.50627319999999998</v>
      </c>
      <c r="F304" t="s">
        <v>42</v>
      </c>
      <c r="G304">
        <v>-403.35930000000002</v>
      </c>
      <c r="H304">
        <v>-0.05</v>
      </c>
      <c r="I304">
        <v>366.68810000000002</v>
      </c>
      <c r="J304">
        <v>-420.1739</v>
      </c>
      <c r="K304">
        <v>1.0598890000000001</v>
      </c>
      <c r="L304">
        <v>366.94130000000001</v>
      </c>
      <c r="M304">
        <v>0.99993279999999995</v>
      </c>
      <c r="N304">
        <v>0</v>
      </c>
      <c r="O304">
        <v>1.277921E-3</v>
      </c>
      <c r="P304">
        <v>0.98896039999999996</v>
      </c>
      <c r="Q304">
        <v>0.14817369999999999</v>
      </c>
      <c r="R304">
        <v>1.4016510000000001E-3</v>
      </c>
      <c r="S304">
        <v>3.063507</v>
      </c>
      <c r="T304">
        <v>-0.19793450000000001</v>
      </c>
      <c r="U304">
        <v>-4.5074459999999997E-2</v>
      </c>
      <c r="V304">
        <v>-1.099777E-4</v>
      </c>
      <c r="W304">
        <v>0.1595646</v>
      </c>
      <c r="X304">
        <v>0.9871875</v>
      </c>
      <c r="Y304">
        <v>1.5953700000000001E-2</v>
      </c>
      <c r="Z304">
        <v>-5.9730540000000004E-4</v>
      </c>
      <c r="AA304">
        <v>0.9998726</v>
      </c>
      <c r="AB304">
        <v>36</v>
      </c>
      <c r="AC304">
        <v>16.814599999999899</v>
      </c>
      <c r="AD304">
        <v>-1.1098889999999999</v>
      </c>
      <c r="AE304">
        <v>-0.25319999999999199</v>
      </c>
      <c r="AF304">
        <v>0.27349759555754399</v>
      </c>
      <c r="AG304">
        <v>-1.1098889999999999</v>
      </c>
      <c r="AH304">
        <v>16.741337465731199</v>
      </c>
      <c r="AI304">
        <v>93.792444115921697</v>
      </c>
      <c r="AJ304">
        <v>89.064061391318702</v>
      </c>
      <c r="AK304">
        <v>16.780316882246101</v>
      </c>
      <c r="AL304">
        <v>80.818375196073305</v>
      </c>
      <c r="AM304">
        <v>90.006383040733894</v>
      </c>
      <c r="AN304">
        <v>1.00000001691225</v>
      </c>
    </row>
    <row r="305" spans="1:40" x14ac:dyDescent="0.25">
      <c r="A305" t="str">
        <f>"20190312172337539"</f>
        <v>20190312172337539</v>
      </c>
      <c r="B305" t="str">
        <f>"1552382617529810"</f>
        <v>1552382617529810</v>
      </c>
      <c r="C305" t="s">
        <v>40</v>
      </c>
      <c r="D305">
        <v>3.8128160000000002</v>
      </c>
      <c r="E305">
        <v>0.50650320000000004</v>
      </c>
      <c r="F305" t="s">
        <v>42</v>
      </c>
      <c r="G305">
        <v>-403.12520000000001</v>
      </c>
      <c r="H305">
        <v>-0.05</v>
      </c>
      <c r="I305">
        <v>366.67689999999999</v>
      </c>
      <c r="J305">
        <v>-419.79599999999999</v>
      </c>
      <c r="K305">
        <v>1.059887</v>
      </c>
      <c r="L305">
        <v>366.94170000000003</v>
      </c>
      <c r="M305">
        <v>0.99993279999999995</v>
      </c>
      <c r="N305">
        <v>0</v>
      </c>
      <c r="O305">
        <v>1.2193309999999999E-3</v>
      </c>
      <c r="P305">
        <v>0.98891280000000004</v>
      </c>
      <c r="Q305">
        <v>0.14849370000000001</v>
      </c>
      <c r="R305">
        <v>1.1538570000000001E-3</v>
      </c>
      <c r="S305">
        <v>3.0634160000000001</v>
      </c>
      <c r="T305">
        <v>-0.1994321</v>
      </c>
      <c r="U305">
        <v>-4.7515870000000002E-2</v>
      </c>
      <c r="V305" s="1">
        <v>7.9597699999999999E-5</v>
      </c>
      <c r="W305">
        <v>0.15988469999999999</v>
      </c>
      <c r="X305">
        <v>0.98713569999999995</v>
      </c>
      <c r="Y305">
        <v>1.669023E-2</v>
      </c>
      <c r="Z305">
        <v>-6.2196739999999999E-4</v>
      </c>
      <c r="AA305">
        <v>0.99986050000000004</v>
      </c>
      <c r="AB305">
        <v>36</v>
      </c>
      <c r="AC305">
        <v>16.6707999999999</v>
      </c>
      <c r="AD305">
        <v>-1.1098870000000001</v>
      </c>
      <c r="AE305">
        <v>-0.26480000000003601</v>
      </c>
      <c r="AF305">
        <v>0.28387045080566697</v>
      </c>
      <c r="AG305">
        <v>-1.1098870000000001</v>
      </c>
      <c r="AH305">
        <v>16.596918115853299</v>
      </c>
      <c r="AI305">
        <v>93.8252910191609</v>
      </c>
      <c r="AJ305">
        <v>89.020119704732593</v>
      </c>
      <c r="AK305">
        <v>16.6364095444284</v>
      </c>
      <c r="AL305">
        <v>80.7997962013077</v>
      </c>
      <c r="AM305">
        <v>89.9953799540842</v>
      </c>
      <c r="AN305">
        <v>1.0000000069221799</v>
      </c>
    </row>
    <row r="306" spans="1:40" x14ac:dyDescent="0.25">
      <c r="A306" t="str">
        <f>"20190312172337561"</f>
        <v>20190312172337561</v>
      </c>
      <c r="B306" t="str">
        <f>"1552382617550296"</f>
        <v>1552382617550296</v>
      </c>
      <c r="C306" t="s">
        <v>40</v>
      </c>
      <c r="D306">
        <v>3.7873730000000001</v>
      </c>
      <c r="E306">
        <v>0.50670700000000002</v>
      </c>
      <c r="F306" t="s">
        <v>42</v>
      </c>
      <c r="G306">
        <v>-402.67959999999999</v>
      </c>
      <c r="H306">
        <v>-0.05</v>
      </c>
      <c r="I306">
        <v>366.66109999999998</v>
      </c>
      <c r="J306">
        <v>-419.44940000000003</v>
      </c>
      <c r="K306">
        <v>1.0598860000000001</v>
      </c>
      <c r="L306">
        <v>366.94209999999998</v>
      </c>
      <c r="M306">
        <v>0.99993310000000002</v>
      </c>
      <c r="N306">
        <v>0</v>
      </c>
      <c r="O306">
        <v>1.1655770000000001E-3</v>
      </c>
      <c r="P306">
        <v>0.98891989999999996</v>
      </c>
      <c r="Q306">
        <v>0.1484481</v>
      </c>
      <c r="R306">
        <v>9.7458020000000002E-4</v>
      </c>
      <c r="S306">
        <v>3.063599</v>
      </c>
      <c r="T306">
        <v>-0.19865469999999999</v>
      </c>
      <c r="U306">
        <v>-5.0231930000000001E-2</v>
      </c>
      <c r="V306">
        <v>2.0567320000000001E-4</v>
      </c>
      <c r="W306">
        <v>0.15983849999999999</v>
      </c>
      <c r="X306">
        <v>0.9871432</v>
      </c>
      <c r="Y306">
        <v>1.7520440000000002E-2</v>
      </c>
      <c r="Z306">
        <v>-6.4291089999999999E-4</v>
      </c>
      <c r="AA306">
        <v>0.99984629999999997</v>
      </c>
      <c r="AB306">
        <v>36</v>
      </c>
      <c r="AC306">
        <v>16.7698</v>
      </c>
      <c r="AD306">
        <v>-1.1098859999999999</v>
      </c>
      <c r="AE306">
        <v>-0.28100000000000502</v>
      </c>
      <c r="AF306">
        <v>0.299237224520018</v>
      </c>
      <c r="AG306">
        <v>-1.1098859999999999</v>
      </c>
      <c r="AH306">
        <v>16.6963470618816</v>
      </c>
      <c r="AI306">
        <v>93.802520192186094</v>
      </c>
      <c r="AJ306">
        <v>88.973236803644795</v>
      </c>
      <c r="AK306">
        <v>16.735871505850501</v>
      </c>
      <c r="AL306">
        <v>80.802478085828596</v>
      </c>
      <c r="AM306">
        <v>89.988062313402494</v>
      </c>
      <c r="AN306">
        <v>1.00000004284497</v>
      </c>
    </row>
    <row r="307" spans="1:40" x14ac:dyDescent="0.25">
      <c r="A307" t="str">
        <f>"20190312172337584"</f>
        <v>20190312172337584</v>
      </c>
      <c r="B307" t="str">
        <f>"1552382617580548"</f>
        <v>1552382617580548</v>
      </c>
      <c r="C307" t="s">
        <v>40</v>
      </c>
      <c r="D307">
        <v>3.7647699999999999</v>
      </c>
      <c r="E307">
        <v>0.50706289999999998</v>
      </c>
      <c r="F307" t="s">
        <v>42</v>
      </c>
      <c r="G307">
        <v>-402.37799999999999</v>
      </c>
      <c r="H307">
        <v>-0.05</v>
      </c>
      <c r="I307">
        <v>366.65159999999997</v>
      </c>
      <c r="J307">
        <v>-419.0736</v>
      </c>
      <c r="K307">
        <v>1.0598829999999999</v>
      </c>
      <c r="L307">
        <v>366.9425</v>
      </c>
      <c r="M307">
        <v>0.99993299999999996</v>
      </c>
      <c r="N307">
        <v>0</v>
      </c>
      <c r="O307">
        <v>1.107834E-3</v>
      </c>
      <c r="P307">
        <v>0.98893869999999895</v>
      </c>
      <c r="Q307">
        <v>0.14832429999999999</v>
      </c>
      <c r="R307">
        <v>4.143878E-4</v>
      </c>
      <c r="S307">
        <v>3.0635379999999999</v>
      </c>
      <c r="T307">
        <v>-0.19917389999999999</v>
      </c>
      <c r="U307">
        <v>-5.212402E-2</v>
      </c>
      <c r="V307">
        <v>7.088741E-4</v>
      </c>
      <c r="W307">
        <v>0.1597124</v>
      </c>
      <c r="X307">
        <v>0.98716340000000002</v>
      </c>
      <c r="Y307">
        <v>1.8079109999999999E-2</v>
      </c>
      <c r="Z307">
        <v>-6.5898780000000004E-4</v>
      </c>
      <c r="AA307">
        <v>0.99983630000000001</v>
      </c>
      <c r="AB307">
        <v>36</v>
      </c>
      <c r="AC307">
        <v>16.695599999999899</v>
      </c>
      <c r="AD307">
        <v>-1.109883</v>
      </c>
      <c r="AE307">
        <v>-0.29090000000002098</v>
      </c>
      <c r="AF307">
        <v>0.30803612173610101</v>
      </c>
      <c r="AG307">
        <v>-1.109883</v>
      </c>
      <c r="AH307">
        <v>16.621833420723501</v>
      </c>
      <c r="AI307">
        <v>93.819463478654995</v>
      </c>
      <c r="AJ307">
        <v>88.938315092508503</v>
      </c>
      <c r="AK307">
        <v>16.661694775510199</v>
      </c>
      <c r="AL307">
        <v>80.809797320371402</v>
      </c>
      <c r="AM307">
        <v>89.958856368504996</v>
      </c>
      <c r="AN307">
        <v>1.0000000657579</v>
      </c>
    </row>
    <row r="308" spans="1:40" x14ac:dyDescent="0.25">
      <c r="A308" t="str">
        <f>"20190312172337606"</f>
        <v>20190312172337606</v>
      </c>
      <c r="B308" t="str">
        <f>"1552382617600068"</f>
        <v>1552382617600068</v>
      </c>
      <c r="C308" t="s">
        <v>40</v>
      </c>
      <c r="D308">
        <v>3.7427619999999999</v>
      </c>
      <c r="E308">
        <v>0.50729060000000004</v>
      </c>
      <c r="F308" t="s">
        <v>41</v>
      </c>
      <c r="G308">
        <v>-418.06180000000001</v>
      </c>
      <c r="H308">
        <v>0.99386289999999999</v>
      </c>
      <c r="I308">
        <v>366.92360000000002</v>
      </c>
      <c r="J308">
        <v>-418.70699999999999</v>
      </c>
      <c r="K308">
        <v>1.059876</v>
      </c>
      <c r="L308">
        <v>366.94279999999998</v>
      </c>
      <c r="M308">
        <v>0.99993319999999997</v>
      </c>
      <c r="N308">
        <v>0</v>
      </c>
      <c r="O308">
        <v>1.0517059999999999E-3</v>
      </c>
      <c r="P308">
        <v>0.9889213</v>
      </c>
      <c r="Q308">
        <v>0.1484424</v>
      </c>
      <c r="R308">
        <v>-2.9407020000000002E-4</v>
      </c>
      <c r="S308">
        <v>3.063599</v>
      </c>
      <c r="T308">
        <v>-0.20000660000000001</v>
      </c>
      <c r="U308">
        <v>-5.6854250000000002E-2</v>
      </c>
      <c r="V308">
        <v>1.36169E-3</v>
      </c>
      <c r="W308">
        <v>0.1598272</v>
      </c>
      <c r="X308">
        <v>0.98714409999999997</v>
      </c>
      <c r="Y308">
        <v>1.956252E-2</v>
      </c>
      <c r="Z308">
        <v>-7.0642070000000005E-4</v>
      </c>
      <c r="AA308">
        <v>0.99980840000000004</v>
      </c>
      <c r="AB308">
        <v>36</v>
      </c>
      <c r="AC308">
        <v>0.64519999999998801</v>
      </c>
      <c r="AD308">
        <v>-6.6013099999999894E-2</v>
      </c>
      <c r="AE308">
        <v>-1.9199999999955201E-2</v>
      </c>
      <c r="AF308">
        <v>1.9672838273795599E-2</v>
      </c>
      <c r="AG308">
        <v>-6.6013099999999894E-2</v>
      </c>
      <c r="AH308">
        <v>0.638501409609179</v>
      </c>
      <c r="AI308">
        <v>95.899918902652203</v>
      </c>
      <c r="AJ308">
        <v>88.235220611534103</v>
      </c>
      <c r="AK308">
        <v>0.64220619742436802</v>
      </c>
      <c r="AL308">
        <v>80.803133851124102</v>
      </c>
      <c r="AM308">
        <v>89.9209648920354</v>
      </c>
      <c r="AN308">
        <v>1.00000003111215</v>
      </c>
    </row>
    <row r="309" spans="1:40" x14ac:dyDescent="0.25">
      <c r="A309" t="str">
        <f>"20190312172337628"</f>
        <v>20190312172337628</v>
      </c>
      <c r="B309" t="str">
        <f>"1552382617620563"</f>
        <v>1552382617620563</v>
      </c>
      <c r="C309" t="s">
        <v>40</v>
      </c>
      <c r="D309">
        <v>3.7505850000000001</v>
      </c>
      <c r="E309">
        <v>0.50751329999999995</v>
      </c>
      <c r="F309" t="s">
        <v>41</v>
      </c>
      <c r="G309">
        <v>-417.73610000000002</v>
      </c>
      <c r="H309">
        <v>0.99655990000000005</v>
      </c>
      <c r="I309">
        <v>366.92329999999998</v>
      </c>
      <c r="J309">
        <v>-418.35809999999998</v>
      </c>
      <c r="K309">
        <v>1.0598749999999999</v>
      </c>
      <c r="L309">
        <v>366.94310000000002</v>
      </c>
      <c r="M309">
        <v>0.99993330000000002</v>
      </c>
      <c r="N309">
        <v>0</v>
      </c>
      <c r="O309">
        <v>9.9952640000000007E-4</v>
      </c>
      <c r="P309">
        <v>0.98891379999999995</v>
      </c>
      <c r="Q309">
        <v>0.1484895</v>
      </c>
      <c r="R309">
        <v>-8.2580229999999896E-4</v>
      </c>
      <c r="S309">
        <v>3.063599</v>
      </c>
      <c r="T309">
        <v>-0.19994000000000001</v>
      </c>
      <c r="U309">
        <v>-6.0760500000000002E-2</v>
      </c>
      <c r="V309">
        <v>1.8416999999999999E-3</v>
      </c>
      <c r="W309">
        <v>0.15987009999999999</v>
      </c>
      <c r="X309">
        <v>0.98713640000000002</v>
      </c>
      <c r="Y309">
        <v>2.0782220000000001E-2</v>
      </c>
      <c r="Z309">
        <v>-7.4253000000000003E-4</v>
      </c>
      <c r="AA309">
        <v>0.9997838</v>
      </c>
      <c r="AB309">
        <v>36</v>
      </c>
      <c r="AC309">
        <v>0.62199999999995703</v>
      </c>
      <c r="AD309">
        <v>-6.3315099999999805E-2</v>
      </c>
      <c r="AE309">
        <v>-1.9800000000032E-2</v>
      </c>
      <c r="AF309">
        <v>2.0212511367925099E-2</v>
      </c>
      <c r="AG309">
        <v>-6.3315099999999805E-2</v>
      </c>
      <c r="AH309">
        <v>0.615607572303429</v>
      </c>
      <c r="AI309">
        <v>95.869069942684504</v>
      </c>
      <c r="AJ309">
        <v>88.119458301721494</v>
      </c>
      <c r="AK309">
        <v>0.61918497283213403</v>
      </c>
      <c r="AL309">
        <v>80.800644079889494</v>
      </c>
      <c r="AM309">
        <v>89.893103410334106</v>
      </c>
      <c r="AN309">
        <v>1.00000005646892</v>
      </c>
    </row>
    <row r="310" spans="1:40" x14ac:dyDescent="0.25">
      <c r="A310" t="str">
        <f>"20190312172337650"</f>
        <v>20190312172337650</v>
      </c>
      <c r="B310" t="str">
        <f>"1552382617640083"</f>
        <v>1552382617640083</v>
      </c>
      <c r="C310" t="s">
        <v>40</v>
      </c>
      <c r="D310">
        <v>3.7544089999999999</v>
      </c>
      <c r="E310">
        <v>0.50773049999999997</v>
      </c>
      <c r="F310" t="s">
        <v>41</v>
      </c>
      <c r="G310">
        <v>-417.41109999999998</v>
      </c>
      <c r="H310">
        <v>0.99819840000000004</v>
      </c>
      <c r="I310">
        <v>366.92290000000003</v>
      </c>
      <c r="J310">
        <v>-417.99930000000001</v>
      </c>
      <c r="K310">
        <v>1.0598780000000001</v>
      </c>
      <c r="L310">
        <v>366.94349999999997</v>
      </c>
      <c r="M310">
        <v>0.99993339999999997</v>
      </c>
      <c r="N310">
        <v>0</v>
      </c>
      <c r="O310">
        <v>9.4804419999999995E-4</v>
      </c>
      <c r="P310">
        <v>0.98889479999999996</v>
      </c>
      <c r="Q310">
        <v>0.148613</v>
      </c>
      <c r="R310">
        <v>-1.2263319999999999E-3</v>
      </c>
      <c r="S310">
        <v>3.0635379999999999</v>
      </c>
      <c r="T310">
        <v>-0.1998219</v>
      </c>
      <c r="U310">
        <v>-6.4117430000000003E-2</v>
      </c>
      <c r="V310">
        <v>2.1907070000000001E-3</v>
      </c>
      <c r="W310">
        <v>0.1599844</v>
      </c>
      <c r="X310">
        <v>0.98711709999999997</v>
      </c>
      <c r="Y310">
        <v>2.1824159999999999E-2</v>
      </c>
      <c r="Z310">
        <v>-7.7268569999999997E-4</v>
      </c>
      <c r="AA310">
        <v>0.99976149999999997</v>
      </c>
      <c r="AB310">
        <v>36</v>
      </c>
      <c r="AC310">
        <v>0.58820000000002803</v>
      </c>
      <c r="AD310">
        <v>-6.1679600000000001E-2</v>
      </c>
      <c r="AE310">
        <v>-2.0599999999944801E-2</v>
      </c>
      <c r="AF310">
        <v>2.0927827633982501E-2</v>
      </c>
      <c r="AG310">
        <v>-6.1679600000000001E-2</v>
      </c>
      <c r="AH310">
        <v>0.58179069583760401</v>
      </c>
      <c r="AI310">
        <v>96.047828596669305</v>
      </c>
      <c r="AJ310">
        <v>87.939878672449296</v>
      </c>
      <c r="AK310">
        <v>0.58542528198638699</v>
      </c>
      <c r="AL310">
        <v>80.794009148068199</v>
      </c>
      <c r="AM310">
        <v>89.872843800214397</v>
      </c>
      <c r="AN310">
        <v>0.99999998827646397</v>
      </c>
    </row>
    <row r="311" spans="1:40" x14ac:dyDescent="0.25">
      <c r="A311" t="str">
        <f>"20190312172337672"</f>
        <v>20190312172337672</v>
      </c>
      <c r="B311" t="str">
        <f>"1552382617660580"</f>
        <v>1552382617660580</v>
      </c>
      <c r="C311" t="s">
        <v>40</v>
      </c>
      <c r="D311">
        <v>3.8193760000000001</v>
      </c>
      <c r="E311">
        <v>0.5079188</v>
      </c>
      <c r="F311" t="s">
        <v>42</v>
      </c>
      <c r="G311">
        <v>-400.96949999999998</v>
      </c>
      <c r="H311">
        <v>-0.05</v>
      </c>
      <c r="I311">
        <v>366.5702</v>
      </c>
      <c r="J311">
        <v>-417.64460000000003</v>
      </c>
      <c r="K311">
        <v>1.059874</v>
      </c>
      <c r="L311">
        <v>366.94380000000001</v>
      </c>
      <c r="M311">
        <v>0.99993350000000003</v>
      </c>
      <c r="N311">
        <v>0</v>
      </c>
      <c r="O311">
        <v>8.9992130000000003E-4</v>
      </c>
      <c r="P311">
        <v>0.98889609999999994</v>
      </c>
      <c r="Q311">
        <v>0.14860119999999999</v>
      </c>
      <c r="R311">
        <v>-1.453822E-3</v>
      </c>
      <c r="S311">
        <v>3.0635680000000001</v>
      </c>
      <c r="T311">
        <v>-0.19966200000000001</v>
      </c>
      <c r="U311">
        <v>-6.7138669999999998E-2</v>
      </c>
      <c r="V311">
        <v>2.369842E-3</v>
      </c>
      <c r="W311">
        <v>0.15996179999999999</v>
      </c>
      <c r="X311">
        <v>0.98712029999999995</v>
      </c>
      <c r="Y311">
        <v>2.275951E-2</v>
      </c>
      <c r="Z311">
        <v>-7.9936380000000004E-4</v>
      </c>
      <c r="AA311">
        <v>0.99974070000000004</v>
      </c>
      <c r="AB311">
        <v>36</v>
      </c>
      <c r="AC311">
        <v>16.6751</v>
      </c>
      <c r="AD311">
        <v>-1.109874</v>
      </c>
      <c r="AE311">
        <v>-0.37360000000000998</v>
      </c>
      <c r="AF311">
        <v>0.38689401115122202</v>
      </c>
      <c r="AG311">
        <v>-1.109874</v>
      </c>
      <c r="AH311">
        <v>16.601249238017601</v>
      </c>
      <c r="AI311">
        <v>93.823773829842096</v>
      </c>
      <c r="AJ311">
        <v>88.664956973979301</v>
      </c>
      <c r="AK311">
        <v>16.6428057590816</v>
      </c>
      <c r="AL311">
        <v>80.795320479684804</v>
      </c>
      <c r="AM311">
        <v>89.862446670535903</v>
      </c>
      <c r="AN311">
        <v>0.99999994014121496</v>
      </c>
    </row>
    <row r="312" spans="1:40" x14ac:dyDescent="0.25">
      <c r="A312" t="str">
        <f>"20190312172337694"</f>
        <v>20190312172337694</v>
      </c>
      <c r="B312" t="str">
        <f>"1552382617689860"</f>
        <v>1552382617689860</v>
      </c>
      <c r="C312" t="s">
        <v>40</v>
      </c>
      <c r="D312">
        <v>3.779957</v>
      </c>
      <c r="E312">
        <v>0.50819550000000002</v>
      </c>
      <c r="F312" t="s">
        <v>42</v>
      </c>
      <c r="G312">
        <v>-400.64800000000002</v>
      </c>
      <c r="H312">
        <v>-0.05</v>
      </c>
      <c r="I312">
        <v>366.55650000000003</v>
      </c>
      <c r="J312">
        <v>-417.28899999999999</v>
      </c>
      <c r="K312">
        <v>1.059879</v>
      </c>
      <c r="L312">
        <v>366.94400000000002</v>
      </c>
      <c r="M312">
        <v>0.99993379999999998</v>
      </c>
      <c r="N312">
        <v>0</v>
      </c>
      <c r="O312">
        <v>8.5538729999999998E-4</v>
      </c>
      <c r="P312">
        <v>0.98885800000000001</v>
      </c>
      <c r="Q312">
        <v>0.14885129999999999</v>
      </c>
      <c r="R312">
        <v>-1.821523E-3</v>
      </c>
      <c r="S312">
        <v>3.063599</v>
      </c>
      <c r="T312">
        <v>-0.20005249999999999</v>
      </c>
      <c r="U312">
        <v>-6.97937E-2</v>
      </c>
      <c r="V312">
        <v>2.6922320000000001E-3</v>
      </c>
      <c r="W312">
        <v>0.1602005</v>
      </c>
      <c r="X312">
        <v>0.98708079999999998</v>
      </c>
      <c r="Y312">
        <v>2.35789E-2</v>
      </c>
      <c r="Z312">
        <v>-8.2472459999999997E-4</v>
      </c>
      <c r="AA312">
        <v>0.99972159999999999</v>
      </c>
      <c r="AB312">
        <v>36</v>
      </c>
      <c r="AC312">
        <v>16.640999999999899</v>
      </c>
      <c r="AD312">
        <v>-1.1098790000000001</v>
      </c>
      <c r="AE312">
        <v>-0.38749999999998802</v>
      </c>
      <c r="AF312">
        <v>0.39995713702027103</v>
      </c>
      <c r="AG312">
        <v>-1.1098790000000001</v>
      </c>
      <c r="AH312">
        <v>16.567007623319501</v>
      </c>
      <c r="AI312">
        <v>93.831594926978696</v>
      </c>
      <c r="AJ312">
        <v>88.617046238487504</v>
      </c>
      <c r="AK312">
        <v>16.608959591052599</v>
      </c>
      <c r="AL312">
        <v>80.781465640780894</v>
      </c>
      <c r="AM312">
        <v>89.843727941451107</v>
      </c>
      <c r="AN312">
        <v>0.99999997702101495</v>
      </c>
    </row>
    <row r="313" spans="1:40" x14ac:dyDescent="0.25">
      <c r="A313" t="str">
        <f>"20190312172337719"</f>
        <v>20190312172337719</v>
      </c>
      <c r="B313" t="str">
        <f>"1552382617710356"</f>
        <v>1552382617710356</v>
      </c>
      <c r="C313" t="s">
        <v>40</v>
      </c>
      <c r="D313">
        <v>3.8061720000000001</v>
      </c>
      <c r="E313">
        <v>0.50836000000000003</v>
      </c>
      <c r="F313" t="s">
        <v>42</v>
      </c>
      <c r="G313">
        <v>-400.2604</v>
      </c>
      <c r="H313">
        <v>-0.05</v>
      </c>
      <c r="I313">
        <v>366.5378</v>
      </c>
      <c r="J313">
        <v>-416.89350000000002</v>
      </c>
      <c r="K313">
        <v>1.0598860000000001</v>
      </c>
      <c r="L313">
        <v>366.9443</v>
      </c>
      <c r="M313">
        <v>0.99993399999999999</v>
      </c>
      <c r="N313">
        <v>0</v>
      </c>
      <c r="O313">
        <v>8.1291449999999895E-4</v>
      </c>
      <c r="P313">
        <v>0.98890639999999996</v>
      </c>
      <c r="Q313">
        <v>0.14852499999999999</v>
      </c>
      <c r="R313">
        <v>-2.218743E-3</v>
      </c>
      <c r="S313">
        <v>3.0637210000000001</v>
      </c>
      <c r="T313">
        <v>-0.19968610000000001</v>
      </c>
      <c r="U313">
        <v>-7.3089600000000005E-2</v>
      </c>
      <c r="V313">
        <v>3.0452249999999999E-3</v>
      </c>
      <c r="W313">
        <v>0.15986300000000001</v>
      </c>
      <c r="X313">
        <v>0.98713450000000003</v>
      </c>
      <c r="Y313">
        <v>2.4608519999999998E-2</v>
      </c>
      <c r="Z313">
        <v>-8.5392270000000004E-4</v>
      </c>
      <c r="AA313">
        <v>0.99969680000000005</v>
      </c>
      <c r="AB313">
        <v>36</v>
      </c>
      <c r="AC313">
        <v>16.633099999999999</v>
      </c>
      <c r="AD313">
        <v>-1.1098859999999999</v>
      </c>
      <c r="AE313">
        <v>-0.40649999999999398</v>
      </c>
      <c r="AF313">
        <v>0.41816126268069398</v>
      </c>
      <c r="AG313">
        <v>-1.1098859999999999</v>
      </c>
      <c r="AH313">
        <v>16.559077659649201</v>
      </c>
      <c r="AI313">
        <v>93.833343675451601</v>
      </c>
      <c r="AJ313">
        <v>88.553434852942701</v>
      </c>
      <c r="AK313">
        <v>16.601498688759801</v>
      </c>
      <c r="AL313">
        <v>80.801055532023796</v>
      </c>
      <c r="AM313">
        <v>89.823248010595705</v>
      </c>
      <c r="AN313">
        <v>0.99999998662727496</v>
      </c>
    </row>
    <row r="314" spans="1:40" x14ac:dyDescent="0.25">
      <c r="A314" t="str">
        <f>"20190312172337740"</f>
        <v>20190312172337740</v>
      </c>
      <c r="B314" t="str">
        <f>"1552382617729886"</f>
        <v>1552382617729886</v>
      </c>
      <c r="C314" t="s">
        <v>40</v>
      </c>
      <c r="D314">
        <v>3.7953030000000001</v>
      </c>
      <c r="E314">
        <v>0.5085208</v>
      </c>
      <c r="F314" t="s">
        <v>42</v>
      </c>
      <c r="G314">
        <v>-399.97269999999997</v>
      </c>
      <c r="H314">
        <v>-0.05</v>
      </c>
      <c r="I314">
        <v>366.52710000000002</v>
      </c>
      <c r="J314">
        <v>-416.5471</v>
      </c>
      <c r="K314">
        <v>1.059885</v>
      </c>
      <c r="L314">
        <v>366.94450000000001</v>
      </c>
      <c r="M314">
        <v>0.99993410000000005</v>
      </c>
      <c r="N314">
        <v>0</v>
      </c>
      <c r="O314">
        <v>7.8596069999999996E-4</v>
      </c>
      <c r="P314">
        <v>0.98890480000000003</v>
      </c>
      <c r="Q314">
        <v>0.14852960000000001</v>
      </c>
      <c r="R314">
        <v>-2.5521649999999999E-3</v>
      </c>
      <c r="S314">
        <v>3.06366</v>
      </c>
      <c r="T314">
        <v>-0.2009541</v>
      </c>
      <c r="U314">
        <v>-7.5531009999999996E-2</v>
      </c>
      <c r="V314">
        <v>3.3495170000000002E-3</v>
      </c>
      <c r="W314">
        <v>0.15985450000000001</v>
      </c>
      <c r="X314">
        <v>0.98713490000000004</v>
      </c>
      <c r="Y314">
        <v>2.5375950000000001E-2</v>
      </c>
      <c r="Z314">
        <v>-8.8271460000000003E-4</v>
      </c>
      <c r="AA314">
        <v>0.99967760000000006</v>
      </c>
      <c r="AB314">
        <v>36</v>
      </c>
      <c r="AC314">
        <v>16.574400000000001</v>
      </c>
      <c r="AD314">
        <v>-1.109885</v>
      </c>
      <c r="AE314">
        <v>-0.417399999999986</v>
      </c>
      <c r="AF314">
        <v>0.428507278632896</v>
      </c>
      <c r="AG314">
        <v>-1.109885</v>
      </c>
      <c r="AH314">
        <v>16.500124624948899</v>
      </c>
      <c r="AI314">
        <v>93.846924850710494</v>
      </c>
      <c r="AJ314">
        <v>88.512366310932606</v>
      </c>
      <c r="AK314">
        <v>16.542961519628602</v>
      </c>
      <c r="AL314">
        <v>80.801548974202007</v>
      </c>
      <c r="AM314">
        <v>89.805586398601804</v>
      </c>
      <c r="AN314">
        <v>0.99999999561619601</v>
      </c>
    </row>
    <row r="315" spans="1:40" x14ac:dyDescent="0.25">
      <c r="A315" t="str">
        <f>"20190312172337752"</f>
        <v>20190312172337752</v>
      </c>
      <c r="B315" t="str">
        <f>"1552382617739637"</f>
        <v>1552382617739637</v>
      </c>
      <c r="C315" t="s">
        <v>40</v>
      </c>
      <c r="D315">
        <v>3.780408</v>
      </c>
      <c r="E315">
        <v>0.50859709999999902</v>
      </c>
      <c r="F315" t="s">
        <v>42</v>
      </c>
      <c r="G315">
        <v>-399.63600000000002</v>
      </c>
      <c r="H315">
        <v>-0.05</v>
      </c>
      <c r="I315">
        <v>366.51780000000002</v>
      </c>
      <c r="J315">
        <v>-416.34719999999999</v>
      </c>
      <c r="K315">
        <v>1.0598890000000001</v>
      </c>
      <c r="L315">
        <v>366.94470000000001</v>
      </c>
      <c r="M315">
        <v>0.99993430000000005</v>
      </c>
      <c r="N315">
        <v>0</v>
      </c>
      <c r="O315">
        <v>7.7510820000000001E-4</v>
      </c>
      <c r="P315">
        <v>0.98895509999999998</v>
      </c>
      <c r="Q315">
        <v>0.1481875</v>
      </c>
      <c r="R315">
        <v>-2.9583729999999998E-3</v>
      </c>
      <c r="S315">
        <v>3.0636899999999998</v>
      </c>
      <c r="T315">
        <v>-0.20107149999999999</v>
      </c>
      <c r="U315">
        <v>-7.7301030000000007E-2</v>
      </c>
      <c r="V315">
        <v>3.7433499999999999E-3</v>
      </c>
      <c r="W315">
        <v>0.15950429999999999</v>
      </c>
      <c r="X315">
        <v>0.98719009999999996</v>
      </c>
      <c r="Y315">
        <v>2.594078E-2</v>
      </c>
      <c r="Z315">
        <v>-9.0101510000000005E-4</v>
      </c>
      <c r="AA315">
        <v>0.99966310000000003</v>
      </c>
      <c r="AB315">
        <v>36</v>
      </c>
      <c r="AC315">
        <v>16.711200000000002</v>
      </c>
      <c r="AD315">
        <v>-1.1098889999999999</v>
      </c>
      <c r="AE315">
        <v>-0.42689999999998901</v>
      </c>
      <c r="AF315">
        <v>0.43792325728569398</v>
      </c>
      <c r="AG315">
        <v>-1.1098889999999999</v>
      </c>
      <c r="AH315">
        <v>16.637522670216399</v>
      </c>
      <c r="AI315">
        <v>93.815228692836598</v>
      </c>
      <c r="AJ315">
        <v>88.492241737573295</v>
      </c>
      <c r="AK315">
        <v>16.680251526087901</v>
      </c>
      <c r="AL315">
        <v>80.821874464990699</v>
      </c>
      <c r="AM315">
        <v>89.782739790160306</v>
      </c>
      <c r="AN315">
        <v>0.99999996396285995</v>
      </c>
    </row>
    <row r="316" spans="1:40" x14ac:dyDescent="0.25">
      <c r="A316" t="str">
        <f>"20190312172337772"</f>
        <v>20190312172337772</v>
      </c>
      <c r="B316" t="str">
        <f>"1552382617760132"</f>
        <v>1552382617760132</v>
      </c>
      <c r="C316" t="s">
        <v>40</v>
      </c>
      <c r="D316">
        <v>3.8020049999999999</v>
      </c>
      <c r="E316">
        <v>0.50875099999999995</v>
      </c>
      <c r="F316" t="s">
        <v>42</v>
      </c>
      <c r="G316">
        <v>-399.54360000000003</v>
      </c>
      <c r="H316">
        <v>-0.05</v>
      </c>
      <c r="I316">
        <v>366.51049999999998</v>
      </c>
      <c r="J316">
        <v>-416.01440000000002</v>
      </c>
      <c r="K316">
        <v>1.059893</v>
      </c>
      <c r="L316">
        <v>366.94490000000002</v>
      </c>
      <c r="M316">
        <v>0.9999344</v>
      </c>
      <c r="N316">
        <v>0</v>
      </c>
      <c r="O316">
        <v>7.6146829999999995E-4</v>
      </c>
      <c r="P316">
        <v>0.9890333</v>
      </c>
      <c r="Q316">
        <v>0.14766209999999999</v>
      </c>
      <c r="R316">
        <v>-3.0838160000000001E-3</v>
      </c>
      <c r="S316">
        <v>3.0635680000000001</v>
      </c>
      <c r="T316">
        <v>-0.202351</v>
      </c>
      <c r="U316">
        <v>-7.91626E-2</v>
      </c>
      <c r="V316">
        <v>3.8526060000000002E-3</v>
      </c>
      <c r="W316">
        <v>0.158964299999999</v>
      </c>
      <c r="X316">
        <v>0.98727679999999995</v>
      </c>
      <c r="Y316">
        <v>2.65332E-2</v>
      </c>
      <c r="Z316">
        <v>-9.2540540000000005E-4</v>
      </c>
      <c r="AA316">
        <v>0.99964750000000002</v>
      </c>
      <c r="AB316">
        <v>36</v>
      </c>
      <c r="AC316">
        <v>16.470799999999901</v>
      </c>
      <c r="AD316">
        <v>-1.109893</v>
      </c>
      <c r="AE316">
        <v>-0.43440000000003898</v>
      </c>
      <c r="AF316">
        <v>0.44492377756784002</v>
      </c>
      <c r="AG316">
        <v>-1.109893</v>
      </c>
      <c r="AH316">
        <v>16.396064841325401</v>
      </c>
      <c r="AI316">
        <v>93.871174264348497</v>
      </c>
      <c r="AJ316">
        <v>88.445602619608195</v>
      </c>
      <c r="AK316">
        <v>16.439609542815798</v>
      </c>
      <c r="AL316">
        <v>80.853214253930005</v>
      </c>
      <c r="AM316">
        <v>89.776418382868499</v>
      </c>
      <c r="AN316">
        <v>0.99999998553285996</v>
      </c>
    </row>
    <row r="317" spans="1:40" x14ac:dyDescent="0.25">
      <c r="A317" t="str">
        <f>"20190312172337797"</f>
        <v>20190312172337797</v>
      </c>
      <c r="B317" t="str">
        <f>"1552382617790387"</f>
        <v>1552382617790387</v>
      </c>
      <c r="C317" t="s">
        <v>40</v>
      </c>
      <c r="D317">
        <v>3.7601559999999998</v>
      </c>
      <c r="E317">
        <v>0.52036099999999996</v>
      </c>
      <c r="F317" t="s">
        <v>42</v>
      </c>
      <c r="G317">
        <v>-399.35300000000001</v>
      </c>
      <c r="H317">
        <v>-0.05</v>
      </c>
      <c r="I317">
        <v>366.50619999999998</v>
      </c>
      <c r="J317">
        <v>-415.63299999999998</v>
      </c>
      <c r="K317">
        <v>1.0599000000000001</v>
      </c>
      <c r="L317">
        <v>366.9452</v>
      </c>
      <c r="M317">
        <v>0.99993449999999995</v>
      </c>
      <c r="N317">
        <v>0</v>
      </c>
      <c r="O317">
        <v>7.5224639999999995E-4</v>
      </c>
      <c r="P317">
        <v>0.98908249999999998</v>
      </c>
      <c r="Q317">
        <v>0.14732709999999999</v>
      </c>
      <c r="R317">
        <v>-3.2599299999999999E-3</v>
      </c>
      <c r="S317">
        <v>3.0634459999999999</v>
      </c>
      <c r="T317">
        <v>-0.20407</v>
      </c>
      <c r="U317">
        <v>-8.0657960000000001E-2</v>
      </c>
      <c r="V317">
        <v>4.0170809999999996E-3</v>
      </c>
      <c r="W317">
        <v>0.15861310000000001</v>
      </c>
      <c r="X317">
        <v>0.9873326</v>
      </c>
      <c r="Y317">
        <v>2.7010579999999999E-2</v>
      </c>
      <c r="Z317">
        <v>-9.48547E-4</v>
      </c>
      <c r="AA317">
        <v>0.99963469999999999</v>
      </c>
      <c r="AB317">
        <v>36</v>
      </c>
      <c r="AC317">
        <v>16.28</v>
      </c>
      <c r="AD317">
        <v>-1.1099000000000001</v>
      </c>
      <c r="AE317">
        <v>-0.43900000000002098</v>
      </c>
      <c r="AF317">
        <v>0.44916109675205401</v>
      </c>
      <c r="AG317">
        <v>-1.1099000000000001</v>
      </c>
      <c r="AH317">
        <v>16.204403048182701</v>
      </c>
      <c r="AI317">
        <v>93.916782192701604</v>
      </c>
      <c r="AJ317">
        <v>88.412255775711898</v>
      </c>
      <c r="AK317">
        <v>16.2485784562462</v>
      </c>
      <c r="AL317">
        <v>80.873594856497505</v>
      </c>
      <c r="AM317">
        <v>89.766886541305695</v>
      </c>
      <c r="AN317">
        <v>0.99999995772706396</v>
      </c>
    </row>
    <row r="318" spans="1:40" x14ac:dyDescent="0.25">
      <c r="A318" t="str">
        <f>"20190312172337819"</f>
        <v>20190312172337819</v>
      </c>
      <c r="B318" t="str">
        <f>"1552382617809908"</f>
        <v>1552382617809908</v>
      </c>
      <c r="C318" t="s">
        <v>40</v>
      </c>
      <c r="D318">
        <v>3.7331979999999998</v>
      </c>
      <c r="E318">
        <v>0.52098800000000001</v>
      </c>
      <c r="F318" t="s">
        <v>43</v>
      </c>
      <c r="G318">
        <v>-390.95159999999998</v>
      </c>
      <c r="H318" s="1">
        <v>-4.5871429999999998E-6</v>
      </c>
      <c r="I318">
        <v>365.53969999999998</v>
      </c>
      <c r="J318">
        <v>-415.26429999999999</v>
      </c>
      <c r="K318">
        <v>1.0599000000000001</v>
      </c>
      <c r="L318">
        <v>366.94549999999998</v>
      </c>
      <c r="M318">
        <v>0.99993469999999995</v>
      </c>
      <c r="N318">
        <v>0</v>
      </c>
      <c r="O318">
        <v>7.4816960000000001E-4</v>
      </c>
      <c r="P318">
        <v>0.98909270000000005</v>
      </c>
      <c r="Q318">
        <v>0.14724979999999999</v>
      </c>
      <c r="R318">
        <v>-3.629246E-3</v>
      </c>
      <c r="S318">
        <v>3.052063</v>
      </c>
      <c r="T318">
        <v>-0.13106580000000001</v>
      </c>
      <c r="U318">
        <v>-0.1737976</v>
      </c>
      <c r="V318">
        <v>4.380531E-3</v>
      </c>
      <c r="W318">
        <v>0.15852140000000001</v>
      </c>
      <c r="X318">
        <v>0.98734580000000005</v>
      </c>
      <c r="Y318">
        <v>5.7545640000000002E-2</v>
      </c>
      <c r="Z318">
        <v>-1.2661250000000001E-3</v>
      </c>
      <c r="AA318">
        <v>0.99834210000000001</v>
      </c>
      <c r="AB318">
        <v>36</v>
      </c>
      <c r="AC318">
        <v>24.3127</v>
      </c>
      <c r="AD318">
        <v>-1.059904587143</v>
      </c>
      <c r="AE318">
        <v>-1.4057999999999899</v>
      </c>
      <c r="AF318">
        <v>1.4212986395452001</v>
      </c>
      <c r="AG318">
        <v>-1.059904587143</v>
      </c>
      <c r="AH318">
        <v>24.265678174203899</v>
      </c>
      <c r="AI318">
        <v>92.496768358003493</v>
      </c>
      <c r="AJ318">
        <v>86.647879454416895</v>
      </c>
      <c r="AK318">
        <v>24.330364255609801</v>
      </c>
      <c r="AL318">
        <v>80.8789163729422</v>
      </c>
      <c r="AM318">
        <v>89.745798998145105</v>
      </c>
      <c r="AN318">
        <v>0.99999997604372004</v>
      </c>
    </row>
    <row r="319" spans="1:40" x14ac:dyDescent="0.25">
      <c r="A319" t="str">
        <f>"20190312172337841"</f>
        <v>20190312172337841</v>
      </c>
      <c r="B319" t="str">
        <f>"1552382617830403"</f>
        <v>1552382617830403</v>
      </c>
      <c r="C319" t="s">
        <v>40</v>
      </c>
      <c r="D319">
        <v>3.7377690000000001</v>
      </c>
      <c r="E319">
        <v>0.52110879999999904</v>
      </c>
      <c r="F319" t="s">
        <v>43</v>
      </c>
      <c r="G319">
        <v>-391.19560000000001</v>
      </c>
      <c r="H319" s="1">
        <v>-4.4850269999999999E-6</v>
      </c>
      <c r="I319">
        <v>365.52539999999999</v>
      </c>
      <c r="J319">
        <v>-414.91590000000002</v>
      </c>
      <c r="K319">
        <v>1.059898</v>
      </c>
      <c r="L319">
        <v>366.94580000000002</v>
      </c>
      <c r="M319">
        <v>0.99993500000000002</v>
      </c>
      <c r="N319">
        <v>0</v>
      </c>
      <c r="O319">
        <v>7.474507E-4</v>
      </c>
      <c r="P319">
        <v>0.98915379999999997</v>
      </c>
      <c r="Q319">
        <v>0.14683389999999999</v>
      </c>
      <c r="R319">
        <v>-3.8572319999999999E-3</v>
      </c>
      <c r="S319">
        <v>3.0524290000000001</v>
      </c>
      <c r="T319">
        <v>-0.13441810000000001</v>
      </c>
      <c r="U319">
        <v>-0.1800842</v>
      </c>
      <c r="V319">
        <v>4.6065070000000001E-3</v>
      </c>
      <c r="W319">
        <v>0.15809329999999999</v>
      </c>
      <c r="X319">
        <v>0.9874134</v>
      </c>
      <c r="Y319">
        <v>5.9582540000000003E-2</v>
      </c>
      <c r="Z319">
        <v>-1.3430009999999999E-3</v>
      </c>
      <c r="AA319">
        <v>0.99822250000000001</v>
      </c>
      <c r="AB319">
        <v>36</v>
      </c>
      <c r="AC319">
        <v>23.720300000000002</v>
      </c>
      <c r="AD319">
        <v>-1.059902485027</v>
      </c>
      <c r="AE319">
        <v>-1.4204000000000201</v>
      </c>
      <c r="AF319">
        <v>1.43527507161996</v>
      </c>
      <c r="AG319">
        <v>-1.059902485027</v>
      </c>
      <c r="AH319">
        <v>23.672136665014101</v>
      </c>
      <c r="AI319">
        <v>92.558971064609494</v>
      </c>
      <c r="AJ319">
        <v>86.530323529809905</v>
      </c>
      <c r="AK319">
        <v>23.739280993662899</v>
      </c>
      <c r="AL319">
        <v>80.903757868788702</v>
      </c>
      <c r="AM319">
        <v>89.7327041595304</v>
      </c>
      <c r="AN319">
        <v>0.99999996695559501</v>
      </c>
    </row>
    <row r="320" spans="1:40" x14ac:dyDescent="0.25">
      <c r="A320" t="str">
        <f>"20190312172337862"</f>
        <v>20190312172337862</v>
      </c>
      <c r="B320" t="str">
        <f>"1552382617859685"</f>
        <v>1552382617859685</v>
      </c>
      <c r="C320" t="s">
        <v>40</v>
      </c>
      <c r="D320">
        <v>3.724545</v>
      </c>
      <c r="E320">
        <v>0.52115789999999995</v>
      </c>
      <c r="F320" t="s">
        <v>43</v>
      </c>
      <c r="G320">
        <v>-390.68459999999999</v>
      </c>
      <c r="H320" s="1">
        <v>-4.7085839999999997E-6</v>
      </c>
      <c r="I320">
        <v>365.5009</v>
      </c>
      <c r="J320">
        <v>-414.56950000000001</v>
      </c>
      <c r="K320">
        <v>1.0598909999999999</v>
      </c>
      <c r="L320">
        <v>366.94600000000003</v>
      </c>
      <c r="M320">
        <v>0.99993500000000002</v>
      </c>
      <c r="N320">
        <v>0</v>
      </c>
      <c r="O320">
        <v>7.4975479999999999E-4</v>
      </c>
      <c r="P320">
        <v>0.98920719999999995</v>
      </c>
      <c r="Q320">
        <v>0.14647060000000001</v>
      </c>
      <c r="R320">
        <v>-3.9256300000000003E-3</v>
      </c>
      <c r="S320">
        <v>3.0520320000000001</v>
      </c>
      <c r="T320">
        <v>-0.133498799999999</v>
      </c>
      <c r="U320">
        <v>-0.18197630000000001</v>
      </c>
      <c r="V320">
        <v>4.6763960000000002E-3</v>
      </c>
      <c r="W320">
        <v>0.15771949999999901</v>
      </c>
      <c r="X320">
        <v>0.98747289999999999</v>
      </c>
      <c r="Y320">
        <v>6.0209310000000002E-2</v>
      </c>
      <c r="Z320">
        <v>-1.3477630000000001E-3</v>
      </c>
      <c r="AA320">
        <v>0.99818490000000004</v>
      </c>
      <c r="AB320">
        <v>36</v>
      </c>
      <c r="AC320">
        <v>23.884899999999998</v>
      </c>
      <c r="AD320">
        <v>-1.059895708584</v>
      </c>
      <c r="AE320">
        <v>-1.4450999999999601</v>
      </c>
      <c r="AF320">
        <v>1.4601438116641501</v>
      </c>
      <c r="AG320">
        <v>-1.059895708584</v>
      </c>
      <c r="AH320">
        <v>23.837042163373098</v>
      </c>
      <c r="AI320">
        <v>92.541178945965001</v>
      </c>
      <c r="AJ320">
        <v>86.494712906198203</v>
      </c>
      <c r="AK320">
        <v>23.905229092444301</v>
      </c>
      <c r="AL320">
        <v>80.925447618259994</v>
      </c>
      <c r="AM320">
        <v>89.728665210821603</v>
      </c>
      <c r="AN320">
        <v>1.0000000187971001</v>
      </c>
    </row>
    <row r="321" spans="1:40" x14ac:dyDescent="0.25">
      <c r="A321" t="str">
        <f>"20190312172337875"</f>
        <v>20190312172337875</v>
      </c>
      <c r="B321" t="str">
        <f>"1552382617870420"</f>
        <v>1552382617870420</v>
      </c>
      <c r="C321" t="s">
        <v>40</v>
      </c>
      <c r="D321">
        <v>3.725406</v>
      </c>
      <c r="E321">
        <v>0.52118589999999998</v>
      </c>
      <c r="F321" t="s">
        <v>43</v>
      </c>
      <c r="G321">
        <v>-390.04680000000002</v>
      </c>
      <c r="H321" s="1">
        <v>-4.986169E-6</v>
      </c>
      <c r="I321">
        <v>365.4785</v>
      </c>
      <c r="J321">
        <v>-414.35820000000001</v>
      </c>
      <c r="K321">
        <v>1.059893</v>
      </c>
      <c r="L321">
        <v>366.94619999999998</v>
      </c>
      <c r="M321">
        <v>0.99993509999999997</v>
      </c>
      <c r="N321">
        <v>0</v>
      </c>
      <c r="O321">
        <v>7.5197160000000003E-4</v>
      </c>
      <c r="P321">
        <v>0.98923519999999998</v>
      </c>
      <c r="Q321">
        <v>0.1462746</v>
      </c>
      <c r="R321">
        <v>-4.1844630000000002E-3</v>
      </c>
      <c r="S321">
        <v>3.0515750000000001</v>
      </c>
      <c r="T321">
        <v>-0.13189210000000001</v>
      </c>
      <c r="U321">
        <v>-0.18261720000000001</v>
      </c>
      <c r="V321">
        <v>4.9367949999999999E-3</v>
      </c>
      <c r="W321">
        <v>0.15751509999999999</v>
      </c>
      <c r="X321">
        <v>0.98750420000000005</v>
      </c>
      <c r="Y321">
        <v>6.0430459999999998E-2</v>
      </c>
      <c r="Z321">
        <v>-1.336617E-3</v>
      </c>
      <c r="AA321">
        <v>0.99817149999999999</v>
      </c>
      <c r="AB321">
        <v>36</v>
      </c>
      <c r="AC321">
        <v>24.3113999999999</v>
      </c>
      <c r="AD321">
        <v>-1.0598979861690001</v>
      </c>
      <c r="AE321">
        <v>-1.46769999999997</v>
      </c>
      <c r="AF321">
        <v>1.48317345289507</v>
      </c>
      <c r="AG321">
        <v>-1.0598979861690001</v>
      </c>
      <c r="AH321">
        <v>24.264338204551901</v>
      </c>
      <c r="AI321">
        <v>92.496510855278004</v>
      </c>
      <c r="AJ321">
        <v>86.502110324270106</v>
      </c>
      <c r="AK321">
        <v>24.3327206809542</v>
      </c>
      <c r="AL321">
        <v>80.937306595401495</v>
      </c>
      <c r="AM321">
        <v>89.713565611767706</v>
      </c>
      <c r="AN321">
        <v>0.99999996184525997</v>
      </c>
    </row>
    <row r="322" spans="1:40" x14ac:dyDescent="0.25">
      <c r="A322" t="str">
        <f>"20190312172337897"</f>
        <v>20190312172337897</v>
      </c>
      <c r="B322" t="str">
        <f>"1552382617889940"</f>
        <v>1552382617889940</v>
      </c>
      <c r="C322" t="s">
        <v>40</v>
      </c>
      <c r="D322">
        <v>3.7329310000000002</v>
      </c>
      <c r="E322">
        <v>0.52120390000000005</v>
      </c>
      <c r="F322" t="s">
        <v>43</v>
      </c>
      <c r="G322">
        <v>-389.86180000000002</v>
      </c>
      <c r="H322" s="1">
        <v>-1.135624E-6</v>
      </c>
      <c r="I322">
        <v>365.47250000000003</v>
      </c>
      <c r="J322">
        <v>-413.99520000000001</v>
      </c>
      <c r="K322">
        <v>1.059898</v>
      </c>
      <c r="L322">
        <v>366.94639999999998</v>
      </c>
      <c r="M322">
        <v>0.99993520000000002</v>
      </c>
      <c r="N322">
        <v>0</v>
      </c>
      <c r="O322">
        <v>7.5717190000000004E-4</v>
      </c>
      <c r="P322">
        <v>0.98923919999999999</v>
      </c>
      <c r="Q322">
        <v>0.14624690000000001</v>
      </c>
      <c r="R322">
        <v>-4.187652E-3</v>
      </c>
      <c r="S322">
        <v>3.0514220000000001</v>
      </c>
      <c r="T322">
        <v>-0.1320267</v>
      </c>
      <c r="U322">
        <v>-0.18356320000000001</v>
      </c>
      <c r="V322">
        <v>4.9440480000000004E-3</v>
      </c>
      <c r="W322">
        <v>0.15747139999999901</v>
      </c>
      <c r="X322">
        <v>0.98751120000000003</v>
      </c>
      <c r="Y322">
        <v>6.074657E-2</v>
      </c>
      <c r="Z322">
        <v>-1.3450879999999999E-3</v>
      </c>
      <c r="AA322">
        <v>0.99815229999999999</v>
      </c>
      <c r="AB322">
        <v>36</v>
      </c>
      <c r="AC322">
        <v>24.133399999999899</v>
      </c>
      <c r="AD322">
        <v>-1.059899135624</v>
      </c>
      <c r="AE322">
        <v>-1.47389999999995</v>
      </c>
      <c r="AF322">
        <v>1.4893119465128799</v>
      </c>
      <c r="AG322">
        <v>-1.059899135624</v>
      </c>
      <c r="AH322">
        <v>24.085992071436099</v>
      </c>
      <c r="AI322">
        <v>92.514866657631202</v>
      </c>
      <c r="AJ322">
        <v>86.461728151336402</v>
      </c>
      <c r="AK322">
        <v>24.155257198320299</v>
      </c>
      <c r="AL322">
        <v>80.939842665926605</v>
      </c>
      <c r="AM322">
        <v>89.713146830815603</v>
      </c>
      <c r="AN322">
        <v>1.00000002777701</v>
      </c>
    </row>
    <row r="323" spans="1:40" x14ac:dyDescent="0.25">
      <c r="A323" t="str">
        <f>"20190312172337920"</f>
        <v>20190312172337920</v>
      </c>
      <c r="B323" t="str">
        <f>"1552382617910437"</f>
        <v>1552382617910437</v>
      </c>
      <c r="C323" t="s">
        <v>40</v>
      </c>
      <c r="D323">
        <v>3.7499639999999999</v>
      </c>
      <c r="E323">
        <v>0.52121729999999999</v>
      </c>
      <c r="F323" t="s">
        <v>43</v>
      </c>
      <c r="G323">
        <v>-389.471</v>
      </c>
      <c r="H323" s="1">
        <v>-1.2702999999999999E-6</v>
      </c>
      <c r="I323">
        <v>365.46620000000001</v>
      </c>
      <c r="J323">
        <v>-413.6232</v>
      </c>
      <c r="K323">
        <v>1.0598989999999999</v>
      </c>
      <c r="L323">
        <v>366.94670000000002</v>
      </c>
      <c r="M323">
        <v>0.99993549999999998</v>
      </c>
      <c r="N323">
        <v>0</v>
      </c>
      <c r="O323">
        <v>7.645916E-4</v>
      </c>
      <c r="P323">
        <v>0.98922969999999999</v>
      </c>
      <c r="Q323">
        <v>0.1463035</v>
      </c>
      <c r="R323">
        <v>-4.4865469999999996E-3</v>
      </c>
      <c r="S323">
        <v>3.051361</v>
      </c>
      <c r="T323">
        <v>-0.13187499999999999</v>
      </c>
      <c r="U323">
        <v>-0.18417359999999999</v>
      </c>
      <c r="V323">
        <v>5.2488669999999999E-3</v>
      </c>
      <c r="W323">
        <v>0.15751039999999999</v>
      </c>
      <c r="X323">
        <v>0.98750329999999997</v>
      </c>
      <c r="Y323">
        <v>6.0954019999999998E-2</v>
      </c>
      <c r="Z323">
        <v>-1.3483600000000001E-3</v>
      </c>
      <c r="AA323">
        <v>0.99813969999999996</v>
      </c>
      <c r="AB323">
        <v>36</v>
      </c>
      <c r="AC323">
        <v>24.152200000000001</v>
      </c>
      <c r="AD323">
        <v>-1.0599002703</v>
      </c>
      <c r="AE323">
        <v>-1.4804999999999999</v>
      </c>
      <c r="AF323">
        <v>1.49609688855517</v>
      </c>
      <c r="AG323">
        <v>-1.0599002703</v>
      </c>
      <c r="AH323">
        <v>24.1048130374921</v>
      </c>
      <c r="AI323">
        <v>92.512872144711594</v>
      </c>
      <c r="AJ323">
        <v>86.448417997929198</v>
      </c>
      <c r="AK323">
        <v>24.174443241890302</v>
      </c>
      <c r="AL323">
        <v>80.937578926517006</v>
      </c>
      <c r="AM323">
        <v>89.695459150169199</v>
      </c>
      <c r="AN323">
        <v>0.99999992211191302</v>
      </c>
    </row>
    <row r="324" spans="1:40" x14ac:dyDescent="0.25">
      <c r="A324" t="str">
        <f>"20190312172337942"</f>
        <v>20190312172337942</v>
      </c>
      <c r="B324" t="str">
        <f>"1552382617929956"</f>
        <v>1552382617929956</v>
      </c>
      <c r="C324" t="s">
        <v>40</v>
      </c>
      <c r="D324">
        <v>3.7444950000000001</v>
      </c>
      <c r="E324">
        <v>0.52125739999999998</v>
      </c>
      <c r="F324" t="s">
        <v>43</v>
      </c>
      <c r="G324">
        <v>-388.95979999999997</v>
      </c>
      <c r="H324" s="1">
        <v>-1.44999E-6</v>
      </c>
      <c r="I324">
        <v>365.44470000000001</v>
      </c>
      <c r="J324">
        <v>-413.26909999999998</v>
      </c>
      <c r="K324">
        <v>1.059904</v>
      </c>
      <c r="L324">
        <v>366.947</v>
      </c>
      <c r="M324">
        <v>0.99993560000000004</v>
      </c>
      <c r="N324">
        <v>0</v>
      </c>
      <c r="O324">
        <v>7.7378739999999998E-4</v>
      </c>
      <c r="P324">
        <v>0.98919959999999996</v>
      </c>
      <c r="Q324">
        <v>0.1464974</v>
      </c>
      <c r="R324">
        <v>-4.7939489999999996E-3</v>
      </c>
      <c r="S324">
        <v>3.0512079999999999</v>
      </c>
      <c r="T324">
        <v>-0.13112449999999901</v>
      </c>
      <c r="U324">
        <v>-0.1858215</v>
      </c>
      <c r="V324">
        <v>5.5641010000000001E-3</v>
      </c>
      <c r="W324">
        <v>0.15768789999999999</v>
      </c>
      <c r="X324">
        <v>0.9874733</v>
      </c>
      <c r="Y324">
        <v>6.1503460000000003E-2</v>
      </c>
      <c r="Z324">
        <v>-1.35292299999999E-3</v>
      </c>
      <c r="AA324">
        <v>0.99810589999999999</v>
      </c>
      <c r="AB324">
        <v>36</v>
      </c>
      <c r="AC324">
        <v>24.3093</v>
      </c>
      <c r="AD324">
        <v>-1.05990544999</v>
      </c>
      <c r="AE324">
        <v>-1.50229999999993</v>
      </c>
      <c r="AF324">
        <v>1.51823575285516</v>
      </c>
      <c r="AG324">
        <v>-1.05990544999</v>
      </c>
      <c r="AH324">
        <v>24.262182491552299</v>
      </c>
      <c r="AI324">
        <v>92.496527090668394</v>
      </c>
      <c r="AJ324">
        <v>86.419315357269397</v>
      </c>
      <c r="AK324">
        <v>24.332733891150699</v>
      </c>
      <c r="AL324">
        <v>80.927280713231994</v>
      </c>
      <c r="AM324">
        <v>89.677159746778003</v>
      </c>
      <c r="AN324">
        <v>0.99999997561961795</v>
      </c>
    </row>
    <row r="325" spans="1:40" x14ac:dyDescent="0.25">
      <c r="A325" t="str">
        <f>"20190312172337964"</f>
        <v>20190312172337964</v>
      </c>
      <c r="B325" t="str">
        <f>"1552382617960212"</f>
        <v>1552382617960212</v>
      </c>
      <c r="C325" t="s">
        <v>40</v>
      </c>
      <c r="D325">
        <v>3.716218</v>
      </c>
      <c r="E325">
        <v>0.52130619999999905</v>
      </c>
      <c r="F325" t="s">
        <v>43</v>
      </c>
      <c r="G325">
        <v>-388.39620000000002</v>
      </c>
      <c r="H325" s="1">
        <v>-1.6474539999999999E-6</v>
      </c>
      <c r="I325">
        <v>365.42340000000002</v>
      </c>
      <c r="J325">
        <v>-412.91699999999997</v>
      </c>
      <c r="K325">
        <v>1.059906</v>
      </c>
      <c r="L325">
        <v>366.94729999999998</v>
      </c>
      <c r="M325">
        <v>0.99993580000000004</v>
      </c>
      <c r="N325">
        <v>0</v>
      </c>
      <c r="O325">
        <v>7.8540819999999999E-4</v>
      </c>
      <c r="P325">
        <v>0.98921289999999995</v>
      </c>
      <c r="Q325">
        <v>0.14639289999999999</v>
      </c>
      <c r="R325">
        <v>-5.1995189999999997E-3</v>
      </c>
      <c r="S325">
        <v>3.0511469999999998</v>
      </c>
      <c r="T325">
        <v>-0.13001760000000001</v>
      </c>
      <c r="U325">
        <v>-0.18688959999999999</v>
      </c>
      <c r="V325">
        <v>5.9800069999999999E-3</v>
      </c>
      <c r="W325">
        <v>0.15757019999999999</v>
      </c>
      <c r="X325">
        <v>0.98748970000000003</v>
      </c>
      <c r="Y325">
        <v>6.1864990000000002E-2</v>
      </c>
      <c r="Z325">
        <v>-1.3497120000000001E-3</v>
      </c>
      <c r="AA325">
        <v>0.99808359999999996</v>
      </c>
      <c r="AB325">
        <v>36</v>
      </c>
      <c r="AC325">
        <v>24.520799999999898</v>
      </c>
      <c r="AD325">
        <v>-1.0599076474539999</v>
      </c>
      <c r="AE325">
        <v>-1.5238999999999601</v>
      </c>
      <c r="AF325">
        <v>1.5402928075207201</v>
      </c>
      <c r="AG325">
        <v>-1.0599076474539999</v>
      </c>
      <c r="AH325">
        <v>24.474044426266499</v>
      </c>
      <c r="AI325">
        <v>92.474892222124694</v>
      </c>
      <c r="AJ325">
        <v>86.398795725047904</v>
      </c>
      <c r="AK325">
        <v>24.5453612059977</v>
      </c>
      <c r="AL325">
        <v>80.934110188741798</v>
      </c>
      <c r="AM325">
        <v>89.653034381708594</v>
      </c>
      <c r="AN325">
        <v>1.0000000180089199</v>
      </c>
    </row>
    <row r="326" spans="1:40" x14ac:dyDescent="0.25">
      <c r="A326" t="str">
        <f>"20190312172337987"</f>
        <v>20190312172337987</v>
      </c>
      <c r="B326" t="str">
        <f>"1552382617979733"</f>
        <v>1552382617979733</v>
      </c>
      <c r="C326" t="s">
        <v>40</v>
      </c>
      <c r="D326">
        <v>3.6958289999999998</v>
      </c>
      <c r="E326">
        <v>0.52126530000000004</v>
      </c>
      <c r="F326" t="s">
        <v>43</v>
      </c>
      <c r="G326">
        <v>-387.9366</v>
      </c>
      <c r="H326" s="1">
        <v>-1.809139E-6</v>
      </c>
      <c r="I326">
        <v>365.40350000000001</v>
      </c>
      <c r="J326">
        <v>-412.53359999999998</v>
      </c>
      <c r="K326">
        <v>1.059903</v>
      </c>
      <c r="L326">
        <v>366.94760000000002</v>
      </c>
      <c r="M326">
        <v>0.99993589999999999</v>
      </c>
      <c r="N326">
        <v>0</v>
      </c>
      <c r="O326">
        <v>7.9898860000000003E-4</v>
      </c>
      <c r="P326">
        <v>0.98923139999999998</v>
      </c>
      <c r="Q326">
        <v>0.14626639999999999</v>
      </c>
      <c r="R326">
        <v>-5.2614109999999997E-3</v>
      </c>
      <c r="S326">
        <v>3.0508730000000002</v>
      </c>
      <c r="T326">
        <v>-0.12944729999999999</v>
      </c>
      <c r="U326">
        <v>-0.1885376</v>
      </c>
      <c r="V326">
        <v>6.0543230000000003E-3</v>
      </c>
      <c r="W326">
        <v>0.15743089999999901</v>
      </c>
      <c r="X326">
        <v>0.98751149999999999</v>
      </c>
      <c r="Y326">
        <v>6.2421089999999999E-2</v>
      </c>
      <c r="Z326">
        <v>-1.3562520000000001E-3</v>
      </c>
      <c r="AA326">
        <v>0.99804899999999996</v>
      </c>
      <c r="AB326">
        <v>36</v>
      </c>
      <c r="AC326">
        <v>24.596999999999898</v>
      </c>
      <c r="AD326">
        <v>-1.059904809139</v>
      </c>
      <c r="AE326">
        <v>-1.54410000000001</v>
      </c>
      <c r="AF326">
        <v>1.56086661391617</v>
      </c>
      <c r="AG326">
        <v>-1.059904809139</v>
      </c>
      <c r="AH326">
        <v>24.550351743996899</v>
      </c>
      <c r="AI326">
        <v>92.467102958163693</v>
      </c>
      <c r="AJ326">
        <v>86.362135144394699</v>
      </c>
      <c r="AK326">
        <v>24.6227430142307</v>
      </c>
      <c r="AL326">
        <v>80.942192683538906</v>
      </c>
      <c r="AM326">
        <v>89.648730359529097</v>
      </c>
      <c r="AN326">
        <v>1.0000000528670201</v>
      </c>
    </row>
    <row r="327" spans="1:40" x14ac:dyDescent="0.25">
      <c r="A327" t="str">
        <f>"20190312172338009"</f>
        <v>20190312172338009</v>
      </c>
      <c r="B327" t="str">
        <f>"1552382618000228"</f>
        <v>1552382618000228</v>
      </c>
      <c r="C327" t="s">
        <v>40</v>
      </c>
      <c r="D327">
        <v>3.7002090000000001</v>
      </c>
      <c r="E327">
        <v>0.52127670000000004</v>
      </c>
      <c r="F327" t="s">
        <v>43</v>
      </c>
      <c r="G327">
        <v>-387.51420000000002</v>
      </c>
      <c r="H327" s="1">
        <v>-1.954158E-6</v>
      </c>
      <c r="I327">
        <v>365.39879999999999</v>
      </c>
      <c r="J327">
        <v>-412.17250000000001</v>
      </c>
      <c r="K327">
        <v>1.0599050000000001</v>
      </c>
      <c r="L327">
        <v>366.9479</v>
      </c>
      <c r="M327">
        <v>0.99993600000000005</v>
      </c>
      <c r="N327">
        <v>0</v>
      </c>
      <c r="O327">
        <v>8.1302100000000003E-4</v>
      </c>
      <c r="P327">
        <v>0.98931219999999997</v>
      </c>
      <c r="Q327">
        <v>0.1456982</v>
      </c>
      <c r="R327">
        <v>-5.8006489999999997E-3</v>
      </c>
      <c r="S327">
        <v>3.050751</v>
      </c>
      <c r="T327">
        <v>-0.12923959999999901</v>
      </c>
      <c r="U327">
        <v>-0.18884280000000001</v>
      </c>
      <c r="V327">
        <v>6.6070119999999998E-3</v>
      </c>
      <c r="W327">
        <v>0.15685260000000001</v>
      </c>
      <c r="X327">
        <v>0.98759989999999998</v>
      </c>
      <c r="Y327">
        <v>6.253707E-2</v>
      </c>
      <c r="Z327">
        <v>-1.3571739999999901E-3</v>
      </c>
      <c r="AA327">
        <v>0.99804170000000003</v>
      </c>
      <c r="AB327">
        <v>36</v>
      </c>
      <c r="AC327">
        <v>24.658300000000001</v>
      </c>
      <c r="AD327">
        <v>-1.059906954158</v>
      </c>
      <c r="AE327">
        <v>-1.5491000000000099</v>
      </c>
      <c r="AF327">
        <v>1.56626601485318</v>
      </c>
      <c r="AG327">
        <v>-1.059906954158</v>
      </c>
      <c r="AH327">
        <v>24.6117382994317</v>
      </c>
      <c r="AI327">
        <v>92.460952594793795</v>
      </c>
      <c r="AJ327">
        <v>86.3586652234669</v>
      </c>
      <c r="AK327">
        <v>24.684291646722802</v>
      </c>
      <c r="AL327">
        <v>80.975742973080003</v>
      </c>
      <c r="AM327">
        <v>89.616698770964405</v>
      </c>
      <c r="AN327">
        <v>0.999999976607168</v>
      </c>
    </row>
    <row r="328" spans="1:40" x14ac:dyDescent="0.25">
      <c r="A328" t="str">
        <f>"20190312172338032"</f>
        <v>20190312172338032</v>
      </c>
      <c r="B328" t="str">
        <f>"1552382618019747"</f>
        <v>1552382618019747</v>
      </c>
      <c r="C328" t="s">
        <v>40</v>
      </c>
      <c r="D328">
        <v>3.6951230000000002</v>
      </c>
      <c r="E328">
        <v>0.52126629999999996</v>
      </c>
      <c r="F328" t="s">
        <v>43</v>
      </c>
      <c r="G328">
        <v>-387.3691</v>
      </c>
      <c r="H328" s="1">
        <v>-2.0028250000000002E-6</v>
      </c>
      <c r="I328">
        <v>365.4015</v>
      </c>
      <c r="J328">
        <v>-411.80520000000001</v>
      </c>
      <c r="K328">
        <v>1.059904</v>
      </c>
      <c r="L328">
        <v>366.94819999999999</v>
      </c>
      <c r="M328">
        <v>0.99993620000000005</v>
      </c>
      <c r="N328">
        <v>0</v>
      </c>
      <c r="O328">
        <v>8.279359E-4</v>
      </c>
      <c r="P328">
        <v>0.98930759999999995</v>
      </c>
      <c r="Q328">
        <v>0.14571990000000001</v>
      </c>
      <c r="R328">
        <v>-6.0543960000000001E-3</v>
      </c>
      <c r="S328">
        <v>3.0505070000000001</v>
      </c>
      <c r="T328">
        <v>-0.13035450000000001</v>
      </c>
      <c r="U328">
        <v>-0.19018550000000001</v>
      </c>
      <c r="V328">
        <v>6.8749379999999997E-3</v>
      </c>
      <c r="W328">
        <v>0.15686429999999901</v>
      </c>
      <c r="X328">
        <v>0.98759620000000004</v>
      </c>
      <c r="Y328">
        <v>6.2993090000000002E-2</v>
      </c>
      <c r="Z328">
        <v>-1.379328E-3</v>
      </c>
      <c r="AA328">
        <v>0.99801300000000004</v>
      </c>
      <c r="AB328">
        <v>36</v>
      </c>
      <c r="AC328">
        <v>24.4361</v>
      </c>
      <c r="AD328">
        <v>-1.059906002825</v>
      </c>
      <c r="AE328">
        <v>-1.54669999999998</v>
      </c>
      <c r="AF328">
        <v>1.5640015762883099</v>
      </c>
      <c r="AG328">
        <v>-1.059906002825</v>
      </c>
      <c r="AH328">
        <v>24.389109479566301</v>
      </c>
      <c r="AI328">
        <v>92.483309437161196</v>
      </c>
      <c r="AJ328">
        <v>86.330814905550199</v>
      </c>
      <c r="AK328">
        <v>24.462178211919799</v>
      </c>
      <c r="AL328">
        <v>80.975064093740102</v>
      </c>
      <c r="AM328">
        <v>89.601154227618807</v>
      </c>
      <c r="AN328">
        <v>0.99999996382071599</v>
      </c>
    </row>
    <row r="329" spans="1:40" x14ac:dyDescent="0.25">
      <c r="A329" t="str">
        <f>"20190312172338052"</f>
        <v>20190312172338052</v>
      </c>
      <c r="B329" t="str">
        <f>"1552382618050004"</f>
        <v>1552382618050004</v>
      </c>
      <c r="C329" t="s">
        <v>40</v>
      </c>
      <c r="D329">
        <v>3.8501949999999998</v>
      </c>
      <c r="E329">
        <v>0.52130329999999903</v>
      </c>
      <c r="F329" t="s">
        <v>43</v>
      </c>
      <c r="G329">
        <v>-387.00360000000001</v>
      </c>
      <c r="H329" s="1">
        <v>-2.1284600000000002E-6</v>
      </c>
      <c r="I329">
        <v>365.39659999999998</v>
      </c>
      <c r="J329">
        <v>-411.46300000000002</v>
      </c>
      <c r="K329">
        <v>1.059901</v>
      </c>
      <c r="L329">
        <v>366.94850000000002</v>
      </c>
      <c r="M329">
        <v>0.9999363</v>
      </c>
      <c r="N329">
        <v>0</v>
      </c>
      <c r="O329">
        <v>8.4217869999999998E-4</v>
      </c>
      <c r="P329">
        <v>0.98932710000000001</v>
      </c>
      <c r="Q329">
        <v>0.14556569999999999</v>
      </c>
      <c r="R329">
        <v>-6.5243250000000001E-3</v>
      </c>
      <c r="S329">
        <v>3.0504760000000002</v>
      </c>
      <c r="T329">
        <v>-0.13036310000000001</v>
      </c>
      <c r="U329">
        <v>-0.19082640000000001</v>
      </c>
      <c r="V329">
        <v>7.3589989999999997E-3</v>
      </c>
      <c r="W329">
        <v>0.156702799999999</v>
      </c>
      <c r="X329">
        <v>0.98761840000000001</v>
      </c>
      <c r="Y329">
        <v>6.3216549999999996E-2</v>
      </c>
      <c r="Z329">
        <v>-1.3847989999999999E-3</v>
      </c>
      <c r="AA329">
        <v>0.99799890000000002</v>
      </c>
      <c r="AB329">
        <v>36</v>
      </c>
      <c r="AC329">
        <v>24.459399999999999</v>
      </c>
      <c r="AD329">
        <v>-1.05990312846</v>
      </c>
      <c r="AE329">
        <v>-1.55190000000004</v>
      </c>
      <c r="AF329">
        <v>1.5695644873875401</v>
      </c>
      <c r="AG329">
        <v>-1.05990312846</v>
      </c>
      <c r="AH329">
        <v>24.412427313933801</v>
      </c>
      <c r="AI329">
        <v>92.480907317938801</v>
      </c>
      <c r="AJ329">
        <v>86.3213074615267</v>
      </c>
      <c r="AK329">
        <v>24.485782296669399</v>
      </c>
      <c r="AL329">
        <v>80.984433679668498</v>
      </c>
      <c r="AM329">
        <v>89.573082294655805</v>
      </c>
      <c r="AN329">
        <v>1.00000001320634</v>
      </c>
    </row>
    <row r="330" spans="1:40" x14ac:dyDescent="0.25">
      <c r="A330" t="str">
        <f>"20190312172338153"</f>
        <v>20190312172338153</v>
      </c>
      <c r="B330" t="str">
        <f>"1552382618150533"</f>
        <v>1552382618150533</v>
      </c>
      <c r="C330" t="s">
        <v>40</v>
      </c>
      <c r="D330">
        <v>3.6411570000000002</v>
      </c>
      <c r="E330">
        <v>0.51979640000000005</v>
      </c>
      <c r="F330" t="s">
        <v>43</v>
      </c>
      <c r="G330">
        <v>-386.60930000000002</v>
      </c>
      <c r="H330" s="1">
        <v>-2.2671930000000001E-6</v>
      </c>
      <c r="I330">
        <v>365.37959999999998</v>
      </c>
      <c r="J330">
        <v>-409.83479999999997</v>
      </c>
      <c r="K330">
        <v>1.0598829999999999</v>
      </c>
      <c r="L330">
        <v>366.94990000000001</v>
      </c>
      <c r="M330">
        <v>0.99993650000000001</v>
      </c>
      <c r="N330">
        <v>0</v>
      </c>
      <c r="O330">
        <v>9.1141699999999998E-4</v>
      </c>
      <c r="P330">
        <v>0.9894134</v>
      </c>
      <c r="Q330">
        <v>0.14477429999999999</v>
      </c>
      <c r="R330">
        <v>-1.007331E-2</v>
      </c>
      <c r="S330">
        <v>3.0502319999999998</v>
      </c>
      <c r="T330">
        <v>-0.13007919999999901</v>
      </c>
      <c r="U330">
        <v>-0.1925354</v>
      </c>
      <c r="V330">
        <v>1.097569E-2</v>
      </c>
      <c r="W330">
        <v>0.1558889</v>
      </c>
      <c r="X330">
        <v>0.98771359999999997</v>
      </c>
      <c r="Y330">
        <v>6.3847199999999896E-2</v>
      </c>
      <c r="Z330">
        <v>-1.3982479999999999E-3</v>
      </c>
      <c r="AA330">
        <v>0.99795869999999998</v>
      </c>
      <c r="AB330">
        <v>37</v>
      </c>
      <c r="AC330">
        <v>23.225499999999901</v>
      </c>
      <c r="AD330">
        <v>-1.0598852671929999</v>
      </c>
      <c r="AE330">
        <v>-1.57030000000003</v>
      </c>
      <c r="AF330">
        <v>1.5881764519275201</v>
      </c>
      <c r="AG330">
        <v>-1.0598852671929999</v>
      </c>
      <c r="AH330">
        <v>23.176014354383302</v>
      </c>
      <c r="AI330">
        <v>92.612307769652304</v>
      </c>
      <c r="AJ330">
        <v>86.079836235499698</v>
      </c>
      <c r="AK330">
        <v>23.2545329468612</v>
      </c>
      <c r="AL330">
        <v>81.031646700458296</v>
      </c>
      <c r="AM330">
        <v>89.363342944799001</v>
      </c>
      <c r="AN330">
        <v>0.99999998526957301</v>
      </c>
    </row>
    <row r="331" spans="1:40" x14ac:dyDescent="0.25">
      <c r="A331" t="str">
        <f>"20190312172338165"</f>
        <v>20190312172338165</v>
      </c>
      <c r="B331" t="str">
        <f>"1552382618160291"</f>
        <v>1552382618160291</v>
      </c>
      <c r="C331" t="s">
        <v>40</v>
      </c>
      <c r="D331">
        <v>3.6003039999999999</v>
      </c>
      <c r="E331">
        <v>0.51918140000000002</v>
      </c>
      <c r="F331" t="s">
        <v>41</v>
      </c>
      <c r="G331">
        <v>-409.00330000000002</v>
      </c>
      <c r="H331">
        <v>0.90042469999999997</v>
      </c>
      <c r="I331">
        <v>366.89850000000001</v>
      </c>
      <c r="J331">
        <v>-409.62360000000001</v>
      </c>
      <c r="K331">
        <v>1.0598829999999999</v>
      </c>
      <c r="L331">
        <v>366.95010000000002</v>
      </c>
      <c r="M331">
        <v>0.99993650000000001</v>
      </c>
      <c r="N331">
        <v>0</v>
      </c>
      <c r="O331">
        <v>9.2037010000000003E-4</v>
      </c>
      <c r="P331">
        <v>0.98938999999999999</v>
      </c>
      <c r="Q331">
        <v>0.1449037</v>
      </c>
      <c r="R331">
        <v>-1.053609E-2</v>
      </c>
      <c r="S331">
        <v>3.1176759999999999</v>
      </c>
      <c r="T331">
        <v>-0.59797349999999905</v>
      </c>
      <c r="U331">
        <v>-0.19183349999999999</v>
      </c>
      <c r="V331">
        <v>1.1447000000000001E-2</v>
      </c>
      <c r="W331">
        <v>0.15601609999999999</v>
      </c>
      <c r="X331">
        <v>0.98768820000000002</v>
      </c>
      <c r="Y331">
        <v>6.1205250000000003E-2</v>
      </c>
      <c r="Z331">
        <v>-5.9860399999999998E-3</v>
      </c>
      <c r="AA331">
        <v>0.99810730000000003</v>
      </c>
      <c r="AB331">
        <v>37</v>
      </c>
      <c r="AC331">
        <v>0.62029999999998597</v>
      </c>
      <c r="AD331">
        <v>-0.159458299999999</v>
      </c>
      <c r="AE331">
        <v>-5.1600000000007598E-2</v>
      </c>
      <c r="AF331">
        <v>4.89578639734869E-2</v>
      </c>
      <c r="AG331">
        <v>-0.159458299999999</v>
      </c>
      <c r="AH331">
        <v>0.58205270498339301</v>
      </c>
      <c r="AI331">
        <v>105.26936989532901</v>
      </c>
      <c r="AJ331">
        <v>85.192030415609906</v>
      </c>
      <c r="AK331">
        <v>0.60548259534211302</v>
      </c>
      <c r="AL331">
        <v>81.024268704252606</v>
      </c>
      <c r="AM331">
        <v>89.335989409410502</v>
      </c>
      <c r="AN331">
        <v>1.0000000188437199</v>
      </c>
    </row>
    <row r="332" spans="1:40" x14ac:dyDescent="0.25">
      <c r="A332" t="str">
        <f>"20190312172338188"</f>
        <v>20190312172338188</v>
      </c>
      <c r="B332" t="str">
        <f>"1552382618179812"</f>
        <v>1552382618179812</v>
      </c>
      <c r="C332" t="s">
        <v>40</v>
      </c>
      <c r="D332">
        <v>3.701838</v>
      </c>
      <c r="E332">
        <v>0.52133949999999996</v>
      </c>
      <c r="F332" t="s">
        <v>41</v>
      </c>
      <c r="G332">
        <v>-408.67689999999999</v>
      </c>
      <c r="H332">
        <v>0.89838079999999998</v>
      </c>
      <c r="I332">
        <v>366.89260000000002</v>
      </c>
      <c r="J332">
        <v>-409.25450000000001</v>
      </c>
      <c r="K332">
        <v>1.059882</v>
      </c>
      <c r="L332">
        <v>366.95049999999998</v>
      </c>
      <c r="M332">
        <v>0.99993650000000001</v>
      </c>
      <c r="N332">
        <v>0</v>
      </c>
      <c r="O332">
        <v>9.3552670000000002E-4</v>
      </c>
      <c r="P332">
        <v>0.98933879999999996</v>
      </c>
      <c r="Q332">
        <v>0.14520079999999999</v>
      </c>
      <c r="R332">
        <v>-1.1219669999999999E-2</v>
      </c>
      <c r="S332">
        <v>3.1077880000000002</v>
      </c>
      <c r="T332">
        <v>-0.53021169999999995</v>
      </c>
      <c r="U332">
        <v>-0.18823239999999999</v>
      </c>
      <c r="V332">
        <v>1.2145410000000001E-2</v>
      </c>
      <c r="W332">
        <v>0.15631049999999999</v>
      </c>
      <c r="X332">
        <v>0.98763330000000005</v>
      </c>
      <c r="Y332">
        <v>6.0506459999999998E-2</v>
      </c>
      <c r="Z332">
        <v>-5.2781440000000002E-3</v>
      </c>
      <c r="AA332">
        <v>0.99815390000000004</v>
      </c>
      <c r="AB332">
        <v>37</v>
      </c>
      <c r="AC332">
        <v>0.57760000000001799</v>
      </c>
      <c r="AD332">
        <v>-0.16150119999999901</v>
      </c>
      <c r="AE332">
        <v>-5.7899999999960899E-2</v>
      </c>
      <c r="AF332">
        <v>5.42419103909784E-2</v>
      </c>
      <c r="AG332">
        <v>-0.16150119999999901</v>
      </c>
      <c r="AH332">
        <v>0.53605368995429203</v>
      </c>
      <c r="AI332">
        <v>106.685965226947</v>
      </c>
      <c r="AJ332">
        <v>84.222052091548207</v>
      </c>
      <c r="AK332">
        <v>0.56247522697263397</v>
      </c>
      <c r="AL332">
        <v>81.007191222489396</v>
      </c>
      <c r="AM332">
        <v>89.295441275928994</v>
      </c>
      <c r="AN332">
        <v>1.0000000093315999</v>
      </c>
    </row>
    <row r="333" spans="1:40" x14ac:dyDescent="0.25">
      <c r="A333" t="str">
        <f>"20190312172338211"</f>
        <v>20190312172338211</v>
      </c>
      <c r="B333" t="str">
        <f>"1552382618200307"</f>
        <v>1552382618200307</v>
      </c>
      <c r="C333" t="s">
        <v>40</v>
      </c>
      <c r="D333">
        <v>4.0225879999999998</v>
      </c>
      <c r="E333">
        <v>0.52002839999999995</v>
      </c>
      <c r="F333" t="s">
        <v>44</v>
      </c>
      <c r="G333">
        <v>0</v>
      </c>
      <c r="H333">
        <v>0</v>
      </c>
      <c r="I333">
        <v>0</v>
      </c>
      <c r="J333">
        <v>-408.88420000000002</v>
      </c>
      <c r="K333">
        <v>1.059887</v>
      </c>
      <c r="L333">
        <v>366.95089999999999</v>
      </c>
      <c r="M333">
        <v>0.99993650000000001</v>
      </c>
      <c r="N333">
        <v>0</v>
      </c>
      <c r="O333">
        <v>9.5055960000000001E-4</v>
      </c>
      <c r="P333">
        <v>0.98939779999999999</v>
      </c>
      <c r="Q333">
        <v>0.14477599999999999</v>
      </c>
      <c r="R333">
        <v>-1.149119E-2</v>
      </c>
      <c r="S333">
        <v>3.0260009999999999</v>
      </c>
      <c r="T333">
        <v>2.7184960000000001E-2</v>
      </c>
      <c r="U333">
        <v>-0.2051086</v>
      </c>
      <c r="V333">
        <v>1.243203E-2</v>
      </c>
      <c r="W333">
        <v>0.15588469999999999</v>
      </c>
      <c r="X333">
        <v>0.98769700000000005</v>
      </c>
      <c r="Y333">
        <v>6.8572540000000001E-2</v>
      </c>
      <c r="Z333">
        <v>3.1619189999999999E-4</v>
      </c>
      <c r="AA333">
        <v>0.99764609999999998</v>
      </c>
      <c r="AB333">
        <v>37</v>
      </c>
      <c r="AC333">
        <v>3.0260009999999999</v>
      </c>
      <c r="AD333">
        <v>2.7184960000000001E-2</v>
      </c>
      <c r="AE333">
        <v>-0.2051086</v>
      </c>
      <c r="AF333">
        <v>0.207968374935564</v>
      </c>
      <c r="AG333">
        <v>2.7184960000000001E-2</v>
      </c>
      <c r="AH333">
        <v>3.02556158073503</v>
      </c>
      <c r="AI333">
        <v>89.486417587513799</v>
      </c>
      <c r="AJ333">
        <v>86.067838499833201</v>
      </c>
      <c r="AK333">
        <v>3.03282257078178</v>
      </c>
      <c r="AL333">
        <v>81.031890268271994</v>
      </c>
      <c r="AM333">
        <v>89.278862609979996</v>
      </c>
      <c r="AN333">
        <v>0.99999997943650498</v>
      </c>
    </row>
    <row r="334" spans="1:40" x14ac:dyDescent="0.25">
      <c r="A334" t="str">
        <f>"20190312172338232"</f>
        <v>20190312172338232</v>
      </c>
      <c r="B334" t="str">
        <f>"1552382618230564"</f>
        <v>1552382618230564</v>
      </c>
      <c r="C334" t="s">
        <v>40</v>
      </c>
      <c r="D334">
        <v>3.7288730000000001</v>
      </c>
      <c r="E334">
        <v>0.51962429999999904</v>
      </c>
      <c r="F334" t="s">
        <v>42</v>
      </c>
      <c r="G334">
        <v>-296.73509999999999</v>
      </c>
      <c r="H334">
        <v>-0.05</v>
      </c>
      <c r="I334">
        <v>359.7251</v>
      </c>
      <c r="J334">
        <v>-408.52319999999997</v>
      </c>
      <c r="K334">
        <v>1.0598920000000001</v>
      </c>
      <c r="L334">
        <v>366.9513</v>
      </c>
      <c r="M334">
        <v>0.9999363</v>
      </c>
      <c r="N334">
        <v>0</v>
      </c>
      <c r="O334">
        <v>9.6588350000000002E-4</v>
      </c>
      <c r="P334">
        <v>0.98933550000000003</v>
      </c>
      <c r="Q334">
        <v>0.145208</v>
      </c>
      <c r="R334">
        <v>-1.1400169999999999E-2</v>
      </c>
      <c r="S334">
        <v>3.0342410000000002</v>
      </c>
      <c r="T334">
        <v>-3.002846E-2</v>
      </c>
      <c r="U334">
        <v>-0.19549559999999999</v>
      </c>
      <c r="V334">
        <v>1.2355919999999999E-2</v>
      </c>
      <c r="W334">
        <v>0.1563147</v>
      </c>
      <c r="X334">
        <v>0.98763000000000001</v>
      </c>
      <c r="Y334">
        <v>6.5257209999999996E-2</v>
      </c>
      <c r="Z334">
        <v>-3.3211710000000003E-4</v>
      </c>
      <c r="AA334">
        <v>0.99786839999999999</v>
      </c>
      <c r="AB334">
        <v>37</v>
      </c>
      <c r="AC334">
        <v>111.7881</v>
      </c>
      <c r="AD334">
        <v>-1.1098920000000001</v>
      </c>
      <c r="AE334">
        <v>-7.2262000000000004</v>
      </c>
      <c r="AF334">
        <v>7.3334578447985299</v>
      </c>
      <c r="AG334">
        <v>-1.1098920000000001</v>
      </c>
      <c r="AH334">
        <v>111.77009576052301</v>
      </c>
      <c r="AI334">
        <v>90.567715457914204</v>
      </c>
      <c r="AJ334">
        <v>86.246090780234397</v>
      </c>
      <c r="AK334">
        <v>112.015917487336</v>
      </c>
      <c r="AL334">
        <v>81.0069473696758</v>
      </c>
      <c r="AM334">
        <v>89.283228398823098</v>
      </c>
      <c r="AN334">
        <v>0.99999998554756797</v>
      </c>
    </row>
    <row r="335" spans="1:40" x14ac:dyDescent="0.25">
      <c r="A335" t="str">
        <f>"20190312172338253"</f>
        <v>20190312172338253</v>
      </c>
      <c r="B335" t="str">
        <f>"1552382618250099"</f>
        <v>1552382618250099</v>
      </c>
      <c r="C335" t="s">
        <v>40</v>
      </c>
      <c r="D335">
        <v>3.75848</v>
      </c>
      <c r="E335">
        <v>0.51948139999999998</v>
      </c>
      <c r="F335" t="s">
        <v>43</v>
      </c>
      <c r="G335">
        <v>-332.40480000000002</v>
      </c>
      <c r="H335" s="1">
        <v>-4.5686499999999999E-6</v>
      </c>
      <c r="I335">
        <v>362.12979999999999</v>
      </c>
      <c r="J335">
        <v>-408.19080000000002</v>
      </c>
      <c r="K335">
        <v>1.059893</v>
      </c>
      <c r="L335">
        <v>366.95159999999998</v>
      </c>
      <c r="M335">
        <v>0.99993639999999995</v>
      </c>
      <c r="N335">
        <v>0</v>
      </c>
      <c r="O335">
        <v>9.7989280000000006E-4</v>
      </c>
      <c r="P335">
        <v>0.98934659999999996</v>
      </c>
      <c r="Q335">
        <v>0.1451315</v>
      </c>
      <c r="R335">
        <v>-1.140061E-2</v>
      </c>
      <c r="S335">
        <v>3.0362849999999999</v>
      </c>
      <c r="T335">
        <v>-4.2278169999999997E-2</v>
      </c>
      <c r="U335">
        <v>-0.19232179999999999</v>
      </c>
      <c r="V335">
        <v>1.237035E-2</v>
      </c>
      <c r="W335">
        <v>0.15623790000000001</v>
      </c>
      <c r="X335">
        <v>0.98764200000000002</v>
      </c>
      <c r="Y335">
        <v>6.4186129999999994E-2</v>
      </c>
      <c r="Z335">
        <v>-4.6003569999999999E-4</v>
      </c>
      <c r="AA335">
        <v>0.99793790000000004</v>
      </c>
      <c r="AB335">
        <v>37</v>
      </c>
      <c r="AC335">
        <v>75.786000000000001</v>
      </c>
      <c r="AD335">
        <v>-1.0598975686499901</v>
      </c>
      <c r="AE335">
        <v>-4.8217999999999899</v>
      </c>
      <c r="AF335">
        <v>4.8951109465901501</v>
      </c>
      <c r="AG335">
        <v>-1.0598975686499901</v>
      </c>
      <c r="AH335">
        <v>75.766478938199498</v>
      </c>
      <c r="AI335">
        <v>90.799791325781499</v>
      </c>
      <c r="AJ335">
        <v>86.303379368091299</v>
      </c>
      <c r="AK335">
        <v>75.931843285462804</v>
      </c>
      <c r="AL335">
        <v>81.011402677041303</v>
      </c>
      <c r="AM335">
        <v>89.282400114683796</v>
      </c>
      <c r="AN335">
        <v>1.00000001355976</v>
      </c>
    </row>
    <row r="336" spans="1:40" x14ac:dyDescent="0.25">
      <c r="A336" t="str">
        <f>"20190312172338276"</f>
        <v>20190312172338276</v>
      </c>
      <c r="B336" t="str">
        <f>"1552382618269619"</f>
        <v>1552382618269619</v>
      </c>
      <c r="C336" t="s">
        <v>40</v>
      </c>
      <c r="D336">
        <v>3.72804</v>
      </c>
      <c r="E336">
        <v>0.51924219999999999</v>
      </c>
      <c r="F336" t="s">
        <v>43</v>
      </c>
      <c r="G336">
        <v>-341.92759999999998</v>
      </c>
      <c r="H336" s="1">
        <v>-5.0088539999999996E-6</v>
      </c>
      <c r="I336">
        <v>362.78100000000001</v>
      </c>
      <c r="J336">
        <v>-407.81200000000001</v>
      </c>
      <c r="K336">
        <v>1.059893</v>
      </c>
      <c r="L336">
        <v>366.95190000000002</v>
      </c>
      <c r="M336">
        <v>0.99993650000000001</v>
      </c>
      <c r="N336">
        <v>0</v>
      </c>
      <c r="O336">
        <v>9.9557110000000003E-4</v>
      </c>
      <c r="P336">
        <v>0.98935850000000003</v>
      </c>
      <c r="Q336">
        <v>0.14504829999999999</v>
      </c>
      <c r="R336">
        <v>-1.144098E-2</v>
      </c>
      <c r="S336">
        <v>3.0372620000000001</v>
      </c>
      <c r="T336">
        <v>-4.8581840000000001E-2</v>
      </c>
      <c r="U336">
        <v>-0.1911621</v>
      </c>
      <c r="V336">
        <v>1.2426039999999999E-2</v>
      </c>
      <c r="W336">
        <v>0.15615409999999999</v>
      </c>
      <c r="X336">
        <v>0.98765449999999999</v>
      </c>
      <c r="Y336">
        <v>6.3800049999999997E-2</v>
      </c>
      <c r="Z336">
        <v>-5.2562159999999998E-4</v>
      </c>
      <c r="AA336">
        <v>0.99796249999999997</v>
      </c>
      <c r="AB336">
        <v>37</v>
      </c>
      <c r="AC336">
        <v>65.8843999999999</v>
      </c>
      <c r="AD336">
        <v>-1.059898008854</v>
      </c>
      <c r="AE336">
        <v>-4.1709000000000103</v>
      </c>
      <c r="AF336">
        <v>4.2354029265847597</v>
      </c>
      <c r="AG336">
        <v>-1.059898008854</v>
      </c>
      <c r="AH336">
        <v>65.863237341127402</v>
      </c>
      <c r="AI336">
        <v>90.920047383994699</v>
      </c>
      <c r="AJ336">
        <v>86.320602403130906</v>
      </c>
      <c r="AK336">
        <v>66.007787834416703</v>
      </c>
      <c r="AL336">
        <v>81.0162632458578</v>
      </c>
      <c r="AM336">
        <v>89.279179018474906</v>
      </c>
      <c r="AN336">
        <v>0.99999996039356998</v>
      </c>
    </row>
    <row r="337" spans="1:40" x14ac:dyDescent="0.25">
      <c r="A337" t="str">
        <f>"20190312172338298"</f>
        <v>20190312172338298</v>
      </c>
      <c r="B337" t="str">
        <f>"1552382618290114"</f>
        <v>1552382618290114</v>
      </c>
      <c r="C337" t="s">
        <v>40</v>
      </c>
      <c r="D337">
        <v>3.7415419999999999</v>
      </c>
      <c r="E337">
        <v>0.51919819999999905</v>
      </c>
      <c r="F337" t="s">
        <v>43</v>
      </c>
      <c r="G337">
        <v>-348.40210000000002</v>
      </c>
      <c r="H337" s="1">
        <v>-2.2904900000000001E-6</v>
      </c>
      <c r="I337">
        <v>363.25490000000002</v>
      </c>
      <c r="J337">
        <v>-407.435</v>
      </c>
      <c r="K337">
        <v>1.0598939999999999</v>
      </c>
      <c r="L337">
        <v>366.95229999999998</v>
      </c>
      <c r="M337">
        <v>0.99993650000000001</v>
      </c>
      <c r="N337">
        <v>0</v>
      </c>
      <c r="O337">
        <v>1.011545E-3</v>
      </c>
      <c r="P337">
        <v>0.98934049999999996</v>
      </c>
      <c r="Q337">
        <v>0.14519379999999901</v>
      </c>
      <c r="R337">
        <v>-1.114594E-2</v>
      </c>
      <c r="S337">
        <v>3.0380250000000002</v>
      </c>
      <c r="T337">
        <v>-5.4199459999999998E-2</v>
      </c>
      <c r="U337">
        <v>-0.18905640000000001</v>
      </c>
      <c r="V337">
        <v>1.214705E-2</v>
      </c>
      <c r="W337">
        <v>0.1562992</v>
      </c>
      <c r="X337">
        <v>0.98763509999999999</v>
      </c>
      <c r="Y337">
        <v>6.3109349999999995E-2</v>
      </c>
      <c r="Z337">
        <v>-5.8038679999999996E-4</v>
      </c>
      <c r="AA337">
        <v>0.99800650000000002</v>
      </c>
      <c r="AB337">
        <v>37</v>
      </c>
      <c r="AC337">
        <v>59.032899999999898</v>
      </c>
      <c r="AD337">
        <v>-1.05989629049</v>
      </c>
      <c r="AE337">
        <v>-3.6973999999999498</v>
      </c>
      <c r="AF337">
        <v>3.7559102876838799</v>
      </c>
      <c r="AG337">
        <v>-1.05989629049</v>
      </c>
      <c r="AH337">
        <v>59.010181396698798</v>
      </c>
      <c r="AI337">
        <v>91.026915318966999</v>
      </c>
      <c r="AJ337">
        <v>86.358121452693695</v>
      </c>
      <c r="AK337">
        <v>59.139088179536699</v>
      </c>
      <c r="AL337">
        <v>81.007847006467898</v>
      </c>
      <c r="AM337">
        <v>89.295347432777106</v>
      </c>
      <c r="AN337">
        <v>1.0000000407481699</v>
      </c>
    </row>
    <row r="338" spans="1:40" x14ac:dyDescent="0.25">
      <c r="A338" t="str">
        <f>"20190312172338320"</f>
        <v>20190312172338320</v>
      </c>
      <c r="B338" t="str">
        <f>"1552382618309652"</f>
        <v>1552382618309652</v>
      </c>
      <c r="C338" t="s">
        <v>40</v>
      </c>
      <c r="D338">
        <v>3.7073659999999999</v>
      </c>
      <c r="E338">
        <v>0.51922740000000001</v>
      </c>
      <c r="F338" t="s">
        <v>43</v>
      </c>
      <c r="G338">
        <v>-351.4821</v>
      </c>
      <c r="H338" s="1">
        <v>-4.7244430000000002E-6</v>
      </c>
      <c r="I338">
        <v>363.4828</v>
      </c>
      <c r="J338">
        <v>-407.084</v>
      </c>
      <c r="K338">
        <v>1.0598920000000001</v>
      </c>
      <c r="L338">
        <v>366.95269999999999</v>
      </c>
      <c r="M338">
        <v>0.99993650000000001</v>
      </c>
      <c r="N338">
        <v>0</v>
      </c>
      <c r="O338">
        <v>1.0255349999999999E-3</v>
      </c>
      <c r="P338">
        <v>0.98931009999999997</v>
      </c>
      <c r="Q338">
        <v>0.14540210000000001</v>
      </c>
      <c r="R338">
        <v>-1.114512E-2</v>
      </c>
      <c r="S338">
        <v>3.0386660000000001</v>
      </c>
      <c r="T338">
        <v>-5.7560439999999997E-2</v>
      </c>
      <c r="U338">
        <v>-0.18841550000000001</v>
      </c>
      <c r="V338">
        <v>1.2159710000000001E-2</v>
      </c>
      <c r="W338">
        <v>0.15651109999999999</v>
      </c>
      <c r="X338">
        <v>0.98760130000000002</v>
      </c>
      <c r="Y338">
        <v>6.2899339999999998E-2</v>
      </c>
      <c r="Z338">
        <v>-6.1452339999999999E-4</v>
      </c>
      <c r="AA338">
        <v>0.99801969999999995</v>
      </c>
      <c r="AB338">
        <v>37</v>
      </c>
      <c r="AC338">
        <v>55.601900000000001</v>
      </c>
      <c r="AD338">
        <v>-1.059896724443</v>
      </c>
      <c r="AE338">
        <v>-3.4698999999999902</v>
      </c>
      <c r="AF338">
        <v>3.5256473198539302</v>
      </c>
      <c r="AG338">
        <v>-1.059896724443</v>
      </c>
      <c r="AH338">
        <v>55.578194984447599</v>
      </c>
      <c r="AI338">
        <v>91.0903282050065</v>
      </c>
      <c r="AJ338">
        <v>86.370259929363797</v>
      </c>
      <c r="AK338">
        <v>55.699993966065698</v>
      </c>
      <c r="AL338">
        <v>80.995553975056495</v>
      </c>
      <c r="AM338">
        <v>89.294588959095904</v>
      </c>
      <c r="AN338">
        <v>0.99999995536609099</v>
      </c>
    </row>
    <row r="339" spans="1:40" x14ac:dyDescent="0.25">
      <c r="A339" t="str">
        <f>"20190312172338342"</f>
        <v>20190312172338342</v>
      </c>
      <c r="B339" t="str">
        <f>"1552382618339890"</f>
        <v>1552382618339890</v>
      </c>
      <c r="C339" t="s">
        <v>40</v>
      </c>
      <c r="D339">
        <v>3.7381950000000002</v>
      </c>
      <c r="E339">
        <v>0.51918220000000004</v>
      </c>
      <c r="F339" t="s">
        <v>43</v>
      </c>
      <c r="G339">
        <v>-353.06630000000001</v>
      </c>
      <c r="H339" s="1">
        <v>-4.0248339999999997E-6</v>
      </c>
      <c r="I339">
        <v>363.59550000000002</v>
      </c>
      <c r="J339">
        <v>-406.72219999999999</v>
      </c>
      <c r="K339">
        <v>1.059895</v>
      </c>
      <c r="L339">
        <v>366.95310000000001</v>
      </c>
      <c r="M339">
        <v>0.9999363</v>
      </c>
      <c r="N339">
        <v>0</v>
      </c>
      <c r="O339">
        <v>1.040427E-3</v>
      </c>
      <c r="P339">
        <v>0.98926499999999995</v>
      </c>
      <c r="Q339">
        <v>0.1456971</v>
      </c>
      <c r="R339">
        <v>-1.128389E-2</v>
      </c>
      <c r="S339">
        <v>3.0390320000000002</v>
      </c>
      <c r="T339">
        <v>-5.9629559999999998E-2</v>
      </c>
      <c r="U339">
        <v>-0.18887329999999999</v>
      </c>
      <c r="V339">
        <v>1.2313309999999999E-2</v>
      </c>
      <c r="W339">
        <v>0.15681819999999999</v>
      </c>
      <c r="X339">
        <v>0.9875507</v>
      </c>
      <c r="Y339">
        <v>6.3055639999999996E-2</v>
      </c>
      <c r="Z339">
        <v>-6.3835349999999999E-4</v>
      </c>
      <c r="AA339">
        <v>0.99800979999999995</v>
      </c>
      <c r="AB339">
        <v>37</v>
      </c>
      <c r="AC339">
        <v>53.655899999999903</v>
      </c>
      <c r="AD339">
        <v>-1.0598990248339999</v>
      </c>
      <c r="AE339">
        <v>-3.3575999999999899</v>
      </c>
      <c r="AF339">
        <v>3.4121005265702502</v>
      </c>
      <c r="AG339">
        <v>-1.0598990248339999</v>
      </c>
      <c r="AH339">
        <v>53.631531676141201</v>
      </c>
      <c r="AI339">
        <v>91.129882962879506</v>
      </c>
      <c r="AJ339">
        <v>86.359682047785</v>
      </c>
      <c r="AK339">
        <v>53.750414006546997</v>
      </c>
      <c r="AL339">
        <v>80.977738632635607</v>
      </c>
      <c r="AM339">
        <v>89.285642612398107</v>
      </c>
      <c r="AN339">
        <v>0.999999975262442</v>
      </c>
    </row>
    <row r="340" spans="1:40" x14ac:dyDescent="0.25">
      <c r="A340" t="str">
        <f>"20190312172338365"</f>
        <v>20190312172338365</v>
      </c>
      <c r="B340" t="str">
        <f>"1552382618360387"</f>
        <v>1552382618360387</v>
      </c>
      <c r="C340" t="s">
        <v>40</v>
      </c>
      <c r="D340">
        <v>3.6979980000000001</v>
      </c>
      <c r="E340">
        <v>0.51922990000000002</v>
      </c>
      <c r="F340" t="s">
        <v>43</v>
      </c>
      <c r="G340">
        <v>-357.61649999999997</v>
      </c>
      <c r="H340" s="1">
        <v>-2.3156119999999998E-6</v>
      </c>
      <c r="I340">
        <v>363.90960000000001</v>
      </c>
      <c r="J340">
        <v>-406.34039999999999</v>
      </c>
      <c r="K340">
        <v>1.0598970000000001</v>
      </c>
      <c r="L340">
        <v>366.95350000000002</v>
      </c>
      <c r="M340">
        <v>0.99993600000000005</v>
      </c>
      <c r="N340">
        <v>0</v>
      </c>
      <c r="O340">
        <v>1.056708E-3</v>
      </c>
      <c r="P340">
        <v>0.98923950000000005</v>
      </c>
      <c r="Q340">
        <v>0.14584639999999999</v>
      </c>
      <c r="R340">
        <v>-1.1592119999999999E-2</v>
      </c>
      <c r="S340">
        <v>3.0400700000000001</v>
      </c>
      <c r="T340">
        <v>-6.5616729999999998E-2</v>
      </c>
      <c r="U340">
        <v>-0.18841550000000001</v>
      </c>
      <c r="V340">
        <v>1.2637539999999999E-2</v>
      </c>
      <c r="W340">
        <v>0.1569854</v>
      </c>
      <c r="X340">
        <v>0.98752010000000001</v>
      </c>
      <c r="Y340">
        <v>6.2898579999999996E-2</v>
      </c>
      <c r="Z340">
        <v>-7.0085570000000003E-4</v>
      </c>
      <c r="AA340">
        <v>0.99801969999999995</v>
      </c>
      <c r="AB340">
        <v>37</v>
      </c>
      <c r="AC340">
        <v>48.7239</v>
      </c>
      <c r="AD340">
        <v>-1.05989931561199</v>
      </c>
      <c r="AE340">
        <v>-3.0438999999999998</v>
      </c>
      <c r="AF340">
        <v>3.0939301444562699</v>
      </c>
      <c r="AG340">
        <v>-1.05989931561199</v>
      </c>
      <c r="AH340">
        <v>48.697701887523898</v>
      </c>
      <c r="AI340">
        <v>91.244330486947504</v>
      </c>
      <c r="AJ340">
        <v>86.364690870822898</v>
      </c>
      <c r="AK340">
        <v>48.807396564702799</v>
      </c>
      <c r="AL340">
        <v>80.968039185137599</v>
      </c>
      <c r="AM340">
        <v>89.266811701337403</v>
      </c>
      <c r="AN340">
        <v>1.0000000355672101</v>
      </c>
    </row>
    <row r="341" spans="1:40" x14ac:dyDescent="0.25">
      <c r="A341" t="str">
        <f>"20190312172338388"</f>
        <v>20190312172338388</v>
      </c>
      <c r="B341" t="str">
        <f>"1552382618379907"</f>
        <v>1552382618379907</v>
      </c>
      <c r="C341" t="s">
        <v>40</v>
      </c>
      <c r="D341">
        <v>3.7317680000000002</v>
      </c>
      <c r="E341">
        <v>0.51928079999999999</v>
      </c>
      <c r="F341" t="s">
        <v>43</v>
      </c>
      <c r="G341">
        <v>-358.0376</v>
      </c>
      <c r="H341" s="1">
        <v>-2.165619E-6</v>
      </c>
      <c r="I341">
        <v>363.93470000000002</v>
      </c>
      <c r="J341">
        <v>-405.9633</v>
      </c>
      <c r="K341">
        <v>1.059904</v>
      </c>
      <c r="L341">
        <v>366.95389999999998</v>
      </c>
      <c r="M341">
        <v>0.99993569999999998</v>
      </c>
      <c r="N341">
        <v>0</v>
      </c>
      <c r="O341">
        <v>1.072749E-3</v>
      </c>
      <c r="P341">
        <v>0.98926309999999995</v>
      </c>
      <c r="Q341">
        <v>0.1456807</v>
      </c>
      <c r="R341">
        <v>-1.165745E-2</v>
      </c>
      <c r="S341">
        <v>3.0402529999999999</v>
      </c>
      <c r="T341">
        <v>-6.671154E-2</v>
      </c>
      <c r="U341">
        <v>-0.19000239999999999</v>
      </c>
      <c r="V341">
        <v>1.271885E-2</v>
      </c>
      <c r="W341">
        <v>0.1568389</v>
      </c>
      <c r="X341">
        <v>0.98754229999999998</v>
      </c>
      <c r="Y341">
        <v>6.3429139999999995E-2</v>
      </c>
      <c r="Z341">
        <v>-7.186588E-4</v>
      </c>
      <c r="AA341">
        <v>0.99798609999999999</v>
      </c>
      <c r="AB341">
        <v>37</v>
      </c>
      <c r="AC341">
        <v>47.925699999999999</v>
      </c>
      <c r="AD341">
        <v>-1.0599061656190001</v>
      </c>
      <c r="AE341">
        <v>-3.0191999999999499</v>
      </c>
      <c r="AF341">
        <v>3.06911861284066</v>
      </c>
      <c r="AG341">
        <v>-1.0599061656190001</v>
      </c>
      <c r="AH341">
        <v>47.899098516527303</v>
      </c>
      <c r="AI341">
        <v>91.265034722493198</v>
      </c>
      <c r="AJ341">
        <v>86.333803999957397</v>
      </c>
      <c r="AK341">
        <v>48.009025493500602</v>
      </c>
      <c r="AL341">
        <v>80.976537993284694</v>
      </c>
      <c r="AM341">
        <v>89.262111470153499</v>
      </c>
      <c r="AN341">
        <v>1.0000000019939099</v>
      </c>
    </row>
    <row r="342" spans="1:40" x14ac:dyDescent="0.25">
      <c r="A342" t="str">
        <f>"20190312172338412"</f>
        <v>20190312172338412</v>
      </c>
      <c r="B342" t="str">
        <f>"1552382618400403"</f>
        <v>1552382618400403</v>
      </c>
      <c r="C342" t="s">
        <v>40</v>
      </c>
      <c r="D342">
        <v>3.7364310000000001</v>
      </c>
      <c r="E342">
        <v>0.51935580000000003</v>
      </c>
      <c r="F342" t="s">
        <v>43</v>
      </c>
      <c r="G342">
        <v>-359.09070000000003</v>
      </c>
      <c r="H342" s="1">
        <v>-1.7865439999999999E-6</v>
      </c>
      <c r="I342">
        <v>364.01249999999999</v>
      </c>
      <c r="J342">
        <v>-405.58589999999998</v>
      </c>
      <c r="K342">
        <v>1.0599099999999999</v>
      </c>
      <c r="L342">
        <v>366.95429999999999</v>
      </c>
      <c r="M342">
        <v>0.99993549999999998</v>
      </c>
      <c r="N342">
        <v>0</v>
      </c>
      <c r="O342">
        <v>1.0883209999999999E-3</v>
      </c>
      <c r="P342">
        <v>0.98923890000000003</v>
      </c>
      <c r="Q342">
        <v>0.14582800000000001</v>
      </c>
      <c r="R342">
        <v>-1.1875129999999999E-2</v>
      </c>
      <c r="S342">
        <v>3.0404049999999998</v>
      </c>
      <c r="T342">
        <v>-6.8750980000000003E-2</v>
      </c>
      <c r="U342">
        <v>-0.19079589999999999</v>
      </c>
      <c r="V342">
        <v>1.295172E-2</v>
      </c>
      <c r="W342">
        <v>0.1570047</v>
      </c>
      <c r="X342">
        <v>0.98751290000000003</v>
      </c>
      <c r="Y342">
        <v>6.3699969999999995E-2</v>
      </c>
      <c r="Z342">
        <v>-7.4399049999999999E-4</v>
      </c>
      <c r="AA342">
        <v>0.99796879999999999</v>
      </c>
      <c r="AB342">
        <v>37</v>
      </c>
      <c r="AC342">
        <v>46.495199999999897</v>
      </c>
      <c r="AD342">
        <v>-1.059911786544</v>
      </c>
      <c r="AE342">
        <v>-2.9418000000000002</v>
      </c>
      <c r="AF342">
        <v>2.99085514956385</v>
      </c>
      <c r="AG342">
        <v>-1.059911786544</v>
      </c>
      <c r="AH342">
        <v>46.467919180566199</v>
      </c>
      <c r="AI342">
        <v>91.303966455747698</v>
      </c>
      <c r="AJ342">
        <v>86.317301688150806</v>
      </c>
      <c r="AK342">
        <v>46.576132734401199</v>
      </c>
      <c r="AL342">
        <v>80.966918942521701</v>
      </c>
      <c r="AM342">
        <v>89.248580602882797</v>
      </c>
      <c r="AN342">
        <v>0.99999997526972895</v>
      </c>
    </row>
    <row r="343" spans="1:40" x14ac:dyDescent="0.25">
      <c r="A343" t="str">
        <f>"20190312172338433"</f>
        <v>20190312172338433</v>
      </c>
      <c r="B343" t="str">
        <f>"1552382618419922"</f>
        <v>1552382618419922</v>
      </c>
      <c r="C343" t="s">
        <v>40</v>
      </c>
      <c r="D343">
        <v>3.7921670000000001</v>
      </c>
      <c r="E343">
        <v>0.51934279999999999</v>
      </c>
      <c r="F343" t="s">
        <v>43</v>
      </c>
      <c r="G343">
        <v>-359.43920000000003</v>
      </c>
      <c r="H343" s="1">
        <v>-1.660614E-6</v>
      </c>
      <c r="I343">
        <v>364.0401</v>
      </c>
      <c r="J343">
        <v>-405.23379999999997</v>
      </c>
      <c r="K343">
        <v>1.059909</v>
      </c>
      <c r="L343">
        <v>366.9547</v>
      </c>
      <c r="M343">
        <v>0.99993540000000003</v>
      </c>
      <c r="N343">
        <v>0</v>
      </c>
      <c r="O343">
        <v>1.102712E-3</v>
      </c>
      <c r="P343">
        <v>0.98913269999999998</v>
      </c>
      <c r="Q343">
        <v>0.1464847</v>
      </c>
      <c r="R343">
        <v>-1.2618910000000001E-2</v>
      </c>
      <c r="S343">
        <v>3.040619</v>
      </c>
      <c r="T343">
        <v>-6.9837689999999994E-2</v>
      </c>
      <c r="U343">
        <v>-0.19201660000000001</v>
      </c>
      <c r="V343">
        <v>1.370973E-2</v>
      </c>
      <c r="W343">
        <v>0.15767709999999999</v>
      </c>
      <c r="X343">
        <v>0.98739549999999998</v>
      </c>
      <c r="Y343">
        <v>6.4108369999999998E-2</v>
      </c>
      <c r="Z343">
        <v>-7.607E-4</v>
      </c>
      <c r="AA343">
        <v>0.99794260000000001</v>
      </c>
      <c r="AB343">
        <v>37</v>
      </c>
      <c r="AC343">
        <v>45.794599999999903</v>
      </c>
      <c r="AD343">
        <v>-1.0599106606139901</v>
      </c>
      <c r="AE343">
        <v>-2.9146000000000001</v>
      </c>
      <c r="AF343">
        <v>2.9635186046962798</v>
      </c>
      <c r="AG343">
        <v>-1.0599106606139901</v>
      </c>
      <c r="AH343">
        <v>45.766940201476501</v>
      </c>
      <c r="AI343">
        <v>91.3238968455411</v>
      </c>
      <c r="AJ343">
        <v>86.2951337679158</v>
      </c>
      <c r="AK343">
        <v>45.875033172024899</v>
      </c>
      <c r="AL343">
        <v>80.927907103320194</v>
      </c>
      <c r="AM343">
        <v>89.204514103338497</v>
      </c>
      <c r="AN343">
        <v>0.99999994899066502</v>
      </c>
    </row>
    <row r="344" spans="1:40" x14ac:dyDescent="0.25">
      <c r="A344" t="str">
        <f>"20190312172338455"</f>
        <v>20190312172338455</v>
      </c>
      <c r="B344" t="str">
        <f>"1552382618450179"</f>
        <v>1552382618450179</v>
      </c>
      <c r="C344" t="s">
        <v>40</v>
      </c>
      <c r="D344">
        <v>3.7645559999999998</v>
      </c>
      <c r="E344">
        <v>0.5193932</v>
      </c>
      <c r="F344" t="s">
        <v>43</v>
      </c>
      <c r="G344">
        <v>-358.1678</v>
      </c>
      <c r="H344" s="1">
        <v>-2.118678E-6</v>
      </c>
      <c r="I344">
        <v>363.94450000000001</v>
      </c>
      <c r="J344">
        <v>-404.87419999999997</v>
      </c>
      <c r="K344">
        <v>1.0599130000000001</v>
      </c>
      <c r="L344">
        <v>366.95510000000002</v>
      </c>
      <c r="M344">
        <v>0.99993509999999997</v>
      </c>
      <c r="N344">
        <v>0</v>
      </c>
      <c r="O344">
        <v>1.1176280000000001E-3</v>
      </c>
      <c r="P344">
        <v>0.98910430000000005</v>
      </c>
      <c r="Q344">
        <v>0.14664779999999999</v>
      </c>
      <c r="R344">
        <v>-1.293994E-2</v>
      </c>
      <c r="S344">
        <v>3.0405880000000001</v>
      </c>
      <c r="T344">
        <v>-6.8472980000000003E-2</v>
      </c>
      <c r="U344">
        <v>-0.19445799999999999</v>
      </c>
      <c r="V344">
        <v>1.4045439999999999E-2</v>
      </c>
      <c r="W344">
        <v>0.15785750000000001</v>
      </c>
      <c r="X344">
        <v>0.98736199999999996</v>
      </c>
      <c r="Y344">
        <v>6.4922380000000002E-2</v>
      </c>
      <c r="Z344">
        <v>-7.5531800000000005E-4</v>
      </c>
      <c r="AA344">
        <v>0.9978901</v>
      </c>
      <c r="AB344">
        <v>37</v>
      </c>
      <c r="AC344">
        <v>46.706399999999903</v>
      </c>
      <c r="AD344">
        <v>-1.05991511867799</v>
      </c>
      <c r="AE344">
        <v>-3.0106000000000099</v>
      </c>
      <c r="AF344">
        <v>3.0612319085384798</v>
      </c>
      <c r="AG344">
        <v>-1.05991511867799</v>
      </c>
      <c r="AH344">
        <v>46.6790666107918</v>
      </c>
      <c r="AI344">
        <v>91.297972084247505</v>
      </c>
      <c r="AJ344">
        <v>86.247892653729494</v>
      </c>
      <c r="AK344">
        <v>46.791343435633401</v>
      </c>
      <c r="AL344">
        <v>80.917440248387805</v>
      </c>
      <c r="AM344">
        <v>89.185009998209196</v>
      </c>
      <c r="AN344">
        <v>0.99999999186752098</v>
      </c>
    </row>
    <row r="345" spans="1:40" x14ac:dyDescent="0.25">
      <c r="A345" t="str">
        <f>"20190312172338477"</f>
        <v>20190312172338477</v>
      </c>
      <c r="B345" t="str">
        <f>"1552382618469699"</f>
        <v>1552382618469699</v>
      </c>
      <c r="C345" t="s">
        <v>40</v>
      </c>
      <c r="D345">
        <v>3.7520099999999998</v>
      </c>
      <c r="E345">
        <v>0.51940790000000003</v>
      </c>
      <c r="F345" t="s">
        <v>43</v>
      </c>
      <c r="G345">
        <v>-358.80829999999997</v>
      </c>
      <c r="H345" s="1">
        <v>-1.8890189999999999E-6</v>
      </c>
      <c r="I345">
        <v>363.98849999999999</v>
      </c>
      <c r="J345">
        <v>-404.50409999999999</v>
      </c>
      <c r="K345">
        <v>1.059911</v>
      </c>
      <c r="L345">
        <v>366.9556</v>
      </c>
      <c r="M345">
        <v>0.99993489999999996</v>
      </c>
      <c r="N345">
        <v>0</v>
      </c>
      <c r="O345">
        <v>1.1332950000000001E-3</v>
      </c>
      <c r="P345">
        <v>0.9891143</v>
      </c>
      <c r="Q345">
        <v>0.146565</v>
      </c>
      <c r="R345">
        <v>-1.3115369999999999E-2</v>
      </c>
      <c r="S345">
        <v>3.040924</v>
      </c>
      <c r="T345">
        <v>-6.9967509999999997E-2</v>
      </c>
      <c r="U345">
        <v>-0.19583130000000001</v>
      </c>
      <c r="V345">
        <v>1.4236530000000001E-2</v>
      </c>
      <c r="W345">
        <v>0.15779670000000001</v>
      </c>
      <c r="X345">
        <v>0.98736900000000005</v>
      </c>
      <c r="Y345">
        <v>6.537896E-2</v>
      </c>
      <c r="Z345">
        <v>-7.7731009999999995E-4</v>
      </c>
      <c r="AA345">
        <v>0.99786019999999997</v>
      </c>
      <c r="AB345">
        <v>37</v>
      </c>
      <c r="AC345">
        <v>45.695799999999998</v>
      </c>
      <c r="AD345">
        <v>-1.0599128890189999</v>
      </c>
      <c r="AE345">
        <v>-2.9671000000000101</v>
      </c>
      <c r="AF345">
        <v>3.0172717568460601</v>
      </c>
      <c r="AG345">
        <v>-1.0599128890189999</v>
      </c>
      <c r="AH345">
        <v>45.667941324790199</v>
      </c>
      <c r="AI345">
        <v>91.326654750821803</v>
      </c>
      <c r="AJ345">
        <v>86.219973124247204</v>
      </c>
      <c r="AK345">
        <v>45.779779477750303</v>
      </c>
      <c r="AL345">
        <v>80.920968210173996</v>
      </c>
      <c r="AM345">
        <v>89.173929337356597</v>
      </c>
      <c r="AN345">
        <v>1.0000000097391599</v>
      </c>
    </row>
    <row r="346" spans="1:40" x14ac:dyDescent="0.25">
      <c r="A346" t="str">
        <f>"20190312172338498"</f>
        <v>20190312172338498</v>
      </c>
      <c r="B346" t="str">
        <f>"1552382618490194"</f>
        <v>1552382618490194</v>
      </c>
      <c r="C346" t="s">
        <v>40</v>
      </c>
      <c r="D346">
        <v>3.7174330000000002</v>
      </c>
      <c r="E346">
        <v>0.51944539999999995</v>
      </c>
      <c r="F346" t="s">
        <v>43</v>
      </c>
      <c r="G346">
        <v>-359.5829</v>
      </c>
      <c r="H346" s="1">
        <v>-1.6085659999999899E-6</v>
      </c>
      <c r="I346">
        <v>364.05200000000002</v>
      </c>
      <c r="J346">
        <v>-404.13929999999999</v>
      </c>
      <c r="K346">
        <v>1.059911</v>
      </c>
      <c r="L346">
        <v>366.95600000000002</v>
      </c>
      <c r="M346">
        <v>0.99993460000000001</v>
      </c>
      <c r="N346">
        <v>0</v>
      </c>
      <c r="O346">
        <v>1.1486619999999999E-3</v>
      </c>
      <c r="P346">
        <v>0.98914769999999996</v>
      </c>
      <c r="Q346">
        <v>0.1463441</v>
      </c>
      <c r="R346">
        <v>-1.3059090000000001E-2</v>
      </c>
      <c r="S346">
        <v>3.0410460000000001</v>
      </c>
      <c r="T346">
        <v>-7.1753029999999995E-2</v>
      </c>
      <c r="U346">
        <v>-0.19656370000000001</v>
      </c>
      <c r="V346">
        <v>1.41955E-2</v>
      </c>
      <c r="W346">
        <v>0.1575985</v>
      </c>
      <c r="X346">
        <v>0.98740119999999998</v>
      </c>
      <c r="Y346">
        <v>6.5630079999999993E-2</v>
      </c>
      <c r="Z346">
        <v>-8.0042419999999995E-4</v>
      </c>
      <c r="AA346">
        <v>0.9978437</v>
      </c>
      <c r="AB346">
        <v>37</v>
      </c>
      <c r="AC346">
        <v>44.556399999999996</v>
      </c>
      <c r="AD346">
        <v>-1.059912608566</v>
      </c>
      <c r="AE346">
        <v>-2.9039999999999901</v>
      </c>
      <c r="AF346">
        <v>2.95351739124016</v>
      </c>
      <c r="AG346">
        <v>-1.059912608566</v>
      </c>
      <c r="AH346">
        <v>44.527944036813999</v>
      </c>
      <c r="AI346">
        <v>91.360583302100906</v>
      </c>
      <c r="AJ346">
        <v>86.205156899383596</v>
      </c>
      <c r="AK346">
        <v>44.6383745208514</v>
      </c>
      <c r="AL346">
        <v>80.932467714019296</v>
      </c>
      <c r="AM346">
        <v>89.176336620665396</v>
      </c>
      <c r="AN346">
        <v>0.99999996459196905</v>
      </c>
    </row>
    <row r="347" spans="1:40" x14ac:dyDescent="0.25">
      <c r="A347" t="str">
        <f>"20190312172338521"</f>
        <v>20190312172338521</v>
      </c>
      <c r="B347" t="str">
        <f>"1552382618509715"</f>
        <v>1552382618509715</v>
      </c>
      <c r="C347" t="s">
        <v>40</v>
      </c>
      <c r="D347">
        <v>3.7307399999999999</v>
      </c>
      <c r="E347">
        <v>0.51948300000000003</v>
      </c>
      <c r="F347" t="s">
        <v>43</v>
      </c>
      <c r="G347">
        <v>-360.49599999999998</v>
      </c>
      <c r="H347" s="1">
        <v>-5.033418E-6</v>
      </c>
      <c r="I347">
        <v>364.1259</v>
      </c>
      <c r="J347">
        <v>-403.77289999999999</v>
      </c>
      <c r="K347">
        <v>1.059909</v>
      </c>
      <c r="L347">
        <v>366.95650000000001</v>
      </c>
      <c r="M347">
        <v>0.9999342</v>
      </c>
      <c r="N347">
        <v>0</v>
      </c>
      <c r="O347">
        <v>1.1643720000000001E-3</v>
      </c>
      <c r="P347">
        <v>0.98914139999999995</v>
      </c>
      <c r="Q347">
        <v>0.1464299</v>
      </c>
      <c r="R347">
        <v>-1.2555200000000001E-2</v>
      </c>
      <c r="S347">
        <v>3.0411990000000002</v>
      </c>
      <c r="T347">
        <v>-7.3857899999999893E-2</v>
      </c>
      <c r="U347">
        <v>-0.19720460000000001</v>
      </c>
      <c r="V347">
        <v>1.370713E-2</v>
      </c>
      <c r="W347">
        <v>0.15770960000000001</v>
      </c>
      <c r="X347">
        <v>0.9873904</v>
      </c>
      <c r="Y347">
        <v>6.5850740000000005E-2</v>
      </c>
      <c r="Z347">
        <v>-8.2690839999999895E-4</v>
      </c>
      <c r="AA347">
        <v>0.99782910000000002</v>
      </c>
      <c r="AB347">
        <v>37</v>
      </c>
      <c r="AC347">
        <v>43.276899999999998</v>
      </c>
      <c r="AD347">
        <v>-1.0599140334179999</v>
      </c>
      <c r="AE347">
        <v>-2.8306</v>
      </c>
      <c r="AF347">
        <v>2.8792720533240801</v>
      </c>
      <c r="AG347">
        <v>-1.0599140334179999</v>
      </c>
      <c r="AH347">
        <v>43.247743736128498</v>
      </c>
      <c r="AI347">
        <v>91.400821886827202</v>
      </c>
      <c r="AJ347">
        <v>86.191083487127997</v>
      </c>
      <c r="AK347">
        <v>43.356440854631202</v>
      </c>
      <c r="AL347">
        <v>80.926021887949702</v>
      </c>
      <c r="AM347">
        <v>89.204660837458604</v>
      </c>
      <c r="AN347">
        <v>1.00000000267857</v>
      </c>
    </row>
    <row r="348" spans="1:40" x14ac:dyDescent="0.25">
      <c r="A348" t="str">
        <f>"20190312172338542"</f>
        <v>20190312172338542</v>
      </c>
      <c r="B348" t="str">
        <f>"1552382618539971"</f>
        <v>1552382618539971</v>
      </c>
      <c r="C348" t="s">
        <v>40</v>
      </c>
      <c r="D348">
        <v>3.6740469999999998</v>
      </c>
      <c r="E348">
        <v>0.51945269999999999</v>
      </c>
      <c r="F348" t="s">
        <v>43</v>
      </c>
      <c r="G348">
        <v>-360.86559999999997</v>
      </c>
      <c r="H348" s="1">
        <v>-4.864554E-6</v>
      </c>
      <c r="I348">
        <v>364.18389999999999</v>
      </c>
      <c r="J348">
        <v>-403.41849999999999</v>
      </c>
      <c r="K348">
        <v>1.059914</v>
      </c>
      <c r="L348">
        <v>366.95679999999999</v>
      </c>
      <c r="M348">
        <v>0.99993379999999998</v>
      </c>
      <c r="N348">
        <v>0</v>
      </c>
      <c r="O348">
        <v>1.1792389999999999E-3</v>
      </c>
      <c r="P348">
        <v>0.98917750000000004</v>
      </c>
      <c r="Q348">
        <v>0.1461732</v>
      </c>
      <c r="R348">
        <v>-1.2689189999999999E-2</v>
      </c>
      <c r="S348">
        <v>3.0415649999999999</v>
      </c>
      <c r="T348">
        <v>-7.5133920000000007E-2</v>
      </c>
      <c r="U348">
        <v>-0.19653319999999999</v>
      </c>
      <c r="V348">
        <v>1.3855849999999999E-2</v>
      </c>
      <c r="W348">
        <v>0.157479799999999</v>
      </c>
      <c r="X348">
        <v>0.987425</v>
      </c>
      <c r="Y348">
        <v>6.5637870000000001E-2</v>
      </c>
      <c r="Z348">
        <v>-8.3883600000000003E-4</v>
      </c>
      <c r="AA348">
        <v>0.99784309999999998</v>
      </c>
      <c r="AB348">
        <v>37</v>
      </c>
      <c r="AC348">
        <v>42.552900000000001</v>
      </c>
      <c r="AD348">
        <v>-1.0599188645540001</v>
      </c>
      <c r="AE348">
        <v>-2.7728999999999902</v>
      </c>
      <c r="AF348">
        <v>2.8213383802873699</v>
      </c>
      <c r="AG348">
        <v>-1.0599188645540001</v>
      </c>
      <c r="AH348">
        <v>42.523329444045402</v>
      </c>
      <c r="AI348">
        <v>91.424704099814804</v>
      </c>
      <c r="AJ348">
        <v>86.204102320561304</v>
      </c>
      <c r="AK348">
        <v>42.630000296297602</v>
      </c>
      <c r="AL348">
        <v>80.939355058611696</v>
      </c>
      <c r="AM348">
        <v>89.196060838918697</v>
      </c>
      <c r="AN348">
        <v>1.0000000013061301</v>
      </c>
    </row>
    <row r="349" spans="1:40" x14ac:dyDescent="0.25">
      <c r="A349" t="str">
        <f>"20190312172338566"</f>
        <v>20190312172338566</v>
      </c>
      <c r="B349" t="str">
        <f>"1552382618560467"</f>
        <v>1552382618560467</v>
      </c>
      <c r="C349" t="s">
        <v>40</v>
      </c>
      <c r="D349">
        <v>3.713962</v>
      </c>
      <c r="E349">
        <v>0.51946250000000005</v>
      </c>
      <c r="F349" t="s">
        <v>43</v>
      </c>
      <c r="G349">
        <v>-362.0883</v>
      </c>
      <c r="H349" s="1">
        <v>-4.3212390000000003E-6</v>
      </c>
      <c r="I349">
        <v>364.28969999999998</v>
      </c>
      <c r="J349">
        <v>-403.04</v>
      </c>
      <c r="K349">
        <v>1.05992</v>
      </c>
      <c r="L349">
        <v>366.95740000000001</v>
      </c>
      <c r="M349">
        <v>0.99993359999999998</v>
      </c>
      <c r="N349">
        <v>0</v>
      </c>
      <c r="O349">
        <v>1.194875E-3</v>
      </c>
      <c r="P349">
        <v>0.98913280000000003</v>
      </c>
      <c r="Q349">
        <v>0.1464773</v>
      </c>
      <c r="R349">
        <v>-1.269875E-2</v>
      </c>
      <c r="S349">
        <v>3.0418400000000001</v>
      </c>
      <c r="T349">
        <v>-7.8008170000000002E-2</v>
      </c>
      <c r="U349">
        <v>-0.19628909999999999</v>
      </c>
      <c r="V349">
        <v>1.388063E-2</v>
      </c>
      <c r="W349">
        <v>0.15781129999999999</v>
      </c>
      <c r="X349">
        <v>0.98737169999999996</v>
      </c>
      <c r="Y349">
        <v>6.5566349999999995E-2</v>
      </c>
      <c r="Z349">
        <v>-8.7032369999999904E-4</v>
      </c>
      <c r="AA349">
        <v>0.99784790000000001</v>
      </c>
      <c r="AB349">
        <v>37</v>
      </c>
      <c r="AC349">
        <v>40.951700000000002</v>
      </c>
      <c r="AD349">
        <v>-1.0599243212389999</v>
      </c>
      <c r="AE349">
        <v>-2.6677000000000199</v>
      </c>
      <c r="AF349">
        <v>2.71482251489223</v>
      </c>
      <c r="AG349">
        <v>-1.0599243212389999</v>
      </c>
      <c r="AH349">
        <v>40.921185979584898</v>
      </c>
      <c r="AI349">
        <v>91.480467796259703</v>
      </c>
      <c r="AJ349">
        <v>86.2044045863002</v>
      </c>
      <c r="AK349">
        <v>41.0248359269101</v>
      </c>
      <c r="AL349">
        <v>80.920120769857206</v>
      </c>
      <c r="AM349">
        <v>89.194579781977893</v>
      </c>
      <c r="AN349">
        <v>0.99999997612888802</v>
      </c>
    </row>
    <row r="350" spans="1:40" x14ac:dyDescent="0.25">
      <c r="A350" t="str">
        <f>"20190312172338588"</f>
        <v>20190312172338588</v>
      </c>
      <c r="B350" t="str">
        <f>"1552382618579986"</f>
        <v>1552382618579986</v>
      </c>
      <c r="C350" t="s">
        <v>40</v>
      </c>
      <c r="D350">
        <v>3.7010290000000001</v>
      </c>
      <c r="E350">
        <v>0.51944029999999997</v>
      </c>
      <c r="F350" t="s">
        <v>43</v>
      </c>
      <c r="G350">
        <v>-361.7407</v>
      </c>
      <c r="H350" s="1">
        <v>-4.471166E-6</v>
      </c>
      <c r="I350">
        <v>364.28530000000001</v>
      </c>
      <c r="J350">
        <v>-402.66149999999999</v>
      </c>
      <c r="K350">
        <v>1.0599209999999999</v>
      </c>
      <c r="L350">
        <v>366.95780000000002</v>
      </c>
      <c r="M350">
        <v>0.99993330000000002</v>
      </c>
      <c r="N350">
        <v>0</v>
      </c>
      <c r="O350">
        <v>1.2101080000000001E-3</v>
      </c>
      <c r="P350">
        <v>0.98917730000000004</v>
      </c>
      <c r="Q350">
        <v>0.14617740000000001</v>
      </c>
      <c r="R350">
        <v>-1.266887E-2</v>
      </c>
      <c r="S350">
        <v>3.0420229999999999</v>
      </c>
      <c r="T350">
        <v>-7.8071589999999996E-2</v>
      </c>
      <c r="U350">
        <v>-0.19680790000000001</v>
      </c>
      <c r="V350">
        <v>1.3865860000000001E-2</v>
      </c>
      <c r="W350">
        <v>0.15753729999999999</v>
      </c>
      <c r="X350">
        <v>0.98741570000000001</v>
      </c>
      <c r="Y350">
        <v>6.5747070000000005E-2</v>
      </c>
      <c r="Z350">
        <v>-8.7368069999999996E-4</v>
      </c>
      <c r="AA350">
        <v>0.9978359</v>
      </c>
      <c r="AB350">
        <v>37</v>
      </c>
      <c r="AC350">
        <v>40.9207999999999</v>
      </c>
      <c r="AD350">
        <v>-1.059925471166</v>
      </c>
      <c r="AE350">
        <v>-2.6725000000000101</v>
      </c>
      <c r="AF350">
        <v>2.7202026449343601</v>
      </c>
      <c r="AG350">
        <v>-1.059925471166</v>
      </c>
      <c r="AH350">
        <v>40.890218781757703</v>
      </c>
      <c r="AI350">
        <v>91.481572289942207</v>
      </c>
      <c r="AJ350">
        <v>86.194032956466202</v>
      </c>
      <c r="AK350">
        <v>40.994303707392604</v>
      </c>
      <c r="AL350">
        <v>80.936019022275502</v>
      </c>
      <c r="AM350">
        <v>89.195472542203404</v>
      </c>
      <c r="AN350">
        <v>1.00000001378565</v>
      </c>
    </row>
    <row r="351" spans="1:40" x14ac:dyDescent="0.25">
      <c r="A351" t="str">
        <f>"20190312172338612"</f>
        <v>20190312172338612</v>
      </c>
      <c r="B351" t="str">
        <f>"1552382618600483"</f>
        <v>1552382618600483</v>
      </c>
      <c r="C351" t="s">
        <v>40</v>
      </c>
      <c r="D351">
        <v>3.740618</v>
      </c>
      <c r="E351">
        <v>0.51942529999999998</v>
      </c>
      <c r="F351" t="s">
        <v>43</v>
      </c>
      <c r="G351">
        <v>-362.3109</v>
      </c>
      <c r="H351" s="1">
        <v>-4.2158660000000001E-6</v>
      </c>
      <c r="I351">
        <v>364.34559999999999</v>
      </c>
      <c r="J351">
        <v>-402.2876</v>
      </c>
      <c r="K351">
        <v>1.059922</v>
      </c>
      <c r="L351">
        <v>366.95830000000001</v>
      </c>
      <c r="M351">
        <v>0.99993299999999996</v>
      </c>
      <c r="N351">
        <v>0</v>
      </c>
      <c r="O351">
        <v>1.2257660000000001E-3</v>
      </c>
      <c r="P351">
        <v>0.98924480000000004</v>
      </c>
      <c r="Q351">
        <v>0.1457174</v>
      </c>
      <c r="R351">
        <v>-1.2708540000000001E-2</v>
      </c>
      <c r="S351">
        <v>3.042084</v>
      </c>
      <c r="T351">
        <v>-7.9908850000000003E-2</v>
      </c>
      <c r="U351">
        <v>-0.19692989999999999</v>
      </c>
      <c r="V351">
        <v>1.392115E-2</v>
      </c>
      <c r="W351">
        <v>0.1571012</v>
      </c>
      <c r="X351">
        <v>0.98748440000000004</v>
      </c>
      <c r="Y351">
        <v>6.5800199999999906E-2</v>
      </c>
      <c r="Z351">
        <v>-8.9532279999999999E-4</v>
      </c>
      <c r="AA351">
        <v>0.99783239999999995</v>
      </c>
      <c r="AB351">
        <v>37</v>
      </c>
      <c r="AC351">
        <v>39.976700000000001</v>
      </c>
      <c r="AD351">
        <v>-1.0599262158660001</v>
      </c>
      <c r="AE351">
        <v>-2.61270000000001</v>
      </c>
      <c r="AF351">
        <v>2.6598415243472902</v>
      </c>
      <c r="AG351">
        <v>-1.0599262158660001</v>
      </c>
      <c r="AH351">
        <v>39.945506093265401</v>
      </c>
      <c r="AI351">
        <v>91.516590168948099</v>
      </c>
      <c r="AJ351">
        <v>86.190483679236095</v>
      </c>
      <c r="AK351">
        <v>40.047991929244397</v>
      </c>
      <c r="AL351">
        <v>80.961320765589704</v>
      </c>
      <c r="AM351">
        <v>89.192321107196804</v>
      </c>
      <c r="AN351">
        <v>1.00000001285106</v>
      </c>
    </row>
    <row r="352" spans="1:40" x14ac:dyDescent="0.25">
      <c r="A352" t="str">
        <f>"20190312172338633"</f>
        <v>20190312172338633</v>
      </c>
      <c r="B352" t="str">
        <f>"1552382618630738"</f>
        <v>1552382618630738</v>
      </c>
      <c r="C352" t="s">
        <v>40</v>
      </c>
      <c r="D352">
        <v>3.7117939999999998</v>
      </c>
      <c r="E352">
        <v>0.51942879999999902</v>
      </c>
      <c r="F352" t="s">
        <v>43</v>
      </c>
      <c r="G352">
        <v>-363.00819999999999</v>
      </c>
      <c r="H352" s="1">
        <v>-3.9044560000000001E-6</v>
      </c>
      <c r="I352">
        <v>364.41469999999998</v>
      </c>
      <c r="J352">
        <v>-401.92230000000001</v>
      </c>
      <c r="K352">
        <v>1.0599209999999999</v>
      </c>
      <c r="L352">
        <v>366.95870000000002</v>
      </c>
      <c r="M352">
        <v>0.99993270000000001</v>
      </c>
      <c r="N352">
        <v>0</v>
      </c>
      <c r="O352">
        <v>1.241675E-3</v>
      </c>
      <c r="P352">
        <v>0.98925419999999997</v>
      </c>
      <c r="Q352">
        <v>0.1456414</v>
      </c>
      <c r="R352">
        <v>-1.284393E-2</v>
      </c>
      <c r="S352">
        <v>3.0421749999999999</v>
      </c>
      <c r="T352">
        <v>-8.2090739999999995E-2</v>
      </c>
      <c r="U352">
        <v>-0.196991</v>
      </c>
      <c r="V352">
        <v>1.407244E-2</v>
      </c>
      <c r="W352">
        <v>0.1570452</v>
      </c>
      <c r="X352">
        <v>0.98749109999999996</v>
      </c>
      <c r="Y352">
        <v>6.5832799999999997E-2</v>
      </c>
      <c r="Z352">
        <v>-9.2060039999999996E-4</v>
      </c>
      <c r="AA352">
        <v>0.99783029999999995</v>
      </c>
      <c r="AB352">
        <v>37</v>
      </c>
      <c r="AC352">
        <v>38.914099999999998</v>
      </c>
      <c r="AD352">
        <v>-1.059924904456</v>
      </c>
      <c r="AE352">
        <v>-2.54400000000004</v>
      </c>
      <c r="AF352">
        <v>2.5904063151073502</v>
      </c>
      <c r="AG352">
        <v>-1.059924904456</v>
      </c>
      <c r="AH352">
        <v>38.882187639393997</v>
      </c>
      <c r="AI352">
        <v>91.558038913778304</v>
      </c>
      <c r="AJ352">
        <v>86.188477153618905</v>
      </c>
      <c r="AK352">
        <v>38.982793143968998</v>
      </c>
      <c r="AL352">
        <v>80.964569089687402</v>
      </c>
      <c r="AM352">
        <v>89.183550267051601</v>
      </c>
      <c r="AN352">
        <v>0.99999995049489998</v>
      </c>
    </row>
    <row r="353" spans="1:40" x14ac:dyDescent="0.25">
      <c r="A353" t="str">
        <f>"20190312172338655"</f>
        <v>20190312172338655</v>
      </c>
      <c r="B353" t="str">
        <f>"1552382618650259"</f>
        <v>1552382618650259</v>
      </c>
      <c r="C353" t="s">
        <v>40</v>
      </c>
      <c r="D353">
        <v>3.7032440000000002</v>
      </c>
      <c r="E353">
        <v>0.51942690000000002</v>
      </c>
      <c r="F353" t="s">
        <v>43</v>
      </c>
      <c r="G353">
        <v>-363.33589999999998</v>
      </c>
      <c r="H353" s="1">
        <v>-3.757307E-6</v>
      </c>
      <c r="I353">
        <v>364.45170000000002</v>
      </c>
      <c r="J353">
        <v>-401.56229999999999</v>
      </c>
      <c r="K353">
        <v>1.0599259999999999</v>
      </c>
      <c r="L353">
        <v>366.95920000000001</v>
      </c>
      <c r="M353">
        <v>0.99993259999999995</v>
      </c>
      <c r="N353">
        <v>0</v>
      </c>
      <c r="O353">
        <v>1.256708E-3</v>
      </c>
      <c r="P353">
        <v>0.98928510000000003</v>
      </c>
      <c r="Q353">
        <v>0.14542829999999901</v>
      </c>
      <c r="R353">
        <v>-1.289011E-2</v>
      </c>
      <c r="S353">
        <v>3.0423279999999999</v>
      </c>
      <c r="T353">
        <v>-8.3569050000000006E-2</v>
      </c>
      <c r="U353">
        <v>-0.19766239999999999</v>
      </c>
      <c r="V353">
        <v>1.413347E-2</v>
      </c>
      <c r="W353">
        <v>0.15685070000000001</v>
      </c>
      <c r="X353">
        <v>0.98752119999999999</v>
      </c>
      <c r="Y353">
        <v>6.6062880000000004E-2</v>
      </c>
      <c r="Z353">
        <v>-9.4068760000000004E-4</v>
      </c>
      <c r="AA353">
        <v>0.99781500000000001</v>
      </c>
      <c r="AB353">
        <v>37</v>
      </c>
      <c r="AC353">
        <v>38.226399999999998</v>
      </c>
      <c r="AD353">
        <v>-1.0599297573069999</v>
      </c>
      <c r="AE353">
        <v>-2.5074999999999901</v>
      </c>
      <c r="AF353">
        <v>2.5535857938667701</v>
      </c>
      <c r="AG353">
        <v>-1.0599297573069999</v>
      </c>
      <c r="AH353">
        <v>38.193979736350997</v>
      </c>
      <c r="AI353">
        <v>91.586080976325704</v>
      </c>
      <c r="AJ353">
        <v>86.174992257185195</v>
      </c>
      <c r="AK353">
        <v>38.293920399952</v>
      </c>
      <c r="AL353">
        <v>80.975853491974803</v>
      </c>
      <c r="AM353">
        <v>89.180034923191698</v>
      </c>
      <c r="AN353">
        <v>1.00000000875708</v>
      </c>
    </row>
    <row r="354" spans="1:40" x14ac:dyDescent="0.25">
      <c r="A354" t="str">
        <f>"20190312172338678"</f>
        <v>20190312172338678</v>
      </c>
      <c r="B354" t="str">
        <f>"1552382618670755"</f>
        <v>1552382618670755</v>
      </c>
      <c r="C354" t="s">
        <v>40</v>
      </c>
      <c r="D354">
        <v>3.7086030000000001</v>
      </c>
      <c r="E354">
        <v>0.51944259999999998</v>
      </c>
      <c r="F354" t="s">
        <v>43</v>
      </c>
      <c r="G354">
        <v>-363.66160000000002</v>
      </c>
      <c r="H354" s="1">
        <v>-3.609543E-6</v>
      </c>
      <c r="I354">
        <v>364.49709999999999</v>
      </c>
      <c r="J354">
        <v>-401.1841</v>
      </c>
      <c r="K354">
        <v>1.0599289999999999</v>
      </c>
      <c r="L354">
        <v>366.9597</v>
      </c>
      <c r="M354">
        <v>0.9999323</v>
      </c>
      <c r="N354">
        <v>0</v>
      </c>
      <c r="O354">
        <v>1.2724629999999999E-3</v>
      </c>
      <c r="P354">
        <v>0.98928649999999996</v>
      </c>
      <c r="Q354">
        <v>0.1453989</v>
      </c>
      <c r="R354">
        <v>-1.3101669999999999E-2</v>
      </c>
      <c r="S354">
        <v>3.0424190000000002</v>
      </c>
      <c r="T354">
        <v>-8.508396E-2</v>
      </c>
      <c r="U354">
        <v>-0.1976318</v>
      </c>
      <c r="V354">
        <v>1.4360650000000001E-2</v>
      </c>
      <c r="W354">
        <v>0.15683839999999999</v>
      </c>
      <c r="X354">
        <v>0.98751990000000001</v>
      </c>
      <c r="Y354">
        <v>6.6065750000000006E-2</v>
      </c>
      <c r="Z354">
        <v>-9.5818539999999999E-4</v>
      </c>
      <c r="AA354">
        <v>0.9978148</v>
      </c>
      <c r="AB354">
        <v>37</v>
      </c>
      <c r="AC354">
        <v>37.522499999999901</v>
      </c>
      <c r="AD354">
        <v>-1.0599326095429999</v>
      </c>
      <c r="AE354">
        <v>-2.4626000000000001</v>
      </c>
      <c r="AF354">
        <v>2.50835424831895</v>
      </c>
      <c r="AG354">
        <v>-1.0599326095429999</v>
      </c>
      <c r="AH354">
        <v>37.489549539895798</v>
      </c>
      <c r="AI354">
        <v>91.6158668443355</v>
      </c>
      <c r="AJ354">
        <v>86.172153912003495</v>
      </c>
      <c r="AK354">
        <v>37.588317638278703</v>
      </c>
      <c r="AL354">
        <v>80.976567277174297</v>
      </c>
      <c r="AM354">
        <v>89.166855632080598</v>
      </c>
      <c r="AN354">
        <v>1.00000003243949</v>
      </c>
    </row>
    <row r="355" spans="1:40" x14ac:dyDescent="0.25">
      <c r="A355" t="str">
        <f>"20190312172338700"</f>
        <v>20190312172338700</v>
      </c>
      <c r="B355" t="str">
        <f>"1552382618690278"</f>
        <v>1552382618690278</v>
      </c>
      <c r="C355" t="s">
        <v>40</v>
      </c>
      <c r="D355">
        <v>3.6780759999999999</v>
      </c>
      <c r="E355">
        <v>0.51945269999999999</v>
      </c>
      <c r="F355" t="s">
        <v>43</v>
      </c>
      <c r="G355">
        <v>-363.50119999999998</v>
      </c>
      <c r="H355" s="1">
        <v>-3.6771450000000001E-6</v>
      </c>
      <c r="I355">
        <v>364.50380000000001</v>
      </c>
      <c r="J355">
        <v>-400.82089999999999</v>
      </c>
      <c r="K355">
        <v>1.0601940000000001</v>
      </c>
      <c r="L355">
        <v>366.96019999999999</v>
      </c>
      <c r="M355">
        <v>0.99992029999999998</v>
      </c>
      <c r="N355">
        <v>0</v>
      </c>
      <c r="O355">
        <v>1.285193E-3</v>
      </c>
      <c r="P355">
        <v>0.98941409999999996</v>
      </c>
      <c r="Q355">
        <v>0.1444986</v>
      </c>
      <c r="R355">
        <v>-1.342142E-2</v>
      </c>
      <c r="S355">
        <v>3.0424500000000001</v>
      </c>
      <c r="T355">
        <v>-8.5576769999999996E-2</v>
      </c>
      <c r="U355">
        <v>-0.1982727</v>
      </c>
      <c r="V355">
        <v>1.469318E-2</v>
      </c>
      <c r="W355">
        <v>0.1569171</v>
      </c>
      <c r="X355">
        <v>0.98750249999999995</v>
      </c>
      <c r="Y355">
        <v>6.6286739999999997E-2</v>
      </c>
      <c r="Z355">
        <v>-9.6717890000000005E-4</v>
      </c>
      <c r="AA355">
        <v>0.99780020000000003</v>
      </c>
      <c r="AB355">
        <v>37</v>
      </c>
      <c r="AC355">
        <v>37.319699999999997</v>
      </c>
      <c r="AD355">
        <v>-1.0601976771449999</v>
      </c>
      <c r="AE355">
        <v>-2.4563999999999702</v>
      </c>
      <c r="AF355">
        <v>2.5023539723577799</v>
      </c>
      <c r="AG355">
        <v>-1.0601976771449999</v>
      </c>
      <c r="AH355">
        <v>37.286549883010501</v>
      </c>
      <c r="AI355">
        <v>91.625043471578394</v>
      </c>
      <c r="AJ355">
        <v>86.160555167759796</v>
      </c>
      <c r="AK355">
        <v>37.385459696195099</v>
      </c>
      <c r="AL355">
        <v>80.972001514358595</v>
      </c>
      <c r="AM355">
        <v>89.147551440098795</v>
      </c>
      <c r="AN355">
        <v>1.00000002665858</v>
      </c>
    </row>
    <row r="356" spans="1:40" x14ac:dyDescent="0.25">
      <c r="A356" t="str">
        <f>"20190312172338722"</f>
        <v>20190312172338722</v>
      </c>
      <c r="B356" t="str">
        <f>"1552382618710771"</f>
        <v>1552382618710771</v>
      </c>
      <c r="C356" t="s">
        <v>40</v>
      </c>
      <c r="D356">
        <v>3.708472</v>
      </c>
      <c r="E356">
        <v>0.51946669999999995</v>
      </c>
      <c r="F356" t="s">
        <v>43</v>
      </c>
      <c r="G356">
        <v>-364.64819999999997</v>
      </c>
      <c r="H356" s="1">
        <v>-3.1701820000000001E-6</v>
      </c>
      <c r="I356">
        <v>364.58780000000002</v>
      </c>
      <c r="J356">
        <v>-400.48099999999999</v>
      </c>
      <c r="K356">
        <v>1.0608409999999999</v>
      </c>
      <c r="L356">
        <v>366.9606</v>
      </c>
      <c r="M356">
        <v>0.99990250000000003</v>
      </c>
      <c r="N356">
        <v>0</v>
      </c>
      <c r="O356">
        <v>1.295952E-3</v>
      </c>
      <c r="P356">
        <v>0.98963179999999995</v>
      </c>
      <c r="Q356">
        <v>0.1429887</v>
      </c>
      <c r="R356">
        <v>-1.35476E-2</v>
      </c>
      <c r="S356">
        <v>3.042389</v>
      </c>
      <c r="T356">
        <v>-8.9170100000000002E-2</v>
      </c>
      <c r="U356">
        <v>-0.1995239</v>
      </c>
      <c r="V356">
        <v>1.483081E-2</v>
      </c>
      <c r="W356">
        <v>0.15673529999999999</v>
      </c>
      <c r="X356">
        <v>0.98752930000000005</v>
      </c>
      <c r="Y356">
        <v>6.6704929999999996E-2</v>
      </c>
      <c r="Z356">
        <v>-1.0142160000000001E-3</v>
      </c>
      <c r="AA356">
        <v>0.9977722</v>
      </c>
      <c r="AB356">
        <v>37</v>
      </c>
      <c r="AC356">
        <v>35.832799999999999</v>
      </c>
      <c r="AD356">
        <v>-1.0608441701819999</v>
      </c>
      <c r="AE356">
        <v>-2.3727999999999798</v>
      </c>
      <c r="AF356">
        <v>2.41713076890629</v>
      </c>
      <c r="AG356">
        <v>-1.0608441701819999</v>
      </c>
      <c r="AH356">
        <v>35.798454947388699</v>
      </c>
      <c r="AI356">
        <v>91.693540987736199</v>
      </c>
      <c r="AJ356">
        <v>86.137221457226005</v>
      </c>
      <c r="AK356">
        <v>35.895644417221703</v>
      </c>
      <c r="AL356">
        <v>80.982548265344093</v>
      </c>
      <c r="AM356">
        <v>89.1395911555949</v>
      </c>
      <c r="AN356">
        <v>1.00000001277491</v>
      </c>
    </row>
    <row r="357" spans="1:40" x14ac:dyDescent="0.25">
      <c r="A357" t="str">
        <f>"20190312172338733"</f>
        <v>20190312172338733</v>
      </c>
      <c r="B357" t="str">
        <f>"1552382618730291"</f>
        <v>1552382618730291</v>
      </c>
      <c r="C357" t="s">
        <v>40</v>
      </c>
      <c r="D357">
        <v>3.6764709999999998</v>
      </c>
      <c r="E357">
        <v>0.51947080000000001</v>
      </c>
      <c r="F357" t="s">
        <v>43</v>
      </c>
      <c r="G357">
        <v>-366.26159999999999</v>
      </c>
      <c r="H357" s="1">
        <v>-2.564572E-6</v>
      </c>
      <c r="I357">
        <v>364.70670000000001</v>
      </c>
      <c r="J357">
        <v>-400.28489999999999</v>
      </c>
      <c r="K357">
        <v>1.0612239999999999</v>
      </c>
      <c r="L357">
        <v>366.96089999999998</v>
      </c>
      <c r="M357">
        <v>0.99990270000000003</v>
      </c>
      <c r="N357">
        <v>0</v>
      </c>
      <c r="O357">
        <v>1.3029700000000001E-3</v>
      </c>
      <c r="P357">
        <v>0.98963619999999997</v>
      </c>
      <c r="Q357">
        <v>0.14295260000000001</v>
      </c>
      <c r="R357">
        <v>-1.35861E-2</v>
      </c>
      <c r="S357">
        <v>3.0423580000000001</v>
      </c>
      <c r="T357">
        <v>-9.4316720000000007E-2</v>
      </c>
      <c r="U357">
        <v>-0.20037840000000001</v>
      </c>
      <c r="V357">
        <v>1.487638E-2</v>
      </c>
      <c r="W357">
        <v>0.15668489999999999</v>
      </c>
      <c r="X357">
        <v>0.98753659999999999</v>
      </c>
      <c r="Y357">
        <v>6.6988030000000004E-2</v>
      </c>
      <c r="Z357">
        <v>-1.0773270000000001E-3</v>
      </c>
      <c r="AA357">
        <v>0.99775320000000001</v>
      </c>
      <c r="AB357">
        <v>36</v>
      </c>
      <c r="AC357">
        <v>34.023299999999999</v>
      </c>
      <c r="AD357">
        <v>-1.061226564572</v>
      </c>
      <c r="AE357">
        <v>-2.25419999999996</v>
      </c>
      <c r="AF357">
        <v>2.2963094109487998</v>
      </c>
      <c r="AG357">
        <v>-1.061226564572</v>
      </c>
      <c r="AH357">
        <v>33.987412205074698</v>
      </c>
      <c r="AI357">
        <v>91.784363061909403</v>
      </c>
      <c r="AJ357">
        <v>86.134769337970198</v>
      </c>
      <c r="AK357">
        <v>34.081423490368302</v>
      </c>
      <c r="AL357">
        <v>80.985471985593506</v>
      </c>
      <c r="AM357">
        <v>89.136954191985794</v>
      </c>
      <c r="AN357">
        <v>1.00000000045473</v>
      </c>
    </row>
    <row r="358" spans="1:40" x14ac:dyDescent="0.25">
      <c r="A358" t="str">
        <f>"20190312172338755"</f>
        <v>20190312172338755</v>
      </c>
      <c r="B358" t="str">
        <f>"1552382618749811"</f>
        <v>1552382618749811</v>
      </c>
      <c r="C358" t="s">
        <v>40</v>
      </c>
      <c r="D358">
        <v>3.685289</v>
      </c>
      <c r="E358">
        <v>0.51949429999999996</v>
      </c>
      <c r="F358" t="s">
        <v>43</v>
      </c>
      <c r="G358">
        <v>-366.2826</v>
      </c>
      <c r="H358" s="1">
        <v>-2.5538049999999999E-6</v>
      </c>
      <c r="I358">
        <v>364.72030000000001</v>
      </c>
      <c r="J358">
        <v>-399.92410000000001</v>
      </c>
      <c r="K358">
        <v>1.0619019999999999</v>
      </c>
      <c r="L358">
        <v>366.96140000000003</v>
      </c>
      <c r="M358">
        <v>0.99991739999999996</v>
      </c>
      <c r="N358">
        <v>0</v>
      </c>
      <c r="O358">
        <v>1.315599E-3</v>
      </c>
      <c r="P358">
        <v>0.98946590000000001</v>
      </c>
      <c r="Q358">
        <v>0.1441181</v>
      </c>
      <c r="R358">
        <v>-1.3699940000000001E-2</v>
      </c>
      <c r="S358">
        <v>3.042389</v>
      </c>
      <c r="T358">
        <v>-9.4954250000000004E-2</v>
      </c>
      <c r="U358">
        <v>-0.20047000000000001</v>
      </c>
      <c r="V358">
        <v>1.5002039999999999E-2</v>
      </c>
      <c r="W358">
        <v>0.15675749999999999</v>
      </c>
      <c r="X358">
        <v>0.98752320000000005</v>
      </c>
      <c r="Y358">
        <v>6.702938E-2</v>
      </c>
      <c r="Z358">
        <v>-1.0856310000000001E-3</v>
      </c>
      <c r="AA358">
        <v>0.99775040000000004</v>
      </c>
      <c r="AB358">
        <v>36</v>
      </c>
      <c r="AC358">
        <v>33.641500000000001</v>
      </c>
      <c r="AD358">
        <v>-1.061904553805</v>
      </c>
      <c r="AE358">
        <v>-2.2411000000000101</v>
      </c>
      <c r="AF358">
        <v>2.2830956463593202</v>
      </c>
      <c r="AG358">
        <v>-1.061904553805</v>
      </c>
      <c r="AH358">
        <v>33.605187017520102</v>
      </c>
      <c r="AI358">
        <v>91.805751557144205</v>
      </c>
      <c r="AJ358">
        <v>86.113366708179001</v>
      </c>
      <c r="AK358">
        <v>33.699388147180301</v>
      </c>
      <c r="AL358">
        <v>80.981260470282294</v>
      </c>
      <c r="AM358">
        <v>89.129653398063098</v>
      </c>
      <c r="AN358">
        <v>1.00000002277432</v>
      </c>
    </row>
    <row r="359" spans="1:40" x14ac:dyDescent="0.25">
      <c r="A359" t="str">
        <f>"20190312172338767"</f>
        <v>20190312172338767</v>
      </c>
      <c r="B359" t="str">
        <f>"1552382618760547"</f>
        <v>1552382618760547</v>
      </c>
      <c r="C359" t="s">
        <v>40</v>
      </c>
      <c r="D359">
        <v>3.7370290000000002</v>
      </c>
      <c r="E359">
        <v>0.51951720000000001</v>
      </c>
      <c r="F359" t="s">
        <v>43</v>
      </c>
      <c r="G359">
        <v>-364.65140000000002</v>
      </c>
      <c r="H359" s="1">
        <v>-3.1613830000000001E-6</v>
      </c>
      <c r="I359">
        <v>364.62979999999999</v>
      </c>
      <c r="J359">
        <v>-399.73149999999998</v>
      </c>
      <c r="K359">
        <v>1.0623279999999999</v>
      </c>
      <c r="L359">
        <v>366.96159999999998</v>
      </c>
      <c r="M359">
        <v>0.99993010000000004</v>
      </c>
      <c r="N359">
        <v>0</v>
      </c>
      <c r="O359">
        <v>1.322588E-3</v>
      </c>
      <c r="P359">
        <v>0.98934310000000003</v>
      </c>
      <c r="Q359">
        <v>0.1449414</v>
      </c>
      <c r="R359">
        <v>-1.386777E-2</v>
      </c>
      <c r="S359">
        <v>3.0425110000000002</v>
      </c>
      <c r="T359">
        <v>-9.1596360000000002E-2</v>
      </c>
      <c r="U359">
        <v>-0.20111080000000001</v>
      </c>
      <c r="V359">
        <v>1.517663E-2</v>
      </c>
      <c r="W359">
        <v>0.15656199999999901</v>
      </c>
      <c r="X359">
        <v>0.98755150000000003</v>
      </c>
      <c r="Y359">
        <v>6.7245170000000007E-2</v>
      </c>
      <c r="Z359">
        <v>-1.050662E-3</v>
      </c>
      <c r="AA359">
        <v>0.99773590000000001</v>
      </c>
      <c r="AB359">
        <v>36</v>
      </c>
      <c r="AC359">
        <v>35.080099999999902</v>
      </c>
      <c r="AD359">
        <v>-1.062331161383</v>
      </c>
      <c r="AE359">
        <v>-2.3317999999999799</v>
      </c>
      <c r="AF359">
        <v>2.3760283046711299</v>
      </c>
      <c r="AG359">
        <v>-1.062331161383</v>
      </c>
      <c r="AH359">
        <v>35.0449880749904</v>
      </c>
      <c r="AI359">
        <v>91.732321071075702</v>
      </c>
      <c r="AJ359">
        <v>86.1213177823237</v>
      </c>
      <c r="AK359">
        <v>35.141503200308101</v>
      </c>
      <c r="AL359">
        <v>80.992601420112805</v>
      </c>
      <c r="AM359">
        <v>89.119551334285703</v>
      </c>
      <c r="AN359">
        <v>0.99999997754720304</v>
      </c>
    </row>
    <row r="360" spans="1:40" x14ac:dyDescent="0.25">
      <c r="A360" t="str">
        <f>"20190312172338779"</f>
        <v>20190312172338779</v>
      </c>
      <c r="B360" t="str">
        <f>"1552382618770307"</f>
        <v>1552382618770307</v>
      </c>
      <c r="C360" t="s">
        <v>40</v>
      </c>
      <c r="D360">
        <v>3.7531159999999999</v>
      </c>
      <c r="E360">
        <v>0.51951720000000001</v>
      </c>
      <c r="F360" t="s">
        <v>43</v>
      </c>
      <c r="G360">
        <v>-363.57639999999998</v>
      </c>
      <c r="H360" s="1">
        <v>-3.634498E-6</v>
      </c>
      <c r="I360">
        <v>364.56229999999999</v>
      </c>
      <c r="J360">
        <v>-399.52760000000001</v>
      </c>
      <c r="K360">
        <v>1.0628489999999999</v>
      </c>
      <c r="L360">
        <v>366.96190000000001</v>
      </c>
      <c r="M360">
        <v>0.99994360000000004</v>
      </c>
      <c r="N360">
        <v>0</v>
      </c>
      <c r="O360">
        <v>1.330229E-3</v>
      </c>
      <c r="P360">
        <v>0.98921689999999995</v>
      </c>
      <c r="Q360">
        <v>0.1457976</v>
      </c>
      <c r="R360">
        <v>-1.38984E-2</v>
      </c>
      <c r="S360">
        <v>3.0425719999999998</v>
      </c>
      <c r="T360">
        <v>-8.9398500000000006E-2</v>
      </c>
      <c r="U360">
        <v>-0.20190430000000001</v>
      </c>
      <c r="V360">
        <v>1.521459E-2</v>
      </c>
      <c r="W360">
        <v>0.15621209999999999</v>
      </c>
      <c r="X360">
        <v>0.98760630000000005</v>
      </c>
      <c r="Y360">
        <v>6.7511860000000007E-2</v>
      </c>
      <c r="Z360">
        <v>-1.0295689999999999E-3</v>
      </c>
      <c r="AA360">
        <v>0.99771790000000005</v>
      </c>
      <c r="AB360">
        <v>37</v>
      </c>
      <c r="AC360">
        <v>35.9512</v>
      </c>
      <c r="AD360">
        <v>-1.0628526344979901</v>
      </c>
      <c r="AE360">
        <v>-2.3996000000000199</v>
      </c>
      <c r="AF360">
        <v>2.4452961121504799</v>
      </c>
      <c r="AG360">
        <v>-1.0628526344979901</v>
      </c>
      <c r="AH360">
        <v>35.916723438182103</v>
      </c>
      <c r="AI360">
        <v>91.691097471691904</v>
      </c>
      <c r="AJ360">
        <v>86.105177164088204</v>
      </c>
      <c r="AK360">
        <v>36.015554297186902</v>
      </c>
      <c r="AL360">
        <v>81.012898743329004</v>
      </c>
      <c r="AM360">
        <v>89.117398460183907</v>
      </c>
      <c r="AN360">
        <v>0.99999995386748297</v>
      </c>
    </row>
    <row r="361" spans="1:40" x14ac:dyDescent="0.25">
      <c r="A361" t="str">
        <f>"20190312172338803"</f>
        <v>20190312172338803</v>
      </c>
      <c r="B361" t="str">
        <f>"1552382618789830"</f>
        <v>1552382618789830</v>
      </c>
      <c r="C361" t="s">
        <v>40</v>
      </c>
      <c r="D361">
        <v>3.6781549999999998</v>
      </c>
      <c r="E361">
        <v>0.53982719999999995</v>
      </c>
      <c r="F361" t="s">
        <v>43</v>
      </c>
      <c r="G361">
        <v>-362.25150000000002</v>
      </c>
      <c r="H361" s="1">
        <v>-4.2161449999999999E-6</v>
      </c>
      <c r="I361">
        <v>364.48750000000001</v>
      </c>
      <c r="J361">
        <v>-399.16370000000001</v>
      </c>
      <c r="K361">
        <v>1.0640889999999901</v>
      </c>
      <c r="L361">
        <v>366.9624</v>
      </c>
      <c r="M361">
        <v>0.99996320000000005</v>
      </c>
      <c r="N361">
        <v>0</v>
      </c>
      <c r="O361">
        <v>1.3449169999999999E-3</v>
      </c>
      <c r="P361">
        <v>0.9889424</v>
      </c>
      <c r="Q361">
        <v>0.1476066</v>
      </c>
      <c r="R361">
        <v>-1.43287999999999E-2</v>
      </c>
      <c r="S361">
        <v>3.0426329999999999</v>
      </c>
      <c r="T361">
        <v>-8.6754319999999996E-2</v>
      </c>
      <c r="U361">
        <v>-0.20196529999999999</v>
      </c>
      <c r="V361">
        <v>1.5659389999999999E-2</v>
      </c>
      <c r="W361">
        <v>0.1559836</v>
      </c>
      <c r="X361">
        <v>0.9876355</v>
      </c>
      <c r="Y361">
        <v>6.7546789999999995E-2</v>
      </c>
      <c r="Z361">
        <v>-1.000024E-3</v>
      </c>
      <c r="AA361">
        <v>0.99771560000000004</v>
      </c>
      <c r="AB361">
        <v>37</v>
      </c>
      <c r="AC361">
        <v>36.912199999999899</v>
      </c>
      <c r="AD361">
        <v>-1.0640932161450001</v>
      </c>
      <c r="AE361">
        <v>-2.4748999999999901</v>
      </c>
      <c r="AF361">
        <v>2.52245651985581</v>
      </c>
      <c r="AG361">
        <v>-1.0640932161450001</v>
      </c>
      <c r="AH361">
        <v>36.878327923180201</v>
      </c>
      <c r="AI361">
        <v>91.6489125115706</v>
      </c>
      <c r="AJ361">
        <v>86.087096034305702</v>
      </c>
      <c r="AK361">
        <v>36.9798073504558</v>
      </c>
      <c r="AL361">
        <v>81.0261536400739</v>
      </c>
      <c r="AM361">
        <v>89.0916266346632</v>
      </c>
      <c r="AN361">
        <v>0.99999999041219001</v>
      </c>
    </row>
    <row r="362" spans="1:40" x14ac:dyDescent="0.25">
      <c r="A362" t="str">
        <f>"20190312172338823"</f>
        <v>20190312172338823</v>
      </c>
      <c r="B362" t="str">
        <f>"1552382618820083"</f>
        <v>1552382618820083</v>
      </c>
      <c r="C362" t="s">
        <v>40</v>
      </c>
      <c r="D362">
        <v>3.6736309999999999</v>
      </c>
      <c r="E362">
        <v>0.54874619999999996</v>
      </c>
      <c r="F362" t="s">
        <v>41</v>
      </c>
      <c r="G362">
        <v>-398.1354</v>
      </c>
      <c r="H362">
        <v>0.96247660000000002</v>
      </c>
      <c r="I362">
        <v>366.83940000000001</v>
      </c>
      <c r="J362">
        <v>-398.81240000000003</v>
      </c>
      <c r="K362">
        <v>1.0655319999999999</v>
      </c>
      <c r="L362">
        <v>366.96289999999999</v>
      </c>
      <c r="M362">
        <v>0.9999768</v>
      </c>
      <c r="N362">
        <v>0</v>
      </c>
      <c r="O362">
        <v>1.36028E-3</v>
      </c>
      <c r="P362">
        <v>0.98872539999999998</v>
      </c>
      <c r="Q362">
        <v>0.1490592</v>
      </c>
      <c r="R362">
        <v>-1.428404E-2</v>
      </c>
      <c r="S362">
        <v>3.073547</v>
      </c>
      <c r="T362">
        <v>-0.30375550000000001</v>
      </c>
      <c r="U362">
        <v>-0.36746220000000002</v>
      </c>
      <c r="V362">
        <v>1.5629919999999999E-2</v>
      </c>
      <c r="W362">
        <v>0.15566949999999999</v>
      </c>
      <c r="X362">
        <v>0.98768560000000005</v>
      </c>
      <c r="Y362">
        <v>0.11948110000000001</v>
      </c>
      <c r="Z362">
        <v>-6.002645E-3</v>
      </c>
      <c r="AA362">
        <v>0.99281839999999999</v>
      </c>
      <c r="AB362">
        <v>37</v>
      </c>
      <c r="AC362">
        <v>0.67700000000002003</v>
      </c>
      <c r="AD362">
        <v>-0.10305539999999901</v>
      </c>
      <c r="AE362">
        <v>-0.123499999999978</v>
      </c>
      <c r="AF362">
        <v>0.12169178604442001</v>
      </c>
      <c r="AG362">
        <v>-0.10305539999999901</v>
      </c>
      <c r="AH362">
        <v>0.661985845183517</v>
      </c>
      <c r="AI362">
        <v>98.704988503357697</v>
      </c>
      <c r="AJ362">
        <v>79.583702813294806</v>
      </c>
      <c r="AK362">
        <v>0.68092184976190595</v>
      </c>
      <c r="AL362">
        <v>81.044373484919305</v>
      </c>
      <c r="AM362">
        <v>89.093381833856796</v>
      </c>
      <c r="AN362">
        <v>1.0000000660384001</v>
      </c>
    </row>
    <row r="363" spans="1:40" x14ac:dyDescent="0.25">
      <c r="A363" t="str">
        <f>"20190312172338845"</f>
        <v>20190312172338845</v>
      </c>
      <c r="B363" t="str">
        <f>"1552382618840579"</f>
        <v>1552382618840579</v>
      </c>
      <c r="C363" t="s">
        <v>40</v>
      </c>
      <c r="D363">
        <v>3.6712199999999999</v>
      </c>
      <c r="E363">
        <v>0.55226459999999999</v>
      </c>
      <c r="F363" t="s">
        <v>41</v>
      </c>
      <c r="G363">
        <v>-397.82639999999998</v>
      </c>
      <c r="H363">
        <v>0.92129099999999997</v>
      </c>
      <c r="I363">
        <v>366.82260000000002</v>
      </c>
      <c r="J363">
        <v>-398.45249999999999</v>
      </c>
      <c r="K363">
        <v>1.067148</v>
      </c>
      <c r="L363">
        <v>366.96339999999998</v>
      </c>
      <c r="M363">
        <v>0.99998609999999999</v>
      </c>
      <c r="N363">
        <v>0</v>
      </c>
      <c r="O363">
        <v>1.3768910000000001E-3</v>
      </c>
      <c r="P363">
        <v>0.98853670000000005</v>
      </c>
      <c r="Q363">
        <v>0.15029729999999999</v>
      </c>
      <c r="R363">
        <v>-1.436231E-2</v>
      </c>
      <c r="S363">
        <v>3.0961609999999999</v>
      </c>
      <c r="T363">
        <v>-0.45306970000000002</v>
      </c>
      <c r="U363">
        <v>-0.43994139999999998</v>
      </c>
      <c r="V363">
        <v>1.572459E-2</v>
      </c>
      <c r="W363">
        <v>0.15535950000000001</v>
      </c>
      <c r="X363">
        <v>0.98773279999999997</v>
      </c>
      <c r="Y363">
        <v>0.14056060000000001</v>
      </c>
      <c r="Z363">
        <v>-1.037895E-2</v>
      </c>
      <c r="AA363">
        <v>0.9900177</v>
      </c>
      <c r="AB363">
        <v>37</v>
      </c>
      <c r="AC363">
        <v>0.62610000000000798</v>
      </c>
      <c r="AD363">
        <v>-0.14585699999999999</v>
      </c>
      <c r="AE363">
        <v>-0.14079999999995599</v>
      </c>
      <c r="AF363">
        <v>0.13470338768200299</v>
      </c>
      <c r="AG363">
        <v>-0.14585699999999999</v>
      </c>
      <c r="AH363">
        <v>0.59516049868480803</v>
      </c>
      <c r="AI363">
        <v>103.44295568549001</v>
      </c>
      <c r="AJ363">
        <v>77.247040514533296</v>
      </c>
      <c r="AK363">
        <v>0.62740360717544297</v>
      </c>
      <c r="AL363">
        <v>81.062352982350504</v>
      </c>
      <c r="AM363">
        <v>89.087934976069207</v>
      </c>
      <c r="AN363">
        <v>0.99999996058337803</v>
      </c>
    </row>
    <row r="364" spans="1:40" x14ac:dyDescent="0.25">
      <c r="A364" t="str">
        <f>"20190312172338858"</f>
        <v>20190312172338858</v>
      </c>
      <c r="B364" t="str">
        <f>"1552382618850340"</f>
        <v>1552382618850340</v>
      </c>
      <c r="C364" t="s">
        <v>40</v>
      </c>
      <c r="D364">
        <v>3.6966969999999999</v>
      </c>
      <c r="E364">
        <v>0.55359309999999995</v>
      </c>
      <c r="F364" t="s">
        <v>41</v>
      </c>
      <c r="G364">
        <v>-397.50400000000002</v>
      </c>
      <c r="H364">
        <v>0.91345569999999998</v>
      </c>
      <c r="I364">
        <v>366.82049999999998</v>
      </c>
      <c r="J364">
        <v>-398.24529999999999</v>
      </c>
      <c r="K364">
        <v>1.0681959999999999</v>
      </c>
      <c r="L364">
        <v>366.96370000000002</v>
      </c>
      <c r="M364">
        <v>0.9999884</v>
      </c>
      <c r="N364">
        <v>0</v>
      </c>
      <c r="O364">
        <v>1.3867090000000001E-3</v>
      </c>
      <c r="P364">
        <v>0.98846809999999996</v>
      </c>
      <c r="Q364">
        <v>0.1507655</v>
      </c>
      <c r="R364">
        <v>-1.416307E-2</v>
      </c>
      <c r="S364">
        <v>3.1044309999999999</v>
      </c>
      <c r="T364">
        <v>-0.50291540000000001</v>
      </c>
      <c r="U364">
        <v>-0.46804810000000002</v>
      </c>
      <c r="V364">
        <v>1.553502E-2</v>
      </c>
      <c r="W364">
        <v>0.15532750000000001</v>
      </c>
      <c r="X364">
        <v>0.98774090000000003</v>
      </c>
      <c r="Y364">
        <v>0.14854239999999999</v>
      </c>
      <c r="Z364">
        <v>-1.2110030000000001E-2</v>
      </c>
      <c r="AA364">
        <v>0.98883189999999999</v>
      </c>
      <c r="AB364">
        <v>37</v>
      </c>
      <c r="AC364">
        <v>0.74129999999996699</v>
      </c>
      <c r="AD364">
        <v>-0.1547403</v>
      </c>
      <c r="AE364">
        <v>-0.14320000000003499</v>
      </c>
      <c r="AF364">
        <v>0.138413684173012</v>
      </c>
      <c r="AG364">
        <v>-0.1547403</v>
      </c>
      <c r="AH364">
        <v>0.71122523185423003</v>
      </c>
      <c r="AI364">
        <v>102.055104166606</v>
      </c>
      <c r="AJ364">
        <v>78.987153124879299</v>
      </c>
      <c r="AK364">
        <v>0.74090771276626599</v>
      </c>
      <c r="AL364">
        <v>81.064209579409507</v>
      </c>
      <c r="AM364">
        <v>89.098936067951499</v>
      </c>
      <c r="AN364">
        <v>1.0000000273177201</v>
      </c>
    </row>
    <row r="365" spans="1:40" x14ac:dyDescent="0.25">
      <c r="A365" t="str">
        <f>"20190312172338879"</f>
        <v>20190312172338879</v>
      </c>
      <c r="B365" t="str">
        <f>"1552382618870565"</f>
        <v>1552382618870565</v>
      </c>
      <c r="C365" t="s">
        <v>40</v>
      </c>
      <c r="D365">
        <v>3.668237</v>
      </c>
      <c r="E365">
        <v>0.55571190000000004</v>
      </c>
      <c r="F365" t="s">
        <v>41</v>
      </c>
      <c r="G365">
        <v>-397.49160000000001</v>
      </c>
      <c r="H365">
        <v>0.941743</v>
      </c>
      <c r="I365">
        <v>366.84780000000001</v>
      </c>
      <c r="J365">
        <v>-397.9051</v>
      </c>
      <c r="K365">
        <v>1.0703480000000001</v>
      </c>
      <c r="L365">
        <v>366.96409999999997</v>
      </c>
      <c r="M365">
        <v>0.99998900000000002</v>
      </c>
      <c r="N365">
        <v>0</v>
      </c>
      <c r="O365">
        <v>1.4031759999999999E-3</v>
      </c>
      <c r="P365">
        <v>0.98841800000000002</v>
      </c>
      <c r="Q365">
        <v>0.15108350000000001</v>
      </c>
      <c r="R365">
        <v>-1.4290310000000001E-2</v>
      </c>
      <c r="S365">
        <v>3.1076969999999999</v>
      </c>
      <c r="T365">
        <v>-0.52123999999999904</v>
      </c>
      <c r="U365">
        <v>-0.4779968</v>
      </c>
      <c r="V365">
        <v>1.5678480000000002E-2</v>
      </c>
      <c r="W365">
        <v>0.15553429999999999</v>
      </c>
      <c r="X365">
        <v>0.98770610000000003</v>
      </c>
      <c r="Y365">
        <v>0.15132509999999999</v>
      </c>
      <c r="Z365">
        <v>-1.276274E-2</v>
      </c>
      <c r="AA365">
        <v>0.98840170000000005</v>
      </c>
      <c r="AB365">
        <v>37</v>
      </c>
      <c r="AC365">
        <v>0.41349999999999898</v>
      </c>
      <c r="AD365">
        <v>-0.128604999999999</v>
      </c>
      <c r="AE365">
        <v>-0.116299999999967</v>
      </c>
      <c r="AF365">
        <v>0.107264905079445</v>
      </c>
      <c r="AG365">
        <v>-0.128604999999999</v>
      </c>
      <c r="AH365">
        <v>0.379333078729926</v>
      </c>
      <c r="AI365">
        <v>108.068244038706</v>
      </c>
      <c r="AJ365">
        <v>74.210564009194698</v>
      </c>
      <c r="AK365">
        <v>0.41465478473716699</v>
      </c>
      <c r="AL365">
        <v>81.0522151237721</v>
      </c>
      <c r="AM365">
        <v>89.090584441221694</v>
      </c>
      <c r="AN365">
        <v>1.0000000365944</v>
      </c>
    </row>
    <row r="366" spans="1:40" x14ac:dyDescent="0.25">
      <c r="A366" t="str">
        <f>"20190312172338901"</f>
        <v>20190312172338901</v>
      </c>
      <c r="B366" t="str">
        <f>"1552382618890085"</f>
        <v>1552382618890085</v>
      </c>
      <c r="C366" t="s">
        <v>40</v>
      </c>
      <c r="D366">
        <v>3.659967</v>
      </c>
      <c r="E366">
        <v>0.55728630000000001</v>
      </c>
      <c r="F366" t="s">
        <v>41</v>
      </c>
      <c r="G366">
        <v>-397.16829999999999</v>
      </c>
      <c r="H366">
        <v>0.94006690000000004</v>
      </c>
      <c r="I366">
        <v>366.8467</v>
      </c>
      <c r="J366">
        <v>-397.53899999999999</v>
      </c>
      <c r="K366">
        <v>1.073051</v>
      </c>
      <c r="L366">
        <v>366.96469999999999</v>
      </c>
      <c r="M366">
        <v>0.99998810000000005</v>
      </c>
      <c r="N366">
        <v>0</v>
      </c>
      <c r="O366">
        <v>1.4203149999999999E-3</v>
      </c>
      <c r="P366">
        <v>0.98844030000000005</v>
      </c>
      <c r="Q366">
        <v>0.1509335</v>
      </c>
      <c r="R366">
        <v>-1.4317750000000001E-2</v>
      </c>
      <c r="S366">
        <v>3.112152</v>
      </c>
      <c r="T366">
        <v>-0.55041499999999999</v>
      </c>
      <c r="U366">
        <v>-0.49533080000000002</v>
      </c>
      <c r="V366">
        <v>1.5723069999999999E-2</v>
      </c>
      <c r="W366">
        <v>0.15555079999999999</v>
      </c>
      <c r="X366">
        <v>0.98770279999999999</v>
      </c>
      <c r="Y366">
        <v>0.15619810000000001</v>
      </c>
      <c r="Z366">
        <v>-1.3870199999999999E-2</v>
      </c>
      <c r="AA366">
        <v>0.98762830000000001</v>
      </c>
      <c r="AB366">
        <v>37</v>
      </c>
      <c r="AC366">
        <v>0.37069999999999897</v>
      </c>
      <c r="AD366">
        <v>-0.13298409999999899</v>
      </c>
      <c r="AE366">
        <v>-0.117999999999994</v>
      </c>
      <c r="AF366">
        <v>0.10612536720490801</v>
      </c>
      <c r="AG366">
        <v>-0.13298409999999899</v>
      </c>
      <c r="AH366">
        <v>0.331764469954279</v>
      </c>
      <c r="AI366">
        <v>110.89594346743</v>
      </c>
      <c r="AJ366">
        <v>72.261479491381905</v>
      </c>
      <c r="AK366">
        <v>0.372847191140326</v>
      </c>
      <c r="AL366">
        <v>81.051258159924103</v>
      </c>
      <c r="AM366">
        <v>89.087995429669803</v>
      </c>
      <c r="AN366">
        <v>1.0000000437193499</v>
      </c>
    </row>
    <row r="367" spans="1:40" x14ac:dyDescent="0.25">
      <c r="A367" t="str">
        <f>"20190312172338924"</f>
        <v>20190312172338924</v>
      </c>
      <c r="B367" t="str">
        <f>"1552382618920342"</f>
        <v>1552382618920342</v>
      </c>
      <c r="C367" t="s">
        <v>40</v>
      </c>
      <c r="D367">
        <v>3.6623510000000001</v>
      </c>
      <c r="E367">
        <v>0.55892790000000003</v>
      </c>
      <c r="F367" t="s">
        <v>41</v>
      </c>
      <c r="G367">
        <v>-396.53960000000001</v>
      </c>
      <c r="H367">
        <v>0.889856599999999</v>
      </c>
      <c r="I367">
        <v>366.80110000000002</v>
      </c>
      <c r="J367">
        <v>-397.1789</v>
      </c>
      <c r="K367">
        <v>1.075882</v>
      </c>
      <c r="L367">
        <v>366.96519999999998</v>
      </c>
      <c r="M367">
        <v>0.99998880000000001</v>
      </c>
      <c r="N367">
        <v>0</v>
      </c>
      <c r="O367">
        <v>1.436014E-3</v>
      </c>
      <c r="P367">
        <v>0.98839489999999997</v>
      </c>
      <c r="Q367">
        <v>0.15126510000000001</v>
      </c>
      <c r="R367">
        <v>-1.3940799999999901E-2</v>
      </c>
      <c r="S367">
        <v>3.1148989999999999</v>
      </c>
      <c r="T367">
        <v>-0.57102580000000003</v>
      </c>
      <c r="U367">
        <v>-0.50878909999999999</v>
      </c>
      <c r="V367">
        <v>1.536116E-2</v>
      </c>
      <c r="W367">
        <v>0.15572079999999999</v>
      </c>
      <c r="X367">
        <v>0.9876817</v>
      </c>
      <c r="Y367">
        <v>0.16000020000000001</v>
      </c>
      <c r="Z367">
        <v>-1.471048E-2</v>
      </c>
      <c r="AA367">
        <v>0.98700739999999998</v>
      </c>
      <c r="AB367">
        <v>36</v>
      </c>
      <c r="AC367">
        <v>0.63929999999999099</v>
      </c>
      <c r="AD367">
        <v>-0.18602540000000001</v>
      </c>
      <c r="AE367">
        <v>-0.164099999999962</v>
      </c>
      <c r="AF367">
        <v>0.152874014317641</v>
      </c>
      <c r="AG367">
        <v>-0.18602540000000001</v>
      </c>
      <c r="AH367">
        <v>0.59203420363224901</v>
      </c>
      <c r="AI367">
        <v>106.921592066275</v>
      </c>
      <c r="AJ367">
        <v>75.521449854356206</v>
      </c>
      <c r="AK367">
        <v>0.639124723328101</v>
      </c>
      <c r="AL367">
        <v>81.041397659705098</v>
      </c>
      <c r="AM367">
        <v>89.108965284556902</v>
      </c>
      <c r="AN367">
        <v>1.0000000366520301</v>
      </c>
    </row>
    <row r="368" spans="1:40" x14ac:dyDescent="0.25">
      <c r="A368" t="str">
        <f>"20190312172338945"</f>
        <v>20190312172338945</v>
      </c>
      <c r="B368" t="str">
        <f>"1552382618939861"</f>
        <v>1552382618939861</v>
      </c>
      <c r="C368" t="s">
        <v>40</v>
      </c>
      <c r="D368">
        <v>3.6354950000000001</v>
      </c>
      <c r="E368">
        <v>0.55965149999999997</v>
      </c>
      <c r="F368" t="s">
        <v>41</v>
      </c>
      <c r="G368">
        <v>-396.21129999999999</v>
      </c>
      <c r="H368">
        <v>0.89251229999999904</v>
      </c>
      <c r="I368">
        <v>366.80329999999998</v>
      </c>
      <c r="J368">
        <v>-396.81020000000001</v>
      </c>
      <c r="K368">
        <v>1.0789120000000001</v>
      </c>
      <c r="L368">
        <v>366.96570000000003</v>
      </c>
      <c r="M368">
        <v>0.99998969999999998</v>
      </c>
      <c r="N368">
        <v>0</v>
      </c>
      <c r="O368">
        <v>1.4515909999999999E-3</v>
      </c>
      <c r="P368">
        <v>0.98839659999999996</v>
      </c>
      <c r="Q368">
        <v>0.15127989999999999</v>
      </c>
      <c r="R368">
        <v>-1.367049E-2</v>
      </c>
      <c r="S368">
        <v>3.1182560000000001</v>
      </c>
      <c r="T368">
        <v>-0.59103269999999997</v>
      </c>
      <c r="U368">
        <v>-0.52105709999999905</v>
      </c>
      <c r="V368">
        <v>1.51059E-2</v>
      </c>
      <c r="W368">
        <v>0.15554179999999901</v>
      </c>
      <c r="X368">
        <v>0.98771379999999998</v>
      </c>
      <c r="Y368">
        <v>0.16338939999999999</v>
      </c>
      <c r="Z368">
        <v>-1.55157E-2</v>
      </c>
      <c r="AA368">
        <v>0.98643959999999997</v>
      </c>
      <c r="AB368">
        <v>37</v>
      </c>
      <c r="AC368">
        <v>0.59890000000001398</v>
      </c>
      <c r="AD368">
        <v>-0.1863997</v>
      </c>
      <c r="AE368">
        <v>-0.16240000000004701</v>
      </c>
      <c r="AF368">
        <v>0.149756174684195</v>
      </c>
      <c r="AG368">
        <v>-0.1863997</v>
      </c>
      <c r="AH368">
        <v>0.54911506752124895</v>
      </c>
      <c r="AI368">
        <v>108.133311248327</v>
      </c>
      <c r="AJ368">
        <v>74.745122159884104</v>
      </c>
      <c r="AK368">
        <v>0.59891495005133999</v>
      </c>
      <c r="AL368">
        <v>81.051779738177004</v>
      </c>
      <c r="AM368">
        <v>89.123797961906504</v>
      </c>
      <c r="AN368">
        <v>0.99999999523624405</v>
      </c>
    </row>
    <row r="369" spans="1:40" x14ac:dyDescent="0.25">
      <c r="A369" t="str">
        <f>"20190312172338957"</f>
        <v>20190312172338957</v>
      </c>
      <c r="B369" t="str">
        <f>"1552382618950598"</f>
        <v>1552382618950598</v>
      </c>
      <c r="C369" t="s">
        <v>40</v>
      </c>
      <c r="D369">
        <v>3.6470579999999999</v>
      </c>
      <c r="E369">
        <v>0.56003519999999996</v>
      </c>
      <c r="F369" t="s">
        <v>41</v>
      </c>
      <c r="G369">
        <v>-395.88049999999998</v>
      </c>
      <c r="H369">
        <v>0.89950259999999904</v>
      </c>
      <c r="I369">
        <v>366.80849999999998</v>
      </c>
      <c r="J369">
        <v>-396.6173</v>
      </c>
      <c r="K369">
        <v>1.08053</v>
      </c>
      <c r="L369">
        <v>366.96600000000001</v>
      </c>
      <c r="M369">
        <v>0.99998989999999999</v>
      </c>
      <c r="N369">
        <v>0</v>
      </c>
      <c r="O369">
        <v>1.459964E-3</v>
      </c>
      <c r="P369">
        <v>0.98838599999999999</v>
      </c>
      <c r="Q369">
        <v>0.15136140000000001</v>
      </c>
      <c r="R369">
        <v>-1.35268E-2</v>
      </c>
      <c r="S369">
        <v>3.1201479999999999</v>
      </c>
      <c r="T369">
        <v>-0.60231049999999997</v>
      </c>
      <c r="U369">
        <v>-0.52593990000000002</v>
      </c>
      <c r="V369">
        <v>1.497039E-2</v>
      </c>
      <c r="W369">
        <v>0.15558369999999999</v>
      </c>
      <c r="X369">
        <v>0.98770930000000001</v>
      </c>
      <c r="Y369">
        <v>0.16467379999999901</v>
      </c>
      <c r="Z369">
        <v>-1.5918870000000002E-2</v>
      </c>
      <c r="AA369">
        <v>0.98621959999999997</v>
      </c>
      <c r="AB369">
        <v>37</v>
      </c>
      <c r="AC369">
        <v>0.736800000000016</v>
      </c>
      <c r="AD369">
        <v>-0.1810274</v>
      </c>
      <c r="AE369">
        <v>-0.15750000000002701</v>
      </c>
      <c r="AF369">
        <v>0.149920943994197</v>
      </c>
      <c r="AG369">
        <v>-0.1810274</v>
      </c>
      <c r="AH369">
        <v>0.69636942559659398</v>
      </c>
      <c r="AI369">
        <v>104.259062365936</v>
      </c>
      <c r="AJ369">
        <v>77.8502729134335</v>
      </c>
      <c r="AK369">
        <v>0.73496774480558102</v>
      </c>
      <c r="AL369">
        <v>81.049349779696399</v>
      </c>
      <c r="AM369">
        <v>89.131652914160597</v>
      </c>
      <c r="AN369">
        <v>1.0000000307944601</v>
      </c>
    </row>
    <row r="370" spans="1:40" x14ac:dyDescent="0.25">
      <c r="A370" t="str">
        <f>"20190312172338969"</f>
        <v>20190312172338969</v>
      </c>
      <c r="B370" t="str">
        <f>"1552382618960357"</f>
        <v>1552382618960357</v>
      </c>
      <c r="C370" t="s">
        <v>40</v>
      </c>
      <c r="D370">
        <v>3.6263679999999998</v>
      </c>
      <c r="E370">
        <v>0.56037239999999999</v>
      </c>
      <c r="F370" t="s">
        <v>41</v>
      </c>
      <c r="G370">
        <v>-395.86610000000002</v>
      </c>
      <c r="H370">
        <v>0.93458509999999995</v>
      </c>
      <c r="I370">
        <v>366.8383</v>
      </c>
      <c r="J370">
        <v>-396.41759999999999</v>
      </c>
      <c r="K370">
        <v>1.0822179999999999</v>
      </c>
      <c r="L370">
        <v>366.96629999999999</v>
      </c>
      <c r="M370">
        <v>0.99998960000000003</v>
      </c>
      <c r="N370">
        <v>0</v>
      </c>
      <c r="O370">
        <v>1.4684660000000001E-3</v>
      </c>
      <c r="P370">
        <v>0.98843910000000001</v>
      </c>
      <c r="Q370">
        <v>0.15104719999999999</v>
      </c>
      <c r="R370">
        <v>-1.3153689999999999E-2</v>
      </c>
      <c r="S370">
        <v>3.1208800000000001</v>
      </c>
      <c r="T370">
        <v>-0.60653809999999997</v>
      </c>
      <c r="U370">
        <v>-0.52862549999999997</v>
      </c>
      <c r="V370">
        <v>1.46056E-2</v>
      </c>
      <c r="W370">
        <v>0.15530820000000001</v>
      </c>
      <c r="X370">
        <v>0.98775809999999997</v>
      </c>
      <c r="Y370">
        <v>0.16541600000000001</v>
      </c>
      <c r="Z370">
        <v>-1.609642E-2</v>
      </c>
      <c r="AA370">
        <v>0.98609250000000004</v>
      </c>
      <c r="AB370">
        <v>37</v>
      </c>
      <c r="AC370">
        <v>0.55149999999997501</v>
      </c>
      <c r="AD370">
        <v>-0.14763290000000001</v>
      </c>
      <c r="AE370">
        <v>-0.12799999999998499</v>
      </c>
      <c r="AF370">
        <v>0.120608709491589</v>
      </c>
      <c r="AG370">
        <v>-0.14763290000000001</v>
      </c>
      <c r="AH370">
        <v>0.51621070906146405</v>
      </c>
      <c r="AI370">
        <v>105.562157462336</v>
      </c>
      <c r="AJ370">
        <v>76.8491849057515</v>
      </c>
      <c r="AK370">
        <v>0.55028667993817204</v>
      </c>
      <c r="AL370">
        <v>81.065328837228606</v>
      </c>
      <c r="AM370">
        <v>89.152851031754807</v>
      </c>
      <c r="AN370">
        <v>1.0000000123271</v>
      </c>
    </row>
    <row r="371" spans="1:40" x14ac:dyDescent="0.25">
      <c r="A371" t="str">
        <f>"20190312172338992"</f>
        <v>20190312172338992</v>
      </c>
      <c r="B371" t="str">
        <f>"1552382618980458"</f>
        <v>1552382618980458</v>
      </c>
      <c r="C371" t="s">
        <v>40</v>
      </c>
      <c r="D371">
        <v>3.6558320000000002</v>
      </c>
      <c r="E371">
        <v>0.56077390000000005</v>
      </c>
      <c r="F371" t="s">
        <v>41</v>
      </c>
      <c r="G371">
        <v>-395.5471</v>
      </c>
      <c r="H371">
        <v>0.91171250000000004</v>
      </c>
      <c r="I371">
        <v>366.81819999999999</v>
      </c>
      <c r="J371">
        <v>-396.04919999999998</v>
      </c>
      <c r="K371">
        <v>1.0852869999999999</v>
      </c>
      <c r="L371">
        <v>366.96690000000001</v>
      </c>
      <c r="M371">
        <v>0.99998860000000001</v>
      </c>
      <c r="N371">
        <v>0</v>
      </c>
      <c r="O371">
        <v>1.4846810000000001E-3</v>
      </c>
      <c r="P371">
        <v>0.98847320000000005</v>
      </c>
      <c r="Q371">
        <v>0.15084310000000001</v>
      </c>
      <c r="R371">
        <v>-1.292595E-2</v>
      </c>
      <c r="S371">
        <v>3.121521</v>
      </c>
      <c r="T371">
        <v>-0.61155819999999905</v>
      </c>
      <c r="U371">
        <v>-0.52993769999999996</v>
      </c>
      <c r="V371">
        <v>1.439383E-2</v>
      </c>
      <c r="W371">
        <v>0.15531710000000001</v>
      </c>
      <c r="X371">
        <v>0.98775979999999997</v>
      </c>
      <c r="Y371">
        <v>0.16574659999999999</v>
      </c>
      <c r="Z371">
        <v>-1.6258430000000001E-2</v>
      </c>
      <c r="AA371">
        <v>0.98603430000000003</v>
      </c>
      <c r="AB371">
        <v>37</v>
      </c>
      <c r="AC371">
        <v>0.502099999999984</v>
      </c>
      <c r="AD371">
        <v>-0.17357449999999999</v>
      </c>
      <c r="AE371">
        <v>-0.14870000000001901</v>
      </c>
      <c r="AF371">
        <v>0.13465118428429401</v>
      </c>
      <c r="AG371">
        <v>-0.17357449999999999</v>
      </c>
      <c r="AH371">
        <v>0.45219593142866799</v>
      </c>
      <c r="AI371">
        <v>110.197788624967</v>
      </c>
      <c r="AJ371">
        <v>73.417954080851104</v>
      </c>
      <c r="AK371">
        <v>0.502732741006644</v>
      </c>
      <c r="AL371">
        <v>81.064812558681496</v>
      </c>
      <c r="AM371">
        <v>89.165133727506799</v>
      </c>
      <c r="AN371">
        <v>1.0000000031952501</v>
      </c>
    </row>
    <row r="372" spans="1:40" x14ac:dyDescent="0.25">
      <c r="A372" t="str">
        <f>"20190312172339013"</f>
        <v>20190312172339013</v>
      </c>
      <c r="B372" t="str">
        <f>"1552382619010711"</f>
        <v>1552382619010711</v>
      </c>
      <c r="C372" t="s">
        <v>40</v>
      </c>
      <c r="D372">
        <v>3.7418580000000001</v>
      </c>
      <c r="E372">
        <v>0.5611429</v>
      </c>
      <c r="F372" t="s">
        <v>41</v>
      </c>
      <c r="G372">
        <v>-395.21449999999999</v>
      </c>
      <c r="H372">
        <v>0.92009470000000004</v>
      </c>
      <c r="I372">
        <v>366.82389999999998</v>
      </c>
      <c r="J372">
        <v>-395.69450000000001</v>
      </c>
      <c r="K372">
        <v>1.0881240000000001</v>
      </c>
      <c r="L372">
        <v>366.9674</v>
      </c>
      <c r="M372">
        <v>0.99998690000000001</v>
      </c>
      <c r="N372">
        <v>0</v>
      </c>
      <c r="O372">
        <v>1.5010220000000001E-3</v>
      </c>
      <c r="P372">
        <v>0.98858230000000002</v>
      </c>
      <c r="Q372">
        <v>0.15014350000000001</v>
      </c>
      <c r="R372">
        <v>-1.2735740000000001E-2</v>
      </c>
      <c r="S372">
        <v>3.1223450000000001</v>
      </c>
      <c r="T372">
        <v>-0.61817739999999999</v>
      </c>
      <c r="U372">
        <v>-0.53262330000000002</v>
      </c>
      <c r="V372">
        <v>1.421971E-2</v>
      </c>
      <c r="W372">
        <v>0.154964299999999</v>
      </c>
      <c r="X372">
        <v>0.98781770000000002</v>
      </c>
      <c r="Y372">
        <v>0.16646559999999999</v>
      </c>
      <c r="Z372">
        <v>-1.649898E-2</v>
      </c>
      <c r="AA372">
        <v>0.98590919999999904</v>
      </c>
      <c r="AB372">
        <v>37</v>
      </c>
      <c r="AC372">
        <v>0.48000000000001802</v>
      </c>
      <c r="AD372">
        <v>-0.16802929999999899</v>
      </c>
      <c r="AE372">
        <v>-0.143500000000017</v>
      </c>
      <c r="AF372">
        <v>0.12963755026507801</v>
      </c>
      <c r="AG372">
        <v>-0.16802929999999899</v>
      </c>
      <c r="AH372">
        <v>0.43127086833776501</v>
      </c>
      <c r="AI372">
        <v>110.461638417423</v>
      </c>
      <c r="AJ372">
        <v>73.269523305335696</v>
      </c>
      <c r="AK372">
        <v>0.48066027709186698</v>
      </c>
      <c r="AL372">
        <v>81.0852739665755</v>
      </c>
      <c r="AM372">
        <v>89.175279912159297</v>
      </c>
      <c r="AN372">
        <v>0.99999997143013097</v>
      </c>
    </row>
    <row r="373" spans="1:40" x14ac:dyDescent="0.25">
      <c r="A373" t="str">
        <f>"20190312172339036"</f>
        <v>20190312172339036</v>
      </c>
      <c r="B373" t="str">
        <f>"1552382619030230"</f>
        <v>1552382619030230</v>
      </c>
      <c r="C373" t="s">
        <v>40</v>
      </c>
      <c r="D373">
        <v>3.6621329999999999</v>
      </c>
      <c r="E373">
        <v>0.56921429999999995</v>
      </c>
      <c r="F373" t="s">
        <v>41</v>
      </c>
      <c r="G373">
        <v>-394.8827</v>
      </c>
      <c r="H373">
        <v>0.92553909999999995</v>
      </c>
      <c r="I373">
        <v>366.82819999999998</v>
      </c>
      <c r="J373">
        <v>-395.33420000000001</v>
      </c>
      <c r="K373">
        <v>1.0908359999999999</v>
      </c>
      <c r="L373">
        <v>366.96800000000002</v>
      </c>
      <c r="M373">
        <v>0.99998489999999995</v>
      </c>
      <c r="N373">
        <v>0</v>
      </c>
      <c r="O373">
        <v>1.5170629999999999E-3</v>
      </c>
      <c r="P373">
        <v>0.98862559999999999</v>
      </c>
      <c r="Q373">
        <v>0.14987739999999999</v>
      </c>
      <c r="R373">
        <v>-1.2522699999999999E-2</v>
      </c>
      <c r="S373">
        <v>3.1227420000000001</v>
      </c>
      <c r="T373">
        <v>-0.62539529999999999</v>
      </c>
      <c r="U373">
        <v>-0.53552250000000001</v>
      </c>
      <c r="V373">
        <v>1.4022389999999999E-2</v>
      </c>
      <c r="W373">
        <v>0.15513440000000001</v>
      </c>
      <c r="X373">
        <v>0.9877939</v>
      </c>
      <c r="Y373">
        <v>0.16726189999999999</v>
      </c>
      <c r="Z373">
        <v>-1.6766219999999998E-2</v>
      </c>
      <c r="AA373">
        <v>0.98576989999999998</v>
      </c>
      <c r="AB373">
        <v>37</v>
      </c>
      <c r="AC373">
        <v>0.45150000000001</v>
      </c>
      <c r="AD373">
        <v>-0.1652969</v>
      </c>
      <c r="AE373">
        <v>-0.13980000000003601</v>
      </c>
      <c r="AF373">
        <v>0.12517495383726801</v>
      </c>
      <c r="AG373">
        <v>-0.1652969</v>
      </c>
      <c r="AH373">
        <v>0.402106686377946</v>
      </c>
      <c r="AI373">
        <v>111.42996132280101</v>
      </c>
      <c r="AJ373">
        <v>72.708746100821003</v>
      </c>
      <c r="AK373">
        <v>0.45241752999593698</v>
      </c>
      <c r="AL373">
        <v>81.075409349768094</v>
      </c>
      <c r="AM373">
        <v>89.186703011228104</v>
      </c>
      <c r="AN373">
        <v>1.00000004918094</v>
      </c>
    </row>
    <row r="374" spans="1:40" x14ac:dyDescent="0.25">
      <c r="A374" t="str">
        <f>"20190312172339057"</f>
        <v>20190312172339057</v>
      </c>
      <c r="B374" t="str">
        <f>"1552382619050726"</f>
        <v>1552382619050726</v>
      </c>
      <c r="C374" t="s">
        <v>40</v>
      </c>
      <c r="D374">
        <v>3.6034519999999999</v>
      </c>
      <c r="E374">
        <v>0.56697159999999902</v>
      </c>
      <c r="F374" t="s">
        <v>41</v>
      </c>
      <c r="G374">
        <v>-394.55900000000003</v>
      </c>
      <c r="H374">
        <v>0.9107054</v>
      </c>
      <c r="I374">
        <v>366.81920000000002</v>
      </c>
      <c r="J374">
        <v>-394.96339999999998</v>
      </c>
      <c r="K374">
        <v>1.093394</v>
      </c>
      <c r="L374">
        <v>366.96859999999998</v>
      </c>
      <c r="M374">
        <v>0.99998200000000004</v>
      </c>
      <c r="N374">
        <v>0</v>
      </c>
      <c r="O374">
        <v>1.5332010000000001E-3</v>
      </c>
      <c r="P374">
        <v>0.98873480000000002</v>
      </c>
      <c r="Q374">
        <v>0.14916209999999999</v>
      </c>
      <c r="R374">
        <v>-1.242798E-2</v>
      </c>
      <c r="S374">
        <v>3.1374819999999999</v>
      </c>
      <c r="T374">
        <v>-0.72908619999999902</v>
      </c>
      <c r="U374">
        <v>-0.60052490000000003</v>
      </c>
      <c r="V374">
        <v>1.3943769999999999E-2</v>
      </c>
      <c r="W374">
        <v>0.15491150000000001</v>
      </c>
      <c r="X374">
        <v>0.98782990000000004</v>
      </c>
      <c r="Y374">
        <v>0.18470700000000001</v>
      </c>
      <c r="Z374">
        <v>-2.1344209999999999E-2</v>
      </c>
      <c r="AA374">
        <v>0.98256180000000004</v>
      </c>
      <c r="AB374">
        <v>37</v>
      </c>
      <c r="AC374">
        <v>0.40439999999995202</v>
      </c>
      <c r="AD374">
        <v>-0.18268860000000001</v>
      </c>
      <c r="AE374">
        <v>-0.14939999999995701</v>
      </c>
      <c r="AF374">
        <v>0.12718165067547099</v>
      </c>
      <c r="AG374">
        <v>-0.18268860000000001</v>
      </c>
      <c r="AH374">
        <v>0.34264174011415199</v>
      </c>
      <c r="AI374">
        <v>116.558355413846</v>
      </c>
      <c r="AJ374">
        <v>69.636097499589596</v>
      </c>
      <c r="AK374">
        <v>0.408599631555085</v>
      </c>
      <c r="AL374">
        <v>81.0883360276123</v>
      </c>
      <c r="AM374">
        <v>89.191291824058396</v>
      </c>
      <c r="AN374">
        <v>0.99999995644403505</v>
      </c>
    </row>
    <row r="375" spans="1:40" x14ac:dyDescent="0.25">
      <c r="A375" t="str">
        <f>"20190312172339079"</f>
        <v>20190312172339079</v>
      </c>
      <c r="B375" t="str">
        <f>"1552382619069848"</f>
        <v>1552382619069848</v>
      </c>
      <c r="C375" t="s">
        <v>40</v>
      </c>
      <c r="D375">
        <v>3.6990539999999998</v>
      </c>
      <c r="E375">
        <v>0.56593830000000001</v>
      </c>
      <c r="F375" t="s">
        <v>41</v>
      </c>
      <c r="G375">
        <v>-394.2242</v>
      </c>
      <c r="H375">
        <v>0.92290039999999995</v>
      </c>
      <c r="I375">
        <v>366.8313</v>
      </c>
      <c r="J375">
        <v>-394.59309999999999</v>
      </c>
      <c r="K375">
        <v>1.0957030000000001</v>
      </c>
      <c r="L375">
        <v>366.96910000000003</v>
      </c>
      <c r="M375">
        <v>0.99997879999999995</v>
      </c>
      <c r="N375">
        <v>0</v>
      </c>
      <c r="O375">
        <v>1.5485129999999901E-3</v>
      </c>
      <c r="P375">
        <v>0.98881410000000003</v>
      </c>
      <c r="Q375">
        <v>0.14863029999999999</v>
      </c>
      <c r="R375">
        <v>-1.2474300000000001E-2</v>
      </c>
      <c r="S375">
        <v>3.1359859999999999</v>
      </c>
      <c r="T375">
        <v>-0.72326519999999905</v>
      </c>
      <c r="U375">
        <v>-0.58233639999999998</v>
      </c>
      <c r="V375">
        <v>1.4005439999999999E-2</v>
      </c>
      <c r="W375">
        <v>0.15488660000000001</v>
      </c>
      <c r="X375">
        <v>0.98783299999999996</v>
      </c>
      <c r="Y375">
        <v>0.1794994</v>
      </c>
      <c r="Z375">
        <v>-2.0614150000000001E-2</v>
      </c>
      <c r="AA375">
        <v>0.98354209999999997</v>
      </c>
      <c r="AB375">
        <v>37</v>
      </c>
      <c r="AC375">
        <v>0.36889999999999601</v>
      </c>
      <c r="AD375">
        <v>-0.1728026</v>
      </c>
      <c r="AE375">
        <v>-0.13780000000002601</v>
      </c>
      <c r="AF375">
        <v>0.116029064031223</v>
      </c>
      <c r="AG375">
        <v>-0.1728026</v>
      </c>
      <c r="AH375">
        <v>0.30915641564643598</v>
      </c>
      <c r="AI375">
        <v>117.623374304102</v>
      </c>
      <c r="AJ375">
        <v>69.428454378885505</v>
      </c>
      <c r="AK375">
        <v>0.37269447487462598</v>
      </c>
      <c r="AL375">
        <v>81.0897807251594</v>
      </c>
      <c r="AM375">
        <v>89.187718125816602</v>
      </c>
      <c r="AN375">
        <v>1.00000002354907</v>
      </c>
    </row>
    <row r="376" spans="1:40" x14ac:dyDescent="0.25">
      <c r="A376" t="str">
        <f>"20190312172339092"</f>
        <v>20190312172339092</v>
      </c>
      <c r="B376" t="str">
        <f>"1552382619090344"</f>
        <v>1552382619090344</v>
      </c>
      <c r="C376" t="s">
        <v>40</v>
      </c>
      <c r="D376">
        <v>3.6050409999999999</v>
      </c>
      <c r="E376">
        <v>0.56546409999999903</v>
      </c>
      <c r="F376" t="s">
        <v>41</v>
      </c>
      <c r="G376">
        <v>-393.88920000000002</v>
      </c>
      <c r="H376">
        <v>0.93385419999999997</v>
      </c>
      <c r="I376">
        <v>366.83980000000003</v>
      </c>
      <c r="J376">
        <v>-394.39139999999998</v>
      </c>
      <c r="K376">
        <v>1.0968359999999999</v>
      </c>
      <c r="L376">
        <v>366.96949999999998</v>
      </c>
      <c r="M376">
        <v>0.999977</v>
      </c>
      <c r="N376">
        <v>0</v>
      </c>
      <c r="O376">
        <v>1.55383E-3</v>
      </c>
      <c r="P376">
        <v>0.98884039999999995</v>
      </c>
      <c r="Q376">
        <v>0.14845229999999901</v>
      </c>
      <c r="R376">
        <v>-1.2526529999999999E-2</v>
      </c>
      <c r="S376">
        <v>3.1350709999999999</v>
      </c>
      <c r="T376">
        <v>-0.72090149999999997</v>
      </c>
      <c r="U376">
        <v>-0.57412719999999995</v>
      </c>
      <c r="V376">
        <v>1.4062160000000001E-2</v>
      </c>
      <c r="W376">
        <v>0.15498129999999999</v>
      </c>
      <c r="X376">
        <v>0.98781730000000001</v>
      </c>
      <c r="Y376">
        <v>0.17714859999999999</v>
      </c>
      <c r="Z376">
        <v>-2.029539E-2</v>
      </c>
      <c r="AA376">
        <v>0.98397480000000004</v>
      </c>
      <c r="AB376">
        <v>37</v>
      </c>
      <c r="AC376">
        <v>0.50219999999995901</v>
      </c>
      <c r="AD376">
        <v>-0.16298180000000001</v>
      </c>
      <c r="AE376">
        <v>-0.12969999999995699</v>
      </c>
      <c r="AF376">
        <v>0.118754647716387</v>
      </c>
      <c r="AG376">
        <v>-0.16298180000000001</v>
      </c>
      <c r="AH376">
        <v>0.45688603742114797</v>
      </c>
      <c r="AI376">
        <v>109.04729570541799</v>
      </c>
      <c r="AJ376">
        <v>75.429979945883403</v>
      </c>
      <c r="AK376">
        <v>0.49941023685531499</v>
      </c>
      <c r="AL376">
        <v>81.084288130321795</v>
      </c>
      <c r="AM376">
        <v>89.184415984890194</v>
      </c>
      <c r="AN376">
        <v>0.999999982936422</v>
      </c>
    </row>
    <row r="377" spans="1:40" x14ac:dyDescent="0.25">
      <c r="A377" t="str">
        <f>"20190312172339112"</f>
        <v>20190312172339112</v>
      </c>
      <c r="B377" t="str">
        <f>"1552382619109864"</f>
        <v>1552382619109864</v>
      </c>
      <c r="C377" t="s">
        <v>40</v>
      </c>
      <c r="D377">
        <v>3.6675840000000002</v>
      </c>
      <c r="E377">
        <v>0.56559869999999901</v>
      </c>
      <c r="F377" t="s">
        <v>41</v>
      </c>
      <c r="G377">
        <v>-393.5693</v>
      </c>
      <c r="H377">
        <v>0.90770629999999997</v>
      </c>
      <c r="I377">
        <v>366.81970000000001</v>
      </c>
      <c r="J377">
        <v>-394.05380000000002</v>
      </c>
      <c r="K377">
        <v>1.0985929999999999</v>
      </c>
      <c r="L377">
        <v>366.97</v>
      </c>
      <c r="M377">
        <v>0.99997389999999997</v>
      </c>
      <c r="N377">
        <v>0</v>
      </c>
      <c r="O377">
        <v>1.5632619999999999E-3</v>
      </c>
      <c r="P377">
        <v>0.98886810000000003</v>
      </c>
      <c r="Q377">
        <v>0.14828339999999901</v>
      </c>
      <c r="R377">
        <v>-1.234348E-2</v>
      </c>
      <c r="S377">
        <v>3.1349179999999999</v>
      </c>
      <c r="T377">
        <v>-0.72134860000000001</v>
      </c>
      <c r="U377">
        <v>-0.57086179999999997</v>
      </c>
      <c r="V377">
        <v>1.3887969999999999E-2</v>
      </c>
      <c r="W377">
        <v>0.1552587</v>
      </c>
      <c r="X377">
        <v>0.98777619999999999</v>
      </c>
      <c r="Y377">
        <v>0.1761914</v>
      </c>
      <c r="Z377">
        <v>-2.0204710000000001E-2</v>
      </c>
      <c r="AA377">
        <v>0.98414860000000004</v>
      </c>
      <c r="AB377">
        <v>37</v>
      </c>
      <c r="AC377">
        <v>0.48450000000002502</v>
      </c>
      <c r="AD377">
        <v>-0.19088669999999999</v>
      </c>
      <c r="AE377">
        <v>-0.150300000000015</v>
      </c>
      <c r="AF377">
        <v>0.13232074372868599</v>
      </c>
      <c r="AG377">
        <v>-0.19088669999999999</v>
      </c>
      <c r="AH377">
        <v>0.42419835836476699</v>
      </c>
      <c r="AI377">
        <v>113.24737919167301</v>
      </c>
      <c r="AJ377">
        <v>72.675665539346298</v>
      </c>
      <c r="AK377">
        <v>0.48362253741649103</v>
      </c>
      <c r="AL377">
        <v>81.068199516276493</v>
      </c>
      <c r="AM377">
        <v>89.194483891470895</v>
      </c>
      <c r="AN377">
        <v>0.99999998046142502</v>
      </c>
    </row>
    <row r="378" spans="1:40" x14ac:dyDescent="0.25">
      <c r="A378" t="str">
        <f>"20190312172339124"</f>
        <v>20190312172339124</v>
      </c>
      <c r="B378" t="str">
        <f>"1552382619120600"</f>
        <v>1552382619120600</v>
      </c>
      <c r="C378" t="s">
        <v>40</v>
      </c>
      <c r="D378">
        <v>3.5942099999999999</v>
      </c>
      <c r="E378">
        <v>0.5655462</v>
      </c>
      <c r="F378" t="s">
        <v>41</v>
      </c>
      <c r="G378">
        <v>-393.23750000000001</v>
      </c>
      <c r="H378">
        <v>0.91043079999999998</v>
      </c>
      <c r="I378">
        <v>366.82100000000003</v>
      </c>
      <c r="J378">
        <v>-393.86160000000001</v>
      </c>
      <c r="K378">
        <v>1.0995170000000001</v>
      </c>
      <c r="L378">
        <v>366.97039999999998</v>
      </c>
      <c r="M378">
        <v>0.99997210000000003</v>
      </c>
      <c r="N378">
        <v>0</v>
      </c>
      <c r="O378">
        <v>1.569577E-3</v>
      </c>
      <c r="P378">
        <v>0.98890610000000001</v>
      </c>
      <c r="Q378">
        <v>0.148032</v>
      </c>
      <c r="R378">
        <v>-1.230527E-2</v>
      </c>
      <c r="S378">
        <v>3.1350099999999999</v>
      </c>
      <c r="T378">
        <v>-0.72272829999999999</v>
      </c>
      <c r="U378">
        <v>-0.57101440000000003</v>
      </c>
      <c r="V378">
        <v>1.3856490000000001E-2</v>
      </c>
      <c r="W378">
        <v>0.1552531</v>
      </c>
      <c r="X378">
        <v>0.98777749999999997</v>
      </c>
      <c r="Y378">
        <v>0.1762213</v>
      </c>
      <c r="Z378">
        <v>-2.0246529999999999E-2</v>
      </c>
      <c r="AA378">
        <v>0.98414230000000003</v>
      </c>
      <c r="AB378">
        <v>37</v>
      </c>
      <c r="AC378">
        <v>0.62409999999999799</v>
      </c>
      <c r="AD378">
        <v>-0.18908620000000001</v>
      </c>
      <c r="AE378">
        <v>-0.14940000000001399</v>
      </c>
      <c r="AF378">
        <v>0.13836666420632801</v>
      </c>
      <c r="AG378">
        <v>-0.18908620000000001</v>
      </c>
      <c r="AH378">
        <v>0.57402857680776398</v>
      </c>
      <c r="AI378">
        <v>107.756640290948</v>
      </c>
      <c r="AJ378">
        <v>76.447672091246901</v>
      </c>
      <c r="AK378">
        <v>0.62000623527991505</v>
      </c>
      <c r="AL378">
        <v>81.068524112727999</v>
      </c>
      <c r="AM378">
        <v>89.196310580682706</v>
      </c>
      <c r="AN378">
        <v>0.99999995844048895</v>
      </c>
    </row>
    <row r="379" spans="1:40" x14ac:dyDescent="0.25">
      <c r="A379" t="str">
        <f>"20190312172339147"</f>
        <v>20190312172339147</v>
      </c>
      <c r="B379" t="str">
        <f>"1552382619140120"</f>
        <v>1552382619140120</v>
      </c>
      <c r="C379" t="s">
        <v>40</v>
      </c>
      <c r="D379">
        <v>3.653143</v>
      </c>
      <c r="E379">
        <v>0.56510009999999999</v>
      </c>
      <c r="F379" t="s">
        <v>41</v>
      </c>
      <c r="G379">
        <v>-392.9178</v>
      </c>
      <c r="H379">
        <v>0.88162199999999902</v>
      </c>
      <c r="I379">
        <v>366.79860000000002</v>
      </c>
      <c r="J379">
        <v>-393.48090000000002</v>
      </c>
      <c r="K379">
        <v>1.101129</v>
      </c>
      <c r="L379">
        <v>366.971</v>
      </c>
      <c r="M379">
        <v>0.99996859999999999</v>
      </c>
      <c r="N379">
        <v>0</v>
      </c>
      <c r="O379">
        <v>1.5855190000000001E-3</v>
      </c>
      <c r="P379">
        <v>0.98894879999999996</v>
      </c>
      <c r="Q379">
        <v>0.14774019999999999</v>
      </c>
      <c r="R379">
        <v>-1.23693E-2</v>
      </c>
      <c r="S379">
        <v>3.1348880000000001</v>
      </c>
      <c r="T379">
        <v>-0.72367999999999999</v>
      </c>
      <c r="U379">
        <v>-0.57022090000000003</v>
      </c>
      <c r="V379">
        <v>1.393725E-2</v>
      </c>
      <c r="W379">
        <v>0.15541749999999999</v>
      </c>
      <c r="X379">
        <v>0.98775049999999998</v>
      </c>
      <c r="Y379">
        <v>0.1759956</v>
      </c>
      <c r="Z379">
        <v>-2.025182E-2</v>
      </c>
      <c r="AA379">
        <v>0.98418260000000002</v>
      </c>
      <c r="AB379">
        <v>37</v>
      </c>
      <c r="AC379">
        <v>0.56310000000001903</v>
      </c>
      <c r="AD379">
        <v>-0.21950700000000001</v>
      </c>
      <c r="AE379">
        <v>-0.17239999999998101</v>
      </c>
      <c r="AF379">
        <v>0.15215313393118399</v>
      </c>
      <c r="AG379">
        <v>-0.21950700000000001</v>
      </c>
      <c r="AH379">
        <v>0.49416837658180401</v>
      </c>
      <c r="AI379">
        <v>113.00255990776699</v>
      </c>
      <c r="AJ379">
        <v>72.886539604321598</v>
      </c>
      <c r="AK379">
        <v>0.56172616427185995</v>
      </c>
      <c r="AL379">
        <v>81.058988854562898</v>
      </c>
      <c r="AM379">
        <v>89.191604950892298</v>
      </c>
      <c r="AN379">
        <v>0.99999994824702998</v>
      </c>
    </row>
    <row r="380" spans="1:40" x14ac:dyDescent="0.25">
      <c r="A380" t="str">
        <f>"20190312172339158"</f>
        <v>20190312172339158</v>
      </c>
      <c r="B380" t="str">
        <f>"1552382619149880"</f>
        <v>1552382619149880</v>
      </c>
      <c r="C380" t="s">
        <v>40</v>
      </c>
      <c r="D380">
        <v>3.6056319999999999</v>
      </c>
      <c r="E380">
        <v>0.56503049999999999</v>
      </c>
      <c r="F380" t="s">
        <v>41</v>
      </c>
      <c r="G380">
        <v>-392.58199999999999</v>
      </c>
      <c r="H380">
        <v>0.89420639999999996</v>
      </c>
      <c r="I380">
        <v>366.80810000000002</v>
      </c>
      <c r="J380">
        <v>-393.27910000000003</v>
      </c>
      <c r="K380">
        <v>1.1019060000000001</v>
      </c>
      <c r="L380">
        <v>366.97129999999999</v>
      </c>
      <c r="M380">
        <v>0.99996689999999999</v>
      </c>
      <c r="N380">
        <v>0</v>
      </c>
      <c r="O380">
        <v>1.5949060000000001E-3</v>
      </c>
      <c r="P380">
        <v>0.98899610000000004</v>
      </c>
      <c r="Q380">
        <v>0.14742859999999999</v>
      </c>
      <c r="R380">
        <v>-1.2323829999999999E-2</v>
      </c>
      <c r="S380">
        <v>3.1342159999999999</v>
      </c>
      <c r="T380">
        <v>-0.72155269999999905</v>
      </c>
      <c r="U380">
        <v>-0.56674190000000002</v>
      </c>
      <c r="V380">
        <v>1.3901500000000001E-2</v>
      </c>
      <c r="W380">
        <v>0.15533459999999999</v>
      </c>
      <c r="X380">
        <v>0.98776410000000003</v>
      </c>
      <c r="Y380">
        <v>0.17503170000000001</v>
      </c>
      <c r="Z380">
        <v>-2.0093280000000002E-2</v>
      </c>
      <c r="AA380">
        <v>0.9843577</v>
      </c>
      <c r="AB380">
        <v>37</v>
      </c>
      <c r="AC380">
        <v>0.69710000000003403</v>
      </c>
      <c r="AD380">
        <v>-0.20769960000000001</v>
      </c>
      <c r="AE380">
        <v>-0.16319999999995999</v>
      </c>
      <c r="AF380">
        <v>0.15155658491493601</v>
      </c>
      <c r="AG380">
        <v>-0.20769960000000001</v>
      </c>
      <c r="AH380">
        <v>0.64274517202477699</v>
      </c>
      <c r="AI380">
        <v>107.45936494354</v>
      </c>
      <c r="AJ380">
        <v>76.732249038281296</v>
      </c>
      <c r="AK380">
        <v>0.69226431255149801</v>
      </c>
      <c r="AL380">
        <v>81.063797566177698</v>
      </c>
      <c r="AM380">
        <v>89.193689365741903</v>
      </c>
      <c r="AN380">
        <v>1.0000000034540999</v>
      </c>
    </row>
    <row r="381" spans="1:40" x14ac:dyDescent="0.25">
      <c r="A381" t="str">
        <f>"20190312172339171"</f>
        <v>20190312172339171</v>
      </c>
      <c r="B381" t="str">
        <f>"1552382619160616"</f>
        <v>1552382619160616</v>
      </c>
      <c r="C381" t="s">
        <v>40</v>
      </c>
      <c r="D381">
        <v>3.684653</v>
      </c>
      <c r="E381">
        <v>0.56516560000000005</v>
      </c>
      <c r="F381" t="s">
        <v>41</v>
      </c>
      <c r="G381">
        <v>-392.56479999999999</v>
      </c>
      <c r="H381">
        <v>0.93730829999999998</v>
      </c>
      <c r="I381">
        <v>366.84190000000001</v>
      </c>
      <c r="J381">
        <v>-393.08229999999998</v>
      </c>
      <c r="K381">
        <v>1.102584</v>
      </c>
      <c r="L381">
        <v>366.97160000000002</v>
      </c>
      <c r="M381">
        <v>0.99996499999999999</v>
      </c>
      <c r="N381">
        <v>0</v>
      </c>
      <c r="O381">
        <v>1.6044779999999999E-3</v>
      </c>
      <c r="P381">
        <v>0.9890272</v>
      </c>
      <c r="Q381">
        <v>0.14722569999999999</v>
      </c>
      <c r="R381">
        <v>-1.2258369999999999E-2</v>
      </c>
      <c r="S381">
        <v>3.133972</v>
      </c>
      <c r="T381">
        <v>-0.72228959999999998</v>
      </c>
      <c r="U381">
        <v>-0.5661621</v>
      </c>
      <c r="V381">
        <v>1.3845680000000001E-2</v>
      </c>
      <c r="W381">
        <v>0.1553388</v>
      </c>
      <c r="X381">
        <v>0.98776419999999998</v>
      </c>
      <c r="Y381">
        <v>0.1748721</v>
      </c>
      <c r="Z381">
        <v>-2.0099260000000001E-2</v>
      </c>
      <c r="AA381">
        <v>0.98438599999999998</v>
      </c>
      <c r="AB381">
        <v>37</v>
      </c>
      <c r="AC381">
        <v>0.51749999999998397</v>
      </c>
      <c r="AD381">
        <v>-0.165275699999999</v>
      </c>
      <c r="AE381">
        <v>-0.129700000000013</v>
      </c>
      <c r="AF381">
        <v>0.119100033063709</v>
      </c>
      <c r="AG381">
        <v>-0.165275699999999</v>
      </c>
      <c r="AH381">
        <v>0.47199354876150201</v>
      </c>
      <c r="AI381">
        <v>108.753522927635</v>
      </c>
      <c r="AJ381">
        <v>75.837962365107302</v>
      </c>
      <c r="AK381">
        <v>0.51408052380803404</v>
      </c>
      <c r="AL381">
        <v>81.063553757673702</v>
      </c>
      <c r="AM381">
        <v>89.196926677058599</v>
      </c>
      <c r="AN381">
        <v>0.999999980220871</v>
      </c>
    </row>
    <row r="382" spans="1:40" x14ac:dyDescent="0.25">
      <c r="A382" t="str">
        <f>"20190312172339183"</f>
        <v>20190312172339183</v>
      </c>
      <c r="B382" t="str">
        <f>"1552382619180836"</f>
        <v>1552382619180836</v>
      </c>
      <c r="C382" t="s">
        <v>40</v>
      </c>
      <c r="D382">
        <v>3.6574239999999998</v>
      </c>
      <c r="E382">
        <v>0.56514699999999995</v>
      </c>
      <c r="F382" t="s">
        <v>41</v>
      </c>
      <c r="G382">
        <v>-392.245</v>
      </c>
      <c r="H382">
        <v>0.90931329999999999</v>
      </c>
      <c r="I382">
        <v>366.81970000000001</v>
      </c>
      <c r="J382">
        <v>-392.88240000000002</v>
      </c>
      <c r="K382">
        <v>1.1032439999999999</v>
      </c>
      <c r="L382">
        <v>366.97199999999998</v>
      </c>
      <c r="M382">
        <v>0.99996339999999995</v>
      </c>
      <c r="N382">
        <v>0</v>
      </c>
      <c r="O382">
        <v>1.614042E-3</v>
      </c>
      <c r="P382">
        <v>0.98906539999999998</v>
      </c>
      <c r="Q382">
        <v>0.14698159999999999</v>
      </c>
      <c r="R382">
        <v>-1.2101850000000001E-2</v>
      </c>
      <c r="S382">
        <v>3.1339109999999999</v>
      </c>
      <c r="T382">
        <v>-0.72346909999999998</v>
      </c>
      <c r="U382">
        <v>-0.56774899999999995</v>
      </c>
      <c r="V382">
        <v>1.3699090000000001E-2</v>
      </c>
      <c r="W382">
        <v>0.15529879999999999</v>
      </c>
      <c r="X382">
        <v>0.9877726</v>
      </c>
      <c r="Y382">
        <v>0.1753412</v>
      </c>
      <c r="Z382">
        <v>-2.0185950000000001E-2</v>
      </c>
      <c r="AA382">
        <v>0.98430079999999998</v>
      </c>
      <c r="AB382">
        <v>37</v>
      </c>
      <c r="AC382">
        <v>0.63740000000001296</v>
      </c>
      <c r="AD382">
        <v>-0.19393070000000001</v>
      </c>
      <c r="AE382">
        <v>-0.15229999999996799</v>
      </c>
      <c r="AF382">
        <v>0.140982745064788</v>
      </c>
      <c r="AG382">
        <v>-0.19393070000000001</v>
      </c>
      <c r="AH382">
        <v>0.58585032842056695</v>
      </c>
      <c r="AI382">
        <v>107.840073897416</v>
      </c>
      <c r="AJ382">
        <v>76.4692554903543</v>
      </c>
      <c r="AK382">
        <v>0.63301331590968901</v>
      </c>
      <c r="AL382">
        <v>81.065874334274696</v>
      </c>
      <c r="AM382">
        <v>89.205434810164803</v>
      </c>
      <c r="AN382">
        <v>1.00000004582951</v>
      </c>
    </row>
    <row r="383" spans="1:40" x14ac:dyDescent="0.25">
      <c r="A383" t="str">
        <f>"20190312172339202"</f>
        <v>20190312172339202</v>
      </c>
      <c r="B383" t="str">
        <f>"1552382619190596"</f>
        <v>1552382619190596</v>
      </c>
      <c r="C383" t="s">
        <v>40</v>
      </c>
      <c r="D383">
        <v>3.6712560000000001</v>
      </c>
      <c r="E383">
        <v>0.56530369999999996</v>
      </c>
      <c r="F383" t="s">
        <v>41</v>
      </c>
      <c r="G383">
        <v>-391.92419999999998</v>
      </c>
      <c r="H383">
        <v>0.88195730000000006</v>
      </c>
      <c r="I383">
        <v>366.798</v>
      </c>
      <c r="J383">
        <v>-392.56959999999998</v>
      </c>
      <c r="K383">
        <v>1.1041559999999999</v>
      </c>
      <c r="L383">
        <v>366.97250000000003</v>
      </c>
      <c r="M383">
        <v>0.99996070000000004</v>
      </c>
      <c r="N383">
        <v>0</v>
      </c>
      <c r="O383">
        <v>1.6276070000000001E-3</v>
      </c>
      <c r="P383">
        <v>0.98907970000000001</v>
      </c>
      <c r="Q383">
        <v>0.146897</v>
      </c>
      <c r="R383">
        <v>-1.1948840000000001E-2</v>
      </c>
      <c r="S383">
        <v>3.133759</v>
      </c>
      <c r="T383">
        <v>-0.7237382</v>
      </c>
      <c r="U383">
        <v>-0.56716919999999904</v>
      </c>
      <c r="V383">
        <v>1.355957E-2</v>
      </c>
      <c r="W383">
        <v>0.1555079</v>
      </c>
      <c r="X383">
        <v>0.9877416</v>
      </c>
      <c r="Y383">
        <v>0.17518629999999999</v>
      </c>
      <c r="Z383">
        <v>-2.0180090000000001E-2</v>
      </c>
      <c r="AA383">
        <v>0.98432839999999999</v>
      </c>
      <c r="AB383">
        <v>37</v>
      </c>
      <c r="AC383">
        <v>0.64539999999999498</v>
      </c>
      <c r="AD383">
        <v>-0.222198699999999</v>
      </c>
      <c r="AE383">
        <v>-0.174500000000023</v>
      </c>
      <c r="AF383">
        <v>0.15808864637105</v>
      </c>
      <c r="AG383">
        <v>-0.222198699999999</v>
      </c>
      <c r="AH383">
        <v>0.58094685771909405</v>
      </c>
      <c r="AI383">
        <v>110.2569047974</v>
      </c>
      <c r="AJ383">
        <v>74.777144221414204</v>
      </c>
      <c r="AK383">
        <v>0.641765949460401</v>
      </c>
      <c r="AL383">
        <v>81.053746201565602</v>
      </c>
      <c r="AM383">
        <v>89.213501451326394</v>
      </c>
      <c r="AN383">
        <v>1.00000001863577</v>
      </c>
    </row>
    <row r="384" spans="1:40" x14ac:dyDescent="0.25">
      <c r="A384" t="str">
        <f>"20190312172339214"</f>
        <v>20190312172339214</v>
      </c>
      <c r="B384" t="str">
        <f>"1552382619210117"</f>
        <v>1552382619210117</v>
      </c>
      <c r="C384" t="s">
        <v>40</v>
      </c>
      <c r="D384">
        <v>3.6815470000000001</v>
      </c>
      <c r="E384">
        <v>0.56505660000000002</v>
      </c>
      <c r="F384" t="s">
        <v>41</v>
      </c>
      <c r="G384">
        <v>-391.59410000000003</v>
      </c>
      <c r="H384">
        <v>0.87862229999999997</v>
      </c>
      <c r="I384">
        <v>366.79579999999999</v>
      </c>
      <c r="J384">
        <v>-392.35199999999998</v>
      </c>
      <c r="K384">
        <v>1.1047119999999999</v>
      </c>
      <c r="L384">
        <v>366.97289999999998</v>
      </c>
      <c r="M384">
        <v>0.99995909999999999</v>
      </c>
      <c r="N384">
        <v>0</v>
      </c>
      <c r="O384">
        <v>1.6366670000000001E-3</v>
      </c>
      <c r="P384">
        <v>0.98910549999999997</v>
      </c>
      <c r="Q384">
        <v>0.14675199999999999</v>
      </c>
      <c r="R384">
        <v>-1.159432E-2</v>
      </c>
      <c r="S384">
        <v>3.1338810000000001</v>
      </c>
      <c r="T384">
        <v>-0.72462700000000002</v>
      </c>
      <c r="U384">
        <v>-0.56756589999999996</v>
      </c>
      <c r="V384">
        <v>1.321395E-2</v>
      </c>
      <c r="W384">
        <v>0.1555503</v>
      </c>
      <c r="X384">
        <v>0.98773960000000005</v>
      </c>
      <c r="Y384">
        <v>0.1752956</v>
      </c>
      <c r="Z384">
        <v>-2.0217700000000002E-2</v>
      </c>
      <c r="AA384">
        <v>0.98430819999999997</v>
      </c>
      <c r="AB384">
        <v>37</v>
      </c>
      <c r="AC384">
        <v>0.75789999999994895</v>
      </c>
      <c r="AD384">
        <v>-0.2260897</v>
      </c>
      <c r="AE384">
        <v>-0.17709999999999501</v>
      </c>
      <c r="AF384">
        <v>0.164462588714645</v>
      </c>
      <c r="AG384">
        <v>-0.2260897</v>
      </c>
      <c r="AH384">
        <v>0.69865531081541299</v>
      </c>
      <c r="AI384">
        <v>107.484280914697</v>
      </c>
      <c r="AJ384">
        <v>76.7537995713773</v>
      </c>
      <c r="AK384">
        <v>0.75251826480384698</v>
      </c>
      <c r="AL384">
        <v>81.051286864317603</v>
      </c>
      <c r="AM384">
        <v>89.233544545287202</v>
      </c>
      <c r="AN384">
        <v>1.00000001085642</v>
      </c>
    </row>
    <row r="385" spans="1:40" x14ac:dyDescent="0.25">
      <c r="A385" t="str">
        <f>"20190312172339237"</f>
        <v>20190312172339237</v>
      </c>
      <c r="B385" t="str">
        <f>"1552382619230614"</f>
        <v>1552382619230614</v>
      </c>
      <c r="C385" t="s">
        <v>40</v>
      </c>
      <c r="D385">
        <v>3.5760640000000001</v>
      </c>
      <c r="E385">
        <v>0.56511840000000002</v>
      </c>
      <c r="F385" t="s">
        <v>41</v>
      </c>
      <c r="G385">
        <v>-391.5761</v>
      </c>
      <c r="H385">
        <v>0.92557869999999998</v>
      </c>
      <c r="I385">
        <v>366.8331</v>
      </c>
      <c r="J385">
        <v>-391.99619999999999</v>
      </c>
      <c r="K385">
        <v>1.105531</v>
      </c>
      <c r="L385">
        <v>366.97340000000003</v>
      </c>
      <c r="M385">
        <v>0.99995639999999997</v>
      </c>
      <c r="N385">
        <v>0</v>
      </c>
      <c r="O385">
        <v>1.651036E-3</v>
      </c>
      <c r="P385">
        <v>0.98918070000000002</v>
      </c>
      <c r="Q385">
        <v>0.14625589999999999</v>
      </c>
      <c r="R385">
        <v>-1.144426E-2</v>
      </c>
      <c r="S385">
        <v>3.1337890000000002</v>
      </c>
      <c r="T385">
        <v>-0.72361969999999898</v>
      </c>
      <c r="U385">
        <v>-0.56436160000000002</v>
      </c>
      <c r="V385">
        <v>1.3078009999999999E-2</v>
      </c>
      <c r="W385">
        <v>0.15534120000000001</v>
      </c>
      <c r="X385">
        <v>0.98777429999999999</v>
      </c>
      <c r="Y385">
        <v>0.17437429999999901</v>
      </c>
      <c r="Z385">
        <v>-2.0091700000000001E-2</v>
      </c>
      <c r="AA385">
        <v>0.98447439999999997</v>
      </c>
      <c r="AB385">
        <v>37</v>
      </c>
      <c r="AC385">
        <v>0.42009999999998998</v>
      </c>
      <c r="AD385">
        <v>-0.17995230000000001</v>
      </c>
      <c r="AE385">
        <v>-0.14030000000002399</v>
      </c>
      <c r="AF385">
        <v>0.121016417945499</v>
      </c>
      <c r="AG385">
        <v>-0.17995230000000001</v>
      </c>
      <c r="AH385">
        <v>0.36037772417968</v>
      </c>
      <c r="AI385">
        <v>115.33132171484</v>
      </c>
      <c r="AJ385">
        <v>71.437723327521695</v>
      </c>
      <c r="AK385">
        <v>0.42059470725696901</v>
      </c>
      <c r="AL385">
        <v>81.063414693489804</v>
      </c>
      <c r="AM385">
        <v>89.241455261096903</v>
      </c>
      <c r="AN385">
        <v>0.99999999525174499</v>
      </c>
    </row>
    <row r="386" spans="1:40" x14ac:dyDescent="0.25">
      <c r="A386" t="str">
        <f>"20190312172339259"</f>
        <v>20190312172339259</v>
      </c>
      <c r="B386" t="str">
        <f>"1552382619250131"</f>
        <v>1552382619250131</v>
      </c>
      <c r="C386" t="s">
        <v>40</v>
      </c>
      <c r="D386">
        <v>3.6708159999999999</v>
      </c>
      <c r="E386">
        <v>0.565407199999999</v>
      </c>
      <c r="F386" t="s">
        <v>41</v>
      </c>
      <c r="G386">
        <v>-391.2423</v>
      </c>
      <c r="H386">
        <v>0.93119790000000002</v>
      </c>
      <c r="I386">
        <v>366.8372</v>
      </c>
      <c r="J386">
        <v>-391.61919999999998</v>
      </c>
      <c r="K386">
        <v>1.1062719999999999</v>
      </c>
      <c r="L386">
        <v>366.97410000000002</v>
      </c>
      <c r="M386">
        <v>0.99995389999999995</v>
      </c>
      <c r="N386">
        <v>0</v>
      </c>
      <c r="O386">
        <v>1.6654389999999999E-3</v>
      </c>
      <c r="P386">
        <v>0.98923410000000001</v>
      </c>
      <c r="Q386">
        <v>0.1459107</v>
      </c>
      <c r="R386">
        <v>-1.122622E-2</v>
      </c>
      <c r="S386">
        <v>3.1334230000000001</v>
      </c>
      <c r="T386">
        <v>-0.72479890000000002</v>
      </c>
      <c r="U386">
        <v>-0.56390379999999996</v>
      </c>
      <c r="V386">
        <v>1.2874210000000001E-2</v>
      </c>
      <c r="W386">
        <v>0.15526719999999999</v>
      </c>
      <c r="X386">
        <v>0.98778860000000002</v>
      </c>
      <c r="Y386">
        <v>0.174256299999999</v>
      </c>
      <c r="Z386">
        <v>-2.011601E-2</v>
      </c>
      <c r="AA386">
        <v>0.98449489999999995</v>
      </c>
      <c r="AB386">
        <v>37</v>
      </c>
      <c r="AC386">
        <v>0.37689999999997698</v>
      </c>
      <c r="AD386">
        <v>-0.17507410000000001</v>
      </c>
      <c r="AE386">
        <v>-0.136900000000025</v>
      </c>
      <c r="AF386">
        <v>0.115509087983442</v>
      </c>
      <c r="AG386">
        <v>-0.17507410000000001</v>
      </c>
      <c r="AH386">
        <v>0.316365559293876</v>
      </c>
      <c r="AI386">
        <v>117.46663022952499</v>
      </c>
      <c r="AJ386">
        <v>69.9422192464083</v>
      </c>
      <c r="AK386">
        <v>0.379579315828594</v>
      </c>
      <c r="AL386">
        <v>81.067706550931405</v>
      </c>
      <c r="AM386">
        <v>89.253285435118002</v>
      </c>
      <c r="AN386">
        <v>0.99999998348446195</v>
      </c>
    </row>
    <row r="387" spans="1:40" x14ac:dyDescent="0.25">
      <c r="A387" t="str">
        <f>"20190312172339280"</f>
        <v>20190312172339280</v>
      </c>
      <c r="B387" t="str">
        <f>"1552382619270628"</f>
        <v>1552382619270628</v>
      </c>
      <c r="C387" t="s">
        <v>40</v>
      </c>
      <c r="D387">
        <v>3.6759439999999999</v>
      </c>
      <c r="E387">
        <v>0.56564829999999999</v>
      </c>
      <c r="F387" t="s">
        <v>41</v>
      </c>
      <c r="G387">
        <v>-390.90640000000002</v>
      </c>
      <c r="H387">
        <v>0.94097450000000005</v>
      </c>
      <c r="I387">
        <v>366.84530000000001</v>
      </c>
      <c r="J387">
        <v>-391.27170000000001</v>
      </c>
      <c r="K387">
        <v>1.1068469999999999</v>
      </c>
      <c r="L387">
        <v>366.97469999999998</v>
      </c>
      <c r="M387">
        <v>0.99995160000000005</v>
      </c>
      <c r="N387">
        <v>0</v>
      </c>
      <c r="O387">
        <v>1.679512E-3</v>
      </c>
      <c r="P387">
        <v>0.98923349999999999</v>
      </c>
      <c r="Q387">
        <v>0.14589869999999999</v>
      </c>
      <c r="R387">
        <v>-1.1434400000000001E-2</v>
      </c>
      <c r="S387">
        <v>3.133362</v>
      </c>
      <c r="T387">
        <v>-0.72660329999999995</v>
      </c>
      <c r="U387">
        <v>-0.56634519999999899</v>
      </c>
      <c r="V387">
        <v>1.3096180000000001E-2</v>
      </c>
      <c r="W387">
        <v>0.1554749</v>
      </c>
      <c r="X387">
        <v>0.98775299999999999</v>
      </c>
      <c r="Y387">
        <v>0.17497589999999999</v>
      </c>
      <c r="Z387">
        <v>-2.0248780000000001E-2</v>
      </c>
      <c r="AA387">
        <v>0.98436440000000003</v>
      </c>
      <c r="AB387">
        <v>37</v>
      </c>
      <c r="AC387">
        <v>0.36529999999999002</v>
      </c>
      <c r="AD387">
        <v>-0.16587249999999901</v>
      </c>
      <c r="AE387">
        <v>-0.12939999999997501</v>
      </c>
      <c r="AF387">
        <v>0.109883354459874</v>
      </c>
      <c r="AG387">
        <v>-0.16587249999999901</v>
      </c>
      <c r="AH387">
        <v>0.30855634454702002</v>
      </c>
      <c r="AI387">
        <v>116.85863974840299</v>
      </c>
      <c r="AJ387">
        <v>70.398124264578598</v>
      </c>
      <c r="AK387">
        <v>0.36714446149141799</v>
      </c>
      <c r="AL387">
        <v>81.055659819320098</v>
      </c>
      <c r="AM387">
        <v>89.240385118352094</v>
      </c>
      <c r="AN387">
        <v>0.99999997173480004</v>
      </c>
    </row>
    <row r="388" spans="1:40" x14ac:dyDescent="0.25">
      <c r="A388" t="str">
        <f>"20190312172339293"</f>
        <v>20190312172339293</v>
      </c>
      <c r="B388" t="str">
        <f>"1552382619280389"</f>
        <v>1552382619280389</v>
      </c>
      <c r="C388" t="s">
        <v>40</v>
      </c>
      <c r="D388">
        <v>3.6782710000000001</v>
      </c>
      <c r="E388">
        <v>0.56575149999999996</v>
      </c>
      <c r="F388" t="s">
        <v>41</v>
      </c>
      <c r="G388">
        <v>-390.5729</v>
      </c>
      <c r="H388">
        <v>0.94466249999999996</v>
      </c>
      <c r="I388">
        <v>366.84750000000003</v>
      </c>
      <c r="J388">
        <v>-391.07380000000001</v>
      </c>
      <c r="K388">
        <v>1.1071279999999999</v>
      </c>
      <c r="L388">
        <v>366.97500000000002</v>
      </c>
      <c r="M388">
        <v>0.99995060000000002</v>
      </c>
      <c r="N388">
        <v>0</v>
      </c>
      <c r="O388">
        <v>1.6872429999999999E-3</v>
      </c>
      <c r="P388">
        <v>0.98927410000000005</v>
      </c>
      <c r="Q388">
        <v>0.14562050000000001</v>
      </c>
      <c r="R388">
        <v>-1.147079E-2</v>
      </c>
      <c r="S388">
        <v>3.1333310000000001</v>
      </c>
      <c r="T388">
        <v>-0.72737499999999999</v>
      </c>
      <c r="U388">
        <v>-0.56835939999999996</v>
      </c>
      <c r="V388">
        <v>1.314033E-2</v>
      </c>
      <c r="W388">
        <v>0.15530910000000001</v>
      </c>
      <c r="X388">
        <v>0.9877785</v>
      </c>
      <c r="Y388">
        <v>0.17557320000000001</v>
      </c>
      <c r="Z388">
        <v>-2.0338470000000001E-2</v>
      </c>
      <c r="AA388">
        <v>0.98425629999999997</v>
      </c>
      <c r="AB388">
        <v>37</v>
      </c>
      <c r="AC388">
        <v>0.50090000000000101</v>
      </c>
      <c r="AD388">
        <v>-0.16246550000000001</v>
      </c>
      <c r="AE388">
        <v>-0.127499999999997</v>
      </c>
      <c r="AF388">
        <v>0.116804726552729</v>
      </c>
      <c r="AG388">
        <v>-0.16246550000000001</v>
      </c>
      <c r="AH388">
        <v>0.45566462287498399</v>
      </c>
      <c r="AI388">
        <v>109.053854971405</v>
      </c>
      <c r="AJ388">
        <v>75.622422995789506</v>
      </c>
      <c r="AK388">
        <v>0.49766317060348098</v>
      </c>
      <c r="AL388">
        <v>81.065276300848893</v>
      </c>
      <c r="AM388">
        <v>89.237844270704201</v>
      </c>
      <c r="AN388">
        <v>0.99999997493878401</v>
      </c>
    </row>
    <row r="389" spans="1:40" x14ac:dyDescent="0.25">
      <c r="A389" t="str">
        <f>"20190312172339314"</f>
        <v>20190312172339314</v>
      </c>
      <c r="B389" t="str">
        <f>"1552382619310645"</f>
        <v>1552382619310645</v>
      </c>
      <c r="C389" t="s">
        <v>40</v>
      </c>
      <c r="D389">
        <v>3.5837089999999998</v>
      </c>
      <c r="E389">
        <v>0.56601299999999999</v>
      </c>
      <c r="F389" t="s">
        <v>41</v>
      </c>
      <c r="G389">
        <v>-390.25279999999998</v>
      </c>
      <c r="H389">
        <v>0.91624709999999998</v>
      </c>
      <c r="I389">
        <v>366.82549999999998</v>
      </c>
      <c r="J389">
        <v>-390.71809999999999</v>
      </c>
      <c r="K389">
        <v>1.1075809999999999</v>
      </c>
      <c r="L389">
        <v>366.97559999999999</v>
      </c>
      <c r="M389">
        <v>0.99994859999999997</v>
      </c>
      <c r="N389">
        <v>0</v>
      </c>
      <c r="O389">
        <v>1.701796E-3</v>
      </c>
      <c r="P389">
        <v>0.98918859999999997</v>
      </c>
      <c r="Q389">
        <v>0.1461739</v>
      </c>
      <c r="R389">
        <v>-1.1793120000000001E-2</v>
      </c>
      <c r="S389">
        <v>3.1331479999999998</v>
      </c>
      <c r="T389">
        <v>-0.72852109999999903</v>
      </c>
      <c r="U389">
        <v>-0.56964110000000001</v>
      </c>
      <c r="V389">
        <v>1.347686E-2</v>
      </c>
      <c r="W389">
        <v>0.1560501</v>
      </c>
      <c r="X389">
        <v>0.98765720000000001</v>
      </c>
      <c r="Y389">
        <v>0.1759627</v>
      </c>
      <c r="Z389">
        <v>-2.041778E-2</v>
      </c>
      <c r="AA389">
        <v>0.98418499999999998</v>
      </c>
      <c r="AB389">
        <v>37</v>
      </c>
      <c r="AC389">
        <v>0.46530000000001298</v>
      </c>
      <c r="AD389">
        <v>-0.191333899999999</v>
      </c>
      <c r="AE389">
        <v>-0.150100000000009</v>
      </c>
      <c r="AF389">
        <v>0.13085144647272101</v>
      </c>
      <c r="AG389">
        <v>-0.191333899999999</v>
      </c>
      <c r="AH389">
        <v>0.40328047548697998</v>
      </c>
      <c r="AI389">
        <v>114.288835017956</v>
      </c>
      <c r="AJ389">
        <v>72.023432979520194</v>
      </c>
      <c r="AK389">
        <v>0.46515148526283101</v>
      </c>
      <c r="AL389">
        <v>81.022296340121898</v>
      </c>
      <c r="AM389">
        <v>89.218231507631202</v>
      </c>
      <c r="AN389">
        <v>1.0000000020886499</v>
      </c>
    </row>
    <row r="390" spans="1:40" x14ac:dyDescent="0.25">
      <c r="A390" t="str">
        <f>"20190312172339326"</f>
        <v>20190312172339326</v>
      </c>
      <c r="B390" t="str">
        <f>"1552382619320404"</f>
        <v>1552382619320404</v>
      </c>
      <c r="C390" t="s">
        <v>40</v>
      </c>
      <c r="D390">
        <v>3.5796999999999999</v>
      </c>
      <c r="E390">
        <v>0.56599339999999998</v>
      </c>
      <c r="F390" t="s">
        <v>41</v>
      </c>
      <c r="G390">
        <v>-389.91840000000002</v>
      </c>
      <c r="H390">
        <v>0.92199560000000003</v>
      </c>
      <c r="I390">
        <v>366.82900000000001</v>
      </c>
      <c r="J390">
        <v>-390.51440000000002</v>
      </c>
      <c r="K390">
        <v>1.107812</v>
      </c>
      <c r="L390">
        <v>366.976</v>
      </c>
      <c r="M390">
        <v>0.99994769999999999</v>
      </c>
      <c r="N390">
        <v>0</v>
      </c>
      <c r="O390">
        <v>1.71023299999999E-3</v>
      </c>
      <c r="P390">
        <v>0.98916249999999994</v>
      </c>
      <c r="Q390">
        <v>0.1463351</v>
      </c>
      <c r="R390">
        <v>-1.1995820000000001E-2</v>
      </c>
      <c r="S390">
        <v>3.1334230000000001</v>
      </c>
      <c r="T390">
        <v>-0.72733019999999904</v>
      </c>
      <c r="U390">
        <v>-0.57308959999999998</v>
      </c>
      <c r="V390">
        <v>1.368776E-2</v>
      </c>
      <c r="W390">
        <v>0.15631</v>
      </c>
      <c r="X390">
        <v>0.98761319999999997</v>
      </c>
      <c r="Y390">
        <v>0.17699389999999901</v>
      </c>
      <c r="Z390">
        <v>-2.050072E-2</v>
      </c>
      <c r="AA390">
        <v>0.98399840000000005</v>
      </c>
      <c r="AB390">
        <v>37</v>
      </c>
      <c r="AC390">
        <v>0.59600000000000297</v>
      </c>
      <c r="AD390">
        <v>-0.18581639999999999</v>
      </c>
      <c r="AE390">
        <v>-0.146999999999991</v>
      </c>
      <c r="AF390">
        <v>0.13559484628669599</v>
      </c>
      <c r="AG390">
        <v>-0.18581639999999999</v>
      </c>
      <c r="AH390">
        <v>0.54574240660675999</v>
      </c>
      <c r="AI390">
        <v>108.285474156121</v>
      </c>
      <c r="AJ390">
        <v>76.046862610513898</v>
      </c>
      <c r="AK390">
        <v>0.59224021411705097</v>
      </c>
      <c r="AL390">
        <v>81.007220159008398</v>
      </c>
      <c r="AM390">
        <v>89.2059637611342</v>
      </c>
      <c r="AN390">
        <v>1.00000000184402</v>
      </c>
    </row>
    <row r="391" spans="1:40" x14ac:dyDescent="0.25">
      <c r="A391" t="str">
        <f>"20190312172339337"</f>
        <v>20190312172339337</v>
      </c>
      <c r="B391" t="str">
        <f>"1552382619330164"</f>
        <v>1552382619330164</v>
      </c>
      <c r="C391" t="s">
        <v>40</v>
      </c>
      <c r="D391">
        <v>3.583923</v>
      </c>
      <c r="E391">
        <v>0.56595969999999995</v>
      </c>
      <c r="F391" t="s">
        <v>41</v>
      </c>
      <c r="G391">
        <v>-389.5967</v>
      </c>
      <c r="H391">
        <v>0.89501520000000001</v>
      </c>
      <c r="I391">
        <v>366.8082</v>
      </c>
      <c r="J391">
        <v>-390.32150000000001</v>
      </c>
      <c r="K391">
        <v>1.1080080000000001</v>
      </c>
      <c r="L391">
        <v>366.97629999999998</v>
      </c>
      <c r="M391">
        <v>0.99994669999999997</v>
      </c>
      <c r="N391">
        <v>0</v>
      </c>
      <c r="O391">
        <v>1.7183649999999999E-3</v>
      </c>
      <c r="P391">
        <v>0.98915450000000005</v>
      </c>
      <c r="Q391">
        <v>0.14639059999999901</v>
      </c>
      <c r="R391">
        <v>-1.1964280000000001E-2</v>
      </c>
      <c r="S391">
        <v>3.1333920000000002</v>
      </c>
      <c r="T391">
        <v>-0.72649149999999996</v>
      </c>
      <c r="U391">
        <v>-0.57342530000000003</v>
      </c>
      <c r="V391">
        <v>1.366441E-2</v>
      </c>
      <c r="W391">
        <v>0.1564537</v>
      </c>
      <c r="X391">
        <v>0.98759079999999999</v>
      </c>
      <c r="Y391">
        <v>0.17711279999999999</v>
      </c>
      <c r="Z391">
        <v>-2.0493020000000001E-2</v>
      </c>
      <c r="AA391">
        <v>0.9839772</v>
      </c>
      <c r="AB391">
        <v>37</v>
      </c>
      <c r="AC391">
        <v>0.72480000000001599</v>
      </c>
      <c r="AD391">
        <v>-0.21299279999999901</v>
      </c>
      <c r="AE391">
        <v>-0.16809999999998099</v>
      </c>
      <c r="AF391">
        <v>0.15651884628021701</v>
      </c>
      <c r="AG391">
        <v>-0.21299279999999901</v>
      </c>
      <c r="AH391">
        <v>0.66963468637520196</v>
      </c>
      <c r="AI391">
        <v>107.209059442182</v>
      </c>
      <c r="AJ391">
        <v>76.844009464158404</v>
      </c>
      <c r="AK391">
        <v>0.71991297758100303</v>
      </c>
      <c r="AL391">
        <v>80.998884471775895</v>
      </c>
      <c r="AM391">
        <v>89.207300160594698</v>
      </c>
      <c r="AN391">
        <v>1.00000003229448</v>
      </c>
    </row>
    <row r="392" spans="1:40" x14ac:dyDescent="0.25">
      <c r="A392" t="str">
        <f>"20190312172339349"</f>
        <v>20190312172339349</v>
      </c>
      <c r="B392" t="str">
        <f>"1552382619339925"</f>
        <v>1552382619339925</v>
      </c>
      <c r="C392" t="s">
        <v>40</v>
      </c>
      <c r="D392">
        <v>3.5845609999999999</v>
      </c>
      <c r="E392">
        <v>0.56593079999999996</v>
      </c>
      <c r="F392" t="s">
        <v>41</v>
      </c>
      <c r="G392">
        <v>-389.58049999999997</v>
      </c>
      <c r="H392">
        <v>0.936249</v>
      </c>
      <c r="I392">
        <v>366.84100000000001</v>
      </c>
      <c r="J392">
        <v>-390.12709999999998</v>
      </c>
      <c r="K392">
        <v>1.108187</v>
      </c>
      <c r="L392">
        <v>366.97669999999999</v>
      </c>
      <c r="M392">
        <v>0.999946</v>
      </c>
      <c r="N392">
        <v>0</v>
      </c>
      <c r="O392">
        <v>1.726163E-3</v>
      </c>
      <c r="P392">
        <v>0.98917790000000005</v>
      </c>
      <c r="Q392">
        <v>0.14624329999999999</v>
      </c>
      <c r="R392">
        <v>-1.1850950000000001E-2</v>
      </c>
      <c r="S392">
        <v>3.1334230000000001</v>
      </c>
      <c r="T392">
        <v>-0.72634049999999994</v>
      </c>
      <c r="U392">
        <v>-0.57299800000000001</v>
      </c>
      <c r="V392">
        <v>1.355874E-2</v>
      </c>
      <c r="W392">
        <v>0.15638869999999999</v>
      </c>
      <c r="X392">
        <v>0.98760250000000005</v>
      </c>
      <c r="Y392">
        <v>0.1769937</v>
      </c>
      <c r="Z392">
        <v>-2.0477160000000001E-2</v>
      </c>
      <c r="AA392">
        <v>0.98399899999999996</v>
      </c>
      <c r="AB392">
        <v>37</v>
      </c>
      <c r="AC392">
        <v>0.54660000000001197</v>
      </c>
      <c r="AD392">
        <v>-0.17193800000000001</v>
      </c>
      <c r="AE392">
        <v>-0.135699999999985</v>
      </c>
      <c r="AF392">
        <v>0.12499359605690299</v>
      </c>
      <c r="AG392">
        <v>-0.17193800000000001</v>
      </c>
      <c r="AH392">
        <v>0.49978362435774898</v>
      </c>
      <c r="AI392">
        <v>108.45620830522699</v>
      </c>
      <c r="AJ392">
        <v>75.958611015921306</v>
      </c>
      <c r="AK392">
        <v>0.54311117285082899</v>
      </c>
      <c r="AL392">
        <v>81.002654651088307</v>
      </c>
      <c r="AM392">
        <v>89.2134388333521</v>
      </c>
      <c r="AN392">
        <v>0.99999998146216296</v>
      </c>
    </row>
    <row r="393" spans="1:40" x14ac:dyDescent="0.25">
      <c r="A393" t="str">
        <f>"20190312172339362"</f>
        <v>20190312172339362</v>
      </c>
      <c r="B393" t="str">
        <f>"1552382619350660"</f>
        <v>1552382619350660</v>
      </c>
      <c r="C393" t="s">
        <v>40</v>
      </c>
      <c r="D393">
        <v>3.584225</v>
      </c>
      <c r="E393">
        <v>0.56592519999999902</v>
      </c>
      <c r="F393" t="s">
        <v>41</v>
      </c>
      <c r="G393">
        <v>-389.25979999999998</v>
      </c>
      <c r="H393">
        <v>0.90710440000000003</v>
      </c>
      <c r="I393">
        <v>366.81799999999998</v>
      </c>
      <c r="J393">
        <v>-389.91559999999998</v>
      </c>
      <c r="K393">
        <v>1.1083670000000001</v>
      </c>
      <c r="L393">
        <v>366.97699999999998</v>
      </c>
      <c r="M393">
        <v>0.99994499999999997</v>
      </c>
      <c r="N393">
        <v>0</v>
      </c>
      <c r="O393">
        <v>1.7350110000000001E-3</v>
      </c>
      <c r="P393">
        <v>0.98918379999999995</v>
      </c>
      <c r="Q393">
        <v>0.14621709999999999</v>
      </c>
      <c r="R393">
        <v>-1.1665160000000001E-2</v>
      </c>
      <c r="S393">
        <v>3.133362</v>
      </c>
      <c r="T393">
        <v>-0.72648389999999996</v>
      </c>
      <c r="U393">
        <v>-0.57229609999999997</v>
      </c>
      <c r="V393">
        <v>1.338166E-2</v>
      </c>
      <c r="W393">
        <v>0.15644849999999999</v>
      </c>
      <c r="X393">
        <v>0.98759540000000001</v>
      </c>
      <c r="Y393">
        <v>0.17679520000000001</v>
      </c>
      <c r="Z393">
        <v>-2.0461360000000001E-2</v>
      </c>
      <c r="AA393">
        <v>0.98403499999999999</v>
      </c>
      <c r="AB393">
        <v>37</v>
      </c>
      <c r="AC393">
        <v>0.65579999999999905</v>
      </c>
      <c r="AD393">
        <v>-0.20126260000000001</v>
      </c>
      <c r="AE393">
        <v>-0.158999999999934</v>
      </c>
      <c r="AF393">
        <v>0.14705608605939199</v>
      </c>
      <c r="AG393">
        <v>-0.20126260000000001</v>
      </c>
      <c r="AH393">
        <v>0.60197380805913403</v>
      </c>
      <c r="AI393">
        <v>107.993122176863</v>
      </c>
      <c r="AJ393">
        <v>76.272090642839601</v>
      </c>
      <c r="AK393">
        <v>0.65154016928742198</v>
      </c>
      <c r="AL393">
        <v>80.999185269033703</v>
      </c>
      <c r="AM393">
        <v>89.223704642203003</v>
      </c>
      <c r="AN393">
        <v>0.99999993803887999</v>
      </c>
    </row>
    <row r="394" spans="1:40" x14ac:dyDescent="0.25">
      <c r="A394" t="str">
        <f>"20190312172339373"</f>
        <v>20190312172339373</v>
      </c>
      <c r="B394" t="str">
        <f>"1552382619370181"</f>
        <v>1552382619370181</v>
      </c>
      <c r="C394" t="s">
        <v>40</v>
      </c>
      <c r="D394">
        <v>3.664234</v>
      </c>
      <c r="E394">
        <v>0.56610360000000004</v>
      </c>
      <c r="F394" t="s">
        <v>41</v>
      </c>
      <c r="G394">
        <v>-388.93720000000002</v>
      </c>
      <c r="H394">
        <v>0.88150669999999898</v>
      </c>
      <c r="I394">
        <v>366.79840000000002</v>
      </c>
      <c r="J394">
        <v>-389.72210000000001</v>
      </c>
      <c r="K394">
        <v>1.108509</v>
      </c>
      <c r="L394">
        <v>366.97739999999999</v>
      </c>
      <c r="M394">
        <v>0.99994419999999995</v>
      </c>
      <c r="N394">
        <v>0</v>
      </c>
      <c r="O394">
        <v>1.7426849999999999E-3</v>
      </c>
      <c r="P394">
        <v>0.98920439999999998</v>
      </c>
      <c r="Q394">
        <v>0.14607329999999999</v>
      </c>
      <c r="R394">
        <v>-1.171845E-2</v>
      </c>
      <c r="S394">
        <v>3.1334529999999998</v>
      </c>
      <c r="T394">
        <v>-0.72658780000000001</v>
      </c>
      <c r="U394">
        <v>-0.57171629999999996</v>
      </c>
      <c r="V394">
        <v>1.344243E-2</v>
      </c>
      <c r="W394">
        <v>0.1563765</v>
      </c>
      <c r="X394">
        <v>0.98760599999999998</v>
      </c>
      <c r="Y394">
        <v>0.17662439999999999</v>
      </c>
      <c r="Z394">
        <v>-2.0446309999999999E-2</v>
      </c>
      <c r="AA394">
        <v>0.98406590000000005</v>
      </c>
      <c r="AB394">
        <v>37</v>
      </c>
      <c r="AC394">
        <v>0.78489999999999305</v>
      </c>
      <c r="AD394">
        <v>-0.22700229999999999</v>
      </c>
      <c r="AE394">
        <v>-0.17899999999997299</v>
      </c>
      <c r="AF394">
        <v>0.16708313982499601</v>
      </c>
      <c r="AG394">
        <v>-0.22700229999999999</v>
      </c>
      <c r="AH394">
        <v>0.72680020341998597</v>
      </c>
      <c r="AI394">
        <v>106.92979191846599</v>
      </c>
      <c r="AJ394">
        <v>77.053293314337907</v>
      </c>
      <c r="AK394">
        <v>0.77954175995286001</v>
      </c>
      <c r="AL394">
        <v>81.003362171869099</v>
      </c>
      <c r="AM394">
        <v>89.220188062952303</v>
      </c>
      <c r="AN394">
        <v>0.999999959956276</v>
      </c>
    </row>
    <row r="395" spans="1:40" x14ac:dyDescent="0.25">
      <c r="A395" t="str">
        <f>"20190312172339392"</f>
        <v>20190312172339392</v>
      </c>
      <c r="B395" t="str">
        <f>"1552382619379944"</f>
        <v>1552382619379944</v>
      </c>
      <c r="C395" t="s">
        <v>40</v>
      </c>
      <c r="D395">
        <v>3.5760770000000002</v>
      </c>
      <c r="E395">
        <v>0.56615280000000001</v>
      </c>
      <c r="F395" t="s">
        <v>41</v>
      </c>
      <c r="G395">
        <v>-388.92140000000001</v>
      </c>
      <c r="H395">
        <v>0.92245089999999996</v>
      </c>
      <c r="I395">
        <v>366.83069999999998</v>
      </c>
      <c r="J395">
        <v>-389.4178</v>
      </c>
      <c r="K395">
        <v>1.1087039999999999</v>
      </c>
      <c r="L395">
        <v>366.97789999999998</v>
      </c>
      <c r="M395">
        <v>0.99994309999999997</v>
      </c>
      <c r="N395">
        <v>0</v>
      </c>
      <c r="O395">
        <v>1.7547629999999999E-3</v>
      </c>
      <c r="P395">
        <v>0.98917889999999997</v>
      </c>
      <c r="Q395">
        <v>0.14626639999999999</v>
      </c>
      <c r="R395">
        <v>-1.1451680000000001E-2</v>
      </c>
      <c r="S395">
        <v>3.1334840000000002</v>
      </c>
      <c r="T395">
        <v>-0.72817799999999999</v>
      </c>
      <c r="U395">
        <v>-0.57321169999999899</v>
      </c>
      <c r="V395">
        <v>1.318764E-2</v>
      </c>
      <c r="W395">
        <v>0.15667509999999901</v>
      </c>
      <c r="X395">
        <v>0.98756219999999995</v>
      </c>
      <c r="Y395">
        <v>0.1770582</v>
      </c>
      <c r="Z395">
        <v>-2.0541E-2</v>
      </c>
      <c r="AA395">
        <v>0.98398600000000003</v>
      </c>
      <c r="AB395">
        <v>37</v>
      </c>
      <c r="AC395">
        <v>0.49639999999999401</v>
      </c>
      <c r="AD395">
        <v>-0.1862531</v>
      </c>
      <c r="AE395">
        <v>-0.147199999999998</v>
      </c>
      <c r="AF395">
        <v>0.13110555268663501</v>
      </c>
      <c r="AG395">
        <v>-0.1862531</v>
      </c>
      <c r="AH395">
        <v>0.43929520076213902</v>
      </c>
      <c r="AI395">
        <v>112.11063846402099</v>
      </c>
      <c r="AJ395">
        <v>73.382517626241594</v>
      </c>
      <c r="AK395">
        <v>0.49483245307631801</v>
      </c>
      <c r="AL395">
        <v>80.986040954641595</v>
      </c>
      <c r="AM395">
        <v>89.234933044852596</v>
      </c>
      <c r="AN395">
        <v>1.0000000498388</v>
      </c>
    </row>
    <row r="396" spans="1:40" x14ac:dyDescent="0.25">
      <c r="A396" t="str">
        <f>"20190312172339404"</f>
        <v>20190312172339404</v>
      </c>
      <c r="B396" t="str">
        <f>"1552382619400436"</f>
        <v>1552382619400436</v>
      </c>
      <c r="C396" t="s">
        <v>40</v>
      </c>
      <c r="D396">
        <v>3.5886279999999999</v>
      </c>
      <c r="E396">
        <v>0.56624469999999905</v>
      </c>
      <c r="F396" t="s">
        <v>41</v>
      </c>
      <c r="G396">
        <v>-388.59109999999998</v>
      </c>
      <c r="H396">
        <v>0.9167438</v>
      </c>
      <c r="I396">
        <v>366.8263</v>
      </c>
      <c r="J396">
        <v>-389.22239999999999</v>
      </c>
      <c r="K396">
        <v>1.1088209999999901</v>
      </c>
      <c r="L396">
        <v>366.97829999999999</v>
      </c>
      <c r="M396">
        <v>0.99994249999999996</v>
      </c>
      <c r="N396">
        <v>0</v>
      </c>
      <c r="O396">
        <v>1.762708E-3</v>
      </c>
      <c r="P396">
        <v>0.98919360000000001</v>
      </c>
      <c r="Q396">
        <v>0.14616509999999999</v>
      </c>
      <c r="R396">
        <v>-1.150174E-2</v>
      </c>
      <c r="S396">
        <v>3.133759</v>
      </c>
      <c r="T396">
        <v>-0.72770509999999999</v>
      </c>
      <c r="U396">
        <v>-0.57272339999999999</v>
      </c>
      <c r="V396">
        <v>1.3245430000000001E-2</v>
      </c>
      <c r="W396">
        <v>0.1566369</v>
      </c>
      <c r="X396">
        <v>0.98756739999999998</v>
      </c>
      <c r="Y396">
        <v>0.1769125</v>
      </c>
      <c r="Z396">
        <v>-2.0511789999999998E-2</v>
      </c>
      <c r="AA396">
        <v>0.98401280000000002</v>
      </c>
      <c r="AB396">
        <v>37</v>
      </c>
      <c r="AC396">
        <v>0.63130000000000996</v>
      </c>
      <c r="AD396">
        <v>-0.192077199999999</v>
      </c>
      <c r="AE396">
        <v>-0.15199999999998601</v>
      </c>
      <c r="AF396">
        <v>0.14079326999861599</v>
      </c>
      <c r="AG396">
        <v>-0.192077199999999</v>
      </c>
      <c r="AH396">
        <v>0.58025867528842301</v>
      </c>
      <c r="AI396">
        <v>107.832254600497</v>
      </c>
      <c r="AJ396">
        <v>76.361394708053396</v>
      </c>
      <c r="AK396">
        <v>0.62722924508047095</v>
      </c>
      <c r="AL396">
        <v>80.988256240856302</v>
      </c>
      <c r="AM396">
        <v>89.231584865986605</v>
      </c>
      <c r="AN396">
        <v>0.99999996470012598</v>
      </c>
    </row>
    <row r="397" spans="1:40" x14ac:dyDescent="0.25">
      <c r="A397" t="str">
        <f>"20190312172339416"</f>
        <v>20190312172339416</v>
      </c>
      <c r="B397" t="str">
        <f>"1552382619410196"</f>
        <v>1552382619410196</v>
      </c>
      <c r="C397" t="s">
        <v>40</v>
      </c>
      <c r="D397">
        <v>3.5672820000000001</v>
      </c>
      <c r="E397">
        <v>0.56624819999999998</v>
      </c>
      <c r="F397" t="s">
        <v>41</v>
      </c>
      <c r="G397">
        <v>-388.26979999999998</v>
      </c>
      <c r="H397">
        <v>0.88734290000000005</v>
      </c>
      <c r="I397">
        <v>366.80380000000002</v>
      </c>
      <c r="J397">
        <v>-389.00819999999999</v>
      </c>
      <c r="K397">
        <v>1.1089329999999999</v>
      </c>
      <c r="L397">
        <v>366.97859999999997</v>
      </c>
      <c r="M397">
        <v>0.99994159999999999</v>
      </c>
      <c r="N397">
        <v>0</v>
      </c>
      <c r="O397">
        <v>1.7717799999999999E-3</v>
      </c>
      <c r="P397">
        <v>0.98921440000000005</v>
      </c>
      <c r="Q397">
        <v>0.14602089999999901</v>
      </c>
      <c r="R397">
        <v>-1.151199E-2</v>
      </c>
      <c r="S397">
        <v>3.1338200000000001</v>
      </c>
      <c r="T397">
        <v>-0.72875269999999903</v>
      </c>
      <c r="U397">
        <v>-0.57342530000000003</v>
      </c>
      <c r="V397">
        <v>1.3264919999999999E-2</v>
      </c>
      <c r="W397">
        <v>0.15655729999999901</v>
      </c>
      <c r="X397">
        <v>0.98757980000000001</v>
      </c>
      <c r="Y397">
        <v>0.1771132</v>
      </c>
      <c r="Z397">
        <v>-2.056471E-2</v>
      </c>
      <c r="AA397">
        <v>0.98397559999999995</v>
      </c>
      <c r="AB397">
        <v>37</v>
      </c>
      <c r="AC397">
        <v>0.73840000000001205</v>
      </c>
      <c r="AD397">
        <v>-0.22159009999999901</v>
      </c>
      <c r="AE397">
        <v>-0.174799999999947</v>
      </c>
      <c r="AF397">
        <v>0.162270022978136</v>
      </c>
      <c r="AG397">
        <v>-0.22159009999999901</v>
      </c>
      <c r="AH397">
        <v>0.68009222668247504</v>
      </c>
      <c r="AI397">
        <v>107.58482178482301</v>
      </c>
      <c r="AJ397">
        <v>76.580134764924196</v>
      </c>
      <c r="AK397">
        <v>0.73345699912759799</v>
      </c>
      <c r="AL397">
        <v>80.992874311168606</v>
      </c>
      <c r="AM397">
        <v>89.230463977927997</v>
      </c>
      <c r="AN397">
        <v>1.0000000038269601</v>
      </c>
    </row>
    <row r="398" spans="1:40" x14ac:dyDescent="0.25">
      <c r="A398" t="str">
        <f>"20190312172339430"</f>
        <v>20190312172339430</v>
      </c>
      <c r="B398" t="str">
        <f>"1552382619419956"</f>
        <v>1552382619419956</v>
      </c>
      <c r="C398" t="s">
        <v>40</v>
      </c>
      <c r="D398">
        <v>3.5602689999999999</v>
      </c>
      <c r="E398">
        <v>0.56623880000000004</v>
      </c>
      <c r="F398" t="s">
        <v>41</v>
      </c>
      <c r="G398">
        <v>-388.25220000000002</v>
      </c>
      <c r="H398">
        <v>0.93296290000000004</v>
      </c>
      <c r="I398">
        <v>366.84019999999998</v>
      </c>
      <c r="J398">
        <v>-388.78390000000002</v>
      </c>
      <c r="K398">
        <v>1.1090359999999999</v>
      </c>
      <c r="L398">
        <v>366.97910000000002</v>
      </c>
      <c r="M398">
        <v>0.99994090000000002</v>
      </c>
      <c r="N398">
        <v>0</v>
      </c>
      <c r="O398">
        <v>1.7810359999999999E-3</v>
      </c>
      <c r="P398">
        <v>0.98920669999999999</v>
      </c>
      <c r="Q398">
        <v>0.146063</v>
      </c>
      <c r="R398">
        <v>-1.165045E-2</v>
      </c>
      <c r="S398">
        <v>3.133759</v>
      </c>
      <c r="T398">
        <v>-0.72951009999999905</v>
      </c>
      <c r="U398">
        <v>-0.57293700000000003</v>
      </c>
      <c r="V398">
        <v>1.3412469999999999E-2</v>
      </c>
      <c r="W398">
        <v>0.15666140000000001</v>
      </c>
      <c r="X398">
        <v>0.98756129999999998</v>
      </c>
      <c r="Y398">
        <v>0.17697089999999999</v>
      </c>
      <c r="Z398">
        <v>-2.0572090000000001E-2</v>
      </c>
      <c r="AA398">
        <v>0.98400100000000001</v>
      </c>
      <c r="AB398">
        <v>37</v>
      </c>
      <c r="AC398">
        <v>0.53169999999999995</v>
      </c>
      <c r="AD398">
        <v>-0.17607310000000001</v>
      </c>
      <c r="AE398">
        <v>-0.138900000000035</v>
      </c>
      <c r="AF398">
        <v>0.12682730311777801</v>
      </c>
      <c r="AG398">
        <v>-0.17607310000000001</v>
      </c>
      <c r="AH398">
        <v>0.48197447290791201</v>
      </c>
      <c r="AI398">
        <v>109.457779057011</v>
      </c>
      <c r="AJ398">
        <v>75.257335983866199</v>
      </c>
      <c r="AK398">
        <v>0.52857004634636495</v>
      </c>
      <c r="AL398">
        <v>80.986835312979693</v>
      </c>
      <c r="AM398">
        <v>89.221890651930806</v>
      </c>
      <c r="AN398">
        <v>1.0000000049295701</v>
      </c>
    </row>
    <row r="399" spans="1:40" x14ac:dyDescent="0.25">
      <c r="A399" t="str">
        <f>"20190312172339449"</f>
        <v>20190312172339449</v>
      </c>
      <c r="B399" t="str">
        <f>"1552382619440454"</f>
        <v>1552382619440454</v>
      </c>
      <c r="C399" t="s">
        <v>40</v>
      </c>
      <c r="D399">
        <v>3.7266430000000001</v>
      </c>
      <c r="E399">
        <v>0.56620499999999996</v>
      </c>
      <c r="F399" t="s">
        <v>41</v>
      </c>
      <c r="G399">
        <v>-387.92840000000001</v>
      </c>
      <c r="H399">
        <v>0.90986940000000005</v>
      </c>
      <c r="I399">
        <v>366.82229999999998</v>
      </c>
      <c r="J399">
        <v>-388.46539999999999</v>
      </c>
      <c r="K399">
        <v>1.109165</v>
      </c>
      <c r="L399">
        <v>366.9796</v>
      </c>
      <c r="M399">
        <v>0.9999401</v>
      </c>
      <c r="N399">
        <v>0</v>
      </c>
      <c r="O399">
        <v>1.794237E-3</v>
      </c>
      <c r="P399">
        <v>0.98927670000000001</v>
      </c>
      <c r="Q399">
        <v>0.14561379999999999</v>
      </c>
      <c r="R399">
        <v>-1.133106E-2</v>
      </c>
      <c r="S399">
        <v>3.1336979999999999</v>
      </c>
      <c r="T399">
        <v>-0.72960639999999999</v>
      </c>
      <c r="U399">
        <v>-0.57333369999999995</v>
      </c>
      <c r="V399">
        <v>1.3106319999999999E-2</v>
      </c>
      <c r="W399">
        <v>0.1562945</v>
      </c>
      <c r="X399">
        <v>0.98762349999999999</v>
      </c>
      <c r="Y399">
        <v>0.17710290000000001</v>
      </c>
      <c r="Z399">
        <v>-2.0592949999999999E-2</v>
      </c>
      <c r="AA399">
        <v>0.98397690000000004</v>
      </c>
      <c r="AB399">
        <v>37</v>
      </c>
      <c r="AC399">
        <v>0.53699999999997705</v>
      </c>
      <c r="AD399">
        <v>-0.19929559999999999</v>
      </c>
      <c r="AE399">
        <v>-0.15730000000002001</v>
      </c>
      <c r="AF399">
        <v>0.140447361993049</v>
      </c>
      <c r="AG399">
        <v>-0.19929559999999999</v>
      </c>
      <c r="AH399">
        <v>0.47629783284014499</v>
      </c>
      <c r="AI399">
        <v>111.867650227059</v>
      </c>
      <c r="AJ399">
        <v>73.570636004866202</v>
      </c>
      <c r="AK399">
        <v>0.53507366150688596</v>
      </c>
      <c r="AL399">
        <v>81.008118933859194</v>
      </c>
      <c r="AM399">
        <v>89.239697370860398</v>
      </c>
      <c r="AN399">
        <v>0.99999996205321995</v>
      </c>
    </row>
    <row r="400" spans="1:40" x14ac:dyDescent="0.25">
      <c r="A400" t="str">
        <f>"20190312172339470"</f>
        <v>20190312172339470</v>
      </c>
      <c r="B400" t="str">
        <f>"1552382619459972"</f>
        <v>1552382619459972</v>
      </c>
      <c r="C400" t="s">
        <v>40</v>
      </c>
      <c r="D400">
        <v>3.6943139999999999</v>
      </c>
      <c r="E400">
        <v>0.56629039999999997</v>
      </c>
      <c r="F400" t="s">
        <v>41</v>
      </c>
      <c r="G400">
        <v>-387.59679999999997</v>
      </c>
      <c r="H400">
        <v>0.90672640000000004</v>
      </c>
      <c r="I400">
        <v>366.82060000000001</v>
      </c>
      <c r="J400">
        <v>-388.11369999999999</v>
      </c>
      <c r="K400">
        <v>1.109289</v>
      </c>
      <c r="L400">
        <v>366.9803</v>
      </c>
      <c r="M400">
        <v>0.99993909999999997</v>
      </c>
      <c r="N400">
        <v>0</v>
      </c>
      <c r="O400">
        <v>1.808933E-3</v>
      </c>
      <c r="P400">
        <v>0.98928110000000002</v>
      </c>
      <c r="Q400">
        <v>0.14558740000000001</v>
      </c>
      <c r="R400">
        <v>-1.128317E-2</v>
      </c>
      <c r="S400">
        <v>3.1334230000000001</v>
      </c>
      <c r="T400">
        <v>-0.73035930000000004</v>
      </c>
      <c r="U400">
        <v>-0.5725403</v>
      </c>
      <c r="V400">
        <v>1.307287E-2</v>
      </c>
      <c r="W400">
        <v>0.15634909999999999</v>
      </c>
      <c r="X400">
        <v>0.98761529999999997</v>
      </c>
      <c r="Y400">
        <v>0.17688619999999999</v>
      </c>
      <c r="Z400">
        <v>-2.0594459999999998E-2</v>
      </c>
      <c r="AA400">
        <v>0.9840158</v>
      </c>
      <c r="AB400">
        <v>37</v>
      </c>
      <c r="AC400">
        <v>0.51690000000002101</v>
      </c>
      <c r="AD400">
        <v>-0.20256259999999901</v>
      </c>
      <c r="AE400">
        <v>-0.15969999999998599</v>
      </c>
      <c r="AF400">
        <v>0.140884503583315</v>
      </c>
      <c r="AG400">
        <v>-0.20256259999999901</v>
      </c>
      <c r="AH400">
        <v>0.45309213433901202</v>
      </c>
      <c r="AI400">
        <v>113.117916309161</v>
      </c>
      <c r="AJ400">
        <v>72.727436748717395</v>
      </c>
      <c r="AK400">
        <v>0.51591911426943504</v>
      </c>
      <c r="AL400">
        <v>81.004951635622803</v>
      </c>
      <c r="AM400">
        <v>89.241631295406606</v>
      </c>
      <c r="AN400">
        <v>0.99999996089746701</v>
      </c>
    </row>
    <row r="401" spans="1:40" x14ac:dyDescent="0.25">
      <c r="A401" t="str">
        <f>"20190312172339483"</f>
        <v>20190312172339483</v>
      </c>
      <c r="B401" t="str">
        <f>"1552382619480469"</f>
        <v>1552382619480469</v>
      </c>
      <c r="C401" t="s">
        <v>40</v>
      </c>
      <c r="D401">
        <v>3.7095479999999998</v>
      </c>
      <c r="E401">
        <v>0.56628970000000001</v>
      </c>
      <c r="F401" t="s">
        <v>41</v>
      </c>
      <c r="G401">
        <v>-387.26229999999998</v>
      </c>
      <c r="H401">
        <v>0.91073369999999998</v>
      </c>
      <c r="I401">
        <v>366.82420000000002</v>
      </c>
      <c r="J401">
        <v>-387.89729999999997</v>
      </c>
      <c r="K401">
        <v>1.109354</v>
      </c>
      <c r="L401">
        <v>366.98070000000001</v>
      </c>
      <c r="M401">
        <v>0.99993869999999896</v>
      </c>
      <c r="N401">
        <v>0</v>
      </c>
      <c r="O401">
        <v>1.8176220000000001E-3</v>
      </c>
      <c r="P401">
        <v>0.98929520000000004</v>
      </c>
      <c r="Q401">
        <v>0.14549329999999999</v>
      </c>
      <c r="R401">
        <v>-1.1265219999999999E-2</v>
      </c>
      <c r="S401">
        <v>3.1335139999999999</v>
      </c>
      <c r="T401">
        <v>-0.73081819999999997</v>
      </c>
      <c r="U401">
        <v>-0.57339479999999998</v>
      </c>
      <c r="V401">
        <v>1.3063369999999999E-2</v>
      </c>
      <c r="W401">
        <v>0.1563011</v>
      </c>
      <c r="X401">
        <v>0.98762300000000003</v>
      </c>
      <c r="Y401">
        <v>0.1771374</v>
      </c>
      <c r="Z401">
        <v>-2.0636669999999999E-2</v>
      </c>
      <c r="AA401">
        <v>0.98396969999999995</v>
      </c>
      <c r="AB401">
        <v>37</v>
      </c>
      <c r="AC401">
        <v>0.63499999999999002</v>
      </c>
      <c r="AD401">
        <v>-0.1986203</v>
      </c>
      <c r="AE401">
        <v>-0.15649999999999401</v>
      </c>
      <c r="AF401">
        <v>0.144340880154747</v>
      </c>
      <c r="AG401">
        <v>-0.1986203</v>
      </c>
      <c r="AH401">
        <v>0.58111589920742102</v>
      </c>
      <c r="AI401">
        <v>108.351290898784</v>
      </c>
      <c r="AJ401">
        <v>76.050841310434706</v>
      </c>
      <c r="AK401">
        <v>0.63085656180116501</v>
      </c>
      <c r="AL401">
        <v>81.007735856590102</v>
      </c>
      <c r="AM401">
        <v>89.242188242115702</v>
      </c>
      <c r="AN401">
        <v>0.99999993781298102</v>
      </c>
    </row>
    <row r="402" spans="1:40" x14ac:dyDescent="0.25">
      <c r="A402" t="str">
        <f>"20190312172339495"</f>
        <v>20190312172339495</v>
      </c>
      <c r="B402" t="str">
        <f>"1552382619490229"</f>
        <v>1552382619490229</v>
      </c>
      <c r="C402" t="s">
        <v>40</v>
      </c>
      <c r="D402">
        <v>3.609896</v>
      </c>
      <c r="E402">
        <v>0.57235000000000003</v>
      </c>
      <c r="F402" t="s">
        <v>41</v>
      </c>
      <c r="G402">
        <v>-386.93880000000001</v>
      </c>
      <c r="H402">
        <v>0.88577220000000001</v>
      </c>
      <c r="I402">
        <v>366.80489999999998</v>
      </c>
      <c r="J402">
        <v>-387.69540000000001</v>
      </c>
      <c r="K402">
        <v>1.1094090000000001</v>
      </c>
      <c r="L402">
        <v>366.98099999999999</v>
      </c>
      <c r="M402">
        <v>0.9999382</v>
      </c>
      <c r="N402">
        <v>0</v>
      </c>
      <c r="O402">
        <v>1.8259890000000001E-3</v>
      </c>
      <c r="P402">
        <v>0.98932399999999998</v>
      </c>
      <c r="Q402">
        <v>0.14530670000000001</v>
      </c>
      <c r="R402">
        <v>-1.115211E-2</v>
      </c>
      <c r="S402">
        <v>3.1334230000000001</v>
      </c>
      <c r="T402">
        <v>-0.73101700000000003</v>
      </c>
      <c r="U402">
        <v>-0.57354740000000004</v>
      </c>
      <c r="V402">
        <v>1.2958610000000001E-2</v>
      </c>
      <c r="W402">
        <v>0.15615370000000001</v>
      </c>
      <c r="X402">
        <v>0.98764779999999996</v>
      </c>
      <c r="Y402">
        <v>0.17719260000000001</v>
      </c>
      <c r="Z402">
        <v>-2.065086E-2</v>
      </c>
      <c r="AA402">
        <v>0.98395949999999999</v>
      </c>
      <c r="AB402">
        <v>37</v>
      </c>
      <c r="AC402">
        <v>0.75659999999999095</v>
      </c>
      <c r="AD402">
        <v>-0.2236368</v>
      </c>
      <c r="AE402">
        <v>-0.17610000000001899</v>
      </c>
      <c r="AF402">
        <v>0.16389773633246699</v>
      </c>
      <c r="AG402">
        <v>-0.2236368</v>
      </c>
      <c r="AH402">
        <v>0.69839522308412705</v>
      </c>
      <c r="AI402">
        <v>107.314649055491</v>
      </c>
      <c r="AJ402">
        <v>76.792953812647198</v>
      </c>
      <c r="AK402">
        <v>0.75141983864938899</v>
      </c>
      <c r="AL402">
        <v>81.016287171887697</v>
      </c>
      <c r="AM402">
        <v>89.248283588955204</v>
      </c>
      <c r="AN402">
        <v>1.00000004022083</v>
      </c>
    </row>
    <row r="403" spans="1:40" x14ac:dyDescent="0.25">
      <c r="A403" t="str">
        <f>"20190312172339507"</f>
        <v>20190312172339507</v>
      </c>
      <c r="B403" t="str">
        <f>"1552382619499988"</f>
        <v>1552382619499988</v>
      </c>
      <c r="C403" t="s">
        <v>40</v>
      </c>
      <c r="D403">
        <v>3.7202000000000002</v>
      </c>
      <c r="E403">
        <v>0.57286949999999903</v>
      </c>
      <c r="F403" t="s">
        <v>41</v>
      </c>
      <c r="G403">
        <v>-386.92329999999998</v>
      </c>
      <c r="H403">
        <v>0.92483320000000002</v>
      </c>
      <c r="I403">
        <v>366.82760000000002</v>
      </c>
      <c r="J403">
        <v>-387.49610000000001</v>
      </c>
      <c r="K403">
        <v>1.109456</v>
      </c>
      <c r="L403">
        <v>366.98140000000001</v>
      </c>
      <c r="M403">
        <v>0.99993779999999999</v>
      </c>
      <c r="N403">
        <v>0</v>
      </c>
      <c r="O403">
        <v>1.834072E-3</v>
      </c>
      <c r="P403">
        <v>0.98931449999999999</v>
      </c>
      <c r="Q403">
        <v>0.1453739</v>
      </c>
      <c r="R403">
        <v>-1.1114880000000001E-2</v>
      </c>
      <c r="S403">
        <v>3.1354679999999999</v>
      </c>
      <c r="T403">
        <v>-0.74964240000000004</v>
      </c>
      <c r="U403">
        <v>-0.62173459999999903</v>
      </c>
      <c r="V403">
        <v>1.2929400000000001E-2</v>
      </c>
      <c r="W403">
        <v>0.15625729999999999</v>
      </c>
      <c r="X403">
        <v>0.9876317</v>
      </c>
      <c r="Y403">
        <v>0.1910685</v>
      </c>
      <c r="Z403">
        <v>-2.2743380000000001E-2</v>
      </c>
      <c r="AA403">
        <v>0.9813132</v>
      </c>
      <c r="AB403">
        <v>37</v>
      </c>
      <c r="AC403">
        <v>0.57280000000002895</v>
      </c>
      <c r="AD403">
        <v>-0.1846228</v>
      </c>
      <c r="AE403">
        <v>-0.153799999999989</v>
      </c>
      <c r="AF403">
        <v>0.141170685668603</v>
      </c>
      <c r="AG403">
        <v>-0.1846228</v>
      </c>
      <c r="AH403">
        <v>0.52194007278680699</v>
      </c>
      <c r="AI403">
        <v>108.85272135096599</v>
      </c>
      <c r="AJ403">
        <v>74.865169589032604</v>
      </c>
      <c r="AK403">
        <v>0.57134593754806795</v>
      </c>
      <c r="AL403">
        <v>81.010276686815203</v>
      </c>
      <c r="AM403">
        <v>89.249965613790394</v>
      </c>
      <c r="AN403">
        <v>0.99999994401626802</v>
      </c>
    </row>
    <row r="404" spans="1:40" x14ac:dyDescent="0.25">
      <c r="A404" t="str">
        <f>"20190312172339519"</f>
        <v>20190312172339519</v>
      </c>
      <c r="B404" t="str">
        <f>"1552382619510725"</f>
        <v>1552382619510725</v>
      </c>
      <c r="C404" t="s">
        <v>40</v>
      </c>
      <c r="D404">
        <v>3.6180119999999998</v>
      </c>
      <c r="E404">
        <v>0.57200459999999997</v>
      </c>
      <c r="F404" t="s">
        <v>41</v>
      </c>
      <c r="G404">
        <v>-386.60160000000002</v>
      </c>
      <c r="H404">
        <v>0.89484359999999996</v>
      </c>
      <c r="I404">
        <v>366.80259999999998</v>
      </c>
      <c r="J404">
        <v>-387.28739999999999</v>
      </c>
      <c r="K404">
        <v>1.1095029999999999</v>
      </c>
      <c r="L404">
        <v>366.98180000000002</v>
      </c>
      <c r="M404">
        <v>0.99993739999999998</v>
      </c>
      <c r="N404">
        <v>0</v>
      </c>
      <c r="O404">
        <v>1.842453E-3</v>
      </c>
      <c r="P404">
        <v>0.98930689999999999</v>
      </c>
      <c r="Q404">
        <v>0.1454346</v>
      </c>
      <c r="R404">
        <v>-1.0990410000000001E-2</v>
      </c>
      <c r="S404">
        <v>3.1359249999999999</v>
      </c>
      <c r="T404">
        <v>-0.75234480000000004</v>
      </c>
      <c r="U404">
        <v>-0.62551880000000004</v>
      </c>
      <c r="V404">
        <v>1.281332E-2</v>
      </c>
      <c r="W404">
        <v>0.15635379999999999</v>
      </c>
      <c r="X404">
        <v>0.987618</v>
      </c>
      <c r="Y404">
        <v>0.19212499999999999</v>
      </c>
      <c r="Z404">
        <v>-2.2943189999999999E-2</v>
      </c>
      <c r="AA404">
        <v>0.98110220000000004</v>
      </c>
      <c r="AB404">
        <v>37</v>
      </c>
      <c r="AC404">
        <v>0.68579999999997199</v>
      </c>
      <c r="AD404">
        <v>-0.2146594</v>
      </c>
      <c r="AE404">
        <v>-0.179200000000037</v>
      </c>
      <c r="AF404">
        <v>0.165303232612248</v>
      </c>
      <c r="AG404">
        <v>-0.2146594</v>
      </c>
      <c r="AH404">
        <v>0.62788481880965996</v>
      </c>
      <c r="AI404">
        <v>108.294477319355</v>
      </c>
      <c r="AJ404">
        <v>75.250430488785497</v>
      </c>
      <c r="AK404">
        <v>0.68384439926935003</v>
      </c>
      <c r="AL404">
        <v>81.004679373610003</v>
      </c>
      <c r="AM404">
        <v>89.256688344952295</v>
      </c>
      <c r="AN404">
        <v>1.00000000293393</v>
      </c>
    </row>
    <row r="405" spans="1:40" x14ac:dyDescent="0.25">
      <c r="A405" t="str">
        <f>"20190312172339538"</f>
        <v>20190312172339538</v>
      </c>
      <c r="B405" t="str">
        <f>"1552382619530248"</f>
        <v>1552382619530248</v>
      </c>
      <c r="C405" t="s">
        <v>40</v>
      </c>
      <c r="D405">
        <v>3.6257470000000001</v>
      </c>
      <c r="E405">
        <v>0.57118649999999904</v>
      </c>
      <c r="F405" t="s">
        <v>41</v>
      </c>
      <c r="G405">
        <v>-386.58339999999998</v>
      </c>
      <c r="H405">
        <v>0.94140480000000004</v>
      </c>
      <c r="I405">
        <v>366.84269999999998</v>
      </c>
      <c r="J405">
        <v>-386.98570000000001</v>
      </c>
      <c r="K405">
        <v>1.1095619999999999</v>
      </c>
      <c r="L405">
        <v>366.98239999999998</v>
      </c>
      <c r="M405">
        <v>0.99993679999999996</v>
      </c>
      <c r="N405">
        <v>0</v>
      </c>
      <c r="O405">
        <v>1.855298E-3</v>
      </c>
      <c r="P405">
        <v>0.98929849999999997</v>
      </c>
      <c r="Q405">
        <v>0.14550589999999999</v>
      </c>
      <c r="R405">
        <v>-1.080979E-2</v>
      </c>
      <c r="S405">
        <v>3.1356199999999999</v>
      </c>
      <c r="T405">
        <v>-0.74864980000000003</v>
      </c>
      <c r="U405">
        <v>-0.61804199999999998</v>
      </c>
      <c r="V405">
        <v>1.2645299999999899E-2</v>
      </c>
      <c r="W405">
        <v>0.15647249999999999</v>
      </c>
      <c r="X405">
        <v>0.98760130000000002</v>
      </c>
      <c r="Y405">
        <v>0.1900087</v>
      </c>
      <c r="Z405">
        <v>-2.259682E-2</v>
      </c>
      <c r="AA405">
        <v>0.98152229999999996</v>
      </c>
      <c r="AB405">
        <v>37</v>
      </c>
      <c r="AC405">
        <v>0.40230000000002503</v>
      </c>
      <c r="AD405">
        <v>-0.16815720000000001</v>
      </c>
      <c r="AE405">
        <v>-0.13970000000000399</v>
      </c>
      <c r="AF405">
        <v>0.121502246525363</v>
      </c>
      <c r="AG405">
        <v>-0.16815720000000001</v>
      </c>
      <c r="AH405">
        <v>0.34781132544927701</v>
      </c>
      <c r="AI405">
        <v>114.533106480347</v>
      </c>
      <c r="AJ405">
        <v>70.743966499723001</v>
      </c>
      <c r="AK405">
        <v>0.40498439220954302</v>
      </c>
      <c r="AL405">
        <v>80.997793017074898</v>
      </c>
      <c r="AM405">
        <v>89.266421853711407</v>
      </c>
      <c r="AN405">
        <v>0.99999993731501302</v>
      </c>
    </row>
    <row r="406" spans="1:40" x14ac:dyDescent="0.25">
      <c r="A406" t="str">
        <f>"20190312172339549"</f>
        <v>20190312172339549</v>
      </c>
      <c r="B406" t="str">
        <f>"1552382619540005"</f>
        <v>1552382619540005</v>
      </c>
      <c r="C406" t="s">
        <v>40</v>
      </c>
      <c r="D406">
        <v>3.6121970000000001</v>
      </c>
      <c r="E406">
        <v>0.57105629999999996</v>
      </c>
      <c r="F406" t="s">
        <v>41</v>
      </c>
      <c r="G406">
        <v>-386.2527</v>
      </c>
      <c r="H406">
        <v>0.93558819999999998</v>
      </c>
      <c r="I406">
        <v>366.83949999999999</v>
      </c>
      <c r="J406">
        <v>-386.78609999999998</v>
      </c>
      <c r="K406">
        <v>1.1095950000000001</v>
      </c>
      <c r="L406">
        <v>366.9828</v>
      </c>
      <c r="M406">
        <v>0.99993650000000001</v>
      </c>
      <c r="N406">
        <v>0</v>
      </c>
      <c r="O406">
        <v>1.8636E-3</v>
      </c>
      <c r="P406">
        <v>0.98930700000000005</v>
      </c>
      <c r="Q406">
        <v>0.14544869999999999</v>
      </c>
      <c r="R406">
        <v>-1.0798729999999999E-2</v>
      </c>
      <c r="S406">
        <v>3.1352540000000002</v>
      </c>
      <c r="T406">
        <v>-0.74412749999999905</v>
      </c>
      <c r="U406">
        <v>-0.61029049999999996</v>
      </c>
      <c r="V406">
        <v>1.2642469999999999E-2</v>
      </c>
      <c r="W406">
        <v>0.15644379999999999</v>
      </c>
      <c r="X406">
        <v>0.98760590000000004</v>
      </c>
      <c r="Y406">
        <v>0.18781719999999999</v>
      </c>
      <c r="Z406">
        <v>-2.2219220000000001E-2</v>
      </c>
      <c r="AA406">
        <v>0.98195270000000001</v>
      </c>
      <c r="AB406">
        <v>37</v>
      </c>
      <c r="AC406">
        <v>0.53339999999997101</v>
      </c>
      <c r="AD406">
        <v>-0.17400679999999999</v>
      </c>
      <c r="AE406">
        <v>-0.14330000000001</v>
      </c>
      <c r="AF406">
        <v>0.131264907101243</v>
      </c>
      <c r="AG406">
        <v>-0.17400679999999999</v>
      </c>
      <c r="AH406">
        <v>0.48499308597200702</v>
      </c>
      <c r="AI406">
        <v>109.102075189583</v>
      </c>
      <c r="AJ406">
        <v>74.855550554800999</v>
      </c>
      <c r="AK406">
        <v>0.53172091901973195</v>
      </c>
      <c r="AL406">
        <v>80.999458062769904</v>
      </c>
      <c r="AM406">
        <v>89.266589425183298</v>
      </c>
      <c r="AN406">
        <v>0.99999995416047405</v>
      </c>
    </row>
    <row r="407" spans="1:40" x14ac:dyDescent="0.25">
      <c r="A407" t="str">
        <f>"20190312172339562"</f>
        <v>20190312172339562</v>
      </c>
      <c r="B407" t="str">
        <f>"1552382619550741"</f>
        <v>1552382619550741</v>
      </c>
      <c r="C407" t="s">
        <v>40</v>
      </c>
      <c r="D407">
        <v>3.6469200000000002</v>
      </c>
      <c r="E407">
        <v>0.57083119999999998</v>
      </c>
      <c r="F407" t="s">
        <v>41</v>
      </c>
      <c r="G407">
        <v>-385.93029999999999</v>
      </c>
      <c r="H407">
        <v>0.90690369999999998</v>
      </c>
      <c r="I407">
        <v>366.81580000000002</v>
      </c>
      <c r="J407">
        <v>-386.58229999999998</v>
      </c>
      <c r="K407">
        <v>1.109626</v>
      </c>
      <c r="L407">
        <v>366.98309999999998</v>
      </c>
      <c r="M407">
        <v>0.99993609999999999</v>
      </c>
      <c r="N407">
        <v>0</v>
      </c>
      <c r="O407">
        <v>1.872025E-3</v>
      </c>
      <c r="P407">
        <v>0.98931179999999996</v>
      </c>
      <c r="Q407">
        <v>0.14541560000000001</v>
      </c>
      <c r="R407">
        <v>-1.081728E-2</v>
      </c>
      <c r="S407">
        <v>3.1349490000000002</v>
      </c>
      <c r="T407">
        <v>-0.7426471</v>
      </c>
      <c r="U407">
        <v>-0.60955809999999999</v>
      </c>
      <c r="V407">
        <v>1.266923E-2</v>
      </c>
      <c r="W407">
        <v>0.15643859999999901</v>
      </c>
      <c r="X407">
        <v>0.9876064</v>
      </c>
      <c r="Y407">
        <v>0.18764549999999999</v>
      </c>
      <c r="Z407">
        <v>-2.216077E-2</v>
      </c>
      <c r="AA407">
        <v>0.98198680000000005</v>
      </c>
      <c r="AB407">
        <v>37</v>
      </c>
      <c r="AC407">
        <v>0.65199999999998604</v>
      </c>
      <c r="AD407">
        <v>-0.20272229999999999</v>
      </c>
      <c r="AE407">
        <v>-0.16729999999995401</v>
      </c>
      <c r="AF407">
        <v>0.15450635423707901</v>
      </c>
      <c r="AG407">
        <v>-0.20272229999999999</v>
      </c>
      <c r="AH407">
        <v>0.59749209993076702</v>
      </c>
      <c r="AI407">
        <v>108.18450399614601</v>
      </c>
      <c r="AJ407">
        <v>75.501403008644402</v>
      </c>
      <c r="AK407">
        <v>0.64958860357660397</v>
      </c>
      <c r="AL407">
        <v>80.999759887236706</v>
      </c>
      <c r="AM407">
        <v>89.2650375755249</v>
      </c>
      <c r="AN407">
        <v>0.999999973139856</v>
      </c>
    </row>
    <row r="408" spans="1:40" x14ac:dyDescent="0.25">
      <c r="A408" t="str">
        <f>"20190312172339574"</f>
        <v>20190312172339574</v>
      </c>
      <c r="B408" t="str">
        <f>"1552382619570260"</f>
        <v>1552382619570260</v>
      </c>
      <c r="C408" t="s">
        <v>40</v>
      </c>
      <c r="D408">
        <v>3.6186690000000001</v>
      </c>
      <c r="E408">
        <v>0.57063229999999998</v>
      </c>
      <c r="F408" t="s">
        <v>41</v>
      </c>
      <c r="G408">
        <v>-385.60759999999999</v>
      </c>
      <c r="H408">
        <v>0.87895009999999996</v>
      </c>
      <c r="I408">
        <v>366.79410000000001</v>
      </c>
      <c r="J408">
        <v>-386.37619999999998</v>
      </c>
      <c r="K408">
        <v>1.109653</v>
      </c>
      <c r="L408">
        <v>366.98360000000002</v>
      </c>
      <c r="M408">
        <v>0.99993580000000004</v>
      </c>
      <c r="N408">
        <v>0</v>
      </c>
      <c r="O408">
        <v>1.880641E-3</v>
      </c>
      <c r="P408">
        <v>0.98930410000000002</v>
      </c>
      <c r="Q408">
        <v>0.1454812</v>
      </c>
      <c r="R408">
        <v>-1.0634869999999999E-2</v>
      </c>
      <c r="S408">
        <v>3.1348569999999998</v>
      </c>
      <c r="T408">
        <v>-0.74188069999999995</v>
      </c>
      <c r="U408">
        <v>-0.60809329999999995</v>
      </c>
      <c r="V408">
        <v>1.249539E-2</v>
      </c>
      <c r="W408">
        <v>0.15653049999999999</v>
      </c>
      <c r="X408">
        <v>0.98759410000000003</v>
      </c>
      <c r="Y408">
        <v>0.18723719999999999</v>
      </c>
      <c r="Z408">
        <v>-2.2094820000000001E-2</v>
      </c>
      <c r="AA408">
        <v>0.9820662</v>
      </c>
      <c r="AB408">
        <v>37</v>
      </c>
      <c r="AC408">
        <v>0.76859999999999196</v>
      </c>
      <c r="AD408">
        <v>-0.23070289999999999</v>
      </c>
      <c r="AE408">
        <v>-0.18950000000000899</v>
      </c>
      <c r="AF408">
        <v>0.175997232643022</v>
      </c>
      <c r="AG408">
        <v>-0.23070289999999999</v>
      </c>
      <c r="AH408">
        <v>0.70810104958109299</v>
      </c>
      <c r="AI408">
        <v>107.54617527693399</v>
      </c>
      <c r="AJ408">
        <v>76.042072848145395</v>
      </c>
      <c r="AK408">
        <v>0.76524894667307997</v>
      </c>
      <c r="AL408">
        <v>80.994429146186306</v>
      </c>
      <c r="AM408">
        <v>89.275112203123598</v>
      </c>
      <c r="AN408">
        <v>1.00000001927815</v>
      </c>
    </row>
    <row r="409" spans="1:40" x14ac:dyDescent="0.25">
      <c r="A409" t="str">
        <f>"20190312172339592"</f>
        <v>20190312172339592</v>
      </c>
      <c r="B409" t="str">
        <f>"1552382619580020"</f>
        <v>1552382619580020</v>
      </c>
      <c r="C409" t="s">
        <v>40</v>
      </c>
      <c r="D409">
        <v>3.616679</v>
      </c>
      <c r="E409">
        <v>0.57049890000000003</v>
      </c>
      <c r="F409" t="s">
        <v>41</v>
      </c>
      <c r="G409">
        <v>-385.59019999999998</v>
      </c>
      <c r="H409">
        <v>0.92423869999999997</v>
      </c>
      <c r="I409">
        <v>366.83159999999998</v>
      </c>
      <c r="J409">
        <v>-386.07760000000002</v>
      </c>
      <c r="K409">
        <v>1.1096870000000001</v>
      </c>
      <c r="L409">
        <v>366.98410000000001</v>
      </c>
      <c r="M409">
        <v>0.99993540000000003</v>
      </c>
      <c r="N409">
        <v>0</v>
      </c>
      <c r="O409">
        <v>1.8930209999999999E-3</v>
      </c>
      <c r="P409">
        <v>0.98927410000000005</v>
      </c>
      <c r="Q409">
        <v>0.14567739999999901</v>
      </c>
      <c r="R409">
        <v>-1.0725490000000001E-2</v>
      </c>
      <c r="S409">
        <v>3.1346440000000002</v>
      </c>
      <c r="T409">
        <v>-0.7394733</v>
      </c>
      <c r="U409">
        <v>-0.60607909999999998</v>
      </c>
      <c r="V409">
        <v>1.2598420000000001E-2</v>
      </c>
      <c r="W409">
        <v>0.15676080000000001</v>
      </c>
      <c r="X409">
        <v>0.98755630000000005</v>
      </c>
      <c r="Y409">
        <v>0.18669839999999999</v>
      </c>
      <c r="Z409">
        <v>-2.1968430000000001E-2</v>
      </c>
      <c r="AA409">
        <v>0.98217169999999998</v>
      </c>
      <c r="AB409">
        <v>37</v>
      </c>
      <c r="AC409">
        <v>0.48740000000003603</v>
      </c>
      <c r="AD409">
        <v>-0.18544830000000001</v>
      </c>
      <c r="AE409">
        <v>-0.152500000000031</v>
      </c>
      <c r="AF409">
        <v>0.135548955383202</v>
      </c>
      <c r="AG409">
        <v>-0.18544830000000001</v>
      </c>
      <c r="AH409">
        <v>0.430362778880164</v>
      </c>
      <c r="AI409">
        <v>112.343008532532</v>
      </c>
      <c r="AJ409">
        <v>72.517428187673204</v>
      </c>
      <c r="AK409">
        <v>0.48782856899101701</v>
      </c>
      <c r="AL409">
        <v>80.9810693398735</v>
      </c>
      <c r="AM409">
        <v>89.269107857577296</v>
      </c>
      <c r="AN409">
        <v>1.00000005713641</v>
      </c>
    </row>
    <row r="410" spans="1:40" x14ac:dyDescent="0.25">
      <c r="A410" t="str">
        <f>"20190312172339605"</f>
        <v>20190312172339605</v>
      </c>
      <c r="B410" t="str">
        <f>"1552382619600516"</f>
        <v>1552382619600516</v>
      </c>
      <c r="C410" t="s">
        <v>40</v>
      </c>
      <c r="D410">
        <v>3.6066099999999999</v>
      </c>
      <c r="E410">
        <v>0.57001880000000005</v>
      </c>
      <c r="F410" t="s">
        <v>41</v>
      </c>
      <c r="G410">
        <v>-385.25940000000003</v>
      </c>
      <c r="H410">
        <v>0.91697320000000004</v>
      </c>
      <c r="I410">
        <v>366.82589999999999</v>
      </c>
      <c r="J410">
        <v>-385.87020000000001</v>
      </c>
      <c r="K410">
        <v>1.1097090000000001</v>
      </c>
      <c r="L410">
        <v>366.98450000000003</v>
      </c>
      <c r="M410">
        <v>0.99993529999999997</v>
      </c>
      <c r="N410">
        <v>0</v>
      </c>
      <c r="O410">
        <v>1.9018349999999999E-3</v>
      </c>
      <c r="P410">
        <v>0.98926250000000004</v>
      </c>
      <c r="Q410">
        <v>0.1457774</v>
      </c>
      <c r="R410">
        <v>-1.0444149999999999E-2</v>
      </c>
      <c r="S410">
        <v>3.134674</v>
      </c>
      <c r="T410">
        <v>-0.7383459</v>
      </c>
      <c r="U410">
        <v>-0.60562130000000003</v>
      </c>
      <c r="V410">
        <v>1.2325640000000001E-2</v>
      </c>
      <c r="W410">
        <v>0.15688270000000001</v>
      </c>
      <c r="X410">
        <v>0.98754030000000004</v>
      </c>
      <c r="Y410">
        <v>0.18658469999999999</v>
      </c>
      <c r="Z410">
        <v>-2.1924829999999999E-2</v>
      </c>
      <c r="AA410">
        <v>0.98219420000000002</v>
      </c>
      <c r="AB410">
        <v>37</v>
      </c>
      <c r="AC410">
        <v>0.61079999999998302</v>
      </c>
      <c r="AD410">
        <v>-0.19273579999999901</v>
      </c>
      <c r="AE410">
        <v>-0.15860000000003499</v>
      </c>
      <c r="AF410">
        <v>0.146130338332883</v>
      </c>
      <c r="AG410">
        <v>-0.19273579999999901</v>
      </c>
      <c r="AH410">
        <v>0.55840868889823503</v>
      </c>
      <c r="AI410">
        <v>108.464568914361</v>
      </c>
      <c r="AJ410">
        <v>75.335087162287806</v>
      </c>
      <c r="AK410">
        <v>0.60854040804203702</v>
      </c>
      <c r="AL410">
        <v>80.973996723314599</v>
      </c>
      <c r="AM410">
        <v>89.284919831176694</v>
      </c>
      <c r="AN410">
        <v>0.99999997354239401</v>
      </c>
    </row>
    <row r="411" spans="1:40" x14ac:dyDescent="0.25">
      <c r="A411" t="str">
        <f>"20190312172339617"</f>
        <v>20190312172339617</v>
      </c>
      <c r="B411" t="str">
        <f>"1552382619610277"</f>
        <v>1552382619610277</v>
      </c>
      <c r="C411" t="s">
        <v>40</v>
      </c>
      <c r="D411">
        <v>3.6940339999999998</v>
      </c>
      <c r="E411">
        <v>0.56999299999999997</v>
      </c>
      <c r="F411" t="s">
        <v>41</v>
      </c>
      <c r="G411">
        <v>-384.9359</v>
      </c>
      <c r="H411">
        <v>0.89036610000000005</v>
      </c>
      <c r="I411">
        <v>366.80540000000002</v>
      </c>
      <c r="J411">
        <v>-385.65879999999999</v>
      </c>
      <c r="K411">
        <v>1.1097300000000001</v>
      </c>
      <c r="L411">
        <v>366.98489999999998</v>
      </c>
      <c r="M411">
        <v>0.99993489999999996</v>
      </c>
      <c r="N411">
        <v>0</v>
      </c>
      <c r="O411">
        <v>1.9106559999999999E-3</v>
      </c>
      <c r="P411">
        <v>0.98925320000000005</v>
      </c>
      <c r="Q411">
        <v>0.14582729999999999</v>
      </c>
      <c r="R411">
        <v>-1.062053E-2</v>
      </c>
      <c r="S411">
        <v>3.134674</v>
      </c>
      <c r="T411">
        <v>-0.73599740000000002</v>
      </c>
      <c r="U411">
        <v>-0.60073849999999995</v>
      </c>
      <c r="V411">
        <v>1.251066E-2</v>
      </c>
      <c r="W411">
        <v>0.15695379999999901</v>
      </c>
      <c r="X411">
        <v>0.98752669999999998</v>
      </c>
      <c r="Y411">
        <v>0.18518380000000001</v>
      </c>
      <c r="Z411">
        <v>-2.1701129999999999E-2</v>
      </c>
      <c r="AA411">
        <v>0.98246429999999996</v>
      </c>
      <c r="AB411">
        <v>37</v>
      </c>
      <c r="AC411">
        <v>0.722899999999981</v>
      </c>
      <c r="AD411">
        <v>-0.219363899999999</v>
      </c>
      <c r="AE411">
        <v>-0.179499999999961</v>
      </c>
      <c r="AF411">
        <v>0.166444543896235</v>
      </c>
      <c r="AG411">
        <v>-0.219363899999999</v>
      </c>
      <c r="AH411">
        <v>0.66488725311088503</v>
      </c>
      <c r="AI411">
        <v>107.74729321346101</v>
      </c>
      <c r="AJ411">
        <v>75.945693470382807</v>
      </c>
      <c r="AK411">
        <v>0.71965225363738905</v>
      </c>
      <c r="AL411">
        <v>80.969872112096795</v>
      </c>
      <c r="AM411">
        <v>89.274176918485693</v>
      </c>
      <c r="AN411">
        <v>0.99999999758048197</v>
      </c>
    </row>
    <row r="412" spans="1:40" x14ac:dyDescent="0.25">
      <c r="A412" t="str">
        <f>"20190312172339630"</f>
        <v>20190312172339630</v>
      </c>
      <c r="B412" t="str">
        <f>"1552382619620038"</f>
        <v>1552382619620038</v>
      </c>
      <c r="C412" t="s">
        <v>40</v>
      </c>
      <c r="D412">
        <v>3.6389499999999999</v>
      </c>
      <c r="E412">
        <v>0.57000399999999996</v>
      </c>
      <c r="F412" t="s">
        <v>41</v>
      </c>
      <c r="G412">
        <v>-384.91820000000001</v>
      </c>
      <c r="H412">
        <v>0.93602220000000003</v>
      </c>
      <c r="I412">
        <v>366.84269999999998</v>
      </c>
      <c r="J412">
        <v>-385.4461</v>
      </c>
      <c r="K412">
        <v>1.1097429999999999</v>
      </c>
      <c r="L412">
        <v>366.98540000000003</v>
      </c>
      <c r="M412">
        <v>0.99993469999999995</v>
      </c>
      <c r="N412">
        <v>0</v>
      </c>
      <c r="O412">
        <v>1.9194850000000001E-3</v>
      </c>
      <c r="P412">
        <v>0.98925669999999999</v>
      </c>
      <c r="Q412">
        <v>0.145835299999999</v>
      </c>
      <c r="R412">
        <v>-1.0177E-2</v>
      </c>
      <c r="S412">
        <v>3.1345519999999998</v>
      </c>
      <c r="T412">
        <v>-0.73526469999999999</v>
      </c>
      <c r="U412">
        <v>-0.60168459999999901</v>
      </c>
      <c r="V412">
        <v>1.207591E-2</v>
      </c>
      <c r="W412">
        <v>0.15698110000000001</v>
      </c>
      <c r="X412">
        <v>0.98752779999999996</v>
      </c>
      <c r="Y412">
        <v>0.18548700000000001</v>
      </c>
      <c r="Z412">
        <v>-2.17171E-2</v>
      </c>
      <c r="AA412">
        <v>0.98240669999999997</v>
      </c>
      <c r="AB412">
        <v>37</v>
      </c>
      <c r="AC412">
        <v>0.52789999999998805</v>
      </c>
      <c r="AD412">
        <v>-0.17372079999999901</v>
      </c>
      <c r="AE412">
        <v>-0.14270000000004701</v>
      </c>
      <c r="AF412">
        <v>0.130539239828696</v>
      </c>
      <c r="AG412">
        <v>-0.17372079999999901</v>
      </c>
      <c r="AH412">
        <v>0.47925888864187199</v>
      </c>
      <c r="AI412">
        <v>109.276605781077</v>
      </c>
      <c r="AJ412">
        <v>74.763546953677704</v>
      </c>
      <c r="AK412">
        <v>0.52622095343109998</v>
      </c>
      <c r="AL412">
        <v>80.968288549840196</v>
      </c>
      <c r="AM412">
        <v>89.299397756371405</v>
      </c>
      <c r="AN412">
        <v>1.00000002456618</v>
      </c>
    </row>
    <row r="413" spans="1:40" x14ac:dyDescent="0.25">
      <c r="A413" t="str">
        <f>"20190312172339651"</f>
        <v>20190312172339651</v>
      </c>
      <c r="B413" t="str">
        <f>"1552382619640533"</f>
        <v>1552382619640533</v>
      </c>
      <c r="C413" t="s">
        <v>40</v>
      </c>
      <c r="D413">
        <v>3.7375229999999999</v>
      </c>
      <c r="E413">
        <v>0.56947789999999998</v>
      </c>
      <c r="F413" t="s">
        <v>41</v>
      </c>
      <c r="G413">
        <v>-384.59449999999998</v>
      </c>
      <c r="H413">
        <v>0.91004059999999998</v>
      </c>
      <c r="I413">
        <v>366.82220000000001</v>
      </c>
      <c r="J413">
        <v>-385.1069</v>
      </c>
      <c r="K413">
        <v>1.1097680000000001</v>
      </c>
      <c r="L413">
        <v>366.98599999999999</v>
      </c>
      <c r="M413">
        <v>0.99993430000000005</v>
      </c>
      <c r="N413">
        <v>0</v>
      </c>
      <c r="O413">
        <v>1.9334490000000001E-3</v>
      </c>
      <c r="P413">
        <v>0.98924619999999996</v>
      </c>
      <c r="Q413">
        <v>0.14592959999999999</v>
      </c>
      <c r="R413">
        <v>-9.8230109999999995E-3</v>
      </c>
      <c r="S413">
        <v>3.1347659999999999</v>
      </c>
      <c r="T413">
        <v>-0.73510869999999995</v>
      </c>
      <c r="U413">
        <v>-0.60015869999999905</v>
      </c>
      <c r="V413">
        <v>1.173566E-2</v>
      </c>
      <c r="W413">
        <v>0.15710399999999999</v>
      </c>
      <c r="X413">
        <v>0.98751239999999996</v>
      </c>
      <c r="Y413">
        <v>0.1850405</v>
      </c>
      <c r="Z413">
        <v>-2.1664159999999998E-2</v>
      </c>
      <c r="AA413">
        <v>0.98249209999999998</v>
      </c>
      <c r="AB413">
        <v>37</v>
      </c>
      <c r="AC413">
        <v>0.51240000000001296</v>
      </c>
      <c r="AD413">
        <v>-0.1997274</v>
      </c>
      <c r="AE413">
        <v>-0.16379999999997999</v>
      </c>
      <c r="AF413">
        <v>0.144826422996403</v>
      </c>
      <c r="AG413">
        <v>-0.1997274</v>
      </c>
      <c r="AH413">
        <v>0.45004457647771701</v>
      </c>
      <c r="AI413">
        <v>112.902060966264</v>
      </c>
      <c r="AJ413">
        <v>72.161584937462493</v>
      </c>
      <c r="AK413">
        <v>0.51323079401542204</v>
      </c>
      <c r="AL413">
        <v>80.9611588077628</v>
      </c>
      <c r="AM413">
        <v>89.319125374286301</v>
      </c>
      <c r="AN413">
        <v>1.00000006634269</v>
      </c>
    </row>
    <row r="414" spans="1:40" x14ac:dyDescent="0.25">
      <c r="A414" t="str">
        <f>"20190312172339672"</f>
        <v>20190312172339672</v>
      </c>
      <c r="B414" t="str">
        <f>"1552382619660052"</f>
        <v>1552382619660052</v>
      </c>
      <c r="C414" t="s">
        <v>40</v>
      </c>
      <c r="D414">
        <v>3.6561750000000002</v>
      </c>
      <c r="E414">
        <v>0.56927620000000001</v>
      </c>
      <c r="F414" t="s">
        <v>41</v>
      </c>
      <c r="G414">
        <v>-384.25990000000002</v>
      </c>
      <c r="H414">
        <v>0.91178689999999996</v>
      </c>
      <c r="I414">
        <v>366.8252</v>
      </c>
      <c r="J414">
        <v>-384.75490000000002</v>
      </c>
      <c r="K414">
        <v>1.109793</v>
      </c>
      <c r="L414">
        <v>366.98669999999998</v>
      </c>
      <c r="M414">
        <v>0.99993379999999998</v>
      </c>
      <c r="N414">
        <v>0</v>
      </c>
      <c r="O414">
        <v>1.9479600000000001E-3</v>
      </c>
      <c r="P414">
        <v>0.98925269999999998</v>
      </c>
      <c r="Q414">
        <v>0.14591460000000001</v>
      </c>
      <c r="R414">
        <v>-9.3808039999999995E-3</v>
      </c>
      <c r="S414">
        <v>3.1347960000000001</v>
      </c>
      <c r="T414">
        <v>-0.73266549999999997</v>
      </c>
      <c r="U414">
        <v>-0.59512330000000002</v>
      </c>
      <c r="V414">
        <v>1.130778E-2</v>
      </c>
      <c r="W414">
        <v>0.1571158</v>
      </c>
      <c r="X414">
        <v>0.98751540000000004</v>
      </c>
      <c r="Y414">
        <v>0.1835975</v>
      </c>
      <c r="Z414">
        <v>-2.1435240000000001E-2</v>
      </c>
      <c r="AA414">
        <v>0.98276779999999997</v>
      </c>
      <c r="AB414">
        <v>37</v>
      </c>
      <c r="AC414">
        <v>0.49500000000000399</v>
      </c>
      <c r="AD414">
        <v>-0.19800609999999999</v>
      </c>
      <c r="AE414">
        <v>-0.16149999999998901</v>
      </c>
      <c r="AF414">
        <v>0.14193756830988499</v>
      </c>
      <c r="AG414">
        <v>-0.19800609999999999</v>
      </c>
      <c r="AH414">
        <v>0.43218380091217501</v>
      </c>
      <c r="AI414">
        <v>113.522483648913</v>
      </c>
      <c r="AJ414">
        <v>71.818813653652697</v>
      </c>
      <c r="AK414">
        <v>0.49612047599935699</v>
      </c>
      <c r="AL414">
        <v>80.960473181391293</v>
      </c>
      <c r="AM414">
        <v>89.343949719678207</v>
      </c>
      <c r="AN414">
        <v>0.99999995286766297</v>
      </c>
    </row>
    <row r="415" spans="1:40" x14ac:dyDescent="0.25">
      <c r="A415" t="str">
        <f>"20190312172339694"</f>
        <v>20190312172339694</v>
      </c>
      <c r="B415" t="str">
        <f>"1552382619690308"</f>
        <v>1552382619690308</v>
      </c>
      <c r="C415" t="s">
        <v>40</v>
      </c>
      <c r="D415">
        <v>3.6607029999999998</v>
      </c>
      <c r="E415">
        <v>0.56933549999999999</v>
      </c>
      <c r="F415" t="s">
        <v>41</v>
      </c>
      <c r="G415">
        <v>-383.92419999999998</v>
      </c>
      <c r="H415">
        <v>0.91602490000000003</v>
      </c>
      <c r="I415">
        <v>366.82940000000002</v>
      </c>
      <c r="J415">
        <v>-384.39370000000002</v>
      </c>
      <c r="K415">
        <v>1.109809</v>
      </c>
      <c r="L415">
        <v>366.98750000000001</v>
      </c>
      <c r="M415">
        <v>0.99993359999999998</v>
      </c>
      <c r="N415">
        <v>0</v>
      </c>
      <c r="O415">
        <v>1.9627799999999999E-3</v>
      </c>
      <c r="P415">
        <v>0.98918649999999997</v>
      </c>
      <c r="Q415">
        <v>0.14638989999999999</v>
      </c>
      <c r="R415">
        <v>-8.9612040000000004E-3</v>
      </c>
      <c r="S415">
        <v>3.1348569999999998</v>
      </c>
      <c r="T415">
        <v>-0.73136590000000001</v>
      </c>
      <c r="U415">
        <v>-0.59207149999999997</v>
      </c>
      <c r="V415">
        <v>1.090266E-2</v>
      </c>
      <c r="W415">
        <v>0.15761449999999999</v>
      </c>
      <c r="X415">
        <v>0.98744050000000005</v>
      </c>
      <c r="Y415">
        <v>0.1827232</v>
      </c>
      <c r="Z415">
        <v>-2.1303240000000001E-2</v>
      </c>
      <c r="AA415">
        <v>0.98293359999999996</v>
      </c>
      <c r="AB415">
        <v>37</v>
      </c>
      <c r="AC415">
        <v>0.469500000000039</v>
      </c>
      <c r="AD415">
        <v>-0.19378409999999999</v>
      </c>
      <c r="AE415">
        <v>-0.15809999999999</v>
      </c>
      <c r="AF415">
        <v>0.137918550071918</v>
      </c>
      <c r="AG415">
        <v>-0.19378409999999999</v>
      </c>
      <c r="AH415">
        <v>0.406925623206561</v>
      </c>
      <c r="AI415">
        <v>114.27606690337799</v>
      </c>
      <c r="AJ415">
        <v>71.277033406735001</v>
      </c>
      <c r="AK415">
        <v>0.47134092405476402</v>
      </c>
      <c r="AL415">
        <v>80.931539427016403</v>
      </c>
      <c r="AM415">
        <v>89.367403888803693</v>
      </c>
      <c r="AN415">
        <v>0.99999996982278705</v>
      </c>
    </row>
    <row r="416" spans="1:40" x14ac:dyDescent="0.25">
      <c r="A416" t="str">
        <f>"20190312172339716"</f>
        <v>20190312172339716</v>
      </c>
      <c r="B416" t="str">
        <f>"1552382619709829"</f>
        <v>1552382619709829</v>
      </c>
      <c r="C416" t="s">
        <v>40</v>
      </c>
      <c r="D416">
        <v>3.6636980000000001</v>
      </c>
      <c r="E416">
        <v>0.56929390000000002</v>
      </c>
      <c r="F416" t="s">
        <v>41</v>
      </c>
      <c r="G416">
        <v>-383.58780000000002</v>
      </c>
      <c r="H416">
        <v>0.92185810000000001</v>
      </c>
      <c r="I416">
        <v>366.83530000000002</v>
      </c>
      <c r="J416">
        <v>-384.01060000000001</v>
      </c>
      <c r="K416">
        <v>1.1098250000000001</v>
      </c>
      <c r="L416">
        <v>366.98820000000001</v>
      </c>
      <c r="M416">
        <v>0.99993330000000002</v>
      </c>
      <c r="N416">
        <v>0</v>
      </c>
      <c r="O416">
        <v>1.97868E-3</v>
      </c>
      <c r="P416">
        <v>0.98917460000000001</v>
      </c>
      <c r="Q416">
        <v>0.14648949999999999</v>
      </c>
      <c r="R416">
        <v>-8.6447480000000007E-3</v>
      </c>
      <c r="S416">
        <v>3.1356199999999999</v>
      </c>
      <c r="T416">
        <v>-0.73127790000000004</v>
      </c>
      <c r="U416">
        <v>-0.59136959999999905</v>
      </c>
      <c r="V416">
        <v>1.0601869999999999E-2</v>
      </c>
      <c r="W416">
        <v>0.15773690000000001</v>
      </c>
      <c r="X416">
        <v>0.98742430000000003</v>
      </c>
      <c r="Y416">
        <v>0.1824915</v>
      </c>
      <c r="Z416">
        <v>-2.1273380000000001E-2</v>
      </c>
      <c r="AA416">
        <v>0.98297730000000005</v>
      </c>
      <c r="AB416">
        <v>37</v>
      </c>
      <c r="AC416">
        <v>0.42279999999999501</v>
      </c>
      <c r="AD416">
        <v>-0.18796689999999999</v>
      </c>
      <c r="AE416">
        <v>-0.15289999999998799</v>
      </c>
      <c r="AF416">
        <v>0.13086293143182701</v>
      </c>
      <c r="AG416">
        <v>-0.18796689999999999</v>
      </c>
      <c r="AH416">
        <v>0.35963614698761298</v>
      </c>
      <c r="AI416">
        <v>116.158112870465</v>
      </c>
      <c r="AJ416">
        <v>70.004772168675601</v>
      </c>
      <c r="AK416">
        <v>0.42637403830280002</v>
      </c>
      <c r="AL416">
        <v>80.924438216925296</v>
      </c>
      <c r="AM416">
        <v>89.384844928980002</v>
      </c>
      <c r="AN416">
        <v>1.00000003874979</v>
      </c>
    </row>
    <row r="417" spans="1:40" x14ac:dyDescent="0.25">
      <c r="A417" t="str">
        <f>"20190312172339728"</f>
        <v>20190312172339728</v>
      </c>
      <c r="B417" t="str">
        <f>"1552382619720566"</f>
        <v>1552382619720566</v>
      </c>
      <c r="C417" t="s">
        <v>40</v>
      </c>
      <c r="D417">
        <v>3.651602</v>
      </c>
      <c r="E417">
        <v>0.56928239999999997</v>
      </c>
      <c r="F417" t="s">
        <v>41</v>
      </c>
      <c r="G417">
        <v>-383.24930000000001</v>
      </c>
      <c r="H417">
        <v>0.93272279999999996</v>
      </c>
      <c r="I417">
        <v>366.84469999999999</v>
      </c>
      <c r="J417">
        <v>-383.81369999999998</v>
      </c>
      <c r="K417">
        <v>1.1098319999999999</v>
      </c>
      <c r="L417">
        <v>366.98860000000002</v>
      </c>
      <c r="M417">
        <v>0.99993319999999997</v>
      </c>
      <c r="N417">
        <v>0</v>
      </c>
      <c r="O417">
        <v>1.986846E-3</v>
      </c>
      <c r="P417">
        <v>0.98917929999999998</v>
      </c>
      <c r="Q417">
        <v>0.1464512</v>
      </c>
      <c r="R417">
        <v>-8.7454690000000005E-3</v>
      </c>
      <c r="S417">
        <v>3.135742</v>
      </c>
      <c r="T417">
        <v>-0.72954699999999995</v>
      </c>
      <c r="U417">
        <v>-0.58941650000000001</v>
      </c>
      <c r="V417">
        <v>1.0710870000000001E-2</v>
      </c>
      <c r="W417">
        <v>0.15770960000000001</v>
      </c>
      <c r="X417">
        <v>0.98742739999999996</v>
      </c>
      <c r="Y417">
        <v>0.1819373</v>
      </c>
      <c r="Z417">
        <v>-2.1163459999999999E-2</v>
      </c>
      <c r="AA417">
        <v>0.98308240000000002</v>
      </c>
      <c r="AB417">
        <v>37</v>
      </c>
      <c r="AC417">
        <v>0.56439999999997703</v>
      </c>
      <c r="AD417">
        <v>-0.177109199999999</v>
      </c>
      <c r="AE417">
        <v>-0.14390000000003</v>
      </c>
      <c r="AF417">
        <v>0.132747276522476</v>
      </c>
      <c r="AG417">
        <v>-0.177109199999999</v>
      </c>
      <c r="AH417">
        <v>0.51636917524298498</v>
      </c>
      <c r="AI417">
        <v>108.375871866476</v>
      </c>
      <c r="AJ417">
        <v>75.582699827910503</v>
      </c>
      <c r="AK417">
        <v>0.56180657996315297</v>
      </c>
      <c r="AL417">
        <v>80.926021455958207</v>
      </c>
      <c r="AM417">
        <v>89.378522838021397</v>
      </c>
      <c r="AN417">
        <v>0.99999995546953702</v>
      </c>
    </row>
    <row r="418" spans="1:40" x14ac:dyDescent="0.25">
      <c r="A418" t="str">
        <f>"20190312172339740"</f>
        <v>20190312172339740</v>
      </c>
      <c r="B418" t="str">
        <f>"1552382619730324"</f>
        <v>1552382619730324</v>
      </c>
      <c r="C418" t="s">
        <v>40</v>
      </c>
      <c r="D418">
        <v>3.721581</v>
      </c>
      <c r="E418">
        <v>0.56918150000000001</v>
      </c>
      <c r="F418" t="s">
        <v>41</v>
      </c>
      <c r="G418">
        <v>-382.92630000000003</v>
      </c>
      <c r="H418">
        <v>0.90323100000000001</v>
      </c>
      <c r="I418">
        <v>366.82150000000001</v>
      </c>
      <c r="J418">
        <v>-383.60640000000001</v>
      </c>
      <c r="K418">
        <v>1.109839</v>
      </c>
      <c r="L418">
        <v>366.98899999999998</v>
      </c>
      <c r="M418">
        <v>0.99993310000000002</v>
      </c>
      <c r="N418">
        <v>0</v>
      </c>
      <c r="O418">
        <v>1.9950710000000002E-3</v>
      </c>
      <c r="P418">
        <v>0.98918490000000003</v>
      </c>
      <c r="Q418">
        <v>0.1464155</v>
      </c>
      <c r="R418">
        <v>-8.7225619999999997E-3</v>
      </c>
      <c r="S418">
        <v>3.1356510000000002</v>
      </c>
      <c r="T418">
        <v>-0.73004480000000005</v>
      </c>
      <c r="U418">
        <v>-0.58956909999999996</v>
      </c>
      <c r="V418">
        <v>1.0695929999999999E-2</v>
      </c>
      <c r="W418">
        <v>0.1576842</v>
      </c>
      <c r="X418">
        <v>0.98743159999999996</v>
      </c>
      <c r="Y418">
        <v>0.1819887</v>
      </c>
      <c r="Z418">
        <v>-2.1185760000000001E-2</v>
      </c>
      <c r="AA418">
        <v>0.98307230000000001</v>
      </c>
      <c r="AB418">
        <v>37</v>
      </c>
      <c r="AC418">
        <v>0.68009999999998105</v>
      </c>
      <c r="AD418">
        <v>-0.20660800000000001</v>
      </c>
      <c r="AE418">
        <v>-0.167500000000018</v>
      </c>
      <c r="AF418">
        <v>0.15534030535889901</v>
      </c>
      <c r="AG418">
        <v>-0.20660800000000001</v>
      </c>
      <c r="AH418">
        <v>0.62535201896890202</v>
      </c>
      <c r="AI418">
        <v>107.778042898726</v>
      </c>
      <c r="AJ418">
        <v>76.049822523562995</v>
      </c>
      <c r="AK418">
        <v>0.67667024743332604</v>
      </c>
      <c r="AL418">
        <v>80.927495042496801</v>
      </c>
      <c r="AM418">
        <v>89.379392273817402</v>
      </c>
      <c r="AN418">
        <v>0.99999993726337999</v>
      </c>
    </row>
    <row r="419" spans="1:40" x14ac:dyDescent="0.25">
      <c r="A419" t="str">
        <f>"20190312172339751"</f>
        <v>20190312172339751</v>
      </c>
      <c r="B419" t="str">
        <f>"1552382619740085"</f>
        <v>1552382619740085</v>
      </c>
      <c r="C419" t="s">
        <v>40</v>
      </c>
      <c r="D419">
        <v>3.6438739999999998</v>
      </c>
      <c r="E419">
        <v>0.56919249999999999</v>
      </c>
      <c r="F419" t="s">
        <v>41</v>
      </c>
      <c r="G419">
        <v>-382.9085</v>
      </c>
      <c r="H419">
        <v>0.94741989999999998</v>
      </c>
      <c r="I419">
        <v>366.8578</v>
      </c>
      <c r="J419">
        <v>-383.41660000000002</v>
      </c>
      <c r="K419">
        <v>1.1098440000000001</v>
      </c>
      <c r="L419">
        <v>366.98939999999999</v>
      </c>
      <c r="M419">
        <v>0.99993290000000001</v>
      </c>
      <c r="N419">
        <v>0</v>
      </c>
      <c r="O419">
        <v>2.0029480000000001E-3</v>
      </c>
      <c r="P419">
        <v>0.98917359999999999</v>
      </c>
      <c r="Q419">
        <v>0.14649200000000001</v>
      </c>
      <c r="R419">
        <v>-8.70252E-3</v>
      </c>
      <c r="S419">
        <v>3.1356199999999999</v>
      </c>
      <c r="T419">
        <v>-0.72979759999999905</v>
      </c>
      <c r="U419">
        <v>-0.58877559999999995</v>
      </c>
      <c r="V419">
        <v>1.0683700000000001E-2</v>
      </c>
      <c r="W419">
        <v>0.1577694</v>
      </c>
      <c r="X419">
        <v>0.98741820000000002</v>
      </c>
      <c r="Y419">
        <v>0.18176619999999999</v>
      </c>
      <c r="Z419">
        <v>-2.1155899999999998E-2</v>
      </c>
      <c r="AA419">
        <v>0.98311420000000005</v>
      </c>
      <c r="AB419">
        <v>37</v>
      </c>
      <c r="AC419">
        <v>0.50810000000001299</v>
      </c>
      <c r="AD419">
        <v>-0.16242409999999899</v>
      </c>
      <c r="AE419">
        <v>-0.131599999999991</v>
      </c>
      <c r="AF419">
        <v>0.12102738037584999</v>
      </c>
      <c r="AG419">
        <v>-0.16242409999999899</v>
      </c>
      <c r="AH419">
        <v>0.463453051902046</v>
      </c>
      <c r="AI419">
        <v>108.73145903247</v>
      </c>
      <c r="AJ419">
        <v>75.364474759827999</v>
      </c>
      <c r="AK419">
        <v>0.50578448609933802</v>
      </c>
      <c r="AL419">
        <v>80.922552259758504</v>
      </c>
      <c r="AM419">
        <v>89.380093425338401</v>
      </c>
      <c r="AN419">
        <v>1.00000001335664</v>
      </c>
    </row>
    <row r="420" spans="1:40" x14ac:dyDescent="0.25">
      <c r="A420" t="str">
        <f>"20190312172339764"</f>
        <v>20190312172339764</v>
      </c>
      <c r="B420" t="str">
        <f>"1552382619760581"</f>
        <v>1552382619760581</v>
      </c>
      <c r="C420" t="s">
        <v>40</v>
      </c>
      <c r="D420">
        <v>3.6592769999999999</v>
      </c>
      <c r="E420">
        <v>0.56921860000000002</v>
      </c>
      <c r="F420" t="s">
        <v>41</v>
      </c>
      <c r="G420">
        <v>-382.5865</v>
      </c>
      <c r="H420">
        <v>0.91673110000000002</v>
      </c>
      <c r="I420">
        <v>366.83300000000003</v>
      </c>
      <c r="J420">
        <v>-383.20909999999998</v>
      </c>
      <c r="K420">
        <v>1.1098509999999999</v>
      </c>
      <c r="L420">
        <v>366.9898</v>
      </c>
      <c r="M420">
        <v>0.99993290000000001</v>
      </c>
      <c r="N420">
        <v>0</v>
      </c>
      <c r="O420">
        <v>2.0114769999999998E-3</v>
      </c>
      <c r="P420">
        <v>0.98917069999999996</v>
      </c>
      <c r="Q420">
        <v>0.14651400000000001</v>
      </c>
      <c r="R420">
        <v>-8.6792899999999992E-3</v>
      </c>
      <c r="S420">
        <v>3.1356809999999999</v>
      </c>
      <c r="T420">
        <v>-0.7295587</v>
      </c>
      <c r="U420">
        <v>-0.58917240000000004</v>
      </c>
      <c r="V420">
        <v>1.0668830000000001E-2</v>
      </c>
      <c r="W420">
        <v>0.15780050000000001</v>
      </c>
      <c r="X420">
        <v>0.9874134</v>
      </c>
      <c r="Y420">
        <v>0.1818912</v>
      </c>
      <c r="Z420">
        <v>-2.116469E-2</v>
      </c>
      <c r="AA420">
        <v>0.98309089999999999</v>
      </c>
      <c r="AB420">
        <v>37</v>
      </c>
      <c r="AC420">
        <v>0.62259999999997695</v>
      </c>
      <c r="AD420">
        <v>-0.19311989999999901</v>
      </c>
      <c r="AE420">
        <v>-0.15679999999997499</v>
      </c>
      <c r="AF420">
        <v>0.144938786260736</v>
      </c>
      <c r="AG420">
        <v>-0.19311989999999901</v>
      </c>
      <c r="AH420">
        <v>0.57065349670315701</v>
      </c>
      <c r="AI420">
        <v>108.15972146359999</v>
      </c>
      <c r="AJ420">
        <v>75.7489378889031</v>
      </c>
      <c r="AK420">
        <v>0.61963534505246298</v>
      </c>
      <c r="AL420">
        <v>80.920747837139103</v>
      </c>
      <c r="AM420">
        <v>89.380953159802402</v>
      </c>
      <c r="AN420">
        <v>1.00000002211668</v>
      </c>
    </row>
    <row r="421" spans="1:40" x14ac:dyDescent="0.25">
      <c r="A421" t="str">
        <f>"20190312172339782"</f>
        <v>20190312172339782</v>
      </c>
      <c r="B421" t="str">
        <f>"1552382619770341"</f>
        <v>1552382619770341</v>
      </c>
      <c r="C421" t="s">
        <v>40</v>
      </c>
      <c r="D421">
        <v>3.7128860000000001</v>
      </c>
      <c r="E421">
        <v>0.56921129999999998</v>
      </c>
      <c r="F421" t="s">
        <v>41</v>
      </c>
      <c r="G421">
        <v>-382.26229999999998</v>
      </c>
      <c r="H421">
        <v>0.88973679999999999</v>
      </c>
      <c r="I421">
        <v>366.8116</v>
      </c>
      <c r="J421">
        <v>-382.90640000000002</v>
      </c>
      <c r="K421">
        <v>1.109858</v>
      </c>
      <c r="L421">
        <v>366.99040000000002</v>
      </c>
      <c r="M421">
        <v>0.99993270000000001</v>
      </c>
      <c r="N421">
        <v>0</v>
      </c>
      <c r="O421">
        <v>2.023862E-3</v>
      </c>
      <c r="P421">
        <v>0.98915509999999995</v>
      </c>
      <c r="Q421">
        <v>0.146615299999999</v>
      </c>
      <c r="R421">
        <v>-8.7470369999999992E-3</v>
      </c>
      <c r="S421">
        <v>3.1356510000000002</v>
      </c>
      <c r="T421">
        <v>-0.7290432</v>
      </c>
      <c r="U421">
        <v>-0.58941650000000001</v>
      </c>
      <c r="V421">
        <v>1.0748789999999999E-2</v>
      </c>
      <c r="W421">
        <v>0.157914</v>
      </c>
      <c r="X421">
        <v>0.98739440000000001</v>
      </c>
      <c r="Y421">
        <v>0.18198300000000001</v>
      </c>
      <c r="Z421">
        <v>-2.1163419999999999E-2</v>
      </c>
      <c r="AA421">
        <v>0.98307389999999995</v>
      </c>
      <c r="AB421">
        <v>37</v>
      </c>
      <c r="AC421">
        <v>0.64410000000003698</v>
      </c>
      <c r="AD421">
        <v>-0.22012119999999999</v>
      </c>
      <c r="AE421">
        <v>-0.178800000000023</v>
      </c>
      <c r="AF421">
        <v>0.16248401728481299</v>
      </c>
      <c r="AG421">
        <v>-0.22012119999999999</v>
      </c>
      <c r="AH421">
        <v>0.58076085542014799</v>
      </c>
      <c r="AI421">
        <v>110.05237000150299</v>
      </c>
      <c r="AJ421">
        <v>74.369557700852994</v>
      </c>
      <c r="AK421">
        <v>0.64197941536375902</v>
      </c>
      <c r="AL421">
        <v>80.914162308773001</v>
      </c>
      <c r="AM421">
        <v>89.376301935651398</v>
      </c>
      <c r="AN421">
        <v>1.00000003451691</v>
      </c>
    </row>
    <row r="422" spans="1:40" x14ac:dyDescent="0.25">
      <c r="A422" t="str">
        <f>"20190312172339793"</f>
        <v>20190312172339793</v>
      </c>
      <c r="B422" t="str">
        <f>"1552382619790837"</f>
        <v>1552382619790837</v>
      </c>
      <c r="C422" t="s">
        <v>40</v>
      </c>
      <c r="D422">
        <v>3.6602960000000002</v>
      </c>
      <c r="E422">
        <v>0.56919010000000003</v>
      </c>
      <c r="F422" t="s">
        <v>41</v>
      </c>
      <c r="G422">
        <v>-381.93</v>
      </c>
      <c r="H422">
        <v>0.88327559999999905</v>
      </c>
      <c r="I422">
        <v>366.8064</v>
      </c>
      <c r="J422">
        <v>-382.70699999999999</v>
      </c>
      <c r="K422">
        <v>1.1098629999999901</v>
      </c>
      <c r="L422">
        <v>366.99079999999998</v>
      </c>
      <c r="M422">
        <v>0.99993259999999995</v>
      </c>
      <c r="N422">
        <v>0</v>
      </c>
      <c r="O422">
        <v>2.0323989999999998E-3</v>
      </c>
      <c r="P422">
        <v>0.9891337</v>
      </c>
      <c r="Q422">
        <v>0.14676129999999901</v>
      </c>
      <c r="R422">
        <v>-8.7023009999999904E-3</v>
      </c>
      <c r="S422">
        <v>3.135529</v>
      </c>
      <c r="T422">
        <v>-0.7276878</v>
      </c>
      <c r="U422">
        <v>-0.58972170000000002</v>
      </c>
      <c r="V422">
        <v>1.0712569999999999E-2</v>
      </c>
      <c r="W422">
        <v>0.1580675</v>
      </c>
      <c r="X422">
        <v>0.98737019999999998</v>
      </c>
      <c r="Y422">
        <v>0.1821045</v>
      </c>
      <c r="Z422">
        <v>-2.1141420000000001E-2</v>
      </c>
      <c r="AA422">
        <v>0.98305189999999998</v>
      </c>
      <c r="AB422">
        <v>37</v>
      </c>
      <c r="AC422">
        <v>0.77699999999998604</v>
      </c>
      <c r="AD422">
        <v>-0.226587399999999</v>
      </c>
      <c r="AE422">
        <v>-0.18439999999998199</v>
      </c>
      <c r="AF422">
        <v>0.172121897409067</v>
      </c>
      <c r="AG422">
        <v>-0.226587399999999</v>
      </c>
      <c r="AH422">
        <v>0.71875857744404303</v>
      </c>
      <c r="AI422">
        <v>107.044501318502</v>
      </c>
      <c r="AJ422">
        <v>76.532924199824507</v>
      </c>
      <c r="AK422">
        <v>0.77303408078547398</v>
      </c>
      <c r="AL422">
        <v>80.905255252131198</v>
      </c>
      <c r="AM422">
        <v>89.378388200508695</v>
      </c>
      <c r="AN422">
        <v>1.0000000027801399</v>
      </c>
    </row>
    <row r="423" spans="1:40" x14ac:dyDescent="0.25">
      <c r="A423" t="str">
        <f>"20190312172339806"</f>
        <v>20190312172339806</v>
      </c>
      <c r="B423" t="str">
        <f>"1552382619800596"</f>
        <v>1552382619800596</v>
      </c>
      <c r="C423" t="s">
        <v>40</v>
      </c>
      <c r="D423">
        <v>3.6811940000000001</v>
      </c>
      <c r="E423">
        <v>0.56921719999999998</v>
      </c>
      <c r="F423" t="s">
        <v>41</v>
      </c>
      <c r="G423">
        <v>-381.91359999999997</v>
      </c>
      <c r="H423">
        <v>0.92575240000000003</v>
      </c>
      <c r="I423">
        <v>366.84140000000002</v>
      </c>
      <c r="J423">
        <v>-382.50380000000001</v>
      </c>
      <c r="K423">
        <v>1.109866</v>
      </c>
      <c r="L423">
        <v>366.99130000000002</v>
      </c>
      <c r="M423">
        <v>0.99993240000000005</v>
      </c>
      <c r="N423">
        <v>0</v>
      </c>
      <c r="O423">
        <v>2.0411169999999998E-3</v>
      </c>
      <c r="P423">
        <v>0.98911729999999998</v>
      </c>
      <c r="Q423">
        <v>0.14687639999999999</v>
      </c>
      <c r="R423">
        <v>-8.6159789999999993E-3</v>
      </c>
      <c r="S423">
        <v>3.1358030000000001</v>
      </c>
      <c r="T423">
        <v>-0.72784139999999997</v>
      </c>
      <c r="U423">
        <v>-0.58926389999999995</v>
      </c>
      <c r="V423">
        <v>1.063503E-2</v>
      </c>
      <c r="W423">
        <v>0.15818940000000001</v>
      </c>
      <c r="X423">
        <v>0.98735150000000005</v>
      </c>
      <c r="Y423">
        <v>0.18196100000000001</v>
      </c>
      <c r="Z423">
        <v>-2.1129950000000002E-2</v>
      </c>
      <c r="AA423">
        <v>0.98307869999999997</v>
      </c>
      <c r="AB423">
        <v>37</v>
      </c>
      <c r="AC423">
        <v>0.59020000000003803</v>
      </c>
      <c r="AD423">
        <v>-0.18411359999999999</v>
      </c>
      <c r="AE423">
        <v>-0.149900000000002</v>
      </c>
      <c r="AF423">
        <v>0.138447993061831</v>
      </c>
      <c r="AG423">
        <v>-0.18411359999999999</v>
      </c>
      <c r="AH423">
        <v>0.54048362690803398</v>
      </c>
      <c r="AI423">
        <v>108.262460740823</v>
      </c>
      <c r="AJ423">
        <v>75.632288390039193</v>
      </c>
      <c r="AK423">
        <v>0.58752720400290603</v>
      </c>
      <c r="AL423">
        <v>80.8981817619526</v>
      </c>
      <c r="AM423">
        <v>89.382875530870194</v>
      </c>
      <c r="AN423">
        <v>0.99999998734385498</v>
      </c>
    </row>
    <row r="424" spans="1:40" x14ac:dyDescent="0.25">
      <c r="A424" t="str">
        <f>"20190312172339819"</f>
        <v>20190312172339819</v>
      </c>
      <c r="B424" t="str">
        <f>"1552382619810358"</f>
        <v>1552382619810358</v>
      </c>
      <c r="C424" t="s">
        <v>40</v>
      </c>
      <c r="D424">
        <v>3.8241969999999998</v>
      </c>
      <c r="E424">
        <v>0.56909960000000004</v>
      </c>
      <c r="F424" t="s">
        <v>41</v>
      </c>
      <c r="G424">
        <v>-381.58949999999999</v>
      </c>
      <c r="H424">
        <v>0.89798739999999999</v>
      </c>
      <c r="I424">
        <v>366.81920000000002</v>
      </c>
      <c r="J424">
        <v>-382.28870000000001</v>
      </c>
      <c r="K424">
        <v>1.109869</v>
      </c>
      <c r="L424">
        <v>366.99169999999998</v>
      </c>
      <c r="M424">
        <v>0.99993240000000005</v>
      </c>
      <c r="N424">
        <v>0</v>
      </c>
      <c r="O424">
        <v>2.050016E-3</v>
      </c>
      <c r="P424">
        <v>0.98911079999999996</v>
      </c>
      <c r="Q424">
        <v>0.14693249999999999</v>
      </c>
      <c r="R424">
        <v>-8.4190959999999992E-3</v>
      </c>
      <c r="S424">
        <v>3.1358030000000001</v>
      </c>
      <c r="T424">
        <v>-0.72680040000000001</v>
      </c>
      <c r="U424">
        <v>-0.58898930000000005</v>
      </c>
      <c r="V424">
        <v>1.044664E-2</v>
      </c>
      <c r="W424">
        <v>0.158253</v>
      </c>
      <c r="X424">
        <v>0.98734330000000003</v>
      </c>
      <c r="Y424">
        <v>0.18190110000000001</v>
      </c>
      <c r="Z424">
        <v>-2.1095880000000001E-2</v>
      </c>
      <c r="AA424">
        <v>0.98309049999999998</v>
      </c>
      <c r="AB424">
        <v>37</v>
      </c>
      <c r="AC424">
        <v>0.69920000000001803</v>
      </c>
      <c r="AD424">
        <v>-0.2118816</v>
      </c>
      <c r="AE424">
        <v>-0.17249999999995599</v>
      </c>
      <c r="AF424">
        <v>0.160076679037256</v>
      </c>
      <c r="AG424">
        <v>-0.2118816</v>
      </c>
      <c r="AH424">
        <v>0.64317122993752296</v>
      </c>
      <c r="AI424">
        <v>107.728048188415</v>
      </c>
      <c r="AJ424">
        <v>76.023814639740195</v>
      </c>
      <c r="AK424">
        <v>0.695835890572987</v>
      </c>
      <c r="AL424">
        <v>80.894491087655197</v>
      </c>
      <c r="AM424">
        <v>89.3938014790469</v>
      </c>
      <c r="AN424">
        <v>0.999999968175589</v>
      </c>
    </row>
    <row r="425" spans="1:40" x14ac:dyDescent="0.25">
      <c r="A425" t="str">
        <f>"20190312172339831"</f>
        <v>20190312172339831</v>
      </c>
      <c r="B425" t="str">
        <f>"1552382619820117"</f>
        <v>1552382619820117</v>
      </c>
      <c r="C425" t="s">
        <v>40</v>
      </c>
      <c r="D425">
        <v>3.6528170000000002</v>
      </c>
      <c r="E425">
        <v>0.56907059999999998</v>
      </c>
      <c r="F425" t="s">
        <v>41</v>
      </c>
      <c r="G425">
        <v>-381.57139999999998</v>
      </c>
      <c r="H425">
        <v>0.94372979999999995</v>
      </c>
      <c r="I425">
        <v>366.85700000000003</v>
      </c>
      <c r="J425">
        <v>-382.07670000000002</v>
      </c>
      <c r="K425">
        <v>1.109869</v>
      </c>
      <c r="L425">
        <v>366.99220000000003</v>
      </c>
      <c r="M425">
        <v>0.9999323</v>
      </c>
      <c r="N425">
        <v>0</v>
      </c>
      <c r="O425">
        <v>2.0588590000000001E-3</v>
      </c>
      <c r="P425">
        <v>0.98910810000000005</v>
      </c>
      <c r="Q425">
        <v>0.1469481</v>
      </c>
      <c r="R425">
        <v>-8.4488500000000008E-3</v>
      </c>
      <c r="S425">
        <v>3.1359859999999999</v>
      </c>
      <c r="T425">
        <v>-0.72645000000000004</v>
      </c>
      <c r="U425">
        <v>-0.587677</v>
      </c>
      <c r="V425">
        <v>1.048548E-2</v>
      </c>
      <c r="W425">
        <v>0.15827459999999999</v>
      </c>
      <c r="X425">
        <v>0.98733939999999998</v>
      </c>
      <c r="Y425">
        <v>0.18151619999999999</v>
      </c>
      <c r="Z425">
        <v>-2.1043929999999999E-2</v>
      </c>
      <c r="AA425">
        <v>0.9831628</v>
      </c>
      <c r="AB425">
        <v>37</v>
      </c>
      <c r="AC425">
        <v>0.50530000000003295</v>
      </c>
      <c r="AD425">
        <v>-0.16613919999999899</v>
      </c>
      <c r="AE425">
        <v>-0.135200000000054</v>
      </c>
      <c r="AF425">
        <v>0.123755346127621</v>
      </c>
      <c r="AG425">
        <v>-0.16613919999999899</v>
      </c>
      <c r="AH425">
        <v>0.458741462547891</v>
      </c>
      <c r="AI425">
        <v>109.272834220668</v>
      </c>
      <c r="AJ425">
        <v>74.902631167154098</v>
      </c>
      <c r="AK425">
        <v>0.50335012559091097</v>
      </c>
      <c r="AL425">
        <v>80.893237466786502</v>
      </c>
      <c r="AM425">
        <v>89.391545434117504</v>
      </c>
      <c r="AN425">
        <v>0.99999994254417301</v>
      </c>
    </row>
    <row r="426" spans="1:40" x14ac:dyDescent="0.25">
      <c r="A426" t="str">
        <f>"20190312172339852"</f>
        <v>20190312172339852</v>
      </c>
      <c r="B426" t="str">
        <f>"1552382619840613"</f>
        <v>1552382619840613</v>
      </c>
      <c r="C426" t="s">
        <v>40</v>
      </c>
      <c r="D426">
        <v>3.825377</v>
      </c>
      <c r="E426">
        <v>0.56887889999999997</v>
      </c>
      <c r="F426" t="s">
        <v>41</v>
      </c>
      <c r="G426">
        <v>-381.24689999999998</v>
      </c>
      <c r="H426">
        <v>0.9177246</v>
      </c>
      <c r="I426">
        <v>366.8365</v>
      </c>
      <c r="J426">
        <v>-381.7466</v>
      </c>
      <c r="K426">
        <v>1.1098699999999999</v>
      </c>
      <c r="L426">
        <v>366.99290000000002</v>
      </c>
      <c r="M426">
        <v>0.99993209999999999</v>
      </c>
      <c r="N426">
        <v>0</v>
      </c>
      <c r="O426">
        <v>2.072455E-3</v>
      </c>
      <c r="P426">
        <v>0.98912100000000003</v>
      </c>
      <c r="Q426">
        <v>0.14687459999999999</v>
      </c>
      <c r="R426">
        <v>-8.2034450000000002E-3</v>
      </c>
      <c r="S426">
        <v>3.1358950000000001</v>
      </c>
      <c r="T426">
        <v>-0.72618749999999999</v>
      </c>
      <c r="U426">
        <v>-0.5873718</v>
      </c>
      <c r="V426">
        <v>1.025352E-2</v>
      </c>
      <c r="W426">
        <v>0.1582102</v>
      </c>
      <c r="X426">
        <v>0.98735229999999996</v>
      </c>
      <c r="Y426">
        <v>0.18144669999999999</v>
      </c>
      <c r="Z426">
        <v>-2.1032490000000001E-2</v>
      </c>
      <c r="AA426">
        <v>0.98317580000000004</v>
      </c>
      <c r="AB426">
        <v>37</v>
      </c>
      <c r="AC426">
        <v>0.49970000000001802</v>
      </c>
      <c r="AD426">
        <v>-0.19214539999999999</v>
      </c>
      <c r="AE426">
        <v>-0.156400000000019</v>
      </c>
      <c r="AF426">
        <v>0.13875052084387299</v>
      </c>
      <c r="AG426">
        <v>-0.19214539999999999</v>
      </c>
      <c r="AH426">
        <v>0.440107734510018</v>
      </c>
      <c r="AI426">
        <v>112.606095600597</v>
      </c>
      <c r="AJ426">
        <v>72.501766139367206</v>
      </c>
      <c r="AK426">
        <v>0.49986636189200301</v>
      </c>
      <c r="AL426">
        <v>80.896975690600797</v>
      </c>
      <c r="AM426">
        <v>89.405012472864499</v>
      </c>
      <c r="AN426">
        <v>1.00000008318585</v>
      </c>
    </row>
    <row r="427" spans="1:40" x14ac:dyDescent="0.25">
      <c r="A427" t="str">
        <f>"20190312172339872"</f>
        <v>20190312172339872</v>
      </c>
      <c r="B427" t="str">
        <f>"1552382619860132"</f>
        <v>1552382619860132</v>
      </c>
      <c r="C427" t="s">
        <v>40</v>
      </c>
      <c r="D427">
        <v>3.693387</v>
      </c>
      <c r="E427">
        <v>0.56893609999999994</v>
      </c>
      <c r="F427" t="s">
        <v>41</v>
      </c>
      <c r="G427">
        <v>-380.91219999999998</v>
      </c>
      <c r="H427">
        <v>0.91676489999999999</v>
      </c>
      <c r="I427">
        <v>366.83679999999998</v>
      </c>
      <c r="J427">
        <v>-381.39729999999997</v>
      </c>
      <c r="K427">
        <v>1.1098730000000001</v>
      </c>
      <c r="L427">
        <v>366.99360000000001</v>
      </c>
      <c r="M427">
        <v>0.99993209999999999</v>
      </c>
      <c r="N427">
        <v>0</v>
      </c>
      <c r="O427">
        <v>2.0870670000000002E-3</v>
      </c>
      <c r="P427">
        <v>0.98913700000000004</v>
      </c>
      <c r="Q427">
        <v>0.14678160000000001</v>
      </c>
      <c r="R427">
        <v>-7.9665090000000001E-3</v>
      </c>
      <c r="S427">
        <v>3.1359249999999999</v>
      </c>
      <c r="T427">
        <v>-0.72583039999999999</v>
      </c>
      <c r="U427">
        <v>-0.58520509999999903</v>
      </c>
      <c r="V427">
        <v>1.003092E-2</v>
      </c>
      <c r="W427">
        <v>0.1581263</v>
      </c>
      <c r="X427">
        <v>0.98736789999999997</v>
      </c>
      <c r="Y427">
        <v>0.1808225</v>
      </c>
      <c r="Z427">
        <v>-2.095609E-2</v>
      </c>
      <c r="AA427">
        <v>0.98329250000000001</v>
      </c>
      <c r="AB427">
        <v>37</v>
      </c>
      <c r="AC427">
        <v>0.48509999999998799</v>
      </c>
      <c r="AD427">
        <v>-0.19310809999999901</v>
      </c>
      <c r="AE427">
        <v>-0.156800000000032</v>
      </c>
      <c r="AF427">
        <v>0.13801084210690501</v>
      </c>
      <c r="AG427">
        <v>-0.19310809999999901</v>
      </c>
      <c r="AH427">
        <v>0.423945441594545</v>
      </c>
      <c r="AI427">
        <v>113.41885748057599</v>
      </c>
      <c r="AJ427">
        <v>71.967902536988802</v>
      </c>
      <c r="AK427">
        <v>0.48586774771892499</v>
      </c>
      <c r="AL427">
        <v>80.901842940268196</v>
      </c>
      <c r="AM427">
        <v>89.417937721925398</v>
      </c>
      <c r="AN427">
        <v>0.99999995802907204</v>
      </c>
    </row>
    <row r="428" spans="1:40" x14ac:dyDescent="0.25">
      <c r="A428" t="str">
        <f>"20190312172339896"</f>
        <v>20190312172339896</v>
      </c>
      <c r="B428" t="str">
        <f>"1552382619890389"</f>
        <v>1552382619890389</v>
      </c>
      <c r="C428" t="s">
        <v>40</v>
      </c>
      <c r="D428">
        <v>3.6785929999999998</v>
      </c>
      <c r="E428">
        <v>0.56888090000000002</v>
      </c>
      <c r="F428" t="s">
        <v>41</v>
      </c>
      <c r="G428">
        <v>-380.57600000000002</v>
      </c>
      <c r="H428">
        <v>0.91960180000000002</v>
      </c>
      <c r="I428">
        <v>366.84</v>
      </c>
      <c r="J428">
        <v>-381.01519999999999</v>
      </c>
      <c r="K428">
        <v>1.1098760000000001</v>
      </c>
      <c r="L428">
        <v>366.99439999999998</v>
      </c>
      <c r="M428">
        <v>0.99993189999999998</v>
      </c>
      <c r="N428">
        <v>0</v>
      </c>
      <c r="O428">
        <v>2.1026920000000002E-3</v>
      </c>
      <c r="P428">
        <v>0.9891394</v>
      </c>
      <c r="Q428">
        <v>0.14677470000000001</v>
      </c>
      <c r="R428">
        <v>-7.8007629999999996E-3</v>
      </c>
      <c r="S428">
        <v>3.136139</v>
      </c>
      <c r="T428">
        <v>-0.7266378</v>
      </c>
      <c r="U428">
        <v>-0.58502200000000004</v>
      </c>
      <c r="V428">
        <v>9.8803859999999997E-3</v>
      </c>
      <c r="W428">
        <v>0.1581282</v>
      </c>
      <c r="X428">
        <v>0.98736919999999995</v>
      </c>
      <c r="Y428">
        <v>0.1807617</v>
      </c>
      <c r="Z428">
        <v>-2.0974199999999998E-2</v>
      </c>
      <c r="AA428">
        <v>0.98330320000000004</v>
      </c>
      <c r="AB428">
        <v>37</v>
      </c>
      <c r="AC428">
        <v>0.43920000000002701</v>
      </c>
      <c r="AD428">
        <v>-0.1902742</v>
      </c>
      <c r="AE428">
        <v>-0.154400000000009</v>
      </c>
      <c r="AF428">
        <v>0.13309123788032101</v>
      </c>
      <c r="AG428">
        <v>-0.1902742</v>
      </c>
      <c r="AH428">
        <v>0.37605665199278798</v>
      </c>
      <c r="AI428">
        <v>115.500266669688</v>
      </c>
      <c r="AJ428">
        <v>70.510480218549901</v>
      </c>
      <c r="AK428">
        <v>0.44196849921027298</v>
      </c>
      <c r="AL428">
        <v>80.901733474401993</v>
      </c>
      <c r="AM428">
        <v>89.426672896872901</v>
      </c>
      <c r="AN428">
        <v>1.0000000433856899</v>
      </c>
    </row>
    <row r="429" spans="1:40" x14ac:dyDescent="0.25">
      <c r="A429" t="str">
        <f>"20190312172339908"</f>
        <v>20190312172339908</v>
      </c>
      <c r="B429" t="str">
        <f>"1552382619900150"</f>
        <v>1552382619900150</v>
      </c>
      <c r="C429" t="s">
        <v>40</v>
      </c>
      <c r="D429">
        <v>3.673292</v>
      </c>
      <c r="E429">
        <v>0.5688571</v>
      </c>
      <c r="F429" t="s">
        <v>41</v>
      </c>
      <c r="G429">
        <v>-380.23689999999999</v>
      </c>
      <c r="H429">
        <v>0.92962160000000005</v>
      </c>
      <c r="I429">
        <v>366.84930000000003</v>
      </c>
      <c r="J429">
        <v>-380.78879999999998</v>
      </c>
      <c r="K429">
        <v>1.109877</v>
      </c>
      <c r="L429">
        <v>366.99489999999997</v>
      </c>
      <c r="M429">
        <v>0.99993189999999998</v>
      </c>
      <c r="N429">
        <v>0</v>
      </c>
      <c r="O429">
        <v>2.1120829999999998E-3</v>
      </c>
      <c r="P429">
        <v>0.98916420000000005</v>
      </c>
      <c r="Q429">
        <v>0.1466076</v>
      </c>
      <c r="R429">
        <v>-7.8027309999999898E-3</v>
      </c>
      <c r="S429">
        <v>3.1361080000000001</v>
      </c>
      <c r="T429">
        <v>-0.7263423</v>
      </c>
      <c r="U429">
        <v>-0.584198</v>
      </c>
      <c r="V429">
        <v>9.8918129999999993E-3</v>
      </c>
      <c r="W429">
        <v>0.1579662</v>
      </c>
      <c r="X429">
        <v>0.98739500000000002</v>
      </c>
      <c r="Y429">
        <v>0.180532</v>
      </c>
      <c r="Z429">
        <v>-2.094265E-2</v>
      </c>
      <c r="AA429">
        <v>0.9833461</v>
      </c>
      <c r="AB429">
        <v>37</v>
      </c>
      <c r="AC429">
        <v>0.55189999999998895</v>
      </c>
      <c r="AD429">
        <v>-0.18025539999999901</v>
      </c>
      <c r="AE429">
        <v>-0.145599999999944</v>
      </c>
      <c r="AF429">
        <v>0.133455605966945</v>
      </c>
      <c r="AG429">
        <v>-0.18025539999999901</v>
      </c>
      <c r="AH429">
        <v>0.50156873785104905</v>
      </c>
      <c r="AI429">
        <v>109.15209536932799</v>
      </c>
      <c r="AJ429">
        <v>75.1001617539238</v>
      </c>
      <c r="AK429">
        <v>0.54943025652275301</v>
      </c>
      <c r="AL429">
        <v>80.911133385717704</v>
      </c>
      <c r="AM429">
        <v>89.426024866050298</v>
      </c>
      <c r="AN429">
        <v>1.00000002716593</v>
      </c>
    </row>
    <row r="430" spans="1:40" x14ac:dyDescent="0.25">
      <c r="A430" t="str">
        <f>"20190312172339921"</f>
        <v>20190312172339921</v>
      </c>
      <c r="B430" t="str">
        <f>"1552382619909909"</f>
        <v>1552382619909909</v>
      </c>
      <c r="C430" t="s">
        <v>40</v>
      </c>
      <c r="D430">
        <v>3.6959849999999999</v>
      </c>
      <c r="E430">
        <v>0.56881280000000001</v>
      </c>
      <c r="F430" t="s">
        <v>41</v>
      </c>
      <c r="G430">
        <v>-379.91050000000001</v>
      </c>
      <c r="H430">
        <v>0.90626110000000004</v>
      </c>
      <c r="I430">
        <v>366.83109999999999</v>
      </c>
      <c r="J430">
        <v>-380.56979999999999</v>
      </c>
      <c r="K430">
        <v>1.1098749999999999</v>
      </c>
      <c r="L430">
        <v>366.99540000000002</v>
      </c>
      <c r="M430">
        <v>0.99993180000000004</v>
      </c>
      <c r="N430">
        <v>0</v>
      </c>
      <c r="O430">
        <v>2.1209979999999998E-3</v>
      </c>
      <c r="P430">
        <v>0.98914780000000002</v>
      </c>
      <c r="Q430">
        <v>0.14672070000000001</v>
      </c>
      <c r="R430">
        <v>-7.7227160000000001E-3</v>
      </c>
      <c r="S430">
        <v>3.1360169999999998</v>
      </c>
      <c r="T430">
        <v>-0.72702769999999906</v>
      </c>
      <c r="U430">
        <v>-0.58383180000000001</v>
      </c>
      <c r="V430">
        <v>9.8207539999999992E-3</v>
      </c>
      <c r="W430">
        <v>0.15808349999999999</v>
      </c>
      <c r="X430">
        <v>0.9873769</v>
      </c>
      <c r="Y430">
        <v>0.18042830000000001</v>
      </c>
      <c r="Z430">
        <v>-2.0952970000000001E-2</v>
      </c>
      <c r="AA430">
        <v>0.98336489999999999</v>
      </c>
      <c r="AB430">
        <v>37</v>
      </c>
      <c r="AC430">
        <v>0.65929999999997302</v>
      </c>
      <c r="AD430">
        <v>-0.20361389999999999</v>
      </c>
      <c r="AE430">
        <v>-0.16430000000002501</v>
      </c>
      <c r="AF430">
        <v>0.152044329332923</v>
      </c>
      <c r="AG430">
        <v>-0.20361389999999999</v>
      </c>
      <c r="AH430">
        <v>0.60465156196458303</v>
      </c>
      <c r="AI430">
        <v>108.08595732943201</v>
      </c>
      <c r="AJ430">
        <v>75.885173010355601</v>
      </c>
      <c r="AK430">
        <v>0.65588078927631299</v>
      </c>
      <c r="AL430">
        <v>80.904326742620299</v>
      </c>
      <c r="AM430">
        <v>89.430137365424102</v>
      </c>
      <c r="AN430">
        <v>0.99999999141749396</v>
      </c>
    </row>
    <row r="431" spans="1:40" x14ac:dyDescent="0.25">
      <c r="A431" t="str">
        <f>"20190312172339940"</f>
        <v>20190312172339940</v>
      </c>
      <c r="B431" t="str">
        <f>"1552382619930405"</f>
        <v>1552382619930405</v>
      </c>
      <c r="C431" t="s">
        <v>40</v>
      </c>
      <c r="D431">
        <v>3.7732929999999998</v>
      </c>
      <c r="E431">
        <v>0.56879590000000002</v>
      </c>
      <c r="F431" t="s">
        <v>41</v>
      </c>
      <c r="G431">
        <v>-379.58440000000002</v>
      </c>
      <c r="H431">
        <v>0.88164259999999905</v>
      </c>
      <c r="I431">
        <v>366.81169999999997</v>
      </c>
      <c r="J431">
        <v>-380.25940000000003</v>
      </c>
      <c r="K431">
        <v>1.109877</v>
      </c>
      <c r="L431">
        <v>366.99599999999998</v>
      </c>
      <c r="M431">
        <v>0.99993160000000003</v>
      </c>
      <c r="N431">
        <v>0</v>
      </c>
      <c r="O431">
        <v>2.1342539999999999E-3</v>
      </c>
      <c r="P431">
        <v>0.98917169999999999</v>
      </c>
      <c r="Q431">
        <v>0.14656720000000001</v>
      </c>
      <c r="R431">
        <v>-7.5805040000000001E-3</v>
      </c>
      <c r="S431">
        <v>3.1361080000000001</v>
      </c>
      <c r="T431">
        <v>-0.72644960000000003</v>
      </c>
      <c r="U431">
        <v>-0.58343509999999998</v>
      </c>
      <c r="V431">
        <v>9.6917530000000009E-3</v>
      </c>
      <c r="W431">
        <v>0.1579352</v>
      </c>
      <c r="X431">
        <v>0.98740190000000005</v>
      </c>
      <c r="Y431">
        <v>0.1803256</v>
      </c>
      <c r="Z431">
        <v>-2.0927749999999998E-2</v>
      </c>
      <c r="AA431">
        <v>0.98338429999999999</v>
      </c>
      <c r="AB431">
        <v>38</v>
      </c>
      <c r="AC431">
        <v>0.67500000000001104</v>
      </c>
      <c r="AD431">
        <v>-0.2282344</v>
      </c>
      <c r="AE431">
        <v>-0.18430000000000701</v>
      </c>
      <c r="AF431">
        <v>0.167878563999178</v>
      </c>
      <c r="AG431">
        <v>-0.2282344</v>
      </c>
      <c r="AH431">
        <v>0.60973163195053903</v>
      </c>
      <c r="AI431">
        <v>109.844015311333</v>
      </c>
      <c r="AJ431">
        <v>74.606071203667597</v>
      </c>
      <c r="AK431">
        <v>0.67234426939987701</v>
      </c>
      <c r="AL431">
        <v>80.912931746280293</v>
      </c>
      <c r="AM431">
        <v>89.437636578200099</v>
      </c>
      <c r="AN431">
        <v>0.99999998479943097</v>
      </c>
    </row>
    <row r="432" spans="1:40" x14ac:dyDescent="0.25">
      <c r="A432" t="str">
        <f>"20190312172339953"</f>
        <v>20190312172339953</v>
      </c>
      <c r="B432" t="str">
        <f>"1552382619949926"</f>
        <v>1552382619949926</v>
      </c>
      <c r="C432" t="s">
        <v>40</v>
      </c>
      <c r="D432">
        <v>3.9137759999999999</v>
      </c>
      <c r="E432">
        <v>0.56878319999999905</v>
      </c>
      <c r="F432" t="s">
        <v>41</v>
      </c>
      <c r="G432">
        <v>-379.55829999999997</v>
      </c>
      <c r="H432">
        <v>0.94741370000000003</v>
      </c>
      <c r="I432">
        <v>366.86540000000002</v>
      </c>
      <c r="J432">
        <v>-380.03629999999998</v>
      </c>
      <c r="K432">
        <v>1.1098790000000001</v>
      </c>
      <c r="L432">
        <v>366.99650000000003</v>
      </c>
      <c r="M432">
        <v>0.99993149999999997</v>
      </c>
      <c r="N432">
        <v>0</v>
      </c>
      <c r="O432">
        <v>2.1436509999999999E-3</v>
      </c>
      <c r="P432">
        <v>0.98919919999999995</v>
      </c>
      <c r="Q432">
        <v>0.14638090000000001</v>
      </c>
      <c r="R432">
        <v>-7.5938380000000003E-3</v>
      </c>
      <c r="S432">
        <v>3.136047</v>
      </c>
      <c r="T432">
        <v>-0.72682269999999904</v>
      </c>
      <c r="U432">
        <v>-0.58288569999999995</v>
      </c>
      <c r="V432">
        <v>9.7142900000000004E-3</v>
      </c>
      <c r="W432">
        <v>0.1577529</v>
      </c>
      <c r="X432">
        <v>0.98743080000000005</v>
      </c>
      <c r="Y432">
        <v>0.18017050000000001</v>
      </c>
      <c r="Z432">
        <v>-2.092347E-2</v>
      </c>
      <c r="AA432">
        <v>0.98341290000000003</v>
      </c>
      <c r="AB432">
        <v>38</v>
      </c>
      <c r="AC432">
        <v>0.47800000000000797</v>
      </c>
      <c r="AD432">
        <v>-0.16246530000000001</v>
      </c>
      <c r="AE432">
        <v>-0.13110000000000299</v>
      </c>
      <c r="AF432">
        <v>0.119306150360102</v>
      </c>
      <c r="AG432">
        <v>-0.16246530000000001</v>
      </c>
      <c r="AH432">
        <v>0.43137122274248701</v>
      </c>
      <c r="AI432">
        <v>109.950777002278</v>
      </c>
      <c r="AJ432">
        <v>74.539929015677302</v>
      </c>
      <c r="AK432">
        <v>0.476140801683899</v>
      </c>
      <c r="AL432">
        <v>80.923509184859597</v>
      </c>
      <c r="AM432">
        <v>89.436345450711201</v>
      </c>
      <c r="AN432">
        <v>0.99999996483862597</v>
      </c>
    </row>
    <row r="433" spans="1:40" x14ac:dyDescent="0.25">
      <c r="A433" t="str">
        <f>"20190312172339972"</f>
        <v>20190312172339972</v>
      </c>
      <c r="B433" t="str">
        <f>"1552382619960661"</f>
        <v>1552382619960661</v>
      </c>
      <c r="C433" t="s">
        <v>40</v>
      </c>
      <c r="D433">
        <v>3.6569630000000002</v>
      </c>
      <c r="E433">
        <v>0.56872270000000003</v>
      </c>
      <c r="F433" t="s">
        <v>41</v>
      </c>
      <c r="G433">
        <v>-379.23259999999999</v>
      </c>
      <c r="H433">
        <v>0.92374920000000005</v>
      </c>
      <c r="I433">
        <v>366.84690000000001</v>
      </c>
      <c r="J433">
        <v>-379.72</v>
      </c>
      <c r="K433">
        <v>1.10988</v>
      </c>
      <c r="L433">
        <v>366.99720000000002</v>
      </c>
      <c r="M433">
        <v>0.99993149999999997</v>
      </c>
      <c r="N433">
        <v>0</v>
      </c>
      <c r="O433">
        <v>2.1567959999999999E-3</v>
      </c>
      <c r="P433">
        <v>0.98917580000000005</v>
      </c>
      <c r="Q433">
        <v>0.14654719999999999</v>
      </c>
      <c r="R433">
        <v>-7.4466239999999998E-3</v>
      </c>
      <c r="S433">
        <v>3.135742</v>
      </c>
      <c r="T433">
        <v>-0.72631749999999995</v>
      </c>
      <c r="U433">
        <v>-0.58279419999999904</v>
      </c>
      <c r="V433">
        <v>9.5800060000000003E-3</v>
      </c>
      <c r="W433">
        <v>0.157923799999999</v>
      </c>
      <c r="X433">
        <v>0.98740479999999997</v>
      </c>
      <c r="Y433">
        <v>0.1801778</v>
      </c>
      <c r="Z433">
        <v>-2.0915110000000001E-2</v>
      </c>
      <c r="AA433">
        <v>0.9834117</v>
      </c>
      <c r="AB433">
        <v>38</v>
      </c>
      <c r="AC433">
        <v>0.48740000000003603</v>
      </c>
      <c r="AD433">
        <v>-0.18613080000000001</v>
      </c>
      <c r="AE433">
        <v>-0.150300000000015</v>
      </c>
      <c r="AF433">
        <v>0.13356390248956601</v>
      </c>
      <c r="AG433">
        <v>-0.18613080000000001</v>
      </c>
      <c r="AH433">
        <v>0.42983277042655099</v>
      </c>
      <c r="AI433">
        <v>112.46638976760499</v>
      </c>
      <c r="AJ433">
        <v>72.738173881947702</v>
      </c>
      <c r="AK433">
        <v>0.48707309645416302</v>
      </c>
      <c r="AL433">
        <v>80.913593093802504</v>
      </c>
      <c r="AM433">
        <v>89.444121914837297</v>
      </c>
      <c r="AN433">
        <v>0.99999997109221905</v>
      </c>
    </row>
    <row r="434" spans="1:40" x14ac:dyDescent="0.25">
      <c r="A434" t="str">
        <f>"20190312172339987"</f>
        <v>20190312172339987</v>
      </c>
      <c r="B434" t="str">
        <f>"1552382619980181"</f>
        <v>1552382619980181</v>
      </c>
      <c r="C434" t="s">
        <v>40</v>
      </c>
      <c r="D434">
        <v>3.7010139999999998</v>
      </c>
      <c r="E434">
        <v>0.56869759999999903</v>
      </c>
      <c r="F434" t="s">
        <v>41</v>
      </c>
      <c r="G434">
        <v>-378.89839999999998</v>
      </c>
      <c r="H434">
        <v>0.91979420000000001</v>
      </c>
      <c r="I434">
        <v>366.84460000000001</v>
      </c>
      <c r="J434">
        <v>-379.47930000000002</v>
      </c>
      <c r="K434">
        <v>1.1098809999999999</v>
      </c>
      <c r="L434">
        <v>366.99770000000001</v>
      </c>
      <c r="M434">
        <v>0.99993129999999997</v>
      </c>
      <c r="N434">
        <v>0</v>
      </c>
      <c r="O434">
        <v>2.1666720000000001E-3</v>
      </c>
      <c r="P434">
        <v>0.98914930000000001</v>
      </c>
      <c r="Q434">
        <v>0.1467309</v>
      </c>
      <c r="R434">
        <v>-7.3411400000000003E-3</v>
      </c>
      <c r="S434">
        <v>3.1359249999999999</v>
      </c>
      <c r="T434">
        <v>-0.72559090000000004</v>
      </c>
      <c r="U434">
        <v>-0.58203130000000003</v>
      </c>
      <c r="V434">
        <v>9.4842850000000003E-3</v>
      </c>
      <c r="W434">
        <v>0.15811029999999901</v>
      </c>
      <c r="X434">
        <v>0.98737589999999997</v>
      </c>
      <c r="Y434">
        <v>0.1799607</v>
      </c>
      <c r="Z434">
        <v>-2.0871629999999999E-2</v>
      </c>
      <c r="AA434">
        <v>0.98345229999999995</v>
      </c>
      <c r="AB434">
        <v>38</v>
      </c>
      <c r="AC434">
        <v>0.58090000000004205</v>
      </c>
      <c r="AD434">
        <v>-0.1900868</v>
      </c>
      <c r="AE434">
        <v>-0.15309999999999399</v>
      </c>
      <c r="AF434">
        <v>0.14031002112893701</v>
      </c>
      <c r="AG434">
        <v>-0.1900868</v>
      </c>
      <c r="AH434">
        <v>0.52772886463191404</v>
      </c>
      <c r="AI434">
        <v>109.193223789652</v>
      </c>
      <c r="AJ434">
        <v>75.110927846992993</v>
      </c>
      <c r="AK434">
        <v>0.57820208243237203</v>
      </c>
      <c r="AL434">
        <v>80.902771675302105</v>
      </c>
      <c r="AM434">
        <v>89.449659658201497</v>
      </c>
      <c r="AN434">
        <v>0.99999999326443001</v>
      </c>
    </row>
    <row r="435" spans="1:40" x14ac:dyDescent="0.25">
      <c r="A435" t="str">
        <f>"20190312172340000"</f>
        <v>20190312172340000</v>
      </c>
      <c r="B435" t="str">
        <f>"1552382619989942"</f>
        <v>1552382619989942</v>
      </c>
      <c r="C435" t="s">
        <v>40</v>
      </c>
      <c r="D435">
        <v>3.6531099999999999</v>
      </c>
      <c r="E435">
        <v>0.56872250000000002</v>
      </c>
      <c r="F435" t="s">
        <v>41</v>
      </c>
      <c r="G435">
        <v>-378.57029999999997</v>
      </c>
      <c r="H435">
        <v>0.89973840000000005</v>
      </c>
      <c r="I435">
        <v>366.82900000000001</v>
      </c>
      <c r="J435">
        <v>-379.2371</v>
      </c>
      <c r="K435">
        <v>1.1098840000000001</v>
      </c>
      <c r="L435">
        <v>366.99829999999997</v>
      </c>
      <c r="M435">
        <v>0.99993129999999997</v>
      </c>
      <c r="N435">
        <v>0</v>
      </c>
      <c r="O435">
        <v>2.176253E-3</v>
      </c>
      <c r="P435">
        <v>0.98914299999999999</v>
      </c>
      <c r="Q435">
        <v>0.14677100000000001</v>
      </c>
      <c r="R435">
        <v>-7.3905530000000002E-3</v>
      </c>
      <c r="S435">
        <v>3.136139</v>
      </c>
      <c r="T435">
        <v>-0.72507860000000002</v>
      </c>
      <c r="U435">
        <v>-0.58108519999999997</v>
      </c>
      <c r="V435">
        <v>9.5431790000000006E-3</v>
      </c>
      <c r="W435">
        <v>0.15815360000000001</v>
      </c>
      <c r="X435">
        <v>0.98736840000000003</v>
      </c>
      <c r="Y435">
        <v>0.17968489999999901</v>
      </c>
      <c r="Z435">
        <v>-2.0827399999999999E-2</v>
      </c>
      <c r="AA435">
        <v>0.98350369999999998</v>
      </c>
      <c r="AB435">
        <v>38</v>
      </c>
      <c r="AC435">
        <v>0.66680000000002304</v>
      </c>
      <c r="AD435">
        <v>-0.21014559999999999</v>
      </c>
      <c r="AE435">
        <v>-0.16929999999996401</v>
      </c>
      <c r="AF435">
        <v>0.156178173640762</v>
      </c>
      <c r="AG435">
        <v>-0.21014559999999999</v>
      </c>
      <c r="AH435">
        <v>0.60955381069535697</v>
      </c>
      <c r="AI435">
        <v>108.467537517689</v>
      </c>
      <c r="AJ435">
        <v>75.628984566309498</v>
      </c>
      <c r="AK435">
        <v>0.66340684595077404</v>
      </c>
      <c r="AL435">
        <v>80.900259174973996</v>
      </c>
      <c r="AM435">
        <v>89.446238248642203</v>
      </c>
      <c r="AN435">
        <v>0.99999999538847295</v>
      </c>
    </row>
    <row r="436" spans="1:40" x14ac:dyDescent="0.25">
      <c r="A436" t="str">
        <f>"20190312172340018"</f>
        <v>20190312172340018</v>
      </c>
      <c r="B436" t="str">
        <f>"1552382620010437"</f>
        <v>1552382620010437</v>
      </c>
      <c r="C436" t="s">
        <v>40</v>
      </c>
      <c r="D436">
        <v>3.7524220000000001</v>
      </c>
      <c r="E436">
        <v>0.5687219</v>
      </c>
      <c r="F436" t="s">
        <v>41</v>
      </c>
      <c r="G436">
        <v>-378.5496</v>
      </c>
      <c r="H436">
        <v>0.95097770000000004</v>
      </c>
      <c r="I436">
        <v>366.87049999999999</v>
      </c>
      <c r="J436">
        <v>-378.9468</v>
      </c>
      <c r="K436">
        <v>1.109885</v>
      </c>
      <c r="L436">
        <v>366.99889999999999</v>
      </c>
      <c r="M436">
        <v>0.99993129999999997</v>
      </c>
      <c r="N436">
        <v>0</v>
      </c>
      <c r="O436">
        <v>2.1880340000000002E-3</v>
      </c>
      <c r="P436">
        <v>0.98913280000000003</v>
      </c>
      <c r="Q436">
        <v>0.14685290000000001</v>
      </c>
      <c r="R436">
        <v>-7.1343780000000002E-3</v>
      </c>
      <c r="S436">
        <v>3.136139</v>
      </c>
      <c r="T436">
        <v>-0.72501359999999904</v>
      </c>
      <c r="U436">
        <v>-0.58166499999999999</v>
      </c>
      <c r="V436">
        <v>9.2986590000000008E-3</v>
      </c>
      <c r="W436">
        <v>0.158239299999999</v>
      </c>
      <c r="X436">
        <v>0.98735700000000004</v>
      </c>
      <c r="Y436">
        <v>0.17986830000000001</v>
      </c>
      <c r="Z436">
        <v>-2.0848680000000001E-2</v>
      </c>
      <c r="AA436">
        <v>0.9834697</v>
      </c>
      <c r="AB436">
        <v>38</v>
      </c>
      <c r="AC436">
        <v>0.397199999999998</v>
      </c>
      <c r="AD436">
        <v>-0.158907299999999</v>
      </c>
      <c r="AE436">
        <v>-0.12839999999999899</v>
      </c>
      <c r="AF436">
        <v>0.112907238844872</v>
      </c>
      <c r="AG436">
        <v>-0.158907299999999</v>
      </c>
      <c r="AH436">
        <v>0.346680036433127</v>
      </c>
      <c r="AI436">
        <v>113.549350461776</v>
      </c>
      <c r="AJ436">
        <v>71.960534024875997</v>
      </c>
      <c r="AK436">
        <v>0.39772681860560699</v>
      </c>
      <c r="AL436">
        <v>80.895286287283696</v>
      </c>
      <c r="AM436">
        <v>89.460419923635001</v>
      </c>
      <c r="AN436">
        <v>0.99999999328634404</v>
      </c>
    </row>
    <row r="437" spans="1:40" x14ac:dyDescent="0.25">
      <c r="A437" t="str">
        <f>"20190312172340030"</f>
        <v>20190312172340030</v>
      </c>
      <c r="B437" t="str">
        <f>"1552382620020199"</f>
        <v>1552382620020199</v>
      </c>
      <c r="C437" t="s">
        <v>40</v>
      </c>
      <c r="D437">
        <v>3.7223730000000002</v>
      </c>
      <c r="E437">
        <v>0.53854859999999904</v>
      </c>
      <c r="F437" t="s">
        <v>41</v>
      </c>
      <c r="G437">
        <v>-378.21789999999999</v>
      </c>
      <c r="H437">
        <v>0.94141710000000001</v>
      </c>
      <c r="I437">
        <v>366.86360000000002</v>
      </c>
      <c r="J437">
        <v>-378.73869999999999</v>
      </c>
      <c r="K437">
        <v>1.1098840000000001</v>
      </c>
      <c r="L437">
        <v>366.99939999999998</v>
      </c>
      <c r="M437">
        <v>0.99993129999999997</v>
      </c>
      <c r="N437">
        <v>0</v>
      </c>
      <c r="O437">
        <v>2.1967810000000001E-3</v>
      </c>
      <c r="P437">
        <v>0.98911769999999999</v>
      </c>
      <c r="Q437">
        <v>0.14695649999999999</v>
      </c>
      <c r="R437">
        <v>-7.0926729999999999E-3</v>
      </c>
      <c r="S437">
        <v>3.1363530000000002</v>
      </c>
      <c r="T437">
        <v>-0.72488109999999994</v>
      </c>
      <c r="U437">
        <v>-0.58117680000000005</v>
      </c>
      <c r="V437">
        <v>9.2654699999999996E-3</v>
      </c>
      <c r="W437">
        <v>0.15834479999999901</v>
      </c>
      <c r="X437">
        <v>0.98734040000000001</v>
      </c>
      <c r="Y437">
        <v>0.17972249999999901</v>
      </c>
      <c r="Z437">
        <v>-2.0829360000000002E-2</v>
      </c>
      <c r="AA437">
        <v>0.98349679999999995</v>
      </c>
      <c r="AB437">
        <v>38</v>
      </c>
      <c r="AC437">
        <v>0.52080000000000803</v>
      </c>
      <c r="AD437">
        <v>-0.1684669</v>
      </c>
      <c r="AE437">
        <v>-0.13579999999996001</v>
      </c>
      <c r="AF437">
        <v>0.12472389647561</v>
      </c>
      <c r="AG437">
        <v>-0.1684669</v>
      </c>
      <c r="AH437">
        <v>0.474054488486778</v>
      </c>
      <c r="AI437">
        <v>108.966746319959</v>
      </c>
      <c r="AJ437">
        <v>75.259521343289094</v>
      </c>
      <c r="AK437">
        <v>0.51832885777479998</v>
      </c>
      <c r="AL437">
        <v>80.889164415980702</v>
      </c>
      <c r="AM437">
        <v>89.462336653749801</v>
      </c>
      <c r="AN437">
        <v>0.99999999504675996</v>
      </c>
    </row>
    <row r="438" spans="1:40" x14ac:dyDescent="0.25">
      <c r="A438" t="str">
        <f>"20190312172340052"</f>
        <v>20190312172340052</v>
      </c>
      <c r="B438" t="str">
        <f>"1552382620040693"</f>
        <v>1552382620040693</v>
      </c>
      <c r="C438" t="s">
        <v>40</v>
      </c>
      <c r="D438">
        <v>3.76085</v>
      </c>
      <c r="E438">
        <v>0.52576339999999999</v>
      </c>
      <c r="F438" t="s">
        <v>41</v>
      </c>
      <c r="G438">
        <v>-377.86939999999998</v>
      </c>
      <c r="H438">
        <v>0.97008000000000005</v>
      </c>
      <c r="I438">
        <v>366.90460000000002</v>
      </c>
      <c r="J438">
        <v>-378.38709999999998</v>
      </c>
      <c r="K438">
        <v>1.109882</v>
      </c>
      <c r="L438">
        <v>367.00020000000001</v>
      </c>
      <c r="M438">
        <v>0.99993120000000002</v>
      </c>
      <c r="N438">
        <v>0</v>
      </c>
      <c r="O438">
        <v>2.211714E-3</v>
      </c>
      <c r="P438">
        <v>0.98908030000000002</v>
      </c>
      <c r="Q438">
        <v>0.14721600000000001</v>
      </c>
      <c r="R438">
        <v>-6.912563E-3</v>
      </c>
      <c r="S438">
        <v>3.1047669999999998</v>
      </c>
      <c r="T438">
        <v>-0.4993205</v>
      </c>
      <c r="U438">
        <v>-0.3380127</v>
      </c>
      <c r="V438">
        <v>9.1001569999999993E-3</v>
      </c>
      <c r="W438">
        <v>0.15860750000000001</v>
      </c>
      <c r="X438">
        <v>0.98729979999999995</v>
      </c>
      <c r="Y438">
        <v>0.1090154</v>
      </c>
      <c r="Z438">
        <v>-9.0374389999999995E-3</v>
      </c>
      <c r="AA438">
        <v>0.99399899999999997</v>
      </c>
      <c r="AB438">
        <v>38</v>
      </c>
      <c r="AC438">
        <v>0.51769999999998995</v>
      </c>
      <c r="AD438">
        <v>-0.13980200000000001</v>
      </c>
      <c r="AE438">
        <v>-9.5599999999990304E-2</v>
      </c>
      <c r="AF438">
        <v>9.0371887988580701E-2</v>
      </c>
      <c r="AG438">
        <v>-0.13980200000000001</v>
      </c>
      <c r="AH438">
        <v>0.48339838439108401</v>
      </c>
      <c r="AI438">
        <v>105.869461721994</v>
      </c>
      <c r="AJ438">
        <v>79.410726054158005</v>
      </c>
      <c r="AK438">
        <v>0.51125891226904896</v>
      </c>
      <c r="AL438">
        <v>80.873920431935403</v>
      </c>
      <c r="AM438">
        <v>89.471907292801404</v>
      </c>
      <c r="AN438">
        <v>1.00000002349685</v>
      </c>
    </row>
    <row r="439" spans="1:40" x14ac:dyDescent="0.25">
      <c r="A439" t="str">
        <f>"20190312172340066"</f>
        <v>20190312172340066</v>
      </c>
      <c r="B439" t="str">
        <f>"1552382620060213"</f>
        <v>1552382620060213</v>
      </c>
      <c r="C439" t="s">
        <v>40</v>
      </c>
      <c r="D439">
        <v>3.7286790000000001</v>
      </c>
      <c r="E439">
        <v>0.51824899999999996</v>
      </c>
      <c r="F439" t="s">
        <v>41</v>
      </c>
      <c r="G439">
        <v>-377.5172</v>
      </c>
      <c r="H439">
        <v>1.0034259999999999</v>
      </c>
      <c r="I439">
        <v>366.93400000000003</v>
      </c>
      <c r="J439">
        <v>-378.15530000000001</v>
      </c>
      <c r="K439">
        <v>1.109882</v>
      </c>
      <c r="L439">
        <v>367.00069999999999</v>
      </c>
      <c r="M439">
        <v>0.99993109999999996</v>
      </c>
      <c r="N439">
        <v>0</v>
      </c>
      <c r="O439">
        <v>2.2216509999999998E-3</v>
      </c>
      <c r="P439">
        <v>0.98908759999999996</v>
      </c>
      <c r="Q439">
        <v>0.14717559999999999</v>
      </c>
      <c r="R439">
        <v>-6.7120189999999996E-3</v>
      </c>
      <c r="S439">
        <v>3.0877379999999999</v>
      </c>
      <c r="T439">
        <v>-0.3779672</v>
      </c>
      <c r="U439">
        <v>-0.23449710000000001</v>
      </c>
      <c r="V439">
        <v>8.9098609999999998E-3</v>
      </c>
      <c r="W439">
        <v>0.1585694</v>
      </c>
      <c r="X439">
        <v>0.98730770000000001</v>
      </c>
      <c r="Y439">
        <v>7.7351210000000004E-2</v>
      </c>
      <c r="Z439">
        <v>-4.9805140000000001E-3</v>
      </c>
      <c r="AA439">
        <v>0.99699150000000003</v>
      </c>
      <c r="AB439">
        <v>38</v>
      </c>
      <c r="AC439">
        <v>0.63810000000000799</v>
      </c>
      <c r="AD439">
        <v>-0.106456</v>
      </c>
      <c r="AE439">
        <v>-6.6699999999968895E-2</v>
      </c>
      <c r="AF439">
        <v>6.62923800058796E-2</v>
      </c>
      <c r="AG439">
        <v>-0.106456</v>
      </c>
      <c r="AH439">
        <v>0.62085658975136804</v>
      </c>
      <c r="AI439">
        <v>99.675728125983298</v>
      </c>
      <c r="AJ439">
        <v>83.905296594010693</v>
      </c>
      <c r="AK439">
        <v>0.63339597774263001</v>
      </c>
      <c r="AL439">
        <v>80.876131784756296</v>
      </c>
      <c r="AM439">
        <v>89.482953922316</v>
      </c>
      <c r="AN439">
        <v>1.0000000673593401</v>
      </c>
    </row>
    <row r="440" spans="1:40" x14ac:dyDescent="0.25">
      <c r="A440" t="str">
        <f>"20190312172340084"</f>
        <v>20190312172340084</v>
      </c>
      <c r="B440" t="str">
        <f>"1552382620080709"</f>
        <v>1552382620080709</v>
      </c>
      <c r="C440" t="s">
        <v>40</v>
      </c>
      <c r="D440">
        <v>3.7120380000000002</v>
      </c>
      <c r="E440">
        <v>0.51487429999999901</v>
      </c>
      <c r="F440" t="s">
        <v>41</v>
      </c>
      <c r="G440">
        <v>-377.17469999999997</v>
      </c>
      <c r="H440">
        <v>1.0157969999999901</v>
      </c>
      <c r="I440">
        <v>366.94549999999998</v>
      </c>
      <c r="J440">
        <v>-377.8372</v>
      </c>
      <c r="K440">
        <v>1.1098809999999999</v>
      </c>
      <c r="L440">
        <v>367.00139999999999</v>
      </c>
      <c r="M440">
        <v>0.99993100000000001</v>
      </c>
      <c r="N440">
        <v>0</v>
      </c>
      <c r="O440">
        <v>2.234925E-3</v>
      </c>
      <c r="P440">
        <v>0.98907440000000002</v>
      </c>
      <c r="Q440">
        <v>0.1472735</v>
      </c>
      <c r="R440">
        <v>-6.5425049999999997E-3</v>
      </c>
      <c r="S440">
        <v>3.0758359999999998</v>
      </c>
      <c r="T440">
        <v>-0.29524790000000001</v>
      </c>
      <c r="U440">
        <v>-0.17297360000000001</v>
      </c>
      <c r="V440">
        <v>8.7530000000000004E-3</v>
      </c>
      <c r="W440">
        <v>0.15867059999999999</v>
      </c>
      <c r="X440">
        <v>0.98729279999999997</v>
      </c>
      <c r="Y440">
        <v>5.8102519999999998E-2</v>
      </c>
      <c r="Z440">
        <v>-2.993927E-3</v>
      </c>
      <c r="AA440">
        <v>0.99830620000000003</v>
      </c>
      <c r="AB440">
        <v>38</v>
      </c>
      <c r="AC440">
        <v>0.66250000000002196</v>
      </c>
      <c r="AD440">
        <v>-9.4084000000000001E-2</v>
      </c>
      <c r="AE440">
        <v>-5.59000000000082E-2</v>
      </c>
      <c r="AF440">
        <v>5.6254092288525397E-2</v>
      </c>
      <c r="AG440">
        <v>-9.4084000000000001E-2</v>
      </c>
      <c r="AH440">
        <v>0.64936959184043497</v>
      </c>
      <c r="AI440">
        <v>98.213601262074206</v>
      </c>
      <c r="AJ440">
        <v>85.048897374260406</v>
      </c>
      <c r="AK440">
        <v>0.65855689865206002</v>
      </c>
      <c r="AL440">
        <v>80.870258699664404</v>
      </c>
      <c r="AM440">
        <v>89.492048540052394</v>
      </c>
      <c r="AN440">
        <v>1.0000000236225901</v>
      </c>
    </row>
    <row r="441" spans="1:40" x14ac:dyDescent="0.25">
      <c r="A441" t="str">
        <f>"20190312172340097"</f>
        <v>20190312172340097</v>
      </c>
      <c r="B441" t="str">
        <f>"1552382620090469"</f>
        <v>1552382620090469</v>
      </c>
      <c r="C441" t="s">
        <v>40</v>
      </c>
      <c r="D441">
        <v>3.7187410000000001</v>
      </c>
      <c r="E441">
        <v>0.51403160000000003</v>
      </c>
      <c r="F441" t="s">
        <v>41</v>
      </c>
      <c r="G441">
        <v>-376.83300000000003</v>
      </c>
      <c r="H441">
        <v>1.026691</v>
      </c>
      <c r="I441">
        <v>366.95400000000001</v>
      </c>
      <c r="J441">
        <v>-377.62540000000001</v>
      </c>
      <c r="K441">
        <v>1.109885</v>
      </c>
      <c r="L441">
        <v>367.00189999999998</v>
      </c>
      <c r="M441">
        <v>0.99993100000000001</v>
      </c>
      <c r="N441">
        <v>0</v>
      </c>
      <c r="O441">
        <v>2.2433800000000001E-3</v>
      </c>
      <c r="P441">
        <v>0.98907219999999996</v>
      </c>
      <c r="Q441">
        <v>0.147286</v>
      </c>
      <c r="R441">
        <v>-6.5862489999999997E-3</v>
      </c>
      <c r="S441">
        <v>3.0700379999999998</v>
      </c>
      <c r="T441">
        <v>-0.25440239999999997</v>
      </c>
      <c r="U441">
        <v>-0.14495849999999999</v>
      </c>
      <c r="V441">
        <v>8.8050360000000005E-3</v>
      </c>
      <c r="W441">
        <v>0.15868470000000001</v>
      </c>
      <c r="X441">
        <v>0.98729</v>
      </c>
      <c r="Y441">
        <v>4.9229500000000002E-2</v>
      </c>
      <c r="Z441">
        <v>-2.2206079999999998E-3</v>
      </c>
      <c r="AA441">
        <v>0.99878500000000003</v>
      </c>
      <c r="AB441">
        <v>38</v>
      </c>
      <c r="AC441">
        <v>0.792399999999986</v>
      </c>
      <c r="AD441">
        <v>-8.3193999999999907E-2</v>
      </c>
      <c r="AE441">
        <v>-4.7899999999970001E-2</v>
      </c>
      <c r="AF441">
        <v>4.9137981893794501E-2</v>
      </c>
      <c r="AG441">
        <v>-8.3193999999999907E-2</v>
      </c>
      <c r="AH441">
        <v>0.78368354205183399</v>
      </c>
      <c r="AI441">
        <v>96.047901388694498</v>
      </c>
      <c r="AJ441">
        <v>86.412176641224704</v>
      </c>
      <c r="AK441">
        <v>0.78961742444268801</v>
      </c>
      <c r="AL441">
        <v>80.869439815711203</v>
      </c>
      <c r="AM441">
        <v>89.489027513147803</v>
      </c>
      <c r="AN441">
        <v>0.99999995338652403</v>
      </c>
    </row>
    <row r="442" spans="1:40" x14ac:dyDescent="0.25">
      <c r="A442" t="str">
        <f>"20190312172340109"</f>
        <v>20190312172340109</v>
      </c>
      <c r="B442" t="str">
        <f>"1552382620100229"</f>
        <v>1552382620100229</v>
      </c>
      <c r="C442" t="s">
        <v>40</v>
      </c>
      <c r="D442">
        <v>3.7547700000000002</v>
      </c>
      <c r="E442">
        <v>0.51324720000000001</v>
      </c>
      <c r="F442" t="s">
        <v>41</v>
      </c>
      <c r="G442">
        <v>-376.82170000000002</v>
      </c>
      <c r="H442">
        <v>1.0465770000000001</v>
      </c>
      <c r="I442">
        <v>366.96559999999999</v>
      </c>
      <c r="J442">
        <v>-377.42869999999999</v>
      </c>
      <c r="K442">
        <v>1.1098859999999999</v>
      </c>
      <c r="L442">
        <v>367.00229999999999</v>
      </c>
      <c r="M442">
        <v>0.99993100000000001</v>
      </c>
      <c r="N442">
        <v>0</v>
      </c>
      <c r="O442">
        <v>2.2514179999999998E-3</v>
      </c>
      <c r="P442">
        <v>0.98909239999999998</v>
      </c>
      <c r="Q442">
        <v>0.14715020000000001</v>
      </c>
      <c r="R442">
        <v>-6.5742819999999999E-3</v>
      </c>
      <c r="S442">
        <v>3.0682369999999999</v>
      </c>
      <c r="T442">
        <v>-0.24178269999999999</v>
      </c>
      <c r="U442">
        <v>-0.1382446</v>
      </c>
      <c r="V442">
        <v>8.8010919999999999E-3</v>
      </c>
      <c r="W442">
        <v>0.158551</v>
      </c>
      <c r="X442">
        <v>0.98731150000000001</v>
      </c>
      <c r="Y442">
        <v>4.7107490000000002E-2</v>
      </c>
      <c r="Z442">
        <v>-2.0293360000000001E-3</v>
      </c>
      <c r="AA442">
        <v>0.99888779999999999</v>
      </c>
      <c r="AB442">
        <v>38</v>
      </c>
      <c r="AC442">
        <v>0.60699999999997001</v>
      </c>
      <c r="AD442">
        <v>-6.3309000000000004E-2</v>
      </c>
      <c r="AE442">
        <v>-3.6699999999996097E-2</v>
      </c>
      <c r="AF442">
        <v>3.7658447784826098E-2</v>
      </c>
      <c r="AG442">
        <v>-6.3309000000000004E-2</v>
      </c>
      <c r="AH442">
        <v>0.60040830871442896</v>
      </c>
      <c r="AI442">
        <v>96.007492406428696</v>
      </c>
      <c r="AJ442">
        <v>86.411030054371906</v>
      </c>
      <c r="AK442">
        <v>0.60491017956708504</v>
      </c>
      <c r="AL442">
        <v>80.877198348532204</v>
      </c>
      <c r="AM442">
        <v>89.489267500139903</v>
      </c>
      <c r="AN442">
        <v>0.999999938426819</v>
      </c>
    </row>
    <row r="443" spans="1:40" x14ac:dyDescent="0.25">
      <c r="A443" t="str">
        <f>"20190312172340120"</f>
        <v>20190312172340120</v>
      </c>
      <c r="B443" t="str">
        <f>"1552382620109989"</f>
        <v>1552382620109989</v>
      </c>
      <c r="C443" t="s">
        <v>40</v>
      </c>
      <c r="D443">
        <v>3.7455560000000001</v>
      </c>
      <c r="E443">
        <v>0.51261190000000001</v>
      </c>
      <c r="F443" t="s">
        <v>41</v>
      </c>
      <c r="G443">
        <v>-376.4905</v>
      </c>
      <c r="H443">
        <v>1.0388599999999999</v>
      </c>
      <c r="I443">
        <v>366.9615</v>
      </c>
      <c r="J443">
        <v>-377.22449999999998</v>
      </c>
      <c r="K443">
        <v>1.1098859999999999</v>
      </c>
      <c r="L443">
        <v>367.00279999999998</v>
      </c>
      <c r="M443">
        <v>0.99993089999999996</v>
      </c>
      <c r="N443">
        <v>0</v>
      </c>
      <c r="O443">
        <v>2.2599909999999998E-3</v>
      </c>
      <c r="P443">
        <v>0.98910430000000005</v>
      </c>
      <c r="Q443">
        <v>0.1470813</v>
      </c>
      <c r="R443">
        <v>-6.3069370000000003E-3</v>
      </c>
      <c r="S443">
        <v>3.0668030000000002</v>
      </c>
      <c r="T443">
        <v>-0.2324831</v>
      </c>
      <c r="U443">
        <v>-0.13195799999999999</v>
      </c>
      <c r="V443">
        <v>8.5423110000000003E-3</v>
      </c>
      <c r="W443">
        <v>0.15848409999999999</v>
      </c>
      <c r="X443">
        <v>0.9873246</v>
      </c>
      <c r="Y443">
        <v>4.5110369999999997E-2</v>
      </c>
      <c r="Z443">
        <v>-1.8776019999999999E-3</v>
      </c>
      <c r="AA443">
        <v>0.99898019999999998</v>
      </c>
      <c r="AB443">
        <v>38</v>
      </c>
      <c r="AC443">
        <v>0.73399999999998</v>
      </c>
      <c r="AD443">
        <v>-7.1026000000000006E-2</v>
      </c>
      <c r="AE443">
        <v>-4.1299999999978299E-2</v>
      </c>
      <c r="AF443">
        <v>4.25615668084115E-2</v>
      </c>
      <c r="AG443">
        <v>-7.1026000000000006E-2</v>
      </c>
      <c r="AH443">
        <v>0.72711783229199101</v>
      </c>
      <c r="AI443">
        <v>95.569567978637593</v>
      </c>
      <c r="AJ443">
        <v>86.650035762323895</v>
      </c>
      <c r="AK443">
        <v>0.73181727342431002</v>
      </c>
      <c r="AL443">
        <v>80.881081303456398</v>
      </c>
      <c r="AM443">
        <v>89.504290528614604</v>
      </c>
      <c r="AN443">
        <v>1.0000000233975901</v>
      </c>
    </row>
    <row r="444" spans="1:40" x14ac:dyDescent="0.25">
      <c r="A444" t="str">
        <f>"20190312172340133"</f>
        <v>20190312172340133</v>
      </c>
      <c r="B444" t="str">
        <f>"1552382620130485"</f>
        <v>1552382620130485</v>
      </c>
      <c r="C444" t="s">
        <v>40</v>
      </c>
      <c r="D444">
        <v>3.7387419999999998</v>
      </c>
      <c r="E444">
        <v>0.51163789999999998</v>
      </c>
      <c r="F444" t="s">
        <v>43</v>
      </c>
      <c r="G444">
        <v>-362.0797</v>
      </c>
      <c r="H444" s="1">
        <v>-3.9541869999999996E-6</v>
      </c>
      <c r="I444">
        <v>366.37990000000002</v>
      </c>
      <c r="J444">
        <v>-377.0188</v>
      </c>
      <c r="K444">
        <v>1.109888</v>
      </c>
      <c r="L444">
        <v>367.00319999999999</v>
      </c>
      <c r="M444">
        <v>0.99993100000000001</v>
      </c>
      <c r="N444">
        <v>0</v>
      </c>
      <c r="O444">
        <v>2.2682679999999999E-3</v>
      </c>
      <c r="P444">
        <v>0.98910330000000002</v>
      </c>
      <c r="Q444">
        <v>0.147099799999999</v>
      </c>
      <c r="R444">
        <v>-6.0806419999999998E-3</v>
      </c>
      <c r="S444">
        <v>3.0656430000000001</v>
      </c>
      <c r="T444">
        <v>-0.2246649</v>
      </c>
      <c r="U444">
        <v>-0.12606809999999999</v>
      </c>
      <c r="V444">
        <v>8.3239339999999998E-3</v>
      </c>
      <c r="W444">
        <v>0.15850439999999999</v>
      </c>
      <c r="X444">
        <v>0.98732319999999996</v>
      </c>
      <c r="Y444">
        <v>4.3232739999999999E-2</v>
      </c>
      <c r="Z444">
        <v>-1.7473129999999999E-3</v>
      </c>
      <c r="AA444">
        <v>0.99906349999999999</v>
      </c>
      <c r="AB444">
        <v>38</v>
      </c>
      <c r="AC444">
        <v>14.9390999999999</v>
      </c>
      <c r="AD444">
        <v>-1.109891954187</v>
      </c>
      <c r="AE444">
        <v>-0.62329999999997199</v>
      </c>
      <c r="AF444">
        <v>0.65358522900891003</v>
      </c>
      <c r="AG444">
        <v>-1.109891954187</v>
      </c>
      <c r="AH444">
        <v>14.855791196724599</v>
      </c>
      <c r="AI444">
        <v>94.268576890601494</v>
      </c>
      <c r="AJ444">
        <v>87.480878560329501</v>
      </c>
      <c r="AK444">
        <v>14.911524599524601</v>
      </c>
      <c r="AL444">
        <v>80.879903250143101</v>
      </c>
      <c r="AM444">
        <v>89.516961631323895</v>
      </c>
      <c r="AN444">
        <v>1.0000000169774099</v>
      </c>
    </row>
    <row r="445" spans="1:40" x14ac:dyDescent="0.25">
      <c r="A445" t="str">
        <f>"20190312172340145"</f>
        <v>20190312172340145</v>
      </c>
      <c r="B445" t="str">
        <f>"1552382620140245"</f>
        <v>1552382620140245</v>
      </c>
      <c r="C445" t="s">
        <v>40</v>
      </c>
      <c r="D445">
        <v>3.7571080000000001</v>
      </c>
      <c r="E445">
        <v>0.51120129999999997</v>
      </c>
      <c r="F445" t="s">
        <v>41</v>
      </c>
      <c r="G445">
        <v>-376.14600000000002</v>
      </c>
      <c r="H445">
        <v>1.04932</v>
      </c>
      <c r="I445">
        <v>366.96949999999998</v>
      </c>
      <c r="J445">
        <v>-376.8177</v>
      </c>
      <c r="K445">
        <v>1.109888</v>
      </c>
      <c r="L445">
        <v>367.00369999999998</v>
      </c>
      <c r="M445">
        <v>0.99993080000000001</v>
      </c>
      <c r="N445">
        <v>0</v>
      </c>
      <c r="O445">
        <v>2.276663E-3</v>
      </c>
      <c r="P445">
        <v>0.9890951</v>
      </c>
      <c r="Q445">
        <v>0.147151</v>
      </c>
      <c r="R445">
        <v>-6.1178980000000001E-3</v>
      </c>
      <c r="S445">
        <v>3.0639340000000002</v>
      </c>
      <c r="T445">
        <v>-0.21282280000000001</v>
      </c>
      <c r="U445">
        <v>-0.11776730000000001</v>
      </c>
      <c r="V445">
        <v>8.3696350000000003E-3</v>
      </c>
      <c r="W445">
        <v>0.15855659999999999</v>
      </c>
      <c r="X445">
        <v>0.98731440000000004</v>
      </c>
      <c r="Y445">
        <v>4.0580190000000002E-2</v>
      </c>
      <c r="Z445">
        <v>-1.5650519999999999E-3</v>
      </c>
      <c r="AA445">
        <v>0.99917509999999998</v>
      </c>
      <c r="AB445">
        <v>38</v>
      </c>
      <c r="AC445">
        <v>0.67170000000004304</v>
      </c>
      <c r="AD445">
        <v>-6.05679999999999E-2</v>
      </c>
      <c r="AE445">
        <v>-3.4199999999998398E-2</v>
      </c>
      <c r="AF445">
        <v>3.5441820873338102E-2</v>
      </c>
      <c r="AG445">
        <v>-6.05679999999999E-2</v>
      </c>
      <c r="AH445">
        <v>0.66621748619571997</v>
      </c>
      <c r="AI445">
        <v>95.187370449301</v>
      </c>
      <c r="AJ445">
        <v>86.954816726967806</v>
      </c>
      <c r="AK445">
        <v>0.66990323495543902</v>
      </c>
      <c r="AL445">
        <v>80.876873812892399</v>
      </c>
      <c r="AM445">
        <v>89.514305397580401</v>
      </c>
      <c r="AN445">
        <v>0.99999998532047596</v>
      </c>
    </row>
    <row r="446" spans="1:40" x14ac:dyDescent="0.25">
      <c r="A446" t="str">
        <f>"20190312172340162"</f>
        <v>20190312172340162</v>
      </c>
      <c r="B446" t="str">
        <f>"1552382620150005"</f>
        <v>1552382620150005</v>
      </c>
      <c r="C446" t="s">
        <v>40</v>
      </c>
      <c r="D446">
        <v>3.7522519999999999</v>
      </c>
      <c r="E446">
        <v>0.51084169999999995</v>
      </c>
      <c r="F446" t="s">
        <v>41</v>
      </c>
      <c r="G446">
        <v>-375.81569999999999</v>
      </c>
      <c r="H446">
        <v>1.0419080000000001</v>
      </c>
      <c r="I446">
        <v>366.96609999999998</v>
      </c>
      <c r="J446">
        <v>-376.5274</v>
      </c>
      <c r="K446">
        <v>1.109888</v>
      </c>
      <c r="L446">
        <v>367.00439999999998</v>
      </c>
      <c r="M446">
        <v>0.99993089999999996</v>
      </c>
      <c r="N446">
        <v>0</v>
      </c>
      <c r="O446">
        <v>2.288273E-3</v>
      </c>
      <c r="P446">
        <v>0.98911039999999995</v>
      </c>
      <c r="Q446">
        <v>0.14705070000000001</v>
      </c>
      <c r="R446">
        <v>-6.0874240000000001E-3</v>
      </c>
      <c r="S446">
        <v>3.0632630000000001</v>
      </c>
      <c r="T446">
        <v>-0.20788229999999999</v>
      </c>
      <c r="U446">
        <v>-0.114563</v>
      </c>
      <c r="V446">
        <v>8.3506769999999904E-3</v>
      </c>
      <c r="W446">
        <v>0.15845919999999999</v>
      </c>
      <c r="X446">
        <v>0.98733020000000005</v>
      </c>
      <c r="Y446">
        <v>3.9563479999999998E-2</v>
      </c>
      <c r="Z446">
        <v>-1.49550799999999E-3</v>
      </c>
      <c r="AA446">
        <v>0.99921599999999999</v>
      </c>
      <c r="AB446">
        <v>38</v>
      </c>
      <c r="AC446">
        <v>0.71170000000000699</v>
      </c>
      <c r="AD446">
        <v>-6.7979999999999902E-2</v>
      </c>
      <c r="AE446">
        <v>-3.8299999999992403E-2</v>
      </c>
      <c r="AF446">
        <v>3.9568604453579098E-2</v>
      </c>
      <c r="AG446">
        <v>-6.7979999999999902E-2</v>
      </c>
      <c r="AH446">
        <v>0.70519511882640495</v>
      </c>
      <c r="AI446">
        <v>95.497639104270505</v>
      </c>
      <c r="AJ446">
        <v>86.788492662305899</v>
      </c>
      <c r="AK446">
        <v>0.70956825638904597</v>
      </c>
      <c r="AL446">
        <v>80.8825259002151</v>
      </c>
      <c r="AM446">
        <v>89.515413242880697</v>
      </c>
      <c r="AN446">
        <v>0.999999987851519</v>
      </c>
    </row>
    <row r="447" spans="1:40" x14ac:dyDescent="0.25">
      <c r="A447" t="str">
        <f>"20190312172340174"</f>
        <v>20190312172340174</v>
      </c>
      <c r="B447" t="str">
        <f>"1552382620170502"</f>
        <v>1552382620170502</v>
      </c>
      <c r="C447" t="s">
        <v>40</v>
      </c>
      <c r="D447">
        <v>3.775744</v>
      </c>
      <c r="E447">
        <v>0.51021099999999997</v>
      </c>
      <c r="F447" t="s">
        <v>41</v>
      </c>
      <c r="G447">
        <v>-375.47980000000001</v>
      </c>
      <c r="H447">
        <v>1.040073</v>
      </c>
      <c r="I447">
        <v>366.96620000000001</v>
      </c>
      <c r="J447">
        <v>-376.3263</v>
      </c>
      <c r="K447">
        <v>1.1098859999999999</v>
      </c>
      <c r="L447">
        <v>367.00490000000002</v>
      </c>
      <c r="M447">
        <v>0.99993089999999996</v>
      </c>
      <c r="N447">
        <v>0</v>
      </c>
      <c r="O447">
        <v>2.29649E-3</v>
      </c>
      <c r="P447">
        <v>0.98908529999999995</v>
      </c>
      <c r="Q447">
        <v>0.1472195</v>
      </c>
      <c r="R447">
        <v>-6.0620819999999999E-3</v>
      </c>
      <c r="S447">
        <v>3.0626829999999998</v>
      </c>
      <c r="T447">
        <v>-0.2041212</v>
      </c>
      <c r="U447">
        <v>-0.1112976</v>
      </c>
      <c r="V447">
        <v>8.3336599999999997E-3</v>
      </c>
      <c r="W447">
        <v>0.1586291</v>
      </c>
      <c r="X447">
        <v>0.98730309999999999</v>
      </c>
      <c r="Y447">
        <v>3.8520539999999999E-2</v>
      </c>
      <c r="Z447">
        <v>-1.4346599999999999E-3</v>
      </c>
      <c r="AA447">
        <v>0.99925679999999995</v>
      </c>
      <c r="AB447">
        <v>38</v>
      </c>
      <c r="AC447">
        <v>0.84649999999999104</v>
      </c>
      <c r="AD447">
        <v>-6.9813000000000097E-2</v>
      </c>
      <c r="AE447">
        <v>-3.8700000000005702E-2</v>
      </c>
      <c r="AF447">
        <v>4.0369993303298303E-2</v>
      </c>
      <c r="AG447">
        <v>-6.9813000000000097E-2</v>
      </c>
      <c r="AH447">
        <v>0.84070259154986504</v>
      </c>
      <c r="AI447">
        <v>94.741583354937902</v>
      </c>
      <c r="AJ447">
        <v>87.250805606819696</v>
      </c>
      <c r="AK447">
        <v>0.84456168440615897</v>
      </c>
      <c r="AL447">
        <v>80.872666999789104</v>
      </c>
      <c r="AM447">
        <v>89.516387412820507</v>
      </c>
      <c r="AN447">
        <v>1.0000000262627</v>
      </c>
    </row>
    <row r="448" spans="1:40" x14ac:dyDescent="0.25">
      <c r="A448" t="str">
        <f>"20190312172340186"</f>
        <v>20190312172340186</v>
      </c>
      <c r="B448" t="str">
        <f>"1552382620180261"</f>
        <v>1552382620180261</v>
      </c>
      <c r="C448" t="s">
        <v>40</v>
      </c>
      <c r="D448">
        <v>3.7743679999999999</v>
      </c>
      <c r="E448">
        <v>0.50994439999999996</v>
      </c>
      <c r="F448" t="s">
        <v>43</v>
      </c>
      <c r="G448">
        <v>-359.01769999999999</v>
      </c>
      <c r="H448" s="1">
        <v>-1.1750110000000001E-6</v>
      </c>
      <c r="I448">
        <v>366.40429999999998</v>
      </c>
      <c r="J448">
        <v>-376.1284</v>
      </c>
      <c r="K448">
        <v>1.1098870000000001</v>
      </c>
      <c r="L448">
        <v>367.00540000000001</v>
      </c>
      <c r="M448">
        <v>0.99993069999999895</v>
      </c>
      <c r="N448">
        <v>0</v>
      </c>
      <c r="O448">
        <v>2.3047670000000001E-3</v>
      </c>
      <c r="P448">
        <v>0.98914500000000005</v>
      </c>
      <c r="Q448">
        <v>0.14681449999999999</v>
      </c>
      <c r="R448">
        <v>-6.1500039999999997E-3</v>
      </c>
      <c r="S448">
        <v>3.0617070000000002</v>
      </c>
      <c r="T448">
        <v>-0.19632520000000001</v>
      </c>
      <c r="U448">
        <v>-0.1062317</v>
      </c>
      <c r="V448">
        <v>8.4297350000000007E-3</v>
      </c>
      <c r="W448">
        <v>0.15822610000000001</v>
      </c>
      <c r="X448">
        <v>0.98736690000000005</v>
      </c>
      <c r="Y448">
        <v>3.6899040000000001E-2</v>
      </c>
      <c r="Z448">
        <v>-1.3290699999999999E-3</v>
      </c>
      <c r="AA448">
        <v>0.99931809999999999</v>
      </c>
      <c r="AB448">
        <v>38</v>
      </c>
      <c r="AC448">
        <v>17.110700000000001</v>
      </c>
      <c r="AD448">
        <v>-1.1098881750109999</v>
      </c>
      <c r="AE448">
        <v>-0.60110000000003005</v>
      </c>
      <c r="AF448">
        <v>0.63785674171894502</v>
      </c>
      <c r="AG448">
        <v>-1.1098881750109999</v>
      </c>
      <c r="AH448">
        <v>17.037671620092901</v>
      </c>
      <c r="AI448">
        <v>93.724561296598196</v>
      </c>
      <c r="AJ448">
        <v>87.855960614718498</v>
      </c>
      <c r="AK448">
        <v>17.085694812272202</v>
      </c>
      <c r="AL448">
        <v>80.896052093344196</v>
      </c>
      <c r="AM448">
        <v>89.510843939220607</v>
      </c>
      <c r="AN448">
        <v>0.99999997718449496</v>
      </c>
    </row>
    <row r="449" spans="1:40" x14ac:dyDescent="0.25">
      <c r="A449" t="str">
        <f>"20190312172340198"</f>
        <v>20190312172340198</v>
      </c>
      <c r="B449" t="str">
        <f>"1552382620190021"</f>
        <v>1552382620190021</v>
      </c>
      <c r="C449" t="s">
        <v>40</v>
      </c>
      <c r="D449">
        <v>3.7786770000000001</v>
      </c>
      <c r="E449">
        <v>0.50969819999999999</v>
      </c>
      <c r="F449" t="s">
        <v>41</v>
      </c>
      <c r="G449">
        <v>-375.1377</v>
      </c>
      <c r="H449">
        <v>1.0469839999999999</v>
      </c>
      <c r="I449">
        <v>366.97149999999999</v>
      </c>
      <c r="J449">
        <v>-375.90839999999997</v>
      </c>
      <c r="K449">
        <v>1.109888</v>
      </c>
      <c r="L449">
        <v>367.0059</v>
      </c>
      <c r="M449">
        <v>0.99993089999999996</v>
      </c>
      <c r="N449">
        <v>0</v>
      </c>
      <c r="O449">
        <v>2.3136379999999998E-3</v>
      </c>
      <c r="P449">
        <v>0.98910830000000005</v>
      </c>
      <c r="Q449">
        <v>0.147067899999999</v>
      </c>
      <c r="R449">
        <v>-6.0331689999999997E-3</v>
      </c>
      <c r="S449">
        <v>3.0611269999999999</v>
      </c>
      <c r="T449">
        <v>-0.19446949999999999</v>
      </c>
      <c r="U449">
        <v>-0.1042175</v>
      </c>
      <c r="V449">
        <v>8.3215279999999999E-3</v>
      </c>
      <c r="W449">
        <v>0.15848080000000001</v>
      </c>
      <c r="X449">
        <v>0.98732699999999995</v>
      </c>
      <c r="Y449">
        <v>3.6260460000000001E-2</v>
      </c>
      <c r="Z449">
        <v>-1.2971009999999999E-3</v>
      </c>
      <c r="AA449">
        <v>0.99934149999999999</v>
      </c>
      <c r="AB449">
        <v>38</v>
      </c>
      <c r="AC449">
        <v>0.77069999999997596</v>
      </c>
      <c r="AD449">
        <v>-6.2904000000000002E-2</v>
      </c>
      <c r="AE449">
        <v>-3.4400000000005003E-2</v>
      </c>
      <c r="AF449">
        <v>3.5944173563452697E-2</v>
      </c>
      <c r="AG449">
        <v>-6.2904000000000002E-2</v>
      </c>
      <c r="AH449">
        <v>0.76552875080842897</v>
      </c>
      <c r="AI449">
        <v>94.6923318628658</v>
      </c>
      <c r="AJ449">
        <v>87.311743021365402</v>
      </c>
      <c r="AK449">
        <v>0.768949390495547</v>
      </c>
      <c r="AL449">
        <v>80.881272661426806</v>
      </c>
      <c r="AM449">
        <v>89.517103103510394</v>
      </c>
      <c r="AN449">
        <v>1.0000000083629399</v>
      </c>
    </row>
    <row r="450" spans="1:40" x14ac:dyDescent="0.25">
      <c r="A450" t="str">
        <f>"20190312172340211"</f>
        <v>20190312172340211</v>
      </c>
      <c r="B450" t="str">
        <f>"1552382620199781"</f>
        <v>1552382620199781</v>
      </c>
      <c r="C450" t="s">
        <v>40</v>
      </c>
      <c r="D450">
        <v>3.7780369999999999</v>
      </c>
      <c r="E450">
        <v>0.50957839999999999</v>
      </c>
      <c r="F450" t="s">
        <v>43</v>
      </c>
      <c r="G450">
        <v>-358.11799999999999</v>
      </c>
      <c r="H450" s="1">
        <v>-1.4788149999999999E-6</v>
      </c>
      <c r="I450">
        <v>366.41320000000002</v>
      </c>
      <c r="J450">
        <v>-375.69889999999998</v>
      </c>
      <c r="K450">
        <v>1.109888</v>
      </c>
      <c r="L450">
        <v>367.00630000000001</v>
      </c>
      <c r="M450">
        <v>0.9999306</v>
      </c>
      <c r="N450">
        <v>0</v>
      </c>
      <c r="O450">
        <v>2.3225699999999999E-3</v>
      </c>
      <c r="P450">
        <v>0.98911260000000001</v>
      </c>
      <c r="Q450">
        <v>0.147035</v>
      </c>
      <c r="R450">
        <v>-6.0973859999999998E-3</v>
      </c>
      <c r="S450">
        <v>3.060791</v>
      </c>
      <c r="T450">
        <v>-0.19095219999999999</v>
      </c>
      <c r="U450">
        <v>-0.1019592</v>
      </c>
      <c r="V450">
        <v>8.3946160000000006E-3</v>
      </c>
      <c r="W450">
        <v>0.158448799999999</v>
      </c>
      <c r="X450">
        <v>0.98733150000000003</v>
      </c>
      <c r="Y450">
        <v>3.5540750000000003E-2</v>
      </c>
      <c r="Z450">
        <v>-1.251977E-3</v>
      </c>
      <c r="AA450">
        <v>0.99936740000000002</v>
      </c>
      <c r="AB450">
        <v>38</v>
      </c>
      <c r="AC450">
        <v>17.5808999999999</v>
      </c>
      <c r="AD450">
        <v>-1.109889478815</v>
      </c>
      <c r="AE450">
        <v>-0.59309999999999197</v>
      </c>
      <c r="AF450">
        <v>0.63142036188910999</v>
      </c>
      <c r="AG450">
        <v>-1.109889478815</v>
      </c>
      <c r="AH450">
        <v>17.509770000584702</v>
      </c>
      <c r="AI450">
        <v>93.624597981067495</v>
      </c>
      <c r="AJ450">
        <v>87.934750014085793</v>
      </c>
      <c r="AK450">
        <v>17.5562693019322</v>
      </c>
      <c r="AL450">
        <v>80.883129432865402</v>
      </c>
      <c r="AM450">
        <v>89.512864242573499</v>
      </c>
      <c r="AN450">
        <v>0.99999999134573803</v>
      </c>
    </row>
    <row r="451" spans="1:40" x14ac:dyDescent="0.25">
      <c r="A451" t="str">
        <f>"20190312172340224"</f>
        <v>20190312172340224</v>
      </c>
      <c r="B451" t="str">
        <f>"1552382620220277"</f>
        <v>1552382620220277</v>
      </c>
      <c r="C451" t="s">
        <v>40</v>
      </c>
      <c r="D451">
        <v>3.7848269999999999</v>
      </c>
      <c r="E451">
        <v>0.50922009999999995</v>
      </c>
      <c r="F451" t="s">
        <v>43</v>
      </c>
      <c r="G451">
        <v>-357.6884</v>
      </c>
      <c r="H451" s="1">
        <v>-1.6256609999999999E-6</v>
      </c>
      <c r="I451">
        <v>366.41079999999999</v>
      </c>
      <c r="J451">
        <v>-375.49090000000001</v>
      </c>
      <c r="K451">
        <v>1.10989</v>
      </c>
      <c r="L451">
        <v>367.00689999999997</v>
      </c>
      <c r="M451">
        <v>0.99993069999999895</v>
      </c>
      <c r="N451">
        <v>0</v>
      </c>
      <c r="O451">
        <v>2.3311450000000002E-3</v>
      </c>
      <c r="P451">
        <v>0.98912999999999995</v>
      </c>
      <c r="Q451">
        <v>0.14691589999999999</v>
      </c>
      <c r="R451">
        <v>-6.1374159999999997E-3</v>
      </c>
      <c r="S451">
        <v>3.0603940000000001</v>
      </c>
      <c r="T451">
        <v>-0.18859390000000001</v>
      </c>
      <c r="U451">
        <v>-0.1011963</v>
      </c>
      <c r="V451">
        <v>8.4434100000000002E-3</v>
      </c>
      <c r="W451">
        <v>0.15833159999999999</v>
      </c>
      <c r="X451">
        <v>0.9873499</v>
      </c>
      <c r="Y451">
        <v>3.530697E-2</v>
      </c>
      <c r="Z451">
        <v>-1.230042E-3</v>
      </c>
      <c r="AA451">
        <v>0.99937580000000004</v>
      </c>
      <c r="AB451">
        <v>38</v>
      </c>
      <c r="AC451">
        <v>17.802499999999998</v>
      </c>
      <c r="AD451">
        <v>-1.1098916256610001</v>
      </c>
      <c r="AE451">
        <v>-0.59609999999997798</v>
      </c>
      <c r="AF451">
        <v>0.63513543309577203</v>
      </c>
      <c r="AG451">
        <v>-1.1098916256610001</v>
      </c>
      <c r="AH451">
        <v>17.732216437900199</v>
      </c>
      <c r="AI451">
        <v>93.579285238432206</v>
      </c>
      <c r="AJ451">
        <v>87.948647338542997</v>
      </c>
      <c r="AK451">
        <v>17.778266401413401</v>
      </c>
      <c r="AL451">
        <v>80.889930482532293</v>
      </c>
      <c r="AM451">
        <v>89.510042016992003</v>
      </c>
      <c r="AN451">
        <v>1.0000000058804901</v>
      </c>
    </row>
    <row r="452" spans="1:40" x14ac:dyDescent="0.25">
      <c r="A452" t="str">
        <f>"20190312172340240"</f>
        <v>20190312172340240</v>
      </c>
      <c r="B452" t="str">
        <f>"1552382620230037"</f>
        <v>1552382620230037</v>
      </c>
      <c r="C452" t="s">
        <v>40</v>
      </c>
      <c r="D452">
        <v>3.7565659999999998</v>
      </c>
      <c r="E452">
        <v>0.50920500000000002</v>
      </c>
      <c r="F452" t="s">
        <v>41</v>
      </c>
      <c r="G452">
        <v>-374.46289999999999</v>
      </c>
      <c r="H452">
        <v>1.047679</v>
      </c>
      <c r="I452">
        <v>366.97379999999998</v>
      </c>
      <c r="J452">
        <v>-375.19819999999999</v>
      </c>
      <c r="K452">
        <v>1.109893</v>
      </c>
      <c r="L452">
        <v>367.00749999999999</v>
      </c>
      <c r="M452">
        <v>0.99993050000000006</v>
      </c>
      <c r="N452">
        <v>0</v>
      </c>
      <c r="O452">
        <v>2.3434110000000001E-3</v>
      </c>
      <c r="P452">
        <v>0.98911329999999997</v>
      </c>
      <c r="Q452">
        <v>0.14702279999999901</v>
      </c>
      <c r="R452">
        <v>-6.2655260000000004E-3</v>
      </c>
      <c r="S452">
        <v>3.0598450000000001</v>
      </c>
      <c r="T452">
        <v>-0.18514320000000001</v>
      </c>
      <c r="U452">
        <v>-9.817505E-2</v>
      </c>
      <c r="V452">
        <v>8.5833679999999992E-3</v>
      </c>
      <c r="W452">
        <v>0.15844079999999999</v>
      </c>
      <c r="X452">
        <v>0.98733119999999996</v>
      </c>
      <c r="Y452">
        <v>3.4343720000000001E-2</v>
      </c>
      <c r="Z452">
        <v>-1.1794469999999999E-3</v>
      </c>
      <c r="AA452">
        <v>0.9994094</v>
      </c>
      <c r="AB452">
        <v>38</v>
      </c>
      <c r="AC452">
        <v>0.73529999999999496</v>
      </c>
      <c r="AD452">
        <v>-6.2213999999999901E-2</v>
      </c>
      <c r="AE452">
        <v>-3.3700000000010201E-2</v>
      </c>
      <c r="AF452">
        <v>3.5171868023477403E-2</v>
      </c>
      <c r="AG452">
        <v>-6.2213999999999901E-2</v>
      </c>
      <c r="AH452">
        <v>0.73000392203848496</v>
      </c>
      <c r="AI452">
        <v>94.865599265956405</v>
      </c>
      <c r="AJ452">
        <v>87.241600523709593</v>
      </c>
      <c r="AK452">
        <v>0.73349394563815695</v>
      </c>
      <c r="AL452">
        <v>80.883594017833104</v>
      </c>
      <c r="AM452">
        <v>89.501911444092897</v>
      </c>
      <c r="AN452">
        <v>1.0000000299021501</v>
      </c>
    </row>
    <row r="453" spans="1:40" x14ac:dyDescent="0.25">
      <c r="A453" t="str">
        <f>"20190312172340254"</f>
        <v>20190312172340254</v>
      </c>
      <c r="B453" t="str">
        <f>"1552382620250535"</f>
        <v>1552382620250535</v>
      </c>
      <c r="C453" t="s">
        <v>40</v>
      </c>
      <c r="D453">
        <v>3.7414779999999999</v>
      </c>
      <c r="E453">
        <v>0.50907579999999997</v>
      </c>
      <c r="F453" t="s">
        <v>43</v>
      </c>
      <c r="G453">
        <v>-356.6617</v>
      </c>
      <c r="H453" s="1">
        <v>-1.983082E-6</v>
      </c>
      <c r="I453">
        <v>366.41070000000002</v>
      </c>
      <c r="J453">
        <v>-374.97669999999999</v>
      </c>
      <c r="K453">
        <v>1.109893</v>
      </c>
      <c r="L453">
        <v>367.00799999999998</v>
      </c>
      <c r="M453">
        <v>0.9999306</v>
      </c>
      <c r="N453">
        <v>0</v>
      </c>
      <c r="O453">
        <v>2.352168E-3</v>
      </c>
      <c r="P453">
        <v>0.98908070000000003</v>
      </c>
      <c r="Q453">
        <v>0.1472358</v>
      </c>
      <c r="R453">
        <v>-6.4007999999999999E-3</v>
      </c>
      <c r="S453">
        <v>3.059631</v>
      </c>
      <c r="T453">
        <v>-0.18319730000000001</v>
      </c>
      <c r="U453">
        <v>-9.8510739999999999E-2</v>
      </c>
      <c r="V453">
        <v>8.7272670000000004E-3</v>
      </c>
      <c r="W453">
        <v>0.15865409999999999</v>
      </c>
      <c r="X453">
        <v>0.98729560000000005</v>
      </c>
      <c r="Y453">
        <v>3.44654E-2</v>
      </c>
      <c r="Z453">
        <v>-1.171315E-3</v>
      </c>
      <c r="AA453">
        <v>0.99940519999999999</v>
      </c>
      <c r="AB453">
        <v>38</v>
      </c>
      <c r="AC453">
        <v>18.315000000000001</v>
      </c>
      <c r="AD453">
        <v>-1.109894983082</v>
      </c>
      <c r="AE453">
        <v>-0.59730000000001804</v>
      </c>
      <c r="AF453">
        <v>0.63804052482722895</v>
      </c>
      <c r="AG453">
        <v>-1.109894983082</v>
      </c>
      <c r="AH453">
        <v>18.246606646830202</v>
      </c>
      <c r="AI453">
        <v>93.478747772850994</v>
      </c>
      <c r="AJ453">
        <v>87.997318569529199</v>
      </c>
      <c r="AK453">
        <v>18.291462946110698</v>
      </c>
      <c r="AL453">
        <v>80.871215486914906</v>
      </c>
      <c r="AM453">
        <v>89.493543228114206</v>
      </c>
      <c r="AN453">
        <v>0.99999994520772795</v>
      </c>
    </row>
    <row r="454" spans="1:40" x14ac:dyDescent="0.25">
      <c r="A454" t="str">
        <f>"20190312172340275"</f>
        <v>20190312172340275</v>
      </c>
      <c r="B454" t="str">
        <f>"1552382620270053"</f>
        <v>1552382620270053</v>
      </c>
      <c r="C454" t="s">
        <v>40</v>
      </c>
      <c r="D454">
        <v>3.7331989999999999</v>
      </c>
      <c r="E454">
        <v>0.50898969999999999</v>
      </c>
      <c r="F454" t="s">
        <v>43</v>
      </c>
      <c r="G454">
        <v>-356.13569999999999</v>
      </c>
      <c r="H454" s="1">
        <v>-2.2095390000000002E-6</v>
      </c>
      <c r="I454">
        <v>366.40620000000001</v>
      </c>
      <c r="J454">
        <v>-374.62299999999999</v>
      </c>
      <c r="K454">
        <v>1.10989</v>
      </c>
      <c r="L454">
        <v>367.00889999999998</v>
      </c>
      <c r="M454">
        <v>0.9999304</v>
      </c>
      <c r="N454">
        <v>0</v>
      </c>
      <c r="O454">
        <v>2.366819E-3</v>
      </c>
      <c r="P454">
        <v>0.98903039999999998</v>
      </c>
      <c r="Q454">
        <v>0.14757670000000001</v>
      </c>
      <c r="R454">
        <v>-6.2994959999999999E-3</v>
      </c>
      <c r="S454">
        <v>3.059326</v>
      </c>
      <c r="T454">
        <v>-0.1802185</v>
      </c>
      <c r="U454">
        <v>-9.7717289999999998E-2</v>
      </c>
      <c r="V454">
        <v>8.6403009999999995E-3</v>
      </c>
      <c r="W454">
        <v>0.15899679999999999</v>
      </c>
      <c r="X454">
        <v>0.98724129999999999</v>
      </c>
      <c r="Y454">
        <v>3.4226819999999998E-2</v>
      </c>
      <c r="Z454">
        <v>-1.1462639999999999E-3</v>
      </c>
      <c r="AA454">
        <v>0.99941340000000001</v>
      </c>
      <c r="AB454">
        <v>38</v>
      </c>
      <c r="AC454">
        <v>18.487300000000001</v>
      </c>
      <c r="AD454">
        <v>-1.109892209539</v>
      </c>
      <c r="AE454">
        <v>-0.60269999999997004</v>
      </c>
      <c r="AF454">
        <v>0.64413815897609095</v>
      </c>
      <c r="AG454">
        <v>-1.109892209539</v>
      </c>
      <c r="AH454">
        <v>18.419503664383701</v>
      </c>
      <c r="AI454">
        <v>93.446164202853296</v>
      </c>
      <c r="AJ454">
        <v>87.997157525730302</v>
      </c>
      <c r="AK454">
        <v>18.464151481367601</v>
      </c>
      <c r="AL454">
        <v>80.851328386417805</v>
      </c>
      <c r="AM454">
        <v>89.498562163303205</v>
      </c>
      <c r="AN454">
        <v>1.00000001081865</v>
      </c>
    </row>
    <row r="455" spans="1:40" x14ac:dyDescent="0.25">
      <c r="A455" t="str">
        <f>"20190312172340298"</f>
        <v>20190312172340298</v>
      </c>
      <c r="B455" t="str">
        <f>"1552382620290549"</f>
        <v>1552382620290549</v>
      </c>
      <c r="C455" t="s">
        <v>40</v>
      </c>
      <c r="D455">
        <v>3.749949</v>
      </c>
      <c r="E455">
        <v>0.50887910000000003</v>
      </c>
      <c r="F455" t="s">
        <v>43</v>
      </c>
      <c r="G455">
        <v>-355.4479</v>
      </c>
      <c r="H455" s="1">
        <v>-2.5053649999999999E-6</v>
      </c>
      <c r="I455">
        <v>366.40190000000001</v>
      </c>
      <c r="J455">
        <v>-374.24759999999998</v>
      </c>
      <c r="K455">
        <v>1.10989</v>
      </c>
      <c r="L455">
        <v>367.00979999999998</v>
      </c>
      <c r="M455">
        <v>0.9999304</v>
      </c>
      <c r="N455">
        <v>0</v>
      </c>
      <c r="O455">
        <v>2.3823E-3</v>
      </c>
      <c r="P455">
        <v>0.98901329999999998</v>
      </c>
      <c r="Q455">
        <v>0.1476828</v>
      </c>
      <c r="R455">
        <v>-6.536661E-3</v>
      </c>
      <c r="S455">
        <v>3.0591430000000002</v>
      </c>
      <c r="T455">
        <v>-0.17706820000000001</v>
      </c>
      <c r="U455">
        <v>-9.6832280000000007E-2</v>
      </c>
      <c r="V455">
        <v>8.8927869999999992E-3</v>
      </c>
      <c r="W455">
        <v>0.15910460000000001</v>
      </c>
      <c r="X455">
        <v>0.98722169999999998</v>
      </c>
      <c r="Y455">
        <v>3.3957969999999997E-2</v>
      </c>
      <c r="Z455">
        <v>-1.1194569999999999E-3</v>
      </c>
      <c r="AA455">
        <v>0.99942260000000005</v>
      </c>
      <c r="AB455">
        <v>38</v>
      </c>
      <c r="AC455">
        <v>18.799699999999898</v>
      </c>
      <c r="AD455">
        <v>-1.1098925053649999</v>
      </c>
      <c r="AE455">
        <v>-0.60789999999997202</v>
      </c>
      <c r="AF455">
        <v>0.65042313492344705</v>
      </c>
      <c r="AG455">
        <v>-1.1098925053649999</v>
      </c>
      <c r="AH455">
        <v>18.732973532660498</v>
      </c>
      <c r="AI455">
        <v>93.3886633069651</v>
      </c>
      <c r="AJ455">
        <v>88.011445648261002</v>
      </c>
      <c r="AK455">
        <v>18.7770926664185</v>
      </c>
      <c r="AL455">
        <v>80.845072350018</v>
      </c>
      <c r="AM455">
        <v>89.483899733237905</v>
      </c>
      <c r="AN455">
        <v>1.0000000201763299</v>
      </c>
    </row>
    <row r="456" spans="1:40" x14ac:dyDescent="0.25">
      <c r="A456" t="str">
        <f>"20190312172340311"</f>
        <v>20190312172340311</v>
      </c>
      <c r="B456" t="str">
        <f>"1552382620300308"</f>
        <v>1552382620300308</v>
      </c>
      <c r="C456" t="s">
        <v>40</v>
      </c>
      <c r="D456">
        <v>3.7408600000000001</v>
      </c>
      <c r="E456">
        <v>0.50886039999999999</v>
      </c>
      <c r="F456" t="s">
        <v>43</v>
      </c>
      <c r="G456">
        <v>-354.8279</v>
      </c>
      <c r="H456" s="1">
        <v>-2.7723009999999999E-6</v>
      </c>
      <c r="I456">
        <v>366.3965</v>
      </c>
      <c r="J456">
        <v>-374.03059999999999</v>
      </c>
      <c r="K456">
        <v>1.10989</v>
      </c>
      <c r="L456">
        <v>367.01029999999997</v>
      </c>
      <c r="M456">
        <v>0.99993030000000005</v>
      </c>
      <c r="N456">
        <v>0</v>
      </c>
      <c r="O456">
        <v>2.3917069999999999E-3</v>
      </c>
      <c r="P456">
        <v>0.98904139999999996</v>
      </c>
      <c r="Q456">
        <v>0.14749489999999901</v>
      </c>
      <c r="R456">
        <v>-6.5041329999999996E-3</v>
      </c>
      <c r="S456">
        <v>3.0588069999999998</v>
      </c>
      <c r="T456">
        <v>-0.17481859999999999</v>
      </c>
      <c r="U456">
        <v>-9.6588129999999994E-2</v>
      </c>
      <c r="V456">
        <v>8.8695619999999992E-3</v>
      </c>
      <c r="W456">
        <v>0.1589187</v>
      </c>
      <c r="X456">
        <v>0.98725180000000001</v>
      </c>
      <c r="Y456">
        <v>3.3892760000000001E-2</v>
      </c>
      <c r="Z456">
        <v>-1.104056E-3</v>
      </c>
      <c r="AA456">
        <v>0.99942489999999995</v>
      </c>
      <c r="AB456">
        <v>38</v>
      </c>
      <c r="AC456">
        <v>19.2027</v>
      </c>
      <c r="AD456">
        <v>-1.1098927723009999</v>
      </c>
      <c r="AE456">
        <v>-0.61379999999996904</v>
      </c>
      <c r="AF456">
        <v>0.65753416396317399</v>
      </c>
      <c r="AG456">
        <v>-1.1098927723009999</v>
      </c>
      <c r="AH456">
        <v>19.137310187479901</v>
      </c>
      <c r="AI456">
        <v>93.317270735593894</v>
      </c>
      <c r="AJ456">
        <v>88.032162429891599</v>
      </c>
      <c r="AK456">
        <v>19.180741757153299</v>
      </c>
      <c r="AL456">
        <v>80.855860433499203</v>
      </c>
      <c r="AM456">
        <v>89.485263236022803</v>
      </c>
      <c r="AN456">
        <v>0.99999996947150005</v>
      </c>
    </row>
    <row r="457" spans="1:40" x14ac:dyDescent="0.25">
      <c r="A457" t="str">
        <f>"20190312172340323"</f>
        <v>20190312172340323</v>
      </c>
      <c r="B457" t="str">
        <f>"1552382620319829"</f>
        <v>1552382620319829</v>
      </c>
      <c r="C457" t="s">
        <v>40</v>
      </c>
      <c r="D457">
        <v>3.7335739999999999</v>
      </c>
      <c r="E457">
        <v>0.50881350000000003</v>
      </c>
      <c r="F457" t="s">
        <v>43</v>
      </c>
      <c r="G457">
        <v>-354.57190000000003</v>
      </c>
      <c r="H457" s="1">
        <v>-2.8821209999999998E-6</v>
      </c>
      <c r="I457">
        <v>366.39640000000003</v>
      </c>
      <c r="J457">
        <v>-373.81849999999997</v>
      </c>
      <c r="K457">
        <v>1.10989</v>
      </c>
      <c r="L457">
        <v>367.01089999999999</v>
      </c>
      <c r="M457">
        <v>0.99993030000000005</v>
      </c>
      <c r="N457">
        <v>0</v>
      </c>
      <c r="O457">
        <v>2.4006380000000001E-3</v>
      </c>
      <c r="P457">
        <v>0.98906689999999997</v>
      </c>
      <c r="Q457">
        <v>0.14732400000000001</v>
      </c>
      <c r="R457">
        <v>-6.5297630000000001E-3</v>
      </c>
      <c r="S457">
        <v>3.0586549999999999</v>
      </c>
      <c r="T457">
        <v>-0.1744599</v>
      </c>
      <c r="U457">
        <v>-9.6496579999999998E-2</v>
      </c>
      <c r="V457">
        <v>8.9039240000000006E-3</v>
      </c>
      <c r="W457">
        <v>0.15874920000000001</v>
      </c>
      <c r="X457">
        <v>0.98727880000000001</v>
      </c>
      <c r="Y457">
        <v>3.3873630000000002E-2</v>
      </c>
      <c r="Z457">
        <v>-1.101814E-3</v>
      </c>
      <c r="AA457">
        <v>0.99942549999999997</v>
      </c>
      <c r="AB457">
        <v>38</v>
      </c>
      <c r="AC457">
        <v>19.246599999999901</v>
      </c>
      <c r="AD457">
        <v>-1.1098928821209999</v>
      </c>
      <c r="AE457">
        <v>-0.61449999999996396</v>
      </c>
      <c r="AF457">
        <v>0.65851777947693002</v>
      </c>
      <c r="AG457">
        <v>-1.1098928821209999</v>
      </c>
      <c r="AH457">
        <v>19.1813470498317</v>
      </c>
      <c r="AI457">
        <v>93.309675292271706</v>
      </c>
      <c r="AJ457">
        <v>88.033742023052</v>
      </c>
      <c r="AK457">
        <v>19.224712807263401</v>
      </c>
      <c r="AL457">
        <v>80.865697300733999</v>
      </c>
      <c r="AM457">
        <v>89.483283308036206</v>
      </c>
      <c r="AN457">
        <v>1.0000000086463301</v>
      </c>
    </row>
    <row r="458" spans="1:40" x14ac:dyDescent="0.25">
      <c r="A458" t="str">
        <f>"20190312172340335"</f>
        <v>20190312172340335</v>
      </c>
      <c r="B458" t="str">
        <f>"1552382620330565"</f>
        <v>1552382620330565</v>
      </c>
      <c r="C458" t="s">
        <v>40</v>
      </c>
      <c r="D458">
        <v>3.7431589999999999</v>
      </c>
      <c r="E458">
        <v>0.50880439999999905</v>
      </c>
      <c r="F458" t="s">
        <v>41</v>
      </c>
      <c r="G458">
        <v>-372.77289999999999</v>
      </c>
      <c r="H458">
        <v>1.050646</v>
      </c>
      <c r="I458">
        <v>366.97800000000001</v>
      </c>
      <c r="J458">
        <v>-373.60849999999999</v>
      </c>
      <c r="K458">
        <v>1.1098809999999999</v>
      </c>
      <c r="L458">
        <v>367.01139999999998</v>
      </c>
      <c r="M458">
        <v>0.99993030000000005</v>
      </c>
      <c r="N458">
        <v>0</v>
      </c>
      <c r="O458">
        <v>2.409572E-3</v>
      </c>
      <c r="P458">
        <v>0.98907820000000002</v>
      </c>
      <c r="Q458">
        <v>0.1472453</v>
      </c>
      <c r="R458">
        <v>-6.5876880000000004E-3</v>
      </c>
      <c r="S458">
        <v>3.0583800000000001</v>
      </c>
      <c r="T458">
        <v>-0.173350799999999</v>
      </c>
      <c r="U458">
        <v>-9.5916749999999995E-2</v>
      </c>
      <c r="V458">
        <v>8.9708770000000004E-3</v>
      </c>
      <c r="W458">
        <v>0.15867200000000001</v>
      </c>
      <c r="X458">
        <v>0.98729060000000002</v>
      </c>
      <c r="Y458">
        <v>3.3697089999999999E-2</v>
      </c>
      <c r="Z458">
        <v>-1.090429E-3</v>
      </c>
      <c r="AA458">
        <v>0.99943150000000003</v>
      </c>
      <c r="AB458">
        <v>38</v>
      </c>
      <c r="AC458">
        <v>0.83559999999999901</v>
      </c>
      <c r="AD458">
        <v>-5.9234999999999899E-2</v>
      </c>
      <c r="AE458">
        <v>-3.3399999999971897E-2</v>
      </c>
      <c r="AF458">
        <v>3.5236684284554398E-2</v>
      </c>
      <c r="AG458">
        <v>-5.9234999999999899E-2</v>
      </c>
      <c r="AH458">
        <v>0.83134600978819095</v>
      </c>
      <c r="AI458">
        <v>94.071903067280104</v>
      </c>
      <c r="AJ458">
        <v>87.572965310606804</v>
      </c>
      <c r="AK458">
        <v>0.83419817617585101</v>
      </c>
      <c r="AL458">
        <v>80.870177280568498</v>
      </c>
      <c r="AM458">
        <v>89.479404295043295</v>
      </c>
      <c r="AN458">
        <v>1.00000000453325</v>
      </c>
    </row>
    <row r="459" spans="1:40" x14ac:dyDescent="0.25">
      <c r="A459" t="str">
        <f>"20190312172340351"</f>
        <v>20190312172340351</v>
      </c>
      <c r="B459" t="str">
        <f>"1552382620340325"</f>
        <v>1552382620340325</v>
      </c>
      <c r="C459" t="s">
        <v>40</v>
      </c>
      <c r="D459">
        <v>3.7339440000000002</v>
      </c>
      <c r="E459">
        <v>0.50877499999999998</v>
      </c>
      <c r="F459" t="s">
        <v>43</v>
      </c>
      <c r="G459">
        <v>-353.96510000000001</v>
      </c>
      <c r="H459" s="1">
        <v>-3.1431960000000001E-6</v>
      </c>
      <c r="I459">
        <v>366.39210000000003</v>
      </c>
      <c r="J459">
        <v>-373.34320000000002</v>
      </c>
      <c r="K459">
        <v>1.1098779999999999</v>
      </c>
      <c r="L459">
        <v>367.012</v>
      </c>
      <c r="M459">
        <v>0.99993030000000005</v>
      </c>
      <c r="N459">
        <v>0</v>
      </c>
      <c r="O459">
        <v>2.4204729999999998E-3</v>
      </c>
      <c r="P459">
        <v>0.98907800000000001</v>
      </c>
      <c r="Q459">
        <v>0.14725160000000001</v>
      </c>
      <c r="R459">
        <v>-6.4669630000000001E-3</v>
      </c>
      <c r="S459">
        <v>3.0581969999999998</v>
      </c>
      <c r="T459">
        <v>-0.1727921</v>
      </c>
      <c r="U459">
        <v>-9.6405030000000003E-2</v>
      </c>
      <c r="V459">
        <v>8.8609759999999996E-3</v>
      </c>
      <c r="W459">
        <v>0.15867999999999999</v>
      </c>
      <c r="X459">
        <v>0.98729029999999995</v>
      </c>
      <c r="Y459">
        <v>3.3869360000000001E-2</v>
      </c>
      <c r="Z459">
        <v>-1.0924589999999901E-3</v>
      </c>
      <c r="AA459">
        <v>0.99942560000000003</v>
      </c>
      <c r="AB459">
        <v>38</v>
      </c>
      <c r="AC459">
        <v>19.3781</v>
      </c>
      <c r="AD459">
        <v>-1.1098811431960001</v>
      </c>
      <c r="AE459">
        <v>-0.61989999999991596</v>
      </c>
      <c r="AF459">
        <v>0.66462744984379096</v>
      </c>
      <c r="AG459">
        <v>-1.1098811431960001</v>
      </c>
      <c r="AH459">
        <v>19.313251705153501</v>
      </c>
      <c r="AI459">
        <v>93.287076869817795</v>
      </c>
      <c r="AJ459">
        <v>88.0290565887518</v>
      </c>
      <c r="AK459">
        <v>19.356530092599801</v>
      </c>
      <c r="AL459">
        <v>80.869712971421293</v>
      </c>
      <c r="AM459">
        <v>89.485781541733104</v>
      </c>
      <c r="AN459">
        <v>0.99999999788488103</v>
      </c>
    </row>
    <row r="460" spans="1:40" x14ac:dyDescent="0.25">
      <c r="A460" t="str">
        <f>"20190312172340375"</f>
        <v>20190312172340375</v>
      </c>
      <c r="B460" t="str">
        <f>"1552382620370582"</f>
        <v>1552382620370582</v>
      </c>
      <c r="C460" t="s">
        <v>40</v>
      </c>
      <c r="D460">
        <v>3.838876</v>
      </c>
      <c r="E460">
        <v>0.50859160000000003</v>
      </c>
      <c r="F460" t="s">
        <v>43</v>
      </c>
      <c r="G460">
        <v>-353.63729999999998</v>
      </c>
      <c r="H460" s="1">
        <v>-3.283141E-6</v>
      </c>
      <c r="I460">
        <v>366.39609999999999</v>
      </c>
      <c r="J460">
        <v>-372.93619999999999</v>
      </c>
      <c r="K460">
        <v>1.1098790000000001</v>
      </c>
      <c r="L460">
        <v>367.01299999999998</v>
      </c>
      <c r="M460">
        <v>0.99993019999999999</v>
      </c>
      <c r="N460">
        <v>0</v>
      </c>
      <c r="O460">
        <v>2.4369729999999998E-3</v>
      </c>
      <c r="P460">
        <v>0.98913790000000001</v>
      </c>
      <c r="Q460">
        <v>0.14684440000000001</v>
      </c>
      <c r="R460">
        <v>-6.55822E-3</v>
      </c>
      <c r="S460">
        <v>3.0581670000000001</v>
      </c>
      <c r="T460">
        <v>-0.1722418</v>
      </c>
      <c r="U460">
        <v>-9.5581050000000001E-2</v>
      </c>
      <c r="V460">
        <v>8.9685909999999997E-3</v>
      </c>
      <c r="W460">
        <v>0.15827559999999999</v>
      </c>
      <c r="X460">
        <v>0.98735419999999996</v>
      </c>
      <c r="Y460">
        <v>3.3617880000000003E-2</v>
      </c>
      <c r="Z460">
        <v>-1.082855E-3</v>
      </c>
      <c r="AA460">
        <v>0.99943419999999905</v>
      </c>
      <c r="AB460">
        <v>38</v>
      </c>
      <c r="AC460">
        <v>19.2989</v>
      </c>
      <c r="AD460">
        <v>-1.109882283141</v>
      </c>
      <c r="AE460">
        <v>-0.61690000000004297</v>
      </c>
      <c r="AF460">
        <v>0.66174577546330904</v>
      </c>
      <c r="AG460">
        <v>-1.109882283141</v>
      </c>
      <c r="AH460">
        <v>19.233790020291199</v>
      </c>
      <c r="AI460">
        <v>93.300631249207399</v>
      </c>
      <c r="AJ460">
        <v>88.029494439029094</v>
      </c>
      <c r="AK460">
        <v>19.277147732442899</v>
      </c>
      <c r="AL460">
        <v>80.893179588125903</v>
      </c>
      <c r="AM460">
        <v>89.479570471890398</v>
      </c>
      <c r="AN460">
        <v>0.99999995871876102</v>
      </c>
    </row>
    <row r="461" spans="1:40" x14ac:dyDescent="0.25">
      <c r="A461" t="str">
        <f>"20190312172340387"</f>
        <v>20190312172340387</v>
      </c>
      <c r="B461" t="str">
        <f>"1552382620380342"</f>
        <v>1552382620380342</v>
      </c>
      <c r="C461" t="s">
        <v>40</v>
      </c>
      <c r="D461">
        <v>3.7851140000000001</v>
      </c>
      <c r="E461">
        <v>0.50852299999999995</v>
      </c>
      <c r="F461" t="s">
        <v>43</v>
      </c>
      <c r="G461">
        <v>-353.15620000000001</v>
      </c>
      <c r="H461" s="1">
        <v>-3.4884010000000002E-6</v>
      </c>
      <c r="I461">
        <v>366.4024</v>
      </c>
      <c r="J461">
        <v>-372.73689999999999</v>
      </c>
      <c r="K461">
        <v>1.1098779999999999</v>
      </c>
      <c r="L461">
        <v>367.01350000000002</v>
      </c>
      <c r="M461">
        <v>0.99993019999999999</v>
      </c>
      <c r="N461">
        <v>0</v>
      </c>
      <c r="O461">
        <v>2.4450740000000002E-3</v>
      </c>
      <c r="P461">
        <v>0.98914310000000005</v>
      </c>
      <c r="Q461">
        <v>0.1468025</v>
      </c>
      <c r="R461">
        <v>-6.7233319999999899E-3</v>
      </c>
      <c r="S461">
        <v>3.0577999999999999</v>
      </c>
      <c r="T461">
        <v>-0.17157649999999999</v>
      </c>
      <c r="U461">
        <v>-9.4390870000000002E-2</v>
      </c>
      <c r="V461">
        <v>9.1417259999999993E-3</v>
      </c>
      <c r="W461">
        <v>0.1582346</v>
      </c>
      <c r="X461">
        <v>0.98735919999999999</v>
      </c>
      <c r="Y461">
        <v>3.3242090000000002E-2</v>
      </c>
      <c r="Z461">
        <v>-1.068736E-3</v>
      </c>
      <c r="AA461">
        <v>0.99944670000000002</v>
      </c>
      <c r="AB461">
        <v>38</v>
      </c>
      <c r="AC461">
        <v>19.580699999999901</v>
      </c>
      <c r="AD461">
        <v>-1.109881488401</v>
      </c>
      <c r="AE461">
        <v>-0.61110000000002096</v>
      </c>
      <c r="AF461">
        <v>0.65686923289080801</v>
      </c>
      <c r="AG461">
        <v>-1.109881488401</v>
      </c>
      <c r="AH461">
        <v>19.5165036790406</v>
      </c>
      <c r="AI461">
        <v>93.253002378247103</v>
      </c>
      <c r="AJ461">
        <v>88.072316963273096</v>
      </c>
      <c r="AK461">
        <v>19.559070273441399</v>
      </c>
      <c r="AL461">
        <v>80.895558843815493</v>
      </c>
      <c r="AM461">
        <v>89.469527046484203</v>
      </c>
      <c r="AN461">
        <v>0.99999997480802905</v>
      </c>
    </row>
    <row r="462" spans="1:40" x14ac:dyDescent="0.25">
      <c r="A462" t="str">
        <f>"20190312172340409"</f>
        <v>20190312172340409</v>
      </c>
      <c r="B462" t="str">
        <f>"1552382620399861"</f>
        <v>1552382620399861</v>
      </c>
      <c r="C462" t="s">
        <v>40</v>
      </c>
      <c r="D462">
        <v>3.7959040000000002</v>
      </c>
      <c r="E462">
        <v>0.50842600000000004</v>
      </c>
      <c r="F462" t="s">
        <v>43</v>
      </c>
      <c r="G462">
        <v>-352.9271</v>
      </c>
      <c r="H462" s="1">
        <v>-3.5865260000000002E-6</v>
      </c>
      <c r="I462">
        <v>366.4033</v>
      </c>
      <c r="J462">
        <v>-372.36059999999998</v>
      </c>
      <c r="K462">
        <v>1.109883</v>
      </c>
      <c r="L462">
        <v>367.01440000000002</v>
      </c>
      <c r="M462">
        <v>0.99993019999999999</v>
      </c>
      <c r="N462">
        <v>0</v>
      </c>
      <c r="O462">
        <v>2.4603799999999999E-3</v>
      </c>
      <c r="P462">
        <v>0.98917409999999995</v>
      </c>
      <c r="Q462">
        <v>0.1465997</v>
      </c>
      <c r="R462">
        <v>-6.5983700000000001E-3</v>
      </c>
      <c r="S462">
        <v>3.0576780000000001</v>
      </c>
      <c r="T462">
        <v>-0.17131109999999999</v>
      </c>
      <c r="U462">
        <v>-9.4177250000000004E-2</v>
      </c>
      <c r="V462">
        <v>9.0318570000000008E-3</v>
      </c>
      <c r="W462">
        <v>0.15803399999999901</v>
      </c>
      <c r="X462">
        <v>0.98739239999999995</v>
      </c>
      <c r="Y462">
        <v>3.3189080000000003E-2</v>
      </c>
      <c r="Z462">
        <v>-1.0665029999999999E-3</v>
      </c>
      <c r="AA462">
        <v>0.99944849999999996</v>
      </c>
      <c r="AB462">
        <v>38</v>
      </c>
      <c r="AC462">
        <v>19.433499999999899</v>
      </c>
      <c r="AD462">
        <v>-1.1098865865259999</v>
      </c>
      <c r="AE462">
        <v>-0.61110000000002096</v>
      </c>
      <c r="AF462">
        <v>0.65677499600247702</v>
      </c>
      <c r="AG462">
        <v>-1.1098865865259999</v>
      </c>
      <c r="AH462">
        <v>19.368823032043</v>
      </c>
      <c r="AI462">
        <v>93.277738769956301</v>
      </c>
      <c r="AJ462">
        <v>88.057908701999594</v>
      </c>
      <c r="AK462">
        <v>19.411710570604701</v>
      </c>
      <c r="AL462">
        <v>80.907199393731901</v>
      </c>
      <c r="AM462">
        <v>89.475919750738299</v>
      </c>
      <c r="AN462">
        <v>1.00000003558731</v>
      </c>
    </row>
    <row r="463" spans="1:40" x14ac:dyDescent="0.25">
      <c r="A463" t="str">
        <f>"20190312172340420"</f>
        <v>20190312172340420</v>
      </c>
      <c r="B463" t="str">
        <f>"1552382620410597"</f>
        <v>1552382620410597</v>
      </c>
      <c r="C463" t="s">
        <v>40</v>
      </c>
      <c r="D463">
        <v>3.7915230000000002</v>
      </c>
      <c r="E463">
        <v>0.50836910000000002</v>
      </c>
      <c r="F463" t="s">
        <v>43</v>
      </c>
      <c r="G463">
        <v>-352.52519999999998</v>
      </c>
      <c r="H463" s="1">
        <v>-3.7579270000000002E-6</v>
      </c>
      <c r="I463">
        <v>366.40890000000002</v>
      </c>
      <c r="J463">
        <v>-372.16419999999999</v>
      </c>
      <c r="K463">
        <v>1.109883</v>
      </c>
      <c r="L463">
        <v>367.01490000000001</v>
      </c>
      <c r="M463">
        <v>0.99992999999999999</v>
      </c>
      <c r="N463">
        <v>0</v>
      </c>
      <c r="O463">
        <v>2.4687759999999998E-3</v>
      </c>
      <c r="P463">
        <v>0.98917659999999996</v>
      </c>
      <c r="Q463">
        <v>0.14657970000000001</v>
      </c>
      <c r="R463">
        <v>-6.6347139999999999E-3</v>
      </c>
      <c r="S463">
        <v>3.0575559999999999</v>
      </c>
      <c r="T463">
        <v>-0.17108389999999901</v>
      </c>
      <c r="U463">
        <v>-9.3322749999999996E-2</v>
      </c>
      <c r="V463">
        <v>9.0767380000000009E-3</v>
      </c>
      <c r="W463">
        <v>0.15801519999999999</v>
      </c>
      <c r="X463">
        <v>0.98739500000000002</v>
      </c>
      <c r="Y463">
        <v>3.2920190000000002E-2</v>
      </c>
      <c r="Z463">
        <v>-1.0580920000000001E-3</v>
      </c>
      <c r="AA463">
        <v>0.99945740000000005</v>
      </c>
      <c r="AB463">
        <v>38</v>
      </c>
      <c r="AC463">
        <v>19.638999999999999</v>
      </c>
      <c r="AD463">
        <v>-1.109886757927</v>
      </c>
      <c r="AE463">
        <v>-0.60599999999999399</v>
      </c>
      <c r="AF463">
        <v>0.65240397331675404</v>
      </c>
      <c r="AG463">
        <v>-1.109886757927</v>
      </c>
      <c r="AH463">
        <v>19.574983288839999</v>
      </c>
      <c r="AI463">
        <v>93.243355871220103</v>
      </c>
      <c r="AJ463">
        <v>88.091126695597097</v>
      </c>
      <c r="AK463">
        <v>19.6172742836049</v>
      </c>
      <c r="AL463">
        <v>80.908290285905906</v>
      </c>
      <c r="AM463">
        <v>89.473317030310398</v>
      </c>
      <c r="AN463">
        <v>1.0000000383143699</v>
      </c>
    </row>
    <row r="464" spans="1:40" x14ac:dyDescent="0.25">
      <c r="A464" t="str">
        <f>"20190312172340433"</f>
        <v>20190312172340433</v>
      </c>
      <c r="B464" t="str">
        <f>"1552382620430117"</f>
        <v>1552382620430117</v>
      </c>
      <c r="C464" t="s">
        <v>40</v>
      </c>
      <c r="D464">
        <v>3.7963990000000001</v>
      </c>
      <c r="E464">
        <v>0.50828490000000004</v>
      </c>
      <c r="F464" t="s">
        <v>43</v>
      </c>
      <c r="G464">
        <v>-352.28879999999998</v>
      </c>
      <c r="H464" s="1">
        <v>-3.8591089999999996E-6</v>
      </c>
      <c r="I464">
        <v>366.41019999999997</v>
      </c>
      <c r="J464">
        <v>-371.96289999999999</v>
      </c>
      <c r="K464">
        <v>1.10988</v>
      </c>
      <c r="L464">
        <v>367.0154</v>
      </c>
      <c r="M464">
        <v>0.99993010000000004</v>
      </c>
      <c r="N464">
        <v>0</v>
      </c>
      <c r="O464">
        <v>2.4769950000000001E-3</v>
      </c>
      <c r="P464">
        <v>0.98916780000000004</v>
      </c>
      <c r="Q464">
        <v>0.14663979999999999</v>
      </c>
      <c r="R464">
        <v>-6.6373609999999996E-3</v>
      </c>
      <c r="S464">
        <v>3.0574949999999999</v>
      </c>
      <c r="T464">
        <v>-0.17073679999999999</v>
      </c>
      <c r="U464">
        <v>-9.3017580000000002E-2</v>
      </c>
      <c r="V464">
        <v>9.0875829999999998E-3</v>
      </c>
      <c r="W464">
        <v>0.15807639999999901</v>
      </c>
      <c r="X464">
        <v>0.98738510000000002</v>
      </c>
      <c r="Y464">
        <v>3.2829700000000003E-2</v>
      </c>
      <c r="Z464">
        <v>-1.0539060000000001E-3</v>
      </c>
      <c r="AA464">
        <v>0.99946040000000003</v>
      </c>
      <c r="AB464">
        <v>38</v>
      </c>
      <c r="AC464">
        <v>19.674099999999999</v>
      </c>
      <c r="AD464">
        <v>-1.1098838591089999</v>
      </c>
      <c r="AE464">
        <v>-0.60520000000002405</v>
      </c>
      <c r="AF464">
        <v>0.65186147439616104</v>
      </c>
      <c r="AG464">
        <v>-1.1098838591089999</v>
      </c>
      <c r="AH464">
        <v>19.610190470883499</v>
      </c>
      <c r="AI464">
        <v>93.237546266591195</v>
      </c>
      <c r="AJ464">
        <v>88.096134552428694</v>
      </c>
      <c r="AK464">
        <v>19.652387536043602</v>
      </c>
      <c r="AL464">
        <v>80.904739113827702</v>
      </c>
      <c r="AM464">
        <v>89.472682491639901</v>
      </c>
      <c r="AN464">
        <v>1.00000003405187</v>
      </c>
    </row>
    <row r="465" spans="1:40" x14ac:dyDescent="0.25">
      <c r="A465" t="str">
        <f>"20190312172340445"</f>
        <v>20190312172340445</v>
      </c>
      <c r="B465" t="str">
        <f>"1552382620439877"</f>
        <v>1552382620439877</v>
      </c>
      <c r="C465" t="s">
        <v>40</v>
      </c>
      <c r="D465">
        <v>3.8015910000000002</v>
      </c>
      <c r="E465">
        <v>0.50823779999999996</v>
      </c>
      <c r="F465" t="s">
        <v>43</v>
      </c>
      <c r="G465">
        <v>-352.02379999999999</v>
      </c>
      <c r="H465" s="1">
        <v>-3.9723960000000002E-6</v>
      </c>
      <c r="I465">
        <v>366.41250000000002</v>
      </c>
      <c r="J465">
        <v>-371.74709999999999</v>
      </c>
      <c r="K465">
        <v>1.1098809999999999</v>
      </c>
      <c r="L465">
        <v>367.01600000000002</v>
      </c>
      <c r="M465">
        <v>0.99992999999999999</v>
      </c>
      <c r="N465">
        <v>0</v>
      </c>
      <c r="O465">
        <v>2.4861079999999999E-3</v>
      </c>
      <c r="P465">
        <v>0.98918159999999999</v>
      </c>
      <c r="Q465">
        <v>0.146545799999999</v>
      </c>
      <c r="R465">
        <v>-6.6527490000000003E-3</v>
      </c>
      <c r="S465">
        <v>3.0574650000000001</v>
      </c>
      <c r="T465">
        <v>-0.17018900000000001</v>
      </c>
      <c r="U465">
        <v>-9.2437740000000004E-2</v>
      </c>
      <c r="V465">
        <v>9.1119010000000004E-3</v>
      </c>
      <c r="W465">
        <v>0.1579836</v>
      </c>
      <c r="X465">
        <v>0.98739969999999999</v>
      </c>
      <c r="Y465">
        <v>3.2650360000000003E-2</v>
      </c>
      <c r="Z465">
        <v>-1.0460630000000001E-3</v>
      </c>
      <c r="AA465">
        <v>0.99946630000000003</v>
      </c>
      <c r="AB465">
        <v>38</v>
      </c>
      <c r="AC465">
        <v>19.723299999999899</v>
      </c>
      <c r="AD465">
        <v>-1.10988497239599</v>
      </c>
      <c r="AE465">
        <v>-0.60349999999993997</v>
      </c>
      <c r="AF465">
        <v>0.65047777654183603</v>
      </c>
      <c r="AG465">
        <v>-1.10988497239599</v>
      </c>
      <c r="AH465">
        <v>19.659542385405199</v>
      </c>
      <c r="AI465">
        <v>93.229455839863306</v>
      </c>
      <c r="AJ465">
        <v>88.104938606893697</v>
      </c>
      <c r="AK465">
        <v>19.7015880779512</v>
      </c>
      <c r="AL465">
        <v>80.910123568207098</v>
      </c>
      <c r="AM465">
        <v>89.471279309080998</v>
      </c>
      <c r="AN465">
        <v>1.0000000060844401</v>
      </c>
    </row>
    <row r="466" spans="1:40" x14ac:dyDescent="0.25">
      <c r="A466" t="str">
        <f>"20190312172340459"</f>
        <v>20190312172340459</v>
      </c>
      <c r="B466" t="str">
        <f>"1552382620450613"</f>
        <v>1552382620450613</v>
      </c>
      <c r="C466" t="s">
        <v>40</v>
      </c>
      <c r="D466">
        <v>3.816665</v>
      </c>
      <c r="E466">
        <v>0.50816260000000002</v>
      </c>
      <c r="F466" t="s">
        <v>43</v>
      </c>
      <c r="G466">
        <v>-351.80360000000002</v>
      </c>
      <c r="H466" s="1">
        <v>-4.0663149999999997E-6</v>
      </c>
      <c r="I466">
        <v>366.41550000000001</v>
      </c>
      <c r="J466">
        <v>-371.5016</v>
      </c>
      <c r="K466">
        <v>1.109882</v>
      </c>
      <c r="L466">
        <v>367.01659999999998</v>
      </c>
      <c r="M466">
        <v>0.99992999999999999</v>
      </c>
      <c r="N466">
        <v>0</v>
      </c>
      <c r="O466">
        <v>2.496233E-3</v>
      </c>
      <c r="P466">
        <v>0.98920719999999995</v>
      </c>
      <c r="Q466">
        <v>0.14638039999999999</v>
      </c>
      <c r="R466">
        <v>-6.4984839999999997E-3</v>
      </c>
      <c r="S466">
        <v>3.0573730000000001</v>
      </c>
      <c r="T466">
        <v>-0.1701462</v>
      </c>
      <c r="U466">
        <v>-9.2041020000000001E-2</v>
      </c>
      <c r="V466">
        <v>8.9676449999999998E-3</v>
      </c>
      <c r="W466">
        <v>0.1578193</v>
      </c>
      <c r="X466">
        <v>0.98742730000000001</v>
      </c>
      <c r="Y466">
        <v>3.2531999999999998E-2</v>
      </c>
      <c r="Z466">
        <v>-1.0431069999999999E-3</v>
      </c>
      <c r="AA466">
        <v>0.99947019999999998</v>
      </c>
      <c r="AB466">
        <v>38</v>
      </c>
      <c r="AC466">
        <v>19.697999999999901</v>
      </c>
      <c r="AD466">
        <v>-1.1098860663150001</v>
      </c>
      <c r="AE466">
        <v>-0.60109999999997399</v>
      </c>
      <c r="AF466">
        <v>0.64821618960051397</v>
      </c>
      <c r="AG466">
        <v>-1.1098860663150001</v>
      </c>
      <c r="AH466">
        <v>19.634162040448601</v>
      </c>
      <c r="AI466">
        <v>93.233632478008303</v>
      </c>
      <c r="AJ466">
        <v>88.109083201218198</v>
      </c>
      <c r="AK466">
        <v>19.6761873933761</v>
      </c>
      <c r="AL466">
        <v>80.919656910184003</v>
      </c>
      <c r="AM466">
        <v>89.479663884988298</v>
      </c>
      <c r="AN466">
        <v>1.00000001144731</v>
      </c>
    </row>
    <row r="467" spans="1:40" x14ac:dyDescent="0.25">
      <c r="A467" t="str">
        <f>"20190312172340476"</f>
        <v>20190312172340476</v>
      </c>
      <c r="B467" t="str">
        <f>"1552382620470133"</f>
        <v>1552382620470133</v>
      </c>
      <c r="C467" t="s">
        <v>40</v>
      </c>
      <c r="D467">
        <v>3.823493</v>
      </c>
      <c r="E467">
        <v>0.50805100000000003</v>
      </c>
      <c r="F467" t="s">
        <v>43</v>
      </c>
      <c r="G467">
        <v>-351.58580000000001</v>
      </c>
      <c r="H467" s="1">
        <v>-4.1584239999999997E-6</v>
      </c>
      <c r="I467">
        <v>366.42320000000001</v>
      </c>
      <c r="J467">
        <v>-371.22480000000002</v>
      </c>
      <c r="K467">
        <v>1.109882</v>
      </c>
      <c r="L467">
        <v>367.01729999999998</v>
      </c>
      <c r="M467">
        <v>0.99992990000000004</v>
      </c>
      <c r="N467">
        <v>0</v>
      </c>
      <c r="O467">
        <v>2.5077879999999999E-3</v>
      </c>
      <c r="P467">
        <v>0.98919190000000001</v>
      </c>
      <c r="Q467">
        <v>0.14648829999999999</v>
      </c>
      <c r="R467">
        <v>-6.3910809999999998E-3</v>
      </c>
      <c r="S467">
        <v>3.0573730000000001</v>
      </c>
      <c r="T467">
        <v>-0.17038249999999999</v>
      </c>
      <c r="U467">
        <v>-9.1094969999999997E-2</v>
      </c>
      <c r="V467">
        <v>8.8715679999999998E-3</v>
      </c>
      <c r="W467">
        <v>0.1579286</v>
      </c>
      <c r="X467">
        <v>0.98741069999999997</v>
      </c>
      <c r="Y467">
        <v>3.2234850000000002E-2</v>
      </c>
      <c r="Z467">
        <v>-1.0369299999999999E-3</v>
      </c>
      <c r="AA467">
        <v>0.99947980000000003</v>
      </c>
      <c r="AB467">
        <v>38</v>
      </c>
      <c r="AC467">
        <v>19.638999999999999</v>
      </c>
      <c r="AD467">
        <v>-1.1098861584240001</v>
      </c>
      <c r="AE467">
        <v>-0.59409999999996899</v>
      </c>
      <c r="AF467">
        <v>0.64130550000192099</v>
      </c>
      <c r="AG467">
        <v>-1.1098861584240001</v>
      </c>
      <c r="AH467">
        <v>19.5749853342774</v>
      </c>
      <c r="AI467">
        <v>93.243414356060597</v>
      </c>
      <c r="AJ467">
        <v>88.123576576520307</v>
      </c>
      <c r="AK467">
        <v>19.616910329258499</v>
      </c>
      <c r="AL467">
        <v>80.913315017458203</v>
      </c>
      <c r="AM467">
        <v>89.485229674723001</v>
      </c>
      <c r="AN467">
        <v>1.00000001894561</v>
      </c>
    </row>
    <row r="468" spans="1:40" x14ac:dyDescent="0.25">
      <c r="A468" t="str">
        <f>"20190312172340499"</f>
        <v>20190312172340499</v>
      </c>
      <c r="B468" t="str">
        <f>"1552382620490629"</f>
        <v>1552382620490629</v>
      </c>
      <c r="C468" t="s">
        <v>40</v>
      </c>
      <c r="D468">
        <v>3.7835920000000001</v>
      </c>
      <c r="E468">
        <v>0.5080057</v>
      </c>
      <c r="F468" t="s">
        <v>43</v>
      </c>
      <c r="G468">
        <v>-351.23140000000001</v>
      </c>
      <c r="H468" s="1">
        <v>-4.3088379999999999E-6</v>
      </c>
      <c r="I468">
        <v>366.4323</v>
      </c>
      <c r="J468">
        <v>-370.84359999999998</v>
      </c>
      <c r="K468">
        <v>1.10988</v>
      </c>
      <c r="L468">
        <v>367.01819999999998</v>
      </c>
      <c r="M468">
        <v>0.99992979999999998</v>
      </c>
      <c r="N468">
        <v>0</v>
      </c>
      <c r="O468">
        <v>2.5236310000000001E-3</v>
      </c>
      <c r="P468">
        <v>0.98915770000000003</v>
      </c>
      <c r="Q468">
        <v>0.1467154</v>
      </c>
      <c r="R468">
        <v>-6.477979E-3</v>
      </c>
      <c r="S468">
        <v>3.057312</v>
      </c>
      <c r="T468">
        <v>-0.16971800000000001</v>
      </c>
      <c r="U468">
        <v>-8.9447020000000002E-2</v>
      </c>
      <c r="V468">
        <v>8.9739109999999993E-3</v>
      </c>
      <c r="W468">
        <v>0.158157399999999</v>
      </c>
      <c r="X468">
        <v>0.9873731</v>
      </c>
      <c r="Y468">
        <v>3.1714199999999998E-2</v>
      </c>
      <c r="Z468">
        <v>-1.019362E-3</v>
      </c>
      <c r="AA468">
        <v>0.99949650000000001</v>
      </c>
      <c r="AB468">
        <v>38</v>
      </c>
      <c r="AC468">
        <v>19.612199999999898</v>
      </c>
      <c r="AD468">
        <v>-1.1098843088379999</v>
      </c>
      <c r="AE468">
        <v>-0.58589999999997999</v>
      </c>
      <c r="AF468">
        <v>0.63336878837639399</v>
      </c>
      <c r="AG468">
        <v>-1.1098843088379999</v>
      </c>
      <c r="AH468">
        <v>19.548109877298302</v>
      </c>
      <c r="AI468">
        <v>93.247896655293999</v>
      </c>
      <c r="AJ468">
        <v>88.1442365581525</v>
      </c>
      <c r="AK468">
        <v>19.5898340721922</v>
      </c>
      <c r="AL468">
        <v>80.900038410083894</v>
      </c>
      <c r="AM468">
        <v>89.479271747114396</v>
      </c>
      <c r="AN468">
        <v>0.99999996642850197</v>
      </c>
    </row>
    <row r="469" spans="1:40" x14ac:dyDescent="0.25">
      <c r="A469" t="str">
        <f>"20190312172340511"</f>
        <v>20190312172340511</v>
      </c>
      <c r="B469" t="str">
        <f>"1552382620500389"</f>
        <v>1552382620500389</v>
      </c>
      <c r="C469" t="s">
        <v>40</v>
      </c>
      <c r="D469">
        <v>3.7582740000000001</v>
      </c>
      <c r="E469">
        <v>0.50857790000000003</v>
      </c>
      <c r="F469" t="s">
        <v>43</v>
      </c>
      <c r="G469">
        <v>-350.75189999999998</v>
      </c>
      <c r="H469" s="1">
        <v>-4.5147689999999997E-6</v>
      </c>
      <c r="I469">
        <v>366.43099999999998</v>
      </c>
      <c r="J469">
        <v>-370.63940000000002</v>
      </c>
      <c r="K469">
        <v>1.10988</v>
      </c>
      <c r="L469">
        <v>367.01870000000002</v>
      </c>
      <c r="M469">
        <v>0.99992979999999998</v>
      </c>
      <c r="N469">
        <v>0</v>
      </c>
      <c r="O469">
        <v>2.531733E-3</v>
      </c>
      <c r="P469">
        <v>0.98915960000000003</v>
      </c>
      <c r="Q469">
        <v>0.14669860000000001</v>
      </c>
      <c r="R469">
        <v>-6.5356140000000004E-3</v>
      </c>
      <c r="S469">
        <v>3.0573429999999999</v>
      </c>
      <c r="T469">
        <v>-0.1688895</v>
      </c>
      <c r="U469">
        <v>-8.9355470000000006E-2</v>
      </c>
      <c r="V469">
        <v>9.0398470000000002E-3</v>
      </c>
      <c r="W469">
        <v>0.15814139999999999</v>
      </c>
      <c r="X469">
        <v>0.98737509999999995</v>
      </c>
      <c r="Y469">
        <v>3.1692640000000001E-2</v>
      </c>
      <c r="Z469">
        <v>-1.0142370000000001E-3</v>
      </c>
      <c r="AA469">
        <v>0.99949719999999997</v>
      </c>
      <c r="AB469">
        <v>38</v>
      </c>
      <c r="AC469">
        <v>19.887499999999999</v>
      </c>
      <c r="AD469">
        <v>-1.109884514769</v>
      </c>
      <c r="AE469">
        <v>-0.58770000000003997</v>
      </c>
      <c r="AF469">
        <v>0.63607198073336602</v>
      </c>
      <c r="AG469">
        <v>-1.109884514769</v>
      </c>
      <c r="AH469">
        <v>19.824258499226101</v>
      </c>
      <c r="AI469">
        <v>93.202781862464306</v>
      </c>
      <c r="AJ469">
        <v>88.162264608416095</v>
      </c>
      <c r="AK469">
        <v>19.8654890764093</v>
      </c>
      <c r="AL469">
        <v>80.900967177387002</v>
      </c>
      <c r="AM469">
        <v>89.475446960787593</v>
      </c>
      <c r="AN469">
        <v>1.00000000466387</v>
      </c>
    </row>
    <row r="470" spans="1:40" x14ac:dyDescent="0.25">
      <c r="A470" t="str">
        <f>"20190312172340523"</f>
        <v>20190312172340523</v>
      </c>
      <c r="B470" t="str">
        <f>"1552382620519909"</f>
        <v>1552382620519909</v>
      </c>
      <c r="C470" t="s">
        <v>40</v>
      </c>
      <c r="D470">
        <v>3.7491629999999998</v>
      </c>
      <c r="E470">
        <v>0.54116509999999995</v>
      </c>
      <c r="F470" t="s">
        <v>43</v>
      </c>
      <c r="G470">
        <v>-350.53960000000001</v>
      </c>
      <c r="H470" s="1">
        <v>-4.6114119999999999E-6</v>
      </c>
      <c r="I470">
        <v>366.39949999999999</v>
      </c>
      <c r="J470">
        <v>-370.4282</v>
      </c>
      <c r="K470">
        <v>1.10988</v>
      </c>
      <c r="L470">
        <v>367.01929999999999</v>
      </c>
      <c r="M470">
        <v>0.99992979999999998</v>
      </c>
      <c r="N470">
        <v>0</v>
      </c>
      <c r="O470">
        <v>2.5403119999999999E-3</v>
      </c>
      <c r="P470">
        <v>0.98915120000000001</v>
      </c>
      <c r="Q470">
        <v>0.14674879999999901</v>
      </c>
      <c r="R470">
        <v>-6.6885729999999997E-3</v>
      </c>
      <c r="S470">
        <v>3.0572810000000001</v>
      </c>
      <c r="T470">
        <v>-0.1688181</v>
      </c>
      <c r="U470">
        <v>-9.4177250000000004E-2</v>
      </c>
      <c r="V470">
        <v>9.2011780000000008E-3</v>
      </c>
      <c r="W470">
        <v>0.15819269999999999</v>
      </c>
      <c r="X470">
        <v>0.98736539999999995</v>
      </c>
      <c r="Y470">
        <v>3.3274310000000001E-2</v>
      </c>
      <c r="Z470">
        <v>-1.057903E-3</v>
      </c>
      <c r="AA470">
        <v>0.99944569999999999</v>
      </c>
      <c r="AB470">
        <v>38</v>
      </c>
      <c r="AC470">
        <v>19.8886</v>
      </c>
      <c r="AD470">
        <v>-1.109884611412</v>
      </c>
      <c r="AE470">
        <v>-0.61979999999999702</v>
      </c>
      <c r="AF470">
        <v>0.66824559819968299</v>
      </c>
      <c r="AG470">
        <v>-1.109884611412</v>
      </c>
      <c r="AH470">
        <v>19.8252811351419</v>
      </c>
      <c r="AI470">
        <v>93.202447022032999</v>
      </c>
      <c r="AJ470">
        <v>88.069476948601903</v>
      </c>
      <c r="AK470">
        <v>19.8675657320562</v>
      </c>
      <c r="AL470">
        <v>80.897990506271697</v>
      </c>
      <c r="AM470">
        <v>89.466080737694298</v>
      </c>
      <c r="AN470">
        <v>1.00000001256351</v>
      </c>
    </row>
    <row r="471" spans="1:40" x14ac:dyDescent="0.25">
      <c r="A471" t="str">
        <f>"20190312172340542"</f>
        <v>20190312172340542</v>
      </c>
      <c r="B471" t="str">
        <f>"1552382620530645"</f>
        <v>1552382620530645</v>
      </c>
      <c r="C471" t="s">
        <v>40</v>
      </c>
      <c r="D471">
        <v>3.779989</v>
      </c>
      <c r="E471">
        <v>0.54148859999999999</v>
      </c>
      <c r="F471" t="s">
        <v>43</v>
      </c>
      <c r="G471">
        <v>-348.01679999999999</v>
      </c>
      <c r="H471" s="1">
        <v>-2.1289850000000001E-6</v>
      </c>
      <c r="I471">
        <v>364.41789999999997</v>
      </c>
      <c r="J471">
        <v>-370.11849999999998</v>
      </c>
      <c r="K471">
        <v>1.1098840000000001</v>
      </c>
      <c r="L471">
        <v>367.02010000000001</v>
      </c>
      <c r="M471">
        <v>0.99992970000000003</v>
      </c>
      <c r="N471">
        <v>0</v>
      </c>
      <c r="O471">
        <v>2.5532350000000001E-3</v>
      </c>
      <c r="P471">
        <v>0.98914999999999997</v>
      </c>
      <c r="Q471">
        <v>0.146751399999999</v>
      </c>
      <c r="R471">
        <v>-6.7931659999999998E-3</v>
      </c>
      <c r="S471">
        <v>3.0529480000000002</v>
      </c>
      <c r="T471">
        <v>-0.15119099999999999</v>
      </c>
      <c r="U471">
        <v>-0.35437010000000002</v>
      </c>
      <c r="V471">
        <v>9.3187110000000004E-3</v>
      </c>
      <c r="W471">
        <v>0.15819649999999999</v>
      </c>
      <c r="X471">
        <v>0.98736369999999896</v>
      </c>
      <c r="Y471">
        <v>0.1176912</v>
      </c>
      <c r="Z471">
        <v>-3.028654E-3</v>
      </c>
      <c r="AA471">
        <v>0.99304559999999997</v>
      </c>
      <c r="AB471">
        <v>38</v>
      </c>
      <c r="AC471">
        <v>22.101699999999902</v>
      </c>
      <c r="AD471">
        <v>-1.1098861289849999</v>
      </c>
      <c r="AE471">
        <v>-2.60220000000003</v>
      </c>
      <c r="AF471">
        <v>2.6520297647744702</v>
      </c>
      <c r="AG471">
        <v>-1.1098861289849999</v>
      </c>
      <c r="AH471">
        <v>22.0401631780712</v>
      </c>
      <c r="AI471">
        <v>92.862222074633706</v>
      </c>
      <c r="AJ471">
        <v>83.138749731259495</v>
      </c>
      <c r="AK471">
        <v>22.2268734195471</v>
      </c>
      <c r="AL471">
        <v>80.897770106448903</v>
      </c>
      <c r="AM471">
        <v>89.459260089737</v>
      </c>
      <c r="AN471">
        <v>1.0000000235323201</v>
      </c>
    </row>
    <row r="472" spans="1:40" x14ac:dyDescent="0.25">
      <c r="A472" t="str">
        <f>"20190312172340564"</f>
        <v>20190312172340564</v>
      </c>
      <c r="B472" t="str">
        <f>"1552382620559925"</f>
        <v>1552382620559925</v>
      </c>
      <c r="C472" t="s">
        <v>40</v>
      </c>
      <c r="D472">
        <v>3.760786</v>
      </c>
      <c r="E472">
        <v>0.54181469999999998</v>
      </c>
      <c r="F472" t="s">
        <v>43</v>
      </c>
      <c r="G472">
        <v>-347.62889999999999</v>
      </c>
      <c r="H472" s="1">
        <v>-2.286259E-6</v>
      </c>
      <c r="I472">
        <v>364.38659999999999</v>
      </c>
      <c r="J472">
        <v>-369.73320000000001</v>
      </c>
      <c r="K472">
        <v>1.109882</v>
      </c>
      <c r="L472">
        <v>367.02109999999999</v>
      </c>
      <c r="M472">
        <v>0.99992970000000003</v>
      </c>
      <c r="N472">
        <v>0</v>
      </c>
      <c r="O472">
        <v>2.569553E-3</v>
      </c>
      <c r="P472">
        <v>0.98915059999999999</v>
      </c>
      <c r="Q472">
        <v>0.1467455</v>
      </c>
      <c r="R472">
        <v>-6.8721939999999999E-3</v>
      </c>
      <c r="S472">
        <v>3.052826</v>
      </c>
      <c r="T472">
        <v>-0.15066019999999999</v>
      </c>
      <c r="U472">
        <v>-0.35748289999999999</v>
      </c>
      <c r="V472">
        <v>9.4138880000000005E-3</v>
      </c>
      <c r="W472">
        <v>0.15819220000000001</v>
      </c>
      <c r="X472">
        <v>0.98736349999999995</v>
      </c>
      <c r="Y472">
        <v>0.1187106</v>
      </c>
      <c r="Z472">
        <v>-3.0438319999999998E-3</v>
      </c>
      <c r="AA472">
        <v>0.99292420000000003</v>
      </c>
      <c r="AB472">
        <v>38</v>
      </c>
      <c r="AC472">
        <v>22.104299999999999</v>
      </c>
      <c r="AD472">
        <v>-1.1098842862589999</v>
      </c>
      <c r="AE472">
        <v>-2.6345000000000001</v>
      </c>
      <c r="AF472">
        <v>2.6846196975008501</v>
      </c>
      <c r="AG472">
        <v>-1.1098842862589999</v>
      </c>
      <c r="AH472">
        <v>22.042662175075399</v>
      </c>
      <c r="AI472">
        <v>92.861394071326103</v>
      </c>
      <c r="AJ472">
        <v>83.056032174100693</v>
      </c>
      <c r="AK472">
        <v>22.233262959214802</v>
      </c>
      <c r="AL472">
        <v>80.898019746369201</v>
      </c>
      <c r="AM472">
        <v>89.453737444971395</v>
      </c>
      <c r="AN472">
        <v>1.0000000372801801</v>
      </c>
    </row>
    <row r="473" spans="1:40" x14ac:dyDescent="0.25">
      <c r="A473" t="str">
        <f>"20190312172340576"</f>
        <v>20190312172340576</v>
      </c>
      <c r="B473" t="str">
        <f>"1552382620570662"</f>
        <v>1552382620570662</v>
      </c>
      <c r="C473" t="s">
        <v>40</v>
      </c>
      <c r="D473">
        <v>3.7911670000000002</v>
      </c>
      <c r="E473">
        <v>0.5418695</v>
      </c>
      <c r="F473" t="s">
        <v>43</v>
      </c>
      <c r="G473">
        <v>-346.82690000000002</v>
      </c>
      <c r="H473" s="1">
        <v>-2.6130639999999999E-6</v>
      </c>
      <c r="I473">
        <v>364.3159</v>
      </c>
      <c r="J473">
        <v>-369.52390000000003</v>
      </c>
      <c r="K473">
        <v>1.10988</v>
      </c>
      <c r="L473">
        <v>367.02159999999998</v>
      </c>
      <c r="M473">
        <v>0.99992959999999997</v>
      </c>
      <c r="N473">
        <v>0</v>
      </c>
      <c r="O473">
        <v>2.578309E-3</v>
      </c>
      <c r="P473">
        <v>0.98912120000000003</v>
      </c>
      <c r="Q473">
        <v>0.14694560000000001</v>
      </c>
      <c r="R473">
        <v>-6.8292719999999999E-3</v>
      </c>
      <c r="S473">
        <v>3.0523069999999999</v>
      </c>
      <c r="T473">
        <v>-0.14789430000000001</v>
      </c>
      <c r="U473">
        <v>-0.36047360000000001</v>
      </c>
      <c r="V473">
        <v>9.3794099999999995E-3</v>
      </c>
      <c r="W473">
        <v>0.1583928</v>
      </c>
      <c r="X473">
        <v>0.98733159999999998</v>
      </c>
      <c r="Y473">
        <v>0.1197025</v>
      </c>
      <c r="Z473">
        <v>-3.012706E-3</v>
      </c>
      <c r="AA473">
        <v>0.99280520000000005</v>
      </c>
      <c r="AB473">
        <v>38</v>
      </c>
      <c r="AC473">
        <v>22.696999999999999</v>
      </c>
      <c r="AD473">
        <v>-1.109882613064</v>
      </c>
      <c r="AE473">
        <v>-2.7056999999999798</v>
      </c>
      <c r="AF473">
        <v>2.7577129452923299</v>
      </c>
      <c r="AG473">
        <v>-1.109882613064</v>
      </c>
      <c r="AH473">
        <v>22.636577647531901</v>
      </c>
      <c r="AI473">
        <v>92.786424243006806</v>
      </c>
      <c r="AJ473">
        <v>83.054138895188999</v>
      </c>
      <c r="AK473">
        <v>22.830932256396299</v>
      </c>
      <c r="AL473">
        <v>80.886378840919207</v>
      </c>
      <c r="AM473">
        <v>89.455720406168993</v>
      </c>
      <c r="AN473">
        <v>0.99999997039117305</v>
      </c>
    </row>
    <row r="474" spans="1:40" x14ac:dyDescent="0.25">
      <c r="A474" t="str">
        <f>"20190312172340588"</f>
        <v>20190312172340588</v>
      </c>
      <c r="B474" t="str">
        <f>"1552382620580421"</f>
        <v>1552382620580421</v>
      </c>
      <c r="C474" t="s">
        <v>40</v>
      </c>
      <c r="D474">
        <v>3.7719800000000001</v>
      </c>
      <c r="E474">
        <v>0.5418366</v>
      </c>
      <c r="F474" t="s">
        <v>43</v>
      </c>
      <c r="G474">
        <v>-346.46749999999997</v>
      </c>
      <c r="H474" s="1">
        <v>-2.755871E-6</v>
      </c>
      <c r="I474">
        <v>364.29790000000003</v>
      </c>
      <c r="J474">
        <v>-369.33850000000001</v>
      </c>
      <c r="K474">
        <v>1.109882</v>
      </c>
      <c r="L474">
        <v>367.02210000000002</v>
      </c>
      <c r="M474">
        <v>0.99992959999999997</v>
      </c>
      <c r="N474">
        <v>0</v>
      </c>
      <c r="O474">
        <v>2.586053E-3</v>
      </c>
      <c r="P474">
        <v>0.98913499999999999</v>
      </c>
      <c r="Q474">
        <v>0.1468486</v>
      </c>
      <c r="R474">
        <v>-6.9043450000000001E-3</v>
      </c>
      <c r="S474">
        <v>3.052368</v>
      </c>
      <c r="T474">
        <v>-0.14693439999999999</v>
      </c>
      <c r="U474">
        <v>-0.36059570000000002</v>
      </c>
      <c r="V474">
        <v>9.4620569999999994E-3</v>
      </c>
      <c r="W474">
        <v>0.15829679999999999</v>
      </c>
      <c r="X474">
        <v>0.98734619999999995</v>
      </c>
      <c r="Y474">
        <v>0.1197488</v>
      </c>
      <c r="Z474">
        <v>-2.9945900000000001E-3</v>
      </c>
      <c r="AA474">
        <v>0.99279969999999995</v>
      </c>
      <c r="AB474">
        <v>38</v>
      </c>
      <c r="AC474">
        <v>22.870999999999999</v>
      </c>
      <c r="AD474">
        <v>-1.1098847558709899</v>
      </c>
      <c r="AE474">
        <v>-2.72419999999999</v>
      </c>
      <c r="AF474">
        <v>2.7768924558924701</v>
      </c>
      <c r="AG474">
        <v>-1.1098847558709899</v>
      </c>
      <c r="AH474">
        <v>22.810910574107499</v>
      </c>
      <c r="AI474">
        <v>92.765197338552795</v>
      </c>
      <c r="AJ474">
        <v>83.059234284700906</v>
      </c>
      <c r="AK474">
        <v>23.006099563003598</v>
      </c>
      <c r="AL474">
        <v>80.891949448653506</v>
      </c>
      <c r="AM474">
        <v>89.4509328785321</v>
      </c>
      <c r="AN474">
        <v>0.999999963033674</v>
      </c>
    </row>
    <row r="475" spans="1:40" x14ac:dyDescent="0.25">
      <c r="A475" t="str">
        <f>"20190312172340598"</f>
        <v>20190312172340598</v>
      </c>
      <c r="B475" t="str">
        <f>"1552382620590182"</f>
        <v>1552382620590182</v>
      </c>
      <c r="C475" t="s">
        <v>40</v>
      </c>
      <c r="D475">
        <v>3.7601</v>
      </c>
      <c r="E475">
        <v>0.54183230000000004</v>
      </c>
      <c r="F475" t="s">
        <v>43</v>
      </c>
      <c r="G475">
        <v>-346.3107</v>
      </c>
      <c r="H475" s="1">
        <v>-2.8154339999999999E-6</v>
      </c>
      <c r="I475">
        <v>364.30020000000002</v>
      </c>
      <c r="J475">
        <v>-369.14069999999998</v>
      </c>
      <c r="K475">
        <v>1.1098790000000001</v>
      </c>
      <c r="L475">
        <v>367.02269999999999</v>
      </c>
      <c r="M475">
        <v>0.99992950000000003</v>
      </c>
      <c r="N475">
        <v>0</v>
      </c>
      <c r="O475">
        <v>2.5942740000000001E-3</v>
      </c>
      <c r="P475">
        <v>0.98911249999999995</v>
      </c>
      <c r="Q475">
        <v>0.147004</v>
      </c>
      <c r="R475">
        <v>-6.8358409999999996E-3</v>
      </c>
      <c r="S475">
        <v>3.0522770000000001</v>
      </c>
      <c r="T475">
        <v>-0.14711260000000001</v>
      </c>
      <c r="U475">
        <v>-0.36077880000000001</v>
      </c>
      <c r="V475">
        <v>9.4017219999999995E-3</v>
      </c>
      <c r="W475">
        <v>0.1584526</v>
      </c>
      <c r="X475">
        <v>0.98732189999999997</v>
      </c>
      <c r="Y475">
        <v>0.1198187</v>
      </c>
      <c r="Z475">
        <v>-3.00037E-3</v>
      </c>
      <c r="AA475">
        <v>0.99279119999999998</v>
      </c>
      <c r="AB475">
        <v>38</v>
      </c>
      <c r="AC475">
        <v>22.829999999999899</v>
      </c>
      <c r="AD475">
        <v>-1.109881815434</v>
      </c>
      <c r="AE475">
        <v>-2.7224999999999602</v>
      </c>
      <c r="AF475">
        <v>2.7752549526451098</v>
      </c>
      <c r="AG475">
        <v>-1.109881815434</v>
      </c>
      <c r="AH475">
        <v>22.7697996440616</v>
      </c>
      <c r="AI475">
        <v>92.770125719528593</v>
      </c>
      <c r="AJ475">
        <v>83.050885389455004</v>
      </c>
      <c r="AK475">
        <v>22.965139963151099</v>
      </c>
      <c r="AL475">
        <v>80.882909706354297</v>
      </c>
      <c r="AM475">
        <v>89.4544203772804</v>
      </c>
      <c r="AN475">
        <v>1.0000000765214601</v>
      </c>
    </row>
    <row r="476" spans="1:40" x14ac:dyDescent="0.25">
      <c r="A476" t="str">
        <f>"20190312172340612"</f>
        <v>20190312172340612</v>
      </c>
      <c r="B476" t="str">
        <f>"1552382620599942"</f>
        <v>1552382620599942</v>
      </c>
      <c r="C476" t="s">
        <v>40</v>
      </c>
      <c r="D476">
        <v>3.7580149999999999</v>
      </c>
      <c r="E476">
        <v>0.54175240000000002</v>
      </c>
      <c r="F476" t="s">
        <v>43</v>
      </c>
      <c r="G476">
        <v>-346.10910000000001</v>
      </c>
      <c r="H476" s="1">
        <v>-2.8919370000000002E-6</v>
      </c>
      <c r="I476">
        <v>364.30369999999999</v>
      </c>
      <c r="J476">
        <v>-368.92559999999997</v>
      </c>
      <c r="K476">
        <v>1.10988</v>
      </c>
      <c r="L476">
        <v>367.02319999999997</v>
      </c>
      <c r="M476">
        <v>0.99992970000000003</v>
      </c>
      <c r="N476">
        <v>0</v>
      </c>
      <c r="O476">
        <v>2.6027350000000001E-3</v>
      </c>
      <c r="P476">
        <v>0.98907389999999995</v>
      </c>
      <c r="Q476">
        <v>0.14726320000000001</v>
      </c>
      <c r="R476">
        <v>-6.8250819999999997E-3</v>
      </c>
      <c r="S476">
        <v>3.0524290000000001</v>
      </c>
      <c r="T476">
        <v>-0.14709520000000001</v>
      </c>
      <c r="U476">
        <v>-0.36035159999999999</v>
      </c>
      <c r="V476">
        <v>9.3992150000000007E-3</v>
      </c>
      <c r="W476">
        <v>0.15871250000000001</v>
      </c>
      <c r="X476">
        <v>0.98728009999999999</v>
      </c>
      <c r="Y476">
        <v>0.1196845</v>
      </c>
      <c r="Z476">
        <v>-2.997076E-3</v>
      </c>
      <c r="AA476">
        <v>0.99280740000000001</v>
      </c>
      <c r="AB476">
        <v>38</v>
      </c>
      <c r="AC476">
        <v>22.816499999999898</v>
      </c>
      <c r="AD476">
        <v>-1.1098828919370001</v>
      </c>
      <c r="AE476">
        <v>-2.71949999999998</v>
      </c>
      <c r="AF476">
        <v>2.7724118009053602</v>
      </c>
      <c r="AG476">
        <v>-1.1098828919370001</v>
      </c>
      <c r="AH476">
        <v>22.756251898026399</v>
      </c>
      <c r="AI476">
        <v>92.771792409047407</v>
      </c>
      <c r="AJ476">
        <v>83.053842474349196</v>
      </c>
      <c r="AK476">
        <v>22.9513639610818</v>
      </c>
      <c r="AL476">
        <v>80.867826971736804</v>
      </c>
      <c r="AM476">
        <v>89.454542757594098</v>
      </c>
      <c r="AN476">
        <v>0.999999999377438</v>
      </c>
    </row>
    <row r="477" spans="1:40" x14ac:dyDescent="0.25">
      <c r="A477" t="str">
        <f>"20190312172340624"</f>
        <v>20190312172340624</v>
      </c>
      <c r="B477" t="str">
        <f>"1552382620620438"</f>
        <v>1552382620620438</v>
      </c>
      <c r="C477" t="s">
        <v>40</v>
      </c>
      <c r="D477">
        <v>3.7840419999999999</v>
      </c>
      <c r="E477">
        <v>0.54178349999999997</v>
      </c>
      <c r="F477" t="s">
        <v>43</v>
      </c>
      <c r="G477">
        <v>-345.85879999999997</v>
      </c>
      <c r="H477" s="1">
        <v>-2.9875920000000002E-6</v>
      </c>
      <c r="I477">
        <v>364.30549999999999</v>
      </c>
      <c r="J477">
        <v>-368.72059999999999</v>
      </c>
      <c r="K477">
        <v>1.10988</v>
      </c>
      <c r="L477">
        <v>367.02370000000002</v>
      </c>
      <c r="M477">
        <v>0.99992970000000003</v>
      </c>
      <c r="N477">
        <v>0</v>
      </c>
      <c r="O477">
        <v>2.610958E-3</v>
      </c>
      <c r="P477">
        <v>0.98906419999999995</v>
      </c>
      <c r="Q477">
        <v>0.14732700000000001</v>
      </c>
      <c r="R477">
        <v>-6.8575769999999897E-3</v>
      </c>
      <c r="S477">
        <v>3.052521</v>
      </c>
      <c r="T477">
        <v>-0.14687529999999999</v>
      </c>
      <c r="U477">
        <v>-0.35964970000000002</v>
      </c>
      <c r="V477">
        <v>9.4399080000000003E-3</v>
      </c>
      <c r="W477">
        <v>0.15877649999999999</v>
      </c>
      <c r="X477">
        <v>0.98726939999999996</v>
      </c>
      <c r="Y477">
        <v>0.11946469999999999</v>
      </c>
      <c r="Z477">
        <v>-2.9876770000000002E-3</v>
      </c>
      <c r="AA477">
        <v>0.99283399999999999</v>
      </c>
      <c r="AB477">
        <v>38</v>
      </c>
      <c r="AC477">
        <v>22.861799999999999</v>
      </c>
      <c r="AD477">
        <v>-1.109882987592</v>
      </c>
      <c r="AE477">
        <v>-2.7182000000000199</v>
      </c>
      <c r="AF477">
        <v>2.7714450730075901</v>
      </c>
      <c r="AG477">
        <v>-1.109882987592</v>
      </c>
      <c r="AH477">
        <v>22.8016333640719</v>
      </c>
      <c r="AI477">
        <v>92.766378953117993</v>
      </c>
      <c r="AJ477">
        <v>83.069926367367501</v>
      </c>
      <c r="AK477">
        <v>22.996243869562701</v>
      </c>
      <c r="AL477">
        <v>80.864112754478398</v>
      </c>
      <c r="AM477">
        <v>89.4521754594968</v>
      </c>
      <c r="AN477">
        <v>0.999999978495828</v>
      </c>
    </row>
    <row r="478" spans="1:40" x14ac:dyDescent="0.25">
      <c r="A478" t="str">
        <f>"20190312172340642"</f>
        <v>20190312172340642</v>
      </c>
      <c r="B478" t="str">
        <f>"1552382620630197"</f>
        <v>1552382620630197</v>
      </c>
      <c r="C478" t="s">
        <v>40</v>
      </c>
      <c r="D478">
        <v>3.7763840000000002</v>
      </c>
      <c r="E478">
        <v>0.54178859999999995</v>
      </c>
      <c r="F478" t="s">
        <v>43</v>
      </c>
      <c r="G478">
        <v>-345.6859</v>
      </c>
      <c r="H478" s="1">
        <v>-3.0537640000000002E-6</v>
      </c>
      <c r="I478">
        <v>364.3064</v>
      </c>
      <c r="J478">
        <v>-368.41460000000001</v>
      </c>
      <c r="K478">
        <v>1.109883</v>
      </c>
      <c r="L478">
        <v>367.02460000000002</v>
      </c>
      <c r="M478">
        <v>0.99992950000000003</v>
      </c>
      <c r="N478">
        <v>0</v>
      </c>
      <c r="O478">
        <v>2.6235859999999998E-3</v>
      </c>
      <c r="P478">
        <v>0.98907230000000002</v>
      </c>
      <c r="Q478">
        <v>0.14728150000000001</v>
      </c>
      <c r="R478">
        <v>-6.6517429999999999E-3</v>
      </c>
      <c r="S478">
        <v>3.0526119999999999</v>
      </c>
      <c r="T478">
        <v>-0.14708379999999999</v>
      </c>
      <c r="U478">
        <v>-0.36010740000000002</v>
      </c>
      <c r="V478">
        <v>9.2465570000000007E-3</v>
      </c>
      <c r="W478">
        <v>0.15873319999999999</v>
      </c>
      <c r="X478">
        <v>0.98727819999999999</v>
      </c>
      <c r="Y478">
        <v>0.11962</v>
      </c>
      <c r="Z478">
        <v>-2.9961319999999999E-3</v>
      </c>
      <c r="AA478">
        <v>0.99281520000000001</v>
      </c>
      <c r="AB478">
        <v>38</v>
      </c>
      <c r="AC478">
        <v>22.7287</v>
      </c>
      <c r="AD478">
        <v>-1.1098860537639901</v>
      </c>
      <c r="AE478">
        <v>-2.7182000000000199</v>
      </c>
      <c r="AF478">
        <v>2.7713101799590598</v>
      </c>
      <c r="AG478">
        <v>-1.1098860537639901</v>
      </c>
      <c r="AH478">
        <v>22.668198462265</v>
      </c>
      <c r="AI478">
        <v>92.782408454814103</v>
      </c>
      <c r="AJ478">
        <v>83.029869029089198</v>
      </c>
      <c r="AK478">
        <v>22.863928548928701</v>
      </c>
      <c r="AL478">
        <v>80.866625596882301</v>
      </c>
      <c r="AM478">
        <v>89.463400284185994</v>
      </c>
      <c r="AN478">
        <v>0.99999998589691697</v>
      </c>
    </row>
    <row r="479" spans="1:40" x14ac:dyDescent="0.25">
      <c r="A479" t="str">
        <f>"20190312172340654"</f>
        <v>20190312172340654</v>
      </c>
      <c r="B479" t="str">
        <f>"1552382620650694"</f>
        <v>1552382620650694</v>
      </c>
      <c r="C479" t="s">
        <v>40</v>
      </c>
      <c r="D479">
        <v>3.7522359999999999</v>
      </c>
      <c r="E479">
        <v>0.54187479999999999</v>
      </c>
      <c r="F479" t="s">
        <v>43</v>
      </c>
      <c r="G479">
        <v>-345.43340000000001</v>
      </c>
      <c r="H479" s="1">
        <v>-3.1476959999999998E-6</v>
      </c>
      <c r="I479">
        <v>364.31779999999998</v>
      </c>
      <c r="J479">
        <v>-368.20370000000003</v>
      </c>
      <c r="K479">
        <v>1.109882</v>
      </c>
      <c r="L479">
        <v>367.02510000000001</v>
      </c>
      <c r="M479">
        <v>0.99992950000000003</v>
      </c>
      <c r="N479">
        <v>0</v>
      </c>
      <c r="O479">
        <v>2.6323399999999999E-3</v>
      </c>
      <c r="P479">
        <v>0.98905270000000001</v>
      </c>
      <c r="Q479">
        <v>0.1474126</v>
      </c>
      <c r="R479">
        <v>-6.6761829999999996E-3</v>
      </c>
      <c r="S479">
        <v>3.052673</v>
      </c>
      <c r="T479">
        <v>-0.14743020000000001</v>
      </c>
      <c r="U479">
        <v>-0.35955809999999999</v>
      </c>
      <c r="V479">
        <v>9.2796419999999994E-3</v>
      </c>
      <c r="W479">
        <v>0.15886459999999999</v>
      </c>
      <c r="X479">
        <v>0.98725680000000005</v>
      </c>
      <c r="Y479">
        <v>0.11944970000000001</v>
      </c>
      <c r="Z479">
        <v>-2.9994779999999999E-3</v>
      </c>
      <c r="AA479">
        <v>0.99283569999999999</v>
      </c>
      <c r="AB479">
        <v>38</v>
      </c>
      <c r="AC479">
        <v>22.770299999999999</v>
      </c>
      <c r="AD479">
        <v>-1.1098851476960001</v>
      </c>
      <c r="AE479">
        <v>-2.7073000000000298</v>
      </c>
      <c r="AF479">
        <v>2.7607660790696298</v>
      </c>
      <c r="AG479">
        <v>-1.1098851476960001</v>
      </c>
      <c r="AH479">
        <v>22.709890942745702</v>
      </c>
      <c r="AI479">
        <v>92.777535478522594</v>
      </c>
      <c r="AJ479">
        <v>83.068753072878295</v>
      </c>
      <c r="AK479">
        <v>22.903991377395801</v>
      </c>
      <c r="AL479">
        <v>80.859000587913499</v>
      </c>
      <c r="AM479">
        <v>89.461468723358607</v>
      </c>
      <c r="AN479">
        <v>1.0000000310175201</v>
      </c>
    </row>
    <row r="480" spans="1:40" x14ac:dyDescent="0.25">
      <c r="A480" t="str">
        <f>"20190312172340678"</f>
        <v>20190312172340678</v>
      </c>
      <c r="B480" t="str">
        <f>"1552382620670214"</f>
        <v>1552382620670214</v>
      </c>
      <c r="C480" t="s">
        <v>40</v>
      </c>
      <c r="D480">
        <v>3.7721960000000001</v>
      </c>
      <c r="E480">
        <v>0.5419853</v>
      </c>
      <c r="F480" t="s">
        <v>43</v>
      </c>
      <c r="G480">
        <v>-345.35050000000001</v>
      </c>
      <c r="H480" s="1">
        <v>-3.1771E-6</v>
      </c>
      <c r="I480">
        <v>364.32690000000002</v>
      </c>
      <c r="J480">
        <v>-367.81240000000003</v>
      </c>
      <c r="K480">
        <v>1.109885</v>
      </c>
      <c r="L480">
        <v>367.02620000000002</v>
      </c>
      <c r="M480">
        <v>0.99992939999999997</v>
      </c>
      <c r="N480">
        <v>0</v>
      </c>
      <c r="O480">
        <v>2.6491330000000001E-3</v>
      </c>
      <c r="P480">
        <v>0.98907999999999996</v>
      </c>
      <c r="Q480">
        <v>0.147235</v>
      </c>
      <c r="R480">
        <v>-6.5584750000000002E-3</v>
      </c>
      <c r="S480">
        <v>3.0528559999999998</v>
      </c>
      <c r="T480">
        <v>-0.14826449999999999</v>
      </c>
      <c r="U480">
        <v>-0.36044310000000002</v>
      </c>
      <c r="V480">
        <v>9.1786720000000006E-3</v>
      </c>
      <c r="W480">
        <v>0.15868940000000001</v>
      </c>
      <c r="X480">
        <v>0.98728590000000005</v>
      </c>
      <c r="Y480">
        <v>0.1197414</v>
      </c>
      <c r="Z480">
        <v>-3.0240689999999999E-3</v>
      </c>
      <c r="AA480">
        <v>0.99280049999999997</v>
      </c>
      <c r="AB480">
        <v>38</v>
      </c>
      <c r="AC480">
        <v>22.4619</v>
      </c>
      <c r="AD480">
        <v>-1.1098881771</v>
      </c>
      <c r="AE480">
        <v>-2.6992999999999898</v>
      </c>
      <c r="AF480">
        <v>2.7521751676378399</v>
      </c>
      <c r="AG480">
        <v>-1.1098881771</v>
      </c>
      <c r="AH480">
        <v>22.400755933450998</v>
      </c>
      <c r="AI480">
        <v>92.815374381632495</v>
      </c>
      <c r="AJ480">
        <v>82.995695797997797</v>
      </c>
      <c r="AK480">
        <v>22.596464022255098</v>
      </c>
      <c r="AL480">
        <v>80.869167600249696</v>
      </c>
      <c r="AM480">
        <v>89.467343738586194</v>
      </c>
      <c r="AN480">
        <v>1.0000000110154199</v>
      </c>
    </row>
    <row r="481" spans="1:40" x14ac:dyDescent="0.25">
      <c r="A481" t="str">
        <f>"20190312172340700"</f>
        <v>20190312172340700</v>
      </c>
      <c r="B481" t="str">
        <f>"1552382620690709"</f>
        <v>1552382620690709</v>
      </c>
      <c r="C481" t="s">
        <v>40</v>
      </c>
      <c r="D481">
        <v>3.7782870000000002</v>
      </c>
      <c r="E481">
        <v>0.54208979999999996</v>
      </c>
      <c r="F481" t="s">
        <v>43</v>
      </c>
      <c r="G481">
        <v>-345.20490000000001</v>
      </c>
      <c r="H481" s="1">
        <v>-3.2250609999999998E-6</v>
      </c>
      <c r="I481">
        <v>364.35669999999999</v>
      </c>
      <c r="J481">
        <v>-367.43169999999998</v>
      </c>
      <c r="K481">
        <v>1.109883</v>
      </c>
      <c r="L481">
        <v>367.02719999999999</v>
      </c>
      <c r="M481">
        <v>0.99992919999999996</v>
      </c>
      <c r="N481">
        <v>0</v>
      </c>
      <c r="O481">
        <v>2.664802E-3</v>
      </c>
      <c r="P481">
        <v>0.98902920000000005</v>
      </c>
      <c r="Q481">
        <v>0.14755589999999999</v>
      </c>
      <c r="R481">
        <v>-6.9801749999999999E-3</v>
      </c>
      <c r="S481">
        <v>3.05307</v>
      </c>
      <c r="T481">
        <v>-0.14988699999999999</v>
      </c>
      <c r="U481">
        <v>-0.3605042</v>
      </c>
      <c r="V481">
        <v>9.6157159999999998E-3</v>
      </c>
      <c r="W481">
        <v>0.1590114</v>
      </c>
      <c r="X481">
        <v>0.98722989999999999</v>
      </c>
      <c r="Y481">
        <v>0.11976530000000001</v>
      </c>
      <c r="Z481">
        <v>-3.0582589999999998E-3</v>
      </c>
      <c r="AA481">
        <v>0.9927975</v>
      </c>
      <c r="AB481">
        <v>38</v>
      </c>
      <c r="AC481">
        <v>22.226799999999901</v>
      </c>
      <c r="AD481">
        <v>-1.109886225061</v>
      </c>
      <c r="AE481">
        <v>-2.6705000000000001</v>
      </c>
      <c r="AF481">
        <v>2.7230313607174201</v>
      </c>
      <c r="AG481">
        <v>-1.109886225061</v>
      </c>
      <c r="AH481">
        <v>22.165122777225299</v>
      </c>
      <c r="AI481">
        <v>92.845253171290494</v>
      </c>
      <c r="AJ481">
        <v>82.996189121535295</v>
      </c>
      <c r="AK481">
        <v>22.359325011133599</v>
      </c>
      <c r="AL481">
        <v>80.8504808170796</v>
      </c>
      <c r="AM481">
        <v>89.441951137905505</v>
      </c>
      <c r="AN481">
        <v>0.99999998138908097</v>
      </c>
    </row>
    <row r="482" spans="1:40" x14ac:dyDescent="0.25">
      <c r="A482" t="str">
        <f>"20190312172340721"</f>
        <v>20190312172340721</v>
      </c>
      <c r="B482" t="str">
        <f>"1552382620710229"</f>
        <v>1552382620710229</v>
      </c>
      <c r="C482" t="s">
        <v>40</v>
      </c>
      <c r="D482">
        <v>3.7531759999999998</v>
      </c>
      <c r="E482">
        <v>0.54225950000000001</v>
      </c>
      <c r="F482" t="s">
        <v>43</v>
      </c>
      <c r="G482">
        <v>-344.84989999999999</v>
      </c>
      <c r="H482" s="1">
        <v>-3.364402E-6</v>
      </c>
      <c r="I482">
        <v>364.34550000000002</v>
      </c>
      <c r="J482">
        <v>-367.07530000000003</v>
      </c>
      <c r="K482">
        <v>1.1098840000000001</v>
      </c>
      <c r="L482">
        <v>367.02820000000003</v>
      </c>
      <c r="M482">
        <v>0.99992930000000002</v>
      </c>
      <c r="N482">
        <v>0</v>
      </c>
      <c r="O482">
        <v>2.6794560000000002E-3</v>
      </c>
      <c r="P482">
        <v>0.98902730000000005</v>
      </c>
      <c r="Q482">
        <v>0.14756759999999999</v>
      </c>
      <c r="R482">
        <v>-7.0257189999999997E-3</v>
      </c>
      <c r="S482">
        <v>3.053131</v>
      </c>
      <c r="T482">
        <v>-0.1500602</v>
      </c>
      <c r="U482">
        <v>-0.36257929999999999</v>
      </c>
      <c r="V482">
        <v>9.6756289999999998E-3</v>
      </c>
      <c r="W482">
        <v>0.1590241</v>
      </c>
      <c r="X482">
        <v>0.98722730000000003</v>
      </c>
      <c r="Y482">
        <v>0.1204418</v>
      </c>
      <c r="Z482">
        <v>-3.07888E-3</v>
      </c>
      <c r="AA482">
        <v>0.99271560000000003</v>
      </c>
      <c r="AB482">
        <v>38</v>
      </c>
      <c r="AC482">
        <v>22.2254</v>
      </c>
      <c r="AD482">
        <v>-1.109887364402</v>
      </c>
      <c r="AE482">
        <v>-2.6827000000000099</v>
      </c>
      <c r="AF482">
        <v>2.7355225104376801</v>
      </c>
      <c r="AG482">
        <v>-1.109887364402</v>
      </c>
      <c r="AH482">
        <v>22.1636539180566</v>
      </c>
      <c r="AI482">
        <v>92.845247341594302</v>
      </c>
      <c r="AJ482">
        <v>82.963920751462695</v>
      </c>
      <c r="AK482">
        <v>22.3593937387881</v>
      </c>
      <c r="AL482">
        <v>80.849744065134004</v>
      </c>
      <c r="AM482">
        <v>89.438472825256497</v>
      </c>
      <c r="AN482">
        <v>1.0000000120213199</v>
      </c>
    </row>
    <row r="483" spans="1:40" x14ac:dyDescent="0.25">
      <c r="A483" t="str">
        <f>"20190312172340734"</f>
        <v>20190312172340734</v>
      </c>
      <c r="B483" t="str">
        <f>"1552382620730726"</f>
        <v>1552382620730726</v>
      </c>
      <c r="C483" t="s">
        <v>40</v>
      </c>
      <c r="D483">
        <v>3.7658849999999999</v>
      </c>
      <c r="E483">
        <v>0.54239340000000003</v>
      </c>
      <c r="F483" t="s">
        <v>43</v>
      </c>
      <c r="G483">
        <v>-344.59109999999998</v>
      </c>
      <c r="H483" s="1">
        <v>-3.4720759999999999E-6</v>
      </c>
      <c r="I483">
        <v>364.34660000000002</v>
      </c>
      <c r="J483">
        <v>-366.85809999999998</v>
      </c>
      <c r="K483">
        <v>1.109882</v>
      </c>
      <c r="L483">
        <v>367.02870000000001</v>
      </c>
      <c r="M483">
        <v>0.99992910000000002</v>
      </c>
      <c r="N483">
        <v>0</v>
      </c>
      <c r="O483">
        <v>2.6883319999999999E-3</v>
      </c>
      <c r="P483">
        <v>0.9890314</v>
      </c>
      <c r="Q483">
        <v>0.1475273</v>
      </c>
      <c r="R483">
        <v>-7.2497909999999898E-3</v>
      </c>
      <c r="S483">
        <v>3.053223</v>
      </c>
      <c r="T483">
        <v>-0.15071609999999999</v>
      </c>
      <c r="U483">
        <v>-0.36413570000000001</v>
      </c>
      <c r="V483">
        <v>9.9085289999999993E-3</v>
      </c>
      <c r="W483">
        <v>0.15898509999999999</v>
      </c>
      <c r="X483">
        <v>0.98723130000000003</v>
      </c>
      <c r="Y483">
        <v>0.1209442</v>
      </c>
      <c r="Z483">
        <v>-3.1049210000000001E-3</v>
      </c>
      <c r="AA483">
        <v>0.99265440000000005</v>
      </c>
      <c r="AB483">
        <v>38</v>
      </c>
      <c r="AC483">
        <v>22.266999999999999</v>
      </c>
      <c r="AD483">
        <v>-1.1098854720760001</v>
      </c>
      <c r="AE483">
        <v>-2.6820999999999899</v>
      </c>
      <c r="AF483">
        <v>2.7352569583696398</v>
      </c>
      <c r="AG483">
        <v>-1.1098854720760001</v>
      </c>
      <c r="AH483">
        <v>22.205329268611401</v>
      </c>
      <c r="AI483">
        <v>92.839995135451304</v>
      </c>
      <c r="AJ483">
        <v>82.977669146854197</v>
      </c>
      <c r="AK483">
        <v>22.400672407695399</v>
      </c>
      <c r="AL483">
        <v>80.852007656177804</v>
      </c>
      <c r="AM483">
        <v>89.424959651257396</v>
      </c>
      <c r="AN483">
        <v>1.0000000403343201</v>
      </c>
    </row>
    <row r="484" spans="1:40" x14ac:dyDescent="0.25">
      <c r="A484" t="str">
        <f>"20190312172340755"</f>
        <v>20190312172340755</v>
      </c>
      <c r="B484" t="str">
        <f>"1552382620750812"</f>
        <v>1552382620750812</v>
      </c>
      <c r="C484" t="s">
        <v>40</v>
      </c>
      <c r="D484">
        <v>3.7496339999999999</v>
      </c>
      <c r="E484">
        <v>0.54255209999999998</v>
      </c>
      <c r="F484" t="s">
        <v>43</v>
      </c>
      <c r="G484">
        <v>-344.43869999999998</v>
      </c>
      <c r="H484" s="1">
        <v>-3.544993E-6</v>
      </c>
      <c r="I484">
        <v>364.34160000000003</v>
      </c>
      <c r="J484">
        <v>-366.50409999999999</v>
      </c>
      <c r="K484">
        <v>1.1098790000000001</v>
      </c>
      <c r="L484">
        <v>367.02969999999999</v>
      </c>
      <c r="M484">
        <v>0.99992910000000002</v>
      </c>
      <c r="N484">
        <v>0</v>
      </c>
      <c r="O484">
        <v>2.7028070000000002E-3</v>
      </c>
      <c r="P484">
        <v>0.98900679999999996</v>
      </c>
      <c r="Q484">
        <v>0.1476963</v>
      </c>
      <c r="R484">
        <v>-7.1746419999999898E-3</v>
      </c>
      <c r="S484">
        <v>3.053131</v>
      </c>
      <c r="T484">
        <v>-0.1511469</v>
      </c>
      <c r="U484">
        <v>-0.36593629999999999</v>
      </c>
      <c r="V484">
        <v>9.8475109999999998E-3</v>
      </c>
      <c r="W484">
        <v>0.15915550000000001</v>
      </c>
      <c r="X484">
        <v>0.98720439999999998</v>
      </c>
      <c r="Y484">
        <v>0.1215377</v>
      </c>
      <c r="Z484">
        <v>-3.1291119999999999E-3</v>
      </c>
      <c r="AA484">
        <v>0.99258190000000002</v>
      </c>
      <c r="AB484">
        <v>38</v>
      </c>
      <c r="AC484">
        <v>22.0654</v>
      </c>
      <c r="AD484">
        <v>-1.1098825449930001</v>
      </c>
      <c r="AE484">
        <v>-2.68809999999996</v>
      </c>
      <c r="AF484">
        <v>2.74089948733433</v>
      </c>
      <c r="AG484">
        <v>-1.1098825449930001</v>
      </c>
      <c r="AH484">
        <v>22.003198241456801</v>
      </c>
      <c r="AI484">
        <v>92.865549238024897</v>
      </c>
      <c r="AJ484">
        <v>82.899342877056796</v>
      </c>
      <c r="AK484">
        <v>22.201015790188499</v>
      </c>
      <c r="AL484">
        <v>80.842118047700296</v>
      </c>
      <c r="AM484">
        <v>89.428485016755005</v>
      </c>
      <c r="AN484">
        <v>0.99999998701625203</v>
      </c>
    </row>
    <row r="485" spans="1:40" x14ac:dyDescent="0.25">
      <c r="A485" t="str">
        <f>"20190312172340769"</f>
        <v>20190312172340769</v>
      </c>
      <c r="B485" t="str">
        <f>"1552382620760572"</f>
        <v>1552382620760572</v>
      </c>
      <c r="C485" t="s">
        <v>40</v>
      </c>
      <c r="D485">
        <v>3.7423380000000002</v>
      </c>
      <c r="E485">
        <v>0.54261579999999998</v>
      </c>
      <c r="F485" t="s">
        <v>43</v>
      </c>
      <c r="G485">
        <v>-344.05180000000001</v>
      </c>
      <c r="H485" s="1">
        <v>-3.7294440000000002E-6</v>
      </c>
      <c r="I485">
        <v>364.3329</v>
      </c>
      <c r="J485">
        <v>-366.26319999999998</v>
      </c>
      <c r="K485">
        <v>1.1098790000000001</v>
      </c>
      <c r="L485">
        <v>367.03039999999999</v>
      </c>
      <c r="M485">
        <v>0.99992919999999996</v>
      </c>
      <c r="N485">
        <v>0</v>
      </c>
      <c r="O485">
        <v>2.712576E-3</v>
      </c>
      <c r="P485">
        <v>0.98901439999999996</v>
      </c>
      <c r="Q485">
        <v>0.14764160000000001</v>
      </c>
      <c r="R485">
        <v>-7.2659469999999896E-3</v>
      </c>
      <c r="S485">
        <v>3.0532530000000002</v>
      </c>
      <c r="T485">
        <v>-0.15093119999999999</v>
      </c>
      <c r="U485">
        <v>-0.36672969999999999</v>
      </c>
      <c r="V485">
        <v>9.9485340000000002E-3</v>
      </c>
      <c r="W485">
        <v>0.15910179999999999</v>
      </c>
      <c r="X485">
        <v>0.98721210000000004</v>
      </c>
      <c r="Y485">
        <v>0.12179710000000001</v>
      </c>
      <c r="Z485">
        <v>-3.1313460000000001E-3</v>
      </c>
      <c r="AA485">
        <v>0.99255009999999999</v>
      </c>
      <c r="AB485">
        <v>38</v>
      </c>
      <c r="AC485">
        <v>22.211399999999902</v>
      </c>
      <c r="AD485">
        <v>-1.1098827294439999</v>
      </c>
      <c r="AE485">
        <v>-2.69749999999999</v>
      </c>
      <c r="AF485">
        <v>2.7509751402137002</v>
      </c>
      <c r="AG485">
        <v>-1.1098827294439999</v>
      </c>
      <c r="AH485">
        <v>22.1494992301695</v>
      </c>
      <c r="AI485">
        <v>92.846781607063505</v>
      </c>
      <c r="AJ485">
        <v>82.920100842833307</v>
      </c>
      <c r="AK485">
        <v>22.3472597882262</v>
      </c>
      <c r="AL485">
        <v>80.845235061055305</v>
      </c>
      <c r="AM485">
        <v>89.422626894317801</v>
      </c>
      <c r="AN485">
        <v>1.00000004323919</v>
      </c>
    </row>
    <row r="486" spans="1:40" x14ac:dyDescent="0.25">
      <c r="A486" t="str">
        <f>"20190312172340781"</f>
        <v>20190312172340781</v>
      </c>
      <c r="B486" t="str">
        <f>"1552382620770332"</f>
        <v>1552382620770332</v>
      </c>
      <c r="C486" t="s">
        <v>40</v>
      </c>
      <c r="D486">
        <v>3.7575159999999999</v>
      </c>
      <c r="E486">
        <v>0.54267829999999995</v>
      </c>
      <c r="F486" t="s">
        <v>43</v>
      </c>
      <c r="G486">
        <v>-343.8451</v>
      </c>
      <c r="H486" s="1">
        <v>-3.8273730000000003E-6</v>
      </c>
      <c r="I486">
        <v>364.33159999999998</v>
      </c>
      <c r="J486">
        <v>-366.05040000000002</v>
      </c>
      <c r="K486">
        <v>1.10988</v>
      </c>
      <c r="L486">
        <v>367.03100000000001</v>
      </c>
      <c r="M486">
        <v>0.99992899999999996</v>
      </c>
      <c r="N486">
        <v>0</v>
      </c>
      <c r="O486">
        <v>2.7215109999999998E-3</v>
      </c>
      <c r="P486">
        <v>0.98903830000000004</v>
      </c>
      <c r="Q486">
        <v>0.14748420000000001</v>
      </c>
      <c r="R486">
        <v>-7.1734119999999997E-3</v>
      </c>
      <c r="S486">
        <v>3.0531619999999999</v>
      </c>
      <c r="T486">
        <v>-0.15115700000000001</v>
      </c>
      <c r="U486">
        <v>-0.36755369999999998</v>
      </c>
      <c r="V486">
        <v>9.864767E-3</v>
      </c>
      <c r="W486">
        <v>0.15894549999999999</v>
      </c>
      <c r="X486">
        <v>0.98723799999999995</v>
      </c>
      <c r="Y486">
        <v>0.12207270000000001</v>
      </c>
      <c r="Z486">
        <v>-3.143304E-3</v>
      </c>
      <c r="AA486">
        <v>0.99251619999999996</v>
      </c>
      <c r="AB486">
        <v>38</v>
      </c>
      <c r="AC486">
        <v>22.205300000000001</v>
      </c>
      <c r="AD486">
        <v>-1.1098838273729901</v>
      </c>
      <c r="AE486">
        <v>-2.6994000000000198</v>
      </c>
      <c r="AF486">
        <v>2.7530483041395</v>
      </c>
      <c r="AG486">
        <v>-1.1098838273729901</v>
      </c>
      <c r="AH486">
        <v>22.143356058027301</v>
      </c>
      <c r="AI486">
        <v>92.847528335885698</v>
      </c>
      <c r="AJ486">
        <v>82.912873925225298</v>
      </c>
      <c r="AK486">
        <v>22.341426422405601</v>
      </c>
      <c r="AL486">
        <v>80.854304747353595</v>
      </c>
      <c r="AM486">
        <v>89.427503089593799</v>
      </c>
      <c r="AN486">
        <v>0.99999992712110397</v>
      </c>
    </row>
    <row r="487" spans="1:40" x14ac:dyDescent="0.25">
      <c r="A487" t="str">
        <f>"20190312172340799"</f>
        <v>20190312172340799</v>
      </c>
      <c r="B487" t="str">
        <f>"1552382620789988"</f>
        <v>1552382620789988</v>
      </c>
      <c r="C487" t="s">
        <v>40</v>
      </c>
      <c r="D487">
        <v>3.749571</v>
      </c>
      <c r="E487">
        <v>0.54276679999999999</v>
      </c>
      <c r="F487" t="s">
        <v>43</v>
      </c>
      <c r="G487">
        <v>-343.75810000000001</v>
      </c>
      <c r="H487" s="1">
        <v>-3.866195E-6</v>
      </c>
      <c r="I487">
        <v>364.34449999999998</v>
      </c>
      <c r="J487">
        <v>-365.73869999999999</v>
      </c>
      <c r="K487">
        <v>1.1098790000000001</v>
      </c>
      <c r="L487">
        <v>367.03179999999998</v>
      </c>
      <c r="M487">
        <v>0.99992910000000002</v>
      </c>
      <c r="N487">
        <v>0</v>
      </c>
      <c r="O487">
        <v>2.7346110000000001E-3</v>
      </c>
      <c r="P487">
        <v>0.98902480000000004</v>
      </c>
      <c r="Q487">
        <v>0.14758180000000001</v>
      </c>
      <c r="R487">
        <v>-7.0545719999999899E-3</v>
      </c>
      <c r="S487">
        <v>3.0532530000000002</v>
      </c>
      <c r="T487">
        <v>-0.15201509999999999</v>
      </c>
      <c r="U487">
        <v>-0.36795040000000001</v>
      </c>
      <c r="V487">
        <v>9.7592019999999998E-3</v>
      </c>
      <c r="W487">
        <v>0.1590444</v>
      </c>
      <c r="X487">
        <v>0.98722319999999997</v>
      </c>
      <c r="Y487">
        <v>0.12220739999999899</v>
      </c>
      <c r="Z487">
        <v>-3.1649960000000002E-3</v>
      </c>
      <c r="AA487">
        <v>0.99249949999999998</v>
      </c>
      <c r="AB487">
        <v>38</v>
      </c>
      <c r="AC487">
        <v>21.9805999999999</v>
      </c>
      <c r="AD487">
        <v>-1.109882866195</v>
      </c>
      <c r="AE487">
        <v>-2.6872999999999898</v>
      </c>
      <c r="AF487">
        <v>2.74051800348342</v>
      </c>
      <c r="AG487">
        <v>-1.109882866195</v>
      </c>
      <c r="AH487">
        <v>21.918108750066999</v>
      </c>
      <c r="AI487">
        <v>92.876491407478696</v>
      </c>
      <c r="AJ487">
        <v>82.873041908713304</v>
      </c>
      <c r="AK487">
        <v>22.116640117428702</v>
      </c>
      <c r="AL487">
        <v>80.848565901581495</v>
      </c>
      <c r="AM487">
        <v>89.433620611086596</v>
      </c>
      <c r="AN487">
        <v>1.00000000490663</v>
      </c>
    </row>
    <row r="488" spans="1:40" x14ac:dyDescent="0.25">
      <c r="A488" t="str">
        <f>"20190312172340812"</f>
        <v>20190312172340812</v>
      </c>
      <c r="B488" t="str">
        <f>"1552382620800724"</f>
        <v>1552382620800724</v>
      </c>
      <c r="C488" t="s">
        <v>40</v>
      </c>
      <c r="D488">
        <v>3.7052700000000001</v>
      </c>
      <c r="E488">
        <v>0.5428364</v>
      </c>
      <c r="F488" t="s">
        <v>43</v>
      </c>
      <c r="G488">
        <v>-343.51130000000001</v>
      </c>
      <c r="H488" s="1">
        <v>-3.9815300000000003E-6</v>
      </c>
      <c r="I488">
        <v>364.35199999999998</v>
      </c>
      <c r="J488">
        <v>-365.52769999999998</v>
      </c>
      <c r="K488">
        <v>1.1098760000000001</v>
      </c>
      <c r="L488">
        <v>367.0324</v>
      </c>
      <c r="M488">
        <v>0.99992910000000002</v>
      </c>
      <c r="N488">
        <v>0</v>
      </c>
      <c r="O488">
        <v>2.743367E-3</v>
      </c>
      <c r="P488">
        <v>0.9889966</v>
      </c>
      <c r="Q488">
        <v>0.1477736</v>
      </c>
      <c r="R488">
        <v>-7.0064460000000004E-3</v>
      </c>
      <c r="S488">
        <v>3.053436</v>
      </c>
      <c r="T488">
        <v>-0.15246770000000001</v>
      </c>
      <c r="U488">
        <v>-0.3681335</v>
      </c>
      <c r="V488">
        <v>9.7195990000000006E-3</v>
      </c>
      <c r="W488">
        <v>0.15923689999999999</v>
      </c>
      <c r="X488">
        <v>0.98719259999999998</v>
      </c>
      <c r="Y488">
        <v>0.12226670000000001</v>
      </c>
      <c r="Z488">
        <v>-3.1761179999999999E-3</v>
      </c>
      <c r="AA488">
        <v>0.99249219999999905</v>
      </c>
      <c r="AB488">
        <v>38</v>
      </c>
      <c r="AC488">
        <v>22.016399999999901</v>
      </c>
      <c r="AD488">
        <v>-1.10987998153</v>
      </c>
      <c r="AE488">
        <v>-2.6804000000000201</v>
      </c>
      <c r="AF488">
        <v>2.7339466748959498</v>
      </c>
      <c r="AG488">
        <v>-1.10987998153</v>
      </c>
      <c r="AH488">
        <v>21.953986085296702</v>
      </c>
      <c r="AI488">
        <v>92.871968477240102</v>
      </c>
      <c r="AJ488">
        <v>82.9014567632167</v>
      </c>
      <c r="AK488">
        <v>22.151383772305898</v>
      </c>
      <c r="AL488">
        <v>80.837394462076702</v>
      </c>
      <c r="AM488">
        <v>89.435901355330401</v>
      </c>
      <c r="AN488">
        <v>1.00000004521054</v>
      </c>
    </row>
    <row r="489" spans="1:40" x14ac:dyDescent="0.25">
      <c r="A489" t="str">
        <f>"20190312172340825"</f>
        <v>20190312172340825</v>
      </c>
      <c r="B489" t="str">
        <f>"1552382620820245"</f>
        <v>1552382620820245</v>
      </c>
      <c r="C489" t="s">
        <v>40</v>
      </c>
      <c r="D489">
        <v>3.7418239999999998</v>
      </c>
      <c r="E489">
        <v>0.54297609999999996</v>
      </c>
      <c r="F489" t="s">
        <v>43</v>
      </c>
      <c r="G489">
        <v>-343.24430000000001</v>
      </c>
      <c r="H489" s="1">
        <v>-4.1095899999999997E-6</v>
      </c>
      <c r="I489">
        <v>364.3417</v>
      </c>
      <c r="J489">
        <v>-365.31849999999997</v>
      </c>
      <c r="K489">
        <v>1.1098760000000001</v>
      </c>
      <c r="L489">
        <v>367.03300000000002</v>
      </c>
      <c r="M489">
        <v>0.99992890000000001</v>
      </c>
      <c r="N489">
        <v>0</v>
      </c>
      <c r="O489">
        <v>2.7523019999999999E-3</v>
      </c>
      <c r="P489">
        <v>0.98901939999999999</v>
      </c>
      <c r="Q489">
        <v>0.14762999999999901</v>
      </c>
      <c r="R489">
        <v>-6.7966529999999997E-3</v>
      </c>
      <c r="S489">
        <v>3.053528</v>
      </c>
      <c r="T489">
        <v>-0.152088</v>
      </c>
      <c r="U489">
        <v>-0.36871340000000002</v>
      </c>
      <c r="V489">
        <v>9.5187299999999996E-3</v>
      </c>
      <c r="W489">
        <v>0.15909429999999999</v>
      </c>
      <c r="X489">
        <v>0.98721749999999997</v>
      </c>
      <c r="Y489">
        <v>0.122458399999999</v>
      </c>
      <c r="Z489">
        <v>-3.1732840000000002E-3</v>
      </c>
      <c r="AA489">
        <v>0.99246860000000003</v>
      </c>
      <c r="AB489">
        <v>38</v>
      </c>
      <c r="AC489">
        <v>22.074199999999902</v>
      </c>
      <c r="AD489">
        <v>-1.1098801095899999</v>
      </c>
      <c r="AE489">
        <v>-2.6913000000000098</v>
      </c>
      <c r="AF489">
        <v>2.74521043510416</v>
      </c>
      <c r="AG489">
        <v>-1.1098801095899999</v>
      </c>
      <c r="AH489">
        <v>22.011876982750099</v>
      </c>
      <c r="AI489">
        <v>92.864363530226498</v>
      </c>
      <c r="AJ489">
        <v>82.891064349511794</v>
      </c>
      <c r="AK489">
        <v>22.210149537866499</v>
      </c>
      <c r="AL489">
        <v>80.845669900267495</v>
      </c>
      <c r="AM489">
        <v>89.447572439452102</v>
      </c>
      <c r="AN489">
        <v>0.99999999740977596</v>
      </c>
    </row>
    <row r="490" spans="1:40" x14ac:dyDescent="0.25">
      <c r="A490" t="str">
        <f>"20190312172340837"</f>
        <v>20190312172340837</v>
      </c>
      <c r="B490" t="str">
        <f>"1552382620830004"</f>
        <v>1552382620830004</v>
      </c>
      <c r="C490" t="s">
        <v>40</v>
      </c>
      <c r="D490">
        <v>3.7355239999999998</v>
      </c>
      <c r="E490">
        <v>0.54306889999999997</v>
      </c>
      <c r="F490" t="s">
        <v>43</v>
      </c>
      <c r="G490">
        <v>-343.15699999999998</v>
      </c>
      <c r="H490" s="1">
        <v>-4.1485229999999998E-6</v>
      </c>
      <c r="I490">
        <v>364.35480000000001</v>
      </c>
      <c r="J490">
        <v>-365.08839999999998</v>
      </c>
      <c r="K490">
        <v>1.1098709999999901</v>
      </c>
      <c r="L490">
        <v>367.03359999999998</v>
      </c>
      <c r="M490">
        <v>0.99992899999999996</v>
      </c>
      <c r="N490">
        <v>0</v>
      </c>
      <c r="O490">
        <v>2.7617119999999999E-3</v>
      </c>
      <c r="P490">
        <v>0.98901669999999997</v>
      </c>
      <c r="Q490">
        <v>0.14765400000000001</v>
      </c>
      <c r="R490">
        <v>-6.6713739999999999E-3</v>
      </c>
      <c r="S490">
        <v>3.0535580000000002</v>
      </c>
      <c r="T490">
        <v>-0.1529266</v>
      </c>
      <c r="U490">
        <v>-0.36901859999999997</v>
      </c>
      <c r="V490">
        <v>9.4026760000000004E-3</v>
      </c>
      <c r="W490">
        <v>0.1591197</v>
      </c>
      <c r="X490">
        <v>0.98721449999999999</v>
      </c>
      <c r="Y490">
        <v>0.1225625</v>
      </c>
      <c r="Z490">
        <v>-3.1937710000000002E-3</v>
      </c>
      <c r="AA490">
        <v>0.99245570000000005</v>
      </c>
      <c r="AB490">
        <v>38</v>
      </c>
      <c r="AC490">
        <v>21.9314</v>
      </c>
      <c r="AD490">
        <v>-1.1098751485229901</v>
      </c>
      <c r="AE490">
        <v>-2.6787999999999599</v>
      </c>
      <c r="AF490">
        <v>2.7324669886038899</v>
      </c>
      <c r="AG490">
        <v>-1.1098751485229901</v>
      </c>
      <c r="AH490">
        <v>21.8687344784937</v>
      </c>
      <c r="AI490">
        <v>92.882985276781497</v>
      </c>
      <c r="AJ490">
        <v>82.877885346644902</v>
      </c>
      <c r="AK490">
        <v>22.066711272411599</v>
      </c>
      <c r="AL490">
        <v>80.844195640698402</v>
      </c>
      <c r="AM490">
        <v>89.454305663684707</v>
      </c>
      <c r="AN490">
        <v>0.99999997912715</v>
      </c>
    </row>
    <row r="491" spans="1:40" x14ac:dyDescent="0.25">
      <c r="A491" t="str">
        <f>"20190312172340854"</f>
        <v>20190312172340854</v>
      </c>
      <c r="B491" t="str">
        <f>"1552382620850500"</f>
        <v>1552382620850500</v>
      </c>
      <c r="C491" t="s">
        <v>40</v>
      </c>
      <c r="D491">
        <v>3.7475139999999998</v>
      </c>
      <c r="E491">
        <v>0.54321709999999901</v>
      </c>
      <c r="F491" t="s">
        <v>43</v>
      </c>
      <c r="G491">
        <v>-342.93439999999998</v>
      </c>
      <c r="H491" s="1">
        <v>-4.2536649999999997E-6</v>
      </c>
      <c r="I491">
        <v>364.35509999999999</v>
      </c>
      <c r="J491">
        <v>-364.81009999999998</v>
      </c>
      <c r="K491">
        <v>1.109869</v>
      </c>
      <c r="L491">
        <v>367.03440000000001</v>
      </c>
      <c r="M491">
        <v>0.99992890000000001</v>
      </c>
      <c r="N491">
        <v>0</v>
      </c>
      <c r="O491">
        <v>2.7733279999999998E-3</v>
      </c>
      <c r="P491">
        <v>0.98901600000000001</v>
      </c>
      <c r="Q491">
        <v>0.14766370000000001</v>
      </c>
      <c r="R491">
        <v>-6.5582059999999996E-3</v>
      </c>
      <c r="S491">
        <v>3.0536500000000002</v>
      </c>
      <c r="T491">
        <v>-0.15298249999999999</v>
      </c>
      <c r="U491">
        <v>-0.36920170000000002</v>
      </c>
      <c r="V491">
        <v>9.3010130000000003E-3</v>
      </c>
      <c r="W491">
        <v>0.15913050000000001</v>
      </c>
      <c r="X491">
        <v>0.98721369999999997</v>
      </c>
      <c r="Y491">
        <v>0.1226289</v>
      </c>
      <c r="Z491">
        <v>-3.1970689999999999E-3</v>
      </c>
      <c r="AA491">
        <v>0.99244739999999998</v>
      </c>
      <c r="AB491">
        <v>38</v>
      </c>
      <c r="AC491">
        <v>21.875699999999899</v>
      </c>
      <c r="AD491">
        <v>-1.109873253665</v>
      </c>
      <c r="AE491">
        <v>-2.6793000000000098</v>
      </c>
      <c r="AF491">
        <v>2.7330311854035201</v>
      </c>
      <c r="AG491">
        <v>-1.109873253665</v>
      </c>
      <c r="AH491">
        <v>21.812866443504699</v>
      </c>
      <c r="AI491">
        <v>92.890228919712001</v>
      </c>
      <c r="AJ491">
        <v>82.858372850520098</v>
      </c>
      <c r="AK491">
        <v>22.011415687814399</v>
      </c>
      <c r="AL491">
        <v>80.843568657321001</v>
      </c>
      <c r="AM491">
        <v>89.460204995955905</v>
      </c>
      <c r="AN491">
        <v>0.99999995717038204</v>
      </c>
    </row>
    <row r="492" spans="1:40" x14ac:dyDescent="0.25">
      <c r="A492" t="str">
        <f>"20190312172340879"</f>
        <v>20190312172340879</v>
      </c>
      <c r="B492" t="str">
        <f>"1552382620870020"</f>
        <v>1552382620870020</v>
      </c>
      <c r="C492" t="s">
        <v>40</v>
      </c>
      <c r="D492">
        <v>3.745393</v>
      </c>
      <c r="E492">
        <v>0.5432979</v>
      </c>
      <c r="F492" t="s">
        <v>43</v>
      </c>
      <c r="G492">
        <v>-342.76029999999997</v>
      </c>
      <c r="H492" s="1">
        <v>-4.3347890000000003E-6</v>
      </c>
      <c r="I492">
        <v>364.36200000000002</v>
      </c>
      <c r="J492">
        <v>-364.399</v>
      </c>
      <c r="K492">
        <v>1.109874</v>
      </c>
      <c r="L492">
        <v>367.03559999999999</v>
      </c>
      <c r="M492">
        <v>0.99992879999999995</v>
      </c>
      <c r="N492">
        <v>0</v>
      </c>
      <c r="O492">
        <v>2.7898319999999999E-3</v>
      </c>
      <c r="P492">
        <v>0.98905129999999997</v>
      </c>
      <c r="Q492">
        <v>0.14743339999999999</v>
      </c>
      <c r="R492">
        <v>-6.4045940000000004E-3</v>
      </c>
      <c r="S492">
        <v>3.0538020000000001</v>
      </c>
      <c r="T492">
        <v>-0.153712299999999</v>
      </c>
      <c r="U492">
        <v>-0.37011719999999998</v>
      </c>
      <c r="V492">
        <v>9.1637539999999996E-3</v>
      </c>
      <c r="W492">
        <v>0.15890219999999999</v>
      </c>
      <c r="X492">
        <v>0.98725180000000001</v>
      </c>
      <c r="Y492">
        <v>0.12293080000000001</v>
      </c>
      <c r="Z492">
        <v>-3.220475E-3</v>
      </c>
      <c r="AA492">
        <v>0.99241000000000001</v>
      </c>
      <c r="AB492">
        <v>38</v>
      </c>
      <c r="AC492">
        <v>21.6387</v>
      </c>
      <c r="AD492">
        <v>-1.109878334789</v>
      </c>
      <c r="AE492">
        <v>-2.67360000000002</v>
      </c>
      <c r="AF492">
        <v>2.7268959395516998</v>
      </c>
      <c r="AG492">
        <v>-1.109878334789</v>
      </c>
      <c r="AH492">
        <v>21.575249622903701</v>
      </c>
      <c r="AI492">
        <v>92.921622797360001</v>
      </c>
      <c r="AJ492">
        <v>82.796580862380694</v>
      </c>
      <c r="AK492">
        <v>21.775196616191199</v>
      </c>
      <c r="AL492">
        <v>80.856818263690201</v>
      </c>
      <c r="AM492">
        <v>89.468191042335405</v>
      </c>
      <c r="AN492">
        <v>1.0000000000777201</v>
      </c>
    </row>
    <row r="493" spans="1:40" x14ac:dyDescent="0.25">
      <c r="A493" t="str">
        <f>"20190312172340902"</f>
        <v>20190312172340902</v>
      </c>
      <c r="B493" t="str">
        <f>"1552382620889977"</f>
        <v>1552382620889977</v>
      </c>
      <c r="C493" t="s">
        <v>40</v>
      </c>
      <c r="D493">
        <v>3.750086</v>
      </c>
      <c r="E493">
        <v>0.54613449999999997</v>
      </c>
      <c r="F493" t="s">
        <v>43</v>
      </c>
      <c r="G493">
        <v>-342.47390000000001</v>
      </c>
      <c r="H493" s="1">
        <v>-4.4676189999999997E-6</v>
      </c>
      <c r="I493">
        <v>364.37639999999999</v>
      </c>
      <c r="J493">
        <v>-364.005</v>
      </c>
      <c r="K493">
        <v>1.1098760000000001</v>
      </c>
      <c r="L493">
        <v>367.0367</v>
      </c>
      <c r="M493">
        <v>0.99992879999999995</v>
      </c>
      <c r="N493">
        <v>0</v>
      </c>
      <c r="O493">
        <v>2.80627E-3</v>
      </c>
      <c r="P493">
        <v>0.98907829999999997</v>
      </c>
      <c r="Q493">
        <v>0.1472551</v>
      </c>
      <c r="R493">
        <v>-6.3343610000000002E-3</v>
      </c>
      <c r="S493">
        <v>3.0538639999999999</v>
      </c>
      <c r="T493">
        <v>-0.15459039999999999</v>
      </c>
      <c r="U493">
        <v>-0.37039179999999999</v>
      </c>
      <c r="V493">
        <v>9.1099690000000007E-3</v>
      </c>
      <c r="W493">
        <v>0.15872610000000001</v>
      </c>
      <c r="X493">
        <v>0.98728059999999995</v>
      </c>
      <c r="Y493">
        <v>0.12303070000000001</v>
      </c>
      <c r="Z493">
        <v>-3.2421149999999998E-3</v>
      </c>
      <c r="AA493">
        <v>0.99239750000000004</v>
      </c>
      <c r="AB493">
        <v>38</v>
      </c>
      <c r="AC493">
        <v>21.531099999999899</v>
      </c>
      <c r="AD493">
        <v>-1.1098804676189999</v>
      </c>
      <c r="AE493">
        <v>-2.6602999999999999</v>
      </c>
      <c r="AF493">
        <v>2.7136135465529798</v>
      </c>
      <c r="AG493">
        <v>-1.1098804676189999</v>
      </c>
      <c r="AH493">
        <v>21.467364389170001</v>
      </c>
      <c r="AI493">
        <v>92.936279550253403</v>
      </c>
      <c r="AJ493">
        <v>82.795652946809696</v>
      </c>
      <c r="AK493">
        <v>21.6666394936973</v>
      </c>
      <c r="AL493">
        <v>80.867037517814893</v>
      </c>
      <c r="AM493">
        <v>89.471327642818096</v>
      </c>
      <c r="AN493">
        <v>0.99999997474637503</v>
      </c>
    </row>
    <row r="494" spans="1:40" x14ac:dyDescent="0.25">
      <c r="A494" t="str">
        <f>"20190312172340923"</f>
        <v>20190312172340923</v>
      </c>
      <c r="B494" t="str">
        <f>"1552382620910473"</f>
        <v>1552382620910473</v>
      </c>
      <c r="C494" t="s">
        <v>40</v>
      </c>
      <c r="D494">
        <v>3.7057899999999999</v>
      </c>
      <c r="E494">
        <v>0.54615400000000003</v>
      </c>
      <c r="F494" t="s">
        <v>43</v>
      </c>
      <c r="G494">
        <v>-343.46539999999999</v>
      </c>
      <c r="H494" s="1">
        <v>-3.9955439999999996E-6</v>
      </c>
      <c r="I494">
        <v>364.3954</v>
      </c>
      <c r="J494">
        <v>-363.6465</v>
      </c>
      <c r="K494">
        <v>1.109877</v>
      </c>
      <c r="L494">
        <v>367.0378</v>
      </c>
      <c r="M494">
        <v>0.9999287</v>
      </c>
      <c r="N494">
        <v>0</v>
      </c>
      <c r="O494">
        <v>2.821456E-3</v>
      </c>
      <c r="P494">
        <v>0.98908390000000002</v>
      </c>
      <c r="Q494">
        <v>0.14721699999999999</v>
      </c>
      <c r="R494">
        <v>-6.3609080000000002E-3</v>
      </c>
      <c r="S494">
        <v>3.055145</v>
      </c>
      <c r="T494">
        <v>-0.16508789999999901</v>
      </c>
      <c r="U494">
        <v>-0.39288329999999999</v>
      </c>
      <c r="V494">
        <v>9.1514950000000008E-3</v>
      </c>
      <c r="W494">
        <v>0.15868989999999999</v>
      </c>
      <c r="X494">
        <v>0.98728610000000006</v>
      </c>
      <c r="Y494">
        <v>0.1301542</v>
      </c>
      <c r="Z494">
        <v>-3.651311E-3</v>
      </c>
      <c r="AA494">
        <v>0.99148700000000001</v>
      </c>
      <c r="AB494">
        <v>38</v>
      </c>
      <c r="AC494">
        <v>20.181100000000001</v>
      </c>
      <c r="AD494">
        <v>-1.1098809955439899</v>
      </c>
      <c r="AE494">
        <v>-2.6423999999999999</v>
      </c>
      <c r="AF494">
        <v>2.6913304919924301</v>
      </c>
      <c r="AG494">
        <v>-1.1098809955439899</v>
      </c>
      <c r="AH494">
        <v>20.113753727581098</v>
      </c>
      <c r="AI494">
        <v>93.130545742689307</v>
      </c>
      <c r="AJ494">
        <v>82.378778734534905</v>
      </c>
      <c r="AK494">
        <v>20.323340883210602</v>
      </c>
      <c r="AL494">
        <v>80.869138839985595</v>
      </c>
      <c r="AM494">
        <v>89.468920890081904</v>
      </c>
      <c r="AN494">
        <v>1.0000000387379699</v>
      </c>
    </row>
    <row r="495" spans="1:40" x14ac:dyDescent="0.25">
      <c r="A495" t="str">
        <f>"20190312172340945"</f>
        <v>20190312172340945</v>
      </c>
      <c r="B495" t="str">
        <f>"1552382620940729"</f>
        <v>1552382620940729</v>
      </c>
      <c r="C495" t="s">
        <v>40</v>
      </c>
      <c r="D495">
        <v>3.7519469999999999</v>
      </c>
      <c r="E495">
        <v>0.54627079999999995</v>
      </c>
      <c r="F495" t="s">
        <v>43</v>
      </c>
      <c r="G495">
        <v>-342.9479</v>
      </c>
      <c r="H495" s="1">
        <v>-4.2441060000000003E-6</v>
      </c>
      <c r="I495">
        <v>364.37310000000002</v>
      </c>
      <c r="J495">
        <v>-363.26990000000001</v>
      </c>
      <c r="K495">
        <v>1.1098809999999999</v>
      </c>
      <c r="L495">
        <v>367.03879999999998</v>
      </c>
      <c r="M495">
        <v>0.99992859999999995</v>
      </c>
      <c r="N495">
        <v>0</v>
      </c>
      <c r="O495">
        <v>2.8370629999999999E-3</v>
      </c>
      <c r="P495">
        <v>0.98904610000000004</v>
      </c>
      <c r="Q495">
        <v>0.1474779</v>
      </c>
      <c r="R495">
        <v>-6.1871360000000002E-3</v>
      </c>
      <c r="S495">
        <v>3.054932</v>
      </c>
      <c r="T495">
        <v>-0.16380890000000001</v>
      </c>
      <c r="U495">
        <v>-0.39328000000000002</v>
      </c>
      <c r="V495">
        <v>8.9929850000000002E-3</v>
      </c>
      <c r="W495">
        <v>0.1589516</v>
      </c>
      <c r="X495">
        <v>0.98724540000000005</v>
      </c>
      <c r="Y495">
        <v>0.1303078</v>
      </c>
      <c r="Z495">
        <v>-3.6282129999999999E-3</v>
      </c>
      <c r="AA495">
        <v>0.99146690000000004</v>
      </c>
      <c r="AB495">
        <v>38</v>
      </c>
      <c r="AC495">
        <v>20.321999999999999</v>
      </c>
      <c r="AD495">
        <v>-1.1098852441060001</v>
      </c>
      <c r="AE495">
        <v>-2.66569999999995</v>
      </c>
      <c r="AF495">
        <v>2.71538551859771</v>
      </c>
      <c r="AG495">
        <v>-1.1098852441060001</v>
      </c>
      <c r="AH495">
        <v>20.254960523663101</v>
      </c>
      <c r="AI495">
        <v>93.108672069047699</v>
      </c>
      <c r="AJ495">
        <v>82.364437533552902</v>
      </c>
      <c r="AK495">
        <v>20.466279329297901</v>
      </c>
      <c r="AL495">
        <v>80.853951252221407</v>
      </c>
      <c r="AM495">
        <v>89.478097507607799</v>
      </c>
      <c r="AN495">
        <v>0.99999998237146404</v>
      </c>
    </row>
    <row r="496" spans="1:40" x14ac:dyDescent="0.25">
      <c r="A496" t="str">
        <f>"20190312172340968"</f>
        <v>20190312172340968</v>
      </c>
      <c r="B496" t="str">
        <f>"1552382620960252"</f>
        <v>1552382620960252</v>
      </c>
      <c r="C496" t="s">
        <v>40</v>
      </c>
      <c r="D496">
        <v>3.7743150000000001</v>
      </c>
      <c r="E496">
        <v>0.54611709999999902</v>
      </c>
      <c r="F496" t="s">
        <v>43</v>
      </c>
      <c r="G496">
        <v>-342.30410000000001</v>
      </c>
      <c r="H496" s="1">
        <v>-4.5547190000000001E-6</v>
      </c>
      <c r="I496">
        <v>364.33780000000002</v>
      </c>
      <c r="J496">
        <v>-362.88850000000002</v>
      </c>
      <c r="K496">
        <v>1.1098760000000001</v>
      </c>
      <c r="L496">
        <v>367.03989999999999</v>
      </c>
      <c r="M496">
        <v>0.99992859999999995</v>
      </c>
      <c r="N496">
        <v>0</v>
      </c>
      <c r="O496">
        <v>2.8525540000000002E-3</v>
      </c>
      <c r="P496">
        <v>0.98905969999999999</v>
      </c>
      <c r="Q496">
        <v>0.1473865</v>
      </c>
      <c r="R496">
        <v>-6.2000960000000004E-3</v>
      </c>
      <c r="S496">
        <v>3.05484</v>
      </c>
      <c r="T496">
        <v>-0.16171679999999999</v>
      </c>
      <c r="U496">
        <v>-0.39355469999999998</v>
      </c>
      <c r="V496">
        <v>9.0212880000000006E-3</v>
      </c>
      <c r="W496">
        <v>0.15886169999999999</v>
      </c>
      <c r="X496">
        <v>0.98725960000000001</v>
      </c>
      <c r="Y496">
        <v>0.13041920000000001</v>
      </c>
      <c r="Z496">
        <v>-3.5857760000000002E-3</v>
      </c>
      <c r="AA496">
        <v>0.99145249999999996</v>
      </c>
      <c r="AB496">
        <v>38</v>
      </c>
      <c r="AC496">
        <v>20.584399999999999</v>
      </c>
      <c r="AD496">
        <v>-1.109880554719</v>
      </c>
      <c r="AE496">
        <v>-2.70209999999997</v>
      </c>
      <c r="AF496">
        <v>2.7529432685191999</v>
      </c>
      <c r="AG496">
        <v>-1.109880554719</v>
      </c>
      <c r="AH496">
        <v>20.517968294679001</v>
      </c>
      <c r="AI496">
        <v>93.068842338901405</v>
      </c>
      <c r="AJ496">
        <v>82.358131477208403</v>
      </c>
      <c r="AK496">
        <v>20.7315593824218</v>
      </c>
      <c r="AL496">
        <v>80.859168325710399</v>
      </c>
      <c r="AM496">
        <v>89.476462581115996</v>
      </c>
      <c r="AN496">
        <v>0.99999997057811396</v>
      </c>
    </row>
    <row r="497" spans="1:40" x14ac:dyDescent="0.25">
      <c r="A497" t="str">
        <f>"20190312172340980"</f>
        <v>20190312172340980</v>
      </c>
      <c r="B497" t="str">
        <f>"1552382620970008"</f>
        <v>1552382620970008</v>
      </c>
      <c r="C497" t="s">
        <v>40</v>
      </c>
      <c r="D497">
        <v>3.7374239999999999</v>
      </c>
      <c r="E497">
        <v>0.54623279999999996</v>
      </c>
      <c r="F497" t="s">
        <v>43</v>
      </c>
      <c r="G497">
        <v>-341.91930000000002</v>
      </c>
      <c r="H497" s="1">
        <v>-4.7351139999999997E-6</v>
      </c>
      <c r="I497">
        <v>364.34629999999999</v>
      </c>
      <c r="J497">
        <v>-362.65989999999999</v>
      </c>
      <c r="K497">
        <v>1.109877</v>
      </c>
      <c r="L497">
        <v>367.04059999999998</v>
      </c>
      <c r="M497">
        <v>0.9999285</v>
      </c>
      <c r="N497">
        <v>0</v>
      </c>
      <c r="O497">
        <v>2.861967E-3</v>
      </c>
      <c r="P497">
        <v>0.98908720000000006</v>
      </c>
      <c r="Q497">
        <v>0.14720320000000001</v>
      </c>
      <c r="R497">
        <v>-6.1557010000000004E-3</v>
      </c>
      <c r="S497">
        <v>3.0547789999999999</v>
      </c>
      <c r="T497">
        <v>-0.1616862</v>
      </c>
      <c r="U497">
        <v>-0.39239499999999999</v>
      </c>
      <c r="V497">
        <v>8.986384E-3</v>
      </c>
      <c r="W497">
        <v>0.15867999999999999</v>
      </c>
      <c r="X497">
        <v>0.98728919999999998</v>
      </c>
      <c r="Y497">
        <v>0.13006129999999999</v>
      </c>
      <c r="Z497">
        <v>-3.576325E-3</v>
      </c>
      <c r="AA497">
        <v>0.99149949999999998</v>
      </c>
      <c r="AB497">
        <v>38</v>
      </c>
      <c r="AC497">
        <v>20.740599999999901</v>
      </c>
      <c r="AD497">
        <v>-1.109881735114</v>
      </c>
      <c r="AE497">
        <v>-2.6942999999999899</v>
      </c>
      <c r="AF497">
        <v>2.7459191834982</v>
      </c>
      <c r="AG497">
        <v>-1.109881735114</v>
      </c>
      <c r="AH497">
        <v>20.6745825019884</v>
      </c>
      <c r="AI497">
        <v>93.046183136995595</v>
      </c>
      <c r="AJ497">
        <v>82.434471431583006</v>
      </c>
      <c r="AK497">
        <v>20.885647494386401</v>
      </c>
      <c r="AL497">
        <v>80.869713276053702</v>
      </c>
      <c r="AM497">
        <v>89.478503706876594</v>
      </c>
      <c r="AN497">
        <v>1.0000000309670101</v>
      </c>
    </row>
    <row r="498" spans="1:40" x14ac:dyDescent="0.25">
      <c r="A498" t="str">
        <f>"20190312172341000"</f>
        <v>20190312172341000</v>
      </c>
      <c r="B498" t="str">
        <f>"1552382620990035"</f>
        <v>1552382620990035</v>
      </c>
      <c r="C498" t="s">
        <v>40</v>
      </c>
      <c r="D498">
        <v>3.7951570000000001</v>
      </c>
      <c r="E498">
        <v>0.54638339999999996</v>
      </c>
      <c r="F498" t="s">
        <v>43</v>
      </c>
      <c r="G498">
        <v>-341.68470000000002</v>
      </c>
      <c r="H498" s="1">
        <v>-4.8475130000000003E-6</v>
      </c>
      <c r="I498">
        <v>364.33780000000002</v>
      </c>
      <c r="J498">
        <v>-362.32499999999999</v>
      </c>
      <c r="K498">
        <v>1.1098779999999999</v>
      </c>
      <c r="L498">
        <v>367.04149999999998</v>
      </c>
      <c r="M498">
        <v>0.9999285</v>
      </c>
      <c r="N498">
        <v>0</v>
      </c>
      <c r="O498">
        <v>2.8754290000000001E-3</v>
      </c>
      <c r="P498">
        <v>0.98907750000000005</v>
      </c>
      <c r="Q498">
        <v>0.1472801</v>
      </c>
      <c r="R498">
        <v>-5.8690219999999998E-3</v>
      </c>
      <c r="S498">
        <v>3.0547179999999998</v>
      </c>
      <c r="T498">
        <v>-0.16163720000000001</v>
      </c>
      <c r="U498">
        <v>-0.39361570000000001</v>
      </c>
      <c r="V498">
        <v>8.7129440000000002E-3</v>
      </c>
      <c r="W498">
        <v>0.15875810000000001</v>
      </c>
      <c r="X498">
        <v>0.98727909999999997</v>
      </c>
      <c r="Y498">
        <v>0.13046640000000001</v>
      </c>
      <c r="Z498">
        <v>-3.5866000000000001E-3</v>
      </c>
      <c r="AA498">
        <v>0.9914463</v>
      </c>
      <c r="AB498">
        <v>38</v>
      </c>
      <c r="AC498">
        <v>20.6402999999999</v>
      </c>
      <c r="AD498">
        <v>-1.109882847513</v>
      </c>
      <c r="AE498">
        <v>-2.70369999999996</v>
      </c>
      <c r="AF498">
        <v>2.7552102553662299</v>
      </c>
      <c r="AG498">
        <v>-1.109882847513</v>
      </c>
      <c r="AH498">
        <v>20.573953922278399</v>
      </c>
      <c r="AI498">
        <v>93.060616185947197</v>
      </c>
      <c r="AJ498">
        <v>82.372479571580399</v>
      </c>
      <c r="AK498">
        <v>20.7872702268122</v>
      </c>
      <c r="AL498">
        <v>80.865181065816998</v>
      </c>
      <c r="AM498">
        <v>89.494365920838902</v>
      </c>
      <c r="AN498">
        <v>1.00000003550278</v>
      </c>
    </row>
    <row r="499" spans="1:40" x14ac:dyDescent="0.25">
      <c r="A499" t="str">
        <f>"20190312172341013"</f>
        <v>20190312172341013</v>
      </c>
      <c r="B499" t="str">
        <f>"1552382621000772"</f>
        <v>1552382621000772</v>
      </c>
      <c r="C499" t="s">
        <v>40</v>
      </c>
      <c r="D499">
        <v>3.7394409999999998</v>
      </c>
      <c r="E499">
        <v>0.54638339999999996</v>
      </c>
      <c r="F499" t="s">
        <v>43</v>
      </c>
      <c r="G499">
        <v>-341.33980000000003</v>
      </c>
      <c r="H499" s="1">
        <v>-5.0108329999999998E-6</v>
      </c>
      <c r="I499">
        <v>364.33609999999999</v>
      </c>
      <c r="J499">
        <v>-362.10750000000002</v>
      </c>
      <c r="K499">
        <v>1.1098779999999999</v>
      </c>
      <c r="L499">
        <v>367.04219999999998</v>
      </c>
      <c r="M499">
        <v>0.9999285</v>
      </c>
      <c r="N499">
        <v>0</v>
      </c>
      <c r="O499">
        <v>2.8846599999999998E-3</v>
      </c>
      <c r="P499">
        <v>0.98910169999999997</v>
      </c>
      <c r="Q499">
        <v>0.1471198</v>
      </c>
      <c r="R499">
        <v>-5.8252579999999998E-3</v>
      </c>
      <c r="S499">
        <v>3.05484</v>
      </c>
      <c r="T499">
        <v>-0.161567299999999</v>
      </c>
      <c r="U499">
        <v>-0.39382929999999999</v>
      </c>
      <c r="V499">
        <v>8.6782879999999993E-3</v>
      </c>
      <c r="W499">
        <v>0.15859949999999901</v>
      </c>
      <c r="X499">
        <v>0.98730490000000004</v>
      </c>
      <c r="Y499">
        <v>0.13053879999999901</v>
      </c>
      <c r="Z499">
        <v>-3.587284E-3</v>
      </c>
      <c r="AA499">
        <v>0.99143669999999995</v>
      </c>
      <c r="AB499">
        <v>38</v>
      </c>
      <c r="AC499">
        <v>20.767699999999898</v>
      </c>
      <c r="AD499">
        <v>-1.109883010833</v>
      </c>
      <c r="AE499">
        <v>-2.70609999999999</v>
      </c>
      <c r="AF499">
        <v>2.7582541273075099</v>
      </c>
      <c r="AG499">
        <v>-1.109883010833</v>
      </c>
      <c r="AH499">
        <v>20.701667420916898</v>
      </c>
      <c r="AI499">
        <v>93.0420411389224</v>
      </c>
      <c r="AJ499">
        <v>82.410708900985398</v>
      </c>
      <c r="AK499">
        <v>20.914082340250999</v>
      </c>
      <c r="AL499">
        <v>80.874384824638398</v>
      </c>
      <c r="AM499">
        <v>89.496390151854698</v>
      </c>
      <c r="AN499">
        <v>1.0000000398234301</v>
      </c>
    </row>
    <row r="500" spans="1:40" x14ac:dyDescent="0.25">
      <c r="A500" t="str">
        <f>"20190312172341026"</f>
        <v>20190312172341026</v>
      </c>
      <c r="B500" t="str">
        <f>"1552382621020292"</f>
        <v>1552382621020292</v>
      </c>
      <c r="C500" t="s">
        <v>40</v>
      </c>
      <c r="D500">
        <v>3.7508750000000002</v>
      </c>
      <c r="E500">
        <v>0.54940250000000002</v>
      </c>
      <c r="F500" t="s">
        <v>43</v>
      </c>
      <c r="G500">
        <v>-341.17849999999999</v>
      </c>
      <c r="H500" s="1">
        <v>-5.0854670000000004E-6</v>
      </c>
      <c r="I500">
        <v>364.34519999999998</v>
      </c>
      <c r="J500">
        <v>-361.89859999999999</v>
      </c>
      <c r="K500">
        <v>1.1098779999999999</v>
      </c>
      <c r="L500">
        <v>367.0428</v>
      </c>
      <c r="M500">
        <v>0.99992829999999999</v>
      </c>
      <c r="N500">
        <v>0</v>
      </c>
      <c r="O500">
        <v>2.8935940000000002E-3</v>
      </c>
      <c r="P500">
        <v>0.98907069999999997</v>
      </c>
      <c r="Q500">
        <v>0.14732579999999901</v>
      </c>
      <c r="R500">
        <v>-5.8655809999999999E-3</v>
      </c>
      <c r="S500">
        <v>3.0548099999999998</v>
      </c>
      <c r="T500">
        <v>-0.16199949999999999</v>
      </c>
      <c r="U500">
        <v>-0.3936462</v>
      </c>
      <c r="V500">
        <v>8.7273899999999998E-3</v>
      </c>
      <c r="W500">
        <v>0.15880569999999999</v>
      </c>
      <c r="X500">
        <v>0.98727129999999996</v>
      </c>
      <c r="Y500">
        <v>0.13048950000000001</v>
      </c>
      <c r="Z500">
        <v>-3.596087E-3</v>
      </c>
      <c r="AA500">
        <v>0.99144319999999997</v>
      </c>
      <c r="AB500">
        <v>38</v>
      </c>
      <c r="AC500">
        <v>20.720099999999999</v>
      </c>
      <c r="AD500">
        <v>-1.1098830854670001</v>
      </c>
      <c r="AE500">
        <v>-2.69760000000002</v>
      </c>
      <c r="AF500">
        <v>2.7497899371158501</v>
      </c>
      <c r="AG500">
        <v>-1.1098830854670001</v>
      </c>
      <c r="AH500">
        <v>20.6539330820545</v>
      </c>
      <c r="AI500">
        <v>93.049099280434405</v>
      </c>
      <c r="AJ500">
        <v>82.416444254618796</v>
      </c>
      <c r="AK500">
        <v>20.865716784229001</v>
      </c>
      <c r="AL500">
        <v>80.862418588682999</v>
      </c>
      <c r="AM500">
        <v>89.493523625509795</v>
      </c>
      <c r="AN500">
        <v>1.0000000187461899</v>
      </c>
    </row>
    <row r="501" spans="1:40" x14ac:dyDescent="0.25">
      <c r="A501" t="str">
        <f>"20190312172341037"</f>
        <v>20190312172341037</v>
      </c>
      <c r="B501" t="str">
        <f>"1552382621030051"</f>
        <v>1552382621030051</v>
      </c>
      <c r="C501" t="s">
        <v>40</v>
      </c>
      <c r="D501">
        <v>3.7711079999999999</v>
      </c>
      <c r="E501">
        <v>0.54949199999999998</v>
      </c>
      <c r="F501" t="s">
        <v>43</v>
      </c>
      <c r="G501">
        <v>-340.83760000000001</v>
      </c>
      <c r="H501" s="1">
        <v>-5.2795769999999998E-6</v>
      </c>
      <c r="I501">
        <v>364.15949999999998</v>
      </c>
      <c r="J501">
        <v>-361.68239999999997</v>
      </c>
      <c r="K501">
        <v>1.10988</v>
      </c>
      <c r="L501">
        <v>367.04340000000002</v>
      </c>
      <c r="M501">
        <v>0.99992829999999999</v>
      </c>
      <c r="N501">
        <v>0</v>
      </c>
      <c r="O501">
        <v>2.9023510000000001E-3</v>
      </c>
      <c r="P501">
        <v>0.98907069999999997</v>
      </c>
      <c r="Q501">
        <v>0.14733289999999999</v>
      </c>
      <c r="R501">
        <v>-5.6562790000000002E-3</v>
      </c>
      <c r="S501">
        <v>3.0546570000000002</v>
      </c>
      <c r="T501">
        <v>-0.16097549999999999</v>
      </c>
      <c r="U501">
        <v>-0.41818240000000001</v>
      </c>
      <c r="V501">
        <v>8.5267859999999997E-3</v>
      </c>
      <c r="W501">
        <v>0.15881419999999999</v>
      </c>
      <c r="X501">
        <v>0.98727169999999997</v>
      </c>
      <c r="Y501">
        <v>0.13831760000000001</v>
      </c>
      <c r="Z501">
        <v>-3.7773120000000001E-3</v>
      </c>
      <c r="AA501">
        <v>0.9903807</v>
      </c>
      <c r="AB501">
        <v>38</v>
      </c>
      <c r="AC501">
        <v>20.8447999999999</v>
      </c>
      <c r="AD501">
        <v>-1.109885279577</v>
      </c>
      <c r="AE501">
        <v>-2.8839000000000401</v>
      </c>
      <c r="AF501">
        <v>2.9362228663683299</v>
      </c>
      <c r="AG501">
        <v>-1.109885279577</v>
      </c>
      <c r="AH501">
        <v>20.778539725352299</v>
      </c>
      <c r="AI501">
        <v>93.027525677946102</v>
      </c>
      <c r="AJ501">
        <v>81.956768206942797</v>
      </c>
      <c r="AK501">
        <v>21.014303775591799</v>
      </c>
      <c r="AL501">
        <v>80.8619254450564</v>
      </c>
      <c r="AM501">
        <v>89.505164886491002</v>
      </c>
      <c r="AN501">
        <v>1.0000000329109999</v>
      </c>
    </row>
    <row r="502" spans="1:40" x14ac:dyDescent="0.25">
      <c r="A502" t="str">
        <f>"20190312172341056"</f>
        <v>20190312172341056</v>
      </c>
      <c r="B502" t="str">
        <f>"1552382621050546"</f>
        <v>1552382621050546</v>
      </c>
      <c r="C502" t="s">
        <v>40</v>
      </c>
      <c r="D502">
        <v>3.7739539999999998</v>
      </c>
      <c r="E502">
        <v>0.54953059999999998</v>
      </c>
      <c r="F502" t="s">
        <v>43</v>
      </c>
      <c r="G502">
        <v>-340.53739999999999</v>
      </c>
      <c r="H502" s="1">
        <v>-5.4231499999999999E-6</v>
      </c>
      <c r="I502">
        <v>364.15</v>
      </c>
      <c r="J502">
        <v>-361.37520000000001</v>
      </c>
      <c r="K502">
        <v>1.109883</v>
      </c>
      <c r="L502">
        <v>367.04430000000002</v>
      </c>
      <c r="M502">
        <v>0.99992829999999999</v>
      </c>
      <c r="N502">
        <v>0</v>
      </c>
      <c r="O502">
        <v>2.9149789999999998E-3</v>
      </c>
      <c r="P502">
        <v>0.98907909999999999</v>
      </c>
      <c r="Q502">
        <v>0.14727670000000001</v>
      </c>
      <c r="R502">
        <v>-5.6822239999999996E-3</v>
      </c>
      <c r="S502">
        <v>3.0546570000000002</v>
      </c>
      <c r="T502">
        <v>-0.16033720000000001</v>
      </c>
      <c r="U502">
        <v>-0.41799930000000002</v>
      </c>
      <c r="V502">
        <v>8.5652850000000006E-3</v>
      </c>
      <c r="W502">
        <v>0.1587596</v>
      </c>
      <c r="X502">
        <v>0.98728009999999999</v>
      </c>
      <c r="Y502">
        <v>0.13827339999999999</v>
      </c>
      <c r="Z502">
        <v>-3.7618759999999999E-3</v>
      </c>
      <c r="AA502">
        <v>0.99038700000000002</v>
      </c>
      <c r="AB502">
        <v>38</v>
      </c>
      <c r="AC502">
        <v>20.837800000000001</v>
      </c>
      <c r="AD502">
        <v>-1.1098884231499999</v>
      </c>
      <c r="AE502">
        <v>-2.8943000000000398</v>
      </c>
      <c r="AF502">
        <v>2.9468317043287802</v>
      </c>
      <c r="AG502">
        <v>-1.1098884231499999</v>
      </c>
      <c r="AH502">
        <v>20.771461367149001</v>
      </c>
      <c r="AI502">
        <v>93.028329513760895</v>
      </c>
      <c r="AJ502">
        <v>81.9253751919466</v>
      </c>
      <c r="AK502">
        <v>21.008790463337998</v>
      </c>
      <c r="AL502">
        <v>80.865093555430093</v>
      </c>
      <c r="AM502">
        <v>89.502935014199295</v>
      </c>
      <c r="AN502">
        <v>0.99999998527764999</v>
      </c>
    </row>
    <row r="503" spans="1:40" x14ac:dyDescent="0.25">
      <c r="A503" t="str">
        <f>"20190312172341069"</f>
        <v>20190312172341069</v>
      </c>
      <c r="B503" t="str">
        <f>"1552382621060307"</f>
        <v>1552382621060307</v>
      </c>
      <c r="C503" t="s">
        <v>40</v>
      </c>
      <c r="D503">
        <v>3.787852</v>
      </c>
      <c r="E503">
        <v>0.54954539999999996</v>
      </c>
      <c r="F503" t="s">
        <v>43</v>
      </c>
      <c r="G503">
        <v>-340.20729999999998</v>
      </c>
      <c r="H503" s="1">
        <v>-5.5796760000000003E-6</v>
      </c>
      <c r="I503">
        <v>364.1472</v>
      </c>
      <c r="J503">
        <v>-361.15589999999997</v>
      </c>
      <c r="K503">
        <v>1.109877</v>
      </c>
      <c r="L503">
        <v>367.04500000000002</v>
      </c>
      <c r="M503">
        <v>0.99992829999999999</v>
      </c>
      <c r="N503">
        <v>0</v>
      </c>
      <c r="O503">
        <v>2.9240329999999999E-3</v>
      </c>
      <c r="P503">
        <v>0.98908309999999999</v>
      </c>
      <c r="Q503">
        <v>0.14725969999999999</v>
      </c>
      <c r="R503">
        <v>-5.3989859999999997E-3</v>
      </c>
      <c r="S503">
        <v>3.054535</v>
      </c>
      <c r="T503">
        <v>-0.16015799999999999</v>
      </c>
      <c r="U503">
        <v>-0.4180603</v>
      </c>
      <c r="V503">
        <v>8.2909079999999996E-3</v>
      </c>
      <c r="W503">
        <v>0.1587431</v>
      </c>
      <c r="X503">
        <v>0.98728510000000003</v>
      </c>
      <c r="Y503">
        <v>0.1383075</v>
      </c>
      <c r="Z503">
        <v>-3.7591819999999998E-3</v>
      </c>
      <c r="AA503">
        <v>0.99038219999999999</v>
      </c>
      <c r="AB503">
        <v>38</v>
      </c>
      <c r="AC503">
        <v>20.948599999999999</v>
      </c>
      <c r="AD503">
        <v>-1.1098825796759999</v>
      </c>
      <c r="AE503">
        <v>-2.8978000000000099</v>
      </c>
      <c r="AF503">
        <v>2.9509184025248101</v>
      </c>
      <c r="AG503">
        <v>-1.1098825796759999</v>
      </c>
      <c r="AH503">
        <v>20.882519724412301</v>
      </c>
      <c r="AI503">
        <v>93.012471247224696</v>
      </c>
      <c r="AJ503">
        <v>81.956762597291203</v>
      </c>
      <c r="AK503">
        <v>21.119171120086602</v>
      </c>
      <c r="AL503">
        <v>80.866051120366393</v>
      </c>
      <c r="AM503">
        <v>89.518859475784495</v>
      </c>
      <c r="AN503">
        <v>0.99999998981754201</v>
      </c>
    </row>
    <row r="504" spans="1:40" x14ac:dyDescent="0.25">
      <c r="A504" t="str">
        <f>"20190312172341091"</f>
        <v>20190312172341091</v>
      </c>
      <c r="B504" t="str">
        <f>"1552382621080803"</f>
        <v>1552382621080803</v>
      </c>
      <c r="C504" t="s">
        <v>40</v>
      </c>
      <c r="D504">
        <v>3.7274980000000002</v>
      </c>
      <c r="E504">
        <v>0.5494829</v>
      </c>
      <c r="F504" t="s">
        <v>43</v>
      </c>
      <c r="G504">
        <v>-339.91719999999998</v>
      </c>
      <c r="H504" s="1">
        <v>-1.470694E-6</v>
      </c>
      <c r="I504">
        <v>364.14249999999998</v>
      </c>
      <c r="J504">
        <v>-360.77190000000002</v>
      </c>
      <c r="K504">
        <v>1.1098760000000001</v>
      </c>
      <c r="L504">
        <v>367.04610000000002</v>
      </c>
      <c r="M504">
        <v>0.99992829999999999</v>
      </c>
      <c r="N504">
        <v>0</v>
      </c>
      <c r="O504">
        <v>2.939877E-3</v>
      </c>
      <c r="P504">
        <v>0.98911640000000001</v>
      </c>
      <c r="Q504">
        <v>0.14703620000000001</v>
      </c>
      <c r="R504">
        <v>-5.4422159999999997E-3</v>
      </c>
      <c r="S504">
        <v>3.0545650000000002</v>
      </c>
      <c r="T504">
        <v>-0.15962309999999999</v>
      </c>
      <c r="U504">
        <v>-0.4174194</v>
      </c>
      <c r="V504">
        <v>8.3499400000000001E-3</v>
      </c>
      <c r="W504">
        <v>0.15852179999999999</v>
      </c>
      <c r="X504">
        <v>0.98732019999999998</v>
      </c>
      <c r="Y504">
        <v>0.1381194</v>
      </c>
      <c r="Z504">
        <v>-3.7425940000000001E-3</v>
      </c>
      <c r="AA504">
        <v>0.99040850000000002</v>
      </c>
      <c r="AB504">
        <v>38</v>
      </c>
      <c r="AC504">
        <v>20.854700000000001</v>
      </c>
      <c r="AD504">
        <v>-1.109877470694</v>
      </c>
      <c r="AE504">
        <v>-2.9036000000000399</v>
      </c>
      <c r="AF504">
        <v>2.95668680258968</v>
      </c>
      <c r="AG504">
        <v>-1.109877470694</v>
      </c>
      <c r="AH504">
        <v>20.788313593091299</v>
      </c>
      <c r="AI504">
        <v>93.025698338278502</v>
      </c>
      <c r="AJ504">
        <v>81.905209379605395</v>
      </c>
      <c r="AK504">
        <v>21.0268353989198</v>
      </c>
      <c r="AL504">
        <v>80.878893657015198</v>
      </c>
      <c r="AM504">
        <v>89.515451101249994</v>
      </c>
      <c r="AN504">
        <v>1.00000002995064</v>
      </c>
    </row>
    <row r="505" spans="1:40" x14ac:dyDescent="0.25">
      <c r="A505" t="str">
        <f>"20190312172341113"</f>
        <v>20190312172341113</v>
      </c>
      <c r="B505" t="str">
        <f>"1552382621100324"</f>
        <v>1552382621100324</v>
      </c>
      <c r="C505" t="s">
        <v>40</v>
      </c>
      <c r="D505">
        <v>3.7002389999999998</v>
      </c>
      <c r="E505">
        <v>0.54953619999999903</v>
      </c>
      <c r="F505" t="s">
        <v>43</v>
      </c>
      <c r="G505">
        <v>-339.75889999999998</v>
      </c>
      <c r="H505" s="1">
        <v>-1.5159819999999999E-6</v>
      </c>
      <c r="I505">
        <v>364.1748</v>
      </c>
      <c r="J505">
        <v>-360.41019999999997</v>
      </c>
      <c r="K505">
        <v>1.1098730000000001</v>
      </c>
      <c r="L505">
        <v>367.04719999999998</v>
      </c>
      <c r="M505">
        <v>0.99992809999999999</v>
      </c>
      <c r="N505">
        <v>0</v>
      </c>
      <c r="O505">
        <v>2.954829E-3</v>
      </c>
      <c r="P505">
        <v>0.98910889999999996</v>
      </c>
      <c r="Q505">
        <v>0.14708929999999901</v>
      </c>
      <c r="R505">
        <v>-5.345308E-3</v>
      </c>
      <c r="S505">
        <v>3.0546880000000001</v>
      </c>
      <c r="T505">
        <v>-0.16134370000000001</v>
      </c>
      <c r="U505">
        <v>-0.41738890000000001</v>
      </c>
      <c r="V505">
        <v>8.2676999999999994E-3</v>
      </c>
      <c r="W505">
        <v>0.15857639999999901</v>
      </c>
      <c r="X505">
        <v>0.98731210000000003</v>
      </c>
      <c r="Y505">
        <v>0.13811499999999999</v>
      </c>
      <c r="Z505">
        <v>-3.7834050000000001E-3</v>
      </c>
      <c r="AA505">
        <v>0.99040899999999998</v>
      </c>
      <c r="AB505">
        <v>38</v>
      </c>
      <c r="AC505">
        <v>20.6512999999999</v>
      </c>
      <c r="AD505">
        <v>-1.1098745159819901</v>
      </c>
      <c r="AE505">
        <v>-2.8723999999999701</v>
      </c>
      <c r="AF505">
        <v>2.9251241472204499</v>
      </c>
      <c r="AG505">
        <v>-1.1098745159819901</v>
      </c>
      <c r="AH505">
        <v>20.584394845650099</v>
      </c>
      <c r="AI505">
        <v>93.055660541121696</v>
      </c>
      <c r="AJ505">
        <v>81.912192870708097</v>
      </c>
      <c r="AK505">
        <v>20.8207945064425</v>
      </c>
      <c r="AL505">
        <v>80.875725011431797</v>
      </c>
      <c r="AM505">
        <v>89.520219346827304</v>
      </c>
      <c r="AN505">
        <v>1.0000000061533301</v>
      </c>
    </row>
    <row r="506" spans="1:40" x14ac:dyDescent="0.25">
      <c r="A506" t="str">
        <f>"20190312172341133"</f>
        <v>20190312172341133</v>
      </c>
      <c r="B506" t="str">
        <f>"1552382621130579"</f>
        <v>1552382621130579</v>
      </c>
      <c r="C506" t="s">
        <v>40</v>
      </c>
      <c r="D506">
        <v>3.7413609999999999</v>
      </c>
      <c r="E506">
        <v>0.54971190000000003</v>
      </c>
      <c r="F506" t="s">
        <v>43</v>
      </c>
      <c r="G506">
        <v>-339.27269999999999</v>
      </c>
      <c r="H506" s="1">
        <v>-1.685915E-6</v>
      </c>
      <c r="I506">
        <v>364.15800000000002</v>
      </c>
      <c r="J506">
        <v>-360.04840000000002</v>
      </c>
      <c r="K506">
        <v>1.109877</v>
      </c>
      <c r="L506">
        <v>367.04829999999998</v>
      </c>
      <c r="M506">
        <v>0.99992809999999999</v>
      </c>
      <c r="N506">
        <v>0</v>
      </c>
      <c r="O506">
        <v>2.969663E-3</v>
      </c>
      <c r="P506">
        <v>0.98913280000000003</v>
      </c>
      <c r="Q506">
        <v>0.14692820000000001</v>
      </c>
      <c r="R506">
        <v>-5.3520340000000003E-3</v>
      </c>
      <c r="S506">
        <v>3.0546570000000002</v>
      </c>
      <c r="T506">
        <v>-0.1603916</v>
      </c>
      <c r="U506">
        <v>-0.41751100000000002</v>
      </c>
      <c r="V506">
        <v>8.2892550000000006E-3</v>
      </c>
      <c r="W506">
        <v>0.1584168</v>
      </c>
      <c r="X506">
        <v>0.98733749999999998</v>
      </c>
      <c r="Y506">
        <v>0.13817209999999999</v>
      </c>
      <c r="Z506">
        <v>-3.7634000000000001E-3</v>
      </c>
      <c r="AA506">
        <v>0.99040110000000003</v>
      </c>
      <c r="AB506">
        <v>38</v>
      </c>
      <c r="AC506">
        <v>20.775700000000001</v>
      </c>
      <c r="AD506">
        <v>-1.1098786859150001</v>
      </c>
      <c r="AE506">
        <v>-2.8902999999999599</v>
      </c>
      <c r="AF506">
        <v>2.9437465794650701</v>
      </c>
      <c r="AG506">
        <v>-1.1098786859150001</v>
      </c>
      <c r="AH506">
        <v>20.709045055629002</v>
      </c>
      <c r="AI506">
        <v>93.037295546892906</v>
      </c>
      <c r="AJ506">
        <v>81.909727344916405</v>
      </c>
      <c r="AK506">
        <v>20.946647028525401</v>
      </c>
      <c r="AL506">
        <v>80.884986123559003</v>
      </c>
      <c r="AM506">
        <v>89.518980927492095</v>
      </c>
      <c r="AN506">
        <v>0.99999996658847101</v>
      </c>
    </row>
    <row r="507" spans="1:40" x14ac:dyDescent="0.25">
      <c r="A507" t="str">
        <f>"20190312172341147"</f>
        <v>20190312172341147</v>
      </c>
      <c r="B507" t="str">
        <f>"1552382621140340"</f>
        <v>1552382621140340</v>
      </c>
      <c r="C507" t="s">
        <v>40</v>
      </c>
      <c r="D507">
        <v>3.720018</v>
      </c>
      <c r="E507">
        <v>0.5497978</v>
      </c>
      <c r="F507" t="s">
        <v>43</v>
      </c>
      <c r="G507">
        <v>-338.94240000000002</v>
      </c>
      <c r="H507" s="1">
        <v>-1.7994859999999999E-6</v>
      </c>
      <c r="I507">
        <v>364.15359999999998</v>
      </c>
      <c r="J507">
        <v>-359.81810000000002</v>
      </c>
      <c r="K507">
        <v>1.1098749999999999</v>
      </c>
      <c r="L507">
        <v>367.04899999999998</v>
      </c>
      <c r="M507">
        <v>0.99992809999999999</v>
      </c>
      <c r="N507">
        <v>0</v>
      </c>
      <c r="O507">
        <v>2.9792529999999998E-3</v>
      </c>
      <c r="P507">
        <v>0.98910790000000004</v>
      </c>
      <c r="Q507">
        <v>0.147097799999999</v>
      </c>
      <c r="R507">
        <v>-5.3018919999999999E-3</v>
      </c>
      <c r="S507">
        <v>3.0545040000000001</v>
      </c>
      <c r="T507">
        <v>-0.1606233</v>
      </c>
      <c r="U507">
        <v>-0.41891479999999998</v>
      </c>
      <c r="V507">
        <v>8.2485579999999996E-3</v>
      </c>
      <c r="W507">
        <v>0.15858720000000001</v>
      </c>
      <c r="X507">
        <v>0.98731049999999998</v>
      </c>
      <c r="Y507">
        <v>0.1386338</v>
      </c>
      <c r="Z507">
        <v>-3.781478E-3</v>
      </c>
      <c r="AA507">
        <v>0.99033649999999995</v>
      </c>
      <c r="AB507">
        <v>38</v>
      </c>
      <c r="AC507">
        <v>20.875699999999899</v>
      </c>
      <c r="AD507">
        <v>-1.1098767994859999</v>
      </c>
      <c r="AE507">
        <v>-2.8954000000000502</v>
      </c>
      <c r="AF507">
        <v>2.9494058346255998</v>
      </c>
      <c r="AG507">
        <v>-1.1098767994859999</v>
      </c>
      <c r="AH507">
        <v>20.809270882320199</v>
      </c>
      <c r="AI507">
        <v>93.022862020046006</v>
      </c>
      <c r="AJ507">
        <v>81.932905362012093</v>
      </c>
      <c r="AK507">
        <v>21.046533584919398</v>
      </c>
      <c r="AL507">
        <v>80.875098055423607</v>
      </c>
      <c r="AM507">
        <v>89.521329343604904</v>
      </c>
      <c r="AN507">
        <v>0.99999998106158405</v>
      </c>
    </row>
    <row r="508" spans="1:40" x14ac:dyDescent="0.25">
      <c r="A508" t="str">
        <f>"20190312172341158"</f>
        <v>20190312172341158</v>
      </c>
      <c r="B508" t="str">
        <f>"1552382621150099"</f>
        <v>1552382621150099</v>
      </c>
      <c r="C508" t="s">
        <v>40</v>
      </c>
      <c r="D508">
        <v>3.7354799999999999</v>
      </c>
      <c r="E508">
        <v>0.54986230000000003</v>
      </c>
      <c r="F508" t="s">
        <v>43</v>
      </c>
      <c r="G508">
        <v>-338.6746</v>
      </c>
      <c r="H508" s="1">
        <v>-1.8930740000000001E-6</v>
      </c>
      <c r="I508">
        <v>364.14429999999999</v>
      </c>
      <c r="J508">
        <v>-359.60469999999998</v>
      </c>
      <c r="K508">
        <v>1.1098749999999999</v>
      </c>
      <c r="L508">
        <v>367.0496</v>
      </c>
      <c r="M508">
        <v>0.99992789999999998</v>
      </c>
      <c r="N508">
        <v>0</v>
      </c>
      <c r="O508">
        <v>2.988306E-3</v>
      </c>
      <c r="P508">
        <v>0.9891335</v>
      </c>
      <c r="Q508">
        <v>0.1469182</v>
      </c>
      <c r="R508">
        <v>-5.469252E-3</v>
      </c>
      <c r="S508">
        <v>3.0545960000000001</v>
      </c>
      <c r="T508">
        <v>-0.16034279999999901</v>
      </c>
      <c r="U508">
        <v>-0.41961670000000001</v>
      </c>
      <c r="V508">
        <v>8.4249459999999905E-3</v>
      </c>
      <c r="W508">
        <v>0.158408299999999</v>
      </c>
      <c r="X508">
        <v>0.98733780000000004</v>
      </c>
      <c r="Y508">
        <v>0.1388625</v>
      </c>
      <c r="Z508">
        <v>-3.781155E-3</v>
      </c>
      <c r="AA508">
        <v>0.99030450000000003</v>
      </c>
      <c r="AB508">
        <v>38</v>
      </c>
      <c r="AC508">
        <v>20.9300999999999</v>
      </c>
      <c r="AD508">
        <v>-1.1098768930739999</v>
      </c>
      <c r="AE508">
        <v>-2.9053000000000102</v>
      </c>
      <c r="AF508">
        <v>2.959671688722</v>
      </c>
      <c r="AG508">
        <v>-1.1098768930739999</v>
      </c>
      <c r="AH508">
        <v>20.863765284315001</v>
      </c>
      <c r="AI508">
        <v>93.014930430559204</v>
      </c>
      <c r="AJ508">
        <v>81.926061932481304</v>
      </c>
      <c r="AK508">
        <v>21.101852645248801</v>
      </c>
      <c r="AL508">
        <v>80.885480135050102</v>
      </c>
      <c r="AM508">
        <v>89.511107411103893</v>
      </c>
      <c r="AN508">
        <v>1.0000000502664099</v>
      </c>
    </row>
    <row r="509" spans="1:40" x14ac:dyDescent="0.25">
      <c r="A509" t="str">
        <f>"20190312172341171"</f>
        <v>20190312172341171</v>
      </c>
      <c r="B509" t="str">
        <f>"1552382621160835"</f>
        <v>1552382621160835</v>
      </c>
      <c r="C509" t="s">
        <v>40</v>
      </c>
      <c r="D509">
        <v>3.708332</v>
      </c>
      <c r="E509">
        <v>0.549898</v>
      </c>
      <c r="F509" t="s">
        <v>43</v>
      </c>
      <c r="G509">
        <v>-338.58350000000002</v>
      </c>
      <c r="H509" s="1">
        <v>-1.9212860000000002E-6</v>
      </c>
      <c r="I509">
        <v>364.15480000000002</v>
      </c>
      <c r="J509">
        <v>-359.41050000000001</v>
      </c>
      <c r="K509">
        <v>1.1098760000000001</v>
      </c>
      <c r="L509">
        <v>367.05020000000002</v>
      </c>
      <c r="M509">
        <v>0.99992800000000004</v>
      </c>
      <c r="N509">
        <v>0</v>
      </c>
      <c r="O509">
        <v>2.996407E-3</v>
      </c>
      <c r="P509">
        <v>0.98911389999999999</v>
      </c>
      <c r="Q509">
        <v>0.14705670000000001</v>
      </c>
      <c r="R509">
        <v>-5.3096259999999996E-3</v>
      </c>
      <c r="S509">
        <v>3.0545960000000001</v>
      </c>
      <c r="T509">
        <v>-0.16127610000000001</v>
      </c>
      <c r="U509">
        <v>-0.42062379999999999</v>
      </c>
      <c r="V509">
        <v>8.2731969999999995E-3</v>
      </c>
      <c r="W509">
        <v>0.1585472</v>
      </c>
      <c r="X509">
        <v>0.98731670000000005</v>
      </c>
      <c r="Y509">
        <v>0.13918829999999999</v>
      </c>
      <c r="Z509">
        <v>-3.8120279999999999E-3</v>
      </c>
      <c r="AA509">
        <v>0.99025859999999999</v>
      </c>
      <c r="AB509">
        <v>38</v>
      </c>
      <c r="AC509">
        <v>20.827000000000002</v>
      </c>
      <c r="AD509">
        <v>-1.1098779212859999</v>
      </c>
      <c r="AE509">
        <v>-2.8953999999999902</v>
      </c>
      <c r="AF509">
        <v>2.9495798079714102</v>
      </c>
      <c r="AG509">
        <v>-1.1098779212859999</v>
      </c>
      <c r="AH509">
        <v>20.760391342323601</v>
      </c>
      <c r="AI509">
        <v>93.029825129029803</v>
      </c>
      <c r="AJ509">
        <v>81.913691952083695</v>
      </c>
      <c r="AK509">
        <v>20.998230847625599</v>
      </c>
      <c r="AL509">
        <v>80.877419090214303</v>
      </c>
      <c r="AM509">
        <v>89.519902603563906</v>
      </c>
      <c r="AN509">
        <v>0.99999996325766405</v>
      </c>
    </row>
    <row r="510" spans="1:40" x14ac:dyDescent="0.25">
      <c r="A510" t="str">
        <f>"20190312172341183"</f>
        <v>20190312172341183</v>
      </c>
      <c r="B510" t="str">
        <f>"1552382621170597"</f>
        <v>1552382621170597</v>
      </c>
      <c r="C510" t="s">
        <v>40</v>
      </c>
      <c r="D510">
        <v>3.7424719999999998</v>
      </c>
      <c r="E510">
        <v>0.549898</v>
      </c>
      <c r="F510" t="s">
        <v>43</v>
      </c>
      <c r="G510">
        <v>-338.35340000000002</v>
      </c>
      <c r="H510" s="1">
        <v>-2.0002759999999999E-6</v>
      </c>
      <c r="I510">
        <v>364.15230000000003</v>
      </c>
      <c r="J510">
        <v>-359.20359999999999</v>
      </c>
      <c r="K510">
        <v>1.1098749999999999</v>
      </c>
      <c r="L510">
        <v>367.05079999999998</v>
      </c>
      <c r="M510">
        <v>0.99992789999999998</v>
      </c>
      <c r="N510">
        <v>0</v>
      </c>
      <c r="O510">
        <v>3.0051639999999998E-3</v>
      </c>
      <c r="P510">
        <v>0.98912860000000002</v>
      </c>
      <c r="Q510">
        <v>0.14696039999999999</v>
      </c>
      <c r="R510">
        <v>-5.2327570000000002E-3</v>
      </c>
      <c r="S510">
        <v>3.0546880000000001</v>
      </c>
      <c r="T510">
        <v>-0.1610057</v>
      </c>
      <c r="U510">
        <v>-0.42037960000000002</v>
      </c>
      <c r="V510">
        <v>8.2051609999999903E-3</v>
      </c>
      <c r="W510">
        <v>0.15845209999999901</v>
      </c>
      <c r="X510">
        <v>0.9873326</v>
      </c>
      <c r="Y510">
        <v>0.13911599999999999</v>
      </c>
      <c r="Z510">
        <v>-3.8041189999999999E-3</v>
      </c>
      <c r="AA510">
        <v>0.99026879999999995</v>
      </c>
      <c r="AB510">
        <v>38</v>
      </c>
      <c r="AC510">
        <v>20.850199999999901</v>
      </c>
      <c r="AD510">
        <v>-1.1098770002759999</v>
      </c>
      <c r="AE510">
        <v>-2.8984999999999501</v>
      </c>
      <c r="AF510">
        <v>2.95294077584661</v>
      </c>
      <c r="AG510">
        <v>-1.1098770002759999</v>
      </c>
      <c r="AH510">
        <v>20.783620088324401</v>
      </c>
      <c r="AI510">
        <v>93.0264414181717</v>
      </c>
      <c r="AJ510">
        <v>81.913527951281196</v>
      </c>
      <c r="AK510">
        <v>21.021668586418201</v>
      </c>
      <c r="AL510">
        <v>80.882938273195194</v>
      </c>
      <c r="AM510">
        <v>89.523858248709004</v>
      </c>
      <c r="AN510">
        <v>1.0000000278421</v>
      </c>
    </row>
    <row r="511" spans="1:40" x14ac:dyDescent="0.25">
      <c r="A511" t="str">
        <f>"20190312172341200"</f>
        <v>20190312172341200</v>
      </c>
      <c r="B511" t="str">
        <f>"1552382621190115"</f>
        <v>1552382621190115</v>
      </c>
      <c r="C511" t="s">
        <v>40</v>
      </c>
      <c r="D511">
        <v>3.7375029999999998</v>
      </c>
      <c r="E511">
        <v>0.55218800000000001</v>
      </c>
      <c r="F511" t="s">
        <v>43</v>
      </c>
      <c r="G511">
        <v>-338.18209999999999</v>
      </c>
      <c r="H511" s="1">
        <v>-2.0567530000000001E-6</v>
      </c>
      <c r="I511">
        <v>364.15910000000002</v>
      </c>
      <c r="J511">
        <v>-358.89670000000001</v>
      </c>
      <c r="K511">
        <v>1.109874</v>
      </c>
      <c r="L511">
        <v>367.05169999999998</v>
      </c>
      <c r="M511">
        <v>0.99992789999999998</v>
      </c>
      <c r="N511">
        <v>0</v>
      </c>
      <c r="O511">
        <v>3.0177340000000002E-3</v>
      </c>
      <c r="P511">
        <v>0.98910799999999999</v>
      </c>
      <c r="Q511">
        <v>0.1471036</v>
      </c>
      <c r="R511">
        <v>-5.0864040000000001E-3</v>
      </c>
      <c r="S511">
        <v>3.0547490000000002</v>
      </c>
      <c r="T511">
        <v>-0.1612816</v>
      </c>
      <c r="U511">
        <v>-0.42019649999999997</v>
      </c>
      <c r="V511">
        <v>8.0712470000000001E-3</v>
      </c>
      <c r="W511">
        <v>0.15859619999999999</v>
      </c>
      <c r="X511">
        <v>0.98731049999999998</v>
      </c>
      <c r="Y511">
        <v>0.13906689999999999</v>
      </c>
      <c r="Z511">
        <v>-3.8099380000000001E-3</v>
      </c>
      <c r="AA511">
        <v>0.99027569999999998</v>
      </c>
      <c r="AB511">
        <v>38</v>
      </c>
      <c r="AC511">
        <v>20.714600000000001</v>
      </c>
      <c r="AD511">
        <v>-1.1098760567529999</v>
      </c>
      <c r="AE511">
        <v>-2.8925999999999501</v>
      </c>
      <c r="AF511">
        <v>2.9468044561099598</v>
      </c>
      <c r="AG511">
        <v>-1.1098760567529999</v>
      </c>
      <c r="AH511">
        <v>20.647635425133799</v>
      </c>
      <c r="AI511">
        <v>93.046062489922406</v>
      </c>
      <c r="AJ511">
        <v>81.877669249573501</v>
      </c>
      <c r="AK511">
        <v>20.886367085090299</v>
      </c>
      <c r="AL511">
        <v>80.874575604052893</v>
      </c>
      <c r="AM511">
        <v>89.531618384431795</v>
      </c>
      <c r="AN511">
        <v>0.99999996154641102</v>
      </c>
    </row>
    <row r="512" spans="1:40" x14ac:dyDescent="0.25">
      <c r="A512" t="str">
        <f>"20190312172341223"</f>
        <v>20190312172341223</v>
      </c>
      <c r="B512" t="str">
        <f>"1552382621210611"</f>
        <v>1552382621210611</v>
      </c>
      <c r="C512" t="s">
        <v>40</v>
      </c>
      <c r="D512">
        <v>3.747633</v>
      </c>
      <c r="E512">
        <v>0.55223009999999995</v>
      </c>
      <c r="F512" t="s">
        <v>43</v>
      </c>
      <c r="G512">
        <v>-338.1925</v>
      </c>
      <c r="H512" s="1">
        <v>-2.0730260000000002E-6</v>
      </c>
      <c r="I512">
        <v>364.0847</v>
      </c>
      <c r="J512">
        <v>-358.52370000000002</v>
      </c>
      <c r="K512">
        <v>1.1098730000000001</v>
      </c>
      <c r="L512">
        <v>367.05290000000002</v>
      </c>
      <c r="M512">
        <v>0.99992789999999998</v>
      </c>
      <c r="N512">
        <v>0</v>
      </c>
      <c r="O512">
        <v>3.0327510000000002E-3</v>
      </c>
      <c r="P512">
        <v>0.98901340000000004</v>
      </c>
      <c r="Q512">
        <v>0.14773989999999901</v>
      </c>
      <c r="R512">
        <v>-5.0520850000000004E-3</v>
      </c>
      <c r="S512">
        <v>3.0551149999999998</v>
      </c>
      <c r="T512">
        <v>-0.16377249999999999</v>
      </c>
      <c r="U512">
        <v>-0.43780520000000001</v>
      </c>
      <c r="V512">
        <v>8.0513689999999992E-3</v>
      </c>
      <c r="W512">
        <v>0.1592327</v>
      </c>
      <c r="X512">
        <v>0.98720819999999998</v>
      </c>
      <c r="Y512">
        <v>0.1446471</v>
      </c>
      <c r="Z512">
        <v>-4.0162009999999996E-3</v>
      </c>
      <c r="AA512">
        <v>0.98947510000000005</v>
      </c>
      <c r="AB512">
        <v>38</v>
      </c>
      <c r="AC512">
        <v>20.331199999999999</v>
      </c>
      <c r="AD512">
        <v>-1.1098750730260001</v>
      </c>
      <c r="AE512">
        <v>-2.9682000000000199</v>
      </c>
      <c r="AF512">
        <v>3.0210350499514802</v>
      </c>
      <c r="AG512">
        <v>-1.1098750730260001</v>
      </c>
      <c r="AH512">
        <v>20.262979730920001</v>
      </c>
      <c r="AI512">
        <v>93.100952781386994</v>
      </c>
      <c r="AJ512">
        <v>81.5201572306608</v>
      </c>
      <c r="AK512">
        <v>20.516988644205</v>
      </c>
      <c r="AL512">
        <v>80.837637368947199</v>
      </c>
      <c r="AM512">
        <v>89.532723456556099</v>
      </c>
      <c r="AN512">
        <v>0.999999953719651</v>
      </c>
    </row>
    <row r="513" spans="1:40" x14ac:dyDescent="0.25">
      <c r="A513" t="str">
        <f>"20190312172341246"</f>
        <v>20190312172341246</v>
      </c>
      <c r="B513" t="str">
        <f>"1552382621240869"</f>
        <v>1552382621240869</v>
      </c>
      <c r="C513" t="s">
        <v>40</v>
      </c>
      <c r="D513">
        <v>3.729743</v>
      </c>
      <c r="E513">
        <v>0.55250169999999998</v>
      </c>
      <c r="F513" t="s">
        <v>43</v>
      </c>
      <c r="G513">
        <v>-337.36739999999998</v>
      </c>
      <c r="H513" s="1">
        <v>-2.371275E-6</v>
      </c>
      <c r="I513">
        <v>364.01900000000001</v>
      </c>
      <c r="J513">
        <v>-358.11829999999998</v>
      </c>
      <c r="K513">
        <v>1.1098779999999999</v>
      </c>
      <c r="L513">
        <v>367.05419999999998</v>
      </c>
      <c r="M513">
        <v>0.99992780000000003</v>
      </c>
      <c r="N513">
        <v>0</v>
      </c>
      <c r="O513">
        <v>3.04937E-3</v>
      </c>
      <c r="P513">
        <v>0.98903359999999996</v>
      </c>
      <c r="Q513">
        <v>0.14760879999999901</v>
      </c>
      <c r="R513">
        <v>-4.9537899999999996E-3</v>
      </c>
      <c r="S513">
        <v>3.0550229999999998</v>
      </c>
      <c r="T513">
        <v>-0.16026770000000001</v>
      </c>
      <c r="U513">
        <v>-0.43807980000000002</v>
      </c>
      <c r="V513">
        <v>7.9695670000000003E-3</v>
      </c>
      <c r="W513">
        <v>0.15910369999999999</v>
      </c>
      <c r="X513">
        <v>0.98722969999999999</v>
      </c>
      <c r="Y513">
        <v>0.14476349999999999</v>
      </c>
      <c r="Z513">
        <v>-3.9343640000000001E-3</v>
      </c>
      <c r="AA513">
        <v>0.98945839999999996</v>
      </c>
      <c r="AB513">
        <v>38</v>
      </c>
      <c r="AC513">
        <v>20.750900000000001</v>
      </c>
      <c r="AD513">
        <v>-1.1098803712750001</v>
      </c>
      <c r="AE513">
        <v>-3.0351999999999699</v>
      </c>
      <c r="AF513">
        <v>3.0898133264232102</v>
      </c>
      <c r="AG513">
        <v>-1.1098803712750001</v>
      </c>
      <c r="AH513">
        <v>20.6836163786007</v>
      </c>
      <c r="AI513">
        <v>93.037893641624507</v>
      </c>
      <c r="AJ513">
        <v>81.503722606386404</v>
      </c>
      <c r="AK513">
        <v>20.942558757893099</v>
      </c>
      <c r="AL513">
        <v>80.845124311754404</v>
      </c>
      <c r="AM513">
        <v>89.537480856779098</v>
      </c>
      <c r="AN513">
        <v>0.99999999095697301</v>
      </c>
    </row>
    <row r="514" spans="1:40" x14ac:dyDescent="0.25">
      <c r="A514" t="str">
        <f>"20190312172341268"</f>
        <v>20190312172341268</v>
      </c>
      <c r="B514" t="str">
        <f>"1552382621260390"</f>
        <v>1552382621260390</v>
      </c>
      <c r="C514" t="s">
        <v>40</v>
      </c>
      <c r="D514">
        <v>3.7192539999999998</v>
      </c>
      <c r="E514">
        <v>0.55269409999999997</v>
      </c>
      <c r="F514" t="s">
        <v>43</v>
      </c>
      <c r="G514">
        <v>-337.02350000000001</v>
      </c>
      <c r="H514" s="1">
        <v>-2.4883840000000002E-6</v>
      </c>
      <c r="I514">
        <v>364.01870000000002</v>
      </c>
      <c r="J514">
        <v>-357.74470000000002</v>
      </c>
      <c r="K514">
        <v>1.10988</v>
      </c>
      <c r="L514">
        <v>367.05529999999999</v>
      </c>
      <c r="M514">
        <v>0.99992760000000003</v>
      </c>
      <c r="N514">
        <v>0</v>
      </c>
      <c r="O514">
        <v>3.065211E-3</v>
      </c>
      <c r="P514">
        <v>0.98901570000000005</v>
      </c>
      <c r="Q514">
        <v>0.14772370000000001</v>
      </c>
      <c r="R514">
        <v>-5.0744429999999997E-3</v>
      </c>
      <c r="S514">
        <v>3.0550839999999999</v>
      </c>
      <c r="T514">
        <v>-0.16073989999999999</v>
      </c>
      <c r="U514">
        <v>-0.43960569999999999</v>
      </c>
      <c r="V514">
        <v>8.1056889999999993E-3</v>
      </c>
      <c r="W514">
        <v>0.15922</v>
      </c>
      <c r="X514">
        <v>0.98720989999999997</v>
      </c>
      <c r="Y514">
        <v>0.14525869999999999</v>
      </c>
      <c r="Z514">
        <v>-3.959504E-3</v>
      </c>
      <c r="AA514">
        <v>0.98938579999999998</v>
      </c>
      <c r="AB514">
        <v>38</v>
      </c>
      <c r="AC514">
        <v>20.7212</v>
      </c>
      <c r="AD514">
        <v>-1.1098824883839999</v>
      </c>
      <c r="AE514">
        <v>-3.03659999999996</v>
      </c>
      <c r="AF514">
        <v>3.0914221889801099</v>
      </c>
      <c r="AG514">
        <v>-1.1098824883839999</v>
      </c>
      <c r="AH514">
        <v>20.653785130600799</v>
      </c>
      <c r="AI514">
        <v>93.042148551391193</v>
      </c>
      <c r="AJ514">
        <v>81.487265110382594</v>
      </c>
      <c r="AK514">
        <v>20.913334753442999</v>
      </c>
      <c r="AL514">
        <v>80.838375305698605</v>
      </c>
      <c r="AM514">
        <v>89.529571843097898</v>
      </c>
      <c r="AN514">
        <v>1.0000000486260801</v>
      </c>
    </row>
    <row r="515" spans="1:40" x14ac:dyDescent="0.25">
      <c r="A515" t="str">
        <f>"20190312172341291"</f>
        <v>20190312172341291</v>
      </c>
      <c r="B515" t="str">
        <f>"1552382621280883"</f>
        <v>1552382621280883</v>
      </c>
      <c r="C515" t="s">
        <v>40</v>
      </c>
      <c r="D515">
        <v>3.7017790000000002</v>
      </c>
      <c r="E515">
        <v>0.55284909999999998</v>
      </c>
      <c r="F515" t="s">
        <v>43</v>
      </c>
      <c r="G515">
        <v>-336.7559</v>
      </c>
      <c r="H515" s="1">
        <v>-2.5785169999999998E-6</v>
      </c>
      <c r="I515">
        <v>364.0222</v>
      </c>
      <c r="J515">
        <v>-357.35219999999998</v>
      </c>
      <c r="K515">
        <v>1.109877</v>
      </c>
      <c r="L515">
        <v>367.05650000000003</v>
      </c>
      <c r="M515">
        <v>0.99992760000000003</v>
      </c>
      <c r="N515">
        <v>0</v>
      </c>
      <c r="O515">
        <v>3.0815310000000002E-3</v>
      </c>
      <c r="P515">
        <v>0.98904530000000002</v>
      </c>
      <c r="Q515">
        <v>0.1475245</v>
      </c>
      <c r="R515">
        <v>-5.1144429999999998E-3</v>
      </c>
      <c r="S515">
        <v>3.0551759999999999</v>
      </c>
      <c r="T515">
        <v>-0.1615567</v>
      </c>
      <c r="U515">
        <v>-0.4414978</v>
      </c>
      <c r="V515">
        <v>8.1619589999999999E-3</v>
      </c>
      <c r="W515">
        <v>0.15902269999999999</v>
      </c>
      <c r="X515">
        <v>0.98724120000000004</v>
      </c>
      <c r="Y515">
        <v>0.1458681</v>
      </c>
      <c r="Z515">
        <v>-3.9961809999999997E-3</v>
      </c>
      <c r="AA515">
        <v>0.98929599999999995</v>
      </c>
      <c r="AB515">
        <v>38</v>
      </c>
      <c r="AC515">
        <v>20.5962999999999</v>
      </c>
      <c r="AD515">
        <v>-1.1098795785169999</v>
      </c>
      <c r="AE515">
        <v>-3.03430000000002</v>
      </c>
      <c r="AF515">
        <v>3.08897865662852</v>
      </c>
      <c r="AG515">
        <v>-1.1098795785169999</v>
      </c>
      <c r="AH515">
        <v>20.528506015041899</v>
      </c>
      <c r="AI515">
        <v>93.060314480979798</v>
      </c>
      <c r="AJ515">
        <v>81.442751409224499</v>
      </c>
      <c r="AK515">
        <v>20.789256384717699</v>
      </c>
      <c r="AL515">
        <v>80.849825311388699</v>
      </c>
      <c r="AM515">
        <v>89.526321278859299</v>
      </c>
      <c r="AN515">
        <v>1.00000001183372</v>
      </c>
    </row>
    <row r="516" spans="1:40" x14ac:dyDescent="0.25">
      <c r="A516" t="str">
        <f>"20190312172341313"</f>
        <v>20190312172341313</v>
      </c>
      <c r="B516" t="str">
        <f>"1552382621310162"</f>
        <v>1552382621310162</v>
      </c>
      <c r="C516" t="s">
        <v>40</v>
      </c>
      <c r="D516">
        <v>3.7212070000000002</v>
      </c>
      <c r="E516">
        <v>0.5532435</v>
      </c>
      <c r="F516" t="s">
        <v>43</v>
      </c>
      <c r="G516">
        <v>-336.49630000000002</v>
      </c>
      <c r="H516" s="1">
        <v>-2.663824E-6</v>
      </c>
      <c r="I516">
        <v>364.03359999999998</v>
      </c>
      <c r="J516">
        <v>-356.97590000000002</v>
      </c>
      <c r="K516">
        <v>1.1098790000000001</v>
      </c>
      <c r="L516">
        <v>367.05770000000001</v>
      </c>
      <c r="M516">
        <v>0.99992760000000003</v>
      </c>
      <c r="N516">
        <v>0</v>
      </c>
      <c r="O516">
        <v>3.0968419999999998E-3</v>
      </c>
      <c r="P516">
        <v>0.9891006</v>
      </c>
      <c r="Q516">
        <v>0.14715129999999901</v>
      </c>
      <c r="R516">
        <v>-5.1448989999999997E-3</v>
      </c>
      <c r="S516">
        <v>3.0551759999999999</v>
      </c>
      <c r="T516">
        <v>-0.16258549999999999</v>
      </c>
      <c r="U516">
        <v>-0.44281009999999998</v>
      </c>
      <c r="V516">
        <v>8.2079690000000007E-3</v>
      </c>
      <c r="W516">
        <v>0.15865179999999901</v>
      </c>
      <c r="X516">
        <v>0.98730050000000003</v>
      </c>
      <c r="Y516">
        <v>0.14629619999999999</v>
      </c>
      <c r="Z516">
        <v>-4.033605E-3</v>
      </c>
      <c r="AA516">
        <v>0.98923260000000002</v>
      </c>
      <c r="AB516">
        <v>38</v>
      </c>
      <c r="AC516">
        <v>20.479600000000001</v>
      </c>
      <c r="AD516">
        <v>-1.1098816638240001</v>
      </c>
      <c r="AE516">
        <v>-3.02410000000003</v>
      </c>
      <c r="AF516">
        <v>3.0786626573509501</v>
      </c>
      <c r="AG516">
        <v>-1.1098816638240001</v>
      </c>
      <c r="AH516">
        <v>20.4114659027248</v>
      </c>
      <c r="AI516">
        <v>93.077672836128798</v>
      </c>
      <c r="AJ516">
        <v>81.422727573876401</v>
      </c>
      <c r="AK516">
        <v>20.672153766929</v>
      </c>
      <c r="AL516">
        <v>80.871349654109295</v>
      </c>
      <c r="AM516">
        <v>89.523679823923104</v>
      </c>
      <c r="AN516">
        <v>1.0000000208492901</v>
      </c>
    </row>
    <row r="517" spans="1:40" x14ac:dyDescent="0.25">
      <c r="A517" t="str">
        <f>"20190312172341335"</f>
        <v>20190312172341335</v>
      </c>
      <c r="B517" t="str">
        <f>"1552382621330660"</f>
        <v>1552382621330660</v>
      </c>
      <c r="C517" t="s">
        <v>40</v>
      </c>
      <c r="D517">
        <v>3.6775850000000001</v>
      </c>
      <c r="E517">
        <v>0.56193159999999998</v>
      </c>
      <c r="F517" t="s">
        <v>43</v>
      </c>
      <c r="G517">
        <v>-337.87200000000001</v>
      </c>
      <c r="H517" s="1">
        <v>-2.1334019999999998E-6</v>
      </c>
      <c r="I517">
        <v>364.26760000000002</v>
      </c>
      <c r="J517">
        <v>-356.6028</v>
      </c>
      <c r="K517">
        <v>1.1098790000000001</v>
      </c>
      <c r="L517">
        <v>367.05880000000002</v>
      </c>
      <c r="M517">
        <v>0.99992749999999997</v>
      </c>
      <c r="N517">
        <v>0</v>
      </c>
      <c r="O517">
        <v>3.112152E-3</v>
      </c>
      <c r="P517">
        <v>0.98917840000000001</v>
      </c>
      <c r="Q517">
        <v>0.14661589999999999</v>
      </c>
      <c r="R517">
        <v>-5.5089229999999998E-3</v>
      </c>
      <c r="S517">
        <v>3.0571290000000002</v>
      </c>
      <c r="T517">
        <v>-0.17760970000000001</v>
      </c>
      <c r="U517">
        <v>-0.44647219999999999</v>
      </c>
      <c r="V517">
        <v>8.5870749999999996E-3</v>
      </c>
      <c r="W517">
        <v>0.158118799999999</v>
      </c>
      <c r="X517">
        <v>0.9873828</v>
      </c>
      <c r="Y517">
        <v>0.14734059999999999</v>
      </c>
      <c r="Z517">
        <v>-4.4336289999999997E-3</v>
      </c>
      <c r="AA517">
        <v>0.98907590000000001</v>
      </c>
      <c r="AB517">
        <v>38</v>
      </c>
      <c r="AC517">
        <v>18.730799999999999</v>
      </c>
      <c r="AD517">
        <v>-1.109881133402</v>
      </c>
      <c r="AE517">
        <v>-2.7911999999999999</v>
      </c>
      <c r="AF517">
        <v>2.83972960907349</v>
      </c>
      <c r="AG517">
        <v>-1.109881133402</v>
      </c>
      <c r="AH517">
        <v>18.6579357118598</v>
      </c>
      <c r="AI517">
        <v>93.365602502852596</v>
      </c>
      <c r="AJ517">
        <v>81.346022000372798</v>
      </c>
      <c r="AK517">
        <v>18.905408364032301</v>
      </c>
      <c r="AL517">
        <v>80.902278915512397</v>
      </c>
      <c r="AM517">
        <v>89.501722379300901</v>
      </c>
      <c r="AN517">
        <v>1.0000000432531599</v>
      </c>
    </row>
    <row r="518" spans="1:40" x14ac:dyDescent="0.25">
      <c r="A518" t="str">
        <f>"20190312172341357"</f>
        <v>20190312172341357</v>
      </c>
      <c r="B518" t="str">
        <f>"1552382621350179"</f>
        <v>1552382621350179</v>
      </c>
      <c r="C518" t="s">
        <v>40</v>
      </c>
      <c r="D518">
        <v>3.8939430000000002</v>
      </c>
      <c r="E518">
        <v>0.56166799999999995</v>
      </c>
      <c r="F518" t="s">
        <v>41</v>
      </c>
      <c r="G518">
        <v>-355.8023</v>
      </c>
      <c r="H518">
        <v>0.96443389999999996</v>
      </c>
      <c r="I518">
        <v>366.92520000000002</v>
      </c>
      <c r="J518">
        <v>-356.20460000000003</v>
      </c>
      <c r="K518">
        <v>1.1098790000000001</v>
      </c>
      <c r="L518">
        <v>367.06009999999998</v>
      </c>
      <c r="M518">
        <v>0.99992740000000002</v>
      </c>
      <c r="N518">
        <v>0</v>
      </c>
      <c r="O518">
        <v>3.1282950000000001E-3</v>
      </c>
      <c r="P518">
        <v>0.98919559999999995</v>
      </c>
      <c r="Q518">
        <v>0.1464799</v>
      </c>
      <c r="R518">
        <v>-5.9900409999999998E-3</v>
      </c>
      <c r="S518">
        <v>3.1137999999999999</v>
      </c>
      <c r="T518">
        <v>-0.56583240000000001</v>
      </c>
      <c r="U518">
        <v>-0.5192871</v>
      </c>
      <c r="V518">
        <v>9.0842349999999995E-3</v>
      </c>
      <c r="W518">
        <v>0.1579846</v>
      </c>
      <c r="X518">
        <v>0.98739980000000005</v>
      </c>
      <c r="Y518">
        <v>0.16490450000000001</v>
      </c>
      <c r="Z518">
        <v>-1.5321990000000001E-2</v>
      </c>
      <c r="AA518">
        <v>0.98619049999999997</v>
      </c>
      <c r="AB518">
        <v>38</v>
      </c>
      <c r="AC518">
        <v>0.40230000000002503</v>
      </c>
      <c r="AD518">
        <v>-0.14544509999999999</v>
      </c>
      <c r="AE518">
        <v>-0.134899999999959</v>
      </c>
      <c r="AF518">
        <v>0.121842046272346</v>
      </c>
      <c r="AG518">
        <v>-0.14544509999999999</v>
      </c>
      <c r="AH518">
        <v>0.35962202670132398</v>
      </c>
      <c r="AI518">
        <v>110.959379004318</v>
      </c>
      <c r="AJ518">
        <v>71.283319112301598</v>
      </c>
      <c r="AK518">
        <v>0.40660516898166699</v>
      </c>
      <c r="AL518">
        <v>80.910065589726699</v>
      </c>
      <c r="AM518">
        <v>89.472884599396195</v>
      </c>
      <c r="AN518">
        <v>1.0000000111013601</v>
      </c>
    </row>
    <row r="519" spans="1:40" x14ac:dyDescent="0.25">
      <c r="A519" t="str">
        <f>"20190312172341379"</f>
        <v>20190312172341379</v>
      </c>
      <c r="B519" t="str">
        <f>"1552382621370675"</f>
        <v>1552382621370675</v>
      </c>
      <c r="C519" t="s">
        <v>40</v>
      </c>
      <c r="D519">
        <v>3.6702180000000002</v>
      </c>
      <c r="E519">
        <v>0.56197680000000005</v>
      </c>
      <c r="F519" t="s">
        <v>41</v>
      </c>
      <c r="G519">
        <v>-355.46179999999998</v>
      </c>
      <c r="H519">
        <v>0.96024120000000002</v>
      </c>
      <c r="I519">
        <v>366.9366</v>
      </c>
      <c r="J519">
        <v>-355.83749999999998</v>
      </c>
      <c r="K519">
        <v>1.10988</v>
      </c>
      <c r="L519">
        <v>367.06119999999999</v>
      </c>
      <c r="M519">
        <v>0.99992720000000002</v>
      </c>
      <c r="N519">
        <v>0</v>
      </c>
      <c r="O519">
        <v>3.1437790000000002E-3</v>
      </c>
      <c r="P519">
        <v>0.98925410000000003</v>
      </c>
      <c r="Q519">
        <v>0.14606949999999999</v>
      </c>
      <c r="R519">
        <v>-6.3450340000000003E-3</v>
      </c>
      <c r="S519">
        <v>3.122833</v>
      </c>
      <c r="T519">
        <v>-0.62916669999999997</v>
      </c>
      <c r="U519">
        <v>-0.51867680000000005</v>
      </c>
      <c r="V519">
        <v>9.4547880000000004E-3</v>
      </c>
      <c r="W519">
        <v>0.15757639999999901</v>
      </c>
      <c r="X519">
        <v>0.98746160000000005</v>
      </c>
      <c r="Y519">
        <v>0.16368429999999901</v>
      </c>
      <c r="Z519">
        <v>-1.684016E-2</v>
      </c>
      <c r="AA519">
        <v>0.98636900000000005</v>
      </c>
      <c r="AB519">
        <v>38</v>
      </c>
      <c r="AC519">
        <v>0.37569999999999398</v>
      </c>
      <c r="AD519">
        <v>-0.14963879999999899</v>
      </c>
      <c r="AE519">
        <v>-0.124599999999986</v>
      </c>
      <c r="AF519">
        <v>0.11005214911611599</v>
      </c>
      <c r="AG519">
        <v>-0.14963879999999899</v>
      </c>
      <c r="AH519">
        <v>0.32837561564426998</v>
      </c>
      <c r="AI519">
        <v>113.36793681021101</v>
      </c>
      <c r="AJ519">
        <v>71.471884625211999</v>
      </c>
      <c r="AK519">
        <v>0.377271508254028</v>
      </c>
      <c r="AL519">
        <v>80.933750873778607</v>
      </c>
      <c r="AM519">
        <v>89.451418774166498</v>
      </c>
      <c r="AN519">
        <v>1.00000006316382</v>
      </c>
    </row>
    <row r="520" spans="1:40" x14ac:dyDescent="0.25">
      <c r="A520" t="str">
        <f>"20190312172341401"</f>
        <v>20190312172341401</v>
      </c>
      <c r="B520" t="str">
        <f>"1552382621390195"</f>
        <v>1552382621390195</v>
      </c>
      <c r="C520" t="s">
        <v>40</v>
      </c>
      <c r="D520">
        <v>3.9336350000000002</v>
      </c>
      <c r="E520">
        <v>0.56275109999999995</v>
      </c>
      <c r="F520" t="s">
        <v>41</v>
      </c>
      <c r="G520">
        <v>-355.12009999999998</v>
      </c>
      <c r="H520">
        <v>0.95790520000000001</v>
      </c>
      <c r="I520">
        <v>366.94139999999999</v>
      </c>
      <c r="J520">
        <v>-355.46019999999999</v>
      </c>
      <c r="K520">
        <v>1.1098680000000001</v>
      </c>
      <c r="L520">
        <v>367.0625</v>
      </c>
      <c r="M520">
        <v>0.99992729999999996</v>
      </c>
      <c r="N520">
        <v>0</v>
      </c>
      <c r="O520">
        <v>3.1593849999999998E-3</v>
      </c>
      <c r="P520">
        <v>0.98928859999999996</v>
      </c>
      <c r="Q520">
        <v>0.1458236</v>
      </c>
      <c r="R520">
        <v>-6.6226849999999997E-3</v>
      </c>
      <c r="S520">
        <v>3.1270449999999999</v>
      </c>
      <c r="T520">
        <v>-0.6623983</v>
      </c>
      <c r="U520">
        <v>-0.52209470000000002</v>
      </c>
      <c r="V520">
        <v>9.7479969999999996E-3</v>
      </c>
      <c r="W520">
        <v>0.15733239999999901</v>
      </c>
      <c r="X520">
        <v>0.98749759999999998</v>
      </c>
      <c r="Y520">
        <v>0.1641831</v>
      </c>
      <c r="Z520">
        <v>-1.7741690000000001E-2</v>
      </c>
      <c r="AA520">
        <v>0.98627030000000004</v>
      </c>
      <c r="AB520">
        <v>38</v>
      </c>
      <c r="AC520">
        <v>0.34010000000000601</v>
      </c>
      <c r="AD520">
        <v>-0.15196280000000001</v>
      </c>
      <c r="AE520">
        <v>-0.121100000000012</v>
      </c>
      <c r="AF520">
        <v>0.103785125403787</v>
      </c>
      <c r="AG520">
        <v>-0.15196280000000001</v>
      </c>
      <c r="AH520">
        <v>0.28858383212046201</v>
      </c>
      <c r="AI520">
        <v>116.358922108031</v>
      </c>
      <c r="AJ520">
        <v>70.2195903575752</v>
      </c>
      <c r="AK520">
        <v>0.34226403988770199</v>
      </c>
      <c r="AL520">
        <v>80.947907134324396</v>
      </c>
      <c r="AM520">
        <v>89.434428046941093</v>
      </c>
      <c r="AN520">
        <v>1.0000000087705101</v>
      </c>
    </row>
    <row r="521" spans="1:40" x14ac:dyDescent="0.25">
      <c r="A521" t="str">
        <f>"20190312172341424"</f>
        <v>20190312172341424</v>
      </c>
      <c r="B521" t="str">
        <f>"1552382621420452"</f>
        <v>1552382621420452</v>
      </c>
      <c r="C521" t="s">
        <v>40</v>
      </c>
      <c r="D521">
        <v>3.6901099999999998</v>
      </c>
      <c r="E521">
        <v>0.56427879999999997</v>
      </c>
      <c r="F521" t="s">
        <v>41</v>
      </c>
      <c r="G521">
        <v>-354.46109999999999</v>
      </c>
      <c r="H521">
        <v>0.89150890000000005</v>
      </c>
      <c r="I521">
        <v>366.89359999999999</v>
      </c>
      <c r="J521">
        <v>-355.07549999999998</v>
      </c>
      <c r="K521">
        <v>1.1098669999999999</v>
      </c>
      <c r="L521">
        <v>367.06369999999998</v>
      </c>
      <c r="M521">
        <v>0.99992720000000002</v>
      </c>
      <c r="N521">
        <v>0</v>
      </c>
      <c r="O521">
        <v>3.1752299999999998E-3</v>
      </c>
      <c r="P521">
        <v>0.9893035</v>
      </c>
      <c r="Q521">
        <v>0.1456971</v>
      </c>
      <c r="R521">
        <v>-7.1351829999999998E-3</v>
      </c>
      <c r="S521">
        <v>3.1297609999999998</v>
      </c>
      <c r="T521">
        <v>-0.68397589999999997</v>
      </c>
      <c r="U521">
        <v>-0.52883910000000001</v>
      </c>
      <c r="V521">
        <v>1.027644E-2</v>
      </c>
      <c r="W521">
        <v>0.1572076</v>
      </c>
      <c r="X521">
        <v>0.9875121</v>
      </c>
      <c r="Y521">
        <v>0.16585920000000001</v>
      </c>
      <c r="Z521">
        <v>-1.847147E-2</v>
      </c>
      <c r="AA521">
        <v>0.98597650000000003</v>
      </c>
      <c r="AB521">
        <v>38</v>
      </c>
      <c r="AC521">
        <v>0.61439999999998895</v>
      </c>
      <c r="AD521">
        <v>-0.218358099999999</v>
      </c>
      <c r="AE521">
        <v>-0.17009999999999001</v>
      </c>
      <c r="AF521">
        <v>0.15398502747076001</v>
      </c>
      <c r="AG521">
        <v>-0.218358099999999</v>
      </c>
      <c r="AH521">
        <v>0.54940235541780202</v>
      </c>
      <c r="AI521">
        <v>110.94180891612601</v>
      </c>
      <c r="AJ521">
        <v>74.343019748900204</v>
      </c>
      <c r="AK521">
        <v>0.61092928941032898</v>
      </c>
      <c r="AL521">
        <v>80.955147591964106</v>
      </c>
      <c r="AM521">
        <v>89.403779064977101</v>
      </c>
      <c r="AN521">
        <v>0.99999999118162097</v>
      </c>
    </row>
    <row r="522" spans="1:40" x14ac:dyDescent="0.25">
      <c r="A522" t="str">
        <f>"20190312172341446"</f>
        <v>20190312172341446</v>
      </c>
      <c r="B522" t="str">
        <f>"1552382621439974"</f>
        <v>1552382621439974</v>
      </c>
      <c r="C522" t="s">
        <v>40</v>
      </c>
      <c r="D522">
        <v>3.6917629999999999</v>
      </c>
      <c r="E522">
        <v>0.56527139999999998</v>
      </c>
      <c r="F522" t="s">
        <v>41</v>
      </c>
      <c r="G522">
        <v>-354.11709999999999</v>
      </c>
      <c r="H522">
        <v>0.89347919999999903</v>
      </c>
      <c r="I522">
        <v>366.89760000000001</v>
      </c>
      <c r="J522">
        <v>-354.67840000000001</v>
      </c>
      <c r="K522">
        <v>1.1098650000000001</v>
      </c>
      <c r="L522">
        <v>367.06490000000002</v>
      </c>
      <c r="M522">
        <v>0.99992729999999996</v>
      </c>
      <c r="N522">
        <v>0</v>
      </c>
      <c r="O522">
        <v>3.191373E-3</v>
      </c>
      <c r="P522">
        <v>0.98929900000000004</v>
      </c>
      <c r="Q522">
        <v>0.14570930000000001</v>
      </c>
      <c r="R522">
        <v>-7.5385349999999999E-3</v>
      </c>
      <c r="S522">
        <v>3.1327210000000001</v>
      </c>
      <c r="T522">
        <v>-0.70746790000000004</v>
      </c>
      <c r="U522">
        <v>-0.54159550000000001</v>
      </c>
      <c r="V522">
        <v>1.0695669999999999E-2</v>
      </c>
      <c r="W522">
        <v>0.15722130000000001</v>
      </c>
      <c r="X522">
        <v>0.98750550000000004</v>
      </c>
      <c r="Y522">
        <v>0.16928089999999901</v>
      </c>
      <c r="Z522">
        <v>-1.9449649999999999E-2</v>
      </c>
      <c r="AA522">
        <v>0.98537589999999997</v>
      </c>
      <c r="AB522">
        <v>38</v>
      </c>
      <c r="AC522">
        <v>0.56130000000001701</v>
      </c>
      <c r="AD522">
        <v>-0.21638579999999999</v>
      </c>
      <c r="AE522">
        <v>-0.167300000000011</v>
      </c>
      <c r="AF522">
        <v>0.148783044852872</v>
      </c>
      <c r="AG522">
        <v>-0.21638579999999999</v>
      </c>
      <c r="AH522">
        <v>0.49341631751474202</v>
      </c>
      <c r="AI522">
        <v>112.776219894934</v>
      </c>
      <c r="AJ522">
        <v>73.220022294950695</v>
      </c>
      <c r="AK522">
        <v>0.55894442592009097</v>
      </c>
      <c r="AL522">
        <v>80.954353050650596</v>
      </c>
      <c r="AM522">
        <v>89.379453796998305</v>
      </c>
      <c r="AN522">
        <v>1.0000000235303399</v>
      </c>
    </row>
    <row r="523" spans="1:40" x14ac:dyDescent="0.25">
      <c r="A523" t="str">
        <f>"20190312172341469"</f>
        <v>20190312172341469</v>
      </c>
      <c r="B523" t="str">
        <f>"1552382621460470"</f>
        <v>1552382621460470</v>
      </c>
      <c r="C523" t="s">
        <v>40</v>
      </c>
      <c r="D523">
        <v>3.6795620000000002</v>
      </c>
      <c r="E523">
        <v>0.56576289999999996</v>
      </c>
      <c r="F523" t="s">
        <v>41</v>
      </c>
      <c r="G523">
        <v>-353.7706</v>
      </c>
      <c r="H523">
        <v>0.90178879999999995</v>
      </c>
      <c r="I523">
        <v>366.90559999999999</v>
      </c>
      <c r="J523">
        <v>-354.30090000000001</v>
      </c>
      <c r="K523">
        <v>1.1098650000000001</v>
      </c>
      <c r="L523">
        <v>367.06619999999998</v>
      </c>
      <c r="M523">
        <v>0.99992720000000002</v>
      </c>
      <c r="N523">
        <v>0</v>
      </c>
      <c r="O523">
        <v>3.2065050000000001E-3</v>
      </c>
      <c r="P523">
        <v>0.98932370000000003</v>
      </c>
      <c r="Q523">
        <v>0.14550539999999901</v>
      </c>
      <c r="R523">
        <v>-8.1830129999999994E-3</v>
      </c>
      <c r="S523">
        <v>3.134125</v>
      </c>
      <c r="T523">
        <v>-0.71832439999999997</v>
      </c>
      <c r="U523">
        <v>-0.54998780000000003</v>
      </c>
      <c r="V523">
        <v>1.135513E-2</v>
      </c>
      <c r="W523">
        <v>0.1570193</v>
      </c>
      <c r="X523">
        <v>0.98753020000000002</v>
      </c>
      <c r="Y523">
        <v>0.17160069999999999</v>
      </c>
      <c r="Z523">
        <v>-1.9991869999999998E-2</v>
      </c>
      <c r="AA523">
        <v>0.9849637</v>
      </c>
      <c r="AB523">
        <v>38</v>
      </c>
      <c r="AC523">
        <v>0.53030000000001098</v>
      </c>
      <c r="AD523">
        <v>-0.20807619999999899</v>
      </c>
      <c r="AE523">
        <v>-0.160599999999988</v>
      </c>
      <c r="AF523">
        <v>0.142240445649047</v>
      </c>
      <c r="AG523">
        <v>-0.20807619999999899</v>
      </c>
      <c r="AH523">
        <v>0.464304414823281</v>
      </c>
      <c r="AI523">
        <v>113.194636797749</v>
      </c>
      <c r="AJ523">
        <v>72.967465611326503</v>
      </c>
      <c r="AK523">
        <v>0.528305441018043</v>
      </c>
      <c r="AL523">
        <v>80.966071667352793</v>
      </c>
      <c r="AM523">
        <v>89.341212700284302</v>
      </c>
      <c r="AN523">
        <v>0.99999994773092205</v>
      </c>
    </row>
    <row r="524" spans="1:40" x14ac:dyDescent="0.25">
      <c r="A524" t="str">
        <f>"20190312172341492"</f>
        <v>20190312172341492</v>
      </c>
      <c r="B524" t="str">
        <f>"1552382621480963"</f>
        <v>1552382621480963</v>
      </c>
      <c r="C524" t="s">
        <v>40</v>
      </c>
      <c r="D524">
        <v>3.692374</v>
      </c>
      <c r="E524">
        <v>0.56624350000000001</v>
      </c>
      <c r="F524" t="s">
        <v>41</v>
      </c>
      <c r="G524">
        <v>-353.42529999999999</v>
      </c>
      <c r="H524">
        <v>0.90664319999999998</v>
      </c>
      <c r="I524">
        <v>366.91090000000003</v>
      </c>
      <c r="J524">
        <v>-353.91250000000002</v>
      </c>
      <c r="K524">
        <v>1.1098600000000001</v>
      </c>
      <c r="L524">
        <v>367.06740000000002</v>
      </c>
      <c r="M524">
        <v>0.99992700000000001</v>
      </c>
      <c r="N524">
        <v>0</v>
      </c>
      <c r="O524">
        <v>3.2221720000000001E-3</v>
      </c>
      <c r="P524">
        <v>0.98934109999999997</v>
      </c>
      <c r="Q524">
        <v>0.14535799999999999</v>
      </c>
      <c r="R524">
        <v>-8.6916219999999995E-3</v>
      </c>
      <c r="S524">
        <v>3.1347960000000001</v>
      </c>
      <c r="T524">
        <v>-0.7276589</v>
      </c>
      <c r="U524">
        <v>-0.55505369999999998</v>
      </c>
      <c r="V524">
        <v>1.1879209999999999E-2</v>
      </c>
      <c r="W524">
        <v>0.1568737</v>
      </c>
      <c r="X524">
        <v>0.98754719999999996</v>
      </c>
      <c r="Y524">
        <v>0.17297770000000001</v>
      </c>
      <c r="Z524">
        <v>-2.0398340000000001E-2</v>
      </c>
      <c r="AA524">
        <v>0.98471450000000005</v>
      </c>
      <c r="AB524">
        <v>38</v>
      </c>
      <c r="AC524">
        <v>0.487200000000029</v>
      </c>
      <c r="AD524">
        <v>-0.2032168</v>
      </c>
      <c r="AE524">
        <v>-0.15649999999999401</v>
      </c>
      <c r="AF524">
        <v>0.13653615299291399</v>
      </c>
      <c r="AG524">
        <v>-0.2032168</v>
      </c>
      <c r="AH524">
        <v>0.42039334342868201</v>
      </c>
      <c r="AI524">
        <v>114.690904626331</v>
      </c>
      <c r="AJ524">
        <v>72.007140999015107</v>
      </c>
      <c r="AK524">
        <v>0.48648715509814899</v>
      </c>
      <c r="AL524">
        <v>80.974518843631103</v>
      </c>
      <c r="AM524">
        <v>89.310822033109901</v>
      </c>
      <c r="AN524">
        <v>0.99999997280487596</v>
      </c>
    </row>
    <row r="525" spans="1:40" x14ac:dyDescent="0.25">
      <c r="A525" t="str">
        <f>"20190312172341514"</f>
        <v>20190312172341514</v>
      </c>
      <c r="B525" t="str">
        <f>"1552382621510243"</f>
        <v>1552382621510243</v>
      </c>
      <c r="C525" t="s">
        <v>40</v>
      </c>
      <c r="D525">
        <v>4.0126390000000001</v>
      </c>
      <c r="E525">
        <v>0.56673850000000003</v>
      </c>
      <c r="F525" t="s">
        <v>41</v>
      </c>
      <c r="G525">
        <v>-353.0788</v>
      </c>
      <c r="H525">
        <v>0.91440900000000003</v>
      </c>
      <c r="I525">
        <v>366.91849999999999</v>
      </c>
      <c r="J525">
        <v>-353.5403</v>
      </c>
      <c r="K525">
        <v>1.109861</v>
      </c>
      <c r="L525">
        <v>367.0686</v>
      </c>
      <c r="M525">
        <v>0.99992689999999995</v>
      </c>
      <c r="N525">
        <v>0</v>
      </c>
      <c r="O525">
        <v>3.2379539999999999E-3</v>
      </c>
      <c r="P525">
        <v>0.98933450000000001</v>
      </c>
      <c r="Q525">
        <v>0.1453739</v>
      </c>
      <c r="R525">
        <v>-9.1213089999999993E-3</v>
      </c>
      <c r="S525">
        <v>3.135437</v>
      </c>
      <c r="T525">
        <v>-0.7350757</v>
      </c>
      <c r="U525">
        <v>-0.55957029999999996</v>
      </c>
      <c r="V525">
        <v>1.2324750000000001E-2</v>
      </c>
      <c r="W525">
        <v>0.15689120000000001</v>
      </c>
      <c r="X525">
        <v>0.98753899999999994</v>
      </c>
      <c r="Y525">
        <v>0.1742119</v>
      </c>
      <c r="Z525">
        <v>-2.0739690000000002E-2</v>
      </c>
      <c r="AA525">
        <v>0.98448970000000002</v>
      </c>
      <c r="AB525">
        <v>38</v>
      </c>
      <c r="AC525">
        <v>0.46150000000000002</v>
      </c>
      <c r="AD525">
        <v>-0.19545199999999999</v>
      </c>
      <c r="AE525">
        <v>-0.150100000000009</v>
      </c>
      <c r="AF525">
        <v>0.13043611874639499</v>
      </c>
      <c r="AG525">
        <v>-0.19545199999999999</v>
      </c>
      <c r="AH525">
        <v>0.39666940261281097</v>
      </c>
      <c r="AI525">
        <v>115.083169599881</v>
      </c>
      <c r="AJ525">
        <v>71.797672603864598</v>
      </c>
      <c r="AK525">
        <v>0.46104411973999598</v>
      </c>
      <c r="AL525">
        <v>80.973503955513493</v>
      </c>
      <c r="AM525">
        <v>89.284970518586704</v>
      </c>
      <c r="AN525">
        <v>1.0000000123105</v>
      </c>
    </row>
    <row r="526" spans="1:40" x14ac:dyDescent="0.25">
      <c r="A526" t="str">
        <f>"20190312172341536"</f>
        <v>20190312172341536</v>
      </c>
      <c r="B526" t="str">
        <f>"1552382621530740"</f>
        <v>1552382621530740</v>
      </c>
      <c r="C526" t="s">
        <v>40</v>
      </c>
      <c r="D526">
        <v>3.7475749999999999</v>
      </c>
      <c r="E526">
        <v>0.56699500000000003</v>
      </c>
      <c r="F526" t="s">
        <v>41</v>
      </c>
      <c r="G526">
        <v>-352.73320000000001</v>
      </c>
      <c r="H526">
        <v>0.91919620000000002</v>
      </c>
      <c r="I526">
        <v>366.9228</v>
      </c>
      <c r="J526">
        <v>-353.14949999999999</v>
      </c>
      <c r="K526">
        <v>1.1098629999999901</v>
      </c>
      <c r="L526">
        <v>367.06990000000002</v>
      </c>
      <c r="M526">
        <v>0.99992689999999995</v>
      </c>
      <c r="N526">
        <v>0</v>
      </c>
      <c r="O526">
        <v>3.2542729999999998E-3</v>
      </c>
      <c r="P526">
        <v>0.98929999999999996</v>
      </c>
      <c r="Q526">
        <v>0.14559759999999999</v>
      </c>
      <c r="R526">
        <v>-9.3261360000000005E-3</v>
      </c>
      <c r="S526">
        <v>3.1360169999999998</v>
      </c>
      <c r="T526">
        <v>-0.74107990000000001</v>
      </c>
      <c r="U526">
        <v>-0.56518550000000001</v>
      </c>
      <c r="V526">
        <v>1.254547E-2</v>
      </c>
      <c r="W526">
        <v>0.15711629999999999</v>
      </c>
      <c r="X526">
        <v>0.98750039999999994</v>
      </c>
      <c r="Y526">
        <v>0.17578959999999999</v>
      </c>
      <c r="Z526">
        <v>-2.1084060000000002E-2</v>
      </c>
      <c r="AA526">
        <v>0.98420200000000002</v>
      </c>
      <c r="AB526">
        <v>38</v>
      </c>
      <c r="AC526">
        <v>0.41629999999997802</v>
      </c>
      <c r="AD526">
        <v>-0.190666799999999</v>
      </c>
      <c r="AE526">
        <v>-0.14710000000002299</v>
      </c>
      <c r="AF526">
        <v>0.12512107045127599</v>
      </c>
      <c r="AG526">
        <v>-0.190666799999999</v>
      </c>
      <c r="AH526">
        <v>0.350463459669968</v>
      </c>
      <c r="AI526">
        <v>117.129132359403</v>
      </c>
      <c r="AJ526">
        <v>70.352621214603005</v>
      </c>
      <c r="AK526">
        <v>0.41813125625448799</v>
      </c>
      <c r="AL526">
        <v>80.960444423019197</v>
      </c>
      <c r="AM526">
        <v>89.272138203129302</v>
      </c>
      <c r="AN526">
        <v>0.99999998027168502</v>
      </c>
    </row>
    <row r="527" spans="1:40" x14ac:dyDescent="0.25">
      <c r="A527" t="str">
        <f>"20190312172341559"</f>
        <v>20190312172341559</v>
      </c>
      <c r="B527" t="str">
        <f>"1552382621550262"</f>
        <v>1552382621550262</v>
      </c>
      <c r="C527" t="s">
        <v>40</v>
      </c>
      <c r="D527">
        <v>3.7136089999999999</v>
      </c>
      <c r="E527">
        <v>0.56733730000000004</v>
      </c>
      <c r="F527" t="s">
        <v>41</v>
      </c>
      <c r="G527">
        <v>-352.38589999999999</v>
      </c>
      <c r="H527">
        <v>0.92859069999999999</v>
      </c>
      <c r="I527">
        <v>366.93180000000001</v>
      </c>
      <c r="J527">
        <v>-352.76069999999999</v>
      </c>
      <c r="K527">
        <v>1.109864</v>
      </c>
      <c r="L527">
        <v>367.07119999999998</v>
      </c>
      <c r="M527">
        <v>0.9999268</v>
      </c>
      <c r="N527">
        <v>0</v>
      </c>
      <c r="O527">
        <v>3.2698829999999999E-3</v>
      </c>
      <c r="P527">
        <v>0.98928320000000003</v>
      </c>
      <c r="Q527">
        <v>0.14570089999999999</v>
      </c>
      <c r="R527">
        <v>-9.5019960000000004E-3</v>
      </c>
      <c r="S527">
        <v>3.1366580000000002</v>
      </c>
      <c r="T527">
        <v>-0.74463380000000001</v>
      </c>
      <c r="U527">
        <v>-0.56768799999999997</v>
      </c>
      <c r="V527">
        <v>1.273667E-2</v>
      </c>
      <c r="W527">
        <v>0.1572209</v>
      </c>
      <c r="X527">
        <v>0.98748139999999995</v>
      </c>
      <c r="Y527">
        <v>0.17646889999999901</v>
      </c>
      <c r="Z527">
        <v>-2.1259460000000001E-2</v>
      </c>
      <c r="AA527">
        <v>0.98407659999999997</v>
      </c>
      <c r="AB527">
        <v>38</v>
      </c>
      <c r="AC527">
        <v>0.37479999999999303</v>
      </c>
      <c r="AD527">
        <v>-0.1812733</v>
      </c>
      <c r="AE527">
        <v>-0.139399999999966</v>
      </c>
      <c r="AF527">
        <v>0.11665333166233099</v>
      </c>
      <c r="AG527">
        <v>-0.1812733</v>
      </c>
      <c r="AH527">
        <v>0.31053007912661101</v>
      </c>
      <c r="AI527">
        <v>118.655185568031</v>
      </c>
      <c r="AJ527">
        <v>69.410873242599095</v>
      </c>
      <c r="AK527">
        <v>0.37801711485485801</v>
      </c>
      <c r="AL527">
        <v>80.954376724803097</v>
      </c>
      <c r="AM527">
        <v>89.261032185377402</v>
      </c>
      <c r="AN527">
        <v>1.00000007475272</v>
      </c>
    </row>
    <row r="528" spans="1:40" x14ac:dyDescent="0.25">
      <c r="A528" t="str">
        <f>"20190312172341580"</f>
        <v>20190312172341580</v>
      </c>
      <c r="B528" t="str">
        <f>"1552382621570755"</f>
        <v>1552382621570755</v>
      </c>
      <c r="C528" t="s">
        <v>40</v>
      </c>
      <c r="D528">
        <v>3.6950430000000001</v>
      </c>
      <c r="E528">
        <v>0.56729580000000002</v>
      </c>
      <c r="F528" t="s">
        <v>41</v>
      </c>
      <c r="G528">
        <v>-352.03820000000002</v>
      </c>
      <c r="H528">
        <v>0.93745389999999995</v>
      </c>
      <c r="I528">
        <v>366.93959999999998</v>
      </c>
      <c r="J528">
        <v>-352.38929999999999</v>
      </c>
      <c r="K528">
        <v>1.109864</v>
      </c>
      <c r="L528">
        <v>367.07240000000002</v>
      </c>
      <c r="M528">
        <v>0.9999268</v>
      </c>
      <c r="N528">
        <v>0</v>
      </c>
      <c r="O528">
        <v>3.2848959999999998E-3</v>
      </c>
      <c r="P528">
        <v>0.98927430000000005</v>
      </c>
      <c r="Q528">
        <v>0.145768799999999</v>
      </c>
      <c r="R528">
        <v>-9.3984440000000006E-3</v>
      </c>
      <c r="S528">
        <v>3.1372680000000002</v>
      </c>
      <c r="T528">
        <v>-0.74876239999999905</v>
      </c>
      <c r="U528">
        <v>-0.57037349999999998</v>
      </c>
      <c r="V528">
        <v>1.2647790000000001E-2</v>
      </c>
      <c r="W528">
        <v>0.1572905</v>
      </c>
      <c r="X528">
        <v>0.9874714</v>
      </c>
      <c r="Y528">
        <v>0.17719509999999999</v>
      </c>
      <c r="Z528">
        <v>-2.1456949999999999E-2</v>
      </c>
      <c r="AA528">
        <v>0.98394190000000004</v>
      </c>
      <c r="AB528">
        <v>38</v>
      </c>
      <c r="AC528">
        <v>0.35109999999997399</v>
      </c>
      <c r="AD528">
        <v>-0.17241009999999901</v>
      </c>
      <c r="AE528">
        <v>-0.132800000000031</v>
      </c>
      <c r="AF528">
        <v>0.110617268892317</v>
      </c>
      <c r="AG528">
        <v>-0.17241009999999901</v>
      </c>
      <c r="AH528">
        <v>0.289574294011268</v>
      </c>
      <c r="AI528">
        <v>119.082467814612</v>
      </c>
      <c r="AJ528">
        <v>69.093162346278206</v>
      </c>
      <c r="AK528">
        <v>0.35470367140943099</v>
      </c>
      <c r="AL528">
        <v>80.950338169447804</v>
      </c>
      <c r="AM528">
        <v>89.266180910550503</v>
      </c>
      <c r="AN528">
        <v>1.00000001690004</v>
      </c>
    </row>
    <row r="529" spans="1:40" x14ac:dyDescent="0.25">
      <c r="A529" t="str">
        <f>"20190312172341602"</f>
        <v>20190312172341602</v>
      </c>
      <c r="B529" t="str">
        <f>"1552382621600035"</f>
        <v>1552382621600035</v>
      </c>
      <c r="C529" t="s">
        <v>40</v>
      </c>
      <c r="D529">
        <v>3.6772520000000002</v>
      </c>
      <c r="E529">
        <v>0.56710329999999998</v>
      </c>
      <c r="F529" t="s">
        <v>41</v>
      </c>
      <c r="G529">
        <v>-351.6918</v>
      </c>
      <c r="H529">
        <v>0.94318100000000005</v>
      </c>
      <c r="I529">
        <v>366.94549999999998</v>
      </c>
      <c r="J529">
        <v>-352.00819999999999</v>
      </c>
      <c r="K529">
        <v>1.1098589999999999</v>
      </c>
      <c r="L529">
        <v>367.07369999999997</v>
      </c>
      <c r="M529">
        <v>0.99992669999999995</v>
      </c>
      <c r="N529">
        <v>0</v>
      </c>
      <c r="O529">
        <v>3.3000260000000002E-3</v>
      </c>
      <c r="P529">
        <v>0.98927419999999999</v>
      </c>
      <c r="Q529">
        <v>0.14580129999999999</v>
      </c>
      <c r="R529">
        <v>-8.9058149999999992E-3</v>
      </c>
      <c r="S529">
        <v>3.1376650000000001</v>
      </c>
      <c r="T529">
        <v>-0.75005940000000004</v>
      </c>
      <c r="U529">
        <v>-0.56988530000000004</v>
      </c>
      <c r="V529">
        <v>1.217005E-2</v>
      </c>
      <c r="W529">
        <v>0.15732399999999999</v>
      </c>
      <c r="X529">
        <v>0.98747209999999996</v>
      </c>
      <c r="Y529">
        <v>0.1770282</v>
      </c>
      <c r="Z529">
        <v>-2.1474839999999999E-2</v>
      </c>
      <c r="AA529">
        <v>0.9839715</v>
      </c>
      <c r="AB529">
        <v>38</v>
      </c>
      <c r="AC529">
        <v>0.31639999999998702</v>
      </c>
      <c r="AD529">
        <v>-0.16667799999999999</v>
      </c>
      <c r="AE529">
        <v>-0.12819999999999199</v>
      </c>
      <c r="AF529">
        <v>0.1043651588653</v>
      </c>
      <c r="AG529">
        <v>-0.16667799999999999</v>
      </c>
      <c r="AH529">
        <v>0.255152484522573</v>
      </c>
      <c r="AI529">
        <v>121.158208129101</v>
      </c>
      <c r="AJ529">
        <v>67.753939357583306</v>
      </c>
      <c r="AK529">
        <v>0.322143496639341</v>
      </c>
      <c r="AL529">
        <v>80.948394861651806</v>
      </c>
      <c r="AM529">
        <v>89.293896809556998</v>
      </c>
      <c r="AN529">
        <v>1.0000000496857</v>
      </c>
    </row>
    <row r="530" spans="1:40" x14ac:dyDescent="0.25">
      <c r="A530" t="str">
        <f>"20190312172341626"</f>
        <v>20190312172341626</v>
      </c>
      <c r="B530" t="str">
        <f>"1552382621620533"</f>
        <v>1552382621620533</v>
      </c>
      <c r="C530" t="s">
        <v>40</v>
      </c>
      <c r="D530">
        <v>3.6811850000000002</v>
      </c>
      <c r="E530">
        <v>0.56703840000000005</v>
      </c>
      <c r="F530" t="s">
        <v>41</v>
      </c>
      <c r="G530">
        <v>-351.03050000000002</v>
      </c>
      <c r="H530">
        <v>0.8756623</v>
      </c>
      <c r="I530">
        <v>366.89699999999999</v>
      </c>
      <c r="J530">
        <v>-351.608</v>
      </c>
      <c r="K530">
        <v>1.109861</v>
      </c>
      <c r="L530">
        <v>367.07499999999999</v>
      </c>
      <c r="M530">
        <v>0.9999266</v>
      </c>
      <c r="N530">
        <v>0</v>
      </c>
      <c r="O530">
        <v>3.3168199999999998E-3</v>
      </c>
      <c r="P530">
        <v>0.98926559999999997</v>
      </c>
      <c r="Q530">
        <v>0.14587829999999999</v>
      </c>
      <c r="R530">
        <v>-8.5548009999999904E-3</v>
      </c>
      <c r="S530">
        <v>3.1382140000000001</v>
      </c>
      <c r="T530">
        <v>-0.75178690000000004</v>
      </c>
      <c r="U530">
        <v>-0.56698609999999905</v>
      </c>
      <c r="V530">
        <v>1.18359E-2</v>
      </c>
      <c r="W530">
        <v>0.15740309999999999</v>
      </c>
      <c r="X530">
        <v>0.98746350000000005</v>
      </c>
      <c r="Y530">
        <v>0.1761365</v>
      </c>
      <c r="Z530">
        <v>-2.1420479999999999E-2</v>
      </c>
      <c r="AA530">
        <v>0.98413260000000002</v>
      </c>
      <c r="AB530">
        <v>38</v>
      </c>
      <c r="AC530">
        <v>0.57749999999998602</v>
      </c>
      <c r="AD530">
        <v>-0.23419870000000001</v>
      </c>
      <c r="AE530">
        <v>-0.17799999999999699</v>
      </c>
      <c r="AF530">
        <v>0.156421234770562</v>
      </c>
      <c r="AG530">
        <v>-0.23419870000000001</v>
      </c>
      <c r="AH530">
        <v>0.501573538173259</v>
      </c>
      <c r="AI530">
        <v>114.025132573319</v>
      </c>
      <c r="AJ530">
        <v>72.679335138891901</v>
      </c>
      <c r="AK530">
        <v>0.57523269027801205</v>
      </c>
      <c r="AL530">
        <v>80.943805079354703</v>
      </c>
      <c r="AM530">
        <v>89.313276244141704</v>
      </c>
      <c r="AN530">
        <v>0.99999999412533502</v>
      </c>
    </row>
    <row r="531" spans="1:40" x14ac:dyDescent="0.25">
      <c r="A531" t="str">
        <f>"20190312172341647"</f>
        <v>20190312172341647</v>
      </c>
      <c r="B531" t="str">
        <f>"1552382621640051"</f>
        <v>1552382621640051</v>
      </c>
      <c r="C531" t="s">
        <v>40</v>
      </c>
      <c r="D531">
        <v>3.6593100000000001</v>
      </c>
      <c r="E531">
        <v>0.56724410000000003</v>
      </c>
      <c r="F531" t="s">
        <v>41</v>
      </c>
      <c r="G531">
        <v>-350.68169999999998</v>
      </c>
      <c r="H531">
        <v>0.88772790000000001</v>
      </c>
      <c r="I531">
        <v>366.90780000000001</v>
      </c>
      <c r="J531">
        <v>-351.22770000000003</v>
      </c>
      <c r="K531">
        <v>1.1098589999999999</v>
      </c>
      <c r="L531">
        <v>367.0763</v>
      </c>
      <c r="M531">
        <v>0.99992639999999999</v>
      </c>
      <c r="N531">
        <v>0</v>
      </c>
      <c r="O531">
        <v>3.3328419999999999E-3</v>
      </c>
      <c r="P531">
        <v>0.98927160000000003</v>
      </c>
      <c r="Q531">
        <v>0.14584859999999999</v>
      </c>
      <c r="R531">
        <v>-8.361172E-3</v>
      </c>
      <c r="S531">
        <v>3.138611</v>
      </c>
      <c r="T531">
        <v>-0.75262419999999997</v>
      </c>
      <c r="U531">
        <v>-0.56573490000000004</v>
      </c>
      <c r="V531">
        <v>1.165822E-2</v>
      </c>
      <c r="W531">
        <v>0.15737429999999999</v>
      </c>
      <c r="X531">
        <v>0.98747019999999996</v>
      </c>
      <c r="Y531">
        <v>0.17575060000000001</v>
      </c>
      <c r="Z531">
        <v>-2.1400309999999999E-2</v>
      </c>
      <c r="AA531">
        <v>0.98420209999999997</v>
      </c>
      <c r="AB531">
        <v>38</v>
      </c>
      <c r="AC531">
        <v>0.546000000000049</v>
      </c>
      <c r="AD531">
        <v>-0.222131099999999</v>
      </c>
      <c r="AE531">
        <v>-0.16849999999999399</v>
      </c>
      <c r="AF531">
        <v>0.14795919120140599</v>
      </c>
      <c r="AG531">
        <v>-0.222131099999999</v>
      </c>
      <c r="AH531">
        <v>0.47382975828653601</v>
      </c>
      <c r="AI531">
        <v>114.108033513328</v>
      </c>
      <c r="AJ531">
        <v>72.658381415356004</v>
      </c>
      <c r="AK531">
        <v>0.54382790263654301</v>
      </c>
      <c r="AL531">
        <v>80.945475986856806</v>
      </c>
      <c r="AM531">
        <v>89.3235889342821</v>
      </c>
      <c r="AN531">
        <v>0.99999999014104901</v>
      </c>
    </row>
    <row r="532" spans="1:40" x14ac:dyDescent="0.25">
      <c r="A532" t="str">
        <f>"20190312172341669"</f>
        <v>20190312172341669</v>
      </c>
      <c r="B532" t="str">
        <f>"1552382621660551"</f>
        <v>1552382621660551</v>
      </c>
      <c r="C532" t="s">
        <v>40</v>
      </c>
      <c r="D532">
        <v>3.78241</v>
      </c>
      <c r="E532">
        <v>0.56743009999999905</v>
      </c>
      <c r="F532" t="s">
        <v>41</v>
      </c>
      <c r="G532">
        <v>-350.33460000000002</v>
      </c>
      <c r="H532">
        <v>0.89505759999999901</v>
      </c>
      <c r="I532">
        <v>366.9151</v>
      </c>
      <c r="J532">
        <v>-350.85270000000003</v>
      </c>
      <c r="K532">
        <v>1.109858</v>
      </c>
      <c r="L532">
        <v>367.07760000000002</v>
      </c>
      <c r="M532">
        <v>0.99992639999999999</v>
      </c>
      <c r="N532">
        <v>0</v>
      </c>
      <c r="O532">
        <v>3.348153E-3</v>
      </c>
      <c r="P532">
        <v>0.98919109999999999</v>
      </c>
      <c r="Q532">
        <v>0.14637169999999999</v>
      </c>
      <c r="R532">
        <v>-8.7441749999999999E-3</v>
      </c>
      <c r="S532">
        <v>3.1390690000000001</v>
      </c>
      <c r="T532">
        <v>-0.75498199999999904</v>
      </c>
      <c r="U532">
        <v>-0.56655880000000003</v>
      </c>
      <c r="V532">
        <v>1.2055939999999999E-2</v>
      </c>
      <c r="W532">
        <v>0.15789839999999999</v>
      </c>
      <c r="X532">
        <v>0.98738179999999998</v>
      </c>
      <c r="Y532">
        <v>0.1759559</v>
      </c>
      <c r="Z532">
        <v>-2.148982E-2</v>
      </c>
      <c r="AA532">
        <v>0.98416349999999997</v>
      </c>
      <c r="AB532">
        <v>38</v>
      </c>
      <c r="AC532">
        <v>0.518100000000004</v>
      </c>
      <c r="AD532">
        <v>-0.2148004</v>
      </c>
      <c r="AE532">
        <v>-0.16250000000002199</v>
      </c>
      <c r="AF532">
        <v>0.14201036468543199</v>
      </c>
      <c r="AG532">
        <v>-0.2148004</v>
      </c>
      <c r="AH532">
        <v>0.44751963294696001</v>
      </c>
      <c r="AI532">
        <v>114.583996475194</v>
      </c>
      <c r="AJ532">
        <v>72.394326471067998</v>
      </c>
      <c r="AK532">
        <v>0.516313836141577</v>
      </c>
      <c r="AL532">
        <v>80.915067480662799</v>
      </c>
      <c r="AM532">
        <v>89.300452817491902</v>
      </c>
      <c r="AN532">
        <v>1.0000000346915401</v>
      </c>
    </row>
    <row r="533" spans="1:40" x14ac:dyDescent="0.25">
      <c r="A533" t="str">
        <f>"20190312172341692"</f>
        <v>20190312172341692</v>
      </c>
      <c r="B533" t="str">
        <f>"1552382621680067"</f>
        <v>1552382621680067</v>
      </c>
      <c r="C533" t="s">
        <v>40</v>
      </c>
      <c r="D533">
        <v>3.7294420000000001</v>
      </c>
      <c r="E533">
        <v>0.56756969999999995</v>
      </c>
      <c r="F533" t="s">
        <v>41</v>
      </c>
      <c r="G533">
        <v>-349.98750000000001</v>
      </c>
      <c r="H533">
        <v>0.90172269999999999</v>
      </c>
      <c r="I533">
        <v>366.92059999999998</v>
      </c>
      <c r="J533">
        <v>-350.45710000000003</v>
      </c>
      <c r="K533">
        <v>1.1098589999999999</v>
      </c>
      <c r="L533">
        <v>367.07889999999998</v>
      </c>
      <c r="M533">
        <v>0.99992639999999999</v>
      </c>
      <c r="N533">
        <v>0</v>
      </c>
      <c r="O533">
        <v>3.364297E-3</v>
      </c>
      <c r="P533">
        <v>0.98920419999999998</v>
      </c>
      <c r="Q533">
        <v>0.1462831</v>
      </c>
      <c r="R533">
        <v>-8.76094E-3</v>
      </c>
      <c r="S533">
        <v>3.1394959999999998</v>
      </c>
      <c r="T533">
        <v>-0.75527489999999997</v>
      </c>
      <c r="U533">
        <v>-0.568878199999999</v>
      </c>
      <c r="V533">
        <v>1.2088679999999999E-2</v>
      </c>
      <c r="W533">
        <v>0.1578118</v>
      </c>
      <c r="X533">
        <v>0.98739520000000003</v>
      </c>
      <c r="Y533">
        <v>0.1766316</v>
      </c>
      <c r="Z533">
        <v>-2.157709E-2</v>
      </c>
      <c r="AA533">
        <v>0.98404049999999998</v>
      </c>
      <c r="AB533">
        <v>39</v>
      </c>
      <c r="AC533">
        <v>0.46960000000001401</v>
      </c>
      <c r="AD533">
        <v>-0.2081363</v>
      </c>
      <c r="AE533">
        <v>-0.158299999999996</v>
      </c>
      <c r="AF533">
        <v>0.13590543822671899</v>
      </c>
      <c r="AG533">
        <v>-0.2081363</v>
      </c>
      <c r="AH533">
        <v>0.398729131043494</v>
      </c>
      <c r="AI533">
        <v>116.29338014673699</v>
      </c>
      <c r="AJ533">
        <v>71.178501630796703</v>
      </c>
      <c r="AK533">
        <v>0.46986798939700802</v>
      </c>
      <c r="AL533">
        <v>80.920091891792794</v>
      </c>
      <c r="AM533">
        <v>89.298562783544</v>
      </c>
      <c r="AN533">
        <v>0.99999999069321099</v>
      </c>
    </row>
    <row r="534" spans="1:40" x14ac:dyDescent="0.25">
      <c r="A534" t="str">
        <f>"20190312172341706"</f>
        <v>20190312172341706</v>
      </c>
      <c r="B534" t="str">
        <f>"1552382621700564"</f>
        <v>1552382621700564</v>
      </c>
      <c r="C534" t="s">
        <v>40</v>
      </c>
      <c r="D534">
        <v>3.6562489999999999</v>
      </c>
      <c r="E534">
        <v>0.56760730000000004</v>
      </c>
      <c r="F534" t="s">
        <v>41</v>
      </c>
      <c r="G534">
        <v>-349.6388</v>
      </c>
      <c r="H534">
        <v>0.912578</v>
      </c>
      <c r="I534">
        <v>366.93009999999998</v>
      </c>
      <c r="J534">
        <v>-350.22800000000001</v>
      </c>
      <c r="K534">
        <v>1.1098589999999999</v>
      </c>
      <c r="L534">
        <v>367.0797</v>
      </c>
      <c r="M534">
        <v>0.99992630000000005</v>
      </c>
      <c r="N534">
        <v>0</v>
      </c>
      <c r="O534">
        <v>3.3737099999999998E-3</v>
      </c>
      <c r="P534">
        <v>0.98922840000000001</v>
      </c>
      <c r="Q534">
        <v>0.146137299999999</v>
      </c>
      <c r="R534">
        <v>-8.4395630000000006E-3</v>
      </c>
      <c r="S534">
        <v>3.1396480000000002</v>
      </c>
      <c r="T534">
        <v>-0.75703909999999996</v>
      </c>
      <c r="U534">
        <v>-0.57043459999999901</v>
      </c>
      <c r="V534">
        <v>1.1776669999999999E-2</v>
      </c>
      <c r="W534">
        <v>0.15766669999999999</v>
      </c>
      <c r="X534">
        <v>0.98742220000000003</v>
      </c>
      <c r="Y534">
        <v>0.17707030000000001</v>
      </c>
      <c r="Z534">
        <v>-2.1678159999999998E-2</v>
      </c>
      <c r="AA534">
        <v>0.98395940000000004</v>
      </c>
      <c r="AB534">
        <v>39</v>
      </c>
      <c r="AC534">
        <v>0.58920000000000505</v>
      </c>
      <c r="AD534">
        <v>-0.19728099999999901</v>
      </c>
      <c r="AE534">
        <v>-0.14960000000001999</v>
      </c>
      <c r="AF534">
        <v>0.13714309691774801</v>
      </c>
      <c r="AG534">
        <v>-0.19728099999999901</v>
      </c>
      <c r="AH534">
        <v>0.53259838753359301</v>
      </c>
      <c r="AI534">
        <v>109.73346592867701</v>
      </c>
      <c r="AJ534">
        <v>75.5601345437899</v>
      </c>
      <c r="AK534">
        <v>0.58428508828873504</v>
      </c>
      <c r="AL534">
        <v>80.928511356702103</v>
      </c>
      <c r="AM534">
        <v>89.316683889780904</v>
      </c>
      <c r="AN534">
        <v>1.0000000396490001</v>
      </c>
    </row>
    <row r="535" spans="1:40" x14ac:dyDescent="0.25">
      <c r="A535" t="str">
        <f>"20190312172341719"</f>
        <v>20190312172341719</v>
      </c>
      <c r="B535" t="str">
        <f>"1552382621710323"</f>
        <v>1552382621710323</v>
      </c>
      <c r="C535" t="s">
        <v>40</v>
      </c>
      <c r="D535">
        <v>3.6625169999999998</v>
      </c>
      <c r="E535">
        <v>0.56766660000000002</v>
      </c>
      <c r="F535" t="s">
        <v>41</v>
      </c>
      <c r="G535">
        <v>-349.30430000000001</v>
      </c>
      <c r="H535">
        <v>0.88664560000000003</v>
      </c>
      <c r="I535">
        <v>366.9117</v>
      </c>
      <c r="J535">
        <v>-349.99439999999998</v>
      </c>
      <c r="K535">
        <v>1.109858</v>
      </c>
      <c r="L535">
        <v>367.08049999999997</v>
      </c>
      <c r="M535">
        <v>0.99992619999999999</v>
      </c>
      <c r="N535">
        <v>0</v>
      </c>
      <c r="O535">
        <v>3.383123E-3</v>
      </c>
      <c r="P535">
        <v>0.98920549999999996</v>
      </c>
      <c r="Q535">
        <v>0.14627490000000001</v>
      </c>
      <c r="R535">
        <v>-8.7300260000000001E-3</v>
      </c>
      <c r="S535">
        <v>3.1398929999999998</v>
      </c>
      <c r="T535">
        <v>-0.75876469999999996</v>
      </c>
      <c r="U535">
        <v>-0.56961059999999997</v>
      </c>
      <c r="V535">
        <v>1.207652E-2</v>
      </c>
      <c r="W535">
        <v>0.15780520000000001</v>
      </c>
      <c r="X535">
        <v>0.98739639999999995</v>
      </c>
      <c r="Y535">
        <v>0.17680129999999999</v>
      </c>
      <c r="Z535">
        <v>-2.1695530000000001E-2</v>
      </c>
      <c r="AA535">
        <v>0.98400739999999998</v>
      </c>
      <c r="AB535">
        <v>39</v>
      </c>
      <c r="AC535">
        <v>0.69009999999997196</v>
      </c>
      <c r="AD535">
        <v>-0.22321240000000001</v>
      </c>
      <c r="AE535">
        <v>-0.168799999999976</v>
      </c>
      <c r="AF535">
        <v>0.15575843567704101</v>
      </c>
      <c r="AG535">
        <v>-0.22321240000000001</v>
      </c>
      <c r="AH535">
        <v>0.62757486870957202</v>
      </c>
      <c r="AI535">
        <v>109.044746543329</v>
      </c>
      <c r="AJ535">
        <v>76.061348974258493</v>
      </c>
      <c r="AK535">
        <v>0.68405751339646603</v>
      </c>
      <c r="AL535">
        <v>80.920474809583595</v>
      </c>
      <c r="AM535">
        <v>89.299269140189296</v>
      </c>
      <c r="AN535">
        <v>0.99999998710765503</v>
      </c>
    </row>
    <row r="536" spans="1:40" x14ac:dyDescent="0.25">
      <c r="A536" t="str">
        <f>"20190312172341731"</f>
        <v>20190312172341731</v>
      </c>
      <c r="B536" t="str">
        <f>"1552382621720083"</f>
        <v>1552382621720083</v>
      </c>
      <c r="C536" t="s">
        <v>40</v>
      </c>
      <c r="D536">
        <v>3.5854309999999998</v>
      </c>
      <c r="E536">
        <v>0.56753319999999996</v>
      </c>
      <c r="F536" t="s">
        <v>41</v>
      </c>
      <c r="G536">
        <v>-349.28390000000002</v>
      </c>
      <c r="H536">
        <v>0.93814799999999998</v>
      </c>
      <c r="I536">
        <v>366.95100000000002</v>
      </c>
      <c r="J536">
        <v>-349.78840000000002</v>
      </c>
      <c r="K536">
        <v>1.109858</v>
      </c>
      <c r="L536">
        <v>367.08109999999999</v>
      </c>
      <c r="M536">
        <v>0.99992630000000005</v>
      </c>
      <c r="N536">
        <v>0</v>
      </c>
      <c r="O536">
        <v>3.3911660000000001E-3</v>
      </c>
      <c r="P536">
        <v>0.98922840000000001</v>
      </c>
      <c r="Q536">
        <v>0.1461305</v>
      </c>
      <c r="R536">
        <v>-8.5671659999999993E-3</v>
      </c>
      <c r="S536">
        <v>3.1398929999999998</v>
      </c>
      <c r="T536">
        <v>-0.75892040000000005</v>
      </c>
      <c r="U536">
        <v>-0.57101440000000003</v>
      </c>
      <c r="V536">
        <v>1.1921569999999999E-2</v>
      </c>
      <c r="W536">
        <v>0.15766160000000001</v>
      </c>
      <c r="X536">
        <v>0.9874212</v>
      </c>
      <c r="Y536">
        <v>0.17722160000000001</v>
      </c>
      <c r="Z536">
        <v>-2.1750619999999998E-2</v>
      </c>
      <c r="AA536">
        <v>0.98393059999999999</v>
      </c>
      <c r="AB536">
        <v>39</v>
      </c>
      <c r="AC536">
        <v>0.50450000000000705</v>
      </c>
      <c r="AD536">
        <v>-0.17171</v>
      </c>
      <c r="AE536">
        <v>-0.130100000000027</v>
      </c>
      <c r="AF536">
        <v>0.118895821112577</v>
      </c>
      <c r="AG536">
        <v>-0.17171</v>
      </c>
      <c r="AH536">
        <v>0.454669914442481</v>
      </c>
      <c r="AI536">
        <v>110.070924775701</v>
      </c>
      <c r="AJ536">
        <v>75.345354141726702</v>
      </c>
      <c r="AK536">
        <v>0.50034515234702404</v>
      </c>
      <c r="AL536">
        <v>80.928806584006196</v>
      </c>
      <c r="AM536">
        <v>89.308276488424795</v>
      </c>
      <c r="AN536">
        <v>0.999999965077631</v>
      </c>
    </row>
    <row r="537" spans="1:40" x14ac:dyDescent="0.25">
      <c r="A537" t="str">
        <f>"20190312172341749"</f>
        <v>20190312172341749</v>
      </c>
      <c r="B537" t="str">
        <f>"1552382621740583"</f>
        <v>1552382621740583</v>
      </c>
      <c r="C537" t="s">
        <v>40</v>
      </c>
      <c r="D537">
        <v>3.623713</v>
      </c>
      <c r="E537">
        <v>0.567521099999999</v>
      </c>
      <c r="F537" t="s">
        <v>41</v>
      </c>
      <c r="G537">
        <v>-348.9513</v>
      </c>
      <c r="H537">
        <v>0.90790720000000003</v>
      </c>
      <c r="I537">
        <v>366.92899999999997</v>
      </c>
      <c r="J537">
        <v>-349.48809999999997</v>
      </c>
      <c r="K537">
        <v>1.1098570000000001</v>
      </c>
      <c r="L537">
        <v>367.0822</v>
      </c>
      <c r="M537">
        <v>0.99992619999999999</v>
      </c>
      <c r="N537">
        <v>0</v>
      </c>
      <c r="O537">
        <v>3.4033190000000001E-3</v>
      </c>
      <c r="P537">
        <v>0.98922429999999995</v>
      </c>
      <c r="Q537">
        <v>0.14614730000000001</v>
      </c>
      <c r="R537">
        <v>-8.7395649999999995E-3</v>
      </c>
      <c r="S537">
        <v>3.1396790000000001</v>
      </c>
      <c r="T537">
        <v>-0.75752830000000004</v>
      </c>
      <c r="U537">
        <v>-0.56979369999999996</v>
      </c>
      <c r="V537">
        <v>1.2105919999999999E-2</v>
      </c>
      <c r="W537">
        <v>0.1576795</v>
      </c>
      <c r="X537">
        <v>0.98741610000000002</v>
      </c>
      <c r="Y537">
        <v>0.17690069999999999</v>
      </c>
      <c r="Z537">
        <v>-2.1678940000000001E-2</v>
      </c>
      <c r="AA537">
        <v>0.98399000000000003</v>
      </c>
      <c r="AB537">
        <v>39</v>
      </c>
      <c r="AC537">
        <v>0.53679999999997097</v>
      </c>
      <c r="AD537">
        <v>-0.20194979999999901</v>
      </c>
      <c r="AE537">
        <v>-0.153199999999969</v>
      </c>
      <c r="AF537">
        <v>0.13708517444865501</v>
      </c>
      <c r="AG537">
        <v>-0.20194979999999901</v>
      </c>
      <c r="AH537">
        <v>0.47421303671410098</v>
      </c>
      <c r="AI537">
        <v>112.25005264056099</v>
      </c>
      <c r="AJ537">
        <v>73.876512689942501</v>
      </c>
      <c r="AK537">
        <v>0.53334235811837305</v>
      </c>
      <c r="AL537">
        <v>80.927768009646101</v>
      </c>
      <c r="AM537">
        <v>89.297577411294498</v>
      </c>
      <c r="AN537">
        <v>0.99999996627925203</v>
      </c>
    </row>
    <row r="538" spans="1:40" x14ac:dyDescent="0.25">
      <c r="A538" t="str">
        <f>"20190312172341760"</f>
        <v>20190312172341760</v>
      </c>
      <c r="B538" t="str">
        <f>"1552382621750340"</f>
        <v>1552382621750340</v>
      </c>
      <c r="C538" t="s">
        <v>40</v>
      </c>
      <c r="D538">
        <v>3.6497480000000002</v>
      </c>
      <c r="E538">
        <v>0.56754359999999904</v>
      </c>
      <c r="F538" t="s">
        <v>41</v>
      </c>
      <c r="G538">
        <v>-348.61040000000003</v>
      </c>
      <c r="H538">
        <v>0.89784189999999997</v>
      </c>
      <c r="I538">
        <v>366.92239999999998</v>
      </c>
      <c r="J538">
        <v>-349.28199999999998</v>
      </c>
      <c r="K538">
        <v>1.1098600000000001</v>
      </c>
      <c r="L538">
        <v>367.0829</v>
      </c>
      <c r="M538">
        <v>0.99992630000000005</v>
      </c>
      <c r="N538">
        <v>0</v>
      </c>
      <c r="O538">
        <v>3.4115399999999998E-3</v>
      </c>
      <c r="P538">
        <v>0.98925790000000002</v>
      </c>
      <c r="Q538">
        <v>0.1459329</v>
      </c>
      <c r="R538">
        <v>-8.5374760000000004E-3</v>
      </c>
      <c r="S538">
        <v>3.1396480000000002</v>
      </c>
      <c r="T538">
        <v>-0.75844849999999997</v>
      </c>
      <c r="U538">
        <v>-0.57034300000000004</v>
      </c>
      <c r="V538">
        <v>1.1912020000000001E-2</v>
      </c>
      <c r="W538">
        <v>0.15746660000000001</v>
      </c>
      <c r="X538">
        <v>0.98745240000000001</v>
      </c>
      <c r="Y538">
        <v>0.17706050000000001</v>
      </c>
      <c r="Z538">
        <v>-2.172526E-2</v>
      </c>
      <c r="AA538">
        <v>0.98396019999999895</v>
      </c>
      <c r="AB538">
        <v>39</v>
      </c>
      <c r="AC538">
        <v>0.67159999999995501</v>
      </c>
      <c r="AD538">
        <v>-0.21201809999999999</v>
      </c>
      <c r="AE538">
        <v>-0.16050000000001299</v>
      </c>
      <c r="AF538">
        <v>0.14876533714484499</v>
      </c>
      <c r="AG538">
        <v>-0.21201809999999999</v>
      </c>
      <c r="AH538">
        <v>0.61323486804582195</v>
      </c>
      <c r="AI538">
        <v>108.571930553371</v>
      </c>
      <c r="AJ538">
        <v>76.3639745066167</v>
      </c>
      <c r="AK538">
        <v>0.66568746694722003</v>
      </c>
      <c r="AL538">
        <v>80.940120306162001</v>
      </c>
      <c r="AM538">
        <v>89.308852389289498</v>
      </c>
      <c r="AN538">
        <v>0.99999993430089795</v>
      </c>
    </row>
    <row r="539" spans="1:40" x14ac:dyDescent="0.25">
      <c r="A539" t="str">
        <f>"20190312172341771"</f>
        <v>20190312172341771</v>
      </c>
      <c r="B539" t="str">
        <f>"1552382621760100"</f>
        <v>1552382621760100</v>
      </c>
      <c r="C539" t="s">
        <v>40</v>
      </c>
      <c r="D539">
        <v>3.6334170000000001</v>
      </c>
      <c r="E539">
        <v>0.56753750000000003</v>
      </c>
      <c r="F539" t="s">
        <v>41</v>
      </c>
      <c r="G539">
        <v>-348.59230000000002</v>
      </c>
      <c r="H539">
        <v>0.94298590000000004</v>
      </c>
      <c r="I539">
        <v>366.95749999999998</v>
      </c>
      <c r="J539">
        <v>-349.09769999999997</v>
      </c>
      <c r="K539">
        <v>1.1098589999999999</v>
      </c>
      <c r="L539">
        <v>367.08350000000002</v>
      </c>
      <c r="M539">
        <v>0.99992610000000004</v>
      </c>
      <c r="N539">
        <v>0</v>
      </c>
      <c r="O539">
        <v>3.419105E-3</v>
      </c>
      <c r="P539">
        <v>0.98928590000000005</v>
      </c>
      <c r="Q539">
        <v>0.14575479999999999</v>
      </c>
      <c r="R539">
        <v>-8.3062559999999997E-3</v>
      </c>
      <c r="S539">
        <v>3.1397710000000001</v>
      </c>
      <c r="T539">
        <v>-0.75967980000000002</v>
      </c>
      <c r="U539">
        <v>-0.56985469999999905</v>
      </c>
      <c r="V539">
        <v>1.168864E-2</v>
      </c>
      <c r="W539">
        <v>0.15728909999999999</v>
      </c>
      <c r="X539">
        <v>0.98748340000000001</v>
      </c>
      <c r="Y539">
        <v>0.17690139999999999</v>
      </c>
      <c r="Z539">
        <v>-2.1742000000000001E-2</v>
      </c>
      <c r="AA539">
        <v>0.98398839999999999</v>
      </c>
      <c r="AB539">
        <v>39</v>
      </c>
      <c r="AC539">
        <v>0.505399999999951</v>
      </c>
      <c r="AD539">
        <v>-0.166873099999999</v>
      </c>
      <c r="AE539">
        <v>-0.126000000000033</v>
      </c>
      <c r="AF539">
        <v>0.115837854821512</v>
      </c>
      <c r="AG539">
        <v>-0.166873099999999</v>
      </c>
      <c r="AH539">
        <v>0.45796128250832402</v>
      </c>
      <c r="AI539">
        <v>109.456127695579</v>
      </c>
      <c r="AJ539">
        <v>75.805193099351101</v>
      </c>
      <c r="AK539">
        <v>0.50099259115273198</v>
      </c>
      <c r="AL539">
        <v>80.950419014778404</v>
      </c>
      <c r="AM539">
        <v>89.321833192076397</v>
      </c>
      <c r="AN539">
        <v>0.99999997527970896</v>
      </c>
    </row>
    <row r="540" spans="1:40" x14ac:dyDescent="0.25">
      <c r="A540" t="str">
        <f>"20190312172341784"</f>
        <v>20190312172341784</v>
      </c>
      <c r="B540" t="str">
        <f>"1552382621780596"</f>
        <v>1552382621780596</v>
      </c>
      <c r="C540" t="s">
        <v>40</v>
      </c>
      <c r="D540">
        <v>3.9245839999999999</v>
      </c>
      <c r="E540">
        <v>0.56750219999999996</v>
      </c>
      <c r="F540" t="s">
        <v>41</v>
      </c>
      <c r="G540">
        <v>-348.26190000000003</v>
      </c>
      <c r="H540">
        <v>0.90745699999999996</v>
      </c>
      <c r="I540">
        <v>366.93180000000001</v>
      </c>
      <c r="J540">
        <v>-348.88240000000002</v>
      </c>
      <c r="K540">
        <v>1.109858</v>
      </c>
      <c r="L540">
        <v>367.08429999999998</v>
      </c>
      <c r="M540">
        <v>0.99992610000000004</v>
      </c>
      <c r="N540">
        <v>0</v>
      </c>
      <c r="O540">
        <v>3.4278619999999998E-3</v>
      </c>
      <c r="P540">
        <v>0.98926840000000005</v>
      </c>
      <c r="Q540">
        <v>0.14587349999999999</v>
      </c>
      <c r="R540">
        <v>-8.3289650000000007E-3</v>
      </c>
      <c r="S540">
        <v>3.1397710000000001</v>
      </c>
      <c r="T540">
        <v>-0.76035109999999995</v>
      </c>
      <c r="U540">
        <v>-0.56927490000000003</v>
      </c>
      <c r="V540">
        <v>1.1719739999999999E-2</v>
      </c>
      <c r="W540">
        <v>0.15740870000000001</v>
      </c>
      <c r="X540">
        <v>0.98746400000000001</v>
      </c>
      <c r="Y540">
        <v>0.17672959999999999</v>
      </c>
      <c r="Z540">
        <v>-2.174276E-2</v>
      </c>
      <c r="AA540">
        <v>0.98401930000000004</v>
      </c>
      <c r="AB540">
        <v>39</v>
      </c>
      <c r="AC540">
        <v>0.62049999999999195</v>
      </c>
      <c r="AD540">
        <v>-0.202401</v>
      </c>
      <c r="AE540">
        <v>-0.15249999999997499</v>
      </c>
      <c r="AF540">
        <v>0.14052596467779399</v>
      </c>
      <c r="AG540">
        <v>-0.202401</v>
      </c>
      <c r="AH540">
        <v>0.56343855752375305</v>
      </c>
      <c r="AI540">
        <v>109.215876874363</v>
      </c>
      <c r="AJ540">
        <v>75.9956962361763</v>
      </c>
      <c r="AK540">
        <v>0.61496074643351994</v>
      </c>
      <c r="AL540">
        <v>80.943480237479505</v>
      </c>
      <c r="AM540">
        <v>89.320015603132205</v>
      </c>
      <c r="AN540">
        <v>1.0000000012186701</v>
      </c>
    </row>
    <row r="541" spans="1:40" x14ac:dyDescent="0.25">
      <c r="A541" t="str">
        <f>"20190312172341797"</f>
        <v>20190312172341797</v>
      </c>
      <c r="B541" t="str">
        <f>"1552382621790356"</f>
        <v>1552382621790356</v>
      </c>
      <c r="C541" t="s">
        <v>40</v>
      </c>
      <c r="D541">
        <v>3.6475590000000002</v>
      </c>
      <c r="E541">
        <v>0.56746819999999998</v>
      </c>
      <c r="F541" t="s">
        <v>41</v>
      </c>
      <c r="G541">
        <v>-347.92809999999997</v>
      </c>
      <c r="H541">
        <v>0.87865749999999998</v>
      </c>
      <c r="I541">
        <v>366.911</v>
      </c>
      <c r="J541">
        <v>-348.65989999999999</v>
      </c>
      <c r="K541">
        <v>1.1098600000000001</v>
      </c>
      <c r="L541">
        <v>367.08510000000001</v>
      </c>
      <c r="M541">
        <v>0.99992599999999998</v>
      </c>
      <c r="N541">
        <v>0</v>
      </c>
      <c r="O541">
        <v>3.4370949999999998E-3</v>
      </c>
      <c r="P541">
        <v>0.98922259999999995</v>
      </c>
      <c r="Q541">
        <v>0.14618970000000001</v>
      </c>
      <c r="R541">
        <v>-8.195707E-3</v>
      </c>
      <c r="S541">
        <v>3.139923</v>
      </c>
      <c r="T541">
        <v>-0.76069699999999996</v>
      </c>
      <c r="U541">
        <v>-0.56930539999999996</v>
      </c>
      <c r="V541">
        <v>1.159571E-2</v>
      </c>
      <c r="W541">
        <v>0.15772510000000001</v>
      </c>
      <c r="X541">
        <v>0.98741500000000004</v>
      </c>
      <c r="Y541">
        <v>0.17673510000000001</v>
      </c>
      <c r="Z541">
        <v>-2.175419E-2</v>
      </c>
      <c r="AA541">
        <v>0.98401799999999995</v>
      </c>
      <c r="AB541">
        <v>39</v>
      </c>
      <c r="AC541">
        <v>0.73180000000002099</v>
      </c>
      <c r="AD541">
        <v>-0.23120250000000001</v>
      </c>
      <c r="AE541">
        <v>-0.174100000000009</v>
      </c>
      <c r="AF541">
        <v>0.16136993446939499</v>
      </c>
      <c r="AG541">
        <v>-0.23120250000000001</v>
      </c>
      <c r="AH541">
        <v>0.66808394113269398</v>
      </c>
      <c r="AI541">
        <v>108.592637971629</v>
      </c>
      <c r="AJ541">
        <v>76.420789870866003</v>
      </c>
      <c r="AK541">
        <v>0.72514205791437902</v>
      </c>
      <c r="AL541">
        <v>80.925122751242796</v>
      </c>
      <c r="AM541">
        <v>89.327177828743999</v>
      </c>
      <c r="AN541">
        <v>1.0000000249426999</v>
      </c>
    </row>
    <row r="542" spans="1:40" x14ac:dyDescent="0.25">
      <c r="A542" t="str">
        <f>"20190312172341808"</f>
        <v>20190312172341808</v>
      </c>
      <c r="B542" t="str">
        <f>"1552382621800115"</f>
        <v>1552382621800115</v>
      </c>
      <c r="C542" t="s">
        <v>40</v>
      </c>
      <c r="D542">
        <v>3.6142289999999999</v>
      </c>
      <c r="E542">
        <v>0.567457199999999</v>
      </c>
      <c r="F542" t="s">
        <v>41</v>
      </c>
      <c r="G542">
        <v>-347.90890000000002</v>
      </c>
      <c r="H542">
        <v>0.92818590000000001</v>
      </c>
      <c r="I542">
        <v>366.94889999999998</v>
      </c>
      <c r="J542">
        <v>-348.46379999999999</v>
      </c>
      <c r="K542">
        <v>1.1098600000000001</v>
      </c>
      <c r="L542">
        <v>367.08569999999997</v>
      </c>
      <c r="M542">
        <v>0.99992599999999998</v>
      </c>
      <c r="N542">
        <v>0</v>
      </c>
      <c r="O542">
        <v>3.4448399999999998E-3</v>
      </c>
      <c r="P542">
        <v>0.98922109999999996</v>
      </c>
      <c r="Q542">
        <v>0.14620139999999901</v>
      </c>
      <c r="R542">
        <v>-8.1703090000000006E-3</v>
      </c>
      <c r="S542">
        <v>3.1402890000000001</v>
      </c>
      <c r="T542">
        <v>-0.75977419999999996</v>
      </c>
      <c r="U542">
        <v>-0.56881709999999996</v>
      </c>
      <c r="V542">
        <v>1.1577779999999999E-2</v>
      </c>
      <c r="W542">
        <v>0.1577374</v>
      </c>
      <c r="X542">
        <v>0.98741319999999999</v>
      </c>
      <c r="Y542">
        <v>0.17659129999999901</v>
      </c>
      <c r="Z542">
        <v>-2.17112E-2</v>
      </c>
      <c r="AA542">
        <v>0.98404480000000005</v>
      </c>
      <c r="AB542">
        <v>39</v>
      </c>
      <c r="AC542">
        <v>0.55489999999997497</v>
      </c>
      <c r="AD542">
        <v>-0.18167410000000001</v>
      </c>
      <c r="AE542">
        <v>-0.13679999999999301</v>
      </c>
      <c r="AF542">
        <v>0.12598063491203301</v>
      </c>
      <c r="AG542">
        <v>-0.18167410000000001</v>
      </c>
      <c r="AH542">
        <v>0.50354288424221605</v>
      </c>
      <c r="AI542">
        <v>109.290242548717</v>
      </c>
      <c r="AJ542">
        <v>75.953592464075896</v>
      </c>
      <c r="AK542">
        <v>0.549938210396967</v>
      </c>
      <c r="AL542">
        <v>80.924408667620696</v>
      </c>
      <c r="AM542">
        <v>89.328216867840695</v>
      </c>
      <c r="AN542">
        <v>0.99999997994136303</v>
      </c>
    </row>
    <row r="543" spans="1:40" x14ac:dyDescent="0.25">
      <c r="A543" t="str">
        <f>"20190312172341819"</f>
        <v>20190312172341819</v>
      </c>
      <c r="B543" t="str">
        <f>"1552382621810852"</f>
        <v>1552382621810852</v>
      </c>
      <c r="C543" t="s">
        <v>40</v>
      </c>
      <c r="D543">
        <v>3.641896</v>
      </c>
      <c r="E543">
        <v>0.56740330000000005</v>
      </c>
      <c r="F543" t="s">
        <v>41</v>
      </c>
      <c r="G543">
        <v>-347.57659999999998</v>
      </c>
      <c r="H543">
        <v>0.89512309999999995</v>
      </c>
      <c r="I543">
        <v>366.92500000000001</v>
      </c>
      <c r="J543">
        <v>-348.25790000000001</v>
      </c>
      <c r="K543">
        <v>1.1098589999999999</v>
      </c>
      <c r="L543">
        <v>367.0865</v>
      </c>
      <c r="M543">
        <v>0.99992590000000003</v>
      </c>
      <c r="N543">
        <v>0</v>
      </c>
      <c r="O543">
        <v>3.4530630000000001E-3</v>
      </c>
      <c r="P543">
        <v>0.98920580000000002</v>
      </c>
      <c r="Q543">
        <v>0.14631529999999901</v>
      </c>
      <c r="R543">
        <v>-7.9863380000000008E-3</v>
      </c>
      <c r="S543">
        <v>3.1403500000000002</v>
      </c>
      <c r="T543">
        <v>-0.76009700000000002</v>
      </c>
      <c r="U543">
        <v>-0.56863399999999997</v>
      </c>
      <c r="V543">
        <v>1.140185E-2</v>
      </c>
      <c r="W543">
        <v>0.1578523</v>
      </c>
      <c r="X543">
        <v>0.98739690000000002</v>
      </c>
      <c r="Y543">
        <v>0.17653769999999999</v>
      </c>
      <c r="Z543">
        <v>-2.1715479999999999E-2</v>
      </c>
      <c r="AA543">
        <v>0.98405430000000005</v>
      </c>
      <c r="AB543">
        <v>39</v>
      </c>
      <c r="AC543">
        <v>0.681300000000021</v>
      </c>
      <c r="AD543">
        <v>-0.21473590000000001</v>
      </c>
      <c r="AE543">
        <v>-0.16149999999998901</v>
      </c>
      <c r="AF543">
        <v>0.149765328326741</v>
      </c>
      <c r="AG543">
        <v>-0.21473590000000001</v>
      </c>
      <c r="AH543">
        <v>0.62221473125669902</v>
      </c>
      <c r="AI543">
        <v>108.54828674959801</v>
      </c>
      <c r="AJ543">
        <v>76.466503022676903</v>
      </c>
      <c r="AK543">
        <v>0.67504987379487202</v>
      </c>
      <c r="AL543">
        <v>80.917741993107697</v>
      </c>
      <c r="AM543">
        <v>89.338413104706504</v>
      </c>
      <c r="AN543">
        <v>0.99999999446416099</v>
      </c>
    </row>
    <row r="544" spans="1:40" x14ac:dyDescent="0.25">
      <c r="A544" t="str">
        <f>"20190312172341831"</f>
        <v>20190312172341831</v>
      </c>
      <c r="B544" t="str">
        <f>"1552382621820612"</f>
        <v>1552382621820612</v>
      </c>
      <c r="C544" t="s">
        <v>40</v>
      </c>
      <c r="D544">
        <v>3.641823</v>
      </c>
      <c r="E544">
        <v>0.56733040000000001</v>
      </c>
      <c r="F544" t="s">
        <v>41</v>
      </c>
      <c r="G544">
        <v>-347.55840000000001</v>
      </c>
      <c r="H544">
        <v>0.94064020000000004</v>
      </c>
      <c r="I544">
        <v>366.96</v>
      </c>
      <c r="J544">
        <v>-348.06040000000002</v>
      </c>
      <c r="K544">
        <v>1.1098619999999999</v>
      </c>
      <c r="L544">
        <v>367.0872</v>
      </c>
      <c r="M544">
        <v>0.99992579999999998</v>
      </c>
      <c r="N544">
        <v>0</v>
      </c>
      <c r="O544">
        <v>3.4613410000000002E-3</v>
      </c>
      <c r="P544">
        <v>0.98923209999999995</v>
      </c>
      <c r="Q544">
        <v>0.1461375</v>
      </c>
      <c r="R544">
        <v>-7.9838949999999995E-3</v>
      </c>
      <c r="S544">
        <v>3.140533</v>
      </c>
      <c r="T544">
        <v>-0.75971250000000001</v>
      </c>
      <c r="U544">
        <v>-0.56781009999999998</v>
      </c>
      <c r="V544">
        <v>1.140771E-2</v>
      </c>
      <c r="W544">
        <v>0.15767519999999999</v>
      </c>
      <c r="X544">
        <v>0.98742509999999994</v>
      </c>
      <c r="Y544">
        <v>0.1762975</v>
      </c>
      <c r="Z544">
        <v>-2.167761E-2</v>
      </c>
      <c r="AA544">
        <v>0.98409820000000003</v>
      </c>
      <c r="AB544">
        <v>39</v>
      </c>
      <c r="AC544">
        <v>0.50200000000000899</v>
      </c>
      <c r="AD544">
        <v>-0.16922180000000001</v>
      </c>
      <c r="AE544">
        <v>-0.12720000000001599</v>
      </c>
      <c r="AF544">
        <v>0.11649761760213</v>
      </c>
      <c r="AG544">
        <v>-0.16922180000000001</v>
      </c>
      <c r="AH544">
        <v>0.453168455265686</v>
      </c>
      <c r="AI544">
        <v>109.883025422279</v>
      </c>
      <c r="AJ544">
        <v>75.582952358552006</v>
      </c>
      <c r="AK544">
        <v>0.49756342444968799</v>
      </c>
      <c r="AL544">
        <v>80.928017502920994</v>
      </c>
      <c r="AM544">
        <v>89.338092013627104</v>
      </c>
      <c r="AN544">
        <v>0.99999996632624599</v>
      </c>
    </row>
    <row r="545" spans="1:40" x14ac:dyDescent="0.25">
      <c r="A545" t="str">
        <f>"20190312172341848"</f>
        <v>20190312172341848</v>
      </c>
      <c r="B545" t="str">
        <f>"1552382621840131"</f>
        <v>1552382621840131</v>
      </c>
      <c r="C545" t="s">
        <v>40</v>
      </c>
      <c r="D545">
        <v>3.7275710000000002</v>
      </c>
      <c r="E545">
        <v>0.56721049999999995</v>
      </c>
      <c r="F545" t="s">
        <v>41</v>
      </c>
      <c r="G545">
        <v>-347.22649999999999</v>
      </c>
      <c r="H545">
        <v>0.90801290000000001</v>
      </c>
      <c r="I545">
        <v>366.93619999999999</v>
      </c>
      <c r="J545">
        <v>-347.75689999999997</v>
      </c>
      <c r="K545">
        <v>1.1098619999999999</v>
      </c>
      <c r="L545">
        <v>367.08819999999997</v>
      </c>
      <c r="M545">
        <v>0.99992590000000003</v>
      </c>
      <c r="N545">
        <v>0</v>
      </c>
      <c r="O545">
        <v>3.4737869999999999E-3</v>
      </c>
      <c r="P545">
        <v>0.98922410000000005</v>
      </c>
      <c r="Q545">
        <v>0.146207</v>
      </c>
      <c r="R545">
        <v>-7.7147650000000002E-3</v>
      </c>
      <c r="S545">
        <v>3.1403500000000002</v>
      </c>
      <c r="T545">
        <v>-0.76017619999999997</v>
      </c>
      <c r="U545">
        <v>-0.56710819999999995</v>
      </c>
      <c r="V545">
        <v>1.115086E-2</v>
      </c>
      <c r="W545">
        <v>0.15774589999999999</v>
      </c>
      <c r="X545">
        <v>0.98741679999999998</v>
      </c>
      <c r="Y545">
        <v>0.17610499999999901</v>
      </c>
      <c r="Z545">
        <v>-2.1672250000000001E-2</v>
      </c>
      <c r="AA545">
        <v>0.98413280000000003</v>
      </c>
      <c r="AB545">
        <v>39</v>
      </c>
      <c r="AC545">
        <v>0.53039999999998599</v>
      </c>
      <c r="AD545">
        <v>-0.2018491</v>
      </c>
      <c r="AE545">
        <v>-0.15199999999998601</v>
      </c>
      <c r="AF545">
        <v>0.135682654072703</v>
      </c>
      <c r="AG545">
        <v>-0.2018491</v>
      </c>
      <c r="AH545">
        <v>0.467324501480681</v>
      </c>
      <c r="AI545">
        <v>112.528459572988</v>
      </c>
      <c r="AJ545">
        <v>73.809911911039904</v>
      </c>
      <c r="AK545">
        <v>0.52682542788972297</v>
      </c>
      <c r="AL545">
        <v>80.9239158802486</v>
      </c>
      <c r="AM545">
        <v>89.352988466178005</v>
      </c>
      <c r="AN545">
        <v>1.00000002378389</v>
      </c>
    </row>
    <row r="546" spans="1:40" x14ac:dyDescent="0.25">
      <c r="A546" t="str">
        <f>"20190312172341860"</f>
        <v>20190312172341860</v>
      </c>
      <c r="B546" t="str">
        <f>"1552382621850868"</f>
        <v>1552382621850868</v>
      </c>
      <c r="C546" t="s">
        <v>40</v>
      </c>
      <c r="D546">
        <v>3.6639029999999999</v>
      </c>
      <c r="E546">
        <v>0.56715979999999999</v>
      </c>
      <c r="F546" t="s">
        <v>41</v>
      </c>
      <c r="G546">
        <v>-346.88470000000001</v>
      </c>
      <c r="H546">
        <v>0.89892439999999996</v>
      </c>
      <c r="I546">
        <v>366.93099999999998</v>
      </c>
      <c r="J546">
        <v>-347.55939999999998</v>
      </c>
      <c r="K546">
        <v>1.1098619999999999</v>
      </c>
      <c r="L546">
        <v>367.08890000000002</v>
      </c>
      <c r="M546">
        <v>0.99992590000000003</v>
      </c>
      <c r="N546">
        <v>0</v>
      </c>
      <c r="O546">
        <v>3.482363E-3</v>
      </c>
      <c r="P546">
        <v>0.98922529999999997</v>
      </c>
      <c r="Q546">
        <v>0.14619409999999999</v>
      </c>
      <c r="R546">
        <v>-7.801115E-3</v>
      </c>
      <c r="S546">
        <v>3.140533</v>
      </c>
      <c r="T546">
        <v>-0.75952569999999997</v>
      </c>
      <c r="U546">
        <v>-0.56582639999999995</v>
      </c>
      <c r="V546">
        <v>1.124588E-2</v>
      </c>
      <c r="W546">
        <v>0.1577336</v>
      </c>
      <c r="X546">
        <v>0.98741760000000001</v>
      </c>
      <c r="Y546">
        <v>0.1757331</v>
      </c>
      <c r="Z546">
        <v>-2.1611789999999999E-2</v>
      </c>
      <c r="AA546">
        <v>0.98420059999999998</v>
      </c>
      <c r="AB546">
        <v>39</v>
      </c>
      <c r="AC546">
        <v>0.67469999999997299</v>
      </c>
      <c r="AD546">
        <v>-0.2109376</v>
      </c>
      <c r="AE546">
        <v>-0.15790000000004001</v>
      </c>
      <c r="AF546">
        <v>0.14665825613488001</v>
      </c>
      <c r="AG546">
        <v>-0.2109376</v>
      </c>
      <c r="AH546">
        <v>0.61697252541384395</v>
      </c>
      <c r="AI546">
        <v>108.398322417222</v>
      </c>
      <c r="AJ546">
        <v>76.628593091259404</v>
      </c>
      <c r="AK546">
        <v>0.66832507980908595</v>
      </c>
      <c r="AL546">
        <v>80.924628764119106</v>
      </c>
      <c r="AM546">
        <v>89.347476079876401</v>
      </c>
      <c r="AN546">
        <v>0.999999937587845</v>
      </c>
    </row>
    <row r="547" spans="1:40" x14ac:dyDescent="0.25">
      <c r="A547" t="str">
        <f>"20190312172341872"</f>
        <v>20190312172341872</v>
      </c>
      <c r="B547" t="str">
        <f>"1552382621870388"</f>
        <v>1552382621870388</v>
      </c>
      <c r="C547" t="s">
        <v>40</v>
      </c>
      <c r="D547">
        <v>3.6747000000000001</v>
      </c>
      <c r="E547">
        <v>0.56717289999999998</v>
      </c>
      <c r="F547" t="s">
        <v>41</v>
      </c>
      <c r="G547">
        <v>-346.86720000000003</v>
      </c>
      <c r="H547">
        <v>0.94244669999999997</v>
      </c>
      <c r="I547">
        <v>366.96420000000001</v>
      </c>
      <c r="J547">
        <v>-347.35770000000002</v>
      </c>
      <c r="K547">
        <v>1.109861</v>
      </c>
      <c r="L547">
        <v>367.08960000000002</v>
      </c>
      <c r="M547">
        <v>0.99992579999999998</v>
      </c>
      <c r="N547">
        <v>0</v>
      </c>
      <c r="O547">
        <v>3.4905829999999998E-3</v>
      </c>
      <c r="P547">
        <v>0.98920520000000001</v>
      </c>
      <c r="Q547">
        <v>0.1463333</v>
      </c>
      <c r="R547">
        <v>-7.7427729999999997E-3</v>
      </c>
      <c r="S547">
        <v>3.1405029999999998</v>
      </c>
      <c r="T547">
        <v>-0.75953130000000002</v>
      </c>
      <c r="U547">
        <v>-0.56570430000000005</v>
      </c>
      <c r="V547">
        <v>1.119561E-2</v>
      </c>
      <c r="W547">
        <v>0.1578735</v>
      </c>
      <c r="X547">
        <v>0.98739589999999999</v>
      </c>
      <c r="Y547">
        <v>0.1757061</v>
      </c>
      <c r="Z547">
        <v>-2.161097E-2</v>
      </c>
      <c r="AA547">
        <v>0.98420540000000001</v>
      </c>
      <c r="AB547">
        <v>39</v>
      </c>
      <c r="AC547">
        <v>0.49049999999999699</v>
      </c>
      <c r="AD547">
        <v>-0.16741429999999999</v>
      </c>
      <c r="AE547">
        <v>-0.125400000000013</v>
      </c>
      <c r="AF547">
        <v>0.114582166065532</v>
      </c>
      <c r="AG547">
        <v>-0.16741429999999999</v>
      </c>
      <c r="AH547">
        <v>0.44175435798607399</v>
      </c>
      <c r="AI547">
        <v>110.144898020515</v>
      </c>
      <c r="AJ547">
        <v>75.459072518148403</v>
      </c>
      <c r="AK547">
        <v>0.48611061850616699</v>
      </c>
      <c r="AL547">
        <v>80.916512164548195</v>
      </c>
      <c r="AM547">
        <v>89.350378389256306</v>
      </c>
      <c r="AN547">
        <v>1.0000000235111599</v>
      </c>
    </row>
    <row r="548" spans="1:40" x14ac:dyDescent="0.25">
      <c r="A548" t="str">
        <f>"20190312172341884"</f>
        <v>20190312172341884</v>
      </c>
      <c r="B548" t="str">
        <f>"1552382621880148"</f>
        <v>1552382621880148</v>
      </c>
      <c r="C548" t="s">
        <v>40</v>
      </c>
      <c r="D548">
        <v>3.6628750000000001</v>
      </c>
      <c r="E548">
        <v>0.56720490000000001</v>
      </c>
      <c r="F548" t="s">
        <v>41</v>
      </c>
      <c r="G548">
        <v>-346.53480000000002</v>
      </c>
      <c r="H548">
        <v>0.91076650000000003</v>
      </c>
      <c r="I548">
        <v>366.94099999999997</v>
      </c>
      <c r="J548">
        <v>-347.16669999999999</v>
      </c>
      <c r="K548">
        <v>1.109864</v>
      </c>
      <c r="L548">
        <v>367.09030000000001</v>
      </c>
      <c r="M548">
        <v>0.99992570000000003</v>
      </c>
      <c r="N548">
        <v>0</v>
      </c>
      <c r="O548">
        <v>3.4985060000000002E-3</v>
      </c>
      <c r="P548">
        <v>0.9891974</v>
      </c>
      <c r="Q548">
        <v>0.14637629999999999</v>
      </c>
      <c r="R548">
        <v>-7.8980230000000005E-3</v>
      </c>
      <c r="S548">
        <v>3.140717</v>
      </c>
      <c r="T548">
        <v>-0.75989830000000003</v>
      </c>
      <c r="U548">
        <v>-0.56576539999999997</v>
      </c>
      <c r="V548">
        <v>1.1358740000000001E-2</v>
      </c>
      <c r="W548">
        <v>0.15791720000000001</v>
      </c>
      <c r="X548">
        <v>0.98738700000000001</v>
      </c>
      <c r="Y548">
        <v>0.17571619999999999</v>
      </c>
      <c r="Z548">
        <v>-2.162275E-2</v>
      </c>
      <c r="AA548">
        <v>0.98420339999999995</v>
      </c>
      <c r="AB548">
        <v>39</v>
      </c>
      <c r="AC548">
        <v>0.63189999999997304</v>
      </c>
      <c r="AD548">
        <v>-0.19909749999999901</v>
      </c>
      <c r="AE548">
        <v>-0.14930000000003901</v>
      </c>
      <c r="AF548">
        <v>0.138488558336994</v>
      </c>
      <c r="AG548">
        <v>-0.19909749999999901</v>
      </c>
      <c r="AH548">
        <v>0.57711092419824594</v>
      </c>
      <c r="AI548">
        <v>108.544866400594</v>
      </c>
      <c r="AJ548">
        <v>76.505962408098696</v>
      </c>
      <c r="AK548">
        <v>0.62599993141011001</v>
      </c>
      <c r="AL548">
        <v>80.913976090843903</v>
      </c>
      <c r="AM548">
        <v>89.340907713051394</v>
      </c>
      <c r="AN548">
        <v>0.99999997539961305</v>
      </c>
    </row>
    <row r="549" spans="1:40" x14ac:dyDescent="0.25">
      <c r="A549" t="str">
        <f>"20190312172341897"</f>
        <v>20190312172341897</v>
      </c>
      <c r="B549" t="str">
        <f>"1552382621890884"</f>
        <v>1552382621890884</v>
      </c>
      <c r="C549" t="s">
        <v>40</v>
      </c>
      <c r="D549">
        <v>3.6690550000000002</v>
      </c>
      <c r="E549">
        <v>0.56724129999999995</v>
      </c>
      <c r="F549" t="s">
        <v>41</v>
      </c>
      <c r="G549">
        <v>-346.20260000000002</v>
      </c>
      <c r="H549">
        <v>0.87651679999999998</v>
      </c>
      <c r="I549">
        <v>366.9162</v>
      </c>
      <c r="J549">
        <v>-346.92790000000002</v>
      </c>
      <c r="K549">
        <v>1.1098629999999901</v>
      </c>
      <c r="L549">
        <v>367.09120000000001</v>
      </c>
      <c r="M549">
        <v>0.99992579999999998</v>
      </c>
      <c r="N549">
        <v>0</v>
      </c>
      <c r="O549">
        <v>3.5082160000000002E-3</v>
      </c>
      <c r="P549">
        <v>0.98919809999999997</v>
      </c>
      <c r="Q549">
        <v>0.14637549999999999</v>
      </c>
      <c r="R549">
        <v>-7.8583249999999993E-3</v>
      </c>
      <c r="S549">
        <v>3.1407470000000002</v>
      </c>
      <c r="T549">
        <v>-0.76014280000000001</v>
      </c>
      <c r="U549">
        <v>-0.56680299999999995</v>
      </c>
      <c r="V549">
        <v>1.13285E-2</v>
      </c>
      <c r="W549">
        <v>0.15791729999999901</v>
      </c>
      <c r="X549">
        <v>0.98738740000000003</v>
      </c>
      <c r="Y549">
        <v>0.1760273</v>
      </c>
      <c r="Z549">
        <v>-2.1667840000000001E-2</v>
      </c>
      <c r="AA549">
        <v>0.98414679999999999</v>
      </c>
      <c r="AB549">
        <v>39</v>
      </c>
      <c r="AC549">
        <v>0.72530000000000405</v>
      </c>
      <c r="AD549">
        <v>-0.233346199999999</v>
      </c>
      <c r="AE549">
        <v>-0.17500000000001101</v>
      </c>
      <c r="AF549">
        <v>0.16172497179338999</v>
      </c>
      <c r="AG549">
        <v>-0.233346199999999</v>
      </c>
      <c r="AH549">
        <v>0.660114478207939</v>
      </c>
      <c r="AI549">
        <v>108.949375529679</v>
      </c>
      <c r="AJ549">
        <v>76.233951131369295</v>
      </c>
      <c r="AK549">
        <v>0.71857952927685997</v>
      </c>
      <c r="AL549">
        <v>80.9139709089348</v>
      </c>
      <c r="AM549">
        <v>89.342662504872607</v>
      </c>
      <c r="AN549">
        <v>1.0000000431151399</v>
      </c>
    </row>
    <row r="550" spans="1:40" x14ac:dyDescent="0.25">
      <c r="A550" t="str">
        <f>"20190312172341918"</f>
        <v>20190312172341918</v>
      </c>
      <c r="B550" t="str">
        <f>"1552382621910404"</f>
        <v>1552382621910404</v>
      </c>
      <c r="C550" t="s">
        <v>40</v>
      </c>
      <c r="D550">
        <v>3.6593830000000001</v>
      </c>
      <c r="E550">
        <v>0.56726369999999904</v>
      </c>
      <c r="F550" t="s">
        <v>41</v>
      </c>
      <c r="G550">
        <v>-346.18220000000002</v>
      </c>
      <c r="H550">
        <v>0.92922400000000005</v>
      </c>
      <c r="I550">
        <v>366.95650000000001</v>
      </c>
      <c r="J550">
        <v>-346.57729999999998</v>
      </c>
      <c r="K550">
        <v>1.109864</v>
      </c>
      <c r="L550">
        <v>367.0924</v>
      </c>
      <c r="M550">
        <v>0.99992579999999998</v>
      </c>
      <c r="N550">
        <v>0</v>
      </c>
      <c r="O550">
        <v>3.522219E-3</v>
      </c>
      <c r="P550">
        <v>0.98913779999999996</v>
      </c>
      <c r="Q550">
        <v>0.14676110000000001</v>
      </c>
      <c r="R550">
        <v>-8.2508470000000004E-3</v>
      </c>
      <c r="S550">
        <v>3.1408689999999999</v>
      </c>
      <c r="T550">
        <v>-0.76086509999999996</v>
      </c>
      <c r="U550">
        <v>-0.56680299999999995</v>
      </c>
      <c r="V550">
        <v>1.173446E-2</v>
      </c>
      <c r="W550">
        <v>0.15830339999999901</v>
      </c>
      <c r="X550">
        <v>0.9873208</v>
      </c>
      <c r="Y550">
        <v>0.17602499999999999</v>
      </c>
      <c r="Z550">
        <v>-2.1690089999999999E-2</v>
      </c>
      <c r="AA550">
        <v>0.98414669999999904</v>
      </c>
      <c r="AB550">
        <v>39</v>
      </c>
      <c r="AC550">
        <v>0.39509999999995599</v>
      </c>
      <c r="AD550">
        <v>-0.18064</v>
      </c>
      <c r="AE550">
        <v>-0.135899999999992</v>
      </c>
      <c r="AF550">
        <v>0.115670059314246</v>
      </c>
      <c r="AG550">
        <v>-0.18064</v>
      </c>
      <c r="AH550">
        <v>0.33247354321391298</v>
      </c>
      <c r="AI550">
        <v>117.16473465913199</v>
      </c>
      <c r="AJ550">
        <v>70.816827802205694</v>
      </c>
      <c r="AK550">
        <v>0.395662772015481</v>
      </c>
      <c r="AL550">
        <v>80.891566927022197</v>
      </c>
      <c r="AM550">
        <v>89.319062883888407</v>
      </c>
      <c r="AN550">
        <v>1.0000000130578399</v>
      </c>
    </row>
    <row r="551" spans="1:40" x14ac:dyDescent="0.25">
      <c r="A551" t="str">
        <f>"20190312172341941"</f>
        <v>20190312172341941</v>
      </c>
      <c r="B551" t="str">
        <f>"1552382621930899"</f>
        <v>1552382621930899</v>
      </c>
      <c r="C551" t="s">
        <v>40</v>
      </c>
      <c r="D551">
        <v>3.6492</v>
      </c>
      <c r="E551">
        <v>0.56729180000000001</v>
      </c>
      <c r="F551" t="s">
        <v>41</v>
      </c>
      <c r="G551">
        <v>-345.83609999999999</v>
      </c>
      <c r="H551">
        <v>0.93046989999999996</v>
      </c>
      <c r="I551">
        <v>366.95819999999998</v>
      </c>
      <c r="J551">
        <v>-346.17090000000002</v>
      </c>
      <c r="K551">
        <v>1.1098680000000001</v>
      </c>
      <c r="L551">
        <v>367.09379999999999</v>
      </c>
      <c r="M551">
        <v>0.99992570000000003</v>
      </c>
      <c r="N551">
        <v>0</v>
      </c>
      <c r="O551">
        <v>3.538364E-3</v>
      </c>
      <c r="P551">
        <v>0.98910489999999995</v>
      </c>
      <c r="Q551">
        <v>0.14697939999999901</v>
      </c>
      <c r="R551">
        <v>-8.3089549999999998E-3</v>
      </c>
      <c r="S551">
        <v>3.141022</v>
      </c>
      <c r="T551">
        <v>-0.7602158</v>
      </c>
      <c r="U551">
        <v>-0.56753540000000002</v>
      </c>
      <c r="V551">
        <v>1.180846E-2</v>
      </c>
      <c r="W551">
        <v>0.1585232</v>
      </c>
      <c r="X551">
        <v>0.98728470000000002</v>
      </c>
      <c r="Y551">
        <v>0.176257</v>
      </c>
      <c r="Z551">
        <v>-2.1701950000000001E-2</v>
      </c>
      <c r="AA551">
        <v>0.98410489999999995</v>
      </c>
      <c r="AB551">
        <v>39</v>
      </c>
      <c r="AC551">
        <v>0.33480000000002902</v>
      </c>
      <c r="AD551">
        <v>-0.1793981</v>
      </c>
      <c r="AE551">
        <v>-0.13560000000000999</v>
      </c>
      <c r="AF551">
        <v>0.10972035683751</v>
      </c>
      <c r="AG551">
        <v>-0.1793981</v>
      </c>
      <c r="AH551">
        <v>0.268171212375517</v>
      </c>
      <c r="AI551">
        <v>121.763741087124</v>
      </c>
      <c r="AJ551">
        <v>67.748422883545601</v>
      </c>
      <c r="AK551">
        <v>0.34079030815901301</v>
      </c>
      <c r="AL551">
        <v>80.878812708273799</v>
      </c>
      <c r="AM551">
        <v>89.314744104773794</v>
      </c>
      <c r="AN551">
        <v>1.0000000617599401</v>
      </c>
    </row>
    <row r="552" spans="1:40" x14ac:dyDescent="0.25">
      <c r="A552" t="str">
        <f>"20190312172341961"</f>
        <v>20190312172341961</v>
      </c>
      <c r="B552" t="str">
        <f>"1552382621950420"</f>
        <v>1552382621950420</v>
      </c>
      <c r="C552" t="s">
        <v>40</v>
      </c>
      <c r="D552">
        <v>3.6460870000000001</v>
      </c>
      <c r="E552">
        <v>0.56735789999999997</v>
      </c>
      <c r="F552" t="s">
        <v>41</v>
      </c>
      <c r="G552">
        <v>-345.4846</v>
      </c>
      <c r="H552">
        <v>0.94380940000000002</v>
      </c>
      <c r="I552">
        <v>366.96980000000002</v>
      </c>
      <c r="J552">
        <v>-345.83300000000003</v>
      </c>
      <c r="K552">
        <v>1.109869</v>
      </c>
      <c r="L552">
        <v>367.09500000000003</v>
      </c>
      <c r="M552">
        <v>0.99992559999999997</v>
      </c>
      <c r="N552">
        <v>0</v>
      </c>
      <c r="O552">
        <v>3.552005E-3</v>
      </c>
      <c r="P552">
        <v>0.98910750000000003</v>
      </c>
      <c r="Q552">
        <v>0.1469665</v>
      </c>
      <c r="R552">
        <v>-8.2058500000000006E-3</v>
      </c>
      <c r="S552">
        <v>3.1412049999999998</v>
      </c>
      <c r="T552">
        <v>-0.76003750000000003</v>
      </c>
      <c r="U552">
        <v>-0.56762699999999999</v>
      </c>
      <c r="V552">
        <v>1.171896E-2</v>
      </c>
      <c r="W552">
        <v>0.1585114</v>
      </c>
      <c r="X552">
        <v>0.98728760000000004</v>
      </c>
      <c r="Y552">
        <v>0.1762898</v>
      </c>
      <c r="Z552">
        <v>-2.1702840000000001E-2</v>
      </c>
      <c r="AA552">
        <v>0.98409899999999995</v>
      </c>
      <c r="AB552">
        <v>39</v>
      </c>
      <c r="AC552">
        <v>0.34840000000002602</v>
      </c>
      <c r="AD552">
        <v>-0.166059599999999</v>
      </c>
      <c r="AE552">
        <v>-0.125200000000006</v>
      </c>
      <c r="AF552">
        <v>0.10525887881986901</v>
      </c>
      <c r="AG552">
        <v>-0.166059599999999</v>
      </c>
      <c r="AH552">
        <v>0.28967156160479202</v>
      </c>
      <c r="AI552">
        <v>118.31576734412199</v>
      </c>
      <c r="AJ552">
        <v>70.030212421751898</v>
      </c>
      <c r="AK552">
        <v>0.35009261049775797</v>
      </c>
      <c r="AL552">
        <v>80.879496902263995</v>
      </c>
      <c r="AM552">
        <v>89.319939380590895</v>
      </c>
      <c r="AN552">
        <v>1.0000000015335999</v>
      </c>
    </row>
    <row r="553" spans="1:40" x14ac:dyDescent="0.25">
      <c r="A553" t="str">
        <f>"20190312172341972"</f>
        <v>20190312172341972</v>
      </c>
      <c r="B553" t="str">
        <f>"1552382621970916"</f>
        <v>1552382621970916</v>
      </c>
      <c r="C553" t="s">
        <v>40</v>
      </c>
      <c r="D553">
        <v>3.674836</v>
      </c>
      <c r="E553">
        <v>0.56742209999999904</v>
      </c>
      <c r="F553" t="s">
        <v>41</v>
      </c>
      <c r="G553">
        <v>-345.13959999999997</v>
      </c>
      <c r="H553">
        <v>0.94200899999999999</v>
      </c>
      <c r="I553">
        <v>366.96910000000003</v>
      </c>
      <c r="J553">
        <v>-345.62119999999999</v>
      </c>
      <c r="K553">
        <v>1.1098699999999999</v>
      </c>
      <c r="L553">
        <v>367.0958</v>
      </c>
      <c r="M553">
        <v>0.99992539999999996</v>
      </c>
      <c r="N553">
        <v>0</v>
      </c>
      <c r="O553">
        <v>3.560878E-3</v>
      </c>
      <c r="P553">
        <v>0.98912440000000001</v>
      </c>
      <c r="Q553">
        <v>0.146847799999999</v>
      </c>
      <c r="R553">
        <v>-8.2944209999999997E-3</v>
      </c>
      <c r="S553">
        <v>3.141327</v>
      </c>
      <c r="T553">
        <v>-0.76058269999999994</v>
      </c>
      <c r="U553">
        <v>-0.56893919999999998</v>
      </c>
      <c r="V553">
        <v>1.1816510000000001E-2</v>
      </c>
      <c r="W553">
        <v>0.1583937</v>
      </c>
      <c r="X553">
        <v>0.98730530000000005</v>
      </c>
      <c r="Y553">
        <v>0.17667260000000001</v>
      </c>
      <c r="Z553">
        <v>-2.176384E-2</v>
      </c>
      <c r="AA553">
        <v>0.98402909999999999</v>
      </c>
      <c r="AB553">
        <v>39</v>
      </c>
      <c r="AC553">
        <v>0.48160000000001402</v>
      </c>
      <c r="AD553">
        <v>-0.16786100000000001</v>
      </c>
      <c r="AE553">
        <v>-0.126699999999971</v>
      </c>
      <c r="AF553">
        <v>0.115312213852781</v>
      </c>
      <c r="AG553">
        <v>-0.16786100000000001</v>
      </c>
      <c r="AH553">
        <v>0.432054771352266</v>
      </c>
      <c r="AI553">
        <v>110.575051636319</v>
      </c>
      <c r="AJ553">
        <v>75.056498814235198</v>
      </c>
      <c r="AK553">
        <v>0.477645838915078</v>
      </c>
      <c r="AL553">
        <v>80.886326655565696</v>
      </c>
      <c r="AM553">
        <v>89.314291306550501</v>
      </c>
      <c r="AN553">
        <v>0.99999997475817903</v>
      </c>
    </row>
    <row r="554" spans="1:40" x14ac:dyDescent="0.25">
      <c r="A554" t="str">
        <f>"20190312172341986"</f>
        <v>20190312172341986</v>
      </c>
      <c r="B554" t="str">
        <f>"1552382621980677"</f>
        <v>1552382621980677</v>
      </c>
      <c r="C554" t="s">
        <v>40</v>
      </c>
      <c r="D554">
        <v>3.6711589999999998</v>
      </c>
      <c r="E554">
        <v>0.56743290000000002</v>
      </c>
      <c r="F554" t="s">
        <v>41</v>
      </c>
      <c r="G554">
        <v>-344.80599999999998</v>
      </c>
      <c r="H554">
        <v>0.9122015</v>
      </c>
      <c r="I554">
        <v>366.94779999999997</v>
      </c>
      <c r="J554">
        <v>-345.3981</v>
      </c>
      <c r="K554">
        <v>1.1098680000000001</v>
      </c>
      <c r="L554">
        <v>367.09660000000002</v>
      </c>
      <c r="M554">
        <v>0.99992539999999996</v>
      </c>
      <c r="N554">
        <v>0</v>
      </c>
      <c r="O554">
        <v>3.5699909999999998E-3</v>
      </c>
      <c r="P554">
        <v>0.98910390000000004</v>
      </c>
      <c r="Q554">
        <v>0.14701229999999901</v>
      </c>
      <c r="R554">
        <v>-7.8082730000000001E-3</v>
      </c>
      <c r="S554">
        <v>3.1412659999999999</v>
      </c>
      <c r="T554">
        <v>-0.76173469999999999</v>
      </c>
      <c r="U554">
        <v>-0.56939700000000004</v>
      </c>
      <c r="V554">
        <v>1.13391E-2</v>
      </c>
      <c r="W554">
        <v>0.15855900000000001</v>
      </c>
      <c r="X554">
        <v>0.98728439999999995</v>
      </c>
      <c r="Y554">
        <v>0.17680470000000001</v>
      </c>
      <c r="Z554">
        <v>-2.1813860000000001E-2</v>
      </c>
      <c r="AA554">
        <v>0.9840042</v>
      </c>
      <c r="AB554">
        <v>39</v>
      </c>
      <c r="AC554">
        <v>0.59210000000001595</v>
      </c>
      <c r="AD554">
        <v>-0.19766649999999999</v>
      </c>
      <c r="AE554">
        <v>-0.148800000000051</v>
      </c>
      <c r="AF554">
        <v>0.13659405153747201</v>
      </c>
      <c r="AG554">
        <v>-0.19766649999999999</v>
      </c>
      <c r="AH554">
        <v>0.53543606853788295</v>
      </c>
      <c r="AI554">
        <v>109.68277298709501</v>
      </c>
      <c r="AJ554">
        <v>75.688635454650097</v>
      </c>
      <c r="AK554">
        <v>0.58687457231420104</v>
      </c>
      <c r="AL554">
        <v>80.876734759773996</v>
      </c>
      <c r="AM554">
        <v>89.341978856821697</v>
      </c>
      <c r="AN554">
        <v>1.0000000090765799</v>
      </c>
    </row>
    <row r="555" spans="1:40" x14ac:dyDescent="0.25">
      <c r="A555" t="str">
        <f>"20190312172342006"</f>
        <v>20190312172342006</v>
      </c>
      <c r="B555" t="str">
        <f>"1552382622000196"</f>
        <v>1552382622000196</v>
      </c>
      <c r="C555" t="s">
        <v>40</v>
      </c>
      <c r="D555">
        <v>3.8058200000000002</v>
      </c>
      <c r="E555">
        <v>0.56744530000000004</v>
      </c>
      <c r="F555" t="s">
        <v>41</v>
      </c>
      <c r="G555">
        <v>-344.47059999999999</v>
      </c>
      <c r="H555">
        <v>0.88512409999999997</v>
      </c>
      <c r="I555">
        <v>366.92860000000002</v>
      </c>
      <c r="J555">
        <v>-345.05720000000002</v>
      </c>
      <c r="K555">
        <v>1.1098669999999999</v>
      </c>
      <c r="L555">
        <v>367.09780000000001</v>
      </c>
      <c r="M555">
        <v>0.99992539999999996</v>
      </c>
      <c r="N555">
        <v>0</v>
      </c>
      <c r="O555">
        <v>3.5834550000000001E-3</v>
      </c>
      <c r="P555">
        <v>0.98910109999999996</v>
      </c>
      <c r="Q555">
        <v>0.14704919999999999</v>
      </c>
      <c r="R555">
        <v>-7.4796419999999999E-3</v>
      </c>
      <c r="S555">
        <v>3.141724</v>
      </c>
      <c r="T555">
        <v>-0.76126490000000002</v>
      </c>
      <c r="U555">
        <v>-0.56820680000000001</v>
      </c>
      <c r="V555">
        <v>1.1023639999999999E-2</v>
      </c>
      <c r="W555">
        <v>0.15859709999999999</v>
      </c>
      <c r="X555">
        <v>0.98728190000000005</v>
      </c>
      <c r="Y555">
        <v>0.17644860000000001</v>
      </c>
      <c r="Z555">
        <v>-2.175943E-2</v>
      </c>
      <c r="AA555">
        <v>0.98406930000000004</v>
      </c>
      <c r="AB555">
        <v>39</v>
      </c>
      <c r="AC555">
        <v>0.58660000000003198</v>
      </c>
      <c r="AD555">
        <v>-0.2247429</v>
      </c>
      <c r="AE555">
        <v>-0.169199999999989</v>
      </c>
      <c r="AF555">
        <v>0.15085795617640599</v>
      </c>
      <c r="AG555">
        <v>-0.2247429</v>
      </c>
      <c r="AH555">
        <v>0.51605756397497604</v>
      </c>
      <c r="AI555">
        <v>112.685187345942</v>
      </c>
      <c r="AJ555">
        <v>73.704892807288701</v>
      </c>
      <c r="AK555">
        <v>0.58273742232494297</v>
      </c>
      <c r="AL555">
        <v>80.874524240768494</v>
      </c>
      <c r="AM555">
        <v>89.360282204137206</v>
      </c>
      <c r="AN555">
        <v>1.00000005541743</v>
      </c>
    </row>
    <row r="556" spans="1:40" x14ac:dyDescent="0.25">
      <c r="A556" t="str">
        <f>"20190312172342017"</f>
        <v>20190312172342017</v>
      </c>
      <c r="B556" t="str">
        <f>"1552382622009956"</f>
        <v>1552382622009956</v>
      </c>
      <c r="C556" t="s">
        <v>40</v>
      </c>
      <c r="D556">
        <v>3.650728</v>
      </c>
      <c r="E556">
        <v>0.5674496</v>
      </c>
      <c r="F556" t="s">
        <v>41</v>
      </c>
      <c r="G556">
        <v>-344.125</v>
      </c>
      <c r="H556">
        <v>0.88395559999999995</v>
      </c>
      <c r="I556">
        <v>366.92939999999999</v>
      </c>
      <c r="J556">
        <v>-344.85050000000001</v>
      </c>
      <c r="K556">
        <v>1.109864</v>
      </c>
      <c r="L556">
        <v>367.09859999999998</v>
      </c>
      <c r="M556">
        <v>0.99992539999999996</v>
      </c>
      <c r="N556">
        <v>0</v>
      </c>
      <c r="O556">
        <v>3.5918539999999998E-3</v>
      </c>
      <c r="P556">
        <v>0.98903379999999996</v>
      </c>
      <c r="Q556">
        <v>0.1475118</v>
      </c>
      <c r="R556">
        <v>-7.2932839999999997E-3</v>
      </c>
      <c r="S556">
        <v>3.1419980000000001</v>
      </c>
      <c r="T556">
        <v>-0.76156759999999901</v>
      </c>
      <c r="U556">
        <v>-0.56701659999999998</v>
      </c>
      <c r="V556">
        <v>1.084532E-2</v>
      </c>
      <c r="W556">
        <v>0.1590599</v>
      </c>
      <c r="X556">
        <v>0.98720940000000001</v>
      </c>
      <c r="Y556">
        <v>0.1760872</v>
      </c>
      <c r="Z556">
        <v>-2.172586E-2</v>
      </c>
      <c r="AA556">
        <v>0.98413479999999998</v>
      </c>
      <c r="AB556">
        <v>39</v>
      </c>
      <c r="AC556">
        <v>0.72550000000001003</v>
      </c>
      <c r="AD556">
        <v>-0.22590839999999901</v>
      </c>
      <c r="AE556">
        <v>-0.169199999999989</v>
      </c>
      <c r="AF556">
        <v>0.15733665284679799</v>
      </c>
      <c r="AG556">
        <v>-0.22590839999999901</v>
      </c>
      <c r="AH556">
        <v>0.66384211478984301</v>
      </c>
      <c r="AI556">
        <v>108.321313379359</v>
      </c>
      <c r="AJ556">
        <v>76.666406683785695</v>
      </c>
      <c r="AK556">
        <v>0.71866249442157804</v>
      </c>
      <c r="AL556">
        <v>80.847666654036701</v>
      </c>
      <c r="AM556">
        <v>89.370583315950398</v>
      </c>
      <c r="AN556">
        <v>1.0000000361011301</v>
      </c>
    </row>
    <row r="557" spans="1:40" x14ac:dyDescent="0.25">
      <c r="A557" t="str">
        <f>"20190312172342029"</f>
        <v>20190312172342029</v>
      </c>
      <c r="B557" t="str">
        <f>"1552382622020692"</f>
        <v>1552382622020692</v>
      </c>
      <c r="C557" t="s">
        <v>40</v>
      </c>
      <c r="D557">
        <v>3.8307899999999999</v>
      </c>
      <c r="E557">
        <v>0.56739469999999903</v>
      </c>
      <c r="F557" t="s">
        <v>41</v>
      </c>
      <c r="G557">
        <v>-344.1071</v>
      </c>
      <c r="H557">
        <v>0.93009160000000002</v>
      </c>
      <c r="I557">
        <v>366.96440000000001</v>
      </c>
      <c r="J557">
        <v>-344.64819999999997</v>
      </c>
      <c r="K557">
        <v>1.1098600000000001</v>
      </c>
      <c r="L557">
        <v>367.09930000000003</v>
      </c>
      <c r="M557">
        <v>0.99992530000000002</v>
      </c>
      <c r="N557">
        <v>0</v>
      </c>
      <c r="O557">
        <v>3.600074E-3</v>
      </c>
      <c r="P557">
        <v>0.98906170000000004</v>
      </c>
      <c r="Q557">
        <v>0.1473245</v>
      </c>
      <c r="R557">
        <v>-7.2492709999999998E-3</v>
      </c>
      <c r="S557">
        <v>3.1424560000000001</v>
      </c>
      <c r="T557">
        <v>-0.76008209999999998</v>
      </c>
      <c r="U557">
        <v>-0.56640630000000003</v>
      </c>
      <c r="V557">
        <v>1.080966E-2</v>
      </c>
      <c r="W557">
        <v>0.15887399999999999</v>
      </c>
      <c r="X557">
        <v>0.98723970000000005</v>
      </c>
      <c r="Y557">
        <v>0.17591029999999999</v>
      </c>
      <c r="Z557">
        <v>-2.166301E-2</v>
      </c>
      <c r="AA557">
        <v>0.98416780000000004</v>
      </c>
      <c r="AB557">
        <v>39</v>
      </c>
      <c r="AC557">
        <v>0.54109999999997105</v>
      </c>
      <c r="AD557">
        <v>-0.17976839999999999</v>
      </c>
      <c r="AE557">
        <v>-0.13490000000001601</v>
      </c>
      <c r="AF557">
        <v>0.123965235522195</v>
      </c>
      <c r="AG557">
        <v>-0.17976839999999999</v>
      </c>
      <c r="AH557">
        <v>0.48972078102279998</v>
      </c>
      <c r="AI557">
        <v>109.58857250917301</v>
      </c>
      <c r="AJ557">
        <v>75.7948511511931</v>
      </c>
      <c r="AK557">
        <v>0.536200056529478</v>
      </c>
      <c r="AL557">
        <v>80.858454894333406</v>
      </c>
      <c r="AM557">
        <v>89.372671959221506</v>
      </c>
      <c r="AN557">
        <v>1.0000000109406999</v>
      </c>
    </row>
    <row r="558" spans="1:40" x14ac:dyDescent="0.25">
      <c r="A558" t="str">
        <f>"20190312172342041"</f>
        <v>20190312172342041</v>
      </c>
      <c r="B558" t="str">
        <f>"1552382622030452"</f>
        <v>1552382622030452</v>
      </c>
      <c r="C558" t="s">
        <v>40</v>
      </c>
      <c r="D558">
        <v>3.6521949999999999</v>
      </c>
      <c r="E558">
        <v>0.56738069999999996</v>
      </c>
      <c r="F558" t="s">
        <v>41</v>
      </c>
      <c r="G558">
        <v>-343.77339999999998</v>
      </c>
      <c r="H558">
        <v>0.89815900000000004</v>
      </c>
      <c r="I558">
        <v>366.94150000000002</v>
      </c>
      <c r="J558">
        <v>-344.43740000000003</v>
      </c>
      <c r="K558">
        <v>1.1098589999999999</v>
      </c>
      <c r="L558">
        <v>367.1</v>
      </c>
      <c r="M558">
        <v>0.99992530000000002</v>
      </c>
      <c r="N558">
        <v>0</v>
      </c>
      <c r="O558">
        <v>3.6084730000000001E-3</v>
      </c>
      <c r="P558">
        <v>0.9890736</v>
      </c>
      <c r="Q558">
        <v>0.1472541</v>
      </c>
      <c r="R558">
        <v>-7.0853549999999998E-3</v>
      </c>
      <c r="S558">
        <v>3.142334</v>
      </c>
      <c r="T558">
        <v>-0.76064049999999905</v>
      </c>
      <c r="U558">
        <v>-0.56582639999999995</v>
      </c>
      <c r="V558">
        <v>1.065399E-2</v>
      </c>
      <c r="W558">
        <v>0.158804799999999</v>
      </c>
      <c r="X558">
        <v>0.98725249999999998</v>
      </c>
      <c r="Y558">
        <v>0.17574589999999901</v>
      </c>
      <c r="Z558">
        <v>-2.1662150000000002E-2</v>
      </c>
      <c r="AA558">
        <v>0.98419719999999999</v>
      </c>
      <c r="AB558">
        <v>39</v>
      </c>
      <c r="AC558">
        <v>0.664000000000044</v>
      </c>
      <c r="AD558">
        <v>-0.211699999999999</v>
      </c>
      <c r="AE558">
        <v>-0.158500000000003</v>
      </c>
      <c r="AF558">
        <v>0.14677940849099499</v>
      </c>
      <c r="AG558">
        <v>-0.211699999999999</v>
      </c>
      <c r="AH558">
        <v>0.60521981530989599</v>
      </c>
      <c r="AI558">
        <v>108.77474924219101</v>
      </c>
      <c r="AJ558">
        <v>76.367689274391594</v>
      </c>
      <c r="AK558">
        <v>0.65776295851979305</v>
      </c>
      <c r="AL558">
        <v>80.862470510187507</v>
      </c>
      <c r="AM558">
        <v>89.381713424615995</v>
      </c>
      <c r="AN558">
        <v>0.99999998538110402</v>
      </c>
    </row>
    <row r="559" spans="1:40" x14ac:dyDescent="0.25">
      <c r="A559" t="str">
        <f>"20190312172342059"</f>
        <v>20190312172342059</v>
      </c>
      <c r="B559" t="str">
        <f>"1552382622049971"</f>
        <v>1552382622049971</v>
      </c>
      <c r="C559" t="s">
        <v>40</v>
      </c>
      <c r="D559">
        <v>3.679754</v>
      </c>
      <c r="E559">
        <v>0.56739390000000001</v>
      </c>
      <c r="F559" t="s">
        <v>41</v>
      </c>
      <c r="G559">
        <v>-343.43880000000001</v>
      </c>
      <c r="H559">
        <v>0.86830529999999995</v>
      </c>
      <c r="I559">
        <v>366.92039999999997</v>
      </c>
      <c r="J559">
        <v>-344.11279999999999</v>
      </c>
      <c r="K559">
        <v>1.109864</v>
      </c>
      <c r="L559">
        <v>367.10120000000001</v>
      </c>
      <c r="M559">
        <v>0.99992519999999996</v>
      </c>
      <c r="N559">
        <v>0</v>
      </c>
      <c r="O559">
        <v>3.6217570000000002E-3</v>
      </c>
      <c r="P559">
        <v>0.98903759999999996</v>
      </c>
      <c r="Q559">
        <v>0.14749219999999999</v>
      </c>
      <c r="R559">
        <v>-7.127375E-3</v>
      </c>
      <c r="S559">
        <v>3.1422729999999999</v>
      </c>
      <c r="T559">
        <v>-0.7601677</v>
      </c>
      <c r="U559">
        <v>-0.56500240000000002</v>
      </c>
      <c r="V559">
        <v>1.0709059999999999E-2</v>
      </c>
      <c r="W559">
        <v>0.1590434</v>
      </c>
      <c r="X559">
        <v>0.98721349999999997</v>
      </c>
      <c r="Y559">
        <v>0.17552379999999901</v>
      </c>
      <c r="Z559">
        <v>-2.1626800000000002E-2</v>
      </c>
      <c r="AA559">
        <v>0.98423760000000005</v>
      </c>
      <c r="AB559">
        <v>39</v>
      </c>
      <c r="AC559">
        <v>0.67399999999997795</v>
      </c>
      <c r="AD559">
        <v>-0.24155869999999999</v>
      </c>
      <c r="AE559">
        <v>-0.18080000000003299</v>
      </c>
      <c r="AF559">
        <v>0.163632730252603</v>
      </c>
      <c r="AG559">
        <v>-0.24155869999999999</v>
      </c>
      <c r="AH559">
        <v>0.60129094915650805</v>
      </c>
      <c r="AI559">
        <v>111.188127650223</v>
      </c>
      <c r="AJ559">
        <v>74.776434376887906</v>
      </c>
      <c r="AK559">
        <v>0.66833904681168099</v>
      </c>
      <c r="AL559">
        <v>80.848623805994706</v>
      </c>
      <c r="AM559">
        <v>89.378493229048104</v>
      </c>
      <c r="AN559">
        <v>0.99999999081594604</v>
      </c>
    </row>
    <row r="560" spans="1:40" x14ac:dyDescent="0.25">
      <c r="A560" t="str">
        <f>"20190312172342083"</f>
        <v>20190312172342083</v>
      </c>
      <c r="B560" t="str">
        <f>"1552382622070468"</f>
        <v>1552382622070468</v>
      </c>
      <c r="C560" t="s">
        <v>40</v>
      </c>
      <c r="D560">
        <v>3.6643289999999999</v>
      </c>
      <c r="E560">
        <v>0.56746169999999996</v>
      </c>
      <c r="F560" t="s">
        <v>41</v>
      </c>
      <c r="G560">
        <v>-343.41039999999998</v>
      </c>
      <c r="H560">
        <v>0.94029399999999996</v>
      </c>
      <c r="I560">
        <v>366.97469999999998</v>
      </c>
      <c r="J560">
        <v>-343.71620000000001</v>
      </c>
      <c r="K560">
        <v>1.1098680000000001</v>
      </c>
      <c r="L560">
        <v>367.10270000000003</v>
      </c>
      <c r="M560">
        <v>0.99992510000000001</v>
      </c>
      <c r="N560">
        <v>0</v>
      </c>
      <c r="O560">
        <v>3.637248E-3</v>
      </c>
      <c r="P560">
        <v>0.98895999999999995</v>
      </c>
      <c r="Q560">
        <v>0.148013899999999</v>
      </c>
      <c r="R560">
        <v>-7.0697269999999996E-3</v>
      </c>
      <c r="S560">
        <v>3.1423030000000001</v>
      </c>
      <c r="T560">
        <v>-0.75860399999999995</v>
      </c>
      <c r="U560">
        <v>-0.56558229999999998</v>
      </c>
      <c r="V560">
        <v>1.066665E-2</v>
      </c>
      <c r="W560">
        <v>0.15956600000000001</v>
      </c>
      <c r="X560">
        <v>0.98712960000000005</v>
      </c>
      <c r="Y560">
        <v>0.17572779999999999</v>
      </c>
      <c r="Z560">
        <v>-2.1610750000000001E-2</v>
      </c>
      <c r="AA560">
        <v>0.98420160000000001</v>
      </c>
      <c r="AB560">
        <v>39</v>
      </c>
      <c r="AC560">
        <v>0.30580000000003299</v>
      </c>
      <c r="AD560">
        <v>-0.169574</v>
      </c>
      <c r="AE560">
        <v>-0.128000000000042</v>
      </c>
      <c r="AF560">
        <v>0.102334972894589</v>
      </c>
      <c r="AG560">
        <v>-0.169574</v>
      </c>
      <c r="AH560">
        <v>0.24200927619606999</v>
      </c>
      <c r="AI560">
        <v>122.83681361425199</v>
      </c>
      <c r="AJ560">
        <v>67.078657055851394</v>
      </c>
      <c r="AK560">
        <v>0.31272396441315697</v>
      </c>
      <c r="AL560">
        <v>80.818293473898805</v>
      </c>
      <c r="AM560">
        <v>89.380901716099899</v>
      </c>
      <c r="AN560">
        <v>0.99999996648719003</v>
      </c>
    </row>
    <row r="561" spans="1:40" x14ac:dyDescent="0.25">
      <c r="A561" t="str">
        <f>"20190312172342096"</f>
        <v>20190312172342096</v>
      </c>
      <c r="B561" t="str">
        <f>"1552382622089987"</f>
        <v>1552382622089987</v>
      </c>
      <c r="C561" t="s">
        <v>40</v>
      </c>
      <c r="D561">
        <v>3.6782889999999999</v>
      </c>
      <c r="E561">
        <v>0.5675268</v>
      </c>
      <c r="F561" t="s">
        <v>41</v>
      </c>
      <c r="G561">
        <v>-342.7432</v>
      </c>
      <c r="H561">
        <v>0.87574349999999901</v>
      </c>
      <c r="I561">
        <v>366.92750000000001</v>
      </c>
      <c r="J561">
        <v>-343.48489999999998</v>
      </c>
      <c r="K561">
        <v>1.1098619999999999</v>
      </c>
      <c r="L561">
        <v>367.1035</v>
      </c>
      <c r="M561">
        <v>0.99992510000000001</v>
      </c>
      <c r="N561">
        <v>0</v>
      </c>
      <c r="O561">
        <v>3.647193E-3</v>
      </c>
      <c r="P561">
        <v>0.98891549999999995</v>
      </c>
      <c r="Q561">
        <v>0.14831140000000001</v>
      </c>
      <c r="R561">
        <v>-7.0729809999999999E-3</v>
      </c>
      <c r="S561">
        <v>3.142639</v>
      </c>
      <c r="T561">
        <v>-0.75620909999999997</v>
      </c>
      <c r="U561">
        <v>-0.56570430000000005</v>
      </c>
      <c r="V561">
        <v>1.067953E-2</v>
      </c>
      <c r="W561">
        <v>0.15986349999999999</v>
      </c>
      <c r="X561">
        <v>0.98708130000000005</v>
      </c>
      <c r="Y561">
        <v>0.17578650000000001</v>
      </c>
      <c r="Z561">
        <v>-2.155135E-2</v>
      </c>
      <c r="AA561">
        <v>0.98419239999999997</v>
      </c>
      <c r="AB561">
        <v>39</v>
      </c>
      <c r="AC561">
        <v>0.74169999999998004</v>
      </c>
      <c r="AD561">
        <v>-0.23411850000000001</v>
      </c>
      <c r="AE561">
        <v>-0.175999999999987</v>
      </c>
      <c r="AF561">
        <v>0.16330086785778</v>
      </c>
      <c r="AG561">
        <v>-0.23411850000000001</v>
      </c>
      <c r="AH561">
        <v>0.67717859878057296</v>
      </c>
      <c r="AI561">
        <v>108.577090568003</v>
      </c>
      <c r="AJ561">
        <v>76.442041491293196</v>
      </c>
      <c r="AK561">
        <v>0.73488060263676402</v>
      </c>
      <c r="AL561">
        <v>80.8010260958944</v>
      </c>
      <c r="AM561">
        <v>89.380123884031605</v>
      </c>
      <c r="AN561">
        <v>0.99999994190147801</v>
      </c>
    </row>
    <row r="562" spans="1:40" x14ac:dyDescent="0.25">
      <c r="A562" t="str">
        <f>"20190312172342109"</f>
        <v>20190312172342109</v>
      </c>
      <c r="B562" t="str">
        <f>"1552382622100724"</f>
        <v>1552382622100724</v>
      </c>
      <c r="C562" t="s">
        <v>40</v>
      </c>
      <c r="D562">
        <v>3.9108179999999999</v>
      </c>
      <c r="E562">
        <v>0.56752469999999999</v>
      </c>
      <c r="F562" t="s">
        <v>41</v>
      </c>
      <c r="G562">
        <v>-342.72340000000003</v>
      </c>
      <c r="H562">
        <v>0.92703150000000001</v>
      </c>
      <c r="I562">
        <v>366.96620000000001</v>
      </c>
      <c r="J562">
        <v>-343.26150000000001</v>
      </c>
      <c r="K562">
        <v>1.1098629999999901</v>
      </c>
      <c r="L562">
        <v>367.10430000000002</v>
      </c>
      <c r="M562">
        <v>0.99992499999999995</v>
      </c>
      <c r="N562">
        <v>0</v>
      </c>
      <c r="O562">
        <v>3.6562460000000001E-3</v>
      </c>
      <c r="P562">
        <v>0.98890659999999997</v>
      </c>
      <c r="Q562">
        <v>0.14837330000000001</v>
      </c>
      <c r="R562">
        <v>-7.0289530000000001E-3</v>
      </c>
      <c r="S562">
        <v>3.1427</v>
      </c>
      <c r="T562">
        <v>-0.75450519999999999</v>
      </c>
      <c r="U562">
        <v>-0.56661989999999995</v>
      </c>
      <c r="V562">
        <v>1.0644290000000001E-2</v>
      </c>
      <c r="W562">
        <v>0.15992609999999999</v>
      </c>
      <c r="X562">
        <v>0.98707160000000005</v>
      </c>
      <c r="Y562">
        <v>0.17608389999999999</v>
      </c>
      <c r="Z562">
        <v>-2.1540219999999999E-2</v>
      </c>
      <c r="AA562">
        <v>0.9841394</v>
      </c>
      <c r="AB562">
        <v>39</v>
      </c>
      <c r="AC562">
        <v>0.53809999999998503</v>
      </c>
      <c r="AD562">
        <v>-0.18283149999999901</v>
      </c>
      <c r="AE562">
        <v>-0.13810000000000799</v>
      </c>
      <c r="AF562">
        <v>0.12637843477194999</v>
      </c>
      <c r="AG562">
        <v>-0.18283149999999901</v>
      </c>
      <c r="AH562">
        <v>0.48505458680288999</v>
      </c>
      <c r="AI562">
        <v>110.03957503173299</v>
      </c>
      <c r="AJ562">
        <v>75.396551165807907</v>
      </c>
      <c r="AK562">
        <v>0.53355113939169896</v>
      </c>
      <c r="AL562">
        <v>80.797393180064006</v>
      </c>
      <c r="AM562">
        <v>89.382163103265597</v>
      </c>
      <c r="AN562">
        <v>1.00000000094868</v>
      </c>
    </row>
    <row r="563" spans="1:40" x14ac:dyDescent="0.25">
      <c r="A563" t="str">
        <f>"20190312172342130"</f>
        <v>20190312172342130</v>
      </c>
      <c r="B563" t="str">
        <f>"1552382622120244"</f>
        <v>1552382622120244</v>
      </c>
      <c r="C563" t="s">
        <v>40</v>
      </c>
      <c r="D563">
        <v>3.6624210000000001</v>
      </c>
      <c r="E563">
        <v>0.56763169999999996</v>
      </c>
      <c r="F563" t="s">
        <v>41</v>
      </c>
      <c r="G563">
        <v>-342.38720000000001</v>
      </c>
      <c r="H563">
        <v>0.90019329999999997</v>
      </c>
      <c r="I563">
        <v>366.94630000000001</v>
      </c>
      <c r="J563">
        <v>-342.90730000000002</v>
      </c>
      <c r="K563">
        <v>1.1098699999999999</v>
      </c>
      <c r="L563">
        <v>367.10570000000001</v>
      </c>
      <c r="M563">
        <v>0.99992490000000001</v>
      </c>
      <c r="N563">
        <v>0</v>
      </c>
      <c r="O563">
        <v>3.6707210000000001E-3</v>
      </c>
      <c r="P563">
        <v>0.98885630000000002</v>
      </c>
      <c r="Q563">
        <v>0.14870630000000001</v>
      </c>
      <c r="R563">
        <v>-7.0680959999999899E-3</v>
      </c>
      <c r="S563">
        <v>3.1427309999999999</v>
      </c>
      <c r="T563">
        <v>-0.75381279999999995</v>
      </c>
      <c r="U563">
        <v>-0.56710819999999995</v>
      </c>
      <c r="V563">
        <v>1.069762E-2</v>
      </c>
      <c r="W563">
        <v>0.16025980000000001</v>
      </c>
      <c r="X563">
        <v>0.98701689999999997</v>
      </c>
      <c r="Y563">
        <v>0.17624879999999901</v>
      </c>
      <c r="Z563">
        <v>-2.1543260000000002E-2</v>
      </c>
      <c r="AA563">
        <v>0.98410989999999998</v>
      </c>
      <c r="AB563">
        <v>39</v>
      </c>
      <c r="AC563">
        <v>0.520100000000013</v>
      </c>
      <c r="AD563">
        <v>-0.20967669999999999</v>
      </c>
      <c r="AE563">
        <v>-0.15940000000000501</v>
      </c>
      <c r="AF563">
        <v>0.140442380786475</v>
      </c>
      <c r="AG563">
        <v>-0.20967669999999999</v>
      </c>
      <c r="AH563">
        <v>0.452310610955169</v>
      </c>
      <c r="AI563">
        <v>113.879819354924</v>
      </c>
      <c r="AJ563">
        <v>72.750438689653905</v>
      </c>
      <c r="AK563">
        <v>0.51795103014329602</v>
      </c>
      <c r="AL563">
        <v>80.778023757613497</v>
      </c>
      <c r="AM563">
        <v>89.379033450804798</v>
      </c>
      <c r="AN563">
        <v>1.00000000172765</v>
      </c>
    </row>
    <row r="564" spans="1:40" x14ac:dyDescent="0.25">
      <c r="A564" t="str">
        <f>"20190312172342150"</f>
        <v>20190312172342150</v>
      </c>
      <c r="B564" t="str">
        <f>"1552382622140740"</f>
        <v>1552382622140740</v>
      </c>
      <c r="C564" t="s">
        <v>40</v>
      </c>
      <c r="D564">
        <v>3.66568</v>
      </c>
      <c r="E564">
        <v>0.5677238</v>
      </c>
      <c r="F564" t="s">
        <v>41</v>
      </c>
      <c r="G564">
        <v>-342.03989999999999</v>
      </c>
      <c r="H564">
        <v>0.90223249999999999</v>
      </c>
      <c r="I564">
        <v>366.94889999999998</v>
      </c>
      <c r="J564">
        <v>-342.54250000000002</v>
      </c>
      <c r="K564">
        <v>1.1098669999999999</v>
      </c>
      <c r="L564">
        <v>367.10700000000003</v>
      </c>
      <c r="M564">
        <v>0.99992479999999995</v>
      </c>
      <c r="N564">
        <v>0</v>
      </c>
      <c r="O564">
        <v>3.6856720000000001E-3</v>
      </c>
      <c r="P564">
        <v>0.98891439999999997</v>
      </c>
      <c r="Q564">
        <v>0.14833850000000001</v>
      </c>
      <c r="R564">
        <v>-6.6268809999999899E-3</v>
      </c>
      <c r="S564">
        <v>3.1429140000000002</v>
      </c>
      <c r="T564">
        <v>-0.75234969999999901</v>
      </c>
      <c r="U564">
        <v>-0.56793209999999905</v>
      </c>
      <c r="V564">
        <v>1.0271499999999999E-2</v>
      </c>
      <c r="W564">
        <v>0.15989449999999999</v>
      </c>
      <c r="X564">
        <v>0.98708059999999997</v>
      </c>
      <c r="Y564">
        <v>0.17651539999999999</v>
      </c>
      <c r="Z564">
        <v>-2.153561E-2</v>
      </c>
      <c r="AA564">
        <v>0.98406229999999995</v>
      </c>
      <c r="AB564">
        <v>39</v>
      </c>
      <c r="AC564">
        <v>0.50260000000002902</v>
      </c>
      <c r="AD564">
        <v>-0.207634499999999</v>
      </c>
      <c r="AE564">
        <v>-0.15809999999999</v>
      </c>
      <c r="AF564">
        <v>0.138449972547493</v>
      </c>
      <c r="AG564">
        <v>-0.207634499999999</v>
      </c>
      <c r="AH564">
        <v>0.43453056032742698</v>
      </c>
      <c r="AI564">
        <v>114.47905998454399</v>
      </c>
      <c r="AJ564">
        <v>72.327099256200995</v>
      </c>
      <c r="AK564">
        <v>0.50109608694053798</v>
      </c>
      <c r="AL564">
        <v>80.799226697532205</v>
      </c>
      <c r="AM564">
        <v>89.403805161874701</v>
      </c>
      <c r="AN564">
        <v>0.99999993286942701</v>
      </c>
    </row>
    <row r="565" spans="1:40" x14ac:dyDescent="0.25">
      <c r="A565" t="str">
        <f>"20190312172342163"</f>
        <v>20190312172342163</v>
      </c>
      <c r="B565" t="str">
        <f>"1552382622160260"</f>
        <v>1552382622160260</v>
      </c>
      <c r="C565" t="s">
        <v>40</v>
      </c>
      <c r="D565">
        <v>3.634833</v>
      </c>
      <c r="E565">
        <v>0.56779990000000002</v>
      </c>
      <c r="F565" t="s">
        <v>41</v>
      </c>
      <c r="G565">
        <v>-341.6918</v>
      </c>
      <c r="H565">
        <v>0.90608200000000005</v>
      </c>
      <c r="I565">
        <v>366.95319999999998</v>
      </c>
      <c r="J565">
        <v>-342.33449999999999</v>
      </c>
      <c r="K565">
        <v>1.1098680000000001</v>
      </c>
      <c r="L565">
        <v>367.1078</v>
      </c>
      <c r="M565">
        <v>0.99992490000000001</v>
      </c>
      <c r="N565">
        <v>0</v>
      </c>
      <c r="O565">
        <v>3.6938930000000002E-3</v>
      </c>
      <c r="P565">
        <v>0.98891130000000005</v>
      </c>
      <c r="Q565">
        <v>0.1483679</v>
      </c>
      <c r="R565">
        <v>-6.4592349999999998E-3</v>
      </c>
      <c r="S565">
        <v>3.1427610000000001</v>
      </c>
      <c r="T565">
        <v>-0.75287720000000002</v>
      </c>
      <c r="U565">
        <v>-0.56732179999999999</v>
      </c>
      <c r="V565">
        <v>1.0112049999999999E-2</v>
      </c>
      <c r="W565">
        <v>0.1599247</v>
      </c>
      <c r="X565">
        <v>0.98707739999999999</v>
      </c>
      <c r="Y565">
        <v>0.17634369999999999</v>
      </c>
      <c r="Z565">
        <v>-2.1533480000000001E-2</v>
      </c>
      <c r="AA565">
        <v>0.98409310000000005</v>
      </c>
      <c r="AB565">
        <v>39</v>
      </c>
      <c r="AC565">
        <v>0.64269999999998995</v>
      </c>
      <c r="AD565">
        <v>-0.20378599999999999</v>
      </c>
      <c r="AE565">
        <v>-0.154600000000016</v>
      </c>
      <c r="AF565">
        <v>0.143349368802764</v>
      </c>
      <c r="AG565">
        <v>-0.20378599999999999</v>
      </c>
      <c r="AH565">
        <v>0.58639409791508601</v>
      </c>
      <c r="AI565">
        <v>108.653822842024</v>
      </c>
      <c r="AJ565">
        <v>76.262939767133801</v>
      </c>
      <c r="AK565">
        <v>0.63713092328170595</v>
      </c>
      <c r="AL565">
        <v>80.797474230810707</v>
      </c>
      <c r="AM565">
        <v>89.413057658663902</v>
      </c>
      <c r="AN565">
        <v>0.99999997840802601</v>
      </c>
    </row>
    <row r="566" spans="1:40" x14ac:dyDescent="0.25">
      <c r="A566" t="str">
        <f>"20190312172342183"</f>
        <v>20190312172342183</v>
      </c>
      <c r="B566" t="str">
        <f>"1552382622180756"</f>
        <v>1552382622180756</v>
      </c>
      <c r="C566" t="s">
        <v>40</v>
      </c>
      <c r="D566">
        <v>3.6533250000000002</v>
      </c>
      <c r="E566">
        <v>0.56787010000000004</v>
      </c>
      <c r="F566" t="s">
        <v>41</v>
      </c>
      <c r="G566">
        <v>-341.35669999999999</v>
      </c>
      <c r="H566">
        <v>0.87588999999999995</v>
      </c>
      <c r="I566">
        <v>366.93110000000001</v>
      </c>
      <c r="J566">
        <v>-341.97289999999998</v>
      </c>
      <c r="K566">
        <v>1.1098680000000001</v>
      </c>
      <c r="L566">
        <v>367.10919999999999</v>
      </c>
      <c r="M566">
        <v>0.9999247</v>
      </c>
      <c r="N566">
        <v>0</v>
      </c>
      <c r="O566">
        <v>3.7083720000000001E-3</v>
      </c>
      <c r="P566">
        <v>0.98892409999999997</v>
      </c>
      <c r="Q566">
        <v>0.14828959999999999</v>
      </c>
      <c r="R566">
        <v>-6.2893080000000004E-3</v>
      </c>
      <c r="S566">
        <v>3.1427610000000001</v>
      </c>
      <c r="T566">
        <v>-0.75195730000000005</v>
      </c>
      <c r="U566">
        <v>-0.56811519999999904</v>
      </c>
      <c r="V566">
        <v>9.9562350000000008E-3</v>
      </c>
      <c r="W566">
        <v>0.15984789999999999</v>
      </c>
      <c r="X566">
        <v>0.98709139999999995</v>
      </c>
      <c r="Y566">
        <v>0.17660319999999999</v>
      </c>
      <c r="Z566">
        <v>-2.154118E-2</v>
      </c>
      <c r="AA566">
        <v>0.98404639999999999</v>
      </c>
      <c r="AB566">
        <v>39</v>
      </c>
      <c r="AC566">
        <v>0.61619999999999198</v>
      </c>
      <c r="AD566">
        <v>-0.23397799999999999</v>
      </c>
      <c r="AE566">
        <v>-0.178099999999972</v>
      </c>
      <c r="AF566">
        <v>0.15920013098595101</v>
      </c>
      <c r="AG566">
        <v>-0.23397799999999999</v>
      </c>
      <c r="AH566">
        <v>0.54324816442294099</v>
      </c>
      <c r="AI566">
        <v>112.45626264976799</v>
      </c>
      <c r="AJ566">
        <v>73.666655207508398</v>
      </c>
      <c r="AK566">
        <v>0.61254302243910896</v>
      </c>
      <c r="AL566">
        <v>80.801931674095499</v>
      </c>
      <c r="AM566">
        <v>89.422109339243406</v>
      </c>
      <c r="AN566">
        <v>0.99999995485187099</v>
      </c>
    </row>
    <row r="567" spans="1:40" x14ac:dyDescent="0.25">
      <c r="A567" t="str">
        <f>"20190312172342197"</f>
        <v>20190312172342197</v>
      </c>
      <c r="B567" t="str">
        <f>"1552382622190515"</f>
        <v>1552382622190515</v>
      </c>
      <c r="C567" t="s">
        <v>40</v>
      </c>
      <c r="D567">
        <v>3.6468159999999998</v>
      </c>
      <c r="E567">
        <v>0.56791969999999903</v>
      </c>
      <c r="F567" t="s">
        <v>41</v>
      </c>
      <c r="G567">
        <v>-341.0086</v>
      </c>
      <c r="H567">
        <v>0.87917919999999905</v>
      </c>
      <c r="I567">
        <v>366.93490000000003</v>
      </c>
      <c r="J567">
        <v>-341.7398</v>
      </c>
      <c r="K567">
        <v>1.109866</v>
      </c>
      <c r="L567">
        <v>367.11</v>
      </c>
      <c r="M567">
        <v>0.99992479999999995</v>
      </c>
      <c r="N567">
        <v>0</v>
      </c>
      <c r="O567">
        <v>3.7179600000000002E-3</v>
      </c>
      <c r="P567">
        <v>0.9889116</v>
      </c>
      <c r="Q567">
        <v>0.14838299999999999</v>
      </c>
      <c r="R567">
        <v>-6.0765029999999996E-3</v>
      </c>
      <c r="S567">
        <v>3.1427309999999999</v>
      </c>
      <c r="T567">
        <v>-0.75182769999999899</v>
      </c>
      <c r="U567">
        <v>-0.56768799999999997</v>
      </c>
      <c r="V567">
        <v>9.7528560000000007E-3</v>
      </c>
      <c r="W567">
        <v>0.1599421</v>
      </c>
      <c r="X567">
        <v>0.98707820000000002</v>
      </c>
      <c r="Y567">
        <v>0.17648910000000001</v>
      </c>
      <c r="Z567">
        <v>-2.152691E-2</v>
      </c>
      <c r="AA567">
        <v>0.98406709999999997</v>
      </c>
      <c r="AB567">
        <v>39</v>
      </c>
      <c r="AC567">
        <v>0.73120000000000096</v>
      </c>
      <c r="AD567">
        <v>-0.2306868</v>
      </c>
      <c r="AE567">
        <v>-0.17509999999998599</v>
      </c>
      <c r="AF567">
        <v>0.16251867450495</v>
      </c>
      <c r="AG567">
        <v>-0.2306868</v>
      </c>
      <c r="AH567">
        <v>0.66769014450168995</v>
      </c>
      <c r="AI567">
        <v>108.556826001025</v>
      </c>
      <c r="AJ567">
        <v>76.319979001941405</v>
      </c>
      <c r="AK567">
        <v>0.72487160816366203</v>
      </c>
      <c r="AL567">
        <v>80.796464328796006</v>
      </c>
      <c r="AM567">
        <v>89.433905739296904</v>
      </c>
      <c r="AN567">
        <v>0.99999998323390304</v>
      </c>
    </row>
    <row r="568" spans="1:40" x14ac:dyDescent="0.25">
      <c r="A568" t="str">
        <f>"20190312172342208"</f>
        <v>20190312172342208</v>
      </c>
      <c r="B568" t="str">
        <f>"1552382622200276"</f>
        <v>1552382622200276</v>
      </c>
      <c r="C568" t="s">
        <v>40</v>
      </c>
      <c r="D568">
        <v>4.022894</v>
      </c>
      <c r="E568">
        <v>0.56790350000000001</v>
      </c>
      <c r="F568" t="s">
        <v>41</v>
      </c>
      <c r="G568">
        <v>-340.98880000000003</v>
      </c>
      <c r="H568">
        <v>0.93027369999999998</v>
      </c>
      <c r="I568">
        <v>366.9744</v>
      </c>
      <c r="J568">
        <v>-341.54969999999997</v>
      </c>
      <c r="K568">
        <v>1.109864</v>
      </c>
      <c r="L568">
        <v>367.11079999999998</v>
      </c>
      <c r="M568">
        <v>0.9999247</v>
      </c>
      <c r="N568">
        <v>0</v>
      </c>
      <c r="O568">
        <v>3.7258809999999999E-3</v>
      </c>
      <c r="P568">
        <v>0.98890990000000001</v>
      </c>
      <c r="Q568">
        <v>0.14839820000000001</v>
      </c>
      <c r="R568">
        <v>-5.9489349999999998E-3</v>
      </c>
      <c r="S568">
        <v>3.1429749999999999</v>
      </c>
      <c r="T568">
        <v>-0.75161709999999904</v>
      </c>
      <c r="U568">
        <v>-0.56729130000000005</v>
      </c>
      <c r="V568">
        <v>9.6334039999999999E-3</v>
      </c>
      <c r="W568">
        <v>0.15995809999999999</v>
      </c>
      <c r="X568">
        <v>0.98707679999999998</v>
      </c>
      <c r="Y568">
        <v>0.17636959999999999</v>
      </c>
      <c r="Z568">
        <v>-2.1507539999999999E-2</v>
      </c>
      <c r="AA568">
        <v>0.98408899999999999</v>
      </c>
      <c r="AB568">
        <v>39</v>
      </c>
      <c r="AC568">
        <v>0.560899999999946</v>
      </c>
      <c r="AD568">
        <v>-0.17959030000000001</v>
      </c>
      <c r="AE568">
        <v>-0.13639999999998001</v>
      </c>
      <c r="AF568">
        <v>0.126267285327164</v>
      </c>
      <c r="AG568">
        <v>-0.17959030000000001</v>
      </c>
      <c r="AH568">
        <v>0.51093323077562702</v>
      </c>
      <c r="AI568">
        <v>108.84113111027899</v>
      </c>
      <c r="AJ568">
        <v>76.118589125164505</v>
      </c>
      <c r="AK568">
        <v>0.55610149209366599</v>
      </c>
      <c r="AL568">
        <v>80.795535819918797</v>
      </c>
      <c r="AM568">
        <v>89.440837968918601</v>
      </c>
      <c r="AN568">
        <v>1.0000000026632301</v>
      </c>
    </row>
    <row r="569" spans="1:40" x14ac:dyDescent="0.25">
      <c r="A569" t="str">
        <f>"20190312172342229"</f>
        <v>20190312172342229</v>
      </c>
      <c r="B569" t="str">
        <f>"1552382622220772"</f>
        <v>1552382622220772</v>
      </c>
      <c r="C569" t="s">
        <v>40</v>
      </c>
      <c r="D569">
        <v>4.0360449999999997</v>
      </c>
      <c r="E569">
        <v>0.56789650000000003</v>
      </c>
      <c r="F569" t="s">
        <v>41</v>
      </c>
      <c r="G569">
        <v>-340.6551</v>
      </c>
      <c r="H569">
        <v>0.89609889999999903</v>
      </c>
      <c r="I569">
        <v>366.9495</v>
      </c>
      <c r="J569">
        <v>-341.18209999999999</v>
      </c>
      <c r="K569">
        <v>1.1098650000000001</v>
      </c>
      <c r="L569">
        <v>367.11219999999997</v>
      </c>
      <c r="M569">
        <v>0.99992460000000005</v>
      </c>
      <c r="N569">
        <v>0</v>
      </c>
      <c r="O569">
        <v>3.741365E-3</v>
      </c>
      <c r="P569">
        <v>0.98898160000000002</v>
      </c>
      <c r="Q569">
        <v>0.14793229999999999</v>
      </c>
      <c r="R569">
        <v>-5.6239719999999997E-3</v>
      </c>
      <c r="S569">
        <v>3.1429140000000002</v>
      </c>
      <c r="T569">
        <v>-0.75101519999999899</v>
      </c>
      <c r="U569">
        <v>-0.56668090000000004</v>
      </c>
      <c r="V569">
        <v>9.3238360000000003E-3</v>
      </c>
      <c r="W569">
        <v>0.15949440000000001</v>
      </c>
      <c r="X569">
        <v>0.9871548</v>
      </c>
      <c r="Y569">
        <v>0.17621419999999999</v>
      </c>
      <c r="Z569">
        <v>-2.1476990000000001E-2</v>
      </c>
      <c r="AA569">
        <v>0.98411749999999998</v>
      </c>
      <c r="AB569">
        <v>39</v>
      </c>
      <c r="AC569">
        <v>0.52699999999998604</v>
      </c>
      <c r="AD569">
        <v>-0.21376609999999999</v>
      </c>
      <c r="AE569">
        <v>-0.16269999999997201</v>
      </c>
      <c r="AF569">
        <v>0.14316493918947901</v>
      </c>
      <c r="AG569">
        <v>-0.21376609999999999</v>
      </c>
      <c r="AH569">
        <v>0.457642091881025</v>
      </c>
      <c r="AI569">
        <v>114.027244310882</v>
      </c>
      <c r="AJ569">
        <v>72.628664469027598</v>
      </c>
      <c r="AK569">
        <v>0.525003266259913</v>
      </c>
      <c r="AL569">
        <v>80.822449367407501</v>
      </c>
      <c r="AM569">
        <v>89.458848230777903</v>
      </c>
      <c r="AN569">
        <v>0.999999998356077</v>
      </c>
    </row>
    <row r="570" spans="1:40" x14ac:dyDescent="0.25">
      <c r="A570" t="str">
        <f>"20190312172342239"</f>
        <v>20190312172342239</v>
      </c>
      <c r="B570" t="str">
        <f>"1552382622230532"</f>
        <v>1552382622230532</v>
      </c>
      <c r="C570" t="s">
        <v>40</v>
      </c>
      <c r="D570">
        <v>3.6477629999999999</v>
      </c>
      <c r="E570">
        <v>0.56787799999999999</v>
      </c>
      <c r="F570" t="s">
        <v>41</v>
      </c>
      <c r="G570">
        <v>-340.3064</v>
      </c>
      <c r="H570">
        <v>0.90055019999999997</v>
      </c>
      <c r="I570">
        <v>366.95400000000001</v>
      </c>
      <c r="J570">
        <v>-340.99360000000001</v>
      </c>
      <c r="K570">
        <v>1.1098619999999999</v>
      </c>
      <c r="L570">
        <v>367.11290000000002</v>
      </c>
      <c r="M570">
        <v>0.9999247</v>
      </c>
      <c r="N570">
        <v>0</v>
      </c>
      <c r="O570">
        <v>3.7489300000000001E-3</v>
      </c>
      <c r="P570">
        <v>0.98895069999999996</v>
      </c>
      <c r="Q570">
        <v>0.148140299999999</v>
      </c>
      <c r="R570">
        <v>-5.6119439999999998E-3</v>
      </c>
      <c r="S570">
        <v>3.1425779999999999</v>
      </c>
      <c r="T570">
        <v>-0.75124550000000001</v>
      </c>
      <c r="U570">
        <v>-0.56655880000000003</v>
      </c>
      <c r="V570">
        <v>9.3193400000000006E-3</v>
      </c>
      <c r="W570">
        <v>0.1597034</v>
      </c>
      <c r="X570">
        <v>0.98712100000000003</v>
      </c>
      <c r="Y570">
        <v>0.1761992</v>
      </c>
      <c r="Z570">
        <v>-2.1485669999999998E-2</v>
      </c>
      <c r="AA570">
        <v>0.98411999999999999</v>
      </c>
      <c r="AB570">
        <v>39</v>
      </c>
      <c r="AC570">
        <v>0.68720000000001802</v>
      </c>
      <c r="AD570">
        <v>-0.20931179999999999</v>
      </c>
      <c r="AE570">
        <v>-0.158900000000016</v>
      </c>
      <c r="AF570">
        <v>0.148406034620157</v>
      </c>
      <c r="AG570">
        <v>-0.20931179999999999</v>
      </c>
      <c r="AH570">
        <v>0.63102829315346598</v>
      </c>
      <c r="AI570">
        <v>107.89475746664</v>
      </c>
      <c r="AJ570">
        <v>76.7656068151109</v>
      </c>
      <c r="AK570">
        <v>0.68119930085922398</v>
      </c>
      <c r="AL570">
        <v>80.810318589779399</v>
      </c>
      <c r="AM570">
        <v>89.459090641802803</v>
      </c>
      <c r="AN570">
        <v>0.99999994735529596</v>
      </c>
    </row>
    <row r="571" spans="1:40" x14ac:dyDescent="0.25">
      <c r="A571" t="str">
        <f>"20190312172342252"</f>
        <v>20190312172342252</v>
      </c>
      <c r="B571" t="str">
        <f>"1552382622240292"</f>
        <v>1552382622240292</v>
      </c>
      <c r="C571" t="s">
        <v>40</v>
      </c>
      <c r="D571">
        <v>3.6811479999999999</v>
      </c>
      <c r="E571">
        <v>0.56784619999999997</v>
      </c>
      <c r="F571" t="s">
        <v>41</v>
      </c>
      <c r="G571">
        <v>-340.28980000000001</v>
      </c>
      <c r="H571">
        <v>0.94190879999999999</v>
      </c>
      <c r="I571">
        <v>366.98570000000001</v>
      </c>
      <c r="J571">
        <v>-340.78870000000001</v>
      </c>
      <c r="K571">
        <v>1.1098619999999999</v>
      </c>
      <c r="L571">
        <v>367.11360000000002</v>
      </c>
      <c r="M571">
        <v>0.99992449999999999</v>
      </c>
      <c r="N571">
        <v>0</v>
      </c>
      <c r="O571">
        <v>3.7571520000000001E-3</v>
      </c>
      <c r="P571">
        <v>0.98894219999999999</v>
      </c>
      <c r="Q571">
        <v>0.14819350000000001</v>
      </c>
      <c r="R571">
        <v>-5.6795109999999999E-3</v>
      </c>
      <c r="S571">
        <v>3.1426699999999999</v>
      </c>
      <c r="T571">
        <v>-0.75003989999999998</v>
      </c>
      <c r="U571">
        <v>-0.56646730000000001</v>
      </c>
      <c r="V571">
        <v>9.3949429999999994E-3</v>
      </c>
      <c r="W571">
        <v>0.1597566</v>
      </c>
      <c r="X571">
        <v>0.98711170000000004</v>
      </c>
      <c r="Y571">
        <v>0.17619029999999899</v>
      </c>
      <c r="Z571">
        <v>-2.1452450000000001E-2</v>
      </c>
      <c r="AA571">
        <v>0.98412230000000001</v>
      </c>
      <c r="AB571">
        <v>39</v>
      </c>
      <c r="AC571">
        <v>0.49889999999999102</v>
      </c>
      <c r="AD571">
        <v>-0.1679532</v>
      </c>
      <c r="AE571">
        <v>-0.127900000000011</v>
      </c>
      <c r="AF571">
        <v>0.117299760273761</v>
      </c>
      <c r="AG571">
        <v>-0.1679532</v>
      </c>
      <c r="AH571">
        <v>0.45050792572003201</v>
      </c>
      <c r="AI571">
        <v>109.838417790721</v>
      </c>
      <c r="AJ571">
        <v>75.405807999424098</v>
      </c>
      <c r="AK571">
        <v>0.49489888087071698</v>
      </c>
      <c r="AL571">
        <v>80.807231040045906</v>
      </c>
      <c r="AM571">
        <v>89.454697649833093</v>
      </c>
      <c r="AN571">
        <v>0.99999997223721104</v>
      </c>
    </row>
    <row r="572" spans="1:40" x14ac:dyDescent="0.25">
      <c r="A572" t="str">
        <f>"20190312172342272"</f>
        <v>20190312172342272</v>
      </c>
      <c r="B572" t="str">
        <f>"1552382622270548"</f>
        <v>1552382622270548</v>
      </c>
      <c r="C572" t="s">
        <v>40</v>
      </c>
      <c r="D572">
        <v>3.6770170000000002</v>
      </c>
      <c r="E572">
        <v>0.56782749999999904</v>
      </c>
      <c r="F572" t="s">
        <v>41</v>
      </c>
      <c r="G572">
        <v>-339.95519999999999</v>
      </c>
      <c r="H572">
        <v>0.91108359999999999</v>
      </c>
      <c r="I572">
        <v>366.96359999999999</v>
      </c>
      <c r="J572">
        <v>-340.42349999999999</v>
      </c>
      <c r="K572">
        <v>1.1098589999999999</v>
      </c>
      <c r="L572">
        <v>367.11500000000001</v>
      </c>
      <c r="M572">
        <v>0.99992449999999999</v>
      </c>
      <c r="N572">
        <v>0</v>
      </c>
      <c r="O572">
        <v>3.771749E-3</v>
      </c>
      <c r="P572">
        <v>0.9889308</v>
      </c>
      <c r="Q572">
        <v>0.14828379999999999</v>
      </c>
      <c r="R572">
        <v>-5.2775209999999899E-3</v>
      </c>
      <c r="S572">
        <v>3.1426090000000002</v>
      </c>
      <c r="T572">
        <v>-0.74938930000000004</v>
      </c>
      <c r="U572">
        <v>-0.56625369999999997</v>
      </c>
      <c r="V572">
        <v>9.0074460000000005E-3</v>
      </c>
      <c r="W572">
        <v>0.15984889999999999</v>
      </c>
      <c r="X572">
        <v>0.98710039999999999</v>
      </c>
      <c r="Y572">
        <v>0.176152</v>
      </c>
      <c r="Z572">
        <v>-2.1433799999999999E-2</v>
      </c>
      <c r="AA572">
        <v>0.98412960000000005</v>
      </c>
      <c r="AB572">
        <v>39</v>
      </c>
      <c r="AC572">
        <v>0.46829999999999899</v>
      </c>
      <c r="AD572">
        <v>-0.19877539999999999</v>
      </c>
      <c r="AE572">
        <v>-0.15140000000002299</v>
      </c>
      <c r="AF572">
        <v>0.131685090634307</v>
      </c>
      <c r="AG572">
        <v>-0.19877539999999999</v>
      </c>
      <c r="AH572">
        <v>0.40213066953124699</v>
      </c>
      <c r="AI572">
        <v>115.162229665724</v>
      </c>
      <c r="AJ572">
        <v>71.868013274343298</v>
      </c>
      <c r="AK572">
        <v>0.46750582682804598</v>
      </c>
      <c r="AL572">
        <v>80.801874072181405</v>
      </c>
      <c r="AM572">
        <v>89.477181534859696</v>
      </c>
      <c r="AN572">
        <v>1.0000000022974</v>
      </c>
    </row>
    <row r="573" spans="1:40" x14ac:dyDescent="0.25">
      <c r="A573" t="str">
        <f>"20190312172342284"</f>
        <v>20190312172342284</v>
      </c>
      <c r="B573" t="str">
        <f>"1552382622280309"</f>
        <v>1552382622280309</v>
      </c>
      <c r="C573" t="s">
        <v>40</v>
      </c>
      <c r="D573">
        <v>3.6578629999999999</v>
      </c>
      <c r="E573">
        <v>0.56782349999999904</v>
      </c>
      <c r="F573" t="s">
        <v>41</v>
      </c>
      <c r="G573">
        <v>-339.60629999999998</v>
      </c>
      <c r="H573">
        <v>0.91540600000000005</v>
      </c>
      <c r="I573">
        <v>366.96800000000002</v>
      </c>
      <c r="J573">
        <v>-340.23259999999999</v>
      </c>
      <c r="K573">
        <v>1.1098600000000001</v>
      </c>
      <c r="L573">
        <v>367.1157</v>
      </c>
      <c r="M573">
        <v>0.99992440000000005</v>
      </c>
      <c r="N573">
        <v>0</v>
      </c>
      <c r="O573">
        <v>3.779494E-3</v>
      </c>
      <c r="P573">
        <v>0.98891200000000001</v>
      </c>
      <c r="Q573">
        <v>0.14840929999999999</v>
      </c>
      <c r="R573">
        <v>-5.3011710000000004E-3</v>
      </c>
      <c r="S573">
        <v>3.1427309999999999</v>
      </c>
      <c r="T573">
        <v>-0.74784039999999996</v>
      </c>
      <c r="U573">
        <v>-0.56500240000000002</v>
      </c>
      <c r="V573">
        <v>9.038496E-3</v>
      </c>
      <c r="W573">
        <v>0.15997449999999999</v>
      </c>
      <c r="X573">
        <v>0.9870797</v>
      </c>
      <c r="Y573">
        <v>0.1758025</v>
      </c>
      <c r="Z573">
        <v>-2.1351709999999999E-2</v>
      </c>
      <c r="AA573">
        <v>0.98419389999999995</v>
      </c>
      <c r="AB573">
        <v>39</v>
      </c>
      <c r="AC573">
        <v>0.62630000000001396</v>
      </c>
      <c r="AD573">
        <v>-0.19445399999999999</v>
      </c>
      <c r="AE573">
        <v>-0.14769999999998601</v>
      </c>
      <c r="AF573">
        <v>0.13750896463690901</v>
      </c>
      <c r="AG573">
        <v>-0.19445399999999999</v>
      </c>
      <c r="AH573">
        <v>0.57337681608848301</v>
      </c>
      <c r="AI573">
        <v>108.251881187495</v>
      </c>
      <c r="AJ573">
        <v>76.513854572926505</v>
      </c>
      <c r="AK573">
        <v>0.62087200508581497</v>
      </c>
      <c r="AL573">
        <v>80.794583278965504</v>
      </c>
      <c r="AM573">
        <v>89.475368401580894</v>
      </c>
      <c r="AN573">
        <v>0.99999993460613801</v>
      </c>
    </row>
    <row r="574" spans="1:40" x14ac:dyDescent="0.25">
      <c r="A574" t="str">
        <f>"20190312172342295"</f>
        <v>20190312172342295</v>
      </c>
      <c r="B574" t="str">
        <f>"1552382622290068"</f>
        <v>1552382622290068</v>
      </c>
      <c r="C574" t="s">
        <v>40</v>
      </c>
      <c r="D574">
        <v>3.7949860000000002</v>
      </c>
      <c r="E574">
        <v>0.56780900000000001</v>
      </c>
      <c r="F574" t="s">
        <v>41</v>
      </c>
      <c r="G574">
        <v>-339.27210000000002</v>
      </c>
      <c r="H574">
        <v>0.88152280000000005</v>
      </c>
      <c r="I574">
        <v>366.94310000000002</v>
      </c>
      <c r="J574">
        <v>-340.02499999999998</v>
      </c>
      <c r="K574">
        <v>1.109856</v>
      </c>
      <c r="L574">
        <v>367.11649999999997</v>
      </c>
      <c r="M574">
        <v>0.99992440000000005</v>
      </c>
      <c r="N574">
        <v>0</v>
      </c>
      <c r="O574">
        <v>3.7877750000000002E-3</v>
      </c>
      <c r="P574">
        <v>0.98888889999999996</v>
      </c>
      <c r="Q574">
        <v>0.14856340000000001</v>
      </c>
      <c r="R574">
        <v>-5.2892779999999997E-3</v>
      </c>
      <c r="S574">
        <v>3.1427309999999999</v>
      </c>
      <c r="T574">
        <v>-0.74708869999999905</v>
      </c>
      <c r="U574">
        <v>-0.56494140000000004</v>
      </c>
      <c r="V574">
        <v>9.0346330000000002E-3</v>
      </c>
      <c r="W574">
        <v>0.16012899999999999</v>
      </c>
      <c r="X574">
        <v>0.98705480000000001</v>
      </c>
      <c r="Y574">
        <v>0.1758016</v>
      </c>
      <c r="Z574">
        <v>-2.133266E-2</v>
      </c>
      <c r="AA574">
        <v>0.98419449999999997</v>
      </c>
      <c r="AB574">
        <v>39</v>
      </c>
      <c r="AC574">
        <v>0.75289999999995405</v>
      </c>
      <c r="AD574">
        <v>-0.22833319999999899</v>
      </c>
      <c r="AE574">
        <v>-0.173399999999958</v>
      </c>
      <c r="AF574">
        <v>0.16209338506686599</v>
      </c>
      <c r="AG574">
        <v>-0.22833319999999899</v>
      </c>
      <c r="AH574">
        <v>0.691814089325133</v>
      </c>
      <c r="AI574">
        <v>107.814664288711</v>
      </c>
      <c r="AJ574">
        <v>76.813357267144696</v>
      </c>
      <c r="AK574">
        <v>0.74633574877091202</v>
      </c>
      <c r="AL574">
        <v>80.785616543008999</v>
      </c>
      <c r="AM574">
        <v>89.475579385256793</v>
      </c>
      <c r="AN574">
        <v>1.00000004971874</v>
      </c>
    </row>
    <row r="575" spans="1:40" x14ac:dyDescent="0.25">
      <c r="A575" t="str">
        <f>"20190312172342308"</f>
        <v>20190312172342308</v>
      </c>
      <c r="B575" t="str">
        <f>"1552382622300804"</f>
        <v>1552382622300804</v>
      </c>
      <c r="C575" t="s">
        <v>40</v>
      </c>
      <c r="D575">
        <v>3.9283009999999998</v>
      </c>
      <c r="E575">
        <v>0.56779639999999998</v>
      </c>
      <c r="F575" t="s">
        <v>41</v>
      </c>
      <c r="G575">
        <v>-339.25459999999998</v>
      </c>
      <c r="H575">
        <v>0.92690309999999998</v>
      </c>
      <c r="I575">
        <v>366.97820000000002</v>
      </c>
      <c r="J575">
        <v>-339.81439999999998</v>
      </c>
      <c r="K575">
        <v>1.109855</v>
      </c>
      <c r="L575">
        <v>367.1173</v>
      </c>
      <c r="M575">
        <v>0.99992429999999999</v>
      </c>
      <c r="N575">
        <v>0</v>
      </c>
      <c r="O575">
        <v>3.7963530000000001E-3</v>
      </c>
      <c r="P575">
        <v>0.98888019999999999</v>
      </c>
      <c r="Q575">
        <v>0.14862020000000001</v>
      </c>
      <c r="R575">
        <v>-5.2964689999999998E-3</v>
      </c>
      <c r="S575">
        <v>3.142792</v>
      </c>
      <c r="T575">
        <v>-0.7462491</v>
      </c>
      <c r="U575">
        <v>-0.56457519999999894</v>
      </c>
      <c r="V575">
        <v>9.0503619999999993E-3</v>
      </c>
      <c r="W575">
        <v>0.16018640000000001</v>
      </c>
      <c r="X575">
        <v>0.98704530000000001</v>
      </c>
      <c r="Y575">
        <v>0.1757087</v>
      </c>
      <c r="Z575">
        <v>-2.1300340000000001E-2</v>
      </c>
      <c r="AA575">
        <v>0.98421170000000002</v>
      </c>
      <c r="AB575">
        <v>39</v>
      </c>
      <c r="AC575">
        <v>0.55979999999999497</v>
      </c>
      <c r="AD575">
        <v>-0.1829519</v>
      </c>
      <c r="AE575">
        <v>-0.13909999999998399</v>
      </c>
      <c r="AF575">
        <v>0.128316027604649</v>
      </c>
      <c r="AG575">
        <v>-0.1829519</v>
      </c>
      <c r="AH575">
        <v>0.50814915457090604</v>
      </c>
      <c r="AI575">
        <v>109.24299066473699</v>
      </c>
      <c r="AJ575">
        <v>75.828135670353902</v>
      </c>
      <c r="AK575">
        <v>0.55511437014814602</v>
      </c>
      <c r="AL575">
        <v>80.7822843691971</v>
      </c>
      <c r="AM575">
        <v>89.474661381387804</v>
      </c>
      <c r="AN575">
        <v>1.00000000802469</v>
      </c>
    </row>
    <row r="576" spans="1:40" x14ac:dyDescent="0.25">
      <c r="A576" t="str">
        <f>"20190312172342330"</f>
        <v>20190312172342330</v>
      </c>
      <c r="B576" t="str">
        <f>"1552382622320323"</f>
        <v>1552382622320323</v>
      </c>
      <c r="C576" t="s">
        <v>40</v>
      </c>
      <c r="D576">
        <v>3.6518290000000002</v>
      </c>
      <c r="E576">
        <v>0.56778189999999995</v>
      </c>
      <c r="F576" t="s">
        <v>41</v>
      </c>
      <c r="G576">
        <v>-338.91860000000003</v>
      </c>
      <c r="H576">
        <v>0.89730390000000004</v>
      </c>
      <c r="I576">
        <v>366.95620000000002</v>
      </c>
      <c r="J576">
        <v>-339.43720000000002</v>
      </c>
      <c r="K576">
        <v>1.1098570000000001</v>
      </c>
      <c r="L576">
        <v>367.11880000000002</v>
      </c>
      <c r="M576">
        <v>0.99992440000000005</v>
      </c>
      <c r="N576">
        <v>0</v>
      </c>
      <c r="O576">
        <v>3.8117789999999999E-3</v>
      </c>
      <c r="P576">
        <v>0.98888920000000002</v>
      </c>
      <c r="Q576">
        <v>0.14856539999999999</v>
      </c>
      <c r="R576">
        <v>-5.1785310000000001E-3</v>
      </c>
      <c r="S576">
        <v>3.142792</v>
      </c>
      <c r="T576">
        <v>-0.74580590000000002</v>
      </c>
      <c r="U576">
        <v>-0.56445310000000004</v>
      </c>
      <c r="V576">
        <v>8.9478230000000006E-3</v>
      </c>
      <c r="W576">
        <v>0.16013269999999999</v>
      </c>
      <c r="X576">
        <v>0.98705489999999996</v>
      </c>
      <c r="Y576">
        <v>0.1756924</v>
      </c>
      <c r="Z576">
        <v>-2.1289789999999999E-2</v>
      </c>
      <c r="AA576">
        <v>0.98421479999999995</v>
      </c>
      <c r="AB576">
        <v>39</v>
      </c>
      <c r="AC576">
        <v>0.51859999999999196</v>
      </c>
      <c r="AD576">
        <v>-0.212553099999999</v>
      </c>
      <c r="AE576">
        <v>-0.162599999999997</v>
      </c>
      <c r="AF576">
        <v>0.14274328807800901</v>
      </c>
      <c r="AG576">
        <v>-0.212553099999999</v>
      </c>
      <c r="AH576">
        <v>0.44926216134577102</v>
      </c>
      <c r="AI576">
        <v>114.270777550983</v>
      </c>
      <c r="AJ576">
        <v>72.373476416403406</v>
      </c>
      <c r="AK576">
        <v>0.51709859430093696</v>
      </c>
      <c r="AL576">
        <v>80.785400946861003</v>
      </c>
      <c r="AM576">
        <v>89.480618098277802</v>
      </c>
      <c r="AN576">
        <v>0.99999996037986805</v>
      </c>
    </row>
    <row r="577" spans="1:40" x14ac:dyDescent="0.25">
      <c r="A577" t="str">
        <f>"20190312172342351"</f>
        <v>20190312172342351</v>
      </c>
      <c r="B577" t="str">
        <f>"1552382622340820"</f>
        <v>1552382622340820</v>
      </c>
      <c r="C577" t="s">
        <v>40</v>
      </c>
      <c r="D577">
        <v>3.6674660000000001</v>
      </c>
      <c r="E577">
        <v>0.56778600000000001</v>
      </c>
      <c r="F577" t="s">
        <v>41</v>
      </c>
      <c r="G577">
        <v>-338.5686</v>
      </c>
      <c r="H577">
        <v>0.90390090000000001</v>
      </c>
      <c r="I577">
        <v>366.96280000000002</v>
      </c>
      <c r="J577">
        <v>-339.06139999999999</v>
      </c>
      <c r="K577">
        <v>1.1098570000000001</v>
      </c>
      <c r="L577">
        <v>367.12020000000001</v>
      </c>
      <c r="M577">
        <v>0.99992409999999998</v>
      </c>
      <c r="N577">
        <v>0</v>
      </c>
      <c r="O577">
        <v>3.8274469999999999E-3</v>
      </c>
      <c r="P577">
        <v>0.9888498</v>
      </c>
      <c r="Q577">
        <v>0.14881839999999999</v>
      </c>
      <c r="R577">
        <v>-5.4255909999999996E-3</v>
      </c>
      <c r="S577">
        <v>3.1427610000000001</v>
      </c>
      <c r="T577">
        <v>-0.74528179999999999</v>
      </c>
      <c r="U577">
        <v>-0.5639343</v>
      </c>
      <c r="V577">
        <v>9.2101279999999997E-3</v>
      </c>
      <c r="W577">
        <v>0.1603869</v>
      </c>
      <c r="X577">
        <v>0.98701130000000004</v>
      </c>
      <c r="Y577">
        <v>0.17556169999999999</v>
      </c>
      <c r="Z577">
        <v>-2.1264180000000001E-2</v>
      </c>
      <c r="AA577">
        <v>0.98423870000000002</v>
      </c>
      <c r="AB577">
        <v>39</v>
      </c>
      <c r="AC577">
        <v>0.49279999999998803</v>
      </c>
      <c r="AD577">
        <v>-0.205956099999999</v>
      </c>
      <c r="AE577">
        <v>-0.15739999999999499</v>
      </c>
      <c r="AF577">
        <v>0.137492969392979</v>
      </c>
      <c r="AG577">
        <v>-0.205956099999999</v>
      </c>
      <c r="AH577">
        <v>0.42485570885458002</v>
      </c>
      <c r="AI577">
        <v>114.759929209657</v>
      </c>
      <c r="AJ577">
        <v>72.067239635822702</v>
      </c>
      <c r="AK577">
        <v>0.49175665232514798</v>
      </c>
      <c r="AL577">
        <v>80.770646434893706</v>
      </c>
      <c r="AM577">
        <v>89.465369699752998</v>
      </c>
      <c r="AN577">
        <v>1.00000004523853</v>
      </c>
    </row>
    <row r="578" spans="1:40" x14ac:dyDescent="0.25">
      <c r="A578" t="str">
        <f>"20190312172342364"</f>
        <v>20190312172342364</v>
      </c>
      <c r="B578" t="str">
        <f>"1552382622360340"</f>
        <v>1552382622360340</v>
      </c>
      <c r="C578" t="s">
        <v>40</v>
      </c>
      <c r="D578">
        <v>3.6533660000000001</v>
      </c>
      <c r="E578">
        <v>0.56781040000000005</v>
      </c>
      <c r="F578" t="s">
        <v>41</v>
      </c>
      <c r="G578">
        <v>-338.21850000000001</v>
      </c>
      <c r="H578">
        <v>0.91038989999999997</v>
      </c>
      <c r="I578">
        <v>366.96859999999998</v>
      </c>
      <c r="J578">
        <v>-338.8424</v>
      </c>
      <c r="K578">
        <v>1.109861</v>
      </c>
      <c r="L578">
        <v>367.12110000000001</v>
      </c>
      <c r="M578">
        <v>0.99992420000000004</v>
      </c>
      <c r="N578">
        <v>0</v>
      </c>
      <c r="O578">
        <v>3.8362040000000002E-3</v>
      </c>
      <c r="P578">
        <v>0.98882820000000005</v>
      </c>
      <c r="Q578">
        <v>0.14896589999999901</v>
      </c>
      <c r="R578">
        <v>-5.2930769999999898E-3</v>
      </c>
      <c r="S578">
        <v>3.1426699999999999</v>
      </c>
      <c r="T578">
        <v>-0.74373109999999998</v>
      </c>
      <c r="U578">
        <v>-0.56500240000000002</v>
      </c>
      <c r="V578">
        <v>9.0862400000000006E-3</v>
      </c>
      <c r="W578">
        <v>0.16053509999999999</v>
      </c>
      <c r="X578">
        <v>0.98698830000000004</v>
      </c>
      <c r="Y578">
        <v>0.1759096</v>
      </c>
      <c r="Z578">
        <v>-2.126341E-2</v>
      </c>
      <c r="AA578">
        <v>0.98417659999999996</v>
      </c>
      <c r="AB578">
        <v>39</v>
      </c>
      <c r="AC578">
        <v>0.62389999999999102</v>
      </c>
      <c r="AD578">
        <v>-0.19947110000000001</v>
      </c>
      <c r="AE578">
        <v>-0.152500000000031</v>
      </c>
      <c r="AF578">
        <v>0.14126648346411</v>
      </c>
      <c r="AG578">
        <v>-0.19947110000000001</v>
      </c>
      <c r="AH578">
        <v>0.56847742633854703</v>
      </c>
      <c r="AI578">
        <v>108.805241427236</v>
      </c>
      <c r="AJ578">
        <v>76.044688098048795</v>
      </c>
      <c r="AK578">
        <v>0.61879845130868205</v>
      </c>
      <c r="AL578">
        <v>80.762043224989597</v>
      </c>
      <c r="AM578">
        <v>89.472548461626701</v>
      </c>
      <c r="AN578">
        <v>0.999999991213118</v>
      </c>
    </row>
    <row r="579" spans="1:40" x14ac:dyDescent="0.25">
      <c r="A579" t="str">
        <f>"20190312172342375"</f>
        <v>20190312172342375</v>
      </c>
      <c r="B579" t="str">
        <f>"1552382622370100"</f>
        <v>1552382622370100</v>
      </c>
      <c r="C579" t="s">
        <v>40</v>
      </c>
      <c r="D579">
        <v>3.7417410000000002</v>
      </c>
      <c r="E579">
        <v>0.56780830000000004</v>
      </c>
      <c r="F579" t="s">
        <v>41</v>
      </c>
      <c r="G579">
        <v>-337.88150000000002</v>
      </c>
      <c r="H579">
        <v>0.88278480000000004</v>
      </c>
      <c r="I579">
        <v>366.94819999999999</v>
      </c>
      <c r="J579">
        <v>-338.63229999999999</v>
      </c>
      <c r="K579">
        <v>1.1098629999999901</v>
      </c>
      <c r="L579">
        <v>367.12189999999998</v>
      </c>
      <c r="M579">
        <v>0.99992409999999998</v>
      </c>
      <c r="N579">
        <v>0</v>
      </c>
      <c r="O579">
        <v>3.8449019999999999E-3</v>
      </c>
      <c r="P579">
        <v>0.98883589999999999</v>
      </c>
      <c r="Q579">
        <v>0.14891750000000001</v>
      </c>
      <c r="R579">
        <v>-5.2200629999999996E-3</v>
      </c>
      <c r="S579">
        <v>3.1427309999999999</v>
      </c>
      <c r="T579">
        <v>-0.74267729999999998</v>
      </c>
      <c r="U579">
        <v>-0.56497189999999997</v>
      </c>
      <c r="V579">
        <v>9.0219940000000002E-3</v>
      </c>
      <c r="W579">
        <v>0.16048709999999999</v>
      </c>
      <c r="X579">
        <v>0.98699669999999895</v>
      </c>
      <c r="Y579">
        <v>0.17591879999999999</v>
      </c>
      <c r="Z579">
        <v>-2.1236769999999999E-2</v>
      </c>
      <c r="AA579">
        <v>0.98417560000000004</v>
      </c>
      <c r="AB579">
        <v>39</v>
      </c>
      <c r="AC579">
        <v>0.75079999999996905</v>
      </c>
      <c r="AD579">
        <v>-0.22707819999999901</v>
      </c>
      <c r="AE579">
        <v>-0.173699999999996</v>
      </c>
      <c r="AF579">
        <v>0.16247808405729799</v>
      </c>
      <c r="AG579">
        <v>-0.22707819999999901</v>
      </c>
      <c r="AH579">
        <v>0.69019828405452199</v>
      </c>
      <c r="AI579">
        <v>107.75768011136201</v>
      </c>
      <c r="AJ579">
        <v>76.753306492378698</v>
      </c>
      <c r="AK579">
        <v>0.74453831870896803</v>
      </c>
      <c r="AL579">
        <v>80.764829591867596</v>
      </c>
      <c r="AM579">
        <v>89.476282157245905</v>
      </c>
      <c r="AN579">
        <v>0.99999999572651699</v>
      </c>
    </row>
    <row r="580" spans="1:40" x14ac:dyDescent="0.25">
      <c r="A580" t="str">
        <f>"20190312172342387"</f>
        <v>20190312172342387</v>
      </c>
      <c r="B580" t="str">
        <f>"1552382622380836"</f>
        <v>1552382622380836</v>
      </c>
      <c r="C580" t="s">
        <v>40</v>
      </c>
      <c r="D580">
        <v>3.6972269999999998</v>
      </c>
      <c r="E580">
        <v>0.56777860000000002</v>
      </c>
      <c r="F580" t="s">
        <v>41</v>
      </c>
      <c r="G580">
        <v>-337.8639</v>
      </c>
      <c r="H580">
        <v>0.92835160000000005</v>
      </c>
      <c r="I580">
        <v>366.98360000000002</v>
      </c>
      <c r="J580">
        <v>-338.44159999999999</v>
      </c>
      <c r="K580">
        <v>1.1098629999999901</v>
      </c>
      <c r="L580">
        <v>367.12259999999998</v>
      </c>
      <c r="M580">
        <v>0.99992409999999998</v>
      </c>
      <c r="N580">
        <v>0</v>
      </c>
      <c r="O580">
        <v>3.8526469999999998E-3</v>
      </c>
      <c r="P580">
        <v>0.9887859</v>
      </c>
      <c r="Q580">
        <v>0.14924780000000001</v>
      </c>
      <c r="R580">
        <v>-5.2533170000000004E-3</v>
      </c>
      <c r="S580">
        <v>3.1426699999999999</v>
      </c>
      <c r="T580">
        <v>-0.74237449999999905</v>
      </c>
      <c r="U580">
        <v>-0.5652161</v>
      </c>
      <c r="V580">
        <v>9.0625859999999992E-3</v>
      </c>
      <c r="W580">
        <v>0.16081699999999999</v>
      </c>
      <c r="X580">
        <v>0.9869426</v>
      </c>
      <c r="Y580">
        <v>0.17600499999999999</v>
      </c>
      <c r="Z580">
        <v>-2.1240350000000002E-2</v>
      </c>
      <c r="AA580">
        <v>0.98416009999999998</v>
      </c>
      <c r="AB580">
        <v>39</v>
      </c>
      <c r="AC580">
        <v>0.577699999999992</v>
      </c>
      <c r="AD580">
        <v>-0.18151139999999899</v>
      </c>
      <c r="AE580">
        <v>-0.13899999999995299</v>
      </c>
      <c r="AF580">
        <v>0.129170933359572</v>
      </c>
      <c r="AG580">
        <v>-0.18151139999999899</v>
      </c>
      <c r="AH580">
        <v>0.52789820868760295</v>
      </c>
      <c r="AI580">
        <v>108.468541966315</v>
      </c>
      <c r="AJ580">
        <v>76.250505517288502</v>
      </c>
      <c r="AK580">
        <v>0.57298170746588695</v>
      </c>
      <c r="AL580">
        <v>80.745678698748094</v>
      </c>
      <c r="AM580">
        <v>89.4738971283398</v>
      </c>
      <c r="AN580">
        <v>0.99999996682438297</v>
      </c>
    </row>
    <row r="581" spans="1:40" x14ac:dyDescent="0.25">
      <c r="A581" t="str">
        <f>"20190312172342398"</f>
        <v>20190312172342398</v>
      </c>
      <c r="B581" t="str">
        <f>"1552382622390596"</f>
        <v>1552382622390596</v>
      </c>
      <c r="C581" t="s">
        <v>40</v>
      </c>
      <c r="D581">
        <v>3.714683</v>
      </c>
      <c r="E581">
        <v>0.56784000000000001</v>
      </c>
      <c r="F581" t="s">
        <v>41</v>
      </c>
      <c r="G581">
        <v>-337.52910000000003</v>
      </c>
      <c r="H581">
        <v>0.89478080000000004</v>
      </c>
      <c r="I581">
        <v>366.95819999999998</v>
      </c>
      <c r="J581">
        <v>-338.23869999999999</v>
      </c>
      <c r="K581">
        <v>1.109858</v>
      </c>
      <c r="L581">
        <v>367.1234</v>
      </c>
      <c r="M581">
        <v>0.99992409999999998</v>
      </c>
      <c r="N581">
        <v>0</v>
      </c>
      <c r="O581">
        <v>3.860928E-3</v>
      </c>
      <c r="P581">
        <v>0.98878820000000001</v>
      </c>
      <c r="Q581">
        <v>0.14923449999999999</v>
      </c>
      <c r="R581">
        <v>-5.2168989999999997E-3</v>
      </c>
      <c r="S581">
        <v>3.1428219999999998</v>
      </c>
      <c r="T581">
        <v>-0.74086249999999998</v>
      </c>
      <c r="U581">
        <v>-0.56500240000000002</v>
      </c>
      <c r="V581">
        <v>9.0343219999999991E-3</v>
      </c>
      <c r="W581">
        <v>0.16080529999999901</v>
      </c>
      <c r="X581">
        <v>0.98694479999999996</v>
      </c>
      <c r="Y581">
        <v>0.17596059999999999</v>
      </c>
      <c r="Z581">
        <v>-2.1194149999999998E-2</v>
      </c>
      <c r="AA581">
        <v>0.98416899999999996</v>
      </c>
      <c r="AB581">
        <v>39</v>
      </c>
      <c r="AC581">
        <v>0.70959999999996604</v>
      </c>
      <c r="AD581">
        <v>-0.2150772</v>
      </c>
      <c r="AE581">
        <v>-0.16520000000002699</v>
      </c>
      <c r="AF581">
        <v>0.154476893925624</v>
      </c>
      <c r="AG581">
        <v>-0.2150772</v>
      </c>
      <c r="AH581">
        <v>0.65212765117749705</v>
      </c>
      <c r="AI581">
        <v>107.79285176640199</v>
      </c>
      <c r="AJ581">
        <v>76.673338337658194</v>
      </c>
      <c r="AK581">
        <v>0.70384073919248802</v>
      </c>
      <c r="AL581">
        <v>80.7463582168145</v>
      </c>
      <c r="AM581">
        <v>89.475538992368598</v>
      </c>
      <c r="AN581">
        <v>1.00000000086456</v>
      </c>
    </row>
    <row r="582" spans="1:40" x14ac:dyDescent="0.25">
      <c r="A582" t="str">
        <f>"20190312172342410"</f>
        <v>20190312172342410</v>
      </c>
      <c r="B582" t="str">
        <f>"1552382622400356"</f>
        <v>1552382622400356</v>
      </c>
      <c r="C582" t="s">
        <v>40</v>
      </c>
      <c r="D582">
        <v>3.6691590000000001</v>
      </c>
      <c r="E582">
        <v>0.56786449999999999</v>
      </c>
      <c r="F582" t="s">
        <v>41</v>
      </c>
      <c r="G582">
        <v>-337.51179999999999</v>
      </c>
      <c r="H582">
        <v>0.93845919999999905</v>
      </c>
      <c r="I582">
        <v>366.99220000000003</v>
      </c>
      <c r="J582">
        <v>-338.03960000000001</v>
      </c>
      <c r="K582">
        <v>1.109858</v>
      </c>
      <c r="L582">
        <v>367.12419999999997</v>
      </c>
      <c r="M582">
        <v>0.99992409999999998</v>
      </c>
      <c r="N582">
        <v>0</v>
      </c>
      <c r="O582">
        <v>3.8686739999999999E-3</v>
      </c>
      <c r="P582">
        <v>0.98874280000000003</v>
      </c>
      <c r="Q582">
        <v>0.14954890000000001</v>
      </c>
      <c r="R582">
        <v>-4.809369E-3</v>
      </c>
      <c r="S582">
        <v>3.1428829999999999</v>
      </c>
      <c r="T582">
        <v>-0.74111249999999995</v>
      </c>
      <c r="U582">
        <v>-0.5656738</v>
      </c>
      <c r="V582">
        <v>8.6341739999999997E-3</v>
      </c>
      <c r="W582">
        <v>0.1611196</v>
      </c>
      <c r="X582">
        <v>0.98689709999999997</v>
      </c>
      <c r="Y582">
        <v>0.17616029999999999</v>
      </c>
      <c r="Z582">
        <v>-2.1225170000000002E-2</v>
      </c>
      <c r="AA582">
        <v>0.98413260000000002</v>
      </c>
      <c r="AB582">
        <v>39</v>
      </c>
      <c r="AC582">
        <v>0.52780000000001304</v>
      </c>
      <c r="AD582">
        <v>-0.17139879999999999</v>
      </c>
      <c r="AE582">
        <v>-0.13199999999994799</v>
      </c>
      <c r="AF582">
        <v>0.121938680596984</v>
      </c>
      <c r="AG582">
        <v>-0.17139879999999999</v>
      </c>
      <c r="AH582">
        <v>0.47967757383368298</v>
      </c>
      <c r="AI582">
        <v>109.101297565621</v>
      </c>
      <c r="AJ582">
        <v>75.736973723589699</v>
      </c>
      <c r="AK582">
        <v>0.52377205472050703</v>
      </c>
      <c r="AL582">
        <v>80.728112042296203</v>
      </c>
      <c r="AM582">
        <v>89.498742970672197</v>
      </c>
      <c r="AN582">
        <v>0.99999998022661596</v>
      </c>
    </row>
    <row r="583" spans="1:40" x14ac:dyDescent="0.25">
      <c r="A583" t="str">
        <f>"20190312172342421"</f>
        <v>20190312172342421</v>
      </c>
      <c r="B583" t="str">
        <f>"1552382622410116"</f>
        <v>1552382622410116</v>
      </c>
      <c r="C583" t="s">
        <v>40</v>
      </c>
      <c r="D583">
        <v>3.9238170000000001</v>
      </c>
      <c r="E583">
        <v>0.5678569</v>
      </c>
      <c r="F583" t="s">
        <v>41</v>
      </c>
      <c r="G583">
        <v>-337.17669999999998</v>
      </c>
      <c r="H583">
        <v>0.90675799999999995</v>
      </c>
      <c r="I583">
        <v>366.96929999999998</v>
      </c>
      <c r="J583">
        <v>-337.83659999999998</v>
      </c>
      <c r="K583">
        <v>1.1098589999999999</v>
      </c>
      <c r="L583">
        <v>367.125</v>
      </c>
      <c r="M583">
        <v>0.99992389999999998</v>
      </c>
      <c r="N583">
        <v>0</v>
      </c>
      <c r="O583">
        <v>3.8767179999999999E-3</v>
      </c>
      <c r="P583">
        <v>0.98873370000000005</v>
      </c>
      <c r="Q583">
        <v>0.1496082</v>
      </c>
      <c r="R583">
        <v>-4.8113740000000002E-3</v>
      </c>
      <c r="S583">
        <v>3.1432799999999999</v>
      </c>
      <c r="T583">
        <v>-0.73980619999999997</v>
      </c>
      <c r="U583">
        <v>-0.56433109999999997</v>
      </c>
      <c r="V583">
        <v>8.6440700000000002E-3</v>
      </c>
      <c r="W583">
        <v>0.1611794</v>
      </c>
      <c r="X583">
        <v>0.98688730000000002</v>
      </c>
      <c r="Y583">
        <v>0.175766899999999</v>
      </c>
      <c r="Z583">
        <v>-2.1143450000000001E-2</v>
      </c>
      <c r="AA583">
        <v>0.98420469999999904</v>
      </c>
      <c r="AB583">
        <v>39</v>
      </c>
      <c r="AC583">
        <v>0.65989999999999305</v>
      </c>
      <c r="AD583">
        <v>-0.203101</v>
      </c>
      <c r="AE583">
        <v>-0.15570000000002401</v>
      </c>
      <c r="AF583">
        <v>0.14522605647997</v>
      </c>
      <c r="AG583">
        <v>-0.203101</v>
      </c>
      <c r="AH583">
        <v>0.60500412034350703</v>
      </c>
      <c r="AI583">
        <v>108.07819160407099</v>
      </c>
      <c r="AJ583">
        <v>76.502022054449</v>
      </c>
      <c r="AK583">
        <v>0.65450027449523995</v>
      </c>
      <c r="AL583">
        <v>80.724640854321294</v>
      </c>
      <c r="AM583">
        <v>89.498163504652197</v>
      </c>
      <c r="AN583">
        <v>1.0000000309159001</v>
      </c>
    </row>
    <row r="584" spans="1:40" x14ac:dyDescent="0.25">
      <c r="A584" t="str">
        <f>"20190312172342433"</f>
        <v>20190312172342433</v>
      </c>
      <c r="B584" t="str">
        <f>"1552382622430614"</f>
        <v>1552382622430614</v>
      </c>
      <c r="C584" t="s">
        <v>40</v>
      </c>
      <c r="D584">
        <v>3.706385</v>
      </c>
      <c r="E584">
        <v>0.56784040000000002</v>
      </c>
      <c r="F584" t="s">
        <v>41</v>
      </c>
      <c r="G584">
        <v>-336.84070000000003</v>
      </c>
      <c r="H584">
        <v>0.87566719999999898</v>
      </c>
      <c r="I584">
        <v>366.94560000000001</v>
      </c>
      <c r="J584">
        <v>-337.63470000000001</v>
      </c>
      <c r="K584">
        <v>1.1098650000000001</v>
      </c>
      <c r="L584">
        <v>367.12580000000003</v>
      </c>
      <c r="M584">
        <v>0.99992380000000003</v>
      </c>
      <c r="N584">
        <v>0</v>
      </c>
      <c r="O584">
        <v>3.8851160000000001E-3</v>
      </c>
      <c r="P584">
        <v>0.9887148</v>
      </c>
      <c r="Q584">
        <v>0.14974309999999999</v>
      </c>
      <c r="R584">
        <v>-4.4798679999999997E-3</v>
      </c>
      <c r="S584">
        <v>3.1432799999999999</v>
      </c>
      <c r="T584">
        <v>-0.73918709999999999</v>
      </c>
      <c r="U584">
        <v>-0.56515499999999996</v>
      </c>
      <c r="V584">
        <v>8.3209249999999998E-3</v>
      </c>
      <c r="W584">
        <v>0.16131499999999999</v>
      </c>
      <c r="X584">
        <v>0.98686790000000002</v>
      </c>
      <c r="Y584">
        <v>0.17602609999999999</v>
      </c>
      <c r="Z584">
        <v>-2.1157530000000001E-2</v>
      </c>
      <c r="AA584">
        <v>0.98415810000000004</v>
      </c>
      <c r="AB584">
        <v>39</v>
      </c>
      <c r="AC584">
        <v>0.79399999999998205</v>
      </c>
      <c r="AD584">
        <v>-0.23419780000000001</v>
      </c>
      <c r="AE584">
        <v>-0.18020000000001299</v>
      </c>
      <c r="AF584">
        <v>0.16927769944895699</v>
      </c>
      <c r="AG584">
        <v>-0.23419780000000001</v>
      </c>
      <c r="AH584">
        <v>0.73267294530256299</v>
      </c>
      <c r="AI584">
        <v>107.298891837879</v>
      </c>
      <c r="AJ584">
        <v>76.990584615715306</v>
      </c>
      <c r="AK584">
        <v>0.78759964057502196</v>
      </c>
      <c r="AL584">
        <v>80.716768329763397</v>
      </c>
      <c r="AM584">
        <v>89.516913472699102</v>
      </c>
      <c r="AN584">
        <v>1.0000000095341299</v>
      </c>
    </row>
    <row r="585" spans="1:40" x14ac:dyDescent="0.25">
      <c r="A585" t="str">
        <f>"20190312172342445"</f>
        <v>20190312172342445</v>
      </c>
      <c r="B585" t="str">
        <f>"1552382622440373"</f>
        <v>1552382622440373</v>
      </c>
      <c r="C585" t="s">
        <v>40</v>
      </c>
      <c r="D585">
        <v>3.6987809999999999</v>
      </c>
      <c r="E585">
        <v>0.56787549999999998</v>
      </c>
      <c r="F585" t="s">
        <v>41</v>
      </c>
      <c r="G585">
        <v>-336.82380000000001</v>
      </c>
      <c r="H585">
        <v>0.9194291</v>
      </c>
      <c r="I585">
        <v>366.98020000000002</v>
      </c>
      <c r="J585">
        <v>-337.43450000000001</v>
      </c>
      <c r="K585">
        <v>1.1098650000000001</v>
      </c>
      <c r="L585">
        <v>367.1266</v>
      </c>
      <c r="M585">
        <v>0.99992380000000003</v>
      </c>
      <c r="N585">
        <v>0</v>
      </c>
      <c r="O585">
        <v>3.8933349999999999E-3</v>
      </c>
      <c r="P585">
        <v>0.98869030000000002</v>
      </c>
      <c r="Q585">
        <v>0.14991170000000001</v>
      </c>
      <c r="R585">
        <v>-4.257317E-3</v>
      </c>
      <c r="S585">
        <v>3.1434630000000001</v>
      </c>
      <c r="T585">
        <v>-0.73831440000000004</v>
      </c>
      <c r="U585">
        <v>-0.56338500000000002</v>
      </c>
      <c r="V585">
        <v>8.1064369999999993E-3</v>
      </c>
      <c r="W585">
        <v>0.1614844</v>
      </c>
      <c r="X585">
        <v>0.986842</v>
      </c>
      <c r="Y585">
        <v>0.17551169999999999</v>
      </c>
      <c r="Z585">
        <v>-2.1075759999999999E-2</v>
      </c>
      <c r="AA585">
        <v>0.98425169999999995</v>
      </c>
      <c r="AB585">
        <v>39</v>
      </c>
      <c r="AC585">
        <v>0.61070000000000801</v>
      </c>
      <c r="AD585">
        <v>-0.19043589999999999</v>
      </c>
      <c r="AE585">
        <v>-0.146399999999971</v>
      </c>
      <c r="AF585">
        <v>0.13624804677025201</v>
      </c>
      <c r="AG585">
        <v>-0.19043589999999999</v>
      </c>
      <c r="AH585">
        <v>0.55874595648883496</v>
      </c>
      <c r="AI585">
        <v>108.32099744468999</v>
      </c>
      <c r="AJ585">
        <v>76.296083417279604</v>
      </c>
      <c r="AK585">
        <v>0.605827043099053</v>
      </c>
      <c r="AL585">
        <v>80.706933667200403</v>
      </c>
      <c r="AM585">
        <v>89.529353047091902</v>
      </c>
      <c r="AN585">
        <v>1.00000002936409</v>
      </c>
    </row>
    <row r="586" spans="1:40" x14ac:dyDescent="0.25">
      <c r="A586" t="str">
        <f>"20190312172342457"</f>
        <v>20190312172342457</v>
      </c>
      <c r="B586" t="str">
        <f>"1552382622450133"</f>
        <v>1552382622450133</v>
      </c>
      <c r="C586" t="s">
        <v>40</v>
      </c>
      <c r="D586">
        <v>3.6779459999999999</v>
      </c>
      <c r="E586">
        <v>0.56791049999999998</v>
      </c>
      <c r="F586" t="s">
        <v>41</v>
      </c>
      <c r="G586">
        <v>-336.488</v>
      </c>
      <c r="H586">
        <v>0.88784529999999995</v>
      </c>
      <c r="I586">
        <v>366.95699999999999</v>
      </c>
      <c r="J586">
        <v>-337.21100000000001</v>
      </c>
      <c r="K586">
        <v>1.1098650000000001</v>
      </c>
      <c r="L586">
        <v>367.1275</v>
      </c>
      <c r="M586">
        <v>0.99992380000000003</v>
      </c>
      <c r="N586">
        <v>0</v>
      </c>
      <c r="O586">
        <v>3.9028040000000002E-3</v>
      </c>
      <c r="P586">
        <v>0.98864589999999997</v>
      </c>
      <c r="Q586">
        <v>0.15020610000000001</v>
      </c>
      <c r="R586">
        <v>-4.1976380000000001E-3</v>
      </c>
      <c r="S586">
        <v>3.143707</v>
      </c>
      <c r="T586">
        <v>-0.73743579999999997</v>
      </c>
      <c r="U586">
        <v>-0.56311040000000001</v>
      </c>
      <c r="V586">
        <v>8.0560049999999998E-3</v>
      </c>
      <c r="W586">
        <v>0.1617789</v>
      </c>
      <c r="X586">
        <v>0.98679410000000001</v>
      </c>
      <c r="Y586">
        <v>0.1754378</v>
      </c>
      <c r="Z586">
        <v>-2.1043610000000001E-2</v>
      </c>
      <c r="AA586">
        <v>0.98426559999999996</v>
      </c>
      <c r="AB586">
        <v>39</v>
      </c>
      <c r="AC586">
        <v>0.72299999999995601</v>
      </c>
      <c r="AD586">
        <v>-0.22201969999999899</v>
      </c>
      <c r="AE586">
        <v>-0.17050000000000401</v>
      </c>
      <c r="AF586">
        <v>0.15910740743083701</v>
      </c>
      <c r="AG586">
        <v>-0.22201969999999899</v>
      </c>
      <c r="AH586">
        <v>0.66309419007333203</v>
      </c>
      <c r="AI586">
        <v>108.03433288986599</v>
      </c>
      <c r="AJ586">
        <v>76.507142471597902</v>
      </c>
      <c r="AK586">
        <v>0.71714839412527498</v>
      </c>
      <c r="AL586">
        <v>80.689834525761498</v>
      </c>
      <c r="AM586">
        <v>89.532258216468804</v>
      </c>
      <c r="AN586">
        <v>0.99999995374828898</v>
      </c>
    </row>
    <row r="587" spans="1:40" x14ac:dyDescent="0.25">
      <c r="A587" t="str">
        <f>"20190312172342473"</f>
        <v>20190312172342473</v>
      </c>
      <c r="B587" t="str">
        <f>"1552382622470628"</f>
        <v>1552382622470628</v>
      </c>
      <c r="C587" t="s">
        <v>40</v>
      </c>
      <c r="D587">
        <v>3.6541440000000001</v>
      </c>
      <c r="E587">
        <v>0.56793450000000001</v>
      </c>
      <c r="F587" t="s">
        <v>41</v>
      </c>
      <c r="G587">
        <v>-336.46910000000003</v>
      </c>
      <c r="H587">
        <v>0.93608749999999996</v>
      </c>
      <c r="I587">
        <v>366.99459999999999</v>
      </c>
      <c r="J587">
        <v>-336.93549999999999</v>
      </c>
      <c r="K587">
        <v>1.1098669999999999</v>
      </c>
      <c r="L587">
        <v>367.12860000000001</v>
      </c>
      <c r="M587">
        <v>0.99992380000000003</v>
      </c>
      <c r="N587">
        <v>0</v>
      </c>
      <c r="O587">
        <v>3.9142409999999997E-3</v>
      </c>
      <c r="P587">
        <v>0.98860879999999995</v>
      </c>
      <c r="Q587">
        <v>0.1504585</v>
      </c>
      <c r="R587">
        <v>-3.927547E-3</v>
      </c>
      <c r="S587">
        <v>3.1439210000000002</v>
      </c>
      <c r="T587">
        <v>-0.73639429999999995</v>
      </c>
      <c r="U587">
        <v>-0.5629883</v>
      </c>
      <c r="V587">
        <v>7.7970299999999999E-3</v>
      </c>
      <c r="W587">
        <v>0.1620316</v>
      </c>
      <c r="X587">
        <v>0.98675480000000004</v>
      </c>
      <c r="Y587">
        <v>0.1754145</v>
      </c>
      <c r="Z587">
        <v>-2.1013299999999999E-2</v>
      </c>
      <c r="AA587">
        <v>0.98427039999999999</v>
      </c>
      <c r="AB587">
        <v>39</v>
      </c>
      <c r="AC587">
        <v>0.46639999999996401</v>
      </c>
      <c r="AD587">
        <v>-0.173779499999999</v>
      </c>
      <c r="AE587">
        <v>-0.134000000000014</v>
      </c>
      <c r="AF587">
        <v>0.12038602661645</v>
      </c>
      <c r="AG587">
        <v>-0.173779499999999</v>
      </c>
      <c r="AH587">
        <v>0.41291800853427002</v>
      </c>
      <c r="AI587">
        <v>112.00046165074301</v>
      </c>
      <c r="AJ587">
        <v>73.745983905273306</v>
      </c>
      <c r="AK587">
        <v>0.46388941763814201</v>
      </c>
      <c r="AL587">
        <v>80.675163057620097</v>
      </c>
      <c r="AM587">
        <v>89.547275965120306</v>
      </c>
      <c r="AN587">
        <v>1.0000000341992099</v>
      </c>
    </row>
    <row r="588" spans="1:40" x14ac:dyDescent="0.25">
      <c r="A588" t="str">
        <f>"20190312172342487"</f>
        <v>20190312172342487</v>
      </c>
      <c r="B588" t="str">
        <f>"1552382622480389"</f>
        <v>1552382622480389</v>
      </c>
      <c r="C588" t="s">
        <v>40</v>
      </c>
      <c r="D588">
        <v>3.662928</v>
      </c>
      <c r="E588">
        <v>0.56796259999999998</v>
      </c>
      <c r="F588" t="s">
        <v>41</v>
      </c>
      <c r="G588">
        <v>-336.12709999999998</v>
      </c>
      <c r="H588">
        <v>0.92078709999999997</v>
      </c>
      <c r="I588">
        <v>366.98390000000001</v>
      </c>
      <c r="J588">
        <v>-336.70190000000002</v>
      </c>
      <c r="K588">
        <v>1.1098699999999999</v>
      </c>
      <c r="L588">
        <v>367.12950000000001</v>
      </c>
      <c r="M588">
        <v>0.99992369999999997</v>
      </c>
      <c r="N588">
        <v>0</v>
      </c>
      <c r="O588">
        <v>3.9239449999999999E-3</v>
      </c>
      <c r="P588">
        <v>0.98864470000000004</v>
      </c>
      <c r="Q588">
        <v>0.1502242</v>
      </c>
      <c r="R588">
        <v>-3.8084439999999998E-3</v>
      </c>
      <c r="S588">
        <v>3.1442570000000001</v>
      </c>
      <c r="T588">
        <v>-0.73547489999999904</v>
      </c>
      <c r="U588">
        <v>-0.5625</v>
      </c>
      <c r="V588">
        <v>7.687831E-3</v>
      </c>
      <c r="W588">
        <v>0.16179969999999999</v>
      </c>
      <c r="X588">
        <v>0.9867937</v>
      </c>
      <c r="Y588">
        <v>0.1752735</v>
      </c>
      <c r="Z588">
        <v>-2.097195E-2</v>
      </c>
      <c r="AA588">
        <v>0.98429639999999996</v>
      </c>
      <c r="AB588">
        <v>39</v>
      </c>
      <c r="AC588">
        <v>0.57480000000003795</v>
      </c>
      <c r="AD588">
        <v>-0.1890829</v>
      </c>
      <c r="AE588">
        <v>-0.14560000000000101</v>
      </c>
      <c r="AF588">
        <v>0.134207454189117</v>
      </c>
      <c r="AG588">
        <v>-0.1890829</v>
      </c>
      <c r="AH588">
        <v>0.52122296029543302</v>
      </c>
      <c r="AI588">
        <v>109.35683272027001</v>
      </c>
      <c r="AJ588">
        <v>75.5608037368997</v>
      </c>
      <c r="AK588">
        <v>0.57047117207749298</v>
      </c>
      <c r="AL588">
        <v>80.688627541793096</v>
      </c>
      <c r="AM588">
        <v>89.553633795449599</v>
      </c>
      <c r="AN588">
        <v>1.00000002601263</v>
      </c>
    </row>
    <row r="589" spans="1:40" x14ac:dyDescent="0.25">
      <c r="A589" t="str">
        <f>"20190312172342498"</f>
        <v>20190312172342498</v>
      </c>
      <c r="B589" t="str">
        <f>"1552382622490737"</f>
        <v>1552382622490737</v>
      </c>
      <c r="C589" t="s">
        <v>40</v>
      </c>
      <c r="D589">
        <v>3.698474</v>
      </c>
      <c r="E589">
        <v>0.5679575</v>
      </c>
      <c r="F589" t="s">
        <v>41</v>
      </c>
      <c r="G589">
        <v>-335.7885</v>
      </c>
      <c r="H589">
        <v>0.89600360000000001</v>
      </c>
      <c r="I589">
        <v>366.96589999999998</v>
      </c>
      <c r="J589">
        <v>-336.4948</v>
      </c>
      <c r="K589">
        <v>1.109872</v>
      </c>
      <c r="L589">
        <v>367.13029999999998</v>
      </c>
      <c r="M589">
        <v>0.99992360000000002</v>
      </c>
      <c r="N589">
        <v>0</v>
      </c>
      <c r="O589">
        <v>3.9325109999999996E-3</v>
      </c>
      <c r="P589">
        <v>0.9885777</v>
      </c>
      <c r="Q589">
        <v>0.15066689999999999</v>
      </c>
      <c r="R589">
        <v>-3.699843E-3</v>
      </c>
      <c r="S589">
        <v>3.1441650000000001</v>
      </c>
      <c r="T589">
        <v>-0.73623039999999995</v>
      </c>
      <c r="U589">
        <v>-0.56283570000000005</v>
      </c>
      <c r="V589">
        <v>7.5873959999999997E-3</v>
      </c>
      <c r="W589">
        <v>0.16224430000000001</v>
      </c>
      <c r="X589">
        <v>0.98672150000000003</v>
      </c>
      <c r="Y589">
        <v>0.17537620000000001</v>
      </c>
      <c r="Z589">
        <v>-2.1007069999999999E-2</v>
      </c>
      <c r="AA589">
        <v>0.98427739999999997</v>
      </c>
      <c r="AB589">
        <v>39</v>
      </c>
      <c r="AC589">
        <v>0.70629999999999804</v>
      </c>
      <c r="AD589">
        <v>-0.21386839999999999</v>
      </c>
      <c r="AE589">
        <v>-0.16439999999999999</v>
      </c>
      <c r="AF589">
        <v>0.15379954185418601</v>
      </c>
      <c r="AG589">
        <v>-0.21386839999999999</v>
      </c>
      <c r="AH589">
        <v>0.64918435668883401</v>
      </c>
      <c r="AI589">
        <v>107.774198401588</v>
      </c>
      <c r="AJ589">
        <v>76.671678708101297</v>
      </c>
      <c r="AK589">
        <v>0.70059568979734199</v>
      </c>
      <c r="AL589">
        <v>80.662812977701506</v>
      </c>
      <c r="AM589">
        <v>89.559432727084996</v>
      </c>
      <c r="AN589">
        <v>1.0000000500113899</v>
      </c>
    </row>
    <row r="590" spans="1:40" x14ac:dyDescent="0.25">
      <c r="A590" t="str">
        <f>"20190312172342511"</f>
        <v>20190312172342511</v>
      </c>
      <c r="B590" t="str">
        <f>"1552382622500498"</f>
        <v>1552382622500498</v>
      </c>
      <c r="C590" t="s">
        <v>40</v>
      </c>
      <c r="D590">
        <v>3.6883210000000002</v>
      </c>
      <c r="E590">
        <v>0.5679514</v>
      </c>
      <c r="F590" t="s">
        <v>41</v>
      </c>
      <c r="G590">
        <v>-335.77080000000001</v>
      </c>
      <c r="H590">
        <v>0.9407259</v>
      </c>
      <c r="I590">
        <v>367.00069999999999</v>
      </c>
      <c r="J590">
        <v>-336.28440000000001</v>
      </c>
      <c r="K590">
        <v>1.109872</v>
      </c>
      <c r="L590">
        <v>367.1311</v>
      </c>
      <c r="M590">
        <v>0.99992349999999997</v>
      </c>
      <c r="N590">
        <v>0</v>
      </c>
      <c r="O590">
        <v>3.9407729999999998E-3</v>
      </c>
      <c r="P590">
        <v>0.988564</v>
      </c>
      <c r="Q590">
        <v>0.15075669999999999</v>
      </c>
      <c r="R590">
        <v>-3.7012669999999998E-3</v>
      </c>
      <c r="S590">
        <v>3.1444700000000001</v>
      </c>
      <c r="T590">
        <v>-0.73457939999999999</v>
      </c>
      <c r="U590">
        <v>-0.56216429999999995</v>
      </c>
      <c r="V590">
        <v>7.5967550000000002E-3</v>
      </c>
      <c r="W590">
        <v>0.16233839999999999</v>
      </c>
      <c r="X590">
        <v>0.98670590000000002</v>
      </c>
      <c r="Y590">
        <v>0.17519019999999999</v>
      </c>
      <c r="Z590">
        <v>-2.0940210000000001E-2</v>
      </c>
      <c r="AA590">
        <v>0.98431190000000002</v>
      </c>
      <c r="AB590">
        <v>39</v>
      </c>
      <c r="AC590">
        <v>0.51359999999999595</v>
      </c>
      <c r="AD590">
        <v>-0.16914609999999899</v>
      </c>
      <c r="AE590">
        <v>-0.13040000000000801</v>
      </c>
      <c r="AF590">
        <v>0.120177844599136</v>
      </c>
      <c r="AG590">
        <v>-0.16914609999999899</v>
      </c>
      <c r="AH590">
        <v>0.46563701741514502</v>
      </c>
      <c r="AI590">
        <v>109.378377405983</v>
      </c>
      <c r="AJ590">
        <v>75.528153902407993</v>
      </c>
      <c r="AK590">
        <v>0.50977539119201898</v>
      </c>
      <c r="AL590">
        <v>80.657348536733394</v>
      </c>
      <c r="AM590">
        <v>89.558882338124903</v>
      </c>
      <c r="AN590">
        <v>0.99999999994794997</v>
      </c>
    </row>
    <row r="591" spans="1:40" x14ac:dyDescent="0.25">
      <c r="A591" t="str">
        <f>"20190312172342524"</f>
        <v>20190312172342524</v>
      </c>
      <c r="B591" t="str">
        <f>"1552382622520018"</f>
        <v>1552382622520018</v>
      </c>
      <c r="C591" t="s">
        <v>40</v>
      </c>
      <c r="D591">
        <v>3.6758500000000001</v>
      </c>
      <c r="E591">
        <v>0.56799319999999998</v>
      </c>
      <c r="F591" t="s">
        <v>41</v>
      </c>
      <c r="G591">
        <v>-335.43430000000001</v>
      </c>
      <c r="H591">
        <v>0.91137889999999999</v>
      </c>
      <c r="I591">
        <v>366.97890000000001</v>
      </c>
      <c r="J591">
        <v>-336.04689999999999</v>
      </c>
      <c r="K591">
        <v>1.1098730000000001</v>
      </c>
      <c r="L591">
        <v>367.13200000000001</v>
      </c>
      <c r="M591">
        <v>0.99992349999999997</v>
      </c>
      <c r="N591">
        <v>0</v>
      </c>
      <c r="O591">
        <v>3.949981E-3</v>
      </c>
      <c r="P591">
        <v>0.98855020000000005</v>
      </c>
      <c r="Q591">
        <v>0.15085589999999999</v>
      </c>
      <c r="R591">
        <v>-3.345514E-3</v>
      </c>
      <c r="S591">
        <v>3.1445310000000002</v>
      </c>
      <c r="T591">
        <v>-0.73422270000000001</v>
      </c>
      <c r="U591">
        <v>-0.56213380000000002</v>
      </c>
      <c r="V591">
        <v>7.2500369999999904E-3</v>
      </c>
      <c r="W591">
        <v>0.162442899999999</v>
      </c>
      <c r="X591">
        <v>0.98669130000000005</v>
      </c>
      <c r="Y591">
        <v>0.17519109999999999</v>
      </c>
      <c r="Z591">
        <v>-2.093213E-2</v>
      </c>
      <c r="AA591">
        <v>0.98431190000000002</v>
      </c>
      <c r="AB591">
        <v>39</v>
      </c>
      <c r="AC591">
        <v>0.61259999999998604</v>
      </c>
      <c r="AD591">
        <v>-0.19849409999999901</v>
      </c>
      <c r="AE591">
        <v>-0.15309999999993801</v>
      </c>
      <c r="AF591">
        <v>0.14153295516718301</v>
      </c>
      <c r="AG591">
        <v>-0.19849409999999901</v>
      </c>
      <c r="AH591">
        <v>0.55695423307311898</v>
      </c>
      <c r="AI591">
        <v>109.05561565659001</v>
      </c>
      <c r="AJ591">
        <v>75.741824596941697</v>
      </c>
      <c r="AK591">
        <v>0.60797162998879495</v>
      </c>
      <c r="AL591">
        <v>80.651280492639799</v>
      </c>
      <c r="AM591">
        <v>89.579008099265295</v>
      </c>
      <c r="AN591">
        <v>0.99999999014630003</v>
      </c>
    </row>
    <row r="592" spans="1:40" x14ac:dyDescent="0.25">
      <c r="A592" t="str">
        <f>"20190312172342542"</f>
        <v>20190312172342542</v>
      </c>
      <c r="B592" t="str">
        <f>"1552382622530753"</f>
        <v>1552382622530753</v>
      </c>
      <c r="C592" t="s">
        <v>40</v>
      </c>
      <c r="D592">
        <v>3.699039</v>
      </c>
      <c r="E592">
        <v>0.56801659999999998</v>
      </c>
      <c r="F592" t="s">
        <v>41</v>
      </c>
      <c r="G592">
        <v>-335.0951</v>
      </c>
      <c r="H592">
        <v>0.8877969</v>
      </c>
      <c r="I592">
        <v>366.9622</v>
      </c>
      <c r="J592">
        <v>-335.75139999999999</v>
      </c>
      <c r="K592">
        <v>1.109869</v>
      </c>
      <c r="L592">
        <v>367.13319999999999</v>
      </c>
      <c r="M592">
        <v>0.99992320000000001</v>
      </c>
      <c r="N592">
        <v>0</v>
      </c>
      <c r="O592">
        <v>3.9618559999999997E-3</v>
      </c>
      <c r="P592">
        <v>0.98854710000000001</v>
      </c>
      <c r="Q592">
        <v>0.150870899999999</v>
      </c>
      <c r="R592">
        <v>-3.5586760000000002E-3</v>
      </c>
      <c r="S592">
        <v>3.1448360000000002</v>
      </c>
      <c r="T592">
        <v>-0.73372139999999997</v>
      </c>
      <c r="U592">
        <v>-0.56137079999999995</v>
      </c>
      <c r="V592">
        <v>7.4748169999999999E-3</v>
      </c>
      <c r="W592">
        <v>0.16246640000000001</v>
      </c>
      <c r="X592">
        <v>0.98668579999999995</v>
      </c>
      <c r="Y592">
        <v>0.17496729999999899</v>
      </c>
      <c r="Z592">
        <v>-2.0893829999999999E-2</v>
      </c>
      <c r="AA592">
        <v>0.98435249999999996</v>
      </c>
      <c r="AB592">
        <v>39</v>
      </c>
      <c r="AC592">
        <v>0.656299999999987</v>
      </c>
      <c r="AD592">
        <v>-0.222072099999999</v>
      </c>
      <c r="AE592">
        <v>-0.17099999999999199</v>
      </c>
      <c r="AF592">
        <v>0.156788803002469</v>
      </c>
      <c r="AG592">
        <v>-0.222072099999999</v>
      </c>
      <c r="AH592">
        <v>0.59213160013261101</v>
      </c>
      <c r="AI592">
        <v>109.927824927568</v>
      </c>
      <c r="AJ592">
        <v>75.169171961753307</v>
      </c>
      <c r="AK592">
        <v>0.65155090224859902</v>
      </c>
      <c r="AL592">
        <v>80.649916347069095</v>
      </c>
      <c r="AM592">
        <v>89.565953747413602</v>
      </c>
      <c r="AN592">
        <v>1.00000003596989</v>
      </c>
    </row>
    <row r="593" spans="1:40" x14ac:dyDescent="0.25">
      <c r="A593" t="str">
        <f>"20190312172342562"</f>
        <v>20190312172342562</v>
      </c>
      <c r="B593" t="str">
        <f>"1552382622560033"</f>
        <v>1552382622560033</v>
      </c>
      <c r="C593" t="s">
        <v>40</v>
      </c>
      <c r="D593">
        <v>3.6839230000000001</v>
      </c>
      <c r="E593">
        <v>0.56810550000000004</v>
      </c>
      <c r="F593" t="s">
        <v>41</v>
      </c>
      <c r="G593">
        <v>-334.7509</v>
      </c>
      <c r="H593">
        <v>0.87654650000000001</v>
      </c>
      <c r="I593">
        <v>366.95389999999998</v>
      </c>
      <c r="J593">
        <v>-335.37759999999997</v>
      </c>
      <c r="K593">
        <v>1.1098749999999999</v>
      </c>
      <c r="L593">
        <v>367.13470000000001</v>
      </c>
      <c r="M593">
        <v>0.99992320000000001</v>
      </c>
      <c r="N593">
        <v>0</v>
      </c>
      <c r="O593">
        <v>3.9772890000000002E-3</v>
      </c>
      <c r="P593">
        <v>0.98847160000000001</v>
      </c>
      <c r="Q593">
        <v>0.1513621</v>
      </c>
      <c r="R593">
        <v>-3.70164E-3</v>
      </c>
      <c r="S593">
        <v>3.1446529999999999</v>
      </c>
      <c r="T593">
        <v>-0.7334368</v>
      </c>
      <c r="U593">
        <v>-0.5629883</v>
      </c>
      <c r="V593">
        <v>7.6327419999999997E-3</v>
      </c>
      <c r="W593">
        <v>0.16296649999999999</v>
      </c>
      <c r="X593">
        <v>0.98660210000000004</v>
      </c>
      <c r="Y593">
        <v>0.17547289999999999</v>
      </c>
      <c r="Z593">
        <v>-2.0947469999999999E-2</v>
      </c>
      <c r="AA593">
        <v>0.98426139999999995</v>
      </c>
      <c r="AB593">
        <v>39</v>
      </c>
      <c r="AC593">
        <v>0.62669999999997095</v>
      </c>
      <c r="AD593">
        <v>-0.233328499999999</v>
      </c>
      <c r="AE593">
        <v>-0.18080000000003299</v>
      </c>
      <c r="AF593">
        <v>0.162497145991265</v>
      </c>
      <c r="AG593">
        <v>-0.233328499999999</v>
      </c>
      <c r="AH593">
        <v>0.55495974076616505</v>
      </c>
      <c r="AI593">
        <v>111.974096054859</v>
      </c>
      <c r="AJ593">
        <v>73.679500076082306</v>
      </c>
      <c r="AK593">
        <v>0.62356060269937297</v>
      </c>
      <c r="AL593">
        <v>80.620875561202993</v>
      </c>
      <c r="AM593">
        <v>89.556746151104093</v>
      </c>
      <c r="AN593">
        <v>1.00000002129854</v>
      </c>
    </row>
    <row r="594" spans="1:40" x14ac:dyDescent="0.25">
      <c r="A594" t="str">
        <f>"20190312172342573"</f>
        <v>20190312172342573</v>
      </c>
      <c r="B594" t="str">
        <f>"1552382622570769"</f>
        <v>1552382622570769</v>
      </c>
      <c r="C594" t="s">
        <v>40</v>
      </c>
      <c r="D594">
        <v>3.6873610000000001</v>
      </c>
      <c r="E594">
        <v>0.56812859999999998</v>
      </c>
      <c r="F594" t="s">
        <v>41</v>
      </c>
      <c r="G594">
        <v>-334.40010000000001</v>
      </c>
      <c r="H594">
        <v>0.88243850000000001</v>
      </c>
      <c r="I594">
        <v>366.95960000000002</v>
      </c>
      <c r="J594">
        <v>-335.18360000000001</v>
      </c>
      <c r="K594">
        <v>1.1098779999999999</v>
      </c>
      <c r="L594">
        <v>367.13549999999998</v>
      </c>
      <c r="M594">
        <v>0.99992300000000001</v>
      </c>
      <c r="N594">
        <v>0</v>
      </c>
      <c r="O594">
        <v>3.985176E-3</v>
      </c>
      <c r="P594">
        <v>0.98851040000000001</v>
      </c>
      <c r="Q594">
        <v>0.15111379999999999</v>
      </c>
      <c r="R594">
        <v>-3.4390950000000001E-3</v>
      </c>
      <c r="S594">
        <v>3.1448969999999998</v>
      </c>
      <c r="T594">
        <v>-0.73177429999999999</v>
      </c>
      <c r="U594">
        <v>-0.56402589999999997</v>
      </c>
      <c r="V594">
        <v>7.3783569999999899E-3</v>
      </c>
      <c r="W594">
        <v>0.16272519999999999</v>
      </c>
      <c r="X594">
        <v>0.98664390000000002</v>
      </c>
      <c r="Y594">
        <v>0.17579539999999999</v>
      </c>
      <c r="Z594">
        <v>-2.0937600000000001E-2</v>
      </c>
      <c r="AA594">
        <v>0.98420410000000003</v>
      </c>
      <c r="AB594">
        <v>39</v>
      </c>
      <c r="AC594">
        <v>0.78350000000000297</v>
      </c>
      <c r="AD594">
        <v>-0.22743949999999999</v>
      </c>
      <c r="AE594">
        <v>-0.17589999999995501</v>
      </c>
      <c r="AF594">
        <v>0.16572618137558701</v>
      </c>
      <c r="AG594">
        <v>-0.22743949999999999</v>
      </c>
      <c r="AH594">
        <v>0.72465857737872896</v>
      </c>
      <c r="AI594">
        <v>107.01192934981199</v>
      </c>
      <c r="AJ594">
        <v>77.118240879560702</v>
      </c>
      <c r="AK594">
        <v>0.77738275458241801</v>
      </c>
      <c r="AL594">
        <v>80.634888426390106</v>
      </c>
      <c r="AM594">
        <v>89.571536564001093</v>
      </c>
      <c r="AN594">
        <v>1.00000005813713</v>
      </c>
    </row>
    <row r="595" spans="1:40" x14ac:dyDescent="0.25">
      <c r="A595" t="str">
        <f>"20190312172342586"</f>
        <v>20190312172342586</v>
      </c>
      <c r="B595" t="str">
        <f>"1552382622580530"</f>
        <v>1552382622580530</v>
      </c>
      <c r="C595" t="s">
        <v>40</v>
      </c>
      <c r="D595">
        <v>3.648342</v>
      </c>
      <c r="E595">
        <v>0.56812859999999998</v>
      </c>
      <c r="F595" t="s">
        <v>41</v>
      </c>
      <c r="G595">
        <v>-334.3843</v>
      </c>
      <c r="H595">
        <v>0.92371650000000005</v>
      </c>
      <c r="I595">
        <v>366.99239999999998</v>
      </c>
      <c r="J595">
        <v>-334.9785</v>
      </c>
      <c r="K595">
        <v>1.10988</v>
      </c>
      <c r="L595">
        <v>367.13639999999998</v>
      </c>
      <c r="M595">
        <v>0.99992289999999995</v>
      </c>
      <c r="N595">
        <v>0</v>
      </c>
      <c r="O595">
        <v>3.9933549999999996E-3</v>
      </c>
      <c r="P595">
        <v>0.98851940000000005</v>
      </c>
      <c r="Q595">
        <v>0.15105439999999901</v>
      </c>
      <c r="R595">
        <v>-3.530259E-3</v>
      </c>
      <c r="S595">
        <v>3.1448670000000001</v>
      </c>
      <c r="T595">
        <v>-0.73242830000000003</v>
      </c>
      <c r="U595">
        <v>-0.56356809999999902</v>
      </c>
      <c r="V595">
        <v>7.4773019999999999E-3</v>
      </c>
      <c r="W595">
        <v>0.16267390000000001</v>
      </c>
      <c r="X595">
        <v>0.98665150000000001</v>
      </c>
      <c r="Y595">
        <v>0.17566109999999999</v>
      </c>
      <c r="Z595">
        <v>-2.0942840000000001E-2</v>
      </c>
      <c r="AA595">
        <v>0.98422790000000004</v>
      </c>
      <c r="AB595">
        <v>39</v>
      </c>
      <c r="AC595">
        <v>0.59419999999999995</v>
      </c>
      <c r="AD595">
        <v>-0.18616349999999901</v>
      </c>
      <c r="AE595">
        <v>-0.14400000000000501</v>
      </c>
      <c r="AF595">
        <v>0.133952763587945</v>
      </c>
      <c r="AG595">
        <v>-0.18616349999999901</v>
      </c>
      <c r="AH595">
        <v>0.54325373413242295</v>
      </c>
      <c r="AI595">
        <v>108.403170088663</v>
      </c>
      <c r="AJ595">
        <v>76.148602059045999</v>
      </c>
      <c r="AK595">
        <v>0.589681957714427</v>
      </c>
      <c r="AL595">
        <v>80.637866324856901</v>
      </c>
      <c r="AM595">
        <v>89.565794360786398</v>
      </c>
      <c r="AN595">
        <v>0.99999994511932799</v>
      </c>
    </row>
    <row r="596" spans="1:40" x14ac:dyDescent="0.25">
      <c r="A596" t="str">
        <f>"20190312172342596"</f>
        <v>20190312172342596</v>
      </c>
      <c r="B596" t="str">
        <f>"1552382622590854"</f>
        <v>1552382622590854</v>
      </c>
      <c r="C596" t="s">
        <v>40</v>
      </c>
      <c r="D596">
        <v>3.6595019999999998</v>
      </c>
      <c r="E596">
        <v>0.56815640000000001</v>
      </c>
      <c r="F596" t="s">
        <v>41</v>
      </c>
      <c r="G596">
        <v>-334.04759999999999</v>
      </c>
      <c r="H596">
        <v>0.89298529999999998</v>
      </c>
      <c r="I596">
        <v>366.96940000000001</v>
      </c>
      <c r="J596">
        <v>-334.78280000000001</v>
      </c>
      <c r="K596">
        <v>1.1098749999999999</v>
      </c>
      <c r="L596">
        <v>367.13709999999998</v>
      </c>
      <c r="M596">
        <v>0.9999228</v>
      </c>
      <c r="N596">
        <v>0</v>
      </c>
      <c r="O596">
        <v>4.0012349999999997E-3</v>
      </c>
      <c r="P596">
        <v>0.98846040000000002</v>
      </c>
      <c r="Q596">
        <v>0.151437299999999</v>
      </c>
      <c r="R596">
        <v>-3.584126E-3</v>
      </c>
      <c r="S596">
        <v>3.1447449999999999</v>
      </c>
      <c r="T596">
        <v>-0.73267669999999996</v>
      </c>
      <c r="U596">
        <v>-0.56338500000000002</v>
      </c>
      <c r="V596">
        <v>7.5387309999999999E-3</v>
      </c>
      <c r="W596">
        <v>0.1630644</v>
      </c>
      <c r="X596">
        <v>0.98658659999999998</v>
      </c>
      <c r="Y596">
        <v>0.17561740000000001</v>
      </c>
      <c r="Z596">
        <v>-2.0947449999999999E-2</v>
      </c>
      <c r="AA596">
        <v>0.98423559999999999</v>
      </c>
      <c r="AB596">
        <v>39</v>
      </c>
      <c r="AC596">
        <v>0.73520000000001995</v>
      </c>
      <c r="AD596">
        <v>-0.21688969999999899</v>
      </c>
      <c r="AE596">
        <v>-0.16769999999996801</v>
      </c>
      <c r="AF596">
        <v>0.15760281884975799</v>
      </c>
      <c r="AG596">
        <v>-0.21688969999999899</v>
      </c>
      <c r="AH596">
        <v>0.67840200933650097</v>
      </c>
      <c r="AI596">
        <v>107.29730149420899</v>
      </c>
      <c r="AJ596">
        <v>76.921335278464497</v>
      </c>
      <c r="AK596">
        <v>0.729458070588901</v>
      </c>
      <c r="AL596">
        <v>80.615189818151293</v>
      </c>
      <c r="AM596">
        <v>89.562198530999495</v>
      </c>
      <c r="AN596">
        <v>0.99999997515600403</v>
      </c>
    </row>
    <row r="597" spans="1:40" x14ac:dyDescent="0.25">
      <c r="A597" t="str">
        <f>"20190312172342608"</f>
        <v>20190312172342608</v>
      </c>
      <c r="B597" t="str">
        <f>"1552382622600614"</f>
        <v>1552382622600614</v>
      </c>
      <c r="C597" t="s">
        <v>40</v>
      </c>
      <c r="D597">
        <v>3.6832820000000002</v>
      </c>
      <c r="E597">
        <v>0.56817949999999995</v>
      </c>
      <c r="F597" t="s">
        <v>41</v>
      </c>
      <c r="G597">
        <v>-334.03120000000001</v>
      </c>
      <c r="H597">
        <v>0.93508519999999995</v>
      </c>
      <c r="I597">
        <v>367.00209999999998</v>
      </c>
      <c r="J597">
        <v>-334.58510000000001</v>
      </c>
      <c r="K597">
        <v>1.1098790000000001</v>
      </c>
      <c r="L597">
        <v>367.1379</v>
      </c>
      <c r="M597">
        <v>0.9999228</v>
      </c>
      <c r="N597">
        <v>0</v>
      </c>
      <c r="O597">
        <v>4.0090519999999999E-3</v>
      </c>
      <c r="P597">
        <v>0.98849739999999997</v>
      </c>
      <c r="Q597">
        <v>0.15119349999999901</v>
      </c>
      <c r="R597">
        <v>-3.713409E-3</v>
      </c>
      <c r="S597">
        <v>3.1450200000000001</v>
      </c>
      <c r="T597">
        <v>-0.73138429999999999</v>
      </c>
      <c r="U597">
        <v>-0.56417850000000003</v>
      </c>
      <c r="V597">
        <v>7.6758669999999899E-3</v>
      </c>
      <c r="W597">
        <v>0.16283010000000001</v>
      </c>
      <c r="X597">
        <v>0.98662430000000001</v>
      </c>
      <c r="Y597">
        <v>0.1758615</v>
      </c>
      <c r="Z597">
        <v>-2.093882E-2</v>
      </c>
      <c r="AA597">
        <v>0.98419219999999996</v>
      </c>
      <c r="AB597">
        <v>39</v>
      </c>
      <c r="AC597">
        <v>0.55389999999999795</v>
      </c>
      <c r="AD597">
        <v>-0.1747938</v>
      </c>
      <c r="AE597">
        <v>-0.13580000000001699</v>
      </c>
      <c r="AF597">
        <v>0.12616779053628399</v>
      </c>
      <c r="AG597">
        <v>-0.1747938</v>
      </c>
      <c r="AH597">
        <v>0.505834278960406</v>
      </c>
      <c r="AI597">
        <v>108.535444611831</v>
      </c>
      <c r="AJ597">
        <v>75.994759800730193</v>
      </c>
      <c r="AK597">
        <v>0.54985407305815304</v>
      </c>
      <c r="AL597">
        <v>80.628796634874504</v>
      </c>
      <c r="AM597">
        <v>89.554251896765805</v>
      </c>
      <c r="AN597">
        <v>1.0000000348753499</v>
      </c>
    </row>
    <row r="598" spans="1:40" x14ac:dyDescent="0.25">
      <c r="A598" t="str">
        <f>"20190312172342619"</f>
        <v>20190312172342619</v>
      </c>
      <c r="B598" t="str">
        <f>"1552382622610374"</f>
        <v>1552382622610374</v>
      </c>
      <c r="C598" t="s">
        <v>40</v>
      </c>
      <c r="D598">
        <v>3.6960359999999999</v>
      </c>
      <c r="E598">
        <v>0.56820579999999998</v>
      </c>
      <c r="F598" t="s">
        <v>41</v>
      </c>
      <c r="G598">
        <v>-333.6952</v>
      </c>
      <c r="H598">
        <v>0.90271349999999995</v>
      </c>
      <c r="I598">
        <v>366.97809999999998</v>
      </c>
      <c r="J598">
        <v>-334.38619999999997</v>
      </c>
      <c r="K598">
        <v>1.10988</v>
      </c>
      <c r="L598">
        <v>367.13869999999997</v>
      </c>
      <c r="M598">
        <v>0.99992250000000005</v>
      </c>
      <c r="N598">
        <v>0</v>
      </c>
      <c r="O598">
        <v>4.017283E-3</v>
      </c>
      <c r="P598">
        <v>0.98849580000000004</v>
      </c>
      <c r="Q598">
        <v>0.15120910000000001</v>
      </c>
      <c r="R598">
        <v>-3.5258109999999998E-3</v>
      </c>
      <c r="S598">
        <v>3.144714</v>
      </c>
      <c r="T598">
        <v>-0.73201179999999999</v>
      </c>
      <c r="U598">
        <v>-0.5647278</v>
      </c>
      <c r="V598">
        <v>7.4963319999999996E-3</v>
      </c>
      <c r="W598">
        <v>0.1628541</v>
      </c>
      <c r="X598">
        <v>0.98662169999999905</v>
      </c>
      <c r="Y598">
        <v>0.17603929999999901</v>
      </c>
      <c r="Z598">
        <v>-2.0980120000000001E-2</v>
      </c>
      <c r="AA598">
        <v>0.98415949999999996</v>
      </c>
      <c r="AB598">
        <v>39</v>
      </c>
      <c r="AC598">
        <v>0.69099999999997397</v>
      </c>
      <c r="AD598">
        <v>-0.207166499999999</v>
      </c>
      <c r="AE598">
        <v>-0.160599999999988</v>
      </c>
      <c r="AF598">
        <v>0.15053736930544301</v>
      </c>
      <c r="AG598">
        <v>-0.207166499999999</v>
      </c>
      <c r="AH598">
        <v>0.63610378085212305</v>
      </c>
      <c r="AI598">
        <v>107.584782760219</v>
      </c>
      <c r="AJ598">
        <v>76.685600560683696</v>
      </c>
      <c r="AK598">
        <v>0.68571676244205904</v>
      </c>
      <c r="AL598">
        <v>80.627402753791699</v>
      </c>
      <c r="AM598">
        <v>89.564676186783601</v>
      </c>
      <c r="AN598">
        <v>1.00000001589557</v>
      </c>
    </row>
    <row r="599" spans="1:40" x14ac:dyDescent="0.25">
      <c r="A599" t="str">
        <f>"20190312172342630"</f>
        <v>20190312172342630</v>
      </c>
      <c r="B599" t="str">
        <f>"1552382622620134"</f>
        <v>1552382622620134</v>
      </c>
      <c r="C599" t="s">
        <v>40</v>
      </c>
      <c r="D599">
        <v>3.6686139999999998</v>
      </c>
      <c r="E599">
        <v>0.56823330000000005</v>
      </c>
      <c r="F599" t="s">
        <v>41</v>
      </c>
      <c r="G599">
        <v>-333.6782</v>
      </c>
      <c r="H599">
        <v>0.94508400000000004</v>
      </c>
      <c r="I599">
        <v>367.01150000000001</v>
      </c>
      <c r="J599">
        <v>-334.19929999999999</v>
      </c>
      <c r="K599">
        <v>1.109877</v>
      </c>
      <c r="L599">
        <v>367.1395</v>
      </c>
      <c r="M599">
        <v>0.99992230000000004</v>
      </c>
      <c r="N599">
        <v>0</v>
      </c>
      <c r="O599">
        <v>4.024924E-3</v>
      </c>
      <c r="P599">
        <v>0.98852720000000005</v>
      </c>
      <c r="Q599">
        <v>0.15100039999999901</v>
      </c>
      <c r="R599">
        <v>-3.57815E-3</v>
      </c>
      <c r="S599">
        <v>3.1448670000000001</v>
      </c>
      <c r="T599">
        <v>-0.73191110000000004</v>
      </c>
      <c r="U599">
        <v>-0.5652161</v>
      </c>
      <c r="V599">
        <v>7.5564969999999997E-3</v>
      </c>
      <c r="W599">
        <v>0.16265360000000001</v>
      </c>
      <c r="X599">
        <v>0.98665429999999998</v>
      </c>
      <c r="Y599">
        <v>0.17618439999999999</v>
      </c>
      <c r="Z599">
        <v>-2.0994329999999999E-2</v>
      </c>
      <c r="AA599">
        <v>0.98413320000000004</v>
      </c>
      <c r="AB599">
        <v>39</v>
      </c>
      <c r="AC599">
        <v>0.52109999999998902</v>
      </c>
      <c r="AD599">
        <v>-0.164792999999999</v>
      </c>
      <c r="AE599">
        <v>-0.12799999999998499</v>
      </c>
      <c r="AF599">
        <v>0.118883696452155</v>
      </c>
      <c r="AG599">
        <v>-0.164792999999999</v>
      </c>
      <c r="AH599">
        <v>0.475712581222483</v>
      </c>
      <c r="AI599">
        <v>108.576328894684</v>
      </c>
      <c r="AJ599">
        <v>75.968795239785393</v>
      </c>
      <c r="AK599">
        <v>0.51729346222863304</v>
      </c>
      <c r="AL599">
        <v>80.639045656634906</v>
      </c>
      <c r="AM599">
        <v>89.561196944881701</v>
      </c>
      <c r="AN599">
        <v>1.0000000009741801</v>
      </c>
    </row>
    <row r="600" spans="1:40" x14ac:dyDescent="0.25">
      <c r="A600" t="str">
        <f>"20190312172342641"</f>
        <v>20190312172342641</v>
      </c>
      <c r="B600" t="str">
        <f>"1552382622630870"</f>
        <v>1552382622630870</v>
      </c>
      <c r="C600" t="s">
        <v>40</v>
      </c>
      <c r="D600">
        <v>3.6815150000000001</v>
      </c>
      <c r="E600">
        <v>0.56825199999999998</v>
      </c>
      <c r="F600" t="s">
        <v>41</v>
      </c>
      <c r="G600">
        <v>-333.34359999999998</v>
      </c>
      <c r="H600">
        <v>0.9105607</v>
      </c>
      <c r="I600">
        <v>366.98559999999998</v>
      </c>
      <c r="J600">
        <v>-334.00630000000001</v>
      </c>
      <c r="K600">
        <v>1.1098779999999999</v>
      </c>
      <c r="L600">
        <v>367.14030000000002</v>
      </c>
      <c r="M600">
        <v>0.99992219999999998</v>
      </c>
      <c r="N600">
        <v>0</v>
      </c>
      <c r="O600">
        <v>4.0328009999999999E-3</v>
      </c>
      <c r="P600">
        <v>0.98855340000000003</v>
      </c>
      <c r="Q600">
        <v>0.15082989999999999</v>
      </c>
      <c r="R600">
        <v>-3.5089930000000002E-3</v>
      </c>
      <c r="S600">
        <v>3.144714</v>
      </c>
      <c r="T600">
        <v>-0.7325509</v>
      </c>
      <c r="U600">
        <v>-0.56484990000000002</v>
      </c>
      <c r="V600">
        <v>7.4954740000000002E-3</v>
      </c>
      <c r="W600">
        <v>0.16249179999999999</v>
      </c>
      <c r="X600">
        <v>0.98668140000000004</v>
      </c>
      <c r="Y600">
        <v>0.1760833</v>
      </c>
      <c r="Z600">
        <v>-2.100366E-2</v>
      </c>
      <c r="AA600">
        <v>0.9841512</v>
      </c>
      <c r="AB600">
        <v>39</v>
      </c>
      <c r="AC600">
        <v>0.66270000000002904</v>
      </c>
      <c r="AD600">
        <v>-0.1993173</v>
      </c>
      <c r="AE600">
        <v>-0.15470000000004799</v>
      </c>
      <c r="AF600">
        <v>0.14493794412716601</v>
      </c>
      <c r="AG600">
        <v>-0.1993173</v>
      </c>
      <c r="AH600">
        <v>0.60976216293407004</v>
      </c>
      <c r="AI600">
        <v>107.641532403554</v>
      </c>
      <c r="AJ600">
        <v>76.629159047221606</v>
      </c>
      <c r="AK600">
        <v>0.65768099339507702</v>
      </c>
      <c r="AL600">
        <v>80.648440871266303</v>
      </c>
      <c r="AM600">
        <v>89.564752345889502</v>
      </c>
      <c r="AN600">
        <v>0.999999976151842</v>
      </c>
    </row>
    <row r="601" spans="1:40" x14ac:dyDescent="0.25">
      <c r="A601" t="str">
        <f>"20190312172342652"</f>
        <v>20190312172342652</v>
      </c>
      <c r="B601" t="str">
        <f>"1552382622640630"</f>
        <v>1552382622640630</v>
      </c>
      <c r="C601" t="s">
        <v>40</v>
      </c>
      <c r="D601">
        <v>3.682458</v>
      </c>
      <c r="E601">
        <v>0.56828190000000001</v>
      </c>
      <c r="F601" t="s">
        <v>41</v>
      </c>
      <c r="G601">
        <v>-333.00779999999997</v>
      </c>
      <c r="H601">
        <v>0.87712619999999897</v>
      </c>
      <c r="I601">
        <v>366.96100000000001</v>
      </c>
      <c r="J601">
        <v>-333.8184</v>
      </c>
      <c r="K601">
        <v>1.1098790000000001</v>
      </c>
      <c r="L601">
        <v>367.14100000000002</v>
      </c>
      <c r="M601">
        <v>0.99992210000000004</v>
      </c>
      <c r="N601">
        <v>0</v>
      </c>
      <c r="O601">
        <v>4.0403139999999997E-3</v>
      </c>
      <c r="P601">
        <v>0.9885024</v>
      </c>
      <c r="Q601">
        <v>0.1511652</v>
      </c>
      <c r="R601">
        <v>-3.5417220000000002E-3</v>
      </c>
      <c r="S601">
        <v>3.1445919999999998</v>
      </c>
      <c r="T601">
        <v>-0.73304060000000004</v>
      </c>
      <c r="U601">
        <v>-0.56457519999999894</v>
      </c>
      <c r="V601">
        <v>7.5350230000000001E-3</v>
      </c>
      <c r="W601">
        <v>0.16283619999999999</v>
      </c>
      <c r="X601">
        <v>0.98662439999999996</v>
      </c>
      <c r="Y601">
        <v>0.1760091</v>
      </c>
      <c r="Z601">
        <v>-2.1011539999999999E-2</v>
      </c>
      <c r="AA601">
        <v>0.98416420000000004</v>
      </c>
      <c r="AB601">
        <v>39</v>
      </c>
      <c r="AC601">
        <v>0.81060000000002197</v>
      </c>
      <c r="AD601">
        <v>-0.23275280000000001</v>
      </c>
      <c r="AE601">
        <v>-0.17999999999994901</v>
      </c>
      <c r="AF601">
        <v>0.16992252620106499</v>
      </c>
      <c r="AG601">
        <v>-0.23275280000000001</v>
      </c>
      <c r="AH601">
        <v>0.75086816149925295</v>
      </c>
      <c r="AI601">
        <v>106.821815719772</v>
      </c>
      <c r="AJ601">
        <v>77.2486638094516</v>
      </c>
      <c r="AK601">
        <v>0.80427018269463402</v>
      </c>
      <c r="AL601">
        <v>80.628442599256601</v>
      </c>
      <c r="AM601">
        <v>89.562430623987396</v>
      </c>
      <c r="AN601">
        <v>1.0000000556387001</v>
      </c>
    </row>
    <row r="602" spans="1:40" x14ac:dyDescent="0.25">
      <c r="A602" t="str">
        <f>"20190312172342664"</f>
        <v>20190312172342664</v>
      </c>
      <c r="B602" t="str">
        <f>"1552382622660150"</f>
        <v>1552382622660150</v>
      </c>
      <c r="C602" t="s">
        <v>40</v>
      </c>
      <c r="D602">
        <v>3.7023380000000001</v>
      </c>
      <c r="E602">
        <v>0.56832059999999995</v>
      </c>
      <c r="F602" t="s">
        <v>41</v>
      </c>
      <c r="G602">
        <v>-332.99220000000003</v>
      </c>
      <c r="H602">
        <v>0.91763939999999999</v>
      </c>
      <c r="I602">
        <v>366.99250000000001</v>
      </c>
      <c r="J602">
        <v>-333.62</v>
      </c>
      <c r="K602">
        <v>1.1098840000000001</v>
      </c>
      <c r="L602">
        <v>367.14179999999999</v>
      </c>
      <c r="M602">
        <v>0.99992190000000003</v>
      </c>
      <c r="N602">
        <v>0</v>
      </c>
      <c r="O602">
        <v>4.0483589999999996E-3</v>
      </c>
      <c r="P602">
        <v>0.98850139999999997</v>
      </c>
      <c r="Q602">
        <v>0.151176799999999</v>
      </c>
      <c r="R602">
        <v>-3.307482E-3</v>
      </c>
      <c r="S602">
        <v>3.144714</v>
      </c>
      <c r="T602">
        <v>-0.73173999999999995</v>
      </c>
      <c r="U602">
        <v>-0.56549069999999901</v>
      </c>
      <c r="V602">
        <v>7.3089349999999999E-3</v>
      </c>
      <c r="W602">
        <v>0.1628578</v>
      </c>
      <c r="X602">
        <v>0.98662249999999996</v>
      </c>
      <c r="Y602">
        <v>0.17629729999999999</v>
      </c>
      <c r="Z602">
        <v>-2.1008579999999999E-2</v>
      </c>
      <c r="AA602">
        <v>0.98411269999999995</v>
      </c>
      <c r="AB602">
        <v>39</v>
      </c>
      <c r="AC602">
        <v>0.62779999999997904</v>
      </c>
      <c r="AD602">
        <v>-0.19224459999999999</v>
      </c>
      <c r="AE602">
        <v>-0.149299999999982</v>
      </c>
      <c r="AF602">
        <v>0.13946303064170501</v>
      </c>
      <c r="AG602">
        <v>-0.19224459999999999</v>
      </c>
      <c r="AH602">
        <v>0.57606412618221003</v>
      </c>
      <c r="AI602">
        <v>107.970520663461</v>
      </c>
      <c r="AJ602">
        <v>76.390749732704293</v>
      </c>
      <c r="AK602">
        <v>0.62310336270878997</v>
      </c>
      <c r="AL602">
        <v>80.627187934780693</v>
      </c>
      <c r="AM602">
        <v>89.575558566819794</v>
      </c>
      <c r="AN602">
        <v>1.0000000205289601</v>
      </c>
    </row>
    <row r="603" spans="1:40" x14ac:dyDescent="0.25">
      <c r="A603" t="str">
        <f>"20190312172342675"</f>
        <v>20190312172342675</v>
      </c>
      <c r="B603" t="str">
        <f>"1552382622669910"</f>
        <v>1552382622669910</v>
      </c>
      <c r="C603" t="s">
        <v>40</v>
      </c>
      <c r="D603">
        <v>3.6707299999999998</v>
      </c>
      <c r="E603">
        <v>0.56834839999999998</v>
      </c>
      <c r="F603" t="s">
        <v>41</v>
      </c>
      <c r="G603">
        <v>-332.6558</v>
      </c>
      <c r="H603">
        <v>0.88555149999999905</v>
      </c>
      <c r="I603">
        <v>366.96839999999997</v>
      </c>
      <c r="J603">
        <v>-333.41340000000002</v>
      </c>
      <c r="K603">
        <v>1.109885</v>
      </c>
      <c r="L603">
        <v>367.14269999999999</v>
      </c>
      <c r="M603">
        <v>0.99992179999999997</v>
      </c>
      <c r="N603">
        <v>0</v>
      </c>
      <c r="O603">
        <v>4.0566919999999998E-3</v>
      </c>
      <c r="P603">
        <v>0.98850420000000006</v>
      </c>
      <c r="Q603">
        <v>0.15115509999999999</v>
      </c>
      <c r="R603">
        <v>-3.428427E-3</v>
      </c>
      <c r="S603">
        <v>3.1449280000000002</v>
      </c>
      <c r="T603">
        <v>-0.73176600000000003</v>
      </c>
      <c r="U603">
        <v>-0.56448359999999997</v>
      </c>
      <c r="V603">
        <v>7.4381639999999997E-3</v>
      </c>
      <c r="W603">
        <v>0.16284799999999999</v>
      </c>
      <c r="X603">
        <v>0.98662309999999998</v>
      </c>
      <c r="Y603">
        <v>0.17599619999999999</v>
      </c>
      <c r="Z603">
        <v>-2.0976089999999999E-2</v>
      </c>
      <c r="AA603">
        <v>0.98416729999999997</v>
      </c>
      <c r="AB603">
        <v>39</v>
      </c>
      <c r="AC603">
        <v>0.75760000000002403</v>
      </c>
      <c r="AD603">
        <v>-0.22433349999999999</v>
      </c>
      <c r="AE603">
        <v>-0.174300000000016</v>
      </c>
      <c r="AF603">
        <v>0.16373712429036799</v>
      </c>
      <c r="AG603">
        <v>-0.22433349999999999</v>
      </c>
      <c r="AH603">
        <v>0.69870300691836296</v>
      </c>
      <c r="AI603">
        <v>107.35936984155499</v>
      </c>
      <c r="AJ603">
        <v>76.811052238807406</v>
      </c>
      <c r="AK603">
        <v>0.75187848550805803</v>
      </c>
      <c r="AL603">
        <v>80.627756547314902</v>
      </c>
      <c r="AM603">
        <v>89.568054578627496</v>
      </c>
      <c r="AN603">
        <v>0.99999996942064995</v>
      </c>
    </row>
    <row r="604" spans="1:40" x14ac:dyDescent="0.25">
      <c r="A604" t="str">
        <f>"20190312172342687"</f>
        <v>20190312172342687</v>
      </c>
      <c r="B604" t="str">
        <f>"1552382622680646"</f>
        <v>1552382622680646</v>
      </c>
      <c r="C604" t="s">
        <v>40</v>
      </c>
      <c r="D604">
        <v>3.6860089999999999</v>
      </c>
      <c r="E604">
        <v>0.56837349999999998</v>
      </c>
      <c r="F604" t="s">
        <v>41</v>
      </c>
      <c r="G604">
        <v>-332.6388</v>
      </c>
      <c r="H604">
        <v>0.92963280000000004</v>
      </c>
      <c r="I604">
        <v>367.00310000000002</v>
      </c>
      <c r="J604">
        <v>-333.21440000000001</v>
      </c>
      <c r="K604">
        <v>1.109885</v>
      </c>
      <c r="L604">
        <v>367.14350000000002</v>
      </c>
      <c r="M604">
        <v>0.99992159999999997</v>
      </c>
      <c r="N604">
        <v>0</v>
      </c>
      <c r="O604">
        <v>4.0648489999999997E-3</v>
      </c>
      <c r="P604">
        <v>0.98846940000000005</v>
      </c>
      <c r="Q604">
        <v>0.15138570000000001</v>
      </c>
      <c r="R604">
        <v>-3.3027019999999998E-3</v>
      </c>
      <c r="S604">
        <v>3.1448360000000002</v>
      </c>
      <c r="T604">
        <v>-0.73193750000000002</v>
      </c>
      <c r="U604">
        <v>-0.56524659999999904</v>
      </c>
      <c r="V604">
        <v>7.3201639999999997E-3</v>
      </c>
      <c r="W604">
        <v>0.16308929999999999</v>
      </c>
      <c r="X604">
        <v>0.98658409999999996</v>
      </c>
      <c r="Y604">
        <v>0.176232</v>
      </c>
      <c r="Z604">
        <v>-2.1009770000000001E-2</v>
      </c>
      <c r="AA604">
        <v>0.98412440000000001</v>
      </c>
      <c r="AB604">
        <v>39</v>
      </c>
      <c r="AC604">
        <v>0.57560000000000799</v>
      </c>
      <c r="AD604">
        <v>-0.180252199999999</v>
      </c>
      <c r="AE604">
        <v>-0.140399999999999</v>
      </c>
      <c r="AF604">
        <v>0.13064621144449601</v>
      </c>
      <c r="AG604">
        <v>-0.180252199999999</v>
      </c>
      <c r="AH604">
        <v>0.52630965481771197</v>
      </c>
      <c r="AI604">
        <v>108.386569467402</v>
      </c>
      <c r="AJ604">
        <v>76.059206725708805</v>
      </c>
      <c r="AK604">
        <v>0.57145528339842899</v>
      </c>
      <c r="AL604">
        <v>80.613743514717697</v>
      </c>
      <c r="AM604">
        <v>89.574889959956906</v>
      </c>
      <c r="AN604">
        <v>0.99999994547414195</v>
      </c>
    </row>
    <row r="605" spans="1:40" x14ac:dyDescent="0.25">
      <c r="A605" t="str">
        <f>"20190312172342708"</f>
        <v>20190312172342708</v>
      </c>
      <c r="B605" t="str">
        <f>"1552382622700822"</f>
        <v>1552382622700822</v>
      </c>
      <c r="C605" t="s">
        <v>40</v>
      </c>
      <c r="D605">
        <v>3.7103320000000002</v>
      </c>
      <c r="E605">
        <v>0.56843080000000001</v>
      </c>
      <c r="F605" t="s">
        <v>41</v>
      </c>
      <c r="G605">
        <v>-332.30220000000003</v>
      </c>
      <c r="H605">
        <v>0.89787169999999905</v>
      </c>
      <c r="I605">
        <v>366.97949999999997</v>
      </c>
      <c r="J605">
        <v>-332.83120000000002</v>
      </c>
      <c r="K605">
        <v>1.1098870000000001</v>
      </c>
      <c r="L605">
        <v>367.14510000000001</v>
      </c>
      <c r="M605">
        <v>0.99992119999999995</v>
      </c>
      <c r="N605">
        <v>0</v>
      </c>
      <c r="O605">
        <v>4.0805140000000004E-3</v>
      </c>
      <c r="P605">
        <v>0.98850830000000001</v>
      </c>
      <c r="Q605">
        <v>0.15113689999999999</v>
      </c>
      <c r="R605">
        <v>-3.0169950000000002E-3</v>
      </c>
      <c r="S605">
        <v>3.1450499999999999</v>
      </c>
      <c r="T605">
        <v>-0.73103549999999995</v>
      </c>
      <c r="U605">
        <v>-0.56524659999999904</v>
      </c>
      <c r="V605">
        <v>7.050209E-3</v>
      </c>
      <c r="W605">
        <v>0.16286249999999999</v>
      </c>
      <c r="X605">
        <v>0.98662360000000005</v>
      </c>
      <c r="Y605">
        <v>0.17624690000000001</v>
      </c>
      <c r="Z605">
        <v>-2.0988429999999999E-2</v>
      </c>
      <c r="AA605">
        <v>0.98412219999999995</v>
      </c>
      <c r="AB605">
        <v>39</v>
      </c>
      <c r="AC605">
        <v>0.52899999999999603</v>
      </c>
      <c r="AD605">
        <v>-0.21201529999999999</v>
      </c>
      <c r="AE605">
        <v>-0.16560000000003999</v>
      </c>
      <c r="AF605">
        <v>0.14634777557064599</v>
      </c>
      <c r="AG605">
        <v>-0.21201529999999999</v>
      </c>
      <c r="AH605">
        <v>0.46089439690314699</v>
      </c>
      <c r="AI605">
        <v>113.674393378471</v>
      </c>
      <c r="AJ605">
        <v>72.383797761638306</v>
      </c>
      <c r="AK605">
        <v>0.52800739004798203</v>
      </c>
      <c r="AL605">
        <v>80.626914936281693</v>
      </c>
      <c r="AM605">
        <v>89.590583131100104</v>
      </c>
      <c r="AN605">
        <v>1.00000001371507</v>
      </c>
    </row>
    <row r="606" spans="1:40" x14ac:dyDescent="0.25">
      <c r="A606" t="str">
        <f>"20190312172342722"</f>
        <v>20190312172342722</v>
      </c>
      <c r="B606" t="str">
        <f>"1552382622710582"</f>
        <v>1552382622710582</v>
      </c>
      <c r="C606" t="s">
        <v>40</v>
      </c>
      <c r="D606">
        <v>3.6729609999999999</v>
      </c>
      <c r="E606">
        <v>0.56845249999999903</v>
      </c>
      <c r="F606" t="s">
        <v>41</v>
      </c>
      <c r="G606">
        <v>-331.95069999999998</v>
      </c>
      <c r="H606">
        <v>0.9050338</v>
      </c>
      <c r="I606">
        <v>366.98680000000002</v>
      </c>
      <c r="J606">
        <v>-332.61399999999998</v>
      </c>
      <c r="K606">
        <v>1.109888</v>
      </c>
      <c r="L606">
        <v>367.14600000000002</v>
      </c>
      <c r="M606">
        <v>0.99992099999999995</v>
      </c>
      <c r="N606">
        <v>0</v>
      </c>
      <c r="O606">
        <v>4.0893839999999997E-3</v>
      </c>
      <c r="P606">
        <v>0.98851180000000005</v>
      </c>
      <c r="Q606">
        <v>0.1511151</v>
      </c>
      <c r="R606">
        <v>-3.0202390000000001E-3</v>
      </c>
      <c r="S606">
        <v>3.1450200000000001</v>
      </c>
      <c r="T606">
        <v>-0.73171629999999999</v>
      </c>
      <c r="U606">
        <v>-0.56488039999999995</v>
      </c>
      <c r="V606">
        <v>7.0620099999999996E-3</v>
      </c>
      <c r="W606">
        <v>0.16285259999999999</v>
      </c>
      <c r="X606">
        <v>0.98662510000000003</v>
      </c>
      <c r="Y606">
        <v>0.17613999999999999</v>
      </c>
      <c r="Z606">
        <v>-2.0997729999999999E-2</v>
      </c>
      <c r="AA606">
        <v>0.98414120000000005</v>
      </c>
      <c r="AB606">
        <v>39</v>
      </c>
      <c r="AC606">
        <v>0.66330000000004896</v>
      </c>
      <c r="AD606">
        <v>-0.20485419999999999</v>
      </c>
      <c r="AE606">
        <v>-0.159199999999941</v>
      </c>
      <c r="AF606">
        <v>0.148516985890806</v>
      </c>
      <c r="AG606">
        <v>-0.20485419999999999</v>
      </c>
      <c r="AH606">
        <v>0.607825195005675</v>
      </c>
      <c r="AI606">
        <v>108.128269355619</v>
      </c>
      <c r="AJ606">
        <v>76.269291668784803</v>
      </c>
      <c r="AK606">
        <v>0.65838742852473797</v>
      </c>
      <c r="AL606">
        <v>80.627489375496793</v>
      </c>
      <c r="AM606">
        <v>89.5898984750864</v>
      </c>
      <c r="AN606">
        <v>0.99999996463100405</v>
      </c>
    </row>
    <row r="607" spans="1:40" x14ac:dyDescent="0.25">
      <c r="A607" t="str">
        <f>"20190312172342734"</f>
        <v>20190312172342734</v>
      </c>
      <c r="B607" t="str">
        <f>"1552382622730101"</f>
        <v>1552382622730101</v>
      </c>
      <c r="C607" t="s">
        <v>40</v>
      </c>
      <c r="D607">
        <v>3.6839529999999998</v>
      </c>
      <c r="E607">
        <v>0.56847819999999905</v>
      </c>
      <c r="F607" t="s">
        <v>41</v>
      </c>
      <c r="G607">
        <v>-331.61270000000002</v>
      </c>
      <c r="H607">
        <v>0.87688369999999904</v>
      </c>
      <c r="I607">
        <v>366.9658</v>
      </c>
      <c r="J607">
        <v>-332.38490000000002</v>
      </c>
      <c r="K607">
        <v>1.109893</v>
      </c>
      <c r="L607">
        <v>367.14690000000002</v>
      </c>
      <c r="M607">
        <v>0.9999209</v>
      </c>
      <c r="N607">
        <v>0</v>
      </c>
      <c r="O607">
        <v>4.0987310000000004E-3</v>
      </c>
      <c r="P607">
        <v>0.98848829999999999</v>
      </c>
      <c r="Q607">
        <v>0.15126719999999999</v>
      </c>
      <c r="R607">
        <v>-3.0820919999999998E-3</v>
      </c>
      <c r="S607">
        <v>3.1450200000000001</v>
      </c>
      <c r="T607">
        <v>-0.73192139999999895</v>
      </c>
      <c r="U607">
        <v>-0.56515499999999996</v>
      </c>
      <c r="V607">
        <v>7.1331779999999996E-3</v>
      </c>
      <c r="W607">
        <v>0.16301589999999999</v>
      </c>
      <c r="X607">
        <v>0.98659770000000002</v>
      </c>
      <c r="Y607">
        <v>0.17622750000000001</v>
      </c>
      <c r="Z607">
        <v>-2.1015410000000002E-2</v>
      </c>
      <c r="AA607">
        <v>0.98412509999999997</v>
      </c>
      <c r="AB607">
        <v>39</v>
      </c>
      <c r="AC607">
        <v>0.772199999999997</v>
      </c>
      <c r="AD607">
        <v>-0.2330093</v>
      </c>
      <c r="AE607">
        <v>-0.181100000000014</v>
      </c>
      <c r="AF607">
        <v>0.16962438607019401</v>
      </c>
      <c r="AG607">
        <v>-0.2330093</v>
      </c>
      <c r="AH607">
        <v>0.71016104997976204</v>
      </c>
      <c r="AI607">
        <v>107.69947420244399</v>
      </c>
      <c r="AJ607">
        <v>76.5663998801096</v>
      </c>
      <c r="AK607">
        <v>0.76641665113992496</v>
      </c>
      <c r="AL607">
        <v>80.6180069998086</v>
      </c>
      <c r="AM607">
        <v>89.585754281955801</v>
      </c>
      <c r="AN607">
        <v>1.0000000437632299</v>
      </c>
    </row>
    <row r="608" spans="1:40" x14ac:dyDescent="0.25">
      <c r="A608" t="str">
        <f>"20190312172342748"</f>
        <v>20190312172342748</v>
      </c>
      <c r="B608" t="str">
        <f>"1552382622740838"</f>
        <v>1552382622740838</v>
      </c>
      <c r="C608" t="s">
        <v>40</v>
      </c>
      <c r="D608">
        <v>3.695776</v>
      </c>
      <c r="E608">
        <v>0.56850440000000002</v>
      </c>
      <c r="F608" t="s">
        <v>41</v>
      </c>
      <c r="G608">
        <v>-331.59379999999999</v>
      </c>
      <c r="H608">
        <v>0.92595669999999997</v>
      </c>
      <c r="I608">
        <v>367.0043</v>
      </c>
      <c r="J608">
        <v>-332.1413</v>
      </c>
      <c r="K608">
        <v>1.1098950000000001</v>
      </c>
      <c r="L608">
        <v>367.14789999999999</v>
      </c>
      <c r="M608">
        <v>0.9999207</v>
      </c>
      <c r="N608">
        <v>0</v>
      </c>
      <c r="O608">
        <v>4.1085549999999998E-3</v>
      </c>
      <c r="P608">
        <v>0.98847470000000004</v>
      </c>
      <c r="Q608">
        <v>0.1513602</v>
      </c>
      <c r="R608">
        <v>-2.8579399999999998E-3</v>
      </c>
      <c r="S608">
        <v>3.1450809999999998</v>
      </c>
      <c r="T608">
        <v>-0.73126420000000003</v>
      </c>
      <c r="U608">
        <v>-0.5656738</v>
      </c>
      <c r="V608">
        <v>6.9187600000000004E-3</v>
      </c>
      <c r="W608">
        <v>0.1631204</v>
      </c>
      <c r="X608">
        <v>0.98658190000000001</v>
      </c>
      <c r="Y608">
        <v>0.1763951</v>
      </c>
      <c r="Z608">
        <v>-2.1017660000000001E-2</v>
      </c>
      <c r="AA608">
        <v>0.98409500000000005</v>
      </c>
      <c r="AB608">
        <v>39</v>
      </c>
      <c r="AC608">
        <v>0.54750000000001298</v>
      </c>
      <c r="AD608">
        <v>-0.1839383</v>
      </c>
      <c r="AE608">
        <v>-0.14359999999999201</v>
      </c>
      <c r="AF608">
        <v>0.13191731000069101</v>
      </c>
      <c r="AG608">
        <v>-0.1839383</v>
      </c>
      <c r="AH608">
        <v>0.49466632266670701</v>
      </c>
      <c r="AI608">
        <v>109.762689928905</v>
      </c>
      <c r="AJ608">
        <v>75.067902572661097</v>
      </c>
      <c r="AK608">
        <v>0.54399471106372999</v>
      </c>
      <c r="AL608">
        <v>80.611937849760295</v>
      </c>
      <c r="AM608">
        <v>89.598199349638904</v>
      </c>
      <c r="AN608">
        <v>0.999999989771853</v>
      </c>
    </row>
    <row r="609" spans="1:40" x14ac:dyDescent="0.25">
      <c r="A609" t="str">
        <f>"20190312172342766"</f>
        <v>20190312172342766</v>
      </c>
      <c r="B609" t="str">
        <f>"1552382622760358"</f>
        <v>1552382622760358</v>
      </c>
      <c r="C609" t="s">
        <v>40</v>
      </c>
      <c r="D609">
        <v>4.0178589999999996</v>
      </c>
      <c r="E609">
        <v>0.5685173</v>
      </c>
      <c r="F609" t="s">
        <v>41</v>
      </c>
      <c r="G609">
        <v>-331.25349999999997</v>
      </c>
      <c r="H609">
        <v>0.90357149999999997</v>
      </c>
      <c r="I609">
        <v>366.98820000000001</v>
      </c>
      <c r="J609">
        <v>-331.84030000000001</v>
      </c>
      <c r="K609">
        <v>1.1099030000000001</v>
      </c>
      <c r="L609">
        <v>367.14909999999998</v>
      </c>
      <c r="M609">
        <v>0.99992060000000005</v>
      </c>
      <c r="N609">
        <v>0</v>
      </c>
      <c r="O609">
        <v>4.1208109999999899E-3</v>
      </c>
      <c r="P609">
        <v>0.98841970000000001</v>
      </c>
      <c r="Q609">
        <v>0.15171670000000001</v>
      </c>
      <c r="R609">
        <v>-3.0128479999999998E-3</v>
      </c>
      <c r="S609">
        <v>3.1453250000000001</v>
      </c>
      <c r="T609">
        <v>-0.73103209999999996</v>
      </c>
      <c r="U609">
        <v>-0.56491089999999999</v>
      </c>
      <c r="V609">
        <v>7.08561E-3</v>
      </c>
      <c r="W609">
        <v>0.16348959999999901</v>
      </c>
      <c r="X609">
        <v>0.98651960000000005</v>
      </c>
      <c r="Y609">
        <v>0.17617149999999901</v>
      </c>
      <c r="Z609">
        <v>-2.098736E-2</v>
      </c>
      <c r="AA609">
        <v>0.98413569999999995</v>
      </c>
      <c r="AB609">
        <v>39</v>
      </c>
      <c r="AC609">
        <v>0.58680000000003896</v>
      </c>
      <c r="AD609">
        <v>-0.2063315</v>
      </c>
      <c r="AE609">
        <v>-0.16089999999996901</v>
      </c>
      <c r="AF609">
        <v>0.14647360471457699</v>
      </c>
      <c r="AG609">
        <v>-0.2063315</v>
      </c>
      <c r="AH609">
        <v>0.52568263542514104</v>
      </c>
      <c r="AI609">
        <v>110.711556404155</v>
      </c>
      <c r="AJ609">
        <v>74.430299770569803</v>
      </c>
      <c r="AK609">
        <v>0.58341189391188597</v>
      </c>
      <c r="AL609">
        <v>80.590496394712602</v>
      </c>
      <c r="AM609">
        <v>89.588484032727905</v>
      </c>
      <c r="AN609">
        <v>0.99999998818069602</v>
      </c>
    </row>
    <row r="610" spans="1:40" x14ac:dyDescent="0.25">
      <c r="A610" t="str">
        <f>"20190312172342777"</f>
        <v>20190312172342777</v>
      </c>
      <c r="B610" t="str">
        <f>"1552382622770118"</f>
        <v>1552382622770118</v>
      </c>
      <c r="C610" t="s">
        <v>40</v>
      </c>
      <c r="D610">
        <v>3.7203309999999998</v>
      </c>
      <c r="E610">
        <v>0.56849689999999997</v>
      </c>
      <c r="F610" t="s">
        <v>41</v>
      </c>
      <c r="G610">
        <v>-330.90839999999997</v>
      </c>
      <c r="H610">
        <v>0.89361930000000001</v>
      </c>
      <c r="I610">
        <v>366.98180000000002</v>
      </c>
      <c r="J610">
        <v>-331.64100000000002</v>
      </c>
      <c r="K610">
        <v>1.1099030000000001</v>
      </c>
      <c r="L610">
        <v>367.15</v>
      </c>
      <c r="M610">
        <v>0.99992029999999998</v>
      </c>
      <c r="N610">
        <v>0</v>
      </c>
      <c r="O610">
        <v>4.1286300000000003E-3</v>
      </c>
      <c r="P610">
        <v>0.98841769999999995</v>
      </c>
      <c r="Q610">
        <v>0.1517309</v>
      </c>
      <c r="R610">
        <v>-2.9059810000000002E-3</v>
      </c>
      <c r="S610">
        <v>3.1454469999999999</v>
      </c>
      <c r="T610">
        <v>-0.73000759999999998</v>
      </c>
      <c r="U610">
        <v>-0.56506350000000005</v>
      </c>
      <c r="V610">
        <v>6.9863089999999996E-3</v>
      </c>
      <c r="W610">
        <v>0.16351270000000001</v>
      </c>
      <c r="X610">
        <v>0.98651650000000002</v>
      </c>
      <c r="Y610">
        <v>0.17623029999999901</v>
      </c>
      <c r="Z610">
        <v>-2.0966289999999999E-2</v>
      </c>
      <c r="AA610">
        <v>0.98412569999999999</v>
      </c>
      <c r="AB610">
        <v>39</v>
      </c>
      <c r="AC610">
        <v>0.73259999999999004</v>
      </c>
      <c r="AD610">
        <v>-0.2162837</v>
      </c>
      <c r="AE610">
        <v>-0.168199999999956</v>
      </c>
      <c r="AF610">
        <v>0.15813097299499901</v>
      </c>
      <c r="AG610">
        <v>-0.2162837</v>
      </c>
      <c r="AH610">
        <v>0.675935257698138</v>
      </c>
      <c r="AI610">
        <v>107.305184578937</v>
      </c>
      <c r="AJ610">
        <v>76.832802139650695</v>
      </c>
      <c r="AK610">
        <v>0.72709869763704305</v>
      </c>
      <c r="AL610">
        <v>80.589154998518197</v>
      </c>
      <c r="AM610">
        <v>89.594249737756897</v>
      </c>
      <c r="AN610">
        <v>1.0000000081734901</v>
      </c>
    </row>
    <row r="611" spans="1:40" x14ac:dyDescent="0.25">
      <c r="A611" t="str">
        <f>"20190312172342789"</f>
        <v>20190312172342789</v>
      </c>
      <c r="B611" t="str">
        <f>"1552382622780855"</f>
        <v>1552382622780855</v>
      </c>
      <c r="C611" t="s">
        <v>40</v>
      </c>
      <c r="D611">
        <v>4.011749</v>
      </c>
      <c r="E611">
        <v>0.56847700000000001</v>
      </c>
      <c r="F611" t="s">
        <v>41</v>
      </c>
      <c r="G611">
        <v>-330.89179999999999</v>
      </c>
      <c r="H611">
        <v>0.93609909999999996</v>
      </c>
      <c r="I611">
        <v>367.01569999999998</v>
      </c>
      <c r="J611">
        <v>-331.4314</v>
      </c>
      <c r="K611">
        <v>1.109904</v>
      </c>
      <c r="L611">
        <v>367.1508</v>
      </c>
      <c r="M611">
        <v>0.99992020000000004</v>
      </c>
      <c r="N611">
        <v>0</v>
      </c>
      <c r="O611">
        <v>4.1371610000000003E-3</v>
      </c>
      <c r="P611">
        <v>0.98843289999999995</v>
      </c>
      <c r="Q611">
        <v>0.1516266</v>
      </c>
      <c r="R611">
        <v>-3.1183199999999999E-3</v>
      </c>
      <c r="S611">
        <v>3.145508</v>
      </c>
      <c r="T611">
        <v>-0.72972809999999999</v>
      </c>
      <c r="U611">
        <v>-0.56430049999999998</v>
      </c>
      <c r="V611">
        <v>7.20732199999999E-3</v>
      </c>
      <c r="W611">
        <v>0.16341629999999999</v>
      </c>
      <c r="X611">
        <v>0.98653089999999999</v>
      </c>
      <c r="Y611">
        <v>0.176013</v>
      </c>
      <c r="Z611">
        <v>-2.0935760000000001E-2</v>
      </c>
      <c r="AA611">
        <v>0.98416519999999996</v>
      </c>
      <c r="AB611">
        <v>39</v>
      </c>
      <c r="AC611">
        <v>0.53960000000000696</v>
      </c>
      <c r="AD611">
        <v>-0.17380490000000001</v>
      </c>
      <c r="AE611">
        <v>-0.13510000000002201</v>
      </c>
      <c r="AF611">
        <v>0.125116511325013</v>
      </c>
      <c r="AG611">
        <v>-0.17380490000000001</v>
      </c>
      <c r="AH611">
        <v>0.491091971583973</v>
      </c>
      <c r="AI611">
        <v>108.929897528214</v>
      </c>
      <c r="AJ611">
        <v>75.706711656286799</v>
      </c>
      <c r="AK611">
        <v>0.53575517657264504</v>
      </c>
      <c r="AL611">
        <v>80.594753773568002</v>
      </c>
      <c r="AM611">
        <v>89.581420322904194</v>
      </c>
      <c r="AN611">
        <v>1.0000000246254499</v>
      </c>
    </row>
    <row r="612" spans="1:40" x14ac:dyDescent="0.25">
      <c r="A612" t="str">
        <f>"20190312172342801"</f>
        <v>20190312172342801</v>
      </c>
      <c r="B612" t="str">
        <f>"1552382622790202"</f>
        <v>1552382622790202</v>
      </c>
      <c r="C612" t="s">
        <v>40</v>
      </c>
      <c r="D612">
        <v>3.703614</v>
      </c>
      <c r="E612">
        <v>0.56846750000000001</v>
      </c>
      <c r="F612" t="s">
        <v>41</v>
      </c>
      <c r="G612">
        <v>-330.55439999999999</v>
      </c>
      <c r="H612">
        <v>0.90644449999999999</v>
      </c>
      <c r="I612">
        <v>366.99310000000003</v>
      </c>
      <c r="J612">
        <v>-331.22239999999999</v>
      </c>
      <c r="K612">
        <v>1.109904</v>
      </c>
      <c r="L612">
        <v>367.15170000000001</v>
      </c>
      <c r="M612">
        <v>0.99992020000000004</v>
      </c>
      <c r="N612">
        <v>0</v>
      </c>
      <c r="O612">
        <v>4.1458709999999998E-3</v>
      </c>
      <c r="P612">
        <v>0.98842859999999999</v>
      </c>
      <c r="Q612">
        <v>0.1516595</v>
      </c>
      <c r="R612">
        <v>-2.9808289999999999E-3</v>
      </c>
      <c r="S612">
        <v>3.1452330000000002</v>
      </c>
      <c r="T612">
        <v>-0.7297553</v>
      </c>
      <c r="U612">
        <v>-0.56503300000000001</v>
      </c>
      <c r="V612">
        <v>7.0783089999999996E-3</v>
      </c>
      <c r="W612">
        <v>0.1634572</v>
      </c>
      <c r="X612">
        <v>0.98652510000000004</v>
      </c>
      <c r="Y612">
        <v>0.1762512</v>
      </c>
      <c r="Z612">
        <v>-2.09669E-2</v>
      </c>
      <c r="AA612">
        <v>0.98412189999999999</v>
      </c>
      <c r="AB612">
        <v>39</v>
      </c>
      <c r="AC612">
        <v>0.66800000000000603</v>
      </c>
      <c r="AD612">
        <v>-0.20345949999999999</v>
      </c>
      <c r="AE612">
        <v>-0.15859999999997801</v>
      </c>
      <c r="AF612">
        <v>0.14834115807229001</v>
      </c>
      <c r="AG612">
        <v>-0.20345949999999999</v>
      </c>
      <c r="AH612">
        <v>0.61346317850091003</v>
      </c>
      <c r="AI612">
        <v>107.86757985959601</v>
      </c>
      <c r="AJ612">
        <v>76.406282735245796</v>
      </c>
      <c r="AK612">
        <v>0.66312739250834596</v>
      </c>
      <c r="AL612">
        <v>80.592378827998104</v>
      </c>
      <c r="AM612">
        <v>89.588910335302401</v>
      </c>
      <c r="AN612">
        <v>1.0000000658100701</v>
      </c>
    </row>
    <row r="613" spans="1:40" x14ac:dyDescent="0.25">
      <c r="A613" t="str">
        <f>"20190312172342812"</f>
        <v>20190312172342812</v>
      </c>
      <c r="B613" t="str">
        <f>"1552382622799961"</f>
        <v>1552382622799961</v>
      </c>
      <c r="C613" t="s">
        <v>40</v>
      </c>
      <c r="D613">
        <v>3.7227239999999999</v>
      </c>
      <c r="E613">
        <v>0.56847199999999998</v>
      </c>
      <c r="F613" t="s">
        <v>41</v>
      </c>
      <c r="G613">
        <v>-330.21690000000001</v>
      </c>
      <c r="H613">
        <v>0.87670249999999905</v>
      </c>
      <c r="I613">
        <v>366.97109999999998</v>
      </c>
      <c r="J613">
        <v>-331.01929999999999</v>
      </c>
      <c r="K613">
        <v>1.1099060000000001</v>
      </c>
      <c r="L613">
        <v>367.15260000000001</v>
      </c>
      <c r="M613">
        <v>0.99992000000000003</v>
      </c>
      <c r="N613">
        <v>0</v>
      </c>
      <c r="O613">
        <v>4.1542310000000004E-3</v>
      </c>
      <c r="P613">
        <v>0.98847189999999996</v>
      </c>
      <c r="Q613">
        <v>0.15137590000000001</v>
      </c>
      <c r="R613">
        <v>-2.9180289999999999E-3</v>
      </c>
      <c r="S613">
        <v>3.1453549999999999</v>
      </c>
      <c r="T613">
        <v>-0.72953059999999903</v>
      </c>
      <c r="U613">
        <v>-0.56460569999999999</v>
      </c>
      <c r="V613">
        <v>7.0241339999999996E-3</v>
      </c>
      <c r="W613">
        <v>0.16318150000000001</v>
      </c>
      <c r="X613">
        <v>0.98657110000000003</v>
      </c>
      <c r="Y613">
        <v>0.17612929999999999</v>
      </c>
      <c r="Z613">
        <v>-2.0948120000000001E-2</v>
      </c>
      <c r="AA613">
        <v>0.98414420000000002</v>
      </c>
      <c r="AB613">
        <v>39</v>
      </c>
      <c r="AC613">
        <v>0.80239999999997702</v>
      </c>
      <c r="AD613">
        <v>-0.23320350000000001</v>
      </c>
      <c r="AE613">
        <v>-0.181500000000028</v>
      </c>
      <c r="AF613">
        <v>0.171084395362647</v>
      </c>
      <c r="AG613">
        <v>-0.23320350000000001</v>
      </c>
      <c r="AH613">
        <v>0.74201387645016903</v>
      </c>
      <c r="AI613">
        <v>107.027187560107</v>
      </c>
      <c r="AJ613">
        <v>77.0163494737928</v>
      </c>
      <c r="AK613">
        <v>0.79639081837591497</v>
      </c>
      <c r="AL613">
        <v>80.608389990018907</v>
      </c>
      <c r="AM613">
        <v>89.592075590982503</v>
      </c>
      <c r="AN613">
        <v>1.0000000378779501</v>
      </c>
    </row>
    <row r="614" spans="1:40" x14ac:dyDescent="0.25">
      <c r="A614" t="str">
        <f>"20190312172342824"</f>
        <v>20190312172342824</v>
      </c>
      <c r="B614" t="str">
        <f>"1552382622820457"</f>
        <v>1552382622820457</v>
      </c>
      <c r="C614" t="s">
        <v>40</v>
      </c>
      <c r="D614">
        <v>4.0005839999999999</v>
      </c>
      <c r="E614">
        <v>0.56847009999999998</v>
      </c>
      <c r="F614" t="s">
        <v>41</v>
      </c>
      <c r="G614">
        <v>-330.20030000000003</v>
      </c>
      <c r="H614">
        <v>0.91978559999999998</v>
      </c>
      <c r="I614">
        <v>367.00540000000001</v>
      </c>
      <c r="J614">
        <v>-330.81869999999998</v>
      </c>
      <c r="K614">
        <v>1.1099060000000001</v>
      </c>
      <c r="L614">
        <v>367.15339999999998</v>
      </c>
      <c r="M614">
        <v>0.99991989999999997</v>
      </c>
      <c r="N614">
        <v>0</v>
      </c>
      <c r="O614">
        <v>4.1622949999999999E-3</v>
      </c>
      <c r="P614">
        <v>0.98846750000000005</v>
      </c>
      <c r="Q614">
        <v>0.15140580000000001</v>
      </c>
      <c r="R614">
        <v>-2.9577290000000001E-3</v>
      </c>
      <c r="S614">
        <v>3.1451419999999999</v>
      </c>
      <c r="T614">
        <v>-0.73020490000000005</v>
      </c>
      <c r="U614">
        <v>-0.56478879999999998</v>
      </c>
      <c r="V614">
        <v>7.0715719999999999E-3</v>
      </c>
      <c r="W614">
        <v>0.16321820000000001</v>
      </c>
      <c r="X614">
        <v>0.98656460000000001</v>
      </c>
      <c r="Y614">
        <v>0.1761934</v>
      </c>
      <c r="Z614">
        <v>-2.0977389999999999E-2</v>
      </c>
      <c r="AA614">
        <v>0.98413200000000001</v>
      </c>
      <c r="AB614">
        <v>39</v>
      </c>
      <c r="AC614">
        <v>0.61839999999995099</v>
      </c>
      <c r="AD614">
        <v>-0.19012039999999999</v>
      </c>
      <c r="AE614">
        <v>-0.14799999999996699</v>
      </c>
      <c r="AF614">
        <v>0.138216535766614</v>
      </c>
      <c r="AG614">
        <v>-0.19012039999999999</v>
      </c>
      <c r="AH614">
        <v>0.56708235631396298</v>
      </c>
      <c r="AI614">
        <v>108.041738171996</v>
      </c>
      <c r="AJ614">
        <v>76.302216531776097</v>
      </c>
      <c r="AK614">
        <v>0.61386641551568799</v>
      </c>
      <c r="AL614">
        <v>80.606257817459806</v>
      </c>
      <c r="AM614">
        <v>89.589318032174006</v>
      </c>
      <c r="AN614">
        <v>0.99999994895747402</v>
      </c>
    </row>
    <row r="615" spans="1:40" x14ac:dyDescent="0.25">
      <c r="A615" t="str">
        <f>"20190312172342837"</f>
        <v>20190312172342837</v>
      </c>
      <c r="B615" t="str">
        <f>"1552382622830217"</f>
        <v>1552382622830217</v>
      </c>
      <c r="C615" t="s">
        <v>40</v>
      </c>
      <c r="D615">
        <v>3.7032940000000001</v>
      </c>
      <c r="E615">
        <v>0.56845829999999997</v>
      </c>
      <c r="F615" t="s">
        <v>41</v>
      </c>
      <c r="G615">
        <v>-329.86340000000001</v>
      </c>
      <c r="H615">
        <v>0.8882525</v>
      </c>
      <c r="I615">
        <v>366.98140000000001</v>
      </c>
      <c r="J615">
        <v>-330.6044</v>
      </c>
      <c r="K615">
        <v>1.109907</v>
      </c>
      <c r="L615">
        <v>367.15429999999998</v>
      </c>
      <c r="M615">
        <v>0.99991969999999997</v>
      </c>
      <c r="N615">
        <v>0</v>
      </c>
      <c r="O615">
        <v>4.1711350000000003E-3</v>
      </c>
      <c r="P615">
        <v>0.98842819999999998</v>
      </c>
      <c r="Q615">
        <v>0.15166279999999999</v>
      </c>
      <c r="R615">
        <v>-2.867629E-3</v>
      </c>
      <c r="S615">
        <v>3.145111</v>
      </c>
      <c r="T615">
        <v>-0.72983999999999905</v>
      </c>
      <c r="U615">
        <v>-0.56515499999999996</v>
      </c>
      <c r="V615">
        <v>6.9901540000000002E-3</v>
      </c>
      <c r="W615">
        <v>0.1634816</v>
      </c>
      <c r="X615">
        <v>0.9865216</v>
      </c>
      <c r="Y615">
        <v>0.176316</v>
      </c>
      <c r="Z615">
        <v>-2.0983100000000001E-2</v>
      </c>
      <c r="AA615">
        <v>0.98410989999999998</v>
      </c>
      <c r="AB615">
        <v>39</v>
      </c>
      <c r="AC615">
        <v>0.740999999999985</v>
      </c>
      <c r="AD615">
        <v>-0.2216545</v>
      </c>
      <c r="AE615">
        <v>-0.17289999999996999</v>
      </c>
      <c r="AF615">
        <v>0.16222355540577299</v>
      </c>
      <c r="AG615">
        <v>-0.2216545</v>
      </c>
      <c r="AH615">
        <v>0.68236791000202102</v>
      </c>
      <c r="AI615">
        <v>107.537761346857</v>
      </c>
      <c r="AJ615">
        <v>76.626971456336406</v>
      </c>
      <c r="AK615">
        <v>0.73557675595363003</v>
      </c>
      <c r="AL615">
        <v>80.590960948891194</v>
      </c>
      <c r="AM615">
        <v>89.594028534327506</v>
      </c>
      <c r="AN615">
        <v>0.99999998152903102</v>
      </c>
    </row>
    <row r="616" spans="1:40" x14ac:dyDescent="0.25">
      <c r="A616" t="str">
        <f>"20190312172342853"</f>
        <v>20190312172342853</v>
      </c>
      <c r="B616" t="str">
        <f>"1552382622850713"</f>
        <v>1552382622850713</v>
      </c>
      <c r="C616" t="s">
        <v>40</v>
      </c>
      <c r="D616">
        <v>3.7289110000000001</v>
      </c>
      <c r="E616">
        <v>0.56842269999999995</v>
      </c>
      <c r="F616" t="s">
        <v>41</v>
      </c>
      <c r="G616">
        <v>-329.84559999999999</v>
      </c>
      <c r="H616">
        <v>0.93409779999999998</v>
      </c>
      <c r="I616">
        <v>367.01780000000002</v>
      </c>
      <c r="J616">
        <v>-330.31670000000003</v>
      </c>
      <c r="K616">
        <v>1.109907</v>
      </c>
      <c r="L616">
        <v>367.15550000000002</v>
      </c>
      <c r="M616">
        <v>0.99991960000000002</v>
      </c>
      <c r="N616">
        <v>0</v>
      </c>
      <c r="O616">
        <v>4.1827100000000001E-3</v>
      </c>
      <c r="P616">
        <v>0.98842600000000003</v>
      </c>
      <c r="Q616">
        <v>0.1516787</v>
      </c>
      <c r="R616">
        <v>-2.758833E-3</v>
      </c>
      <c r="S616">
        <v>3.1453549999999999</v>
      </c>
      <c r="T616">
        <v>-0.72890519999999903</v>
      </c>
      <c r="U616">
        <v>-0.56445310000000004</v>
      </c>
      <c r="V616">
        <v>6.8927980000000003E-3</v>
      </c>
      <c r="W616">
        <v>0.16350519999999999</v>
      </c>
      <c r="X616">
        <v>0.98651840000000002</v>
      </c>
      <c r="Y616">
        <v>0.17611840000000001</v>
      </c>
      <c r="Z616">
        <v>-2.0935929999999998E-2</v>
      </c>
      <c r="AA616">
        <v>0.98414639999999998</v>
      </c>
      <c r="AB616">
        <v>39</v>
      </c>
      <c r="AC616">
        <v>0.47110000000003499</v>
      </c>
      <c r="AD616">
        <v>-0.175809199999999</v>
      </c>
      <c r="AE616">
        <v>-0.13769999999999499</v>
      </c>
      <c r="AF616">
        <v>0.123786633473233</v>
      </c>
      <c r="AG616">
        <v>-0.175809199999999</v>
      </c>
      <c r="AH616">
        <v>0.41701379845741299</v>
      </c>
      <c r="AI616">
        <v>112.00661511185</v>
      </c>
      <c r="AJ616">
        <v>73.466972567365502</v>
      </c>
      <c r="AK616">
        <v>0.46918281462043798</v>
      </c>
      <c r="AL616">
        <v>80.589590570814806</v>
      </c>
      <c r="AM616">
        <v>89.599681254725695</v>
      </c>
      <c r="AN616">
        <v>1.00000000731493</v>
      </c>
    </row>
    <row r="617" spans="1:40" x14ac:dyDescent="0.25">
      <c r="A617" t="str">
        <f>"20190312172342865"</f>
        <v>20190312172342865</v>
      </c>
      <c r="B617" t="str">
        <f>"1552382622860473"</f>
        <v>1552382622860473</v>
      </c>
      <c r="C617" t="s">
        <v>40</v>
      </c>
      <c r="D617">
        <v>3.9686080000000001</v>
      </c>
      <c r="E617">
        <v>0.56840239999999997</v>
      </c>
      <c r="F617" t="s">
        <v>41</v>
      </c>
      <c r="G617">
        <v>-329.5016</v>
      </c>
      <c r="H617">
        <v>0.92115619999999998</v>
      </c>
      <c r="I617">
        <v>367.00940000000003</v>
      </c>
      <c r="J617">
        <v>-330.1139</v>
      </c>
      <c r="K617">
        <v>1.1099030000000001</v>
      </c>
      <c r="L617">
        <v>367.15629999999999</v>
      </c>
      <c r="M617">
        <v>0.99991949999999996</v>
      </c>
      <c r="N617">
        <v>0</v>
      </c>
      <c r="O617">
        <v>4.1907259999999997E-3</v>
      </c>
      <c r="P617">
        <v>0.98841849999999998</v>
      </c>
      <c r="Q617">
        <v>0.151727799999999</v>
      </c>
      <c r="R617">
        <v>-2.7451789999999999E-3</v>
      </c>
      <c r="S617">
        <v>3.145416</v>
      </c>
      <c r="T617">
        <v>-0.72850009999999998</v>
      </c>
      <c r="U617">
        <v>-0.56372069999999996</v>
      </c>
      <c r="V617">
        <v>6.8870889999999999E-3</v>
      </c>
      <c r="W617">
        <v>0.1635597</v>
      </c>
      <c r="X617">
        <v>0.98650939999999998</v>
      </c>
      <c r="Y617">
        <v>0.17591099999999901</v>
      </c>
      <c r="Z617">
        <v>-2.090291E-2</v>
      </c>
      <c r="AA617">
        <v>0.98418410000000001</v>
      </c>
      <c r="AB617">
        <v>39</v>
      </c>
      <c r="AC617">
        <v>0.61230000000000395</v>
      </c>
      <c r="AD617">
        <v>-0.18874679999999999</v>
      </c>
      <c r="AE617">
        <v>-0.14689999999995901</v>
      </c>
      <c r="AF617">
        <v>0.13714240638265701</v>
      </c>
      <c r="AG617">
        <v>-0.18874679999999999</v>
      </c>
      <c r="AH617">
        <v>0.56124975425711199</v>
      </c>
      <c r="AI617">
        <v>108.091484076852</v>
      </c>
      <c r="AJ617">
        <v>76.268738843744401</v>
      </c>
      <c r="AK617">
        <v>0.60781138586927996</v>
      </c>
      <c r="AL617">
        <v>80.586425288694102</v>
      </c>
      <c r="AM617">
        <v>89.600009161280894</v>
      </c>
      <c r="AN617">
        <v>1.0000000018736701</v>
      </c>
    </row>
    <row r="618" spans="1:40" x14ac:dyDescent="0.25">
      <c r="A618" t="str">
        <f>"20190312172342876"</f>
        <v>20190312172342876</v>
      </c>
      <c r="B618" t="str">
        <f>"1552382622870233"</f>
        <v>1552382622870233</v>
      </c>
      <c r="C618" t="s">
        <v>40</v>
      </c>
      <c r="D618">
        <v>3.9519120000000001</v>
      </c>
      <c r="E618">
        <v>0.56840239999999997</v>
      </c>
      <c r="F618" t="s">
        <v>41</v>
      </c>
      <c r="G618">
        <v>-329.16449999999998</v>
      </c>
      <c r="H618">
        <v>0.89011549999999995</v>
      </c>
      <c r="I618">
        <v>366.98610000000002</v>
      </c>
      <c r="J618">
        <v>-329.91449999999998</v>
      </c>
      <c r="K618">
        <v>1.1099030000000001</v>
      </c>
      <c r="L618">
        <v>367.15719999999999</v>
      </c>
      <c r="M618">
        <v>0.99991949999999996</v>
      </c>
      <c r="N618">
        <v>0</v>
      </c>
      <c r="O618">
        <v>4.1986230000000003E-3</v>
      </c>
      <c r="P618">
        <v>0.98846820000000002</v>
      </c>
      <c r="Q618">
        <v>0.15140989999999999</v>
      </c>
      <c r="R618">
        <v>-2.479672E-3</v>
      </c>
      <c r="S618">
        <v>3.1453549999999999</v>
      </c>
      <c r="T618">
        <v>-0.72818450000000001</v>
      </c>
      <c r="U618">
        <v>-0.56317139999999999</v>
      </c>
      <c r="V618">
        <v>6.6294889999999997E-3</v>
      </c>
      <c r="W618">
        <v>0.1632469</v>
      </c>
      <c r="X618">
        <v>0.98656299999999997</v>
      </c>
      <c r="Y618">
        <v>0.1757628</v>
      </c>
      <c r="Z618">
        <v>-2.0879769999999999E-2</v>
      </c>
      <c r="AA618">
        <v>0.98421110000000001</v>
      </c>
      <c r="AB618">
        <v>39</v>
      </c>
      <c r="AC618">
        <v>0.75</v>
      </c>
      <c r="AD618">
        <v>-0.2197875</v>
      </c>
      <c r="AE618">
        <v>-0.171099999999967</v>
      </c>
      <c r="AF618">
        <v>0.16109732757387901</v>
      </c>
      <c r="AG618">
        <v>-0.2197875</v>
      </c>
      <c r="AH618">
        <v>0.69272766919205198</v>
      </c>
      <c r="AI618">
        <v>107.172816428622</v>
      </c>
      <c r="AJ618">
        <v>76.908274099395001</v>
      </c>
      <c r="AK618">
        <v>0.74439943429045496</v>
      </c>
      <c r="AL618">
        <v>80.604591810792598</v>
      </c>
      <c r="AM618">
        <v>89.614990605900203</v>
      </c>
      <c r="AN618">
        <v>1.0000000267264999</v>
      </c>
    </row>
    <row r="619" spans="1:40" x14ac:dyDescent="0.25">
      <c r="A619" t="str">
        <f>"20190312172342887"</f>
        <v>20190312172342887</v>
      </c>
      <c r="B619" t="str">
        <f>"1552382622880969"</f>
        <v>1552382622880969</v>
      </c>
      <c r="C619" t="s">
        <v>40</v>
      </c>
      <c r="D619">
        <v>3.9704350000000002</v>
      </c>
      <c r="E619">
        <v>0.54408140000000005</v>
      </c>
      <c r="F619" t="s">
        <v>41</v>
      </c>
      <c r="G619">
        <v>-329.14819999999997</v>
      </c>
      <c r="H619">
        <v>0.93228900000000003</v>
      </c>
      <c r="I619">
        <v>367.01990000000001</v>
      </c>
      <c r="J619">
        <v>-329.70190000000002</v>
      </c>
      <c r="K619">
        <v>1.109901</v>
      </c>
      <c r="L619">
        <v>367.15809999999999</v>
      </c>
      <c r="M619">
        <v>0.99991940000000001</v>
      </c>
      <c r="N619">
        <v>0</v>
      </c>
      <c r="O619">
        <v>4.2073550000000003E-3</v>
      </c>
      <c r="P619">
        <v>0.98842140000000001</v>
      </c>
      <c r="Q619">
        <v>0.15171799999999999</v>
      </c>
      <c r="R619">
        <v>-2.2964460000000002E-3</v>
      </c>
      <c r="S619">
        <v>3.1452640000000001</v>
      </c>
      <c r="T619">
        <v>-0.72904650000000004</v>
      </c>
      <c r="U619">
        <v>-0.56265259999999995</v>
      </c>
      <c r="V619">
        <v>6.4545940000000001E-3</v>
      </c>
      <c r="W619">
        <v>0.1635597</v>
      </c>
      <c r="X619">
        <v>0.98651230000000001</v>
      </c>
      <c r="Y619">
        <v>0.1756115</v>
      </c>
      <c r="Z619">
        <v>-2.088953E-2</v>
      </c>
      <c r="AA619">
        <v>0.9842379</v>
      </c>
      <c r="AB619">
        <v>39</v>
      </c>
      <c r="AC619">
        <v>0.55370000000004804</v>
      </c>
      <c r="AD619">
        <v>-0.17761199999999999</v>
      </c>
      <c r="AE619">
        <v>-0.138199999999983</v>
      </c>
      <c r="AF619">
        <v>0.12811882021365001</v>
      </c>
      <c r="AG619">
        <v>-0.17761199999999999</v>
      </c>
      <c r="AH619">
        <v>0.50426947955489698</v>
      </c>
      <c r="AI619">
        <v>108.84840994638201</v>
      </c>
      <c r="AJ619">
        <v>75.744589925833907</v>
      </c>
      <c r="AK619">
        <v>0.549771009282505</v>
      </c>
      <c r="AL619">
        <v>80.586425058584197</v>
      </c>
      <c r="AM619">
        <v>89.625128122973393</v>
      </c>
      <c r="AN619">
        <v>0.99999997764954196</v>
      </c>
    </row>
    <row r="620" spans="1:40" x14ac:dyDescent="0.25">
      <c r="A620" t="str">
        <f>"20190312172342910"</f>
        <v>20190312172342910</v>
      </c>
      <c r="B620" t="str">
        <f>"1552382622900865"</f>
        <v>1552382622900865</v>
      </c>
      <c r="C620" t="s">
        <v>40</v>
      </c>
      <c r="D620">
        <v>3.7647170000000001</v>
      </c>
      <c r="E620">
        <v>0.51673879999999905</v>
      </c>
      <c r="F620" t="s">
        <v>41</v>
      </c>
      <c r="G620">
        <v>-328.80189999999999</v>
      </c>
      <c r="H620">
        <v>0.92876789999999998</v>
      </c>
      <c r="I620">
        <v>367.05250000000001</v>
      </c>
      <c r="J620">
        <v>-329.31639999999999</v>
      </c>
      <c r="K620">
        <v>1.1098969999999999</v>
      </c>
      <c r="L620">
        <v>367.15980000000002</v>
      </c>
      <c r="M620">
        <v>0.99991909999999895</v>
      </c>
      <c r="N620">
        <v>0</v>
      </c>
      <c r="O620">
        <v>4.2232770000000001E-3</v>
      </c>
      <c r="P620">
        <v>0.98843789999999998</v>
      </c>
      <c r="Q620">
        <v>0.1516122</v>
      </c>
      <c r="R620">
        <v>-2.1332590000000002E-3</v>
      </c>
      <c r="S620">
        <v>3.1310730000000002</v>
      </c>
      <c r="T620">
        <v>-0.63025549999999997</v>
      </c>
      <c r="U620">
        <v>-0.36715700000000001</v>
      </c>
      <c r="V620">
        <v>6.3074079999999996E-3</v>
      </c>
      <c r="W620">
        <v>0.16346189999999999</v>
      </c>
      <c r="X620">
        <v>0.98652949999999995</v>
      </c>
      <c r="Y620">
        <v>0.1182346</v>
      </c>
      <c r="Z620">
        <v>-1.258154E-2</v>
      </c>
      <c r="AA620">
        <v>0.99290599999999996</v>
      </c>
      <c r="AB620">
        <v>39</v>
      </c>
      <c r="AC620">
        <v>0.51449999999999796</v>
      </c>
      <c r="AD620">
        <v>-0.18112909999999999</v>
      </c>
      <c r="AE620">
        <v>-0.107300000000009</v>
      </c>
      <c r="AF620">
        <v>9.7850169507885706E-2</v>
      </c>
      <c r="AG620">
        <v>-0.18112909999999999</v>
      </c>
      <c r="AH620">
        <v>0.45946985344399799</v>
      </c>
      <c r="AI620">
        <v>111.084984277695</v>
      </c>
      <c r="AJ620">
        <v>77.977710415475798</v>
      </c>
      <c r="AK620">
        <v>0.50348282270935596</v>
      </c>
      <c r="AL620">
        <v>80.592105386629001</v>
      </c>
      <c r="AM620">
        <v>89.633682587285094</v>
      </c>
      <c r="AN620">
        <v>1.00000001525876</v>
      </c>
    </row>
    <row r="621" spans="1:40" x14ac:dyDescent="0.25">
      <c r="A621" t="str">
        <f>"20190312172342924"</f>
        <v>20190312172342924</v>
      </c>
      <c r="B621" t="str">
        <f>"1552382622920386"</f>
        <v>1552382622920386</v>
      </c>
      <c r="C621" t="s">
        <v>40</v>
      </c>
      <c r="D621">
        <v>3.7129889999999999</v>
      </c>
      <c r="E621">
        <v>0.5123297</v>
      </c>
      <c r="F621" t="s">
        <v>41</v>
      </c>
      <c r="G621">
        <v>-328.40559999999999</v>
      </c>
      <c r="H621">
        <v>1.026843</v>
      </c>
      <c r="I621">
        <v>367.11630000000002</v>
      </c>
      <c r="J621">
        <v>-329.08</v>
      </c>
      <c r="K621">
        <v>1.1098969999999999</v>
      </c>
      <c r="L621">
        <v>367.16079999999999</v>
      </c>
      <c r="M621">
        <v>0.99991909999999895</v>
      </c>
      <c r="N621">
        <v>0</v>
      </c>
      <c r="O621">
        <v>4.2330220000000003E-3</v>
      </c>
      <c r="P621">
        <v>0.98844889999999996</v>
      </c>
      <c r="Q621">
        <v>0.1515415</v>
      </c>
      <c r="R621">
        <v>-2.0348950000000001E-3</v>
      </c>
      <c r="S621">
        <v>3.07782</v>
      </c>
      <c r="T621">
        <v>-0.28090009999999999</v>
      </c>
      <c r="U621">
        <v>-0.14584349999999999</v>
      </c>
      <c r="V621">
        <v>6.218866E-3</v>
      </c>
      <c r="W621">
        <v>0.16339600000000001</v>
      </c>
      <c r="X621">
        <v>0.986541</v>
      </c>
      <c r="Y621">
        <v>5.1329960000000001E-2</v>
      </c>
      <c r="Z621">
        <v>-2.7215300000000002E-3</v>
      </c>
      <c r="AA621">
        <v>0.99867799999999995</v>
      </c>
      <c r="AB621">
        <v>39</v>
      </c>
      <c r="AC621">
        <v>0.67439999999999101</v>
      </c>
      <c r="AD621">
        <v>-8.3053999999999906E-2</v>
      </c>
      <c r="AE621">
        <v>-4.4499999999970799E-2</v>
      </c>
      <c r="AF621">
        <v>4.6650104035374902E-2</v>
      </c>
      <c r="AG621">
        <v>-8.3053999999999906E-2</v>
      </c>
      <c r="AH621">
        <v>0.66417600276425004</v>
      </c>
      <c r="AI621">
        <v>97.110396963165002</v>
      </c>
      <c r="AJ621">
        <v>85.982282279844796</v>
      </c>
      <c r="AK621">
        <v>0.67097240015548198</v>
      </c>
      <c r="AL621">
        <v>80.595932831224701</v>
      </c>
      <c r="AM621">
        <v>89.638828943069399</v>
      </c>
      <c r="AN621">
        <v>1.00000003589566</v>
      </c>
    </row>
    <row r="622" spans="1:40" x14ac:dyDescent="0.25">
      <c r="A622" t="str">
        <f>"20190312172342943"</f>
        <v>20190312172342943</v>
      </c>
      <c r="B622" t="str">
        <f>"1552382622940882"</f>
        <v>1552382622940882</v>
      </c>
      <c r="C622" t="s">
        <v>40</v>
      </c>
      <c r="D622">
        <v>3.7377400000000001</v>
      </c>
      <c r="E622">
        <v>0.51106609999999997</v>
      </c>
      <c r="F622" t="s">
        <v>41</v>
      </c>
      <c r="G622">
        <v>-328.05369999999999</v>
      </c>
      <c r="H622">
        <v>1.0322420000000001</v>
      </c>
      <c r="I622">
        <v>367.1241</v>
      </c>
      <c r="J622">
        <v>-328.73750000000001</v>
      </c>
      <c r="K622">
        <v>1.1099000000000001</v>
      </c>
      <c r="L622">
        <v>367.16219999999998</v>
      </c>
      <c r="M622">
        <v>0.99991890000000005</v>
      </c>
      <c r="N622">
        <v>0</v>
      </c>
      <c r="O622">
        <v>4.246578E-3</v>
      </c>
      <c r="P622">
        <v>0.98841509999999999</v>
      </c>
      <c r="Q622">
        <v>0.15175720000000001</v>
      </c>
      <c r="R622">
        <v>-2.3767430000000002E-3</v>
      </c>
      <c r="S622">
        <v>3.0704349999999998</v>
      </c>
      <c r="T622">
        <v>-0.2322148</v>
      </c>
      <c r="U622">
        <v>-0.1099854</v>
      </c>
      <c r="V622">
        <v>6.5736299999999996E-3</v>
      </c>
      <c r="W622">
        <v>0.16361709999999999</v>
      </c>
      <c r="X622">
        <v>0.98650199999999999</v>
      </c>
      <c r="Y622">
        <v>3.9915699999999998E-2</v>
      </c>
      <c r="Z622">
        <v>-1.827399E-3</v>
      </c>
      <c r="AA622">
        <v>0.99920140000000002</v>
      </c>
      <c r="AB622">
        <v>39</v>
      </c>
      <c r="AC622">
        <v>0.68380000000001895</v>
      </c>
      <c r="AD622">
        <v>-7.7658000000000005E-2</v>
      </c>
      <c r="AE622">
        <v>-3.8099999999985798E-2</v>
      </c>
      <c r="AF622">
        <v>4.0483149896959197E-2</v>
      </c>
      <c r="AG622">
        <v>-7.7658000000000005E-2</v>
      </c>
      <c r="AH622">
        <v>0.67495358172886699</v>
      </c>
      <c r="AI622">
        <v>96.5517366530309</v>
      </c>
      <c r="AJ622">
        <v>86.567559313165006</v>
      </c>
      <c r="AK622">
        <v>0.68061148085982603</v>
      </c>
      <c r="AL622">
        <v>80.583091413070903</v>
      </c>
      <c r="AM622">
        <v>89.618210930608399</v>
      </c>
      <c r="AN622">
        <v>0.99999998201389295</v>
      </c>
    </row>
    <row r="623" spans="1:40" x14ac:dyDescent="0.25">
      <c r="A623" t="str">
        <f>"20190312172342967"</f>
        <v>20190312172342967</v>
      </c>
      <c r="B623" t="str">
        <f>"1552382622960403"</f>
        <v>1552382622960403</v>
      </c>
      <c r="C623" t="s">
        <v>40</v>
      </c>
      <c r="D623">
        <v>3.698261</v>
      </c>
      <c r="E623">
        <v>0.51033419999999996</v>
      </c>
      <c r="F623" t="s">
        <v>41</v>
      </c>
      <c r="G623">
        <v>-327.7022</v>
      </c>
      <c r="H623">
        <v>1.036653</v>
      </c>
      <c r="I623">
        <v>367.12810000000002</v>
      </c>
      <c r="J623">
        <v>-328.33479999999997</v>
      </c>
      <c r="K623">
        <v>1.1099000000000001</v>
      </c>
      <c r="L623">
        <v>367.16390000000001</v>
      </c>
      <c r="M623">
        <v>0.9999188</v>
      </c>
      <c r="N623">
        <v>0</v>
      </c>
      <c r="O623">
        <v>4.2630489999999997E-3</v>
      </c>
      <c r="P623">
        <v>0.98838020000000004</v>
      </c>
      <c r="Q623">
        <v>0.15198800000000001</v>
      </c>
      <c r="R623">
        <v>-2.1372299999999999E-3</v>
      </c>
      <c r="S623">
        <v>3.068298</v>
      </c>
      <c r="T623">
        <v>-0.21720709999999999</v>
      </c>
      <c r="U623">
        <v>-0.10070800000000001</v>
      </c>
      <c r="V623">
        <v>6.3504690000000001E-3</v>
      </c>
      <c r="W623">
        <v>0.16385420000000001</v>
      </c>
      <c r="X623">
        <v>0.98646409999999995</v>
      </c>
      <c r="Y623">
        <v>3.6962139999999997E-2</v>
      </c>
      <c r="Z623">
        <v>-1.6076560000000001E-3</v>
      </c>
      <c r="AA623">
        <v>0.99931539999999996</v>
      </c>
      <c r="AB623">
        <v>39</v>
      </c>
      <c r="AC623">
        <v>0.63259999999996797</v>
      </c>
      <c r="AD623">
        <v>-7.3247000000000007E-2</v>
      </c>
      <c r="AE623">
        <v>-3.5799999999994697E-2</v>
      </c>
      <c r="AF623">
        <v>3.7988993489617602E-2</v>
      </c>
      <c r="AG623">
        <v>-7.3247000000000007E-2</v>
      </c>
      <c r="AH623">
        <v>0.62410120756667897</v>
      </c>
      <c r="AI623">
        <v>96.681583772621394</v>
      </c>
      <c r="AJ623">
        <v>86.516708012040795</v>
      </c>
      <c r="AK623">
        <v>0.62953205154427305</v>
      </c>
      <c r="AL623">
        <v>80.569320661155601</v>
      </c>
      <c r="AM623">
        <v>89.631157337237696</v>
      </c>
      <c r="AN623">
        <v>0.99999997395148399</v>
      </c>
    </row>
    <row r="624" spans="1:40" x14ac:dyDescent="0.25">
      <c r="A624" t="str">
        <f>"20190312172342979"</f>
        <v>20190312172342979</v>
      </c>
      <c r="B624" t="str">
        <f>"1552382622971137"</f>
        <v>1552382622971137</v>
      </c>
      <c r="C624" t="s">
        <v>40</v>
      </c>
      <c r="D624">
        <v>3.7172879999999999</v>
      </c>
      <c r="E624">
        <v>0.51013399999999998</v>
      </c>
      <c r="F624" t="s">
        <v>41</v>
      </c>
      <c r="G624">
        <v>-327.34899999999999</v>
      </c>
      <c r="H624">
        <v>1.043531</v>
      </c>
      <c r="I624">
        <v>367.13339999999999</v>
      </c>
      <c r="J624">
        <v>-328.10250000000002</v>
      </c>
      <c r="K624">
        <v>1.109899</v>
      </c>
      <c r="L624">
        <v>367.16489999999999</v>
      </c>
      <c r="M624">
        <v>0.99991859999999999</v>
      </c>
      <c r="N624">
        <v>0</v>
      </c>
      <c r="O624">
        <v>4.2726259999999999E-3</v>
      </c>
      <c r="P624">
        <v>0.9884174</v>
      </c>
      <c r="Q624">
        <v>0.15174470000000001</v>
      </c>
      <c r="R624">
        <v>-2.1728070000000001E-3</v>
      </c>
      <c r="S624">
        <v>3.0668329999999999</v>
      </c>
      <c r="T624">
        <v>-0.20657790000000001</v>
      </c>
      <c r="U624">
        <v>-9.4390870000000002E-2</v>
      </c>
      <c r="V624">
        <v>6.3956019999999898E-3</v>
      </c>
      <c r="W624">
        <v>0.16361429999999999</v>
      </c>
      <c r="X624">
        <v>0.98650369999999998</v>
      </c>
      <c r="Y624">
        <v>3.4945240000000002E-2</v>
      </c>
      <c r="Z624">
        <v>-1.46275299999999E-3</v>
      </c>
      <c r="AA624">
        <v>0.99938819999999995</v>
      </c>
      <c r="AB624">
        <v>39</v>
      </c>
      <c r="AC624">
        <v>0.75350000000003003</v>
      </c>
      <c r="AD624">
        <v>-6.6367999999999899E-2</v>
      </c>
      <c r="AE624">
        <v>-3.1499999999993998E-2</v>
      </c>
      <c r="AF624">
        <v>3.4452551503887902E-2</v>
      </c>
      <c r="AG624">
        <v>-6.6367999999999899E-2</v>
      </c>
      <c r="AH624">
        <v>0.74756898607243805</v>
      </c>
      <c r="AI624">
        <v>95.067977413391702</v>
      </c>
      <c r="AJ624">
        <v>87.361327083301802</v>
      </c>
      <c r="AK624">
        <v>0.75129959314943195</v>
      </c>
      <c r="AL624">
        <v>80.583254645485297</v>
      </c>
      <c r="AM624">
        <v>89.628550943838107</v>
      </c>
      <c r="AN624">
        <v>1.0000000465015599</v>
      </c>
    </row>
    <row r="625" spans="1:40" x14ac:dyDescent="0.25">
      <c r="A625" t="str">
        <f>"20190312172342999"</f>
        <v>20190312172342999</v>
      </c>
      <c r="B625" t="str">
        <f>"1552382622990192"</f>
        <v>1552382622990192</v>
      </c>
      <c r="C625" t="s">
        <v>40</v>
      </c>
      <c r="D625">
        <v>3.738569</v>
      </c>
      <c r="E625">
        <v>0.50974070000000005</v>
      </c>
      <c r="F625" t="s">
        <v>42</v>
      </c>
      <c r="G625">
        <v>-310.73869999999999</v>
      </c>
      <c r="H625">
        <v>-0.05</v>
      </c>
      <c r="I625">
        <v>366.63850000000002</v>
      </c>
      <c r="J625">
        <v>-327.75779999999997</v>
      </c>
      <c r="K625">
        <v>1.1099019999999999</v>
      </c>
      <c r="L625">
        <v>367.16640000000001</v>
      </c>
      <c r="M625">
        <v>0.99991859999999999</v>
      </c>
      <c r="N625">
        <v>0</v>
      </c>
      <c r="O625">
        <v>4.2865459999999996E-3</v>
      </c>
      <c r="P625">
        <v>0.98840519999999998</v>
      </c>
      <c r="Q625">
        <v>0.15182609999999999</v>
      </c>
      <c r="R625">
        <v>-2.0698090000000001E-3</v>
      </c>
      <c r="S625">
        <v>3.0664060000000002</v>
      </c>
      <c r="T625">
        <v>-0.2048352</v>
      </c>
      <c r="U625">
        <v>-9.2956540000000004E-2</v>
      </c>
      <c r="V625">
        <v>6.3063470000000003E-3</v>
      </c>
      <c r="W625">
        <v>0.16369990000000001</v>
      </c>
      <c r="X625">
        <v>0.98648999999999998</v>
      </c>
      <c r="Y625">
        <v>3.4498819999999999E-2</v>
      </c>
      <c r="Z625">
        <v>-1.4366909999999999E-3</v>
      </c>
      <c r="AA625">
        <v>0.99940370000000001</v>
      </c>
      <c r="AB625">
        <v>39</v>
      </c>
      <c r="AC625">
        <v>17.019099999999899</v>
      </c>
      <c r="AD625">
        <v>-1.159902</v>
      </c>
      <c r="AE625">
        <v>-0.52789999999998805</v>
      </c>
      <c r="AF625">
        <v>0.59807827372574696</v>
      </c>
      <c r="AG625">
        <v>-1.159902</v>
      </c>
      <c r="AH625">
        <v>16.938081772526399</v>
      </c>
      <c r="AI625">
        <v>93.915006629645106</v>
      </c>
      <c r="AJ625">
        <v>87.977744422712604</v>
      </c>
      <c r="AK625">
        <v>16.988280796004599</v>
      </c>
      <c r="AL625">
        <v>80.578282404724007</v>
      </c>
      <c r="AM625">
        <v>89.633729540821307</v>
      </c>
      <c r="AN625">
        <v>0.99999997368624605</v>
      </c>
    </row>
    <row r="626" spans="1:40" x14ac:dyDescent="0.25">
      <c r="A626" t="str">
        <f>"20190312172343011"</f>
        <v>20190312172343011</v>
      </c>
      <c r="B626" t="str">
        <f>"1552382623000928"</f>
        <v>1552382623000928</v>
      </c>
      <c r="C626" t="s">
        <v>40</v>
      </c>
      <c r="D626">
        <v>3.7346309999999998</v>
      </c>
      <c r="E626">
        <v>0.5096231</v>
      </c>
      <c r="F626" t="s">
        <v>42</v>
      </c>
      <c r="G626">
        <v>-310.01819999999998</v>
      </c>
      <c r="H626">
        <v>-0.05</v>
      </c>
      <c r="I626">
        <v>366.64879999999999</v>
      </c>
      <c r="J626">
        <v>-327.55450000000002</v>
      </c>
      <c r="K626">
        <v>1.1099019999999999</v>
      </c>
      <c r="L626">
        <v>367.16730000000001</v>
      </c>
      <c r="M626">
        <v>0.99991850000000004</v>
      </c>
      <c r="N626">
        <v>0</v>
      </c>
      <c r="O626">
        <v>4.2947569999999997E-3</v>
      </c>
      <c r="P626">
        <v>0.98842390000000002</v>
      </c>
      <c r="Q626">
        <v>0.151702799999999</v>
      </c>
      <c r="R626">
        <v>-2.1204639999999999E-3</v>
      </c>
      <c r="S626">
        <v>3.0657960000000002</v>
      </c>
      <c r="T626">
        <v>-0.2004561</v>
      </c>
      <c r="U626">
        <v>-8.9447020000000002E-2</v>
      </c>
      <c r="V626">
        <v>6.3652209999999999E-3</v>
      </c>
      <c r="W626">
        <v>0.163579</v>
      </c>
      <c r="X626">
        <v>0.98650970000000004</v>
      </c>
      <c r="Y626">
        <v>3.337598E-2</v>
      </c>
      <c r="Z626">
        <v>-1.370221E-3</v>
      </c>
      <c r="AA626">
        <v>0.99944189999999999</v>
      </c>
      <c r="AB626">
        <v>39</v>
      </c>
      <c r="AC626">
        <v>17.536300000000001</v>
      </c>
      <c r="AD626">
        <v>-1.159902</v>
      </c>
      <c r="AE626">
        <v>-0.51850000000001695</v>
      </c>
      <c r="AF626">
        <v>0.59123050215797102</v>
      </c>
      <c r="AG626">
        <v>-1.159902</v>
      </c>
      <c r="AH626">
        <v>17.457602956955199</v>
      </c>
      <c r="AI626">
        <v>93.799035042848999</v>
      </c>
      <c r="AJ626">
        <v>88.060325320649596</v>
      </c>
      <c r="AK626">
        <v>17.5060797198852</v>
      </c>
      <c r="AL626">
        <v>80.585304334817906</v>
      </c>
      <c r="AM626">
        <v>89.630317635942006</v>
      </c>
      <c r="AN626">
        <v>0.99999999673673401</v>
      </c>
    </row>
    <row r="627" spans="1:40" x14ac:dyDescent="0.25">
      <c r="A627" t="str">
        <f>"20190312172343023"</f>
        <v>20190312172343023</v>
      </c>
      <c r="B627" t="str">
        <f>"1552382623020449"</f>
        <v>1552382623020449</v>
      </c>
      <c r="C627" t="s">
        <v>40</v>
      </c>
      <c r="D627">
        <v>3.714029</v>
      </c>
      <c r="E627">
        <v>0.50945759999999995</v>
      </c>
      <c r="F627" t="s">
        <v>41</v>
      </c>
      <c r="G627">
        <v>-326.6413</v>
      </c>
      <c r="H627">
        <v>1.0507280000000001</v>
      </c>
      <c r="I627">
        <v>367.14089999999999</v>
      </c>
      <c r="J627">
        <v>-327.3492</v>
      </c>
      <c r="K627">
        <v>1.1099019999999999</v>
      </c>
      <c r="L627">
        <v>367.16820000000001</v>
      </c>
      <c r="M627">
        <v>0.99991850000000004</v>
      </c>
      <c r="N627">
        <v>0</v>
      </c>
      <c r="O627">
        <v>4.3031470000000002E-3</v>
      </c>
      <c r="P627">
        <v>0.98845099999999997</v>
      </c>
      <c r="Q627">
        <v>0.151527</v>
      </c>
      <c r="R627">
        <v>-2.0868089999999998E-3</v>
      </c>
      <c r="S627">
        <v>3.0654599999999999</v>
      </c>
      <c r="T627">
        <v>-0.19880629999999999</v>
      </c>
      <c r="U627">
        <v>-8.8226319999999997E-2</v>
      </c>
      <c r="V627">
        <v>6.3400260000000003E-3</v>
      </c>
      <c r="W627">
        <v>0.16340589999999999</v>
      </c>
      <c r="X627">
        <v>0.98653849999999998</v>
      </c>
      <c r="Y627">
        <v>3.2991989999999999E-2</v>
      </c>
      <c r="Z627">
        <v>-1.3472309999999999E-3</v>
      </c>
      <c r="AA627">
        <v>0.99945470000000003</v>
      </c>
      <c r="AB627">
        <v>39</v>
      </c>
      <c r="AC627">
        <v>0.70789999999999498</v>
      </c>
      <c r="AD627">
        <v>-5.9173999999999803E-2</v>
      </c>
      <c r="AE627">
        <v>-2.73000000000252E-2</v>
      </c>
      <c r="AF627">
        <v>3.0135904950767199E-2</v>
      </c>
      <c r="AG627">
        <v>-5.9173999999999803E-2</v>
      </c>
      <c r="AH627">
        <v>0.70287197882529096</v>
      </c>
      <c r="AI627">
        <v>94.807922569134504</v>
      </c>
      <c r="AJ627">
        <v>87.544925186878302</v>
      </c>
      <c r="AK627">
        <v>0.70600195018213796</v>
      </c>
      <c r="AL627">
        <v>80.595357041660904</v>
      </c>
      <c r="AM627">
        <v>89.631791632006895</v>
      </c>
      <c r="AN627">
        <v>0.999999948033368</v>
      </c>
    </row>
    <row r="628" spans="1:40" x14ac:dyDescent="0.25">
      <c r="A628" t="str">
        <f>"20190312172343036"</f>
        <v>20190312172343036</v>
      </c>
      <c r="B628" t="str">
        <f>"1552382623030208"</f>
        <v>1552382623030208</v>
      </c>
      <c r="C628" t="s">
        <v>40</v>
      </c>
      <c r="D628">
        <v>3.6987749999999999</v>
      </c>
      <c r="E628">
        <v>0.50945320000000005</v>
      </c>
      <c r="F628" t="s">
        <v>41</v>
      </c>
      <c r="G628">
        <v>-326.30160000000001</v>
      </c>
      <c r="H628">
        <v>1.0424979999999999</v>
      </c>
      <c r="I628">
        <v>367.13810000000001</v>
      </c>
      <c r="J628">
        <v>-327.12990000000002</v>
      </c>
      <c r="K628">
        <v>1.1099019999999999</v>
      </c>
      <c r="L628">
        <v>367.16910000000001</v>
      </c>
      <c r="M628">
        <v>0.99991830000000004</v>
      </c>
      <c r="N628">
        <v>0</v>
      </c>
      <c r="O628">
        <v>4.3120729999999996E-3</v>
      </c>
      <c r="P628">
        <v>0.98843530000000002</v>
      </c>
      <c r="Q628">
        <v>0.15162600000000001</v>
      </c>
      <c r="R628">
        <v>-2.2584689999999999E-3</v>
      </c>
      <c r="S628">
        <v>3.0651250000000001</v>
      </c>
      <c r="T628">
        <v>-0.19744999999999999</v>
      </c>
      <c r="U628">
        <v>-8.69751E-2</v>
      </c>
      <c r="V628">
        <v>6.5204859999999998E-3</v>
      </c>
      <c r="W628">
        <v>0.16350700000000001</v>
      </c>
      <c r="X628">
        <v>0.98652059999999997</v>
      </c>
      <c r="Y628">
        <v>3.2598240000000001E-2</v>
      </c>
      <c r="Z628">
        <v>-1.326121E-3</v>
      </c>
      <c r="AA628">
        <v>0.99946769999999996</v>
      </c>
      <c r="AB628">
        <v>39</v>
      </c>
      <c r="AC628">
        <v>0.82830000000001203</v>
      </c>
      <c r="AD628">
        <v>-6.7404000000000006E-2</v>
      </c>
      <c r="AE628">
        <v>-3.1000000000005901E-2</v>
      </c>
      <c r="AF628">
        <v>3.4344545393770298E-2</v>
      </c>
      <c r="AG628">
        <v>-6.7404000000000006E-2</v>
      </c>
      <c r="AH628">
        <v>0.82271810964252201</v>
      </c>
      <c r="AI628">
        <v>94.679634728811095</v>
      </c>
      <c r="AJ628">
        <v>87.609563225042194</v>
      </c>
      <c r="AK628">
        <v>0.82618880103041203</v>
      </c>
      <c r="AL628">
        <v>80.589485724744804</v>
      </c>
      <c r="AM628">
        <v>89.621304524264204</v>
      </c>
      <c r="AN628">
        <v>0.99999997500551696</v>
      </c>
    </row>
    <row r="629" spans="1:40" x14ac:dyDescent="0.25">
      <c r="A629" t="str">
        <f>"20190312172343048"</f>
        <v>20190312172343048</v>
      </c>
      <c r="B629" t="str">
        <f>"1552382623040944"</f>
        <v>1552382623040944</v>
      </c>
      <c r="C629" t="s">
        <v>40</v>
      </c>
      <c r="D629">
        <v>3.7155990000000001</v>
      </c>
      <c r="E629">
        <v>0.5094282</v>
      </c>
      <c r="F629" t="s">
        <v>42</v>
      </c>
      <c r="G629">
        <v>-309.04360000000003</v>
      </c>
      <c r="H629">
        <v>-0.05</v>
      </c>
      <c r="I629">
        <v>366.65230000000003</v>
      </c>
      <c r="J629">
        <v>-326.90600000000001</v>
      </c>
      <c r="K629">
        <v>1.1099049999999999</v>
      </c>
      <c r="L629">
        <v>367.17009999999999</v>
      </c>
      <c r="M629">
        <v>0.99991839999999999</v>
      </c>
      <c r="N629">
        <v>0</v>
      </c>
      <c r="O629">
        <v>4.320941E-3</v>
      </c>
      <c r="P629">
        <v>0.98849480000000001</v>
      </c>
      <c r="Q629">
        <v>0.15124099999999999</v>
      </c>
      <c r="R629">
        <v>-2.1411529999999998E-3</v>
      </c>
      <c r="S629">
        <v>3.0650330000000001</v>
      </c>
      <c r="T629">
        <v>-0.19656489999999999</v>
      </c>
      <c r="U629">
        <v>-8.7585449999999995E-2</v>
      </c>
      <c r="V629">
        <v>6.4120069999999999E-3</v>
      </c>
      <c r="W629">
        <v>0.16312460000000001</v>
      </c>
      <c r="X629">
        <v>0.98658469999999998</v>
      </c>
      <c r="Y629">
        <v>3.2807049999999997E-2</v>
      </c>
      <c r="Z629">
        <v>-1.3274789999999999E-3</v>
      </c>
      <c r="AA629">
        <v>0.99946080000000004</v>
      </c>
      <c r="AB629">
        <v>39</v>
      </c>
      <c r="AC629">
        <v>17.862399999999901</v>
      </c>
      <c r="AD629">
        <v>-1.159905</v>
      </c>
      <c r="AE629">
        <v>-0.51779999999996495</v>
      </c>
      <c r="AF629">
        <v>0.59248692096446998</v>
      </c>
      <c r="AG629">
        <v>-1.159905</v>
      </c>
      <c r="AH629">
        <v>17.7850656510589</v>
      </c>
      <c r="AI629">
        <v>93.729364182765394</v>
      </c>
      <c r="AJ629">
        <v>88.091969361908497</v>
      </c>
      <c r="AK629">
        <v>17.832694147913099</v>
      </c>
      <c r="AL629">
        <v>80.611694602175504</v>
      </c>
      <c r="AM629">
        <v>89.627628761350493</v>
      </c>
      <c r="AN629">
        <v>1.0000000596165</v>
      </c>
    </row>
    <row r="630" spans="1:40" x14ac:dyDescent="0.25">
      <c r="A630" t="str">
        <f>"20190312172343059"</f>
        <v>20190312172343059</v>
      </c>
      <c r="B630" t="str">
        <f>"1552382623050705"</f>
        <v>1552382623050705</v>
      </c>
      <c r="C630" t="s">
        <v>40</v>
      </c>
      <c r="D630">
        <v>3.7107450000000002</v>
      </c>
      <c r="E630">
        <v>0.50936440000000005</v>
      </c>
      <c r="F630" t="s">
        <v>41</v>
      </c>
      <c r="G630">
        <v>-325.94639999999998</v>
      </c>
      <c r="H630">
        <v>1.048513</v>
      </c>
      <c r="I630">
        <v>367.14280000000002</v>
      </c>
      <c r="J630">
        <v>-326.70069999999998</v>
      </c>
      <c r="K630">
        <v>1.109904</v>
      </c>
      <c r="L630">
        <v>367.17099999999999</v>
      </c>
      <c r="M630">
        <v>0.99991819999999998</v>
      </c>
      <c r="N630">
        <v>0</v>
      </c>
      <c r="O630">
        <v>4.329393E-3</v>
      </c>
      <c r="P630">
        <v>0.98849600000000004</v>
      </c>
      <c r="Q630">
        <v>0.15123349999999999</v>
      </c>
      <c r="R630">
        <v>-2.082567E-3</v>
      </c>
      <c r="S630">
        <v>3.0647280000000001</v>
      </c>
      <c r="T630">
        <v>-0.19610659999999999</v>
      </c>
      <c r="U630">
        <v>-8.7158200000000005E-2</v>
      </c>
      <c r="V630">
        <v>6.3618049999999999E-3</v>
      </c>
      <c r="W630">
        <v>0.1631194</v>
      </c>
      <c r="X630">
        <v>0.98658579999999996</v>
      </c>
      <c r="Y630">
        <v>3.2679699999999999E-2</v>
      </c>
      <c r="Z630">
        <v>-1.3209949999999999E-3</v>
      </c>
      <c r="AA630">
        <v>0.99946500000000005</v>
      </c>
      <c r="AB630">
        <v>39</v>
      </c>
      <c r="AC630">
        <v>0.75429999999999997</v>
      </c>
      <c r="AD630">
        <v>-6.1390999999999897E-2</v>
      </c>
      <c r="AE630">
        <v>-2.8199999999969801E-2</v>
      </c>
      <c r="AF630">
        <v>3.1258863227855399E-2</v>
      </c>
      <c r="AG630">
        <v>-6.1390999999999897E-2</v>
      </c>
      <c r="AH630">
        <v>0.749214948992178</v>
      </c>
      <c r="AI630">
        <v>94.680322167678497</v>
      </c>
      <c r="AJ630">
        <v>87.6108821634229</v>
      </c>
      <c r="AK630">
        <v>0.75237557855412196</v>
      </c>
      <c r="AL630">
        <v>80.611995792813104</v>
      </c>
      <c r="AM630">
        <v>89.630544525775406</v>
      </c>
      <c r="AN630">
        <v>0.999999975990428</v>
      </c>
    </row>
    <row r="631" spans="1:40" x14ac:dyDescent="0.25">
      <c r="A631" t="str">
        <f>"20190312172343071"</f>
        <v>20190312172343071</v>
      </c>
      <c r="B631" t="str">
        <f>"1552382623060464"</f>
        <v>1552382623060464</v>
      </c>
      <c r="C631" t="s">
        <v>40</v>
      </c>
      <c r="D631">
        <v>3.7398600000000002</v>
      </c>
      <c r="E631">
        <v>0.50931099999999996</v>
      </c>
      <c r="F631" t="s">
        <v>42</v>
      </c>
      <c r="G631">
        <v>-308.4674</v>
      </c>
      <c r="H631">
        <v>-0.05</v>
      </c>
      <c r="I631">
        <v>366.65820000000002</v>
      </c>
      <c r="J631">
        <v>-326.50420000000003</v>
      </c>
      <c r="K631">
        <v>1.1098980000000001</v>
      </c>
      <c r="L631">
        <v>367.17189999999999</v>
      </c>
      <c r="M631">
        <v>0.99991819999999998</v>
      </c>
      <c r="N631">
        <v>0</v>
      </c>
      <c r="O631">
        <v>4.337418E-3</v>
      </c>
      <c r="P631">
        <v>0.98852379999999995</v>
      </c>
      <c r="Q631">
        <v>0.15105270000000001</v>
      </c>
      <c r="R631">
        <v>-1.9454380000000001E-3</v>
      </c>
      <c r="S631">
        <v>3.0645449999999999</v>
      </c>
      <c r="T631">
        <v>-0.19495019999999999</v>
      </c>
      <c r="U631">
        <v>-8.6181640000000004E-2</v>
      </c>
      <c r="V631">
        <v>6.2329169999999897E-3</v>
      </c>
      <c r="W631">
        <v>0.16294249999999999</v>
      </c>
      <c r="X631">
        <v>0.98661589999999999</v>
      </c>
      <c r="Y631">
        <v>3.2372659999999998E-2</v>
      </c>
      <c r="Z631">
        <v>-1.304061E-3</v>
      </c>
      <c r="AA631">
        <v>0.999475</v>
      </c>
      <c r="AB631">
        <v>39</v>
      </c>
      <c r="AC631">
        <v>18.036799999999999</v>
      </c>
      <c r="AD631">
        <v>-1.1598979999999901</v>
      </c>
      <c r="AE631">
        <v>-0.51369999999997096</v>
      </c>
      <c r="AF631">
        <v>0.58949811993774504</v>
      </c>
      <c r="AG631">
        <v>-1.1598979999999901</v>
      </c>
      <c r="AH631">
        <v>17.9601891187957</v>
      </c>
      <c r="AI631">
        <v>93.693139132735297</v>
      </c>
      <c r="AJ631">
        <v>88.120084768452401</v>
      </c>
      <c r="AK631">
        <v>18.007255887189501</v>
      </c>
      <c r="AL631">
        <v>80.622269284750203</v>
      </c>
      <c r="AM631">
        <v>89.638040409309198</v>
      </c>
      <c r="AN631">
        <v>1.0000000208466899</v>
      </c>
    </row>
    <row r="632" spans="1:40" x14ac:dyDescent="0.25">
      <c r="A632" t="str">
        <f>"20190312172343089"</f>
        <v>20190312172343089</v>
      </c>
      <c r="B632" t="str">
        <f>"1552382623080960"</f>
        <v>1552382623080960</v>
      </c>
      <c r="C632" t="s">
        <v>40</v>
      </c>
      <c r="D632">
        <v>3.7381639999999998</v>
      </c>
      <c r="E632">
        <v>0.50910040000000001</v>
      </c>
      <c r="F632" t="s">
        <v>42</v>
      </c>
      <c r="G632">
        <v>-308.26909999999998</v>
      </c>
      <c r="H632">
        <v>-0.05</v>
      </c>
      <c r="I632">
        <v>366.6628</v>
      </c>
      <c r="J632">
        <v>-326.1934</v>
      </c>
      <c r="K632">
        <v>1.109899</v>
      </c>
      <c r="L632">
        <v>367.17320000000001</v>
      </c>
      <c r="M632">
        <v>0.99991819999999998</v>
      </c>
      <c r="N632">
        <v>0</v>
      </c>
      <c r="O632">
        <v>4.3498340000000003E-3</v>
      </c>
      <c r="P632">
        <v>0.98856270000000002</v>
      </c>
      <c r="Q632">
        <v>0.15079790000000001</v>
      </c>
      <c r="R632">
        <v>-2.0413060000000001E-3</v>
      </c>
      <c r="S632">
        <v>3.0644230000000001</v>
      </c>
      <c r="T632">
        <v>-0.1949217</v>
      </c>
      <c r="U632">
        <v>-8.5540770000000002E-2</v>
      </c>
      <c r="V632">
        <v>6.3410869999999996E-3</v>
      </c>
      <c r="W632">
        <v>0.16269449999999999</v>
      </c>
      <c r="X632">
        <v>0.98665610000000004</v>
      </c>
      <c r="Y632">
        <v>3.2177709999999998E-2</v>
      </c>
      <c r="Z632">
        <v>-1.298523E-3</v>
      </c>
      <c r="AA632">
        <v>0.99948130000000002</v>
      </c>
      <c r="AB632">
        <v>39</v>
      </c>
      <c r="AC632">
        <v>17.924299999999999</v>
      </c>
      <c r="AD632">
        <v>-1.159899</v>
      </c>
      <c r="AE632">
        <v>-0.51040000000000396</v>
      </c>
      <c r="AF632">
        <v>0.58591699476479397</v>
      </c>
      <c r="AG632">
        <v>-1.159899</v>
      </c>
      <c r="AH632">
        <v>17.847235145243999</v>
      </c>
      <c r="AI632">
        <v>93.716449800913395</v>
      </c>
      <c r="AJ632">
        <v>88.119679720874402</v>
      </c>
      <c r="AK632">
        <v>17.894481460623201</v>
      </c>
      <c r="AL632">
        <v>80.636670469652202</v>
      </c>
      <c r="AM632">
        <v>89.631773907290494</v>
      </c>
      <c r="AN632">
        <v>0.99999998469090001</v>
      </c>
    </row>
    <row r="633" spans="1:40" x14ac:dyDescent="0.25">
      <c r="A633" t="str">
        <f>"20190312172343100"</f>
        <v>20190312172343100</v>
      </c>
      <c r="B633" t="str">
        <f>"1552382623090251"</f>
        <v>1552382623090251</v>
      </c>
      <c r="C633" t="s">
        <v>40</v>
      </c>
      <c r="D633">
        <v>3.7390840000000001</v>
      </c>
      <c r="E633">
        <v>0.5090614</v>
      </c>
      <c r="F633" t="s">
        <v>41</v>
      </c>
      <c r="G633">
        <v>-325.24630000000002</v>
      </c>
      <c r="H633">
        <v>1.0494810000000001</v>
      </c>
      <c r="I633">
        <v>367.14690000000002</v>
      </c>
      <c r="J633">
        <v>-325.9966</v>
      </c>
      <c r="K633">
        <v>1.1099019999999999</v>
      </c>
      <c r="L633">
        <v>367.17410000000001</v>
      </c>
      <c r="M633">
        <v>0.99991790000000003</v>
      </c>
      <c r="N633">
        <v>0</v>
      </c>
      <c r="O633">
        <v>4.3580270000000004E-3</v>
      </c>
      <c r="P633">
        <v>0.98858360000000001</v>
      </c>
      <c r="Q633">
        <v>0.15066270000000001</v>
      </c>
      <c r="R633">
        <v>-1.8200340000000001E-3</v>
      </c>
      <c r="S633">
        <v>3.064362</v>
      </c>
      <c r="T633">
        <v>-0.1955895</v>
      </c>
      <c r="U633">
        <v>-8.4625240000000004E-2</v>
      </c>
      <c r="V633">
        <v>6.1280659999999997E-3</v>
      </c>
      <c r="W633">
        <v>0.16256519999999999</v>
      </c>
      <c r="X633">
        <v>0.98667879999999997</v>
      </c>
      <c r="Y633">
        <v>3.1888130000000001E-2</v>
      </c>
      <c r="Z633">
        <v>-1.294286E-3</v>
      </c>
      <c r="AA633">
        <v>0.99949060000000001</v>
      </c>
      <c r="AB633">
        <v>39</v>
      </c>
      <c r="AC633">
        <v>0.75029999999998098</v>
      </c>
      <c r="AD633">
        <v>-6.0421000000000002E-2</v>
      </c>
      <c r="AE633">
        <v>-2.71999999999934E-2</v>
      </c>
      <c r="AF633">
        <v>3.0273741035633801E-2</v>
      </c>
      <c r="AG633">
        <v>-6.0421000000000002E-2</v>
      </c>
      <c r="AH633">
        <v>0.74534713991148205</v>
      </c>
      <c r="AI633">
        <v>94.630703323962294</v>
      </c>
      <c r="AJ633">
        <v>87.674097629962802</v>
      </c>
      <c r="AK633">
        <v>0.74840467369700403</v>
      </c>
      <c r="AL633">
        <v>80.644179160026496</v>
      </c>
      <c r="AM633">
        <v>89.644151872044105</v>
      </c>
      <c r="AN633">
        <v>1.0000000259066799</v>
      </c>
    </row>
    <row r="634" spans="1:40" x14ac:dyDescent="0.25">
      <c r="A634" t="str">
        <f>"20190312172343111"</f>
        <v>20190312172343111</v>
      </c>
      <c r="B634" t="str">
        <f>"1552382623100988"</f>
        <v>1552382623100988</v>
      </c>
      <c r="C634" t="s">
        <v>40</v>
      </c>
      <c r="D634">
        <v>3.7625320000000002</v>
      </c>
      <c r="E634">
        <v>0.50899779999999994</v>
      </c>
      <c r="F634" t="s">
        <v>42</v>
      </c>
      <c r="G634">
        <v>-307.93799999999999</v>
      </c>
      <c r="H634">
        <v>-0.05</v>
      </c>
      <c r="I634">
        <v>366.67989999999998</v>
      </c>
      <c r="J634">
        <v>-325.7928</v>
      </c>
      <c r="K634">
        <v>1.109904</v>
      </c>
      <c r="L634">
        <v>367.17500000000001</v>
      </c>
      <c r="M634">
        <v>0.99991779999999997</v>
      </c>
      <c r="N634">
        <v>0</v>
      </c>
      <c r="O634">
        <v>4.366099E-3</v>
      </c>
      <c r="P634">
        <v>0.98858659999999998</v>
      </c>
      <c r="Q634">
        <v>0.15064259999999999</v>
      </c>
      <c r="R634">
        <v>-1.857938E-3</v>
      </c>
      <c r="S634">
        <v>3.064514</v>
      </c>
      <c r="T634">
        <v>-0.1968338</v>
      </c>
      <c r="U634">
        <v>-8.3862300000000001E-2</v>
      </c>
      <c r="V634">
        <v>6.1738490000000004E-3</v>
      </c>
      <c r="W634">
        <v>0.16255059999999999</v>
      </c>
      <c r="X634">
        <v>0.98668089999999997</v>
      </c>
      <c r="Y634">
        <v>3.1645739999999999E-2</v>
      </c>
      <c r="Z634">
        <v>-1.2951849999999999E-3</v>
      </c>
      <c r="AA634">
        <v>0.99949829999999995</v>
      </c>
      <c r="AB634">
        <v>39</v>
      </c>
      <c r="AC634">
        <v>17.854800000000001</v>
      </c>
      <c r="AD634">
        <v>-1.159904</v>
      </c>
      <c r="AE634">
        <v>-0.49510000000003601</v>
      </c>
      <c r="AF634">
        <v>0.57065035571011102</v>
      </c>
      <c r="AG634">
        <v>-1.159904</v>
      </c>
      <c r="AH634">
        <v>17.777500827889099</v>
      </c>
      <c r="AI634">
        <v>93.7310910277982</v>
      </c>
      <c r="AJ634">
        <v>88.161460687876996</v>
      </c>
      <c r="AK634">
        <v>17.824437012239301</v>
      </c>
      <c r="AL634">
        <v>80.6450267688721</v>
      </c>
      <c r="AM634">
        <v>89.641494150108201</v>
      </c>
      <c r="AN634">
        <v>1.0000000061983201</v>
      </c>
    </row>
    <row r="635" spans="1:40" x14ac:dyDescent="0.25">
      <c r="A635" t="str">
        <f>"20190312172343123"</f>
        <v>20190312172343123</v>
      </c>
      <c r="B635" t="str">
        <f>"1552382623110747"</f>
        <v>1552382623110747</v>
      </c>
      <c r="C635" t="s">
        <v>40</v>
      </c>
      <c r="D635">
        <v>3.7579199999999999</v>
      </c>
      <c r="E635">
        <v>0.50894680000000003</v>
      </c>
      <c r="F635" t="s">
        <v>42</v>
      </c>
      <c r="G635">
        <v>-307.8</v>
      </c>
      <c r="H635">
        <v>-0.05</v>
      </c>
      <c r="I635">
        <v>366.68849999999998</v>
      </c>
      <c r="J635">
        <v>-325.59840000000003</v>
      </c>
      <c r="K635">
        <v>1.1099060000000001</v>
      </c>
      <c r="L635">
        <v>367.17579999999998</v>
      </c>
      <c r="M635">
        <v>0.99991790000000003</v>
      </c>
      <c r="N635">
        <v>0</v>
      </c>
      <c r="O635">
        <v>4.3736360000000002E-3</v>
      </c>
      <c r="P635">
        <v>0.98856949999999999</v>
      </c>
      <c r="Q635">
        <v>0.15075520000000001</v>
      </c>
      <c r="R635">
        <v>-1.9519349999999999E-3</v>
      </c>
      <c r="S635">
        <v>3.064575</v>
      </c>
      <c r="T635">
        <v>-0.1975577</v>
      </c>
      <c r="U635">
        <v>-8.2855219999999993E-2</v>
      </c>
      <c r="V635">
        <v>6.274974E-3</v>
      </c>
      <c r="W635">
        <v>0.16266920000000001</v>
      </c>
      <c r="X635">
        <v>0.98666069999999995</v>
      </c>
      <c r="Y635">
        <v>3.1324619999999997E-2</v>
      </c>
      <c r="Z635">
        <v>-1.2900660000000001E-3</v>
      </c>
      <c r="AA635">
        <v>0.99950839999999996</v>
      </c>
      <c r="AB635">
        <v>39</v>
      </c>
      <c r="AC635">
        <v>17.798400000000001</v>
      </c>
      <c r="AD635">
        <v>-1.1599059999999899</v>
      </c>
      <c r="AE635">
        <v>-0.48730000000000401</v>
      </c>
      <c r="AF635">
        <v>0.56275646418294201</v>
      </c>
      <c r="AG635">
        <v>-1.1599059999999899</v>
      </c>
      <c r="AH635">
        <v>17.720893811283101</v>
      </c>
      <c r="AI635">
        <v>93.743022929363605</v>
      </c>
      <c r="AJ635">
        <v>88.181088486345502</v>
      </c>
      <c r="AK635">
        <v>17.767727886187</v>
      </c>
      <c r="AL635">
        <v>80.638139678297193</v>
      </c>
      <c r="AM635">
        <v>89.635614675284003</v>
      </c>
      <c r="AN635">
        <v>0.99999999042591503</v>
      </c>
    </row>
    <row r="636" spans="1:40" x14ac:dyDescent="0.25">
      <c r="A636" t="str">
        <f>"20190312172343139"</f>
        <v>20190312172343139</v>
      </c>
      <c r="B636" t="str">
        <f>"1552382623130267"</f>
        <v>1552382623130267</v>
      </c>
      <c r="C636" t="s">
        <v>40</v>
      </c>
      <c r="D636">
        <v>3.7594630000000002</v>
      </c>
      <c r="E636">
        <v>0.50891229999999998</v>
      </c>
      <c r="F636" t="s">
        <v>41</v>
      </c>
      <c r="G636">
        <v>-324.55349999999999</v>
      </c>
      <c r="H636">
        <v>1.0425789999999999</v>
      </c>
      <c r="I636">
        <v>367.14749999999998</v>
      </c>
      <c r="J636">
        <v>-325.32299999999998</v>
      </c>
      <c r="K636">
        <v>1.109912</v>
      </c>
      <c r="L636">
        <v>367.1771</v>
      </c>
      <c r="M636">
        <v>0.99991759999999996</v>
      </c>
      <c r="N636">
        <v>0</v>
      </c>
      <c r="O636">
        <v>4.3851469999999998E-3</v>
      </c>
      <c r="P636">
        <v>0.98854260000000005</v>
      </c>
      <c r="Q636">
        <v>0.1509306</v>
      </c>
      <c r="R636">
        <v>-1.9457490000000001E-3</v>
      </c>
      <c r="S636">
        <v>3.0646059999999999</v>
      </c>
      <c r="T636">
        <v>-0.19754289999999999</v>
      </c>
      <c r="U636">
        <v>-8.3007810000000001E-2</v>
      </c>
      <c r="V636">
        <v>6.2802429999999996E-3</v>
      </c>
      <c r="W636">
        <v>0.16285169999999999</v>
      </c>
      <c r="X636">
        <v>0.98663060000000002</v>
      </c>
      <c r="Y636">
        <v>3.1385450000000002E-2</v>
      </c>
      <c r="Z636">
        <v>-1.292655E-3</v>
      </c>
      <c r="AA636">
        <v>0.99950649999999996</v>
      </c>
      <c r="AB636">
        <v>39</v>
      </c>
      <c r="AC636">
        <v>0.76949999999999297</v>
      </c>
      <c r="AD636">
        <v>-6.7332999999999796E-2</v>
      </c>
      <c r="AE636">
        <v>-2.96000000000162E-2</v>
      </c>
      <c r="AF636">
        <v>3.2724144536529901E-2</v>
      </c>
      <c r="AG636">
        <v>-6.7332999999999796E-2</v>
      </c>
      <c r="AH636">
        <v>0.76352538290624905</v>
      </c>
      <c r="AI636">
        <v>95.035105800240004</v>
      </c>
      <c r="AJ636">
        <v>87.545846373103402</v>
      </c>
      <c r="AK636">
        <v>0.76718681744851602</v>
      </c>
      <c r="AL636">
        <v>80.627542250503893</v>
      </c>
      <c r="AM636">
        <v>89.635297589088196</v>
      </c>
      <c r="AN636">
        <v>1.0000000292506901</v>
      </c>
    </row>
    <row r="637" spans="1:40" x14ac:dyDescent="0.25">
      <c r="A637" t="str">
        <f>"20190312172343156"</f>
        <v>20190312172343156</v>
      </c>
      <c r="B637" t="str">
        <f>"1552382623150763"</f>
        <v>1552382623150763</v>
      </c>
      <c r="C637" t="s">
        <v>40</v>
      </c>
      <c r="D637">
        <v>3.7021639999999998</v>
      </c>
      <c r="E637">
        <v>0.50886920000000002</v>
      </c>
      <c r="F637" t="s">
        <v>42</v>
      </c>
      <c r="G637">
        <v>-307.3383</v>
      </c>
      <c r="H637">
        <v>-0.05</v>
      </c>
      <c r="I637">
        <v>366.69119999999998</v>
      </c>
      <c r="J637">
        <v>-325.02929999999998</v>
      </c>
      <c r="K637">
        <v>1.10991</v>
      </c>
      <c r="L637">
        <v>367.17829999999998</v>
      </c>
      <c r="M637">
        <v>0.99991730000000001</v>
      </c>
      <c r="N637">
        <v>0</v>
      </c>
      <c r="O637">
        <v>4.3975519999999999E-3</v>
      </c>
      <c r="P637">
        <v>0.98853089999999999</v>
      </c>
      <c r="Q637">
        <v>0.15100720000000001</v>
      </c>
      <c r="R637">
        <v>-1.9230359999999999E-3</v>
      </c>
      <c r="S637">
        <v>3.0647890000000002</v>
      </c>
      <c r="T637">
        <v>-0.19766139999999999</v>
      </c>
      <c r="U637">
        <v>-8.2794190000000004E-2</v>
      </c>
      <c r="V637">
        <v>6.2698950000000002E-3</v>
      </c>
      <c r="W637">
        <v>0.16293640000000001</v>
      </c>
      <c r="X637">
        <v>0.98661670000000001</v>
      </c>
      <c r="Y637">
        <v>3.1326640000000003E-2</v>
      </c>
      <c r="Z637">
        <v>-1.2922579999999999E-3</v>
      </c>
      <c r="AA637">
        <v>0.99950839999999996</v>
      </c>
      <c r="AB637">
        <v>39</v>
      </c>
      <c r="AC637">
        <v>17.690999999999899</v>
      </c>
      <c r="AD637">
        <v>-1.15991</v>
      </c>
      <c r="AE637">
        <v>-0.48709999999999798</v>
      </c>
      <c r="AF637">
        <v>0.56248191725270202</v>
      </c>
      <c r="AG637">
        <v>-1.15991</v>
      </c>
      <c r="AH637">
        <v>17.6130297718043</v>
      </c>
      <c r="AI637">
        <v>93.7658714113131</v>
      </c>
      <c r="AJ637">
        <v>88.170849033155406</v>
      </c>
      <c r="AK637">
        <v>17.660141416698799</v>
      </c>
      <c r="AL637">
        <v>80.622623774010606</v>
      </c>
      <c r="AM637">
        <v>89.635893366067194</v>
      </c>
      <c r="AN637">
        <v>1.00000004737357</v>
      </c>
    </row>
    <row r="638" spans="1:40" x14ac:dyDescent="0.25">
      <c r="A638" t="str">
        <f>"20190312172343170"</f>
        <v>20190312172343170</v>
      </c>
      <c r="B638" t="str">
        <f>"1552382623160525"</f>
        <v>1552382623160525</v>
      </c>
      <c r="C638" t="s">
        <v>40</v>
      </c>
      <c r="D638">
        <v>3.7256749999999998</v>
      </c>
      <c r="E638">
        <v>0.50886880000000001</v>
      </c>
      <c r="F638" t="s">
        <v>42</v>
      </c>
      <c r="G638">
        <v>-307.00470000000001</v>
      </c>
      <c r="H638">
        <v>-0.05</v>
      </c>
      <c r="I638">
        <v>366.69589999999999</v>
      </c>
      <c r="J638">
        <v>-324.79450000000003</v>
      </c>
      <c r="K638">
        <v>1.109912</v>
      </c>
      <c r="L638">
        <v>367.17939999999999</v>
      </c>
      <c r="M638">
        <v>0.99991730000000001</v>
      </c>
      <c r="N638">
        <v>0</v>
      </c>
      <c r="O638">
        <v>4.4071099999999997E-3</v>
      </c>
      <c r="P638">
        <v>0.98851429999999996</v>
      </c>
      <c r="Q638">
        <v>0.15111469999999999</v>
      </c>
      <c r="R638">
        <v>-2.031522E-3</v>
      </c>
      <c r="S638">
        <v>3.064819</v>
      </c>
      <c r="T638">
        <v>-0.19722509999999999</v>
      </c>
      <c r="U638">
        <v>-8.203125E-2</v>
      </c>
      <c r="V638">
        <v>6.3877730000000002E-3</v>
      </c>
      <c r="W638">
        <v>0.16304929999999901</v>
      </c>
      <c r="X638">
        <v>0.98659719999999995</v>
      </c>
      <c r="Y638">
        <v>3.1088089999999999E-2</v>
      </c>
      <c r="Z638">
        <v>-1.2823509999999999E-3</v>
      </c>
      <c r="AA638">
        <v>0.99951579999999995</v>
      </c>
      <c r="AB638">
        <v>39</v>
      </c>
      <c r="AC638">
        <v>17.7898</v>
      </c>
      <c r="AD638">
        <v>-1.1599120000000001</v>
      </c>
      <c r="AE638">
        <v>-0.48349999999999199</v>
      </c>
      <c r="AF638">
        <v>0.55952575163370499</v>
      </c>
      <c r="AG638">
        <v>-1.1599120000000001</v>
      </c>
      <c r="AH638">
        <v>17.712254084670501</v>
      </c>
      <c r="AI638">
        <v>93.744882553930907</v>
      </c>
      <c r="AJ638">
        <v>88.190642112706499</v>
      </c>
      <c r="AK638">
        <v>17.759009253739698</v>
      </c>
      <c r="AL638">
        <v>80.6160665432933</v>
      </c>
      <c r="AM638">
        <v>89.629040788473205</v>
      </c>
      <c r="AN638">
        <v>0.99999995646111295</v>
      </c>
    </row>
    <row r="639" spans="1:40" x14ac:dyDescent="0.25">
      <c r="A639" t="str">
        <f>"20190312172343182"</f>
        <v>20190312172343182</v>
      </c>
      <c r="B639" t="str">
        <f>"1552382623170284"</f>
        <v>1552382623170284</v>
      </c>
      <c r="C639" t="s">
        <v>40</v>
      </c>
      <c r="D639">
        <v>3.7253850000000002</v>
      </c>
      <c r="E639">
        <v>0.50882320000000003</v>
      </c>
      <c r="F639" t="s">
        <v>41</v>
      </c>
      <c r="G639">
        <v>-323.84800000000001</v>
      </c>
      <c r="H639">
        <v>1.049132</v>
      </c>
      <c r="I639">
        <v>367.15379999999999</v>
      </c>
      <c r="J639">
        <v>-324.56799999999998</v>
      </c>
      <c r="K639">
        <v>1.1099159999999999</v>
      </c>
      <c r="L639">
        <v>367.18040000000002</v>
      </c>
      <c r="M639">
        <v>0.99991730000000001</v>
      </c>
      <c r="N639">
        <v>0</v>
      </c>
      <c r="O639">
        <v>4.4163129999999998E-3</v>
      </c>
      <c r="P639">
        <v>0.98852589999999996</v>
      </c>
      <c r="Q639">
        <v>0.15104000000000001</v>
      </c>
      <c r="R639">
        <v>-1.9767000000000001E-3</v>
      </c>
      <c r="S639">
        <v>3.064819</v>
      </c>
      <c r="T639">
        <v>-0.19692390000000001</v>
      </c>
      <c r="U639">
        <v>-8.2275390000000004E-2</v>
      </c>
      <c r="V639">
        <v>6.3421240000000002E-3</v>
      </c>
      <c r="W639">
        <v>0.1629806</v>
      </c>
      <c r="X639">
        <v>0.98660890000000001</v>
      </c>
      <c r="Y639">
        <v>3.1176869999999999E-2</v>
      </c>
      <c r="Z639">
        <v>-1.2838350000000001E-3</v>
      </c>
      <c r="AA639">
        <v>0.99951299999999998</v>
      </c>
      <c r="AB639">
        <v>39</v>
      </c>
      <c r="AC639">
        <v>0.71999999999997</v>
      </c>
      <c r="AD639">
        <v>-6.0783999999999901E-2</v>
      </c>
      <c r="AE639">
        <v>-2.6600000000030301E-2</v>
      </c>
      <c r="AF639">
        <v>2.9569261712608499E-2</v>
      </c>
      <c r="AG639">
        <v>-6.0783999999999901E-2</v>
      </c>
      <c r="AH639">
        <v>0.71478806455315003</v>
      </c>
      <c r="AI639">
        <v>94.856479020295396</v>
      </c>
      <c r="AJ639">
        <v>87.631146140606404</v>
      </c>
      <c r="AK639">
        <v>0.71797702826891796</v>
      </c>
      <c r="AL639">
        <v>80.620056636901595</v>
      </c>
      <c r="AM639">
        <v>89.631696071927706</v>
      </c>
      <c r="AN639">
        <v>1.0000000100362001</v>
      </c>
    </row>
    <row r="640" spans="1:40" x14ac:dyDescent="0.25">
      <c r="A640" t="str">
        <f>"20190312172343193"</f>
        <v>20190312172343193</v>
      </c>
      <c r="B640" t="str">
        <f>"1552382623181019"</f>
        <v>1552382623181019</v>
      </c>
      <c r="C640" t="s">
        <v>40</v>
      </c>
      <c r="D640">
        <v>3.6899549999999999</v>
      </c>
      <c r="E640">
        <v>0.50880300000000001</v>
      </c>
      <c r="F640" t="s">
        <v>41</v>
      </c>
      <c r="G640">
        <v>-323.5052</v>
      </c>
      <c r="H640">
        <v>1.0416540000000001</v>
      </c>
      <c r="I640">
        <v>367.15190000000001</v>
      </c>
      <c r="J640">
        <v>-324.36270000000002</v>
      </c>
      <c r="K640">
        <v>1.109917</v>
      </c>
      <c r="L640">
        <v>367.18130000000002</v>
      </c>
      <c r="M640">
        <v>0.9999171</v>
      </c>
      <c r="N640">
        <v>0</v>
      </c>
      <c r="O640">
        <v>4.4245719999999999E-3</v>
      </c>
      <c r="P640">
        <v>0.98852499999999999</v>
      </c>
      <c r="Q640">
        <v>0.15104279999999901</v>
      </c>
      <c r="R640">
        <v>-2.1702140000000002E-3</v>
      </c>
      <c r="S640">
        <v>3.064819</v>
      </c>
      <c r="T640">
        <v>-0.1969235</v>
      </c>
      <c r="U640">
        <v>-8.1665039999999994E-2</v>
      </c>
      <c r="V640">
        <v>6.5436690000000002E-3</v>
      </c>
      <c r="W640">
        <v>0.1629881</v>
      </c>
      <c r="X640">
        <v>0.98660630000000005</v>
      </c>
      <c r="Y640">
        <v>3.0986590000000001E-2</v>
      </c>
      <c r="Z640">
        <v>-1.27826E-3</v>
      </c>
      <c r="AA640">
        <v>0.99951900000000005</v>
      </c>
      <c r="AB640">
        <v>39</v>
      </c>
      <c r="AC640">
        <v>0.85750000000001503</v>
      </c>
      <c r="AD640">
        <v>-6.8262999999999893E-2</v>
      </c>
      <c r="AE640">
        <v>-2.9400000000009599E-2</v>
      </c>
      <c r="AF640">
        <v>3.29852688251214E-2</v>
      </c>
      <c r="AG640">
        <v>-6.8262999999999893E-2</v>
      </c>
      <c r="AH640">
        <v>0.851968693511852</v>
      </c>
      <c r="AI640">
        <v>94.577556425316402</v>
      </c>
      <c r="AJ640">
        <v>87.782813801227704</v>
      </c>
      <c r="AK640">
        <v>0.85533532597032202</v>
      </c>
      <c r="AL640">
        <v>80.619620675816506</v>
      </c>
      <c r="AM640">
        <v>89.619991156837798</v>
      </c>
      <c r="AN640">
        <v>0.99999996577264005</v>
      </c>
    </row>
    <row r="641" spans="1:40" x14ac:dyDescent="0.25">
      <c r="A641" t="str">
        <f>"20190312172343210"</f>
        <v>20190312172343210</v>
      </c>
      <c r="B641" t="str">
        <f>"1552382623200539"</f>
        <v>1552382623200539</v>
      </c>
      <c r="C641" t="s">
        <v>40</v>
      </c>
      <c r="D641">
        <v>3.6939099999999998</v>
      </c>
      <c r="E641">
        <v>0.50868570000000002</v>
      </c>
      <c r="F641" t="s">
        <v>42</v>
      </c>
      <c r="G641">
        <v>-306.2722</v>
      </c>
      <c r="H641">
        <v>-0.05</v>
      </c>
      <c r="I641">
        <v>366.69799999999998</v>
      </c>
      <c r="J641">
        <v>-324.0754</v>
      </c>
      <c r="K641">
        <v>1.1099129999999999</v>
      </c>
      <c r="L641">
        <v>367.18259999999998</v>
      </c>
      <c r="M641">
        <v>0.9999171</v>
      </c>
      <c r="N641">
        <v>0</v>
      </c>
      <c r="O641">
        <v>4.4360980000000003E-3</v>
      </c>
      <c r="P641">
        <v>0.98853159999999896</v>
      </c>
      <c r="Q641">
        <v>0.1510001</v>
      </c>
      <c r="R641">
        <v>-2.1521800000000001E-3</v>
      </c>
      <c r="S641">
        <v>3.064667</v>
      </c>
      <c r="T641">
        <v>-0.19649900000000001</v>
      </c>
      <c r="U641">
        <v>-8.1878660000000006E-2</v>
      </c>
      <c r="V641">
        <v>6.536989E-3</v>
      </c>
      <c r="W641">
        <v>0.16295190000000001</v>
      </c>
      <c r="X641">
        <v>0.98661239999999994</v>
      </c>
      <c r="Y641">
        <v>3.1069179999999998E-2</v>
      </c>
      <c r="Z641">
        <v>-1.278955E-3</v>
      </c>
      <c r="AA641">
        <v>0.99951639999999997</v>
      </c>
      <c r="AB641">
        <v>39</v>
      </c>
      <c r="AC641">
        <v>17.8032</v>
      </c>
      <c r="AD641">
        <v>-1.159913</v>
      </c>
      <c r="AE641">
        <v>-0.48459999999994302</v>
      </c>
      <c r="AF641">
        <v>0.561197348539762</v>
      </c>
      <c r="AG641">
        <v>-1.159913</v>
      </c>
      <c r="AH641">
        <v>17.725689051276401</v>
      </c>
      <c r="AI641">
        <v>93.742047156545794</v>
      </c>
      <c r="AJ641">
        <v>88.186614776794997</v>
      </c>
      <c r="AK641">
        <v>17.772461646438199</v>
      </c>
      <c r="AL641">
        <v>80.621723598319704</v>
      </c>
      <c r="AM641">
        <v>89.620381418479198</v>
      </c>
      <c r="AN641">
        <v>1.0000000408862699</v>
      </c>
    </row>
    <row r="642" spans="1:40" x14ac:dyDescent="0.25">
      <c r="A642" t="str">
        <f>"20190312172343233"</f>
        <v>20190312172343233</v>
      </c>
      <c r="B642" t="str">
        <f>"1552382623220060"</f>
        <v>1552382623220060</v>
      </c>
      <c r="C642" t="s">
        <v>40</v>
      </c>
      <c r="D642">
        <v>3.6741709999999999</v>
      </c>
      <c r="E642">
        <v>0.50861120000000004</v>
      </c>
      <c r="F642" t="s">
        <v>41</v>
      </c>
      <c r="G642">
        <v>-323.14370000000002</v>
      </c>
      <c r="H642">
        <v>1.0503579999999999</v>
      </c>
      <c r="I642">
        <v>367.15780000000001</v>
      </c>
      <c r="J642">
        <v>-323.6798</v>
      </c>
      <c r="K642">
        <v>1.109918</v>
      </c>
      <c r="L642">
        <v>367.18439999999998</v>
      </c>
      <c r="M642">
        <v>0.9999169</v>
      </c>
      <c r="N642">
        <v>0</v>
      </c>
      <c r="O642">
        <v>4.4520230000000003E-3</v>
      </c>
      <c r="P642">
        <v>0.98853829999999998</v>
      </c>
      <c r="Q642">
        <v>0.15095449999999999</v>
      </c>
      <c r="R642">
        <v>-2.2339830000000001E-3</v>
      </c>
      <c r="S642">
        <v>3.0646059999999999</v>
      </c>
      <c r="T642">
        <v>-0.1959834</v>
      </c>
      <c r="U642">
        <v>-8.1268309999999996E-2</v>
      </c>
      <c r="V642">
        <v>6.6347250000000002E-3</v>
      </c>
      <c r="W642">
        <v>0.1629138</v>
      </c>
      <c r="X642">
        <v>0.98661799999999999</v>
      </c>
      <c r="Y642">
        <v>3.0887419999999999E-2</v>
      </c>
      <c r="Z642">
        <v>-1.270848E-3</v>
      </c>
      <c r="AA642">
        <v>0.99952209999999997</v>
      </c>
      <c r="AB642">
        <v>39</v>
      </c>
      <c r="AC642">
        <v>0.53609999999997604</v>
      </c>
      <c r="AD642">
        <v>-5.9560000000000002E-2</v>
      </c>
      <c r="AE642">
        <v>-2.6599999999973499E-2</v>
      </c>
      <c r="AF642">
        <v>2.8634080500347801E-2</v>
      </c>
      <c r="AG642">
        <v>-5.9560000000000002E-2</v>
      </c>
      <c r="AH642">
        <v>0.529457256694843</v>
      </c>
      <c r="AI642">
        <v>96.409077667154506</v>
      </c>
      <c r="AJ642">
        <v>86.904348321306898</v>
      </c>
      <c r="AK642">
        <v>0.53356563872960305</v>
      </c>
      <c r="AL642">
        <v>80.62393576401</v>
      </c>
      <c r="AM642">
        <v>89.614708011961099</v>
      </c>
      <c r="AN642">
        <v>1.0000000018651301</v>
      </c>
    </row>
    <row r="643" spans="1:40" x14ac:dyDescent="0.25">
      <c r="A643" t="str">
        <f>"20190312172343244"</f>
        <v>20190312172343244</v>
      </c>
      <c r="B643" t="str">
        <f>"1552382623240556"</f>
        <v>1552382623240556</v>
      </c>
      <c r="C643" t="s">
        <v>40</v>
      </c>
      <c r="D643">
        <v>3.667443</v>
      </c>
      <c r="E643">
        <v>0.50862209999999997</v>
      </c>
      <c r="F643" t="s">
        <v>42</v>
      </c>
      <c r="G643">
        <v>-305.51830000000001</v>
      </c>
      <c r="H643">
        <v>-0.05</v>
      </c>
      <c r="I643">
        <v>366.7045</v>
      </c>
      <c r="J643">
        <v>-323.48739999999998</v>
      </c>
      <c r="K643">
        <v>1.109917</v>
      </c>
      <c r="L643">
        <v>367.18520000000001</v>
      </c>
      <c r="M643">
        <v>0.99991669999999999</v>
      </c>
      <c r="N643">
        <v>0</v>
      </c>
      <c r="O643">
        <v>4.4597489999999998E-3</v>
      </c>
      <c r="P643">
        <v>0.9885294</v>
      </c>
      <c r="Q643">
        <v>0.15101349999999999</v>
      </c>
      <c r="R643">
        <v>-2.042004E-3</v>
      </c>
      <c r="S643">
        <v>3.0644840000000002</v>
      </c>
      <c r="T643">
        <v>-0.1957188</v>
      </c>
      <c r="U643">
        <v>-8.0963129999999994E-2</v>
      </c>
      <c r="V643">
        <v>6.4503659999999999E-3</v>
      </c>
      <c r="W643">
        <v>0.16297639999999999</v>
      </c>
      <c r="X643">
        <v>0.98660890000000001</v>
      </c>
      <c r="Y643">
        <v>3.0797089999999999E-2</v>
      </c>
      <c r="Z643">
        <v>-1.2667990000000001E-3</v>
      </c>
      <c r="AA643">
        <v>0.99952479999999999</v>
      </c>
      <c r="AB643">
        <v>39</v>
      </c>
      <c r="AC643">
        <v>17.969099999999901</v>
      </c>
      <c r="AD643">
        <v>-1.1599170000000001</v>
      </c>
      <c r="AE643">
        <v>-0.48070000000001201</v>
      </c>
      <c r="AF643">
        <v>0.55851323275980502</v>
      </c>
      <c r="AG643">
        <v>-1.1599170000000001</v>
      </c>
      <c r="AH643">
        <v>17.892277345332001</v>
      </c>
      <c r="AI643">
        <v>93.707368369115201</v>
      </c>
      <c r="AJ643">
        <v>88.212074249372904</v>
      </c>
      <c r="AK643">
        <v>17.938532077077401</v>
      </c>
      <c r="AL643">
        <v>80.620300614384703</v>
      </c>
      <c r="AM643">
        <v>89.625410350089695</v>
      </c>
      <c r="AN643">
        <v>1.00000001786885</v>
      </c>
    </row>
    <row r="644" spans="1:40" x14ac:dyDescent="0.25">
      <c r="A644" t="str">
        <f>"20190312172343256"</f>
        <v>20190312172343256</v>
      </c>
      <c r="B644" t="str">
        <f>"1552382623250315"</f>
        <v>1552382623250315</v>
      </c>
      <c r="C644" t="s">
        <v>40</v>
      </c>
      <c r="D644">
        <v>3.631262</v>
      </c>
      <c r="E644">
        <v>0.50863659999999999</v>
      </c>
      <c r="F644" t="s">
        <v>41</v>
      </c>
      <c r="G644">
        <v>-322.45359999999999</v>
      </c>
      <c r="H644">
        <v>1.044276</v>
      </c>
      <c r="I644">
        <v>367.15789999999998</v>
      </c>
      <c r="J644">
        <v>-323.28199999999998</v>
      </c>
      <c r="K644">
        <v>1.109915</v>
      </c>
      <c r="L644">
        <v>367.18619999999999</v>
      </c>
      <c r="M644">
        <v>0.99991660000000004</v>
      </c>
      <c r="N644">
        <v>0</v>
      </c>
      <c r="O644">
        <v>4.4683070000000004E-3</v>
      </c>
      <c r="P644">
        <v>0.98852799999999996</v>
      </c>
      <c r="Q644">
        <v>0.15102360000000001</v>
      </c>
      <c r="R644">
        <v>-2.1426840000000002E-3</v>
      </c>
      <c r="S644">
        <v>3.064362</v>
      </c>
      <c r="T644">
        <v>-0.19470290000000001</v>
      </c>
      <c r="U644">
        <v>-8.0474850000000001E-2</v>
      </c>
      <c r="V644">
        <v>6.559446E-3</v>
      </c>
      <c r="W644">
        <v>0.16299</v>
      </c>
      <c r="X644">
        <v>0.98660590000000004</v>
      </c>
      <c r="Y644">
        <v>3.064855E-2</v>
      </c>
      <c r="Z644">
        <v>-1.256119E-3</v>
      </c>
      <c r="AA644">
        <v>0.99952940000000001</v>
      </c>
      <c r="AB644">
        <v>39</v>
      </c>
      <c r="AC644">
        <v>0.82839999999998704</v>
      </c>
      <c r="AD644">
        <v>-6.5639000000000003E-2</v>
      </c>
      <c r="AE644">
        <v>-2.8300000000001501E-2</v>
      </c>
      <c r="AF644">
        <v>3.1802103568530901E-2</v>
      </c>
      <c r="AG644">
        <v>-6.5639000000000003E-2</v>
      </c>
      <c r="AH644">
        <v>0.823103579496829</v>
      </c>
      <c r="AI644">
        <v>94.556060249487601</v>
      </c>
      <c r="AJ644">
        <v>87.787373936405601</v>
      </c>
      <c r="AK644">
        <v>0.82632884174091104</v>
      </c>
      <c r="AL644">
        <v>80.619510512552296</v>
      </c>
      <c r="AM644">
        <v>89.619074815618802</v>
      </c>
      <c r="AN644">
        <v>0.99999998417331804</v>
      </c>
    </row>
    <row r="645" spans="1:40" x14ac:dyDescent="0.25">
      <c r="A645" t="str">
        <f>"20190312172343267"</f>
        <v>20190312172343267</v>
      </c>
      <c r="B645" t="str">
        <f>"1552382623260075"</f>
        <v>1552382623260075</v>
      </c>
      <c r="C645" t="s">
        <v>40</v>
      </c>
      <c r="D645">
        <v>3.635866</v>
      </c>
      <c r="E645">
        <v>0.50865579999999999</v>
      </c>
      <c r="F645" t="s">
        <v>42</v>
      </c>
      <c r="G645">
        <v>-304.99639999999999</v>
      </c>
      <c r="H645">
        <v>-0.05</v>
      </c>
      <c r="I645">
        <v>366.70299999999997</v>
      </c>
      <c r="J645">
        <v>-323.06639999999999</v>
      </c>
      <c r="K645">
        <v>1.1099159999999999</v>
      </c>
      <c r="L645">
        <v>367.18709999999999</v>
      </c>
      <c r="M645">
        <v>0.99991660000000004</v>
      </c>
      <c r="N645">
        <v>0</v>
      </c>
      <c r="O645">
        <v>4.4770449999999998E-3</v>
      </c>
      <c r="P645">
        <v>0.98851699999999998</v>
      </c>
      <c r="Q645">
        <v>0.1510966</v>
      </c>
      <c r="R645">
        <v>-2.0325349999999998E-3</v>
      </c>
      <c r="S645">
        <v>3.06427</v>
      </c>
      <c r="T645">
        <v>-0.1943763</v>
      </c>
      <c r="U645">
        <v>-8.0963129999999994E-2</v>
      </c>
      <c r="V645">
        <v>6.4578109999999999E-3</v>
      </c>
      <c r="W645">
        <v>0.16306670000000001</v>
      </c>
      <c r="X645">
        <v>0.98659390000000002</v>
      </c>
      <c r="Y645">
        <v>3.0817110000000002E-2</v>
      </c>
      <c r="Z645">
        <v>-1.2599449999999999E-3</v>
      </c>
      <c r="AA645">
        <v>0.99952419999999997</v>
      </c>
      <c r="AB645">
        <v>39</v>
      </c>
      <c r="AC645">
        <v>18.07</v>
      </c>
      <c r="AD645">
        <v>-1.1599159999999999</v>
      </c>
      <c r="AE645">
        <v>-0.48409999999995501</v>
      </c>
      <c r="AF645">
        <v>0.56268447904566499</v>
      </c>
      <c r="AG645">
        <v>-1.1599159999999999</v>
      </c>
      <c r="AH645">
        <v>17.993564315033801</v>
      </c>
      <c r="AI645">
        <v>93.686547450933105</v>
      </c>
      <c r="AJ645">
        <v>88.208862766995793</v>
      </c>
      <c r="AK645">
        <v>18.039688902785201</v>
      </c>
      <c r="AL645">
        <v>80.615056369288496</v>
      </c>
      <c r="AM645">
        <v>89.624972310173803</v>
      </c>
      <c r="AN645">
        <v>0.99999998774450505</v>
      </c>
    </row>
    <row r="646" spans="1:40" x14ac:dyDescent="0.25">
      <c r="A646" t="str">
        <f>"20190312172343279"</f>
        <v>20190312172343279</v>
      </c>
      <c r="B646" t="str">
        <f>"1552382623270813"</f>
        <v>1552382623270813</v>
      </c>
      <c r="C646" t="s">
        <v>40</v>
      </c>
      <c r="D646">
        <v>3.601362</v>
      </c>
      <c r="E646">
        <v>0.50865729999999998</v>
      </c>
      <c r="F646" t="s">
        <v>41</v>
      </c>
      <c r="G646">
        <v>-322.09949999999998</v>
      </c>
      <c r="H646">
        <v>1.0488789999999999</v>
      </c>
      <c r="I646">
        <v>367.16149999999999</v>
      </c>
      <c r="J646">
        <v>-322.86270000000002</v>
      </c>
      <c r="K646">
        <v>1.109915</v>
      </c>
      <c r="L646">
        <v>367.18799999999999</v>
      </c>
      <c r="M646">
        <v>0.99991660000000004</v>
      </c>
      <c r="N646">
        <v>0</v>
      </c>
      <c r="O646">
        <v>4.4852499999999997E-3</v>
      </c>
      <c r="P646">
        <v>0.98848939999999996</v>
      </c>
      <c r="Q646">
        <v>0.15127739999999901</v>
      </c>
      <c r="R646">
        <v>-2.1254450000000001E-3</v>
      </c>
      <c r="S646">
        <v>3.06427</v>
      </c>
      <c r="T646">
        <v>-0.19364729999999999</v>
      </c>
      <c r="U646">
        <v>-8.0566410000000005E-2</v>
      </c>
      <c r="V646">
        <v>6.5587650000000003E-3</v>
      </c>
      <c r="W646">
        <v>0.16325020000000001</v>
      </c>
      <c r="X646">
        <v>0.98656290000000002</v>
      </c>
      <c r="Y646">
        <v>3.0696749999999998E-2</v>
      </c>
      <c r="Z646">
        <v>-1.2519499999999999E-3</v>
      </c>
      <c r="AA646">
        <v>0.99952790000000002</v>
      </c>
      <c r="AB646">
        <v>39</v>
      </c>
      <c r="AC646">
        <v>0.76320000000003996</v>
      </c>
      <c r="AD646">
        <v>-6.1035999999999799E-2</v>
      </c>
      <c r="AE646">
        <v>-2.6500000000055399E-2</v>
      </c>
      <c r="AF646">
        <v>2.9733188513448201E-2</v>
      </c>
      <c r="AG646">
        <v>-6.1035999999999799E-2</v>
      </c>
      <c r="AH646">
        <v>0.75822980174138799</v>
      </c>
      <c r="AI646">
        <v>94.598753994853297</v>
      </c>
      <c r="AJ646">
        <v>87.754356537761794</v>
      </c>
      <c r="AK646">
        <v>0.76126334999391598</v>
      </c>
      <c r="AL646">
        <v>80.604399914440805</v>
      </c>
      <c r="AM646">
        <v>89.619097761343795</v>
      </c>
      <c r="AN646">
        <v>1.0000000004273799</v>
      </c>
    </row>
    <row r="647" spans="1:40" x14ac:dyDescent="0.25">
      <c r="A647" t="str">
        <f>"20190312172343291"</f>
        <v>20190312172343291</v>
      </c>
      <c r="B647" t="str">
        <f>"1552382623280572"</f>
        <v>1552382623280572</v>
      </c>
      <c r="C647" t="s">
        <v>40</v>
      </c>
      <c r="D647">
        <v>3.6062720000000001</v>
      </c>
      <c r="E647">
        <v>0.50867799999999996</v>
      </c>
      <c r="F647" t="s">
        <v>42</v>
      </c>
      <c r="G647">
        <v>-304.41919999999999</v>
      </c>
      <c r="H647">
        <v>-0.05</v>
      </c>
      <c r="I647">
        <v>366.70170000000002</v>
      </c>
      <c r="J647">
        <v>-322.65809999999999</v>
      </c>
      <c r="K647">
        <v>1.109907</v>
      </c>
      <c r="L647">
        <v>367.18900000000002</v>
      </c>
      <c r="M647">
        <v>0.99991640000000004</v>
      </c>
      <c r="N647">
        <v>0</v>
      </c>
      <c r="O647">
        <v>4.4936359999999996E-3</v>
      </c>
      <c r="P647">
        <v>0.98848550000000002</v>
      </c>
      <c r="Q647">
        <v>0.15130460000000001</v>
      </c>
      <c r="R647">
        <v>-1.9361160000000001E-3</v>
      </c>
      <c r="S647">
        <v>3.0642399999999999</v>
      </c>
      <c r="T647">
        <v>-0.19271079999999999</v>
      </c>
      <c r="U647">
        <v>-8.0810549999999995E-2</v>
      </c>
      <c r="V647">
        <v>6.3776769999999896E-3</v>
      </c>
      <c r="W647">
        <v>0.16328029999999999</v>
      </c>
      <c r="X647">
        <v>0.98655910000000002</v>
      </c>
      <c r="Y647">
        <v>3.0785460000000001E-2</v>
      </c>
      <c r="Z647">
        <v>-1.2492320000000001E-3</v>
      </c>
      <c r="AA647">
        <v>0.9995252</v>
      </c>
      <c r="AB647">
        <v>39</v>
      </c>
      <c r="AC647">
        <v>18.238900000000001</v>
      </c>
      <c r="AD647">
        <v>-1.159907</v>
      </c>
      <c r="AE647">
        <v>-0.48730000000000401</v>
      </c>
      <c r="AF647">
        <v>0.56696869570361297</v>
      </c>
      <c r="AG647">
        <v>-1.159907</v>
      </c>
      <c r="AH647">
        <v>18.163120244771001</v>
      </c>
      <c r="AI647">
        <v>93.652204574914194</v>
      </c>
      <c r="AJ647">
        <v>88.212071053464797</v>
      </c>
      <c r="AK647">
        <v>18.208947657033001</v>
      </c>
      <c r="AL647">
        <v>80.602651799840302</v>
      </c>
      <c r="AM647">
        <v>89.629612777345997</v>
      </c>
      <c r="AN647">
        <v>0.99999999446240795</v>
      </c>
    </row>
    <row r="648" spans="1:40" x14ac:dyDescent="0.25">
      <c r="A648" t="str">
        <f>"20190312172343303"</f>
        <v>20190312172343303</v>
      </c>
      <c r="B648" t="str">
        <f>"1552382623290331"</f>
        <v>1552382623290331</v>
      </c>
      <c r="C648" t="s">
        <v>40</v>
      </c>
      <c r="D648">
        <v>3.6462140000000001</v>
      </c>
      <c r="E648">
        <v>0.50870320000000002</v>
      </c>
      <c r="F648" t="s">
        <v>42</v>
      </c>
      <c r="G648">
        <v>-304.18630000000002</v>
      </c>
      <c r="H648">
        <v>-0.05</v>
      </c>
      <c r="I648">
        <v>366.70350000000002</v>
      </c>
      <c r="J648">
        <v>-322.44740000000002</v>
      </c>
      <c r="K648">
        <v>1.1099079999999999</v>
      </c>
      <c r="L648">
        <v>367.18990000000002</v>
      </c>
      <c r="M648">
        <v>0.99991640000000004</v>
      </c>
      <c r="N648">
        <v>0</v>
      </c>
      <c r="O648">
        <v>4.5022009999999999E-3</v>
      </c>
      <c r="P648">
        <v>0.98851659999999997</v>
      </c>
      <c r="Q648">
        <v>0.1510997</v>
      </c>
      <c r="R648">
        <v>-2.0117960000000002E-3</v>
      </c>
      <c r="S648">
        <v>3.0642399999999999</v>
      </c>
      <c r="T648">
        <v>-0.19241340000000001</v>
      </c>
      <c r="U648">
        <v>-8.0535889999999999E-2</v>
      </c>
      <c r="V648">
        <v>6.4621319999999998E-3</v>
      </c>
      <c r="W648">
        <v>0.1630789</v>
      </c>
      <c r="X648">
        <v>0.98659189999999997</v>
      </c>
      <c r="Y648">
        <v>3.0704849999999999E-2</v>
      </c>
      <c r="Z648">
        <v>-1.2453189999999999E-3</v>
      </c>
      <c r="AA648">
        <v>0.99952770000000002</v>
      </c>
      <c r="AB648">
        <v>39</v>
      </c>
      <c r="AC648">
        <v>18.261099999999999</v>
      </c>
      <c r="AD648">
        <v>-1.1599079999999999</v>
      </c>
      <c r="AE648">
        <v>-0.486400000000003</v>
      </c>
      <c r="AF648">
        <v>0.56633298371415497</v>
      </c>
      <c r="AG648">
        <v>-1.1599079999999999</v>
      </c>
      <c r="AH648">
        <v>18.185407265781201</v>
      </c>
      <c r="AI648">
        <v>93.647752161461597</v>
      </c>
      <c r="AJ648">
        <v>88.216261780509996</v>
      </c>
      <c r="AK648">
        <v>18.231158960396201</v>
      </c>
      <c r="AL648">
        <v>80.614348295665593</v>
      </c>
      <c r="AM648">
        <v>89.624720621017104</v>
      </c>
      <c r="AN648">
        <v>1.0000000319604001</v>
      </c>
    </row>
    <row r="649" spans="1:40" x14ac:dyDescent="0.25">
      <c r="A649" t="str">
        <f>"20190312172343322"</f>
        <v>20190312172343322</v>
      </c>
      <c r="B649" t="str">
        <f>"1552382623310827"</f>
        <v>1552382623310827</v>
      </c>
      <c r="C649" t="s">
        <v>40</v>
      </c>
      <c r="D649">
        <v>3.6077140000000001</v>
      </c>
      <c r="E649">
        <v>0.50872839999999997</v>
      </c>
      <c r="F649" t="s">
        <v>41</v>
      </c>
      <c r="G649">
        <v>-321.4042</v>
      </c>
      <c r="H649">
        <v>1.044332</v>
      </c>
      <c r="I649">
        <v>367.16210000000001</v>
      </c>
      <c r="J649">
        <v>-322.11700000000002</v>
      </c>
      <c r="K649">
        <v>1.109909</v>
      </c>
      <c r="L649">
        <v>367.19139999999999</v>
      </c>
      <c r="M649">
        <v>0.99991629999999998</v>
      </c>
      <c r="N649">
        <v>0</v>
      </c>
      <c r="O649">
        <v>4.5158239999999999E-3</v>
      </c>
      <c r="P649">
        <v>0.98853020000000003</v>
      </c>
      <c r="Q649">
        <v>0.1510148</v>
      </c>
      <c r="R649">
        <v>-1.669497E-3</v>
      </c>
      <c r="S649">
        <v>3.0641780000000001</v>
      </c>
      <c r="T649">
        <v>-0.19275429999999999</v>
      </c>
      <c r="U649">
        <v>-8.1146239999999994E-2</v>
      </c>
      <c r="V649">
        <v>6.133304E-3</v>
      </c>
      <c r="W649">
        <v>0.162998</v>
      </c>
      <c r="X649">
        <v>0.98660729999999996</v>
      </c>
      <c r="Y649">
        <v>3.091725E-2</v>
      </c>
      <c r="Z649">
        <v>-1.255071E-3</v>
      </c>
      <c r="AA649">
        <v>0.99952110000000005</v>
      </c>
      <c r="AB649">
        <v>39</v>
      </c>
      <c r="AC649">
        <v>0.71280000000001498</v>
      </c>
      <c r="AD649">
        <v>-6.5576999999999996E-2</v>
      </c>
      <c r="AE649">
        <v>-2.9299999999977899E-2</v>
      </c>
      <c r="AF649">
        <v>3.2246349434553102E-2</v>
      </c>
      <c r="AG649">
        <v>-6.5576999999999996E-2</v>
      </c>
      <c r="AH649">
        <v>0.706689189076947</v>
      </c>
      <c r="AI649">
        <v>95.296082281708607</v>
      </c>
      <c r="AJ649">
        <v>87.387395950445296</v>
      </c>
      <c r="AK649">
        <v>0.710457444143622</v>
      </c>
      <c r="AL649">
        <v>80.619045751252898</v>
      </c>
      <c r="AM649">
        <v>89.643821906725506</v>
      </c>
      <c r="AN649">
        <v>0.999999964917622</v>
      </c>
    </row>
    <row r="650" spans="1:40" x14ac:dyDescent="0.25">
      <c r="A650" t="str">
        <f>"20190312172343335"</f>
        <v>20190312172343335</v>
      </c>
      <c r="B650" t="str">
        <f>"1552382623330347"</f>
        <v>1552382623330347</v>
      </c>
      <c r="C650" t="s">
        <v>40</v>
      </c>
      <c r="D650">
        <v>3.6088360000000002</v>
      </c>
      <c r="E650">
        <v>0.50874949999999997</v>
      </c>
      <c r="F650" t="s">
        <v>41</v>
      </c>
      <c r="G650">
        <v>-321.05529999999999</v>
      </c>
      <c r="H650">
        <v>1.04325</v>
      </c>
      <c r="I650">
        <v>367.16340000000002</v>
      </c>
      <c r="J650">
        <v>-321.88549999999998</v>
      </c>
      <c r="K650">
        <v>1.1099060000000001</v>
      </c>
      <c r="L650">
        <v>367.1925</v>
      </c>
      <c r="M650">
        <v>0.99991620000000003</v>
      </c>
      <c r="N650">
        <v>0</v>
      </c>
      <c r="O650">
        <v>4.5252249999999999E-3</v>
      </c>
      <c r="P650">
        <v>0.98853489999999999</v>
      </c>
      <c r="Q650">
        <v>0.1509838</v>
      </c>
      <c r="R650">
        <v>-1.736631E-3</v>
      </c>
      <c r="S650">
        <v>3.0640869999999998</v>
      </c>
      <c r="T650">
        <v>-0.1925106</v>
      </c>
      <c r="U650">
        <v>-8.0413819999999997E-2</v>
      </c>
      <c r="V650">
        <v>6.2097530000000001E-3</v>
      </c>
      <c r="W650">
        <v>0.1629698</v>
      </c>
      <c r="X650">
        <v>0.98661149999999997</v>
      </c>
      <c r="Y650">
        <v>3.0689290000000001E-2</v>
      </c>
      <c r="Z650">
        <v>-1.246966E-3</v>
      </c>
      <c r="AA650">
        <v>0.99952819999999998</v>
      </c>
      <c r="AB650">
        <v>39</v>
      </c>
      <c r="AC650">
        <v>0.83019999999998995</v>
      </c>
      <c r="AD650">
        <v>-6.6656000000000007E-2</v>
      </c>
      <c r="AE650">
        <v>-2.9099999999971201E-2</v>
      </c>
      <c r="AF650">
        <v>3.2646627246585097E-2</v>
      </c>
      <c r="AG650">
        <v>-6.6656000000000007E-2</v>
      </c>
      <c r="AH650">
        <v>0.82474971382481599</v>
      </c>
      <c r="AI650">
        <v>94.616983170573704</v>
      </c>
      <c r="AJ650">
        <v>87.733205730869201</v>
      </c>
      <c r="AK650">
        <v>0.828082674049333</v>
      </c>
      <c r="AL650">
        <v>80.6206835733975</v>
      </c>
      <c r="AM650">
        <v>89.639383951408504</v>
      </c>
      <c r="AN650">
        <v>0.99999998433830495</v>
      </c>
    </row>
    <row r="651" spans="1:40" x14ac:dyDescent="0.25">
      <c r="A651" t="str">
        <f>"20190312172343349"</f>
        <v>20190312172343349</v>
      </c>
      <c r="B651" t="str">
        <f>"1552382623340108"</f>
        <v>1552382623340108</v>
      </c>
      <c r="C651" t="s">
        <v>40</v>
      </c>
      <c r="D651">
        <v>3.6319279999999998</v>
      </c>
      <c r="E651">
        <v>0.50877490000000003</v>
      </c>
      <c r="F651" t="s">
        <v>42</v>
      </c>
      <c r="G651">
        <v>-303.36369999999999</v>
      </c>
      <c r="H651">
        <v>-0.05</v>
      </c>
      <c r="I651">
        <v>366.70510000000002</v>
      </c>
      <c r="J651">
        <v>-321.64780000000002</v>
      </c>
      <c r="K651">
        <v>1.109907</v>
      </c>
      <c r="L651">
        <v>367.1936</v>
      </c>
      <c r="M651">
        <v>0.99991600000000003</v>
      </c>
      <c r="N651">
        <v>0</v>
      </c>
      <c r="O651">
        <v>4.5349250000000004E-3</v>
      </c>
      <c r="P651">
        <v>0.98856259999999996</v>
      </c>
      <c r="Q651">
        <v>0.15080550000000001</v>
      </c>
      <c r="R651">
        <v>-1.384768E-3</v>
      </c>
      <c r="S651">
        <v>3.0639949999999998</v>
      </c>
      <c r="T651">
        <v>-0.19187940000000001</v>
      </c>
      <c r="U651">
        <v>-8.0627439999999995E-2</v>
      </c>
      <c r="V651">
        <v>5.8675759999999898E-3</v>
      </c>
      <c r="W651">
        <v>0.16279479999999999</v>
      </c>
      <c r="X651">
        <v>0.98664249999999998</v>
      </c>
      <c r="Y651">
        <v>3.0769680000000001E-2</v>
      </c>
      <c r="Z651">
        <v>-1.2460430000000001E-3</v>
      </c>
      <c r="AA651">
        <v>0.99952569999999996</v>
      </c>
      <c r="AB651">
        <v>39</v>
      </c>
      <c r="AC651">
        <v>18.284099999999999</v>
      </c>
      <c r="AD651">
        <v>-1.159907</v>
      </c>
      <c r="AE651">
        <v>-0.488499999999987</v>
      </c>
      <c r="AF651">
        <v>0.56912935109275897</v>
      </c>
      <c r="AG651">
        <v>-1.159907</v>
      </c>
      <c r="AH651">
        <v>18.208470918220002</v>
      </c>
      <c r="AI651">
        <v>93.643128151934306</v>
      </c>
      <c r="AJ651">
        <v>88.209729027245302</v>
      </c>
      <c r="AK651">
        <v>18.254251714233199</v>
      </c>
      <c r="AL651">
        <v>80.630846189075498</v>
      </c>
      <c r="AM651">
        <v>89.659265258138007</v>
      </c>
      <c r="AN651">
        <v>0.99999999908070203</v>
      </c>
    </row>
    <row r="652" spans="1:40" x14ac:dyDescent="0.25">
      <c r="A652" t="str">
        <f>"20190312172343369"</f>
        <v>20190312172343369</v>
      </c>
      <c r="B652" t="str">
        <f>"1552382623360604"</f>
        <v>1552382623360604</v>
      </c>
      <c r="C652" t="s">
        <v>40</v>
      </c>
      <c r="D652">
        <v>3.5927910000000001</v>
      </c>
      <c r="E652">
        <v>0.50880400000000003</v>
      </c>
      <c r="F652" t="s">
        <v>41</v>
      </c>
      <c r="G652">
        <v>-320.69670000000002</v>
      </c>
      <c r="H652">
        <v>1.050292</v>
      </c>
      <c r="I652">
        <v>367.16879999999998</v>
      </c>
      <c r="J652">
        <v>-321.29750000000001</v>
      </c>
      <c r="K652">
        <v>1.109915</v>
      </c>
      <c r="L652">
        <v>367.1952</v>
      </c>
      <c r="M652">
        <v>0.99991589999999997</v>
      </c>
      <c r="N652">
        <v>0</v>
      </c>
      <c r="O652">
        <v>4.549081E-3</v>
      </c>
      <c r="P652">
        <v>0.98854750000000002</v>
      </c>
      <c r="Q652">
        <v>0.150899799999999</v>
      </c>
      <c r="R652">
        <v>-1.8008810000000001E-3</v>
      </c>
      <c r="S652">
        <v>3.0638730000000001</v>
      </c>
      <c r="T652">
        <v>-0.1921465</v>
      </c>
      <c r="U652">
        <v>-7.9650879999999993E-2</v>
      </c>
      <c r="V652">
        <v>6.2975640000000003E-3</v>
      </c>
      <c r="W652">
        <v>0.1628936</v>
      </c>
      <c r="X652">
        <v>0.98662349999999999</v>
      </c>
      <c r="Y652">
        <v>3.0466879999999998E-2</v>
      </c>
      <c r="Z652">
        <v>-1.2392320000000001E-3</v>
      </c>
      <c r="AA652">
        <v>0.99953499999999995</v>
      </c>
      <c r="AB652">
        <v>39</v>
      </c>
      <c r="AC652">
        <v>0.60079999999999201</v>
      </c>
      <c r="AD652">
        <v>-5.9622999999999898E-2</v>
      </c>
      <c r="AE652">
        <v>-2.64000000000237E-2</v>
      </c>
      <c r="AF652">
        <v>2.8849441558002599E-2</v>
      </c>
      <c r="AG652">
        <v>-5.9622999999999898E-2</v>
      </c>
      <c r="AH652">
        <v>0.59482684595649205</v>
      </c>
      <c r="AI652">
        <v>95.717298805320993</v>
      </c>
      <c r="AJ652">
        <v>87.223297842079802</v>
      </c>
      <c r="AK652">
        <v>0.59850327407438297</v>
      </c>
      <c r="AL652">
        <v>80.625108388571803</v>
      </c>
      <c r="AM652">
        <v>89.634289130244795</v>
      </c>
      <c r="AN652">
        <v>0.99999995749277104</v>
      </c>
    </row>
    <row r="653" spans="1:40" x14ac:dyDescent="0.25">
      <c r="A653" t="str">
        <f>"20190312172343382"</f>
        <v>20190312172343382</v>
      </c>
      <c r="B653" t="str">
        <f>"1552382623370364"</f>
        <v>1552382623370364</v>
      </c>
      <c r="C653" t="s">
        <v>40</v>
      </c>
      <c r="D653">
        <v>3.6257779999999999</v>
      </c>
      <c r="E653">
        <v>0.50882700000000003</v>
      </c>
      <c r="F653" t="s">
        <v>41</v>
      </c>
      <c r="G653">
        <v>-320.34550000000002</v>
      </c>
      <c r="H653">
        <v>1.050478</v>
      </c>
      <c r="I653">
        <v>367.17</v>
      </c>
      <c r="J653">
        <v>-321.0754</v>
      </c>
      <c r="K653">
        <v>1.109907</v>
      </c>
      <c r="L653">
        <v>367.19619999999998</v>
      </c>
      <c r="M653">
        <v>0.99991620000000003</v>
      </c>
      <c r="N653">
        <v>0</v>
      </c>
      <c r="O653">
        <v>4.557902E-3</v>
      </c>
      <c r="P653">
        <v>0.98851469999999997</v>
      </c>
      <c r="Q653">
        <v>0.15111369999999999</v>
      </c>
      <c r="R653">
        <v>-1.944982E-3</v>
      </c>
      <c r="S653">
        <v>3.0638429999999999</v>
      </c>
      <c r="T653">
        <v>-0.19136</v>
      </c>
      <c r="U653">
        <v>-8.0657960000000001E-2</v>
      </c>
      <c r="V653">
        <v>6.450285E-3</v>
      </c>
      <c r="W653">
        <v>0.16308789999999901</v>
      </c>
      <c r="X653">
        <v>0.98659039999999998</v>
      </c>
      <c r="Y653">
        <v>3.0804160000000001E-2</v>
      </c>
      <c r="Z653">
        <v>-1.2452470000000001E-3</v>
      </c>
      <c r="AA653">
        <v>0.99952470000000004</v>
      </c>
      <c r="AB653">
        <v>39</v>
      </c>
      <c r="AC653">
        <v>0.729899999999986</v>
      </c>
      <c r="AD653">
        <v>-5.9428999999999899E-2</v>
      </c>
      <c r="AE653">
        <v>-2.61999999999602E-2</v>
      </c>
      <c r="AF653">
        <v>2.9332579393910999E-2</v>
      </c>
      <c r="AG653">
        <v>-5.9428999999999899E-2</v>
      </c>
      <c r="AH653">
        <v>0.72497308483471201</v>
      </c>
      <c r="AI653">
        <v>94.6824764728064</v>
      </c>
      <c r="AJ653">
        <v>87.683063200650395</v>
      </c>
      <c r="AK653">
        <v>0.72799600272917597</v>
      </c>
      <c r="AL653">
        <v>80.613824797104002</v>
      </c>
      <c r="AM653">
        <v>89.625408030027302</v>
      </c>
      <c r="AN653">
        <v>0.99999994333757403</v>
      </c>
    </row>
    <row r="654" spans="1:40" x14ac:dyDescent="0.25">
      <c r="A654" t="str">
        <f>"20190312172343395"</f>
        <v>20190312172343395</v>
      </c>
      <c r="B654" t="str">
        <f>"1552382623390859"</f>
        <v>1552382623390859</v>
      </c>
      <c r="C654" t="s">
        <v>40</v>
      </c>
      <c r="D654">
        <v>3.6401409999999998</v>
      </c>
      <c r="E654">
        <v>0.50884839999999998</v>
      </c>
      <c r="F654" t="s">
        <v>41</v>
      </c>
      <c r="G654">
        <v>-320.00319999999999</v>
      </c>
      <c r="H654">
        <v>1.043329</v>
      </c>
      <c r="I654">
        <v>367.16739999999999</v>
      </c>
      <c r="J654">
        <v>-320.8218</v>
      </c>
      <c r="K654">
        <v>1.1097669999999999</v>
      </c>
      <c r="L654">
        <v>367.19740000000002</v>
      </c>
      <c r="M654">
        <v>0.99992230000000004</v>
      </c>
      <c r="N654">
        <v>0</v>
      </c>
      <c r="O654">
        <v>4.5689140000000003E-3</v>
      </c>
      <c r="P654">
        <v>0.98841999999999997</v>
      </c>
      <c r="Q654">
        <v>0.15172869999999999</v>
      </c>
      <c r="R654">
        <v>-2.0988690000000002E-3</v>
      </c>
      <c r="S654">
        <v>3.063812</v>
      </c>
      <c r="T654">
        <v>-0.19041540000000001</v>
      </c>
      <c r="U654">
        <v>-8.1603999999999996E-2</v>
      </c>
      <c r="V654">
        <v>6.6148999999999999E-3</v>
      </c>
      <c r="W654">
        <v>0.16318949999999999</v>
      </c>
      <c r="X654">
        <v>0.98657260000000002</v>
      </c>
      <c r="Y654">
        <v>3.1123850000000002E-2</v>
      </c>
      <c r="Z654">
        <v>-1.249724E-3</v>
      </c>
      <c r="AA654">
        <v>0.99951480000000004</v>
      </c>
      <c r="AB654">
        <v>39</v>
      </c>
      <c r="AC654">
        <v>0.81860000000000299</v>
      </c>
      <c r="AD654">
        <v>-6.6437999999999706E-2</v>
      </c>
      <c r="AE654">
        <v>-3.00000000000295E-2</v>
      </c>
      <c r="AF654">
        <v>3.3519553268162201E-2</v>
      </c>
      <c r="AG654">
        <v>-6.6437999999999706E-2</v>
      </c>
      <c r="AH654">
        <v>0.81310561102453305</v>
      </c>
      <c r="AI654">
        <v>94.667253888610304</v>
      </c>
      <c r="AJ654">
        <v>87.639369249904504</v>
      </c>
      <c r="AK654">
        <v>0.816503706651033</v>
      </c>
      <c r="AL654">
        <v>80.607925344585496</v>
      </c>
      <c r="AM654">
        <v>89.615841578699005</v>
      </c>
      <c r="AN654">
        <v>1.0000000324414999</v>
      </c>
    </row>
    <row r="655" spans="1:40" x14ac:dyDescent="0.25">
      <c r="A655" t="str">
        <f>"20190312172343411"</f>
        <v>20190312172343411</v>
      </c>
      <c r="B655" t="str">
        <f>"1552382623400619"</f>
        <v>1552382623400619</v>
      </c>
      <c r="C655" t="s">
        <v>40</v>
      </c>
      <c r="D655">
        <v>3.6340309999999998</v>
      </c>
      <c r="E655">
        <v>0.50886379999999998</v>
      </c>
      <c r="F655" t="s">
        <v>42</v>
      </c>
      <c r="G655">
        <v>-301.94240000000002</v>
      </c>
      <c r="H655">
        <v>-0.05</v>
      </c>
      <c r="I655">
        <v>366.68920000000003</v>
      </c>
      <c r="J655">
        <v>-320.56020000000001</v>
      </c>
      <c r="K655">
        <v>1.109591</v>
      </c>
      <c r="L655">
        <v>367.1986</v>
      </c>
      <c r="M655">
        <v>0.99992780000000003</v>
      </c>
      <c r="N655">
        <v>0</v>
      </c>
      <c r="O655">
        <v>4.5799049999999996E-3</v>
      </c>
      <c r="P655">
        <v>0.98836429999999997</v>
      </c>
      <c r="Q655">
        <v>0.1520907</v>
      </c>
      <c r="R655">
        <v>-2.0957530000000001E-3</v>
      </c>
      <c r="S655">
        <v>3.0638429999999999</v>
      </c>
      <c r="T655">
        <v>-0.18821299999999999</v>
      </c>
      <c r="U655">
        <v>-8.2458500000000004E-2</v>
      </c>
      <c r="V655">
        <v>6.6224830000000002E-3</v>
      </c>
      <c r="W655">
        <v>0.16307189999999999</v>
      </c>
      <c r="X655">
        <v>0.98659200000000002</v>
      </c>
      <c r="Y655">
        <v>3.1414129999999998E-2</v>
      </c>
      <c r="Z655">
        <v>-1.2448579999999999E-3</v>
      </c>
      <c r="AA655">
        <v>0.99950570000000005</v>
      </c>
      <c r="AB655">
        <v>39</v>
      </c>
      <c r="AC655">
        <v>18.6177999999999</v>
      </c>
      <c r="AD655">
        <v>-1.159591</v>
      </c>
      <c r="AE655">
        <v>-0.50939999999997099</v>
      </c>
      <c r="AF655">
        <v>0.59237140930323795</v>
      </c>
      <c r="AG655">
        <v>-1.159591</v>
      </c>
      <c r="AH655">
        <v>18.543390075802101</v>
      </c>
      <c r="AI655">
        <v>93.576451010179099</v>
      </c>
      <c r="AJ655">
        <v>88.170299860032202</v>
      </c>
      <c r="AK655">
        <v>18.589052441617302</v>
      </c>
      <c r="AL655">
        <v>80.614754866525502</v>
      </c>
      <c r="AM655">
        <v>89.615408773757395</v>
      </c>
      <c r="AN655">
        <v>1.00000003815734</v>
      </c>
    </row>
    <row r="656" spans="1:40" x14ac:dyDescent="0.25">
      <c r="A656" t="str">
        <f>"20190312172343434"</f>
        <v>20190312172343434</v>
      </c>
      <c r="B656" t="str">
        <f>"1552382623430876"</f>
        <v>1552382623430876</v>
      </c>
      <c r="C656" t="s">
        <v>40</v>
      </c>
      <c r="D656">
        <v>3.619062</v>
      </c>
      <c r="E656">
        <v>0.50890210000000002</v>
      </c>
      <c r="F656" t="s">
        <v>42</v>
      </c>
      <c r="G656">
        <v>-301.54829999999998</v>
      </c>
      <c r="H656">
        <v>-0.05</v>
      </c>
      <c r="I656">
        <v>366.68520000000001</v>
      </c>
      <c r="J656">
        <v>-320.15519999999998</v>
      </c>
      <c r="K656">
        <v>1.109286</v>
      </c>
      <c r="L656">
        <v>367.2004</v>
      </c>
      <c r="M656">
        <v>0.99993180000000004</v>
      </c>
      <c r="N656">
        <v>0</v>
      </c>
      <c r="O656">
        <v>4.597093E-3</v>
      </c>
      <c r="P656">
        <v>0.98832690000000001</v>
      </c>
      <c r="Q656">
        <v>0.15233060000000001</v>
      </c>
      <c r="R656">
        <v>-2.3586219999999999E-3</v>
      </c>
      <c r="S656">
        <v>3.063904</v>
      </c>
      <c r="T656">
        <v>-0.18687570000000001</v>
      </c>
      <c r="U656">
        <v>-8.2733150000000005E-2</v>
      </c>
      <c r="V656">
        <v>6.9022629999999996E-3</v>
      </c>
      <c r="W656">
        <v>0.16294249999999999</v>
      </c>
      <c r="X656">
        <v>0.98661140000000003</v>
      </c>
      <c r="Y656">
        <v>3.1521010000000002E-2</v>
      </c>
      <c r="Z656">
        <v>-1.240306E-3</v>
      </c>
      <c r="AA656">
        <v>0.99950229999999995</v>
      </c>
      <c r="AB656">
        <v>39</v>
      </c>
      <c r="AC656">
        <v>18.6069</v>
      </c>
      <c r="AD656">
        <v>-1.159286</v>
      </c>
      <c r="AE656">
        <v>-0.515199999999993</v>
      </c>
      <c r="AF656">
        <v>0.59841598368836402</v>
      </c>
      <c r="AG656">
        <v>-1.159286</v>
      </c>
      <c r="AH656">
        <v>18.532450652477198</v>
      </c>
      <c r="AI656">
        <v>93.577578349546897</v>
      </c>
      <c r="AJ656">
        <v>88.150552134401806</v>
      </c>
      <c r="AK656">
        <v>18.578314587330901</v>
      </c>
      <c r="AL656">
        <v>80.6222688705694</v>
      </c>
      <c r="AM656">
        <v>89.599169351440494</v>
      </c>
      <c r="AN656">
        <v>0.99999997707536503</v>
      </c>
    </row>
    <row r="657" spans="1:40" x14ac:dyDescent="0.25">
      <c r="A657" t="str">
        <f>"20190312172343446"</f>
        <v>20190312172343446</v>
      </c>
      <c r="B657" t="str">
        <f>"1552382623440636"</f>
        <v>1552382623440636</v>
      </c>
      <c r="C657" t="s">
        <v>40</v>
      </c>
      <c r="D657">
        <v>3.632377</v>
      </c>
      <c r="E657">
        <v>0.50891030000000004</v>
      </c>
      <c r="F657" t="s">
        <v>42</v>
      </c>
      <c r="G657">
        <v>-301.0181</v>
      </c>
      <c r="H657">
        <v>-0.05</v>
      </c>
      <c r="I657">
        <v>366.67930000000001</v>
      </c>
      <c r="J657">
        <v>-319.93529999999998</v>
      </c>
      <c r="K657">
        <v>1.1090869999999999</v>
      </c>
      <c r="L657">
        <v>367.20150000000001</v>
      </c>
      <c r="M657">
        <v>0.99993100000000001</v>
      </c>
      <c r="N657">
        <v>0</v>
      </c>
      <c r="O657">
        <v>4.606504E-3</v>
      </c>
      <c r="P657">
        <v>0.98829639999999996</v>
      </c>
      <c r="Q657">
        <v>0.15252760000000001</v>
      </c>
      <c r="R657">
        <v>-2.3814040000000002E-3</v>
      </c>
      <c r="S657">
        <v>3.0638730000000001</v>
      </c>
      <c r="T657">
        <v>-0.18560280000000001</v>
      </c>
      <c r="U657">
        <v>-8.3435060000000005E-2</v>
      </c>
      <c r="V657">
        <v>6.9342930000000002E-3</v>
      </c>
      <c r="W657">
        <v>0.16320460000000001</v>
      </c>
      <c r="X657">
        <v>0.98656790000000005</v>
      </c>
      <c r="Y657">
        <v>3.1759950000000002E-2</v>
      </c>
      <c r="Z657">
        <v>-1.2396810000000001E-3</v>
      </c>
      <c r="AA657">
        <v>0.99949469999999996</v>
      </c>
      <c r="AB657">
        <v>40</v>
      </c>
      <c r="AC657">
        <v>18.917199999999902</v>
      </c>
      <c r="AD657">
        <v>-1.159087</v>
      </c>
      <c r="AE657">
        <v>-0.522199999999998</v>
      </c>
      <c r="AF657">
        <v>0.60706439393455303</v>
      </c>
      <c r="AG657">
        <v>-1.159087</v>
      </c>
      <c r="AH657">
        <v>18.843903536743699</v>
      </c>
      <c r="AI657">
        <v>93.518003745975193</v>
      </c>
      <c r="AJ657">
        <v>88.154830162357996</v>
      </c>
      <c r="AK657">
        <v>18.889275008693499</v>
      </c>
      <c r="AL657">
        <v>80.607048338031603</v>
      </c>
      <c r="AM657">
        <v>89.597291600155799</v>
      </c>
      <c r="AN657">
        <v>1.00000002359548</v>
      </c>
    </row>
    <row r="658" spans="1:40" x14ac:dyDescent="0.25">
      <c r="A658" t="str">
        <f>"20190312172343457"</f>
        <v>20190312172343457</v>
      </c>
      <c r="B658" t="str">
        <f>"1552382623450396"</f>
        <v>1552382623450396</v>
      </c>
      <c r="C658" t="s">
        <v>40</v>
      </c>
      <c r="D658">
        <v>3.6530749999999999</v>
      </c>
      <c r="E658">
        <v>0.50891889999999995</v>
      </c>
      <c r="F658" t="s">
        <v>41</v>
      </c>
      <c r="G658">
        <v>-318.93579999999997</v>
      </c>
      <c r="H658">
        <v>1.0488040000000001</v>
      </c>
      <c r="I658">
        <v>367.17399999999998</v>
      </c>
      <c r="J658">
        <v>-319.73430000000002</v>
      </c>
      <c r="K658">
        <v>1.108865</v>
      </c>
      <c r="L658">
        <v>367.20240000000001</v>
      </c>
      <c r="M658">
        <v>0.99992859999999995</v>
      </c>
      <c r="N658">
        <v>0</v>
      </c>
      <c r="O658">
        <v>4.6148930000000001E-3</v>
      </c>
      <c r="P658">
        <v>0.98837050000000004</v>
      </c>
      <c r="Q658">
        <v>0.15204670000000001</v>
      </c>
      <c r="R658">
        <v>-2.450111E-3</v>
      </c>
      <c r="S658">
        <v>3.063904</v>
      </c>
      <c r="T658">
        <v>-0.18488940000000001</v>
      </c>
      <c r="U658">
        <v>-8.3892820000000007E-2</v>
      </c>
      <c r="V658">
        <v>7.0116469999999898E-3</v>
      </c>
      <c r="W658">
        <v>0.16294159999999999</v>
      </c>
      <c r="X658">
        <v>0.98661080000000001</v>
      </c>
      <c r="Y658">
        <v>3.1917510000000003E-2</v>
      </c>
      <c r="Z658">
        <v>-1.2401650000000001E-3</v>
      </c>
      <c r="AA658">
        <v>0.99948970000000004</v>
      </c>
      <c r="AB658">
        <v>40</v>
      </c>
      <c r="AC658">
        <v>0.79850000000004595</v>
      </c>
      <c r="AD658">
        <v>-6.0060999999999899E-2</v>
      </c>
      <c r="AE658">
        <v>-2.8399999999976399E-2</v>
      </c>
      <c r="AF658">
        <v>3.1904636594500498E-2</v>
      </c>
      <c r="AG658">
        <v>-6.0060999999999899E-2</v>
      </c>
      <c r="AH658">
        <v>0.793874642946505</v>
      </c>
      <c r="AI658">
        <v>94.323023580154796</v>
      </c>
      <c r="AJ658">
        <v>87.698606640254397</v>
      </c>
      <c r="AK658">
        <v>0.79678239078851898</v>
      </c>
      <c r="AL658">
        <v>80.622321346881705</v>
      </c>
      <c r="AM658">
        <v>89.592817129847703</v>
      </c>
      <c r="AN658">
        <v>0.99999999944042595</v>
      </c>
    </row>
    <row r="659" spans="1:40" x14ac:dyDescent="0.25">
      <c r="A659" t="str">
        <f>"20190312172343467"</f>
        <v>20190312172343467</v>
      </c>
      <c r="B659" t="str">
        <f>"1552382623460156"</f>
        <v>1552382623460156</v>
      </c>
      <c r="C659" t="s">
        <v>40</v>
      </c>
      <c r="D659">
        <v>3.6700550000000001</v>
      </c>
      <c r="E659">
        <v>0.508934</v>
      </c>
      <c r="F659" t="s">
        <v>42</v>
      </c>
      <c r="G659">
        <v>-300.68200000000002</v>
      </c>
      <c r="H659">
        <v>-0.05</v>
      </c>
      <c r="I659">
        <v>366.67919999999998</v>
      </c>
      <c r="J659">
        <v>-319.55349999999999</v>
      </c>
      <c r="K659">
        <v>1.108609</v>
      </c>
      <c r="L659">
        <v>367.20319999999998</v>
      </c>
      <c r="M659">
        <v>0.99992510000000001</v>
      </c>
      <c r="N659">
        <v>0</v>
      </c>
      <c r="O659">
        <v>4.6226059999999996E-3</v>
      </c>
      <c r="P659">
        <v>0.98838939999999997</v>
      </c>
      <c r="Q659">
        <v>0.15192229999999901</v>
      </c>
      <c r="R659">
        <v>-2.519407E-3</v>
      </c>
      <c r="S659">
        <v>3.0637509999999999</v>
      </c>
      <c r="T659">
        <v>-0.18635389999999999</v>
      </c>
      <c r="U659">
        <v>-8.4136959999999997E-2</v>
      </c>
      <c r="V659">
        <v>7.0884930000000004E-3</v>
      </c>
      <c r="W659">
        <v>0.16311800000000001</v>
      </c>
      <c r="X659">
        <v>0.98658109999999999</v>
      </c>
      <c r="Y659">
        <v>3.2004940000000003E-2</v>
      </c>
      <c r="Z659">
        <v>-1.253157E-3</v>
      </c>
      <c r="AA659">
        <v>0.99948689999999996</v>
      </c>
      <c r="AB659">
        <v>40</v>
      </c>
      <c r="AC659">
        <v>18.871499999999902</v>
      </c>
      <c r="AD659">
        <v>-1.158609</v>
      </c>
      <c r="AE659">
        <v>-0.52400000000000002</v>
      </c>
      <c r="AF659">
        <v>0.60894199393978399</v>
      </c>
      <c r="AG659">
        <v>-1.158609</v>
      </c>
      <c r="AH659">
        <v>18.798074907007699</v>
      </c>
      <c r="AI659">
        <v>93.525087910965894</v>
      </c>
      <c r="AJ659">
        <v>88.1446179959391</v>
      </c>
      <c r="AK659">
        <v>18.843587911444502</v>
      </c>
      <c r="AL659">
        <v>80.612077302129705</v>
      </c>
      <c r="AM659">
        <v>89.588342262479799</v>
      </c>
      <c r="AN659">
        <v>0.99999999776711002</v>
      </c>
    </row>
    <row r="660" spans="1:40" x14ac:dyDescent="0.25">
      <c r="A660" t="str">
        <f>"20190312172343478"</f>
        <v>20190312172343478</v>
      </c>
      <c r="B660" t="str">
        <f>"1552382623470892"</f>
        <v>1552382623470892</v>
      </c>
      <c r="C660" t="s">
        <v>40</v>
      </c>
      <c r="D660">
        <v>3.6698680000000001</v>
      </c>
      <c r="E660">
        <v>0.50894659999999903</v>
      </c>
      <c r="F660" t="s">
        <v>41</v>
      </c>
      <c r="G660">
        <v>-318.58019999999999</v>
      </c>
      <c r="H660">
        <v>1.0493980000000001</v>
      </c>
      <c r="I660">
        <v>367.17610000000002</v>
      </c>
      <c r="J660">
        <v>-319.35309999999998</v>
      </c>
      <c r="K660">
        <v>1.1082909999999999</v>
      </c>
      <c r="L660">
        <v>367.20420000000001</v>
      </c>
      <c r="M660">
        <v>0.99992049999999999</v>
      </c>
      <c r="N660">
        <v>0</v>
      </c>
      <c r="O660">
        <v>4.6312139999999998E-3</v>
      </c>
      <c r="P660">
        <v>0.98849989999999999</v>
      </c>
      <c r="Q660">
        <v>0.1512037</v>
      </c>
      <c r="R660">
        <v>-2.3486269999999998E-3</v>
      </c>
      <c r="S660">
        <v>3.0636899999999998</v>
      </c>
      <c r="T660">
        <v>-0.1865549</v>
      </c>
      <c r="U660">
        <v>-8.4503170000000002E-2</v>
      </c>
      <c r="V660">
        <v>6.926738E-3</v>
      </c>
      <c r="W660">
        <v>0.16279289999999999</v>
      </c>
      <c r="X660">
        <v>0.98663590000000001</v>
      </c>
      <c r="Y660">
        <v>3.2133099999999998E-2</v>
      </c>
      <c r="Z660">
        <v>-1.2589509999999999E-3</v>
      </c>
      <c r="AA660">
        <v>0.9994828</v>
      </c>
      <c r="AB660">
        <v>40</v>
      </c>
      <c r="AC660">
        <v>0.77289999999999204</v>
      </c>
      <c r="AD660">
        <v>-5.88929999999998E-2</v>
      </c>
      <c r="AE660">
        <v>-2.80999999999949E-2</v>
      </c>
      <c r="AF660">
        <v>3.1496779642779103E-2</v>
      </c>
      <c r="AG660">
        <v>-5.88929999999998E-2</v>
      </c>
      <c r="AH660">
        <v>0.76830662628330504</v>
      </c>
      <c r="AI660">
        <v>94.379656875199203</v>
      </c>
      <c r="AJ660">
        <v>87.652470321176494</v>
      </c>
      <c r="AK660">
        <v>0.77120393189331005</v>
      </c>
      <c r="AL660">
        <v>80.630956092752697</v>
      </c>
      <c r="AM660">
        <v>89.597758065572293</v>
      </c>
      <c r="AN660">
        <v>0.99999995357926896</v>
      </c>
    </row>
    <row r="661" spans="1:40" x14ac:dyDescent="0.25">
      <c r="A661" t="str">
        <f>"20190312172343490"</f>
        <v>20190312172343490</v>
      </c>
      <c r="B661" t="str">
        <f>"1552382623480652"</f>
        <v>1552382623480652</v>
      </c>
      <c r="C661" t="s">
        <v>40</v>
      </c>
      <c r="D661">
        <v>3.6863830000000002</v>
      </c>
      <c r="E661">
        <v>0.50897380000000003</v>
      </c>
      <c r="F661" t="s">
        <v>42</v>
      </c>
      <c r="G661">
        <v>-300.54450000000003</v>
      </c>
      <c r="H661">
        <v>-0.05</v>
      </c>
      <c r="I661">
        <v>366.68729999999999</v>
      </c>
      <c r="J661">
        <v>-319.1567</v>
      </c>
      <c r="K661">
        <v>1.107891</v>
      </c>
      <c r="L661">
        <v>367.20510000000002</v>
      </c>
      <c r="M661">
        <v>0.99991399999999997</v>
      </c>
      <c r="N661">
        <v>0</v>
      </c>
      <c r="O661">
        <v>4.6390440000000002E-3</v>
      </c>
      <c r="P661">
        <v>0.98857720000000004</v>
      </c>
      <c r="Q661">
        <v>0.15069649999999901</v>
      </c>
      <c r="R661">
        <v>-2.484095E-3</v>
      </c>
      <c r="S661">
        <v>3.063599</v>
      </c>
      <c r="T661">
        <v>-0.1886649</v>
      </c>
      <c r="U661">
        <v>-8.4197999999999995E-2</v>
      </c>
      <c r="V661">
        <v>7.0700140000000003E-3</v>
      </c>
      <c r="W661">
        <v>0.1628202</v>
      </c>
      <c r="X661">
        <v>0.98663040000000002</v>
      </c>
      <c r="Y661">
        <v>3.2040899999999997E-2</v>
      </c>
      <c r="Z661">
        <v>-1.2708509999999999E-3</v>
      </c>
      <c r="AA661">
        <v>0.99948570000000003</v>
      </c>
      <c r="AB661">
        <v>40</v>
      </c>
      <c r="AC661">
        <v>18.612199999999898</v>
      </c>
      <c r="AD661">
        <v>-1.157891</v>
      </c>
      <c r="AE661">
        <v>-0.51780000000002202</v>
      </c>
      <c r="AF661">
        <v>0.60181635564832103</v>
      </c>
      <c r="AG661">
        <v>-1.157891</v>
      </c>
      <c r="AH661">
        <v>18.537906420618601</v>
      </c>
      <c r="AI661">
        <v>93.572215565247006</v>
      </c>
      <c r="AJ661">
        <v>88.140597404692102</v>
      </c>
      <c r="AK661">
        <v>18.5837797273165</v>
      </c>
      <c r="AL661">
        <v>80.629370963493301</v>
      </c>
      <c r="AM661">
        <v>89.589435892102102</v>
      </c>
      <c r="AN661">
        <v>0.99999997441507904</v>
      </c>
    </row>
    <row r="662" spans="1:40" x14ac:dyDescent="0.25">
      <c r="A662" t="str">
        <f>"20190312172343502"</f>
        <v>20190312172343502</v>
      </c>
      <c r="B662" t="str">
        <f>"1552382623490412"</f>
        <v>1552382623490412</v>
      </c>
      <c r="C662" t="s">
        <v>40</v>
      </c>
      <c r="D662">
        <v>3.7094450000000001</v>
      </c>
      <c r="E662">
        <v>0.50897380000000003</v>
      </c>
      <c r="F662" t="s">
        <v>42</v>
      </c>
      <c r="G662">
        <v>-300.50450000000001</v>
      </c>
      <c r="H662">
        <v>-0.05</v>
      </c>
      <c r="I662">
        <v>366.69</v>
      </c>
      <c r="J662">
        <v>-318.95409999999998</v>
      </c>
      <c r="K662">
        <v>1.1074520000000001</v>
      </c>
      <c r="L662">
        <v>367.20600000000002</v>
      </c>
      <c r="M662">
        <v>0.99990639999999997</v>
      </c>
      <c r="N662">
        <v>0</v>
      </c>
      <c r="O662">
        <v>4.6472049999999997E-3</v>
      </c>
      <c r="P662">
        <v>0.98863749999999995</v>
      </c>
      <c r="Q662">
        <v>0.15030079999999901</v>
      </c>
      <c r="R662">
        <v>-2.4309570000000001E-3</v>
      </c>
      <c r="S662">
        <v>3.0634160000000001</v>
      </c>
      <c r="T662">
        <v>-0.1901708</v>
      </c>
      <c r="U662">
        <v>-8.4594730000000007E-2</v>
      </c>
      <c r="V662">
        <v>7.0251489999999996E-3</v>
      </c>
      <c r="W662">
        <v>0.16302339999999901</v>
      </c>
      <c r="X662">
        <v>0.98659719999999995</v>
      </c>
      <c r="Y662">
        <v>3.2178680000000001E-2</v>
      </c>
      <c r="Z662">
        <v>-1.2858289999999901E-3</v>
      </c>
      <c r="AA662">
        <v>0.99948130000000002</v>
      </c>
      <c r="AB662">
        <v>40</v>
      </c>
      <c r="AC662">
        <v>18.449599999999901</v>
      </c>
      <c r="AD662">
        <v>-1.1574519999999999</v>
      </c>
      <c r="AE662">
        <v>-0.51599999999996204</v>
      </c>
      <c r="AF662">
        <v>0.59938339620113201</v>
      </c>
      <c r="AG662">
        <v>-1.1574519999999999</v>
      </c>
      <c r="AH662">
        <v>18.3747399677675</v>
      </c>
      <c r="AI662">
        <v>93.602472403042398</v>
      </c>
      <c r="AJ662">
        <v>88.131676093397601</v>
      </c>
      <c r="AK662">
        <v>18.420912693757</v>
      </c>
      <c r="AL662">
        <v>80.617571119924307</v>
      </c>
      <c r="AM662">
        <v>89.592027439821294</v>
      </c>
      <c r="AN662">
        <v>1.00000000835693</v>
      </c>
    </row>
    <row r="663" spans="1:40" x14ac:dyDescent="0.25">
      <c r="A663" t="str">
        <f>"20190312172343513"</f>
        <v>20190312172343513</v>
      </c>
      <c r="B663" t="str">
        <f>"1552382623510907"</f>
        <v>1552382623510907</v>
      </c>
      <c r="C663" t="s">
        <v>40</v>
      </c>
      <c r="D663">
        <v>3.7783600000000002</v>
      </c>
      <c r="E663">
        <v>0.53249619999999998</v>
      </c>
      <c r="F663" t="s">
        <v>41</v>
      </c>
      <c r="G663">
        <v>-317.87849999999997</v>
      </c>
      <c r="H663">
        <v>1.0402800000000001</v>
      </c>
      <c r="I663">
        <v>367.17619999999999</v>
      </c>
      <c r="J663">
        <v>-318.73559999999998</v>
      </c>
      <c r="K663">
        <v>1.106894</v>
      </c>
      <c r="L663">
        <v>367.20710000000003</v>
      </c>
      <c r="M663">
        <v>0.99989349999999999</v>
      </c>
      <c r="N663">
        <v>0</v>
      </c>
      <c r="O663">
        <v>4.6558040000000004E-3</v>
      </c>
      <c r="P663">
        <v>0.98876759999999997</v>
      </c>
      <c r="Q663">
        <v>0.14943689999999901</v>
      </c>
      <c r="R663">
        <v>-2.72419E-3</v>
      </c>
      <c r="S663">
        <v>3.0633539999999999</v>
      </c>
      <c r="T663">
        <v>-0.19137199999999999</v>
      </c>
      <c r="U663">
        <v>-8.4625240000000004E-2</v>
      </c>
      <c r="V663">
        <v>7.3274100000000003E-3</v>
      </c>
      <c r="W663">
        <v>0.1630973</v>
      </c>
      <c r="X663">
        <v>0.98658279999999998</v>
      </c>
      <c r="Y663">
        <v>3.2196879999999997E-2</v>
      </c>
      <c r="Z663">
        <v>-1.295069E-3</v>
      </c>
      <c r="AA663">
        <v>0.9994807</v>
      </c>
      <c r="AB663">
        <v>40</v>
      </c>
      <c r="AC663">
        <v>0.85710000000000197</v>
      </c>
      <c r="AD663">
        <v>-6.6614000000000104E-2</v>
      </c>
      <c r="AE663">
        <v>-3.0900000000031E-2</v>
      </c>
      <c r="AF663">
        <v>3.4681318176237597E-2</v>
      </c>
      <c r="AG663">
        <v>-6.6614000000000104E-2</v>
      </c>
      <c r="AH663">
        <v>0.85180821936844497</v>
      </c>
      <c r="AI663">
        <v>94.467917083051404</v>
      </c>
      <c r="AJ663">
        <v>87.668493682486897</v>
      </c>
      <c r="AK663">
        <v>0.85511254312522</v>
      </c>
      <c r="AL663">
        <v>80.613279640737503</v>
      </c>
      <c r="AM663">
        <v>89.574468611678796</v>
      </c>
      <c r="AN663">
        <v>1.00000002073021</v>
      </c>
    </row>
    <row r="664" spans="1:40" x14ac:dyDescent="0.25">
      <c r="A664" t="str">
        <f>"20190312172343525"</f>
        <v>20190312172343525</v>
      </c>
      <c r="B664" t="str">
        <f>"1552382623520668"</f>
        <v>1552382623520668</v>
      </c>
      <c r="C664" t="s">
        <v>40</v>
      </c>
      <c r="D664">
        <v>3.6846999999999999</v>
      </c>
      <c r="E664">
        <v>0.54049459999999905</v>
      </c>
      <c r="F664" t="s">
        <v>42</v>
      </c>
      <c r="G664">
        <v>-299.49110000000002</v>
      </c>
      <c r="H664">
        <v>-0.05</v>
      </c>
      <c r="I664">
        <v>365.4898</v>
      </c>
      <c r="J664">
        <v>-318.5385</v>
      </c>
      <c r="K664">
        <v>1.1063430000000001</v>
      </c>
      <c r="L664">
        <v>367.20800000000003</v>
      </c>
      <c r="M664">
        <v>0.99988140000000003</v>
      </c>
      <c r="N664">
        <v>0</v>
      </c>
      <c r="O664">
        <v>4.6633300000000003E-3</v>
      </c>
      <c r="P664">
        <v>0.98889329999999998</v>
      </c>
      <c r="Q664">
        <v>0.14860179999999901</v>
      </c>
      <c r="R664">
        <v>-2.702238E-3</v>
      </c>
      <c r="S664">
        <v>3.0611570000000001</v>
      </c>
      <c r="T664">
        <v>-0.1840234</v>
      </c>
      <c r="U664">
        <v>-0.27316279999999998</v>
      </c>
      <c r="V664">
        <v>7.3135369999999898E-3</v>
      </c>
      <c r="W664">
        <v>0.16310060000000001</v>
      </c>
      <c r="X664">
        <v>0.98658230000000002</v>
      </c>
      <c r="Y664">
        <v>9.3350820000000001E-2</v>
      </c>
      <c r="Z664">
        <v>-3.0774230000000001E-3</v>
      </c>
      <c r="AA664">
        <v>0.99562850000000003</v>
      </c>
      <c r="AB664">
        <v>40</v>
      </c>
      <c r="AC664">
        <v>19.0473999999999</v>
      </c>
      <c r="AD664">
        <v>-1.1563429999999999</v>
      </c>
      <c r="AE664">
        <v>-1.7182000000000199</v>
      </c>
      <c r="AF664">
        <v>1.8004331732185399</v>
      </c>
      <c r="AG664">
        <v>-1.1563429999999999</v>
      </c>
      <c r="AH664">
        <v>18.969829566713599</v>
      </c>
      <c r="AI664">
        <v>93.472692434239093</v>
      </c>
      <c r="AJ664">
        <v>84.578278139394996</v>
      </c>
      <c r="AK664">
        <v>19.090131548395298</v>
      </c>
      <c r="AL664">
        <v>80.613087462216001</v>
      </c>
      <c r="AM664">
        <v>89.575274026321793</v>
      </c>
      <c r="AN664">
        <v>0.99999996410854897</v>
      </c>
    </row>
    <row r="665" spans="1:40" x14ac:dyDescent="0.25">
      <c r="A665" t="str">
        <f>"20190312172343537"</f>
        <v>20190312172343537</v>
      </c>
      <c r="B665" t="str">
        <f>"1552382623530428"</f>
        <v>1552382623530428</v>
      </c>
      <c r="C665" t="s">
        <v>40</v>
      </c>
      <c r="D665">
        <v>3.7159040000000001</v>
      </c>
      <c r="E665">
        <v>0.54633219999999905</v>
      </c>
      <c r="F665" t="s">
        <v>42</v>
      </c>
      <c r="G665">
        <v>-299.01010000000002</v>
      </c>
      <c r="H665">
        <v>-0.05</v>
      </c>
      <c r="I665">
        <v>365.06</v>
      </c>
      <c r="J665">
        <v>-318.3177</v>
      </c>
      <c r="K665">
        <v>1.1056280000000001</v>
      </c>
      <c r="L665">
        <v>367.209</v>
      </c>
      <c r="M665">
        <v>0.99986730000000001</v>
      </c>
      <c r="N665">
        <v>0</v>
      </c>
      <c r="O665">
        <v>4.6719070000000003E-3</v>
      </c>
      <c r="P665">
        <v>0.98904210000000004</v>
      </c>
      <c r="Q665">
        <v>0.1476092</v>
      </c>
      <c r="R665">
        <v>-2.802124E-3</v>
      </c>
      <c r="S665">
        <v>3.060028</v>
      </c>
      <c r="T665">
        <v>-0.18119450000000001</v>
      </c>
      <c r="U665">
        <v>-0.3365784</v>
      </c>
      <c r="V665">
        <v>7.4223939999999997E-3</v>
      </c>
      <c r="W665">
        <v>0.16303090000000001</v>
      </c>
      <c r="X665">
        <v>0.9865931</v>
      </c>
      <c r="Y665">
        <v>0.11377080000000001</v>
      </c>
      <c r="Z665">
        <v>-3.6309570000000002E-3</v>
      </c>
      <c r="AA665">
        <v>0.99350039999999995</v>
      </c>
      <c r="AB665">
        <v>39</v>
      </c>
      <c r="AC665">
        <v>19.307599999999901</v>
      </c>
      <c r="AD665">
        <v>-1.1556280000000001</v>
      </c>
      <c r="AE665">
        <v>-2.149</v>
      </c>
      <c r="AF665">
        <v>2.2312951626550701</v>
      </c>
      <c r="AG665">
        <v>-1.1556280000000001</v>
      </c>
      <c r="AH665">
        <v>19.2293031358045</v>
      </c>
      <c r="AI665">
        <v>93.416314082609702</v>
      </c>
      <c r="AJ665">
        <v>83.381215841483694</v>
      </c>
      <c r="AK665">
        <v>19.392788692344698</v>
      </c>
      <c r="AL665">
        <v>80.617136022217494</v>
      </c>
      <c r="AM665">
        <v>89.568957225650706</v>
      </c>
      <c r="AN665">
        <v>1.0000000556275499</v>
      </c>
    </row>
    <row r="666" spans="1:40" x14ac:dyDescent="0.25">
      <c r="A666" t="str">
        <f>"20190312172343558"</f>
        <v>20190312172343558</v>
      </c>
      <c r="B666" t="str">
        <f>"1552382623550924"</f>
        <v>1552382623550924</v>
      </c>
      <c r="C666" t="s">
        <v>40</v>
      </c>
      <c r="D666">
        <v>3.7232780000000001</v>
      </c>
      <c r="E666">
        <v>0.55348129999999995</v>
      </c>
      <c r="F666" t="s">
        <v>42</v>
      </c>
      <c r="G666">
        <v>-298.85840000000002</v>
      </c>
      <c r="H666">
        <v>-0.05</v>
      </c>
      <c r="I666">
        <v>364.76839999999999</v>
      </c>
      <c r="J666">
        <v>-317.95659999999998</v>
      </c>
      <c r="K666">
        <v>1.104217</v>
      </c>
      <c r="L666">
        <v>367.21069999999997</v>
      </c>
      <c r="M666">
        <v>0.99984459999999997</v>
      </c>
      <c r="N666">
        <v>0</v>
      </c>
      <c r="O666">
        <v>4.6868700000000001E-3</v>
      </c>
      <c r="P666">
        <v>0.98922390000000004</v>
      </c>
      <c r="Q666">
        <v>0.14637990000000001</v>
      </c>
      <c r="R666">
        <v>-3.089853E-3</v>
      </c>
      <c r="S666">
        <v>3.0592649999999999</v>
      </c>
      <c r="T666">
        <v>-0.18168039999999999</v>
      </c>
      <c r="U666">
        <v>-0.38369750000000002</v>
      </c>
      <c r="V666">
        <v>7.725806E-3</v>
      </c>
      <c r="W666">
        <v>0.16318289999999999</v>
      </c>
      <c r="X666">
        <v>0.98656560000000004</v>
      </c>
      <c r="Y666">
        <v>0.12886449999999999</v>
      </c>
      <c r="Z666">
        <v>-4.0852600000000003E-3</v>
      </c>
      <c r="AA666">
        <v>0.99165380000000003</v>
      </c>
      <c r="AB666">
        <v>39</v>
      </c>
      <c r="AC666">
        <v>19.098199999999899</v>
      </c>
      <c r="AD666">
        <v>-1.154217</v>
      </c>
      <c r="AE666">
        <v>-2.4422999999999799</v>
      </c>
      <c r="AF666">
        <v>2.5227308674339701</v>
      </c>
      <c r="AG666">
        <v>-1.154217</v>
      </c>
      <c r="AH666">
        <v>19.018195553121402</v>
      </c>
      <c r="AI666">
        <v>93.442944453602706</v>
      </c>
      <c r="AJ666">
        <v>82.443925332279207</v>
      </c>
      <c r="AK666">
        <v>19.219473198018701</v>
      </c>
      <c r="AL666">
        <v>80.608308469483106</v>
      </c>
      <c r="AM666">
        <v>89.551325295670793</v>
      </c>
      <c r="AN666">
        <v>1.00000001501705</v>
      </c>
    </row>
    <row r="667" spans="1:40" x14ac:dyDescent="0.25">
      <c r="A667" t="str">
        <f>"20190312172343580"</f>
        <v>20190312172343580</v>
      </c>
      <c r="B667" t="str">
        <f>"1552382623570402"</f>
        <v>1552382623570402</v>
      </c>
      <c r="C667" t="s">
        <v>40</v>
      </c>
      <c r="D667">
        <v>3.6775609999999999</v>
      </c>
      <c r="E667">
        <v>0.55755659999999996</v>
      </c>
      <c r="F667" t="s">
        <v>42</v>
      </c>
      <c r="G667">
        <v>-298.56670000000003</v>
      </c>
      <c r="H667">
        <v>-0.05</v>
      </c>
      <c r="I667">
        <v>364.41090000000003</v>
      </c>
      <c r="J667">
        <v>-317.57920000000001</v>
      </c>
      <c r="K667">
        <v>1.1024480000000001</v>
      </c>
      <c r="L667">
        <v>367.21249999999998</v>
      </c>
      <c r="M667">
        <v>0.99982230000000005</v>
      </c>
      <c r="N667">
        <v>0</v>
      </c>
      <c r="O667">
        <v>4.703217E-3</v>
      </c>
      <c r="P667">
        <v>0.98943409999999998</v>
      </c>
      <c r="Q667">
        <v>0.14494299999999999</v>
      </c>
      <c r="R667">
        <v>-3.4772459999999998E-3</v>
      </c>
      <c r="S667">
        <v>3.0582280000000002</v>
      </c>
      <c r="T667">
        <v>-0.1820464</v>
      </c>
      <c r="U667">
        <v>-0.44158940000000002</v>
      </c>
      <c r="V667">
        <v>8.1305079999999998E-3</v>
      </c>
      <c r="W667">
        <v>0.16298389999999999</v>
      </c>
      <c r="X667">
        <v>0.98659520000000001</v>
      </c>
      <c r="Y667">
        <v>0.1473023</v>
      </c>
      <c r="Z667">
        <v>-4.636149E-3</v>
      </c>
      <c r="AA667">
        <v>0.98908070000000003</v>
      </c>
      <c r="AB667">
        <v>39</v>
      </c>
      <c r="AC667">
        <v>19.0124999999999</v>
      </c>
      <c r="AD667">
        <v>-1.1524479999999999</v>
      </c>
      <c r="AE667">
        <v>-2.8015999999999499</v>
      </c>
      <c r="AF667">
        <v>2.8806446562088301</v>
      </c>
      <c r="AG667">
        <v>-1.1524479999999999</v>
      </c>
      <c r="AH667">
        <v>18.9310325242758</v>
      </c>
      <c r="AI667">
        <v>93.444098708528998</v>
      </c>
      <c r="AJ667">
        <v>81.347945226371095</v>
      </c>
      <c r="AK667">
        <v>19.1835930540459</v>
      </c>
      <c r="AL667">
        <v>80.619864645442902</v>
      </c>
      <c r="AM667">
        <v>89.527837507822397</v>
      </c>
      <c r="AN667">
        <v>0.99999997274129304</v>
      </c>
    </row>
    <row r="668" spans="1:40" x14ac:dyDescent="0.25">
      <c r="A668" t="str">
        <f>"20190312172343591"</f>
        <v>20190312172343591</v>
      </c>
      <c r="B668" t="str">
        <f>"1552382623580162"</f>
        <v>1552382623580162</v>
      </c>
      <c r="C668" t="s">
        <v>40</v>
      </c>
      <c r="D668">
        <v>3.6978499999999999</v>
      </c>
      <c r="E668">
        <v>0.55898029999999999</v>
      </c>
      <c r="F668" t="s">
        <v>42</v>
      </c>
      <c r="G668">
        <v>-298.51069999999999</v>
      </c>
      <c r="H668">
        <v>-0.05</v>
      </c>
      <c r="I668">
        <v>364.2475</v>
      </c>
      <c r="J668">
        <v>-317.37459999999999</v>
      </c>
      <c r="K668">
        <v>1.1013470000000001</v>
      </c>
      <c r="L668">
        <v>367.21339999999998</v>
      </c>
      <c r="M668">
        <v>0.99981189999999998</v>
      </c>
      <c r="N668">
        <v>0</v>
      </c>
      <c r="O668">
        <v>4.7116409999999999E-3</v>
      </c>
      <c r="P668">
        <v>0.98949290000000001</v>
      </c>
      <c r="Q668">
        <v>0.1445369</v>
      </c>
      <c r="R668">
        <v>-3.6253600000000002E-3</v>
      </c>
      <c r="S668">
        <v>3.0574340000000002</v>
      </c>
      <c r="T668">
        <v>-0.18478249999999999</v>
      </c>
      <c r="U668">
        <v>-0.47540280000000001</v>
      </c>
      <c r="V668">
        <v>8.2872069999999996E-3</v>
      </c>
      <c r="W668">
        <v>0.16312739999999901</v>
      </c>
      <c r="X668">
        <v>0.98657019999999995</v>
      </c>
      <c r="Y668">
        <v>0.15800939999999999</v>
      </c>
      <c r="Z668">
        <v>-5.0249279999999997E-3</v>
      </c>
      <c r="AA668">
        <v>0.98742490000000005</v>
      </c>
      <c r="AB668">
        <v>39</v>
      </c>
      <c r="AC668">
        <v>18.863900000000001</v>
      </c>
      <c r="AD668">
        <v>-1.1513469999999999</v>
      </c>
      <c r="AE668">
        <v>-2.9658999999999698</v>
      </c>
      <c r="AF668">
        <v>3.0436978698460502</v>
      </c>
      <c r="AG668">
        <v>-1.1513469999999999</v>
      </c>
      <c r="AH668">
        <v>18.781437024455201</v>
      </c>
      <c r="AI668">
        <v>93.462911840512504</v>
      </c>
      <c r="AJ668">
        <v>80.794741875123506</v>
      </c>
      <c r="AK668">
        <v>19.0612715562444</v>
      </c>
      <c r="AL668">
        <v>80.611531364650702</v>
      </c>
      <c r="AM668">
        <v>89.518725765622804</v>
      </c>
      <c r="AN668">
        <v>0.99999999297932995</v>
      </c>
    </row>
    <row r="669" spans="1:40" x14ac:dyDescent="0.25">
      <c r="A669" t="str">
        <f>"20190312172343603"</f>
        <v>20190312172343603</v>
      </c>
      <c r="B669" t="str">
        <f>"1552382623600658"</f>
        <v>1552382623600658</v>
      </c>
      <c r="C669" t="s">
        <v>40</v>
      </c>
      <c r="D669">
        <v>3.7126380000000001</v>
      </c>
      <c r="E669">
        <v>0.56127859999999996</v>
      </c>
      <c r="F669" t="s">
        <v>42</v>
      </c>
      <c r="G669">
        <v>-298.4384</v>
      </c>
      <c r="H669">
        <v>-0.05</v>
      </c>
      <c r="I669">
        <v>364.19589999999999</v>
      </c>
      <c r="J669">
        <v>-317.16340000000002</v>
      </c>
      <c r="K669">
        <v>1.100168</v>
      </c>
      <c r="L669">
        <v>367.21440000000001</v>
      </c>
      <c r="M669">
        <v>0.99980179999999996</v>
      </c>
      <c r="N669">
        <v>0</v>
      </c>
      <c r="O669">
        <v>4.7201839999999997E-3</v>
      </c>
      <c r="P669">
        <v>0.98954160000000002</v>
      </c>
      <c r="Q669">
        <v>0.14419789999999999</v>
      </c>
      <c r="R669">
        <v>-3.8052759999999998E-3</v>
      </c>
      <c r="S669">
        <v>3.05722</v>
      </c>
      <c r="T669">
        <v>-0.1858833</v>
      </c>
      <c r="U669">
        <v>-0.48718260000000002</v>
      </c>
      <c r="V669">
        <v>8.4756420000000002E-3</v>
      </c>
      <c r="W669">
        <v>0.16331599999999999</v>
      </c>
      <c r="X669">
        <v>0.98653740000000001</v>
      </c>
      <c r="Y669">
        <v>0.16172979999999901</v>
      </c>
      <c r="Z669">
        <v>-5.1664689999999999E-3</v>
      </c>
      <c r="AA669">
        <v>0.98682150000000002</v>
      </c>
      <c r="AB669">
        <v>40</v>
      </c>
      <c r="AC669">
        <v>18.725000000000001</v>
      </c>
      <c r="AD669">
        <v>-1.1501680000000001</v>
      </c>
      <c r="AE669">
        <v>-3.0185000000000102</v>
      </c>
      <c r="AF669">
        <v>3.09548509431345</v>
      </c>
      <c r="AG669">
        <v>-1.1501680000000001</v>
      </c>
      <c r="AH669">
        <v>18.641987271428601</v>
      </c>
      <c r="AI669">
        <v>93.482972885259898</v>
      </c>
      <c r="AJ669">
        <v>80.572109218120502</v>
      </c>
      <c r="AK669">
        <v>18.9322107484954</v>
      </c>
      <c r="AL669">
        <v>80.600578534135806</v>
      </c>
      <c r="AM669">
        <v>89.507766691988493</v>
      </c>
      <c r="AN669">
        <v>0.99999999698103603</v>
      </c>
    </row>
    <row r="670" spans="1:40" x14ac:dyDescent="0.25">
      <c r="A670" t="str">
        <f>"20190312172343614"</f>
        <v>20190312172343614</v>
      </c>
      <c r="B670" t="str">
        <f>"1552382623610418"</f>
        <v>1552382623610418</v>
      </c>
      <c r="C670" t="s">
        <v>40</v>
      </c>
      <c r="D670">
        <v>3.691392</v>
      </c>
      <c r="E670">
        <v>0.56216449999999996</v>
      </c>
      <c r="F670" t="s">
        <v>42</v>
      </c>
      <c r="G670">
        <v>-298.44409999999999</v>
      </c>
      <c r="H670">
        <v>-0.05</v>
      </c>
      <c r="I670">
        <v>364.1155</v>
      </c>
      <c r="J670">
        <v>-316.95650000000001</v>
      </c>
      <c r="K670">
        <v>1.0989100000000001</v>
      </c>
      <c r="L670">
        <v>367.21550000000002</v>
      </c>
      <c r="M670">
        <v>0.99979359999999995</v>
      </c>
      <c r="N670">
        <v>0</v>
      </c>
      <c r="O670">
        <v>4.7279210000000004E-3</v>
      </c>
      <c r="P670">
        <v>0.98962220000000001</v>
      </c>
      <c r="Q670">
        <v>0.1436335</v>
      </c>
      <c r="R670">
        <v>-4.1755050000000004E-3</v>
      </c>
      <c r="S670">
        <v>3.057159</v>
      </c>
      <c r="T670">
        <v>-0.18784020000000001</v>
      </c>
      <c r="U670">
        <v>-0.50610350000000004</v>
      </c>
      <c r="V670">
        <v>8.8537670000000002E-3</v>
      </c>
      <c r="W670">
        <v>0.163158</v>
      </c>
      <c r="X670">
        <v>0.9865602</v>
      </c>
      <c r="Y670">
        <v>0.16767109999999999</v>
      </c>
      <c r="Z670">
        <v>-5.3998969999999999E-3</v>
      </c>
      <c r="AA670">
        <v>0.98582820000000004</v>
      </c>
      <c r="AB670">
        <v>40</v>
      </c>
      <c r="AC670">
        <v>18.5124</v>
      </c>
      <c r="AD670">
        <v>-1.1489100000000001</v>
      </c>
      <c r="AE670">
        <v>-3.1000000000000201</v>
      </c>
      <c r="AF670">
        <v>3.1756098896538001</v>
      </c>
      <c r="AG670">
        <v>-1.1489100000000001</v>
      </c>
      <c r="AH670">
        <v>18.428489625281301</v>
      </c>
      <c r="AI670">
        <v>93.5157595585232</v>
      </c>
      <c r="AJ670">
        <v>80.222773945784496</v>
      </c>
      <c r="AK670">
        <v>18.735360210801002</v>
      </c>
      <c r="AL670">
        <v>80.609754137039104</v>
      </c>
      <c r="AM670">
        <v>89.485819655240206</v>
      </c>
      <c r="AN670">
        <v>0.99999997518906403</v>
      </c>
    </row>
    <row r="671" spans="1:40" x14ac:dyDescent="0.25">
      <c r="A671" t="str">
        <f>"20190312172343627"</f>
        <v>20190312172343627</v>
      </c>
      <c r="B671" t="str">
        <f>"1552382623620178"</f>
        <v>1552382623620178</v>
      </c>
      <c r="C671" t="s">
        <v>40</v>
      </c>
      <c r="D671">
        <v>3.7348720000000002</v>
      </c>
      <c r="E671">
        <v>0.56303300000000001</v>
      </c>
      <c r="F671" t="s">
        <v>42</v>
      </c>
      <c r="G671">
        <v>-298.35649999999998</v>
      </c>
      <c r="H671">
        <v>-0.05</v>
      </c>
      <c r="I671">
        <v>364.08640000000003</v>
      </c>
      <c r="J671">
        <v>-316.7457</v>
      </c>
      <c r="K671">
        <v>1.097577</v>
      </c>
      <c r="L671">
        <v>367.21640000000002</v>
      </c>
      <c r="M671">
        <v>0.99978659999999997</v>
      </c>
      <c r="N671">
        <v>0</v>
      </c>
      <c r="O671">
        <v>4.7358770000000003E-3</v>
      </c>
      <c r="P671">
        <v>0.98964289999999999</v>
      </c>
      <c r="Q671">
        <v>0.14348959999999999</v>
      </c>
      <c r="R671">
        <v>-4.2307220000000001E-3</v>
      </c>
      <c r="S671">
        <v>3.056702</v>
      </c>
      <c r="T671">
        <v>-0.18881110000000001</v>
      </c>
      <c r="U671">
        <v>-0.51422120000000004</v>
      </c>
      <c r="V671">
        <v>8.9164829999999994E-3</v>
      </c>
      <c r="W671">
        <v>0.16335930000000001</v>
      </c>
      <c r="X671">
        <v>0.98652640000000003</v>
      </c>
      <c r="Y671">
        <v>0.17024129999999901</v>
      </c>
      <c r="Z671">
        <v>-5.5066209999999997E-3</v>
      </c>
      <c r="AA671">
        <v>0.98538700000000001</v>
      </c>
      <c r="AB671">
        <v>40</v>
      </c>
      <c r="AC671">
        <v>18.389199999999999</v>
      </c>
      <c r="AD671">
        <v>-1.1475770000000001</v>
      </c>
      <c r="AE671">
        <v>-3.1299999999999901</v>
      </c>
      <c r="AF671">
        <v>3.20494164770381</v>
      </c>
      <c r="AG671">
        <v>-1.1475770000000001</v>
      </c>
      <c r="AH671">
        <v>18.3048883454302</v>
      </c>
      <c r="AI671">
        <v>93.533698684609206</v>
      </c>
      <c r="AJ671">
        <v>80.068937201704202</v>
      </c>
      <c r="AK671">
        <v>18.618741130237101</v>
      </c>
      <c r="AL671">
        <v>80.598064369993494</v>
      </c>
      <c r="AM671">
        <v>89.482159896097798</v>
      </c>
      <c r="AN671">
        <v>1.0000000512312599</v>
      </c>
    </row>
    <row r="672" spans="1:40" x14ac:dyDescent="0.25">
      <c r="A672" t="str">
        <f>"20190312172343637"</f>
        <v>20190312172343637</v>
      </c>
      <c r="B672" t="str">
        <f>"1552382623630914"</f>
        <v>1552382623630914</v>
      </c>
      <c r="C672" t="s">
        <v>40</v>
      </c>
      <c r="D672">
        <v>3.7136490000000002</v>
      </c>
      <c r="E672">
        <v>0.56374809999999997</v>
      </c>
      <c r="F672" t="s">
        <v>42</v>
      </c>
      <c r="G672">
        <v>-298.19319999999999</v>
      </c>
      <c r="H672">
        <v>-0.05</v>
      </c>
      <c r="I672">
        <v>364.05340000000001</v>
      </c>
      <c r="J672">
        <v>-316.53980000000001</v>
      </c>
      <c r="K672">
        <v>1.096222</v>
      </c>
      <c r="L672">
        <v>367.2174</v>
      </c>
      <c r="M672">
        <v>0.99978129999999998</v>
      </c>
      <c r="N672">
        <v>0</v>
      </c>
      <c r="O672">
        <v>4.7433249999999996E-3</v>
      </c>
      <c r="P672">
        <v>0.98970369999999996</v>
      </c>
      <c r="Q672">
        <v>0.1430679</v>
      </c>
      <c r="R672">
        <v>-4.290182E-3</v>
      </c>
      <c r="S672">
        <v>3.056549</v>
      </c>
      <c r="T672">
        <v>-0.1890646</v>
      </c>
      <c r="U672">
        <v>-0.52111819999999998</v>
      </c>
      <c r="V672">
        <v>8.9834029999999992E-3</v>
      </c>
      <c r="W672">
        <v>0.16320119999999999</v>
      </c>
      <c r="X672">
        <v>0.98655190000000004</v>
      </c>
      <c r="Y672">
        <v>0.17241300000000001</v>
      </c>
      <c r="Z672">
        <v>-5.580326E-3</v>
      </c>
      <c r="AA672">
        <v>0.98500900000000002</v>
      </c>
      <c r="AB672">
        <v>40</v>
      </c>
      <c r="AC672">
        <v>18.346599999999999</v>
      </c>
      <c r="AD672">
        <v>-1.1462219999999901</v>
      </c>
      <c r="AE672">
        <v>-3.1639999999999802</v>
      </c>
      <c r="AF672">
        <v>3.2387298833922502</v>
      </c>
      <c r="AG672">
        <v>-1.1462219999999901</v>
      </c>
      <c r="AH672">
        <v>18.262159555178801</v>
      </c>
      <c r="AI672">
        <v>93.536411442334398</v>
      </c>
      <c r="AJ672">
        <v>79.943357740383703</v>
      </c>
      <c r="AK672">
        <v>18.582509726882101</v>
      </c>
      <c r="AL672">
        <v>80.607245494431595</v>
      </c>
      <c r="AM672">
        <v>89.478287100527794</v>
      </c>
      <c r="AN672">
        <v>0.999999992302255</v>
      </c>
    </row>
    <row r="673" spans="1:40" x14ac:dyDescent="0.25">
      <c r="A673" t="str">
        <f>"20190312172343648"</f>
        <v>20190312172343648</v>
      </c>
      <c r="B673" t="str">
        <f>"1552382623640674"</f>
        <v>1552382623640674</v>
      </c>
      <c r="C673" t="s">
        <v>40</v>
      </c>
      <c r="D673">
        <v>3.719255</v>
      </c>
      <c r="E673">
        <v>0.56446919999999901</v>
      </c>
      <c r="F673" t="s">
        <v>42</v>
      </c>
      <c r="G673">
        <v>-298.0684</v>
      </c>
      <c r="H673">
        <v>-0.05</v>
      </c>
      <c r="I673">
        <v>364.03129999999999</v>
      </c>
      <c r="J673">
        <v>-316.35590000000002</v>
      </c>
      <c r="K673">
        <v>1.094949</v>
      </c>
      <c r="L673">
        <v>367.2183</v>
      </c>
      <c r="M673">
        <v>0.99977819999999995</v>
      </c>
      <c r="N673">
        <v>0</v>
      </c>
      <c r="O673">
        <v>4.7499200000000004E-3</v>
      </c>
      <c r="P673">
        <v>0.98968999999999996</v>
      </c>
      <c r="Q673">
        <v>0.14316219999999999</v>
      </c>
      <c r="R673">
        <v>-4.3058159999999996E-3</v>
      </c>
      <c r="S673">
        <v>3.0563349999999998</v>
      </c>
      <c r="T673">
        <v>-0.18965689999999999</v>
      </c>
      <c r="U673">
        <v>-0.52719119999999997</v>
      </c>
      <c r="V673">
        <v>9.0052250000000004E-3</v>
      </c>
      <c r="W673">
        <v>0.16343650000000001</v>
      </c>
      <c r="X673">
        <v>0.98651279999999997</v>
      </c>
      <c r="Y673">
        <v>0.17432629999999999</v>
      </c>
      <c r="Z673">
        <v>-5.6565080000000002E-3</v>
      </c>
      <c r="AA673">
        <v>0.98467170000000004</v>
      </c>
      <c r="AB673">
        <v>40</v>
      </c>
      <c r="AC673">
        <v>18.287500000000001</v>
      </c>
      <c r="AD673">
        <v>-1.144949</v>
      </c>
      <c r="AE673">
        <v>-3.18700000000001</v>
      </c>
      <c r="AF673">
        <v>3.26143912530486</v>
      </c>
      <c r="AG673">
        <v>-1.144949</v>
      </c>
      <c r="AH673">
        <v>18.202903868105999</v>
      </c>
      <c r="AI673">
        <v>93.542849535117497</v>
      </c>
      <c r="AJ673">
        <v>79.842020236539298</v>
      </c>
      <c r="AK673">
        <v>18.5281840074028</v>
      </c>
      <c r="AL673">
        <v>80.593580811232599</v>
      </c>
      <c r="AM673">
        <v>89.476999126946296</v>
      </c>
      <c r="AN673">
        <v>1.0000000440866901</v>
      </c>
    </row>
    <row r="674" spans="1:40" x14ac:dyDescent="0.25">
      <c r="A674" t="str">
        <f>"20190312172343659"</f>
        <v>20190312172343659</v>
      </c>
      <c r="B674" t="str">
        <f>"1552382623650434"</f>
        <v>1552382623650434</v>
      </c>
      <c r="C674" t="s">
        <v>40</v>
      </c>
      <c r="D674">
        <v>3.7198169999999999</v>
      </c>
      <c r="E674">
        <v>0.56514069999999905</v>
      </c>
      <c r="F674" t="s">
        <v>42</v>
      </c>
      <c r="G674">
        <v>-297.9348</v>
      </c>
      <c r="H674">
        <v>-0.05</v>
      </c>
      <c r="I674">
        <v>364.00740000000002</v>
      </c>
      <c r="J674">
        <v>-316.1583</v>
      </c>
      <c r="K674">
        <v>1.0935589999999999</v>
      </c>
      <c r="L674">
        <v>367.21929999999998</v>
      </c>
      <c r="M674">
        <v>0.99977590000000005</v>
      </c>
      <c r="N674">
        <v>0</v>
      </c>
      <c r="O674">
        <v>4.7567900000000003E-3</v>
      </c>
      <c r="P674">
        <v>0.98968259999999997</v>
      </c>
      <c r="Q674">
        <v>0.14320849999999999</v>
      </c>
      <c r="R674">
        <v>-4.4943359999999998E-3</v>
      </c>
      <c r="S674">
        <v>3.0564269999999998</v>
      </c>
      <c r="T674">
        <v>-0.18997</v>
      </c>
      <c r="U674">
        <v>-0.53274540000000004</v>
      </c>
      <c r="V674">
        <v>9.2003559999999998E-3</v>
      </c>
      <c r="W674">
        <v>0.1635964</v>
      </c>
      <c r="X674">
        <v>0.98648449999999999</v>
      </c>
      <c r="Y674">
        <v>0.17606079999999999</v>
      </c>
      <c r="Z674">
        <v>-5.7186679999999997E-3</v>
      </c>
      <c r="AA674">
        <v>0.98436270000000003</v>
      </c>
      <c r="AB674">
        <v>39</v>
      </c>
      <c r="AC674">
        <v>18.223500000000001</v>
      </c>
      <c r="AD674">
        <v>-1.143559</v>
      </c>
      <c r="AE674">
        <v>-3.2118999999999498</v>
      </c>
      <c r="AF674">
        <v>3.2860176310365898</v>
      </c>
      <c r="AG674">
        <v>-1.143559</v>
      </c>
      <c r="AH674">
        <v>18.138737413014901</v>
      </c>
      <c r="AI674">
        <v>93.549816109925004</v>
      </c>
      <c r="AJ674">
        <v>79.7316499273402</v>
      </c>
      <c r="AK674">
        <v>18.4694188862636</v>
      </c>
      <c r="AL674">
        <v>80.584294268436395</v>
      </c>
      <c r="AM674">
        <v>89.465651730264398</v>
      </c>
      <c r="AN674">
        <v>1.0000000486918601</v>
      </c>
    </row>
    <row r="675" spans="1:40" x14ac:dyDescent="0.25">
      <c r="A675" t="str">
        <f>"20190312172343670"</f>
        <v>20190312172343670</v>
      </c>
      <c r="B675" t="str">
        <f>"1552382623660195"</f>
        <v>1552382623660195</v>
      </c>
      <c r="C675" t="s">
        <v>40</v>
      </c>
      <c r="D675">
        <v>3.7372269999999999</v>
      </c>
      <c r="E675">
        <v>0.56566949999999905</v>
      </c>
      <c r="F675" t="s">
        <v>42</v>
      </c>
      <c r="G675">
        <v>-297.78379999999999</v>
      </c>
      <c r="H675">
        <v>-0.05</v>
      </c>
      <c r="I675">
        <v>363.98140000000001</v>
      </c>
      <c r="J675">
        <v>-315.96620000000001</v>
      </c>
      <c r="K675">
        <v>1.0921609999999999</v>
      </c>
      <c r="L675">
        <v>367.22019999999998</v>
      </c>
      <c r="M675">
        <v>0.99977479999999996</v>
      </c>
      <c r="N675">
        <v>0</v>
      </c>
      <c r="O675">
        <v>4.7646909999999997E-3</v>
      </c>
      <c r="P675">
        <v>0.98972510000000002</v>
      </c>
      <c r="Q675">
        <v>0.14292260000000001</v>
      </c>
      <c r="R675">
        <v>-4.1677370000000004E-3</v>
      </c>
      <c r="S675">
        <v>3.0563349999999998</v>
      </c>
      <c r="T675">
        <v>-0.19021450000000001</v>
      </c>
      <c r="U675">
        <v>-0.538574199999999</v>
      </c>
      <c r="V675">
        <v>8.8816079999999992E-3</v>
      </c>
      <c r="W675">
        <v>0.1633607</v>
      </c>
      <c r="X675">
        <v>0.98652640000000003</v>
      </c>
      <c r="Y675">
        <v>0.1778904</v>
      </c>
      <c r="Z675">
        <v>-5.7821840000000001E-3</v>
      </c>
      <c r="AA675">
        <v>0.9840333</v>
      </c>
      <c r="AB675">
        <v>39</v>
      </c>
      <c r="AC675">
        <v>18.182400000000001</v>
      </c>
      <c r="AD675">
        <v>-1.142161</v>
      </c>
      <c r="AE675">
        <v>-3.2387999999999599</v>
      </c>
      <c r="AF675">
        <v>3.3127453336342199</v>
      </c>
      <c r="AG675">
        <v>-1.142161</v>
      </c>
      <c r="AH675">
        <v>18.097542430828099</v>
      </c>
      <c r="AI675">
        <v>93.552357298277002</v>
      </c>
      <c r="AJ675">
        <v>79.626878930408296</v>
      </c>
      <c r="AK675">
        <v>18.433660934037501</v>
      </c>
      <c r="AL675">
        <v>80.597982289037802</v>
      </c>
      <c r="AM675">
        <v>89.4841852121247</v>
      </c>
      <c r="AN675">
        <v>0.99999996958105697</v>
      </c>
    </row>
    <row r="676" spans="1:40" x14ac:dyDescent="0.25">
      <c r="A676" t="str">
        <f>"20190312172343683"</f>
        <v>20190312172343683</v>
      </c>
      <c r="B676" t="str">
        <f>"1552382623680690"</f>
        <v>1552382623680690</v>
      </c>
      <c r="C676" t="s">
        <v>40</v>
      </c>
      <c r="D676">
        <v>3.7109749999999999</v>
      </c>
      <c r="E676">
        <v>0.56675759999999997</v>
      </c>
      <c r="F676" t="s">
        <v>42</v>
      </c>
      <c r="G676">
        <v>-297.6413</v>
      </c>
      <c r="H676">
        <v>-0.05</v>
      </c>
      <c r="I676">
        <v>363.97280000000001</v>
      </c>
      <c r="J676">
        <v>-315.7439</v>
      </c>
      <c r="K676">
        <v>1.090527</v>
      </c>
      <c r="L676">
        <v>367.22129999999999</v>
      </c>
      <c r="M676">
        <v>0.99977389999999999</v>
      </c>
      <c r="N676">
        <v>0</v>
      </c>
      <c r="O676">
        <v>4.7740359999999997E-3</v>
      </c>
      <c r="P676">
        <v>0.989707</v>
      </c>
      <c r="Q676">
        <v>0.14304839999999999</v>
      </c>
      <c r="R676">
        <v>-4.1200940000000004E-3</v>
      </c>
      <c r="S676">
        <v>3.0563660000000001</v>
      </c>
      <c r="T676">
        <v>-0.19049779999999999</v>
      </c>
      <c r="U676">
        <v>-0.54162600000000005</v>
      </c>
      <c r="V676">
        <v>8.8432489999999992E-3</v>
      </c>
      <c r="W676">
        <v>0.16352729999999999</v>
      </c>
      <c r="X676">
        <v>0.98649920000000002</v>
      </c>
      <c r="Y676">
        <v>0.1788479</v>
      </c>
      <c r="Z676">
        <v>-5.8203819999999998E-3</v>
      </c>
      <c r="AA676">
        <v>0.9838595</v>
      </c>
      <c r="AB676">
        <v>39</v>
      </c>
      <c r="AC676">
        <v>18.102599999999899</v>
      </c>
      <c r="AD676">
        <v>-1.1405270000000001</v>
      </c>
      <c r="AE676">
        <v>-3.2484999999999702</v>
      </c>
      <c r="AF676">
        <v>3.32212839945961</v>
      </c>
      <c r="AG676">
        <v>-1.1405270000000001</v>
      </c>
      <c r="AH676">
        <v>18.017593311983699</v>
      </c>
      <c r="AI676">
        <v>93.562146261325694</v>
      </c>
      <c r="AJ676">
        <v>79.552996496262395</v>
      </c>
      <c r="AK676">
        <v>18.356770077992</v>
      </c>
      <c r="AL676">
        <v>80.588307238674204</v>
      </c>
      <c r="AM676">
        <v>89.486398697992101</v>
      </c>
      <c r="AN676">
        <v>1.0000000262494</v>
      </c>
    </row>
    <row r="677" spans="1:40" x14ac:dyDescent="0.25">
      <c r="A677" t="str">
        <f>"20190312172343696"</f>
        <v>20190312172343696</v>
      </c>
      <c r="B677" t="str">
        <f>"1552382623690450"</f>
        <v>1552382623690450</v>
      </c>
      <c r="C677" t="s">
        <v>40</v>
      </c>
      <c r="D677">
        <v>3.7321599999999999</v>
      </c>
      <c r="E677">
        <v>0.56709980000000004</v>
      </c>
      <c r="F677" t="s">
        <v>42</v>
      </c>
      <c r="G677">
        <v>-297.38479999999998</v>
      </c>
      <c r="H677">
        <v>-0.05</v>
      </c>
      <c r="I677">
        <v>363.91579999999999</v>
      </c>
      <c r="J677">
        <v>-315.51749999999998</v>
      </c>
      <c r="K677">
        <v>1.0888420000000001</v>
      </c>
      <c r="L677">
        <v>367.22239999999999</v>
      </c>
      <c r="M677">
        <v>0.99977360000000004</v>
      </c>
      <c r="N677">
        <v>0</v>
      </c>
      <c r="O677">
        <v>4.7832830000000002E-3</v>
      </c>
      <c r="P677">
        <v>0.98970720000000001</v>
      </c>
      <c r="Q677">
        <v>0.14305199999999901</v>
      </c>
      <c r="R677">
        <v>-4.0141170000000002E-3</v>
      </c>
      <c r="S677">
        <v>3.056305</v>
      </c>
      <c r="T677">
        <v>-0.18986790000000001</v>
      </c>
      <c r="U677">
        <v>-0.55026249999999999</v>
      </c>
      <c r="V677">
        <v>8.7463719999999901E-3</v>
      </c>
      <c r="W677">
        <v>0.16354560000000001</v>
      </c>
      <c r="X677">
        <v>0.98649699999999996</v>
      </c>
      <c r="Y677">
        <v>0.1815514</v>
      </c>
      <c r="Z677">
        <v>-5.8836560000000001E-3</v>
      </c>
      <c r="AA677">
        <v>0.98336389999999996</v>
      </c>
      <c r="AB677">
        <v>39</v>
      </c>
      <c r="AC677">
        <v>18.1327</v>
      </c>
      <c r="AD677">
        <v>-1.1388419999999999</v>
      </c>
      <c r="AE677">
        <v>-3.3066</v>
      </c>
      <c r="AF677">
        <v>3.3804094505582598</v>
      </c>
      <c r="AG677">
        <v>-1.1388419999999999</v>
      </c>
      <c r="AH677">
        <v>18.047772752880501</v>
      </c>
      <c r="AI677">
        <v>93.549106523661393</v>
      </c>
      <c r="AJ677">
        <v>79.391226127229004</v>
      </c>
      <c r="AK677">
        <v>18.396908177571699</v>
      </c>
      <c r="AL677">
        <v>80.587244136395597</v>
      </c>
      <c r="AM677">
        <v>89.492023724962706</v>
      </c>
      <c r="AN677">
        <v>0.999999996655761</v>
      </c>
    </row>
    <row r="678" spans="1:40" x14ac:dyDescent="0.25">
      <c r="A678" t="str">
        <f>"20190312172343708"</f>
        <v>20190312172343708</v>
      </c>
      <c r="B678" t="str">
        <f>"1552382623700210"</f>
        <v>1552382623700210</v>
      </c>
      <c r="C678" t="s">
        <v>40</v>
      </c>
      <c r="D678">
        <v>3.7269929999999998</v>
      </c>
      <c r="E678">
        <v>0.56740480000000004</v>
      </c>
      <c r="F678" t="s">
        <v>42</v>
      </c>
      <c r="G678">
        <v>-297.18979999999999</v>
      </c>
      <c r="H678">
        <v>-0.05</v>
      </c>
      <c r="I678">
        <v>363.90730000000002</v>
      </c>
      <c r="J678">
        <v>-315.31569999999999</v>
      </c>
      <c r="K678">
        <v>1.08734</v>
      </c>
      <c r="L678">
        <v>367.22340000000003</v>
      </c>
      <c r="M678">
        <v>0.99977380000000005</v>
      </c>
      <c r="N678">
        <v>0</v>
      </c>
      <c r="O678">
        <v>4.7918049999999997E-3</v>
      </c>
      <c r="P678">
        <v>0.98972550000000004</v>
      </c>
      <c r="Q678">
        <v>0.14293629999999999</v>
      </c>
      <c r="R678">
        <v>-3.6200590000000001E-3</v>
      </c>
      <c r="S678">
        <v>3.0563959999999999</v>
      </c>
      <c r="T678">
        <v>-0.18991710000000001</v>
      </c>
      <c r="U678">
        <v>-0.55282589999999998</v>
      </c>
      <c r="V678">
        <v>8.3611099999999997E-3</v>
      </c>
      <c r="W678">
        <v>0.1634176</v>
      </c>
      <c r="X678">
        <v>0.98652150000000005</v>
      </c>
      <c r="Y678">
        <v>0.18235170000000001</v>
      </c>
      <c r="Z678">
        <v>-5.9097380000000003E-3</v>
      </c>
      <c r="AA678">
        <v>0.98321559999999997</v>
      </c>
      <c r="AB678">
        <v>39</v>
      </c>
      <c r="AC678">
        <v>18.125900000000001</v>
      </c>
      <c r="AD678">
        <v>-1.13734</v>
      </c>
      <c r="AE678">
        <v>-3.3161</v>
      </c>
      <c r="AF678">
        <v>3.3900215926759598</v>
      </c>
      <c r="AG678">
        <v>-1.13734</v>
      </c>
      <c r="AH678">
        <v>18.041068374976302</v>
      </c>
      <c r="AI678">
        <v>93.545365339687393</v>
      </c>
      <c r="AJ678">
        <v>79.357884758019694</v>
      </c>
      <c r="AK678">
        <v>18.3920074158581</v>
      </c>
      <c r="AL678">
        <v>80.594677518954995</v>
      </c>
      <c r="AM678">
        <v>89.5144101318634</v>
      </c>
      <c r="AN678">
        <v>0.99999994505621903</v>
      </c>
    </row>
    <row r="679" spans="1:40" x14ac:dyDescent="0.25">
      <c r="A679" t="str">
        <f>"20190312172343724"</f>
        <v>20190312172343724</v>
      </c>
      <c r="B679" t="str">
        <f>"1552382623720707"</f>
        <v>1552382623720707</v>
      </c>
      <c r="C679" t="s">
        <v>40</v>
      </c>
      <c r="D679">
        <v>3.7110979999999998</v>
      </c>
      <c r="E679">
        <v>0.56801400000000002</v>
      </c>
      <c r="F679" t="s">
        <v>42</v>
      </c>
      <c r="G679">
        <v>-297.07350000000002</v>
      </c>
      <c r="H679">
        <v>-0.05</v>
      </c>
      <c r="I679">
        <v>363.91730000000001</v>
      </c>
      <c r="J679">
        <v>-315.02289999999999</v>
      </c>
      <c r="K679">
        <v>1.085167</v>
      </c>
      <c r="L679">
        <v>367.22469999999998</v>
      </c>
      <c r="M679">
        <v>0.99977510000000003</v>
      </c>
      <c r="N679">
        <v>0</v>
      </c>
      <c r="O679">
        <v>4.805096E-3</v>
      </c>
      <c r="P679">
        <v>0.98966960000000004</v>
      </c>
      <c r="Q679">
        <v>0.14332719999999999</v>
      </c>
      <c r="R679">
        <v>-3.4111469999999998E-3</v>
      </c>
      <c r="S679">
        <v>3.05661</v>
      </c>
      <c r="T679">
        <v>-0.19056880000000001</v>
      </c>
      <c r="U679">
        <v>-0.55395509999999903</v>
      </c>
      <c r="V679">
        <v>8.1656719999999901E-3</v>
      </c>
      <c r="W679">
        <v>0.16374179999999999</v>
      </c>
      <c r="X679">
        <v>0.98646940000000005</v>
      </c>
      <c r="Y679">
        <v>0.18270140000000001</v>
      </c>
      <c r="Z679">
        <v>-5.9410030000000003E-3</v>
      </c>
      <c r="AA679">
        <v>0.98315050000000004</v>
      </c>
      <c r="AB679">
        <v>39</v>
      </c>
      <c r="AC679">
        <v>17.949399999999901</v>
      </c>
      <c r="AD679">
        <v>-1.135167</v>
      </c>
      <c r="AE679">
        <v>-3.3073999999999701</v>
      </c>
      <c r="AF679">
        <v>3.38055184274311</v>
      </c>
      <c r="AG679">
        <v>-1.135167</v>
      </c>
      <c r="AH679">
        <v>17.864193053347499</v>
      </c>
      <c r="AI679">
        <v>93.572691232563102</v>
      </c>
      <c r="AJ679">
        <v>79.284277071319195</v>
      </c>
      <c r="AK679">
        <v>18.216644266347</v>
      </c>
      <c r="AL679">
        <v>80.575848803989103</v>
      </c>
      <c r="AM679">
        <v>89.525735053660796</v>
      </c>
      <c r="AN679">
        <v>0.99999996620140497</v>
      </c>
    </row>
    <row r="680" spans="1:40" x14ac:dyDescent="0.25">
      <c r="A680" t="str">
        <f>"20190312172343736"</f>
        <v>20190312172343736</v>
      </c>
      <c r="B680" t="str">
        <f>"1552382623730466"</f>
        <v>1552382623730466</v>
      </c>
      <c r="C680" t="s">
        <v>40</v>
      </c>
      <c r="D680">
        <v>3.7196370000000001</v>
      </c>
      <c r="E680">
        <v>0.56829149999999995</v>
      </c>
      <c r="F680" t="s">
        <v>42</v>
      </c>
      <c r="G680">
        <v>-296.7731</v>
      </c>
      <c r="H680">
        <v>-0.05</v>
      </c>
      <c r="I680">
        <v>363.89389999999997</v>
      </c>
      <c r="J680">
        <v>-314.82170000000002</v>
      </c>
      <c r="K680">
        <v>1.083696</v>
      </c>
      <c r="L680">
        <v>367.22570000000002</v>
      </c>
      <c r="M680">
        <v>0.99977709999999997</v>
      </c>
      <c r="N680">
        <v>0</v>
      </c>
      <c r="O680">
        <v>4.8144989999999999E-3</v>
      </c>
      <c r="P680">
        <v>0.98968670000000003</v>
      </c>
      <c r="Q680">
        <v>0.14321410000000001</v>
      </c>
      <c r="R680">
        <v>-3.153398E-3</v>
      </c>
      <c r="S680">
        <v>3.0568849999999999</v>
      </c>
      <c r="T680">
        <v>-0.1901428</v>
      </c>
      <c r="U680">
        <v>-0.55792240000000004</v>
      </c>
      <c r="V680">
        <v>7.9175900000000004E-3</v>
      </c>
      <c r="W680">
        <v>0.1635315</v>
      </c>
      <c r="X680">
        <v>0.98650629999999995</v>
      </c>
      <c r="Y680">
        <v>0.1839295</v>
      </c>
      <c r="Z680">
        <v>-5.9649680000000002E-3</v>
      </c>
      <c r="AA680">
        <v>0.98292139999999995</v>
      </c>
      <c r="AB680">
        <v>39</v>
      </c>
      <c r="AC680">
        <v>18.0486</v>
      </c>
      <c r="AD680">
        <v>-1.13369599999999</v>
      </c>
      <c r="AE680">
        <v>-3.3318000000000398</v>
      </c>
      <c r="AF680">
        <v>3.4056802817949001</v>
      </c>
      <c r="AG680">
        <v>-1.13369599999999</v>
      </c>
      <c r="AH680">
        <v>17.9638052523642</v>
      </c>
      <c r="AI680">
        <v>93.548112525867296</v>
      </c>
      <c r="AJ680">
        <v>79.264946180503003</v>
      </c>
      <c r="AK680">
        <v>18.318903459189102</v>
      </c>
      <c r="AL680">
        <v>80.588062681985306</v>
      </c>
      <c r="AM680">
        <v>89.540160310375796</v>
      </c>
      <c r="AN680">
        <v>0.999999959831673</v>
      </c>
    </row>
    <row r="681" spans="1:40" x14ac:dyDescent="0.25">
      <c r="A681" t="str">
        <f>"20190312172343759"</f>
        <v>20190312172343759</v>
      </c>
      <c r="B681" t="str">
        <f>"1552382623750962"</f>
        <v>1552382623750962</v>
      </c>
      <c r="C681" t="s">
        <v>40</v>
      </c>
      <c r="D681">
        <v>3.7263739999999999</v>
      </c>
      <c r="E681">
        <v>0.56882749999999904</v>
      </c>
      <c r="F681" t="s">
        <v>42</v>
      </c>
      <c r="G681">
        <v>-296.6893</v>
      </c>
      <c r="H681">
        <v>-0.05</v>
      </c>
      <c r="I681">
        <v>363.90820000000002</v>
      </c>
      <c r="J681">
        <v>-314.40809999999999</v>
      </c>
      <c r="K681">
        <v>1.0807519999999999</v>
      </c>
      <c r="L681">
        <v>367.2278</v>
      </c>
      <c r="M681">
        <v>0.99978339999999999</v>
      </c>
      <c r="N681">
        <v>0</v>
      </c>
      <c r="O681">
        <v>4.8334529999999997E-3</v>
      </c>
      <c r="P681">
        <v>0.98964459999999999</v>
      </c>
      <c r="Q681">
        <v>0.14351359999999999</v>
      </c>
      <c r="R681">
        <v>-2.7647330000000001E-3</v>
      </c>
      <c r="S681">
        <v>3.0570979999999999</v>
      </c>
      <c r="T681">
        <v>-0.19113930000000001</v>
      </c>
      <c r="U681">
        <v>-0.5593262</v>
      </c>
      <c r="V681">
        <v>7.5481849999999998E-3</v>
      </c>
      <c r="W681">
        <v>0.16352259999999999</v>
      </c>
      <c r="X681">
        <v>0.98651069999999996</v>
      </c>
      <c r="Y681">
        <v>0.18436820000000001</v>
      </c>
      <c r="Z681">
        <v>-6.0102799999999998E-3</v>
      </c>
      <c r="AA681">
        <v>0.98283889999999996</v>
      </c>
      <c r="AB681">
        <v>39</v>
      </c>
      <c r="AC681">
        <v>17.718799999999899</v>
      </c>
      <c r="AD681">
        <v>-1.130752</v>
      </c>
      <c r="AE681">
        <v>-3.3195999999999799</v>
      </c>
      <c r="AF681">
        <v>3.3918765810696399</v>
      </c>
      <c r="AG681">
        <v>-1.130752</v>
      </c>
      <c r="AH681">
        <v>17.633167715034102</v>
      </c>
      <c r="AI681">
        <v>93.603270686067702</v>
      </c>
      <c r="AJ681">
        <v>79.111706805032398</v>
      </c>
      <c r="AK681">
        <v>17.991999068842699</v>
      </c>
      <c r="AL681">
        <v>80.588579844750299</v>
      </c>
      <c r="AM681">
        <v>89.561615799897595</v>
      </c>
      <c r="AN681">
        <v>0.99999998851102201</v>
      </c>
    </row>
    <row r="682" spans="1:40" x14ac:dyDescent="0.25">
      <c r="A682" t="str">
        <f>"20190312172343773"</f>
        <v>20190312172343773</v>
      </c>
      <c r="B682" t="str">
        <f>"1552382623760723"</f>
        <v>1552382623760723</v>
      </c>
      <c r="C682" t="s">
        <v>40</v>
      </c>
      <c r="D682">
        <v>3.731357</v>
      </c>
      <c r="E682">
        <v>0.56904219999999905</v>
      </c>
      <c r="F682" t="s">
        <v>42</v>
      </c>
      <c r="G682">
        <v>-296.2679</v>
      </c>
      <c r="H682">
        <v>-0.05</v>
      </c>
      <c r="I682">
        <v>363.8904</v>
      </c>
      <c r="J682">
        <v>-314.18340000000001</v>
      </c>
      <c r="K682">
        <v>1.079245</v>
      </c>
      <c r="L682">
        <v>367.22890000000001</v>
      </c>
      <c r="M682">
        <v>0.99978820000000002</v>
      </c>
      <c r="N682">
        <v>0</v>
      </c>
      <c r="O682">
        <v>4.8429759999999997E-3</v>
      </c>
      <c r="P682">
        <v>0.98965519999999996</v>
      </c>
      <c r="Q682">
        <v>0.1434397</v>
      </c>
      <c r="R682">
        <v>-2.806486E-3</v>
      </c>
      <c r="S682">
        <v>3.0575260000000002</v>
      </c>
      <c r="T682">
        <v>-0.19058810000000001</v>
      </c>
      <c r="U682">
        <v>-0.5625</v>
      </c>
      <c r="V682">
        <v>7.59925599999999E-3</v>
      </c>
      <c r="W682">
        <v>0.1632111</v>
      </c>
      <c r="X682">
        <v>0.98656189999999999</v>
      </c>
      <c r="Y682">
        <v>0.18534059999999999</v>
      </c>
      <c r="Z682">
        <v>-6.0222139999999997E-3</v>
      </c>
      <c r="AA682">
        <v>0.98265590000000003</v>
      </c>
      <c r="AB682">
        <v>39</v>
      </c>
      <c r="AC682">
        <v>17.915500000000002</v>
      </c>
      <c r="AD682">
        <v>-1.1292450000000001</v>
      </c>
      <c r="AE682">
        <v>-3.33850000000001</v>
      </c>
      <c r="AF682">
        <v>3.41214104960281</v>
      </c>
      <c r="AG682">
        <v>-1.1292450000000001</v>
      </c>
      <c r="AH682">
        <v>17.8306545459326</v>
      </c>
      <c r="AI682">
        <v>93.559381379276005</v>
      </c>
      <c r="AJ682">
        <v>79.166636754748794</v>
      </c>
      <c r="AK682">
        <v>18.189286471678798</v>
      </c>
      <c r="AL682">
        <v>80.6066706038077</v>
      </c>
      <c r="AM682">
        <v>89.558672714503302</v>
      </c>
      <c r="AN682">
        <v>0.99999999719328603</v>
      </c>
    </row>
    <row r="683" spans="1:40" x14ac:dyDescent="0.25">
      <c r="A683" t="str">
        <f>"20190312172343786"</f>
        <v>20190312172343786</v>
      </c>
      <c r="B683" t="str">
        <f>"1552382623780242"</f>
        <v>1552382623780242</v>
      </c>
      <c r="C683" t="s">
        <v>40</v>
      </c>
      <c r="D683">
        <v>3.7682410000000002</v>
      </c>
      <c r="E683">
        <v>0.56953480000000001</v>
      </c>
      <c r="F683" t="s">
        <v>42</v>
      </c>
      <c r="G683">
        <v>-296.1069</v>
      </c>
      <c r="H683">
        <v>-0.05</v>
      </c>
      <c r="I683">
        <v>363.89229999999998</v>
      </c>
      <c r="J683">
        <v>-313.94600000000003</v>
      </c>
      <c r="K683">
        <v>1.077699</v>
      </c>
      <c r="L683">
        <v>367.23</v>
      </c>
      <c r="M683">
        <v>0.99979359999999995</v>
      </c>
      <c r="N683">
        <v>0</v>
      </c>
      <c r="O683">
        <v>4.8527860000000004E-3</v>
      </c>
      <c r="P683">
        <v>0.98959450000000004</v>
      </c>
      <c r="Q683">
        <v>0.14385699999999901</v>
      </c>
      <c r="R683">
        <v>-2.8615250000000002E-3</v>
      </c>
      <c r="S683">
        <v>3.057404</v>
      </c>
      <c r="T683">
        <v>-0.19099630000000001</v>
      </c>
      <c r="U683">
        <v>-0.56433109999999997</v>
      </c>
      <c r="V683">
        <v>7.6637600000000004E-3</v>
      </c>
      <c r="W683">
        <v>0.16335269999999999</v>
      </c>
      <c r="X683">
        <v>0.98653789999999997</v>
      </c>
      <c r="Y683">
        <v>0.1859237</v>
      </c>
      <c r="Z683">
        <v>-6.053648E-3</v>
      </c>
      <c r="AA683">
        <v>0.98254560000000002</v>
      </c>
      <c r="AB683">
        <v>39</v>
      </c>
      <c r="AC683">
        <v>17.839099999999899</v>
      </c>
      <c r="AD683">
        <v>-1.127699</v>
      </c>
      <c r="AE683">
        <v>-3.3377000000000399</v>
      </c>
      <c r="AF683">
        <v>3.4110767746326198</v>
      </c>
      <c r="AG683">
        <v>-1.127699</v>
      </c>
      <c r="AH683">
        <v>17.754141203721201</v>
      </c>
      <c r="AI683">
        <v>93.569296374382404</v>
      </c>
      <c r="AJ683">
        <v>79.124373285139995</v>
      </c>
      <c r="AK683">
        <v>18.113991268594301</v>
      </c>
      <c r="AL683">
        <v>80.598446549052895</v>
      </c>
      <c r="AM683">
        <v>89.554915963493897</v>
      </c>
      <c r="AN683">
        <v>0.99999993297551604</v>
      </c>
    </row>
    <row r="684" spans="1:40" x14ac:dyDescent="0.25">
      <c r="A684" t="str">
        <f>"20190312172343802"</f>
        <v>20190312172343802</v>
      </c>
      <c r="B684" t="str">
        <f>"1552382623790978"</f>
        <v>1552382623790978</v>
      </c>
      <c r="C684" t="s">
        <v>40</v>
      </c>
      <c r="D684">
        <v>3.6903800000000002</v>
      </c>
      <c r="E684">
        <v>0.56978119999999999</v>
      </c>
      <c r="F684" t="s">
        <v>42</v>
      </c>
      <c r="G684">
        <v>-295.79570000000001</v>
      </c>
      <c r="H684">
        <v>-0.05</v>
      </c>
      <c r="I684">
        <v>363.85640000000001</v>
      </c>
      <c r="J684">
        <v>-313.65440000000001</v>
      </c>
      <c r="K684">
        <v>1.0758939999999999</v>
      </c>
      <c r="L684">
        <v>367.23140000000001</v>
      </c>
      <c r="M684">
        <v>0.99980100000000005</v>
      </c>
      <c r="N684">
        <v>0</v>
      </c>
      <c r="O684">
        <v>4.8644439999999999E-3</v>
      </c>
      <c r="P684">
        <v>0.98950210000000005</v>
      </c>
      <c r="Q684">
        <v>0.14449210000000001</v>
      </c>
      <c r="R684">
        <v>-2.8037349999999999E-3</v>
      </c>
      <c r="S684">
        <v>3.0575559999999999</v>
      </c>
      <c r="T684">
        <v>-0.18996930000000001</v>
      </c>
      <c r="U684">
        <v>-0.56829830000000003</v>
      </c>
      <c r="V684">
        <v>7.6169769999999996E-3</v>
      </c>
      <c r="W684">
        <v>0.16361049999999999</v>
      </c>
      <c r="X684">
        <v>0.98649560000000003</v>
      </c>
      <c r="Y684">
        <v>0.18716050000000001</v>
      </c>
      <c r="Z684">
        <v>-6.058936E-3</v>
      </c>
      <c r="AA684">
        <v>0.98231069999999998</v>
      </c>
      <c r="AB684">
        <v>39</v>
      </c>
      <c r="AC684">
        <v>17.858699999999999</v>
      </c>
      <c r="AD684">
        <v>-1.125894</v>
      </c>
      <c r="AE684">
        <v>-3.375</v>
      </c>
      <c r="AF684">
        <v>3.4486146974307301</v>
      </c>
      <c r="AG684">
        <v>-1.125894</v>
      </c>
      <c r="AH684">
        <v>17.7738598043663</v>
      </c>
      <c r="AI684">
        <v>93.558400050667004</v>
      </c>
      <c r="AJ684">
        <v>79.019488756054301</v>
      </c>
      <c r="AK684">
        <v>18.1403052062483</v>
      </c>
      <c r="AL684">
        <v>80.583474820144104</v>
      </c>
      <c r="AM684">
        <v>89.557613878597095</v>
      </c>
      <c r="AN684">
        <v>0.999999991434114</v>
      </c>
    </row>
    <row r="685" spans="1:40" x14ac:dyDescent="0.25">
      <c r="A685" t="str">
        <f>"20190312172343814"</f>
        <v>20190312172343814</v>
      </c>
      <c r="B685" t="str">
        <f>"1552382623810498"</f>
        <v>1552382623810498</v>
      </c>
      <c r="C685" t="s">
        <v>40</v>
      </c>
      <c r="D685">
        <v>3.7385269999999999</v>
      </c>
      <c r="E685">
        <v>0.56995530000000005</v>
      </c>
      <c r="F685" t="s">
        <v>42</v>
      </c>
      <c r="G685">
        <v>-295.33539999999999</v>
      </c>
      <c r="H685">
        <v>-0.05</v>
      </c>
      <c r="I685">
        <v>363.81599999999997</v>
      </c>
      <c r="J685">
        <v>-313.45400000000001</v>
      </c>
      <c r="K685">
        <v>1.074749</v>
      </c>
      <c r="L685">
        <v>367.23239999999998</v>
      </c>
      <c r="M685">
        <v>0.99980650000000004</v>
      </c>
      <c r="N685">
        <v>0</v>
      </c>
      <c r="O685">
        <v>4.872337E-3</v>
      </c>
      <c r="P685">
        <v>0.98943709999999996</v>
      </c>
      <c r="Q685">
        <v>0.1449318</v>
      </c>
      <c r="R685">
        <v>-3.020619E-3</v>
      </c>
      <c r="S685">
        <v>3.0576479999999999</v>
      </c>
      <c r="T685">
        <v>-0.1879247</v>
      </c>
      <c r="U685">
        <v>-0.57006840000000003</v>
      </c>
      <c r="V685">
        <v>7.8414499999999998E-3</v>
      </c>
      <c r="W685">
        <v>0.1637719</v>
      </c>
      <c r="X685">
        <v>0.98646710000000004</v>
      </c>
      <c r="Y685">
        <v>0.1877192</v>
      </c>
      <c r="Z685">
        <v>-6.0108449999999999E-3</v>
      </c>
      <c r="AA685">
        <v>0.98220439999999998</v>
      </c>
      <c r="AB685">
        <v>39</v>
      </c>
      <c r="AC685">
        <v>18.118600000000001</v>
      </c>
      <c r="AD685">
        <v>-1.124749</v>
      </c>
      <c r="AE685">
        <v>-3.4163999999999999</v>
      </c>
      <c r="AF685">
        <v>3.4916620366961202</v>
      </c>
      <c r="AG685">
        <v>-1.124749</v>
      </c>
      <c r="AH685">
        <v>18.034624575971801</v>
      </c>
      <c r="AI685">
        <v>93.503793619802494</v>
      </c>
      <c r="AJ685">
        <v>79.042600932188193</v>
      </c>
      <c r="AK685">
        <v>18.403924790319898</v>
      </c>
      <c r="AL685">
        <v>80.574101222386105</v>
      </c>
      <c r="AM685">
        <v>89.544564103862399</v>
      </c>
      <c r="AN685">
        <v>1.0000000314750599</v>
      </c>
    </row>
    <row r="686" spans="1:40" x14ac:dyDescent="0.25">
      <c r="A686" t="str">
        <f>"20190312172343826"</f>
        <v>20190312172343826</v>
      </c>
      <c r="B686" t="str">
        <f>"1552382623820258"</f>
        <v>1552382623820258</v>
      </c>
      <c r="C686" t="s">
        <v>40</v>
      </c>
      <c r="D686">
        <v>3.6950769999999999</v>
      </c>
      <c r="E686">
        <v>0.54562980000000005</v>
      </c>
      <c r="F686" t="s">
        <v>42</v>
      </c>
      <c r="G686">
        <v>-294.98880000000003</v>
      </c>
      <c r="H686">
        <v>-0.05</v>
      </c>
      <c r="I686">
        <v>363.77690000000001</v>
      </c>
      <c r="J686">
        <v>-313.2604</v>
      </c>
      <c r="K686">
        <v>1.07369</v>
      </c>
      <c r="L686">
        <v>367.23340000000002</v>
      </c>
      <c r="M686">
        <v>0.99981140000000002</v>
      </c>
      <c r="N686">
        <v>0</v>
      </c>
      <c r="O686">
        <v>4.8800120000000004E-3</v>
      </c>
      <c r="P686">
        <v>0.98938729999999997</v>
      </c>
      <c r="Q686">
        <v>0.14527579999999901</v>
      </c>
      <c r="R686">
        <v>-2.7925939999999998E-3</v>
      </c>
      <c r="S686">
        <v>3.0575559999999999</v>
      </c>
      <c r="T686">
        <v>-0.1862414</v>
      </c>
      <c r="U686">
        <v>-0.57217410000000002</v>
      </c>
      <c r="V686">
        <v>7.62074E-3</v>
      </c>
      <c r="W686">
        <v>0.1638443</v>
      </c>
      <c r="X686">
        <v>0.98645680000000002</v>
      </c>
      <c r="Y686">
        <v>0.18839059999999999</v>
      </c>
      <c r="Z686">
        <v>-5.977619E-3</v>
      </c>
      <c r="AA686">
        <v>0.98207599999999995</v>
      </c>
      <c r="AB686">
        <v>39</v>
      </c>
      <c r="AC686">
        <v>18.2715999999999</v>
      </c>
      <c r="AD686">
        <v>-1.1236899999999901</v>
      </c>
      <c r="AE686">
        <v>-3.4565000000000001</v>
      </c>
      <c r="AF686">
        <v>3.53274046132886</v>
      </c>
      <c r="AG686">
        <v>-1.1236899999999901</v>
      </c>
      <c r="AH686">
        <v>18.188098035225899</v>
      </c>
      <c r="AI686">
        <v>93.470633366917795</v>
      </c>
      <c r="AJ686">
        <v>79.008097863991907</v>
      </c>
      <c r="AK686">
        <v>18.5620538874931</v>
      </c>
      <c r="AL686">
        <v>80.569896139340699</v>
      </c>
      <c r="AM686">
        <v>89.557377928014006</v>
      </c>
      <c r="AN686">
        <v>1.0000000242934299</v>
      </c>
    </row>
    <row r="687" spans="1:40" x14ac:dyDescent="0.25">
      <c r="A687" t="str">
        <f>"20190312172343836"</f>
        <v>20190312172343836</v>
      </c>
      <c r="B687" t="str">
        <f>"1552382623830995"</f>
        <v>1552382623830995</v>
      </c>
      <c r="C687" t="s">
        <v>40</v>
      </c>
      <c r="D687">
        <v>3.7316060000000002</v>
      </c>
      <c r="E687">
        <v>0.53807959999999999</v>
      </c>
      <c r="F687" t="s">
        <v>42</v>
      </c>
      <c r="G687">
        <v>-288.65710000000001</v>
      </c>
      <c r="H687">
        <v>-0.05</v>
      </c>
      <c r="I687">
        <v>364.19240000000002</v>
      </c>
      <c r="J687">
        <v>-313.05689999999998</v>
      </c>
      <c r="K687">
        <v>1.072638</v>
      </c>
      <c r="L687">
        <v>367.23430000000002</v>
      </c>
      <c r="M687">
        <v>0.99981699999999996</v>
      </c>
      <c r="N687">
        <v>0</v>
      </c>
      <c r="O687">
        <v>4.8879450000000003E-3</v>
      </c>
      <c r="P687">
        <v>0.98932390000000003</v>
      </c>
      <c r="Q687">
        <v>0.145702</v>
      </c>
      <c r="R687">
        <v>-3.0823550000000002E-3</v>
      </c>
      <c r="S687">
        <v>3.0515750000000001</v>
      </c>
      <c r="T687">
        <v>-0.13937279999999999</v>
      </c>
      <c r="U687">
        <v>-0.37716670000000002</v>
      </c>
      <c r="V687">
        <v>7.9178870000000002E-3</v>
      </c>
      <c r="W687">
        <v>0.1639803</v>
      </c>
      <c r="X687">
        <v>0.98643179999999997</v>
      </c>
      <c r="Y687">
        <v>0.12737860000000001</v>
      </c>
      <c r="Z687">
        <v>-3.1186650000000001E-3</v>
      </c>
      <c r="AA687">
        <v>0.99184919999999999</v>
      </c>
      <c r="AB687">
        <v>39</v>
      </c>
      <c r="AC687">
        <v>24.3997999999999</v>
      </c>
      <c r="AD687">
        <v>-1.122638</v>
      </c>
      <c r="AE687">
        <v>-3.0418999999999898</v>
      </c>
      <c r="AF687">
        <v>3.15457311959526</v>
      </c>
      <c r="AG687">
        <v>-1.122638</v>
      </c>
      <c r="AH687">
        <v>24.333912377376102</v>
      </c>
      <c r="AI687">
        <v>92.6195620315913</v>
      </c>
      <c r="AJ687">
        <v>82.613546814839097</v>
      </c>
      <c r="AK687">
        <v>24.563202951482801</v>
      </c>
      <c r="AL687">
        <v>80.561996502709306</v>
      </c>
      <c r="AM687">
        <v>89.540108332797701</v>
      </c>
      <c r="AN687">
        <v>0.99999996388693602</v>
      </c>
    </row>
    <row r="688" spans="1:40" x14ac:dyDescent="0.25">
      <c r="A688" t="str">
        <f>"20190312172343848"</f>
        <v>20190312172343848</v>
      </c>
      <c r="B688" t="str">
        <f>"1552382623840755"</f>
        <v>1552382623840755</v>
      </c>
      <c r="C688" t="s">
        <v>40</v>
      </c>
      <c r="D688">
        <v>3.6928610000000002</v>
      </c>
      <c r="E688">
        <v>0.5310897</v>
      </c>
      <c r="F688" t="s">
        <v>42</v>
      </c>
      <c r="G688">
        <v>-286.14949999999999</v>
      </c>
      <c r="H688">
        <v>-0.05</v>
      </c>
      <c r="I688">
        <v>364.4307</v>
      </c>
      <c r="J688">
        <v>-312.86340000000001</v>
      </c>
      <c r="K688">
        <v>1.0717000000000001</v>
      </c>
      <c r="L688">
        <v>367.2353</v>
      </c>
      <c r="M688">
        <v>0.99982199999999999</v>
      </c>
      <c r="N688">
        <v>0</v>
      </c>
      <c r="O688">
        <v>4.8955739999999998E-3</v>
      </c>
      <c r="P688">
        <v>0.98924259999999997</v>
      </c>
      <c r="Q688">
        <v>0.1462591</v>
      </c>
      <c r="R688">
        <v>-2.728117E-3</v>
      </c>
      <c r="S688">
        <v>3.0501399999999999</v>
      </c>
      <c r="T688">
        <v>-0.12725910000000001</v>
      </c>
      <c r="U688">
        <v>-0.31781009999999998</v>
      </c>
      <c r="V688">
        <v>7.5708360000000001E-3</v>
      </c>
      <c r="W688">
        <v>0.1642615</v>
      </c>
      <c r="X688">
        <v>0.98638780000000004</v>
      </c>
      <c r="Y688">
        <v>0.1084054</v>
      </c>
      <c r="Z688">
        <v>-2.4580510000000002E-3</v>
      </c>
      <c r="AA688">
        <v>0.99410370000000003</v>
      </c>
      <c r="AB688">
        <v>39</v>
      </c>
      <c r="AC688">
        <v>26.713899999999999</v>
      </c>
      <c r="AD688">
        <v>-1.1216999999999999</v>
      </c>
      <c r="AE688">
        <v>-2.80459999999999</v>
      </c>
      <c r="AF688">
        <v>2.93025793278585</v>
      </c>
      <c r="AG688">
        <v>-1.1216999999999999</v>
      </c>
      <c r="AH688">
        <v>26.6533669223098</v>
      </c>
      <c r="AI688">
        <v>92.395439870331401</v>
      </c>
      <c r="AJ688">
        <v>83.726126273187404</v>
      </c>
      <c r="AK688">
        <v>26.837410283742599</v>
      </c>
      <c r="AL688">
        <v>80.545664039272495</v>
      </c>
      <c r="AM688">
        <v>89.560245541875801</v>
      </c>
      <c r="AN688">
        <v>1.0000000249644101</v>
      </c>
    </row>
    <row r="689" spans="1:40" x14ac:dyDescent="0.25">
      <c r="A689" t="str">
        <f>"20190312172343860"</f>
        <v>20190312172343860</v>
      </c>
      <c r="B689" t="str">
        <f>"1552382623850515"</f>
        <v>1552382623850515</v>
      </c>
      <c r="C689" t="s">
        <v>40</v>
      </c>
      <c r="D689">
        <v>3.7018740000000001</v>
      </c>
      <c r="E689">
        <v>0.52683590000000002</v>
      </c>
      <c r="F689" t="s">
        <v>42</v>
      </c>
      <c r="G689">
        <v>-284.37569999999999</v>
      </c>
      <c r="H689">
        <v>-0.05</v>
      </c>
      <c r="I689">
        <v>364.79649999999998</v>
      </c>
      <c r="J689">
        <v>-312.64929999999998</v>
      </c>
      <c r="K689">
        <v>1.0707089999999999</v>
      </c>
      <c r="L689">
        <v>367.2364</v>
      </c>
      <c r="M689">
        <v>0.99982749999999998</v>
      </c>
      <c r="N689">
        <v>0</v>
      </c>
      <c r="O689">
        <v>4.9040799999999999E-3</v>
      </c>
      <c r="P689">
        <v>0.98918309999999998</v>
      </c>
      <c r="Q689">
        <v>0.14666100000000001</v>
      </c>
      <c r="R689">
        <v>-2.7099189999999999E-3</v>
      </c>
      <c r="S689">
        <v>3.049652</v>
      </c>
      <c r="T689">
        <v>-0.12007959999999999</v>
      </c>
      <c r="U689">
        <v>-0.26107789999999997</v>
      </c>
      <c r="V689">
        <v>7.560743E-3</v>
      </c>
      <c r="W689">
        <v>0.16435939999999999</v>
      </c>
      <c r="X689">
        <v>0.98637160000000002</v>
      </c>
      <c r="Y689">
        <v>9.0109939999999999E-2</v>
      </c>
      <c r="Z689">
        <v>-1.9628240000000002E-3</v>
      </c>
      <c r="AA689">
        <v>0.99592990000000003</v>
      </c>
      <c r="AB689">
        <v>39</v>
      </c>
      <c r="AC689">
        <v>28.273599999999899</v>
      </c>
      <c r="AD689">
        <v>-1.120709</v>
      </c>
      <c r="AE689">
        <v>-2.4399000000000202</v>
      </c>
      <c r="AF689">
        <v>2.5745337685130498</v>
      </c>
      <c r="AG689">
        <v>-1.120709</v>
      </c>
      <c r="AH689">
        <v>28.217286043878602</v>
      </c>
      <c r="AI689">
        <v>92.265028838215301</v>
      </c>
      <c r="AJ689">
        <v>84.786790344214197</v>
      </c>
      <c r="AK689">
        <v>28.356647271318302</v>
      </c>
      <c r="AL689">
        <v>80.539977784017793</v>
      </c>
      <c r="AM689">
        <v>89.560824561526601</v>
      </c>
      <c r="AN689">
        <v>1.0000000552448101</v>
      </c>
    </row>
    <row r="690" spans="1:40" x14ac:dyDescent="0.25">
      <c r="A690" t="str">
        <f>"20190312172343871"</f>
        <v>20190312172343871</v>
      </c>
      <c r="B690" t="str">
        <f>"1552382623860274"</f>
        <v>1552382623860274</v>
      </c>
      <c r="C690" t="s">
        <v>40</v>
      </c>
      <c r="D690">
        <v>3.680644</v>
      </c>
      <c r="E690">
        <v>0.52405740000000001</v>
      </c>
      <c r="F690" t="s">
        <v>42</v>
      </c>
      <c r="G690">
        <v>-283.00850000000003</v>
      </c>
      <c r="H690">
        <v>-0.05</v>
      </c>
      <c r="I690">
        <v>365.02719999999999</v>
      </c>
      <c r="J690">
        <v>-312.46300000000002</v>
      </c>
      <c r="K690">
        <v>1.0699299999999901</v>
      </c>
      <c r="L690">
        <v>367.2373</v>
      </c>
      <c r="M690">
        <v>0.99983200000000005</v>
      </c>
      <c r="N690">
        <v>0</v>
      </c>
      <c r="O690">
        <v>4.9119350000000001E-3</v>
      </c>
      <c r="P690">
        <v>0.98914469999999999</v>
      </c>
      <c r="Q690">
        <v>0.1469231</v>
      </c>
      <c r="R690">
        <v>-2.510085E-3</v>
      </c>
      <c r="S690">
        <v>3.049255</v>
      </c>
      <c r="T690">
        <v>-0.11529159999999999</v>
      </c>
      <c r="U690">
        <v>-0.22726440000000001</v>
      </c>
      <c r="V690">
        <v>7.3685440000000003E-3</v>
      </c>
      <c r="W690">
        <v>0.16436500000000001</v>
      </c>
      <c r="X690">
        <v>0.98637209999999997</v>
      </c>
      <c r="Y690">
        <v>7.9163440000000002E-2</v>
      </c>
      <c r="Z690">
        <v>-1.679404E-3</v>
      </c>
      <c r="AA690">
        <v>0.99686019999999997</v>
      </c>
      <c r="AB690">
        <v>39</v>
      </c>
      <c r="AC690">
        <v>29.4544999999999</v>
      </c>
      <c r="AD690">
        <v>-1.1199300000000001</v>
      </c>
      <c r="AE690">
        <v>-2.2101000000000099</v>
      </c>
      <c r="AF690">
        <v>2.35139410275954</v>
      </c>
      <c r="AG690">
        <v>-1.1199300000000001</v>
      </c>
      <c r="AH690">
        <v>29.401019890470401</v>
      </c>
      <c r="AI690">
        <v>92.174493053179603</v>
      </c>
      <c r="AJ690">
        <v>85.427409978508706</v>
      </c>
      <c r="AK690">
        <v>29.516152663096602</v>
      </c>
      <c r="AL690">
        <v>80.539652302595698</v>
      </c>
      <c r="AM690">
        <v>89.571988482753895</v>
      </c>
      <c r="AN690">
        <v>1.0000000341620401</v>
      </c>
    </row>
    <row r="691" spans="1:40" x14ac:dyDescent="0.25">
      <c r="A691" t="str">
        <f>"20190312172343882"</f>
        <v>20190312172343882</v>
      </c>
      <c r="B691" t="str">
        <f>"1552382623871011"</f>
        <v>1552382623871011</v>
      </c>
      <c r="C691" t="s">
        <v>40</v>
      </c>
      <c r="D691">
        <v>3.676939</v>
      </c>
      <c r="E691">
        <v>0.52202870000000001</v>
      </c>
      <c r="F691" t="s">
        <v>42</v>
      </c>
      <c r="G691">
        <v>-281.44540000000001</v>
      </c>
      <c r="H691">
        <v>-0.05</v>
      </c>
      <c r="I691">
        <v>365.15949999999998</v>
      </c>
      <c r="J691">
        <v>-312.2704</v>
      </c>
      <c r="K691">
        <v>1.0691389999999901</v>
      </c>
      <c r="L691">
        <v>367.23829999999998</v>
      </c>
      <c r="M691">
        <v>0.99983670000000002</v>
      </c>
      <c r="N691">
        <v>0</v>
      </c>
      <c r="O691">
        <v>4.9199990000000004E-3</v>
      </c>
      <c r="P691">
        <v>0.98909329999999995</v>
      </c>
      <c r="Q691">
        <v>0.1472695</v>
      </c>
      <c r="R691">
        <v>-2.4831649999999999E-3</v>
      </c>
      <c r="S691">
        <v>3.0487669999999998</v>
      </c>
      <c r="T691">
        <v>-0.1100795</v>
      </c>
      <c r="U691">
        <v>-0.20422360000000001</v>
      </c>
      <c r="V691">
        <v>7.3494679999999996E-3</v>
      </c>
      <c r="W691">
        <v>0.16444729999999999</v>
      </c>
      <c r="X691">
        <v>0.98635850000000003</v>
      </c>
      <c r="Y691">
        <v>7.1695079999999994E-2</v>
      </c>
      <c r="Z691">
        <v>-1.469871E-3</v>
      </c>
      <c r="AA691">
        <v>0.99742549999999996</v>
      </c>
      <c r="AB691">
        <v>39</v>
      </c>
      <c r="AC691">
        <v>30.8249999999999</v>
      </c>
      <c r="AD691">
        <v>-1.1191390000000001</v>
      </c>
      <c r="AE691">
        <v>-2.0788000000000002</v>
      </c>
      <c r="AF691">
        <v>2.2275338243724399</v>
      </c>
      <c r="AG691">
        <v>-1.1191390000000001</v>
      </c>
      <c r="AH691">
        <v>30.774016719761399</v>
      </c>
      <c r="AI691">
        <v>92.077291207045604</v>
      </c>
      <c r="AJ691">
        <v>85.859946127904195</v>
      </c>
      <c r="AK691">
        <v>30.874819580172499</v>
      </c>
      <c r="AL691">
        <v>80.534871578330197</v>
      </c>
      <c r="AM691">
        <v>89.573090610139303</v>
      </c>
      <c r="AN691">
        <v>1.0000000098397099</v>
      </c>
    </row>
    <row r="692" spans="1:40" x14ac:dyDescent="0.25">
      <c r="A692" t="str">
        <f>"20190312172343894"</f>
        <v>20190312172343894</v>
      </c>
      <c r="B692" t="str">
        <f>"1552382623890531"</f>
        <v>1552382623890531</v>
      </c>
      <c r="C692" t="s">
        <v>40</v>
      </c>
      <c r="D692">
        <v>3.6800790000000001</v>
      </c>
      <c r="E692">
        <v>0.51927349999999906</v>
      </c>
      <c r="F692" t="s">
        <v>42</v>
      </c>
      <c r="G692">
        <v>-280.8947</v>
      </c>
      <c r="H692">
        <v>-0.05</v>
      </c>
      <c r="I692">
        <v>365.303</v>
      </c>
      <c r="J692">
        <v>-312.06229999999999</v>
      </c>
      <c r="K692">
        <v>1.0683750000000001</v>
      </c>
      <c r="L692">
        <v>367.23930000000001</v>
      </c>
      <c r="M692">
        <v>0.99984139999999999</v>
      </c>
      <c r="N692">
        <v>0</v>
      </c>
      <c r="O692">
        <v>4.9291140000000001E-3</v>
      </c>
      <c r="P692">
        <v>0.98910609999999999</v>
      </c>
      <c r="Q692">
        <v>0.1471874</v>
      </c>
      <c r="R692">
        <v>-2.255464E-3</v>
      </c>
      <c r="S692">
        <v>3.0487980000000001</v>
      </c>
      <c r="T692">
        <v>-0.1087475</v>
      </c>
      <c r="U692">
        <v>-0.1880493</v>
      </c>
      <c r="V692">
        <v>7.1310219999999999E-3</v>
      </c>
      <c r="W692">
        <v>0.16409409999999999</v>
      </c>
      <c r="X692">
        <v>0.98641889999999999</v>
      </c>
      <c r="Y692">
        <v>6.6437360000000001E-2</v>
      </c>
      <c r="Z692">
        <v>-1.359002E-3</v>
      </c>
      <c r="AA692">
        <v>0.9977897</v>
      </c>
      <c r="AB692">
        <v>39</v>
      </c>
      <c r="AC692">
        <v>31.1676</v>
      </c>
      <c r="AD692">
        <v>-1.1183749999999999</v>
      </c>
      <c r="AE692">
        <v>-1.9362999999999599</v>
      </c>
      <c r="AF692">
        <v>2.0872504943452701</v>
      </c>
      <c r="AG692">
        <v>-1.1183749999999999</v>
      </c>
      <c r="AH692">
        <v>31.1177636094544</v>
      </c>
      <c r="AI692">
        <v>92.053718259175497</v>
      </c>
      <c r="AJ692">
        <v>86.162584967546195</v>
      </c>
      <c r="AK692">
        <v>31.207732844932099</v>
      </c>
      <c r="AL692">
        <v>80.555386915418197</v>
      </c>
      <c r="AM692">
        <v>89.585804421597899</v>
      </c>
      <c r="AN692">
        <v>0.99999998570339199</v>
      </c>
    </row>
    <row r="693" spans="1:40" x14ac:dyDescent="0.25">
      <c r="A693" t="str">
        <f>"20190312172343906"</f>
        <v>20190312172343906</v>
      </c>
      <c r="B693" t="str">
        <f>"1552382623900290"</f>
        <v>1552382623900290</v>
      </c>
      <c r="C693" t="s">
        <v>40</v>
      </c>
      <c r="D693">
        <v>3.6843629999999998</v>
      </c>
      <c r="E693">
        <v>0.51838799999999996</v>
      </c>
      <c r="F693" t="s">
        <v>42</v>
      </c>
      <c r="G693">
        <v>-279.93450000000001</v>
      </c>
      <c r="H693">
        <v>-0.05</v>
      </c>
      <c r="I693">
        <v>365.49669999999998</v>
      </c>
      <c r="J693">
        <v>-311.85849999999999</v>
      </c>
      <c r="K693">
        <v>1.0676620000000001</v>
      </c>
      <c r="L693">
        <v>367.24029999999999</v>
      </c>
      <c r="M693">
        <v>0.99984589999999995</v>
      </c>
      <c r="N693">
        <v>0</v>
      </c>
      <c r="O693">
        <v>4.9379130000000004E-3</v>
      </c>
      <c r="P693">
        <v>0.98903439999999998</v>
      </c>
      <c r="Q693">
        <v>0.1476711</v>
      </c>
      <c r="R693">
        <v>-2.0944399999999999E-3</v>
      </c>
      <c r="S693">
        <v>3.0484619999999998</v>
      </c>
      <c r="T693">
        <v>-0.1061177</v>
      </c>
      <c r="U693">
        <v>-0.1653442</v>
      </c>
      <c r="V693">
        <v>6.9781349999999999E-3</v>
      </c>
      <c r="W693">
        <v>0.16431660000000001</v>
      </c>
      <c r="X693">
        <v>0.98638300000000001</v>
      </c>
      <c r="Y693">
        <v>5.9051029999999997E-2</v>
      </c>
      <c r="Z693">
        <v>-1.1984669999999999E-3</v>
      </c>
      <c r="AA693">
        <v>0.99825419999999998</v>
      </c>
      <c r="AB693">
        <v>39</v>
      </c>
      <c r="AC693">
        <v>31.9239999999999</v>
      </c>
      <c r="AD693">
        <v>-1.1176619999999999</v>
      </c>
      <c r="AE693">
        <v>-1.74360000000001</v>
      </c>
      <c r="AF693">
        <v>1.89891845081015</v>
      </c>
      <c r="AG693">
        <v>-1.1176619999999999</v>
      </c>
      <c r="AH693">
        <v>31.8760452567832</v>
      </c>
      <c r="AI693">
        <v>92.004574406127801</v>
      </c>
      <c r="AJ693">
        <v>86.590807249566197</v>
      </c>
      <c r="AK693">
        <v>31.952109802664999</v>
      </c>
      <c r="AL693">
        <v>80.542463612532103</v>
      </c>
      <c r="AM693">
        <v>89.594669601427995</v>
      </c>
      <c r="AN693">
        <v>1.00000003104631</v>
      </c>
    </row>
    <row r="694" spans="1:40" x14ac:dyDescent="0.25">
      <c r="A694" t="str">
        <f>"20190312172343926"</f>
        <v>20190312172343926</v>
      </c>
      <c r="B694" t="str">
        <f>"1552382623920786"</f>
        <v>1552382623920786</v>
      </c>
      <c r="C694" t="s">
        <v>40</v>
      </c>
      <c r="D694">
        <v>3.6631070000000001</v>
      </c>
      <c r="E694">
        <v>0.51703009999999905</v>
      </c>
      <c r="F694" t="s">
        <v>42</v>
      </c>
      <c r="G694">
        <v>-278.86439999999999</v>
      </c>
      <c r="H694">
        <v>-0.05</v>
      </c>
      <c r="I694">
        <v>365.53059999999999</v>
      </c>
      <c r="J694">
        <v>-311.49340000000001</v>
      </c>
      <c r="K694">
        <v>1.0665279999999999</v>
      </c>
      <c r="L694">
        <v>367.24209999999999</v>
      </c>
      <c r="M694">
        <v>0.9998532</v>
      </c>
      <c r="N694">
        <v>0</v>
      </c>
      <c r="O694">
        <v>4.9535480000000003E-3</v>
      </c>
      <c r="P694">
        <v>0.98897539999999995</v>
      </c>
      <c r="Q694">
        <v>0.1480658</v>
      </c>
      <c r="R694">
        <v>-2.1034949999999999E-3</v>
      </c>
      <c r="S694">
        <v>3.04834</v>
      </c>
      <c r="T694">
        <v>-0.10326109999999999</v>
      </c>
      <c r="U694">
        <v>-0.15795899999999999</v>
      </c>
      <c r="V694">
        <v>7.002454E-3</v>
      </c>
      <c r="W694">
        <v>0.164270899999999</v>
      </c>
      <c r="X694">
        <v>0.9863904</v>
      </c>
      <c r="Y694">
        <v>5.6660299999999997E-2</v>
      </c>
      <c r="Z694">
        <v>-1.126419E-3</v>
      </c>
      <c r="AA694">
        <v>0.99839290000000003</v>
      </c>
      <c r="AB694">
        <v>39</v>
      </c>
      <c r="AC694">
        <v>32.628999999999998</v>
      </c>
      <c r="AD694">
        <v>-1.116528</v>
      </c>
      <c r="AE694">
        <v>-1.7115</v>
      </c>
      <c r="AF694">
        <v>1.8709453217235901</v>
      </c>
      <c r="AG694">
        <v>-1.116528</v>
      </c>
      <c r="AH694">
        <v>32.582073716575799</v>
      </c>
      <c r="AI694">
        <v>91.959428150980798</v>
      </c>
      <c r="AJ694">
        <v>86.713540031436196</v>
      </c>
      <c r="AK694">
        <v>32.654840358575399</v>
      </c>
      <c r="AL694">
        <v>80.545117728392299</v>
      </c>
      <c r="AM694">
        <v>89.5932601120995</v>
      </c>
      <c r="AN694">
        <v>0.99999999208049595</v>
      </c>
    </row>
    <row r="695" spans="1:40" x14ac:dyDescent="0.25">
      <c r="A695" t="str">
        <f>"20190312172343938"</f>
        <v>20190312172343938</v>
      </c>
      <c r="B695" t="str">
        <f>"1552382623930546"</f>
        <v>1552382623930546</v>
      </c>
      <c r="C695" t="s">
        <v>40</v>
      </c>
      <c r="D695">
        <v>3.6708560000000001</v>
      </c>
      <c r="E695">
        <v>0.51652559999999903</v>
      </c>
      <c r="F695" t="s">
        <v>43</v>
      </c>
      <c r="G695">
        <v>-279.19799999999998</v>
      </c>
      <c r="H695" s="1">
        <v>-1.3057299999999901E-6</v>
      </c>
      <c r="I695">
        <v>365.6823</v>
      </c>
      <c r="J695">
        <v>-311.28230000000002</v>
      </c>
      <c r="K695">
        <v>1.0659350000000001</v>
      </c>
      <c r="L695">
        <v>367.2432</v>
      </c>
      <c r="M695">
        <v>0.99985710000000005</v>
      </c>
      <c r="N695">
        <v>0</v>
      </c>
      <c r="O695">
        <v>4.9626180000000002E-3</v>
      </c>
      <c r="P695">
        <v>0.98894190000000004</v>
      </c>
      <c r="Q695">
        <v>0.14829139999999999</v>
      </c>
      <c r="R695">
        <v>-1.9893110000000001E-3</v>
      </c>
      <c r="S695">
        <v>3.0481569999999998</v>
      </c>
      <c r="T695">
        <v>-0.10066269999999999</v>
      </c>
      <c r="U695">
        <v>-0.14721679999999901</v>
      </c>
      <c r="V695">
        <v>6.8970430000000003E-3</v>
      </c>
      <c r="W695">
        <v>0.16425729999999999</v>
      </c>
      <c r="X695">
        <v>0.98639339999999998</v>
      </c>
      <c r="Y695">
        <v>5.3166039999999998E-2</v>
      </c>
      <c r="Z695">
        <v>-1.0409029999999999E-3</v>
      </c>
      <c r="AA695">
        <v>0.99858519999999995</v>
      </c>
      <c r="AB695">
        <v>39</v>
      </c>
      <c r="AC695">
        <v>32.084299999999999</v>
      </c>
      <c r="AD695">
        <v>-1.06593630573</v>
      </c>
      <c r="AE695">
        <v>-1.5609</v>
      </c>
      <c r="AF695">
        <v>1.71823164452317</v>
      </c>
      <c r="AG695">
        <v>-1.06593630573</v>
      </c>
      <c r="AH695">
        <v>32.040875501141898</v>
      </c>
      <c r="AI695">
        <v>91.902682212454494</v>
      </c>
      <c r="AJ695">
        <v>86.930383093787199</v>
      </c>
      <c r="AK695">
        <v>32.104614046454302</v>
      </c>
      <c r="AL695">
        <v>80.545907610845305</v>
      </c>
      <c r="AM695">
        <v>89.599383962676598</v>
      </c>
      <c r="AN695">
        <v>0.99999998468449602</v>
      </c>
    </row>
    <row r="696" spans="1:40" x14ac:dyDescent="0.25">
      <c r="A696" t="str">
        <f>"20190312172343960"</f>
        <v>20190312172343960</v>
      </c>
      <c r="B696" t="str">
        <f>"1552382623951042"</f>
        <v>1552382623951042</v>
      </c>
      <c r="C696" t="s">
        <v>40</v>
      </c>
      <c r="D696">
        <v>3.6896650000000002</v>
      </c>
      <c r="E696">
        <v>0.51569299999999996</v>
      </c>
      <c r="F696" t="s">
        <v>43</v>
      </c>
      <c r="G696">
        <v>-278.79930000000002</v>
      </c>
      <c r="H696" s="1">
        <v>-1.4303899999999901E-6</v>
      </c>
      <c r="I696">
        <v>365.72379999999998</v>
      </c>
      <c r="J696">
        <v>-310.90460000000002</v>
      </c>
      <c r="K696">
        <v>1.065005</v>
      </c>
      <c r="L696">
        <v>367.245</v>
      </c>
      <c r="M696">
        <v>0.99986339999999996</v>
      </c>
      <c r="N696">
        <v>0</v>
      </c>
      <c r="O696">
        <v>4.9779350000000002E-3</v>
      </c>
      <c r="P696">
        <v>0.98891569999999995</v>
      </c>
      <c r="Q696">
        <v>0.14846679999999901</v>
      </c>
      <c r="R696">
        <v>-1.876689E-3</v>
      </c>
      <c r="S696">
        <v>3.048279</v>
      </c>
      <c r="T696">
        <v>-0.1000293</v>
      </c>
      <c r="U696">
        <v>-0.14257810000000001</v>
      </c>
      <c r="V696">
        <v>6.7993769999999997E-3</v>
      </c>
      <c r="W696">
        <v>0.16403860000000001</v>
      </c>
      <c r="X696">
        <v>0.98643049999999999</v>
      </c>
      <c r="Y696">
        <v>5.1664359999999999E-2</v>
      </c>
      <c r="Z696">
        <v>-1.010235E-3</v>
      </c>
      <c r="AA696">
        <v>0.998664</v>
      </c>
      <c r="AB696">
        <v>39</v>
      </c>
      <c r="AC696">
        <v>32.1053</v>
      </c>
      <c r="AD696">
        <v>-1.06500643039</v>
      </c>
      <c r="AE696">
        <v>-1.5212000000000201</v>
      </c>
      <c r="AF696">
        <v>1.6791754699627801</v>
      </c>
      <c r="AG696">
        <v>-1.06500643039</v>
      </c>
      <c r="AH696">
        <v>32.062126572966797</v>
      </c>
      <c r="AI696">
        <v>91.899890310612605</v>
      </c>
      <c r="AJ696">
        <v>87.002012709499695</v>
      </c>
      <c r="AK696">
        <v>32.123726890518803</v>
      </c>
      <c r="AL696">
        <v>80.558610769232899</v>
      </c>
      <c r="AM696">
        <v>89.605071583119297</v>
      </c>
      <c r="AN696">
        <v>1.0000000125738899</v>
      </c>
    </row>
    <row r="697" spans="1:40" x14ac:dyDescent="0.25">
      <c r="A697" t="str">
        <f>"20190312172343983"</f>
        <v>20190312172343983</v>
      </c>
      <c r="B697" t="str">
        <f>"1552382623970562"</f>
        <v>1552382623970562</v>
      </c>
      <c r="C697" t="s">
        <v>40</v>
      </c>
      <c r="D697">
        <v>3.6488079999999998</v>
      </c>
      <c r="E697">
        <v>0.51503080000000001</v>
      </c>
      <c r="F697" t="s">
        <v>43</v>
      </c>
      <c r="G697">
        <v>-278.24919999999997</v>
      </c>
      <c r="H697" s="1">
        <v>-1.5990460000000001E-6</v>
      </c>
      <c r="I697">
        <v>365.79340000000002</v>
      </c>
      <c r="J697">
        <v>-310.51909999999998</v>
      </c>
      <c r="K697">
        <v>1.0641940000000001</v>
      </c>
      <c r="L697">
        <v>367.24700000000001</v>
      </c>
      <c r="M697">
        <v>0.99986900000000001</v>
      </c>
      <c r="N697">
        <v>0</v>
      </c>
      <c r="O697">
        <v>4.9939340000000002E-3</v>
      </c>
      <c r="P697">
        <v>0.98886759999999996</v>
      </c>
      <c r="Q697">
        <v>0.1487861</v>
      </c>
      <c r="R697">
        <v>-1.8336489999999999E-3</v>
      </c>
      <c r="S697">
        <v>3.048279</v>
      </c>
      <c r="T697">
        <v>-9.9414589999999997E-2</v>
      </c>
      <c r="U697">
        <v>-0.13549800000000001</v>
      </c>
      <c r="V697">
        <v>6.7718500000000003E-3</v>
      </c>
      <c r="W697">
        <v>0.1639939</v>
      </c>
      <c r="X697">
        <v>0.98643809999999998</v>
      </c>
      <c r="Y697">
        <v>4.9367029999999999E-2</v>
      </c>
      <c r="Z697">
        <v>-9.6717009999999998E-4</v>
      </c>
      <c r="AA697">
        <v>0.99878029999999995</v>
      </c>
      <c r="AB697">
        <v>39</v>
      </c>
      <c r="AC697">
        <v>32.2699</v>
      </c>
      <c r="AD697">
        <v>-1.0641955990459999</v>
      </c>
      <c r="AE697">
        <v>-1.4535999999999301</v>
      </c>
      <c r="AF697">
        <v>1.6130040599692199</v>
      </c>
      <c r="AG697">
        <v>-1.0641955990459999</v>
      </c>
      <c r="AH697">
        <v>32.227259804290199</v>
      </c>
      <c r="AI697">
        <v>91.888948118712094</v>
      </c>
      <c r="AJ697">
        <v>87.134684453451797</v>
      </c>
      <c r="AK697">
        <v>32.285144708731401</v>
      </c>
      <c r="AL697">
        <v>80.561206846361202</v>
      </c>
      <c r="AM697">
        <v>89.606673414654196</v>
      </c>
      <c r="AN697">
        <v>0.99999999116062099</v>
      </c>
    </row>
    <row r="698" spans="1:40" x14ac:dyDescent="0.25">
      <c r="A698" t="str">
        <f>"20190312172343995"</f>
        <v>20190312172343995</v>
      </c>
      <c r="B698" t="str">
        <f>"1552382623991058"</f>
        <v>1552382623991058</v>
      </c>
      <c r="C698" t="s">
        <v>40</v>
      </c>
      <c r="D698">
        <v>3.681508</v>
      </c>
      <c r="E698">
        <v>0.5145284</v>
      </c>
      <c r="F698" t="s">
        <v>43</v>
      </c>
      <c r="G698">
        <v>-277.57749999999999</v>
      </c>
      <c r="H698" s="1">
        <v>-1.816165E-6</v>
      </c>
      <c r="I698">
        <v>365.8365</v>
      </c>
      <c r="J698">
        <v>-310.27999999999997</v>
      </c>
      <c r="K698">
        <v>1.063763</v>
      </c>
      <c r="L698">
        <v>367.2482</v>
      </c>
      <c r="M698">
        <v>0.99987219999999999</v>
      </c>
      <c r="N698">
        <v>0</v>
      </c>
      <c r="O698">
        <v>5.0037550000000004E-3</v>
      </c>
      <c r="P698">
        <v>0.98884830000000001</v>
      </c>
      <c r="Q698">
        <v>0.14891499999999999</v>
      </c>
      <c r="R698">
        <v>-1.848583E-3</v>
      </c>
      <c r="S698">
        <v>3.0483699999999998</v>
      </c>
      <c r="T698">
        <v>-9.8479029999999995E-2</v>
      </c>
      <c r="U698">
        <v>-0.13052369999999999</v>
      </c>
      <c r="V698">
        <v>6.7963169999999996E-3</v>
      </c>
      <c r="W698">
        <v>0.16391720000000001</v>
      </c>
      <c r="X698">
        <v>0.98645070000000001</v>
      </c>
      <c r="Y698">
        <v>4.7750069999999999E-2</v>
      </c>
      <c r="Z698">
        <v>-9.3229550000000004E-4</v>
      </c>
      <c r="AA698">
        <v>0.99885889999999999</v>
      </c>
      <c r="AB698">
        <v>39</v>
      </c>
      <c r="AC698">
        <v>32.702499999999901</v>
      </c>
      <c r="AD698">
        <v>-1.063764816165</v>
      </c>
      <c r="AE698">
        <v>-1.41169999999999</v>
      </c>
      <c r="AF698">
        <v>1.5736744690586699</v>
      </c>
      <c r="AG698">
        <v>-1.063764816165</v>
      </c>
      <c r="AH698">
        <v>32.660531853589397</v>
      </c>
      <c r="AI698">
        <v>91.863323740026203</v>
      </c>
      <c r="AJ698">
        <v>87.241464778201802</v>
      </c>
      <c r="AK698">
        <v>32.715720806334097</v>
      </c>
      <c r="AL698">
        <v>80.5656619056751</v>
      </c>
      <c r="AM698">
        <v>89.6052573947985</v>
      </c>
      <c r="AN698">
        <v>1.00000001095554</v>
      </c>
    </row>
    <row r="699" spans="1:40" x14ac:dyDescent="0.25">
      <c r="A699" t="str">
        <f>"20190312172344015"</f>
        <v>20190312172344015</v>
      </c>
      <c r="B699" t="str">
        <f>"1552382624010578"</f>
        <v>1552382624010578</v>
      </c>
      <c r="C699" t="s">
        <v>40</v>
      </c>
      <c r="D699">
        <v>3.6574450000000001</v>
      </c>
      <c r="E699">
        <v>0.51421640000000002</v>
      </c>
      <c r="F699" t="s">
        <v>43</v>
      </c>
      <c r="G699">
        <v>-277.27280000000002</v>
      </c>
      <c r="H699" s="1">
        <v>-1.909043E-6</v>
      </c>
      <c r="I699">
        <v>365.87720000000002</v>
      </c>
      <c r="J699">
        <v>-309.94839999999999</v>
      </c>
      <c r="K699">
        <v>1.0632250000000001</v>
      </c>
      <c r="L699">
        <v>367.24990000000003</v>
      </c>
      <c r="M699">
        <v>0.99987610000000005</v>
      </c>
      <c r="N699">
        <v>0</v>
      </c>
      <c r="O699">
        <v>5.0174130000000001E-3</v>
      </c>
      <c r="P699">
        <v>0.98880800000000002</v>
      </c>
      <c r="Q699">
        <v>0.1491827</v>
      </c>
      <c r="R699">
        <v>-1.888729E-3</v>
      </c>
      <c r="S699">
        <v>3.0484010000000001</v>
      </c>
      <c r="T699">
        <v>-9.8244429999999994E-2</v>
      </c>
      <c r="U699">
        <v>-0.12661739999999999</v>
      </c>
      <c r="V699">
        <v>6.8496360000000001E-3</v>
      </c>
      <c r="W699">
        <v>0.1639186</v>
      </c>
      <c r="X699">
        <v>0.9864501</v>
      </c>
      <c r="Y699">
        <v>4.6486340000000001E-2</v>
      </c>
      <c r="Z699">
        <v>-9.1018049999999997E-4</v>
      </c>
      <c r="AA699">
        <v>0.99891850000000004</v>
      </c>
      <c r="AB699">
        <v>39</v>
      </c>
      <c r="AC699">
        <v>32.675599999999903</v>
      </c>
      <c r="AD699">
        <v>-1.063226909043</v>
      </c>
      <c r="AE699">
        <v>-1.3727</v>
      </c>
      <c r="AF699">
        <v>1.5350255614227699</v>
      </c>
      <c r="AG699">
        <v>-1.063226909043</v>
      </c>
      <c r="AH699">
        <v>32.633809363535498</v>
      </c>
      <c r="AI699">
        <v>91.864007440213996</v>
      </c>
      <c r="AJ699">
        <v>87.306912417884405</v>
      </c>
      <c r="AK699">
        <v>32.6871881401553</v>
      </c>
      <c r="AL699">
        <v>80.565580605146593</v>
      </c>
      <c r="AM699">
        <v>89.602160386281795</v>
      </c>
      <c r="AN699">
        <v>1.00000001236465</v>
      </c>
    </row>
    <row r="700" spans="1:40" x14ac:dyDescent="0.25">
      <c r="A700" t="str">
        <f>"20190312172344026"</f>
        <v>20190312172344026</v>
      </c>
      <c r="B700" t="str">
        <f>"1552382624020338"</f>
        <v>1552382624020338</v>
      </c>
      <c r="C700" t="s">
        <v>40</v>
      </c>
      <c r="D700">
        <v>3.694944</v>
      </c>
      <c r="E700">
        <v>0.51409970000000005</v>
      </c>
      <c r="F700" t="s">
        <v>43</v>
      </c>
      <c r="G700">
        <v>-276.56360000000001</v>
      </c>
      <c r="H700" s="1">
        <v>-2.1478870000000001E-6</v>
      </c>
      <c r="I700">
        <v>365.88659999999999</v>
      </c>
      <c r="J700">
        <v>-309.7543</v>
      </c>
      <c r="K700">
        <v>1.0629390000000001</v>
      </c>
      <c r="L700">
        <v>367.2509</v>
      </c>
      <c r="M700">
        <v>0.9998783</v>
      </c>
      <c r="N700">
        <v>0</v>
      </c>
      <c r="O700">
        <v>5.0252439999999999E-3</v>
      </c>
      <c r="P700">
        <v>0.98876200000000003</v>
      </c>
      <c r="Q700">
        <v>0.1494866</v>
      </c>
      <c r="R700">
        <v>-1.8774740000000001E-3</v>
      </c>
      <c r="S700">
        <v>3.0484010000000001</v>
      </c>
      <c r="T700">
        <v>-9.7084050000000005E-2</v>
      </c>
      <c r="U700">
        <v>-0.1244812</v>
      </c>
      <c r="V700">
        <v>6.8459030000000004E-3</v>
      </c>
      <c r="W700">
        <v>0.16407669999999999</v>
      </c>
      <c r="X700">
        <v>0.98642390000000002</v>
      </c>
      <c r="Y700">
        <v>4.5796290000000003E-2</v>
      </c>
      <c r="Z700">
        <v>-8.8871649999999996E-4</v>
      </c>
      <c r="AA700">
        <v>0.99895040000000002</v>
      </c>
      <c r="AB700">
        <v>39</v>
      </c>
      <c r="AC700">
        <v>33.1906999999999</v>
      </c>
      <c r="AD700">
        <v>-1.0629411478869999</v>
      </c>
      <c r="AE700">
        <v>-1.3643000000000101</v>
      </c>
      <c r="AF700">
        <v>1.5295262664678599</v>
      </c>
      <c r="AG700">
        <v>-1.0629411478869999</v>
      </c>
      <c r="AH700">
        <v>33.149482776980797</v>
      </c>
      <c r="AI700">
        <v>91.834614559934707</v>
      </c>
      <c r="AJ700">
        <v>87.358230597494597</v>
      </c>
      <c r="AK700">
        <v>33.2017695743018</v>
      </c>
      <c r="AL700">
        <v>80.556398365212601</v>
      </c>
      <c r="AM700">
        <v>89.602366638152901</v>
      </c>
      <c r="AN700">
        <v>1.0000000701809899</v>
      </c>
    </row>
    <row r="701" spans="1:40" x14ac:dyDescent="0.25">
      <c r="A701" t="str">
        <f>"20190312172344036"</f>
        <v>20190312172344036</v>
      </c>
      <c r="B701" t="str">
        <f>"1552382624031075"</f>
        <v>1552382624031075</v>
      </c>
      <c r="C701" t="s">
        <v>40</v>
      </c>
      <c r="D701">
        <v>3.660911</v>
      </c>
      <c r="E701">
        <v>0.51398100000000002</v>
      </c>
      <c r="F701" t="s">
        <v>43</v>
      </c>
      <c r="G701">
        <v>-276.17759999999998</v>
      </c>
      <c r="H701" s="1">
        <v>-2.2824590000000001E-6</v>
      </c>
      <c r="I701">
        <v>365.89350000000002</v>
      </c>
      <c r="J701">
        <v>-309.55610000000001</v>
      </c>
      <c r="K701">
        <v>1.062673</v>
      </c>
      <c r="L701">
        <v>367.25189999999998</v>
      </c>
      <c r="M701">
        <v>0.99988030000000006</v>
      </c>
      <c r="N701">
        <v>0</v>
      </c>
      <c r="O701">
        <v>5.0333259999999899E-3</v>
      </c>
      <c r="P701">
        <v>0.98873880000000003</v>
      </c>
      <c r="Q701">
        <v>0.14964149999999901</v>
      </c>
      <c r="R701">
        <v>-1.7343320000000001E-3</v>
      </c>
      <c r="S701">
        <v>3.048492</v>
      </c>
      <c r="T701">
        <v>-9.6506359999999999E-2</v>
      </c>
      <c r="U701">
        <v>-0.12323000000000001</v>
      </c>
      <c r="V701">
        <v>6.7105899999999998E-3</v>
      </c>
      <c r="W701">
        <v>0.164091299999999</v>
      </c>
      <c r="X701">
        <v>0.98642240000000003</v>
      </c>
      <c r="Y701">
        <v>4.5394289999999997E-2</v>
      </c>
      <c r="Z701">
        <v>-8.7730839999999996E-4</v>
      </c>
      <c r="AA701">
        <v>0.99896879999999999</v>
      </c>
      <c r="AB701">
        <v>39</v>
      </c>
      <c r="AC701">
        <v>33.378500000000003</v>
      </c>
      <c r="AD701">
        <v>-1.062675282459</v>
      </c>
      <c r="AE701">
        <v>-1.3583999999999601</v>
      </c>
      <c r="AF701">
        <v>1.52486259634298</v>
      </c>
      <c r="AG701">
        <v>-1.062675282459</v>
      </c>
      <c r="AH701">
        <v>33.337504000463198</v>
      </c>
      <c r="AI701">
        <v>91.823851919793199</v>
      </c>
      <c r="AJ701">
        <v>87.381107535405505</v>
      </c>
      <c r="AK701">
        <v>33.3892745904216</v>
      </c>
      <c r="AL701">
        <v>80.555550341879496</v>
      </c>
      <c r="AM701">
        <v>89.610225240422807</v>
      </c>
      <c r="AN701">
        <v>1.0000000689877899</v>
      </c>
    </row>
    <row r="702" spans="1:40" x14ac:dyDescent="0.25">
      <c r="A702" t="str">
        <f>"20190312172344049"</f>
        <v>20190312172344049</v>
      </c>
      <c r="B702" t="str">
        <f>"1552382624040835"</f>
        <v>1552382624040835</v>
      </c>
      <c r="C702" t="s">
        <v>40</v>
      </c>
      <c r="D702">
        <v>3.6714959999999999</v>
      </c>
      <c r="E702">
        <v>0.51385740000000002</v>
      </c>
      <c r="F702" t="s">
        <v>43</v>
      </c>
      <c r="G702">
        <v>-275.77929999999998</v>
      </c>
      <c r="H702" s="1">
        <v>-2.4516189999999998E-6</v>
      </c>
      <c r="I702">
        <v>365.9033</v>
      </c>
      <c r="J702">
        <v>-309.35879999999997</v>
      </c>
      <c r="K702">
        <v>1.062433</v>
      </c>
      <c r="L702">
        <v>367.25290000000001</v>
      </c>
      <c r="M702">
        <v>0.99988220000000005</v>
      </c>
      <c r="N702">
        <v>0</v>
      </c>
      <c r="O702">
        <v>5.0413849999999998E-3</v>
      </c>
      <c r="P702">
        <v>0.98873390000000005</v>
      </c>
      <c r="Q702">
        <v>0.14967520000000001</v>
      </c>
      <c r="R702">
        <v>-1.5299529999999999E-3</v>
      </c>
      <c r="S702">
        <v>3.0484619999999998</v>
      </c>
      <c r="T702">
        <v>-9.5909359999999999E-2</v>
      </c>
      <c r="U702">
        <v>-0.1217041</v>
      </c>
      <c r="V702">
        <v>6.5142459999999996E-3</v>
      </c>
      <c r="W702">
        <v>0.1639948</v>
      </c>
      <c r="X702">
        <v>0.98643970000000003</v>
      </c>
      <c r="Y702">
        <v>4.4904060000000003E-2</v>
      </c>
      <c r="Z702">
        <v>-8.6444789999999896E-4</v>
      </c>
      <c r="AA702">
        <v>0.99899099999999996</v>
      </c>
      <c r="AB702">
        <v>39</v>
      </c>
      <c r="AC702">
        <v>33.579500000000003</v>
      </c>
      <c r="AD702">
        <v>-1.062435451619</v>
      </c>
      <c r="AE702">
        <v>-1.3495999999999999</v>
      </c>
      <c r="AF702">
        <v>1.51737130789528</v>
      </c>
      <c r="AG702">
        <v>-1.062435451619</v>
      </c>
      <c r="AH702">
        <v>33.5387487310539</v>
      </c>
      <c r="AI702">
        <v>91.812547526387704</v>
      </c>
      <c r="AJ702">
        <v>87.409571603955797</v>
      </c>
      <c r="AK702">
        <v>33.589862328084202</v>
      </c>
      <c r="AL702">
        <v>80.561154711708497</v>
      </c>
      <c r="AM702">
        <v>89.621635892199293</v>
      </c>
      <c r="AN702">
        <v>1.00000000578203</v>
      </c>
    </row>
    <row r="703" spans="1:40" x14ac:dyDescent="0.25">
      <c r="A703" t="str">
        <f>"20190312172344060"</f>
        <v>20190312172344060</v>
      </c>
      <c r="B703" t="str">
        <f>"1552382624050594"</f>
        <v>1552382624050594</v>
      </c>
      <c r="C703" t="s">
        <v>40</v>
      </c>
      <c r="D703">
        <v>3.6729340000000001</v>
      </c>
      <c r="E703">
        <v>0.51375389999999999</v>
      </c>
      <c r="F703" t="s">
        <v>43</v>
      </c>
      <c r="G703">
        <v>-275.64479999999998</v>
      </c>
      <c r="H703" s="1">
        <v>-2.505863E-6</v>
      </c>
      <c r="I703">
        <v>365.9228</v>
      </c>
      <c r="J703">
        <v>-309.14710000000002</v>
      </c>
      <c r="K703">
        <v>1.062189</v>
      </c>
      <c r="L703">
        <v>367.25389999999999</v>
      </c>
      <c r="M703">
        <v>0.99988410000000005</v>
      </c>
      <c r="N703">
        <v>0</v>
      </c>
      <c r="O703">
        <v>5.0502419999999999E-3</v>
      </c>
      <c r="P703">
        <v>0.98874209999999996</v>
      </c>
      <c r="Q703">
        <v>0.14962420000000001</v>
      </c>
      <c r="R703">
        <v>-1.3347750000000001E-3</v>
      </c>
      <c r="S703">
        <v>3.0485530000000001</v>
      </c>
      <c r="T703">
        <v>-9.6069459999999995E-2</v>
      </c>
      <c r="U703">
        <v>-0.1202698</v>
      </c>
      <c r="V703">
        <v>6.3277319999999904E-3</v>
      </c>
      <c r="W703">
        <v>0.1638095</v>
      </c>
      <c r="X703">
        <v>0.98647169999999895</v>
      </c>
      <c r="Y703">
        <v>4.4442570000000001E-2</v>
      </c>
      <c r="Z703">
        <v>-8.5888390000000005E-4</v>
      </c>
      <c r="AA703">
        <v>0.9990116</v>
      </c>
      <c r="AB703">
        <v>39</v>
      </c>
      <c r="AC703">
        <v>33.502299999999998</v>
      </c>
      <c r="AD703">
        <v>-1.062191505863</v>
      </c>
      <c r="AE703">
        <v>-1.33109999999999</v>
      </c>
      <c r="AF703">
        <v>1.4987909739871701</v>
      </c>
      <c r="AG703">
        <v>-1.062191505863</v>
      </c>
      <c r="AH703">
        <v>33.461566744658597</v>
      </c>
      <c r="AI703">
        <v>91.816345436456601</v>
      </c>
      <c r="AJ703">
        <v>87.435355081708494</v>
      </c>
      <c r="AK703">
        <v>33.511954198257001</v>
      </c>
      <c r="AL703">
        <v>80.571917144657405</v>
      </c>
      <c r="AM703">
        <v>89.632480723881997</v>
      </c>
      <c r="AN703">
        <v>1.0000000036917001</v>
      </c>
    </row>
    <row r="704" spans="1:40" x14ac:dyDescent="0.25">
      <c r="A704" t="str">
        <f>"20190312172344082"</f>
        <v>20190312172344082</v>
      </c>
      <c r="B704" t="str">
        <f>"1552382624070114"</f>
        <v>1552382624070114</v>
      </c>
      <c r="C704" t="s">
        <v>40</v>
      </c>
      <c r="D704">
        <v>3.6691699999999998</v>
      </c>
      <c r="E704">
        <v>0.51358210000000004</v>
      </c>
      <c r="F704" t="s">
        <v>43</v>
      </c>
      <c r="G704">
        <v>-275.48399999999998</v>
      </c>
      <c r="H704" s="1">
        <v>-2.5712250000000001E-6</v>
      </c>
      <c r="I704">
        <v>365.94299999999998</v>
      </c>
      <c r="J704">
        <v>-308.77960000000002</v>
      </c>
      <c r="K704">
        <v>1.0618270000000001</v>
      </c>
      <c r="L704">
        <v>367.25580000000002</v>
      </c>
      <c r="M704">
        <v>0.99988719999999998</v>
      </c>
      <c r="N704">
        <v>0</v>
      </c>
      <c r="O704">
        <v>5.0654180000000004E-3</v>
      </c>
      <c r="P704">
        <v>0.98868100000000003</v>
      </c>
      <c r="Q704">
        <v>0.15002679999999999</v>
      </c>
      <c r="R704">
        <v>-1.41457E-3</v>
      </c>
      <c r="S704">
        <v>3.0485530000000001</v>
      </c>
      <c r="T704">
        <v>-9.6192719999999995E-2</v>
      </c>
      <c r="U704">
        <v>-0.1187134</v>
      </c>
      <c r="V704">
        <v>6.4223240000000001E-3</v>
      </c>
      <c r="W704">
        <v>0.16399999999999901</v>
      </c>
      <c r="X704">
        <v>0.98643939999999997</v>
      </c>
      <c r="Y704">
        <v>4.3948630000000002E-2</v>
      </c>
      <c r="Z704">
        <v>-8.5268429999999895E-4</v>
      </c>
      <c r="AA704">
        <v>0.99903350000000002</v>
      </c>
      <c r="AB704">
        <v>39</v>
      </c>
      <c r="AC704">
        <v>33.295599999999901</v>
      </c>
      <c r="AD704">
        <v>-1.0618295712250001</v>
      </c>
      <c r="AE704">
        <v>-1.31279999999998</v>
      </c>
      <c r="AF704">
        <v>1.4799533198624399</v>
      </c>
      <c r="AG704">
        <v>-1.0618295712250001</v>
      </c>
      <c r="AH704">
        <v>33.254753455356997</v>
      </c>
      <c r="AI704">
        <v>91.827034850045294</v>
      </c>
      <c r="AJ704">
        <v>87.451817978605305</v>
      </c>
      <c r="AK704">
        <v>33.304599851129801</v>
      </c>
      <c r="AL704">
        <v>80.560852325110005</v>
      </c>
      <c r="AM704">
        <v>89.626974692221495</v>
      </c>
      <c r="AN704">
        <v>0.99999996805895996</v>
      </c>
    </row>
    <row r="705" spans="1:40" x14ac:dyDescent="0.25">
      <c r="A705" t="str">
        <f>"20190312172344092"</f>
        <v>20190312172344092</v>
      </c>
      <c r="B705" t="str">
        <f>"1552382624080850"</f>
        <v>1552382624080850</v>
      </c>
      <c r="C705" t="s">
        <v>40</v>
      </c>
      <c r="D705">
        <v>3.670385</v>
      </c>
      <c r="E705">
        <v>0.51352469999999995</v>
      </c>
      <c r="F705" t="s">
        <v>43</v>
      </c>
      <c r="G705">
        <v>-274.85340000000002</v>
      </c>
      <c r="H705" s="1">
        <v>-2.8405289999999999E-6</v>
      </c>
      <c r="I705">
        <v>365.95</v>
      </c>
      <c r="J705">
        <v>-308.58550000000002</v>
      </c>
      <c r="K705">
        <v>1.061663</v>
      </c>
      <c r="L705">
        <v>367.2568</v>
      </c>
      <c r="M705">
        <v>0.99988849999999996</v>
      </c>
      <c r="N705">
        <v>0</v>
      </c>
      <c r="O705">
        <v>5.0735260000000001E-3</v>
      </c>
      <c r="P705">
        <v>0.98868780000000001</v>
      </c>
      <c r="Q705">
        <v>0.14998110000000001</v>
      </c>
      <c r="R705">
        <v>-1.5276650000000001E-3</v>
      </c>
      <c r="S705">
        <v>3.0486149999999999</v>
      </c>
      <c r="T705">
        <v>-9.5416070000000006E-2</v>
      </c>
      <c r="U705">
        <v>-0.1173401</v>
      </c>
      <c r="V705">
        <v>6.5434669999999999E-3</v>
      </c>
      <c r="W705">
        <v>0.16385469999999999</v>
      </c>
      <c r="X705">
        <v>0.98646279999999997</v>
      </c>
      <c r="Y705">
        <v>4.3507200000000003E-2</v>
      </c>
      <c r="Z705">
        <v>-8.3914320000000005E-4</v>
      </c>
      <c r="AA705">
        <v>0.99905279999999996</v>
      </c>
      <c r="AB705">
        <v>39</v>
      </c>
      <c r="AC705">
        <v>33.732100000000003</v>
      </c>
      <c r="AD705">
        <v>-1.061665840529</v>
      </c>
      <c r="AE705">
        <v>-1.3068</v>
      </c>
      <c r="AF705">
        <v>1.4764803669531401</v>
      </c>
      <c r="AG705">
        <v>-1.061665840529</v>
      </c>
      <c r="AH705">
        <v>33.691710757732103</v>
      </c>
      <c r="AI705">
        <v>91.803131408956006</v>
      </c>
      <c r="AJ705">
        <v>87.490718072472205</v>
      </c>
      <c r="AK705">
        <v>33.740754324905502</v>
      </c>
      <c r="AL705">
        <v>80.569292037384599</v>
      </c>
      <c r="AM705">
        <v>89.619947610916697</v>
      </c>
      <c r="AN705">
        <v>1.0000000177281501</v>
      </c>
    </row>
    <row r="706" spans="1:40" x14ac:dyDescent="0.25">
      <c r="A706" t="str">
        <f>"20190312172344104"</f>
        <v>20190312172344104</v>
      </c>
      <c r="B706" t="str">
        <f>"1552382624100370"</f>
        <v>1552382624100370</v>
      </c>
      <c r="C706" t="s">
        <v>40</v>
      </c>
      <c r="D706">
        <v>3.6728589999999999</v>
      </c>
      <c r="E706">
        <v>0.51342019999999999</v>
      </c>
      <c r="F706" t="s">
        <v>43</v>
      </c>
      <c r="G706">
        <v>-274.8861</v>
      </c>
      <c r="H706" s="1">
        <v>-2.824745E-6</v>
      </c>
      <c r="I706">
        <v>365.96</v>
      </c>
      <c r="J706">
        <v>-308.39609999999999</v>
      </c>
      <c r="K706">
        <v>1.061512</v>
      </c>
      <c r="L706">
        <v>367.25779999999997</v>
      </c>
      <c r="M706">
        <v>0.9998899</v>
      </c>
      <c r="N706">
        <v>0</v>
      </c>
      <c r="O706">
        <v>5.0812380000000001E-3</v>
      </c>
      <c r="P706">
        <v>0.98870279999999999</v>
      </c>
      <c r="Q706">
        <v>0.14988379999999901</v>
      </c>
      <c r="R706">
        <v>-1.2590590000000001E-3</v>
      </c>
      <c r="S706">
        <v>3.048645</v>
      </c>
      <c r="T706">
        <v>-9.6044060000000001E-2</v>
      </c>
      <c r="U706">
        <v>-0.1173096</v>
      </c>
      <c r="V706">
        <v>6.2827079999999997E-3</v>
      </c>
      <c r="W706">
        <v>0.16366229999999901</v>
      </c>
      <c r="X706">
        <v>0.98649640000000005</v>
      </c>
      <c r="Y706">
        <v>4.35042E-2</v>
      </c>
      <c r="Z706">
        <v>-8.4485059999999995E-4</v>
      </c>
      <c r="AA706">
        <v>0.99905290000000002</v>
      </c>
      <c r="AB706">
        <v>39</v>
      </c>
      <c r="AC706">
        <v>33.509999999999899</v>
      </c>
      <c r="AD706">
        <v>-1.0615148247449999</v>
      </c>
      <c r="AE706">
        <v>-1.2977999999999901</v>
      </c>
      <c r="AF706">
        <v>1.46660259450538</v>
      </c>
      <c r="AG706">
        <v>-1.0615148247449999</v>
      </c>
      <c r="AH706">
        <v>33.469437055115897</v>
      </c>
      <c r="AI706">
        <v>91.814840501925204</v>
      </c>
      <c r="AJ706">
        <v>87.490952177892098</v>
      </c>
      <c r="AK706">
        <v>33.5183674077322</v>
      </c>
      <c r="AL706">
        <v>80.580466276367304</v>
      </c>
      <c r="AM706">
        <v>89.635104815843704</v>
      </c>
      <c r="AN706">
        <v>0.99999998403703105</v>
      </c>
    </row>
    <row r="707" spans="1:40" x14ac:dyDescent="0.25">
      <c r="A707" t="str">
        <f>"20190312172344115"</f>
        <v>20190312172344115</v>
      </c>
      <c r="B707" t="str">
        <f>"1552382624110130"</f>
        <v>1552382624110130</v>
      </c>
      <c r="C707" t="s">
        <v>40</v>
      </c>
      <c r="D707">
        <v>3.6764749999999999</v>
      </c>
      <c r="E707">
        <v>0.51338269999999997</v>
      </c>
      <c r="F707" t="s">
        <v>43</v>
      </c>
      <c r="G707">
        <v>-275.09679999999997</v>
      </c>
      <c r="H707" s="1">
        <v>-2.7286009999999998E-6</v>
      </c>
      <c r="I707">
        <v>365.99250000000001</v>
      </c>
      <c r="J707">
        <v>-308.19709999999998</v>
      </c>
      <c r="K707">
        <v>1.0613699999999999</v>
      </c>
      <c r="L707">
        <v>367.25880000000001</v>
      </c>
      <c r="M707">
        <v>0.99989099999999997</v>
      </c>
      <c r="N707">
        <v>0</v>
      </c>
      <c r="O707">
        <v>5.089639E-3</v>
      </c>
      <c r="P707">
        <v>0.98863939999999995</v>
      </c>
      <c r="Q707">
        <v>0.15030189999999999</v>
      </c>
      <c r="R707">
        <v>-1.1868060000000001E-3</v>
      </c>
      <c r="S707">
        <v>3.0488590000000002</v>
      </c>
      <c r="T707">
        <v>-9.719121E-2</v>
      </c>
      <c r="U707">
        <v>-0.11584469999999999</v>
      </c>
      <c r="V707">
        <v>6.2183809999999898E-3</v>
      </c>
      <c r="W707">
        <v>0.16398679999999999</v>
      </c>
      <c r="X707">
        <v>0.98644290000000001</v>
      </c>
      <c r="Y707">
        <v>4.3030260000000001E-2</v>
      </c>
      <c r="Z707">
        <v>-8.4760229999999905E-4</v>
      </c>
      <c r="AA707">
        <v>0.9990734</v>
      </c>
      <c r="AB707">
        <v>39</v>
      </c>
      <c r="AC707">
        <v>33.100299999999997</v>
      </c>
      <c r="AD707">
        <v>-1.061372728601</v>
      </c>
      <c r="AE707">
        <v>-1.2663</v>
      </c>
      <c r="AF707">
        <v>1.43329681245375</v>
      </c>
      <c r="AG707">
        <v>-1.061372728601</v>
      </c>
      <c r="AH707">
        <v>33.059483917052297</v>
      </c>
      <c r="AI707">
        <v>91.837121331173705</v>
      </c>
      <c r="AJ707">
        <v>87.517491123625604</v>
      </c>
      <c r="AK707">
        <v>33.107556972441301</v>
      </c>
      <c r="AL707">
        <v>80.561618998172904</v>
      </c>
      <c r="AM707">
        <v>89.638821195440798</v>
      </c>
      <c r="AN707">
        <v>0.99999996689845505</v>
      </c>
    </row>
    <row r="708" spans="1:40" x14ac:dyDescent="0.25">
      <c r="A708" t="str">
        <f>"20190312172344126"</f>
        <v>20190312172344126</v>
      </c>
      <c r="B708" t="str">
        <f>"1552382624120867"</f>
        <v>1552382624120867</v>
      </c>
      <c r="C708" t="s">
        <v>40</v>
      </c>
      <c r="D708">
        <v>3.6842069999999998</v>
      </c>
      <c r="E708">
        <v>0.51334329999999995</v>
      </c>
      <c r="F708" t="s">
        <v>43</v>
      </c>
      <c r="G708">
        <v>-274.57569999999998</v>
      </c>
      <c r="H708" s="1">
        <v>-2.9535639999999998E-6</v>
      </c>
      <c r="I708">
        <v>365.98430000000002</v>
      </c>
      <c r="J708">
        <v>-307.99579999999997</v>
      </c>
      <c r="K708">
        <v>1.0612349999999999</v>
      </c>
      <c r="L708">
        <v>367.25979999999998</v>
      </c>
      <c r="M708">
        <v>0.99989229999999996</v>
      </c>
      <c r="N708">
        <v>0</v>
      </c>
      <c r="O708">
        <v>5.09801E-3</v>
      </c>
      <c r="P708">
        <v>0.98864680000000005</v>
      </c>
      <c r="Q708">
        <v>0.1502559</v>
      </c>
      <c r="R708">
        <v>-1.0271989999999999E-3</v>
      </c>
      <c r="S708">
        <v>3.0489809999999999</v>
      </c>
      <c r="T708">
        <v>-9.6251249999999997E-2</v>
      </c>
      <c r="U708">
        <v>-0.1155701</v>
      </c>
      <c r="V708">
        <v>6.0671070000000004E-3</v>
      </c>
      <c r="W708">
        <v>0.16385229999999901</v>
      </c>
      <c r="X708">
        <v>0.98646619999999996</v>
      </c>
      <c r="Y708">
        <v>4.2947739999999998E-2</v>
      </c>
      <c r="Z708">
        <v>-8.3833910000000005E-4</v>
      </c>
      <c r="AA708">
        <v>0.99907699999999999</v>
      </c>
      <c r="AB708">
        <v>39</v>
      </c>
      <c r="AC708">
        <v>33.420099999999898</v>
      </c>
      <c r="AD708">
        <v>-1.061237953564</v>
      </c>
      <c r="AE708">
        <v>-1.2754999999999601</v>
      </c>
      <c r="AF708">
        <v>1.4444212031099699</v>
      </c>
      <c r="AG708">
        <v>-1.061237953564</v>
      </c>
      <c r="AH708">
        <v>33.379553277767698</v>
      </c>
      <c r="AI708">
        <v>91.819293058406799</v>
      </c>
      <c r="AJ708">
        <v>87.522206486297094</v>
      </c>
      <c r="AK708">
        <v>33.427640593218797</v>
      </c>
      <c r="AL708">
        <v>80.569431023362</v>
      </c>
      <c r="AM708">
        <v>89.6476156588555</v>
      </c>
      <c r="AN708">
        <v>0.999999974872539</v>
      </c>
    </row>
    <row r="709" spans="1:40" x14ac:dyDescent="0.25">
      <c r="A709" t="str">
        <f>"20190312172344138"</f>
        <v>20190312172344138</v>
      </c>
      <c r="B709" t="str">
        <f>"1552382624130627"</f>
        <v>1552382624130627</v>
      </c>
      <c r="C709" t="s">
        <v>40</v>
      </c>
      <c r="D709">
        <v>3.671548</v>
      </c>
      <c r="E709">
        <v>0.51331199999999999</v>
      </c>
      <c r="F709" t="s">
        <v>43</v>
      </c>
      <c r="G709">
        <v>-274.5376</v>
      </c>
      <c r="H709" s="1">
        <v>-2.9673430000000001E-6</v>
      </c>
      <c r="I709">
        <v>365.99900000000002</v>
      </c>
      <c r="J709">
        <v>-307.791</v>
      </c>
      <c r="K709">
        <v>1.0611120000000001</v>
      </c>
      <c r="L709">
        <v>367.26089999999999</v>
      </c>
      <c r="M709">
        <v>0.99989340000000004</v>
      </c>
      <c r="N709">
        <v>0</v>
      </c>
      <c r="O709">
        <v>5.1066509999999898E-3</v>
      </c>
      <c r="P709">
        <v>0.98865210000000003</v>
      </c>
      <c r="Q709">
        <v>0.1502202</v>
      </c>
      <c r="R709">
        <v>-9.7559209999999999E-4</v>
      </c>
      <c r="S709">
        <v>3.049042</v>
      </c>
      <c r="T709">
        <v>-9.6710210000000005E-2</v>
      </c>
      <c r="U709">
        <v>-0.11489870000000001</v>
      </c>
      <c r="V709">
        <v>6.024069E-3</v>
      </c>
      <c r="W709">
        <v>0.163731399999999</v>
      </c>
      <c r="X709">
        <v>0.98648659999999999</v>
      </c>
      <c r="Y709">
        <v>4.2735809999999999E-2</v>
      </c>
      <c r="Z709">
        <v>-8.3923579999999997E-4</v>
      </c>
      <c r="AA709">
        <v>0.99908609999999998</v>
      </c>
      <c r="AB709">
        <v>39</v>
      </c>
      <c r="AC709">
        <v>33.253399999999999</v>
      </c>
      <c r="AD709">
        <v>-1.061114967343</v>
      </c>
      <c r="AE709">
        <v>-1.2618999999999601</v>
      </c>
      <c r="AF709">
        <v>1.4302586793771099</v>
      </c>
      <c r="AG709">
        <v>-1.061114967343</v>
      </c>
      <c r="AH709">
        <v>33.212751516011103</v>
      </c>
      <c r="AI709">
        <v>91.828228471697301</v>
      </c>
      <c r="AJ709">
        <v>87.534164380799595</v>
      </c>
      <c r="AK709">
        <v>33.260464039579396</v>
      </c>
      <c r="AL709">
        <v>80.576453499253304</v>
      </c>
      <c r="AM709">
        <v>89.650122526773004</v>
      </c>
      <c r="AN709">
        <v>1.0000000363664101</v>
      </c>
    </row>
    <row r="710" spans="1:40" x14ac:dyDescent="0.25">
      <c r="A710" t="str">
        <f>"20190312172344150"</f>
        <v>20190312172344150</v>
      </c>
      <c r="B710" t="str">
        <f>"1552382624140387"</f>
        <v>1552382624140387</v>
      </c>
      <c r="C710" t="s">
        <v>40</v>
      </c>
      <c r="D710">
        <v>3.690534</v>
      </c>
      <c r="E710">
        <v>0.51327069999999997</v>
      </c>
      <c r="F710" t="s">
        <v>43</v>
      </c>
      <c r="G710">
        <v>-274.42419999999998</v>
      </c>
      <c r="H710" s="1">
        <v>-3.0145760000000001E-6</v>
      </c>
      <c r="I710">
        <v>366.0068</v>
      </c>
      <c r="J710">
        <v>-307.5949</v>
      </c>
      <c r="K710">
        <v>1.0610090000000001</v>
      </c>
      <c r="L710">
        <v>367.26190000000003</v>
      </c>
      <c r="M710">
        <v>0.99989439999999996</v>
      </c>
      <c r="N710">
        <v>0</v>
      </c>
      <c r="O710">
        <v>5.1149200000000002E-3</v>
      </c>
      <c r="P710">
        <v>0.98863789999999996</v>
      </c>
      <c r="Q710">
        <v>0.15031410000000001</v>
      </c>
      <c r="R710">
        <v>-8.2529289999999905E-4</v>
      </c>
      <c r="S710">
        <v>3.0490110000000001</v>
      </c>
      <c r="T710">
        <v>-9.6962930000000003E-2</v>
      </c>
      <c r="U710">
        <v>-0.1145935</v>
      </c>
      <c r="V710">
        <v>5.8820080000000002E-3</v>
      </c>
      <c r="W710">
        <v>0.163749799999999</v>
      </c>
      <c r="X710">
        <v>0.98648429999999998</v>
      </c>
      <c r="Y710">
        <v>4.2644500000000002E-2</v>
      </c>
      <c r="Z710">
        <v>-8.4024960000000004E-4</v>
      </c>
      <c r="AA710">
        <v>0.99909000000000003</v>
      </c>
      <c r="AB710">
        <v>39</v>
      </c>
      <c r="AC710">
        <v>33.170699999999997</v>
      </c>
      <c r="AD710">
        <v>-1.061012014576</v>
      </c>
      <c r="AE710">
        <v>-1.2551000000000201</v>
      </c>
      <c r="AF710">
        <v>1.4233106023537501</v>
      </c>
      <c r="AG710">
        <v>-1.061012014576</v>
      </c>
      <c r="AH710">
        <v>33.1299977990343</v>
      </c>
      <c r="AI710">
        <v>91.832622328861703</v>
      </c>
      <c r="AJ710">
        <v>87.540006646805907</v>
      </c>
      <c r="AK710">
        <v>33.177527239531599</v>
      </c>
      <c r="AL710">
        <v>80.575383865606</v>
      </c>
      <c r="AM710">
        <v>89.658372424537006</v>
      </c>
      <c r="AN710">
        <v>0.99999993458231795</v>
      </c>
    </row>
    <row r="711" spans="1:40" x14ac:dyDescent="0.25">
      <c r="A711" t="str">
        <f>"20190312172344172"</f>
        <v>20190312172344172</v>
      </c>
      <c r="B711" t="str">
        <f>"1552382624160882"</f>
        <v>1552382624160882</v>
      </c>
      <c r="C711" t="s">
        <v>40</v>
      </c>
      <c r="D711">
        <v>3.6444719999999999</v>
      </c>
      <c r="E711">
        <v>0.51318710000000001</v>
      </c>
      <c r="F711" t="s">
        <v>43</v>
      </c>
      <c r="G711">
        <v>-274.21379999999999</v>
      </c>
      <c r="H711" s="1">
        <v>-3.1032089999999998E-6</v>
      </c>
      <c r="I711">
        <v>366.01600000000002</v>
      </c>
      <c r="J711">
        <v>-307.21080000000001</v>
      </c>
      <c r="K711">
        <v>1.0608310000000001</v>
      </c>
      <c r="L711">
        <v>367.26389999999998</v>
      </c>
      <c r="M711">
        <v>0.99989629999999996</v>
      </c>
      <c r="N711">
        <v>0</v>
      </c>
      <c r="O711">
        <v>5.1309959999999996E-3</v>
      </c>
      <c r="P711">
        <v>0.98858950000000001</v>
      </c>
      <c r="Q711">
        <v>0.15063550000000001</v>
      </c>
      <c r="R711">
        <v>-5.4064809999999897E-4</v>
      </c>
      <c r="S711">
        <v>3.0491030000000001</v>
      </c>
      <c r="T711">
        <v>-9.6915009999999996E-2</v>
      </c>
      <c r="U711">
        <v>-0.1138</v>
      </c>
      <c r="V711">
        <v>5.6126309999999999E-3</v>
      </c>
      <c r="W711">
        <v>0.1639351</v>
      </c>
      <c r="X711">
        <v>0.98645510000000003</v>
      </c>
      <c r="Y711">
        <v>4.2399930000000002E-2</v>
      </c>
      <c r="Z711">
        <v>-8.3643940000000005E-4</v>
      </c>
      <c r="AA711">
        <v>0.9991004</v>
      </c>
      <c r="AB711">
        <v>39</v>
      </c>
      <c r="AC711">
        <v>32.997</v>
      </c>
      <c r="AD711">
        <v>-1.0608341032089901</v>
      </c>
      <c r="AE711">
        <v>-1.24790000000001</v>
      </c>
      <c r="AF711">
        <v>1.4157451722538601</v>
      </c>
      <c r="AG711">
        <v>-1.0608341032089901</v>
      </c>
      <c r="AH711">
        <v>32.956147692770003</v>
      </c>
      <c r="AI711">
        <v>91.841974653217406</v>
      </c>
      <c r="AJ711">
        <v>87.540174261347204</v>
      </c>
      <c r="AK711">
        <v>33.003596381833297</v>
      </c>
      <c r="AL711">
        <v>80.564621585829997</v>
      </c>
      <c r="AM711">
        <v>89.674007871013998</v>
      </c>
      <c r="AN711">
        <v>0.99999994147737903</v>
      </c>
    </row>
    <row r="712" spans="1:40" x14ac:dyDescent="0.25">
      <c r="A712" t="str">
        <f>"20190312172344194"</f>
        <v>20190312172344194</v>
      </c>
      <c r="B712" t="str">
        <f>"1552382624190163"</f>
        <v>1552382624190163</v>
      </c>
      <c r="C712" t="s">
        <v>40</v>
      </c>
      <c r="D712">
        <v>3.6449549999999999</v>
      </c>
      <c r="E712">
        <v>0.51308929999999997</v>
      </c>
      <c r="F712" t="s">
        <v>43</v>
      </c>
      <c r="G712">
        <v>-273.64519999999999</v>
      </c>
      <c r="H712" s="1">
        <v>-3.3446230000000001E-6</v>
      </c>
      <c r="I712">
        <v>366.03030000000001</v>
      </c>
      <c r="J712">
        <v>-306.83359999999999</v>
      </c>
      <c r="K712">
        <v>1.060692</v>
      </c>
      <c r="L712">
        <v>367.26580000000001</v>
      </c>
      <c r="M712">
        <v>0.9998977</v>
      </c>
      <c r="N712">
        <v>0</v>
      </c>
      <c r="O712">
        <v>5.146767E-3</v>
      </c>
      <c r="P712">
        <v>0.98856290000000002</v>
      </c>
      <c r="Q712">
        <v>0.1508081</v>
      </c>
      <c r="R712">
        <v>-4.7152629999999999E-4</v>
      </c>
      <c r="S712">
        <v>3.049255</v>
      </c>
      <c r="T712">
        <v>-9.6370819999999996E-2</v>
      </c>
      <c r="U712">
        <v>-0.11206049999999999</v>
      </c>
      <c r="V712">
        <v>5.5590830000000003E-3</v>
      </c>
      <c r="W712">
        <v>0.16398869999999999</v>
      </c>
      <c r="X712">
        <v>0.98644659999999995</v>
      </c>
      <c r="Y712">
        <v>4.1845180000000003E-2</v>
      </c>
      <c r="Z712">
        <v>-8.2344869999999998E-4</v>
      </c>
      <c r="AA712">
        <v>0.99912380000000001</v>
      </c>
      <c r="AB712">
        <v>39</v>
      </c>
      <c r="AC712">
        <v>33.188400000000001</v>
      </c>
      <c r="AD712">
        <v>-1.0606953446230001</v>
      </c>
      <c r="AE712">
        <v>-1.2355</v>
      </c>
      <c r="AF712">
        <v>1.40487880838957</v>
      </c>
      <c r="AG712">
        <v>-1.0606953446230001</v>
      </c>
      <c r="AH712">
        <v>33.147789658190497</v>
      </c>
      <c r="AI712">
        <v>91.831138188441201</v>
      </c>
      <c r="AJ712">
        <v>87.573126793779593</v>
      </c>
      <c r="AK712">
        <v>33.194498313787001</v>
      </c>
      <c r="AL712">
        <v>80.561509394624395</v>
      </c>
      <c r="AM712">
        <v>89.677115190915998</v>
      </c>
      <c r="AN712">
        <v>1.0000000458915199</v>
      </c>
    </row>
    <row r="713" spans="1:40" x14ac:dyDescent="0.25">
      <c r="A713" t="str">
        <f>"20190312172344204"</f>
        <v>20190312172344204</v>
      </c>
      <c r="B713" t="str">
        <f>"1552382624200898"</f>
        <v>1552382624200898</v>
      </c>
      <c r="C713" t="s">
        <v>40</v>
      </c>
      <c r="D713">
        <v>3.6437210000000002</v>
      </c>
      <c r="E713">
        <v>0.51306200000000002</v>
      </c>
      <c r="F713" t="s">
        <v>43</v>
      </c>
      <c r="G713">
        <v>-273.40539999999999</v>
      </c>
      <c r="H713" s="1">
        <v>-3.443726E-6</v>
      </c>
      <c r="I713">
        <v>366.0514</v>
      </c>
      <c r="J713">
        <v>-306.63929999999999</v>
      </c>
      <c r="K713">
        <v>1.060624</v>
      </c>
      <c r="L713">
        <v>367.26679999999999</v>
      </c>
      <c r="M713">
        <v>0.99989839999999997</v>
      </c>
      <c r="N713">
        <v>0</v>
      </c>
      <c r="O713">
        <v>5.1545410000000003E-3</v>
      </c>
      <c r="P713">
        <v>0.98857499999999998</v>
      </c>
      <c r="Q713">
        <v>0.15072820000000001</v>
      </c>
      <c r="R713">
        <v>-7.5627679999999903E-4</v>
      </c>
      <c r="S713">
        <v>3.0494080000000001</v>
      </c>
      <c r="T713">
        <v>-9.6759319999999996E-2</v>
      </c>
      <c r="U713">
        <v>-0.1107788</v>
      </c>
      <c r="V713">
        <v>5.8516200000000001E-3</v>
      </c>
      <c r="W713">
        <v>0.16385279999999999</v>
      </c>
      <c r="X713">
        <v>0.98646739999999999</v>
      </c>
      <c r="Y713">
        <v>4.143173E-2</v>
      </c>
      <c r="Z713">
        <v>-8.2042240000000004E-4</v>
      </c>
      <c r="AA713">
        <v>0.99914099999999995</v>
      </c>
      <c r="AB713">
        <v>39</v>
      </c>
      <c r="AC713">
        <v>33.233899999999998</v>
      </c>
      <c r="AD713">
        <v>-1.0606274437259999</v>
      </c>
      <c r="AE713">
        <v>-1.2153999999999801</v>
      </c>
      <c r="AF713">
        <v>1.3852954354424001</v>
      </c>
      <c r="AG713">
        <v>-1.0606274437259999</v>
      </c>
      <c r="AH713">
        <v>33.193430521401602</v>
      </c>
      <c r="AI713">
        <v>91.828554840930906</v>
      </c>
      <c r="AJ713">
        <v>87.610203361805702</v>
      </c>
      <c r="AK713">
        <v>33.239250951201598</v>
      </c>
      <c r="AL713">
        <v>80.569401807128003</v>
      </c>
      <c r="AM713">
        <v>89.660131498579702</v>
      </c>
      <c r="AN713">
        <v>0.99999995639361094</v>
      </c>
    </row>
    <row r="714" spans="1:40" x14ac:dyDescent="0.25">
      <c r="A714" t="str">
        <f>"20190312172344216"</f>
        <v>20190312172344216</v>
      </c>
      <c r="B714" t="str">
        <f>"1552382624210658"</f>
        <v>1552382624210658</v>
      </c>
      <c r="C714" t="s">
        <v>40</v>
      </c>
      <c r="D714">
        <v>3.6537329999999999</v>
      </c>
      <c r="E714">
        <v>0.51302939999999997</v>
      </c>
      <c r="F714" t="s">
        <v>43</v>
      </c>
      <c r="G714">
        <v>-273.39909999999998</v>
      </c>
      <c r="H714" s="1">
        <v>-3.4465879999999998E-6</v>
      </c>
      <c r="I714">
        <v>366.0505</v>
      </c>
      <c r="J714">
        <v>-306.43</v>
      </c>
      <c r="K714">
        <v>1.0605599999999999</v>
      </c>
      <c r="L714">
        <v>367.2679</v>
      </c>
      <c r="M714">
        <v>0.99989910000000004</v>
      </c>
      <c r="N714">
        <v>0</v>
      </c>
      <c r="O714">
        <v>5.1631430000000002E-3</v>
      </c>
      <c r="P714">
        <v>0.98857030000000001</v>
      </c>
      <c r="Q714">
        <v>0.15075999999999901</v>
      </c>
      <c r="R714">
        <v>-6.3185110000000004E-4</v>
      </c>
      <c r="S714">
        <v>3.0493769999999998</v>
      </c>
      <c r="T714">
        <v>-9.7299339999999998E-2</v>
      </c>
      <c r="U714">
        <v>-0.1115723</v>
      </c>
      <c r="V714">
        <v>5.7356809999999899E-3</v>
      </c>
      <c r="W714">
        <v>0.163828799999999</v>
      </c>
      <c r="X714">
        <v>0.98647209999999996</v>
      </c>
      <c r="Y714">
        <v>4.1699920000000001E-2</v>
      </c>
      <c r="Z714">
        <v>-8.2955360000000001E-4</v>
      </c>
      <c r="AA714">
        <v>0.99912979999999996</v>
      </c>
      <c r="AB714">
        <v>39</v>
      </c>
      <c r="AC714">
        <v>33.030900000000003</v>
      </c>
      <c r="AD714">
        <v>-1.0605634465879901</v>
      </c>
      <c r="AE714">
        <v>-1.21739999999999</v>
      </c>
      <c r="AF714">
        <v>1.3865144949117501</v>
      </c>
      <c r="AG714">
        <v>-1.0605634465879901</v>
      </c>
      <c r="AH714">
        <v>32.990208771327197</v>
      </c>
      <c r="AI714">
        <v>91.8396775998321</v>
      </c>
      <c r="AJ714">
        <v>87.593385817778795</v>
      </c>
      <c r="AK714">
        <v>33.036360151272604</v>
      </c>
      <c r="AL714">
        <v>80.5707960518574</v>
      </c>
      <c r="AM714">
        <v>89.666866796610904</v>
      </c>
      <c r="AN714">
        <v>0.999999988912191</v>
      </c>
    </row>
    <row r="715" spans="1:40" x14ac:dyDescent="0.25">
      <c r="A715" t="str">
        <f>"20190312172344228"</f>
        <v>20190312172344228</v>
      </c>
      <c r="B715" t="str">
        <f>"1552382624220418"</f>
        <v>1552382624220418</v>
      </c>
      <c r="C715" t="s">
        <v>40</v>
      </c>
      <c r="D715">
        <v>3.6778240000000002</v>
      </c>
      <c r="E715">
        <v>0.51302309999999995</v>
      </c>
      <c r="F715" t="s">
        <v>43</v>
      </c>
      <c r="G715">
        <v>-273.2088</v>
      </c>
      <c r="H715" s="1">
        <v>-3.5265329999999999E-6</v>
      </c>
      <c r="I715">
        <v>366.06</v>
      </c>
      <c r="J715">
        <v>-306.23430000000002</v>
      </c>
      <c r="K715">
        <v>1.060508</v>
      </c>
      <c r="L715">
        <v>367.26889999999997</v>
      </c>
      <c r="M715">
        <v>0.99989989999999995</v>
      </c>
      <c r="N715">
        <v>0</v>
      </c>
      <c r="O715">
        <v>5.171218E-3</v>
      </c>
      <c r="P715">
        <v>0.98858330000000005</v>
      </c>
      <c r="Q715">
        <v>0.1506759</v>
      </c>
      <c r="R715">
        <v>-5.7587070000000005E-4</v>
      </c>
      <c r="S715">
        <v>3.0495000000000001</v>
      </c>
      <c r="T715">
        <v>-9.7352859999999999E-2</v>
      </c>
      <c r="U715">
        <v>-0.11087039999999999</v>
      </c>
      <c r="V715">
        <v>5.6877330000000004E-3</v>
      </c>
      <c r="W715">
        <v>0.1636956</v>
      </c>
      <c r="X715">
        <v>0.98649450000000005</v>
      </c>
      <c r="Y715">
        <v>4.1476930000000002E-2</v>
      </c>
      <c r="Z715">
        <v>-8.2668029999999999E-4</v>
      </c>
      <c r="AA715">
        <v>0.99913909999999995</v>
      </c>
      <c r="AB715">
        <v>39</v>
      </c>
      <c r="AC715">
        <v>33.025500000000001</v>
      </c>
      <c r="AD715">
        <v>-1.0605115265330001</v>
      </c>
      <c r="AE715">
        <v>-1.2088999999999701</v>
      </c>
      <c r="AF715">
        <v>1.3782613805214701</v>
      </c>
      <c r="AG715">
        <v>-1.0605115265330001</v>
      </c>
      <c r="AH715">
        <v>32.984838720961903</v>
      </c>
      <c r="AI715">
        <v>91.839905604298806</v>
      </c>
      <c r="AJ715">
        <v>87.607305275700099</v>
      </c>
      <c r="AK715">
        <v>33.030650532177098</v>
      </c>
      <c r="AL715">
        <v>80.578532387524206</v>
      </c>
      <c r="AM715">
        <v>89.669659095969195</v>
      </c>
      <c r="AN715">
        <v>0.99999999914814397</v>
      </c>
    </row>
    <row r="716" spans="1:40" x14ac:dyDescent="0.25">
      <c r="A716" t="str">
        <f>"20190312172344238"</f>
        <v>20190312172344238</v>
      </c>
      <c r="B716" t="str">
        <f>"1552382624230179"</f>
        <v>1552382624230179</v>
      </c>
      <c r="C716" t="s">
        <v>40</v>
      </c>
      <c r="D716">
        <v>3.6593979999999999</v>
      </c>
      <c r="E716">
        <v>0.5129899</v>
      </c>
      <c r="F716" t="s">
        <v>43</v>
      </c>
      <c r="G716">
        <v>-273.1508</v>
      </c>
      <c r="H716" s="1">
        <v>-3.5499009999999999E-6</v>
      </c>
      <c r="I716">
        <v>366.06869999999998</v>
      </c>
      <c r="J716">
        <v>-306.0249</v>
      </c>
      <c r="K716">
        <v>1.0604559999999901</v>
      </c>
      <c r="L716">
        <v>367.27</v>
      </c>
      <c r="M716">
        <v>0.99990040000000002</v>
      </c>
      <c r="N716">
        <v>0</v>
      </c>
      <c r="O716">
        <v>5.1801310000000001E-3</v>
      </c>
      <c r="P716">
        <v>0.98860110000000001</v>
      </c>
      <c r="Q716">
        <v>0.15055879999999999</v>
      </c>
      <c r="R716">
        <v>-5.8578890000000005E-4</v>
      </c>
      <c r="S716">
        <v>3.0494379999999999</v>
      </c>
      <c r="T716">
        <v>-9.775114E-2</v>
      </c>
      <c r="U716">
        <v>-0.11062619999999999</v>
      </c>
      <c r="V716">
        <v>5.7066769999999899E-3</v>
      </c>
      <c r="W716">
        <v>0.16352910000000001</v>
      </c>
      <c r="X716">
        <v>0.98652200000000001</v>
      </c>
      <c r="Y716">
        <v>4.1406510000000001E-2</v>
      </c>
      <c r="Z716">
        <v>-8.2923580000000005E-4</v>
      </c>
      <c r="AA716">
        <v>0.99914210000000003</v>
      </c>
      <c r="AB716">
        <v>39</v>
      </c>
      <c r="AC716">
        <v>32.874099999999999</v>
      </c>
      <c r="AD716">
        <v>-1.0604595499010001</v>
      </c>
      <c r="AE716">
        <v>-1.2013</v>
      </c>
      <c r="AF716">
        <v>1.37016681807692</v>
      </c>
      <c r="AG716">
        <v>-1.0604595499010001</v>
      </c>
      <c r="AH716">
        <v>32.83331490442</v>
      </c>
      <c r="AI716">
        <v>91.848304389986694</v>
      </c>
      <c r="AJ716">
        <v>87.610376768128305</v>
      </c>
      <c r="AK716">
        <v>32.878997843291103</v>
      </c>
      <c r="AL716">
        <v>80.588202398411596</v>
      </c>
      <c r="AM716">
        <v>89.6685681006594</v>
      </c>
      <c r="AN716">
        <v>0.99999999459659605</v>
      </c>
    </row>
    <row r="717" spans="1:40" x14ac:dyDescent="0.25">
      <c r="A717" t="str">
        <f>"20190312172344250"</f>
        <v>20190312172344250</v>
      </c>
      <c r="B717" t="str">
        <f>"1552382624240915"</f>
        <v>1552382624240915</v>
      </c>
      <c r="C717" t="s">
        <v>40</v>
      </c>
      <c r="D717">
        <v>3.6375999999999999</v>
      </c>
      <c r="E717">
        <v>0.51297209999999904</v>
      </c>
      <c r="F717" t="s">
        <v>43</v>
      </c>
      <c r="G717">
        <v>-273.13</v>
      </c>
      <c r="H717" s="1">
        <v>-3.5571819999999999E-6</v>
      </c>
      <c r="I717">
        <v>366.0779</v>
      </c>
      <c r="J717">
        <v>-305.83819999999997</v>
      </c>
      <c r="K717">
        <v>1.0604150000000001</v>
      </c>
      <c r="L717">
        <v>367.27100000000002</v>
      </c>
      <c r="M717">
        <v>0.99990100000000004</v>
      </c>
      <c r="N717">
        <v>0</v>
      </c>
      <c r="O717">
        <v>5.1881459999999898E-3</v>
      </c>
      <c r="P717">
        <v>0.98861940000000004</v>
      </c>
      <c r="Q717">
        <v>0.1504384</v>
      </c>
      <c r="R717">
        <v>-5.5248850000000002E-4</v>
      </c>
      <c r="S717">
        <v>3.0494690000000002</v>
      </c>
      <c r="T717">
        <v>-9.8307969999999995E-2</v>
      </c>
      <c r="U717">
        <v>-0.1105042</v>
      </c>
      <c r="V717">
        <v>5.6813819999999996E-3</v>
      </c>
      <c r="W717">
        <v>0.16336919999999999</v>
      </c>
      <c r="X717">
        <v>0.98654869999999995</v>
      </c>
      <c r="Y717">
        <v>4.137395E-2</v>
      </c>
      <c r="Z717">
        <v>-8.3368310000000003E-4</v>
      </c>
      <c r="AA717">
        <v>0.99914340000000001</v>
      </c>
      <c r="AB717">
        <v>39</v>
      </c>
      <c r="AC717">
        <v>32.708199999999898</v>
      </c>
      <c r="AD717">
        <v>-1.060418557182</v>
      </c>
      <c r="AE717">
        <v>-1.1930999999999501</v>
      </c>
      <c r="AF717">
        <v>1.3613643540932501</v>
      </c>
      <c r="AG717">
        <v>-1.060418557182</v>
      </c>
      <c r="AH717">
        <v>32.667278476722799</v>
      </c>
      <c r="AI717">
        <v>91.857624785632495</v>
      </c>
      <c r="AJ717">
        <v>87.613657205268396</v>
      </c>
      <c r="AK717">
        <v>32.712824450003801</v>
      </c>
      <c r="AL717">
        <v>80.597489458685004</v>
      </c>
      <c r="AM717">
        <v>89.670046078887395</v>
      </c>
      <c r="AN717">
        <v>1.0000000555408699</v>
      </c>
    </row>
    <row r="718" spans="1:40" x14ac:dyDescent="0.25">
      <c r="A718" t="str">
        <f>"20190312172344262"</f>
        <v>20190312172344262</v>
      </c>
      <c r="B718" t="str">
        <f>"1552382624250675"</f>
        <v>1552382624250675</v>
      </c>
      <c r="C718" t="s">
        <v>40</v>
      </c>
      <c r="D718">
        <v>3.6221459999999999</v>
      </c>
      <c r="E718">
        <v>0.51295389999999996</v>
      </c>
      <c r="F718" t="s">
        <v>43</v>
      </c>
      <c r="G718">
        <v>-273.137</v>
      </c>
      <c r="H718" s="1">
        <v>-3.5522699999999999E-6</v>
      </c>
      <c r="I718">
        <v>366.08859999999999</v>
      </c>
      <c r="J718">
        <v>-305.6302</v>
      </c>
      <c r="K718">
        <v>1.060368</v>
      </c>
      <c r="L718">
        <v>367.27210000000002</v>
      </c>
      <c r="M718">
        <v>0.99990140000000005</v>
      </c>
      <c r="N718">
        <v>0</v>
      </c>
      <c r="O718">
        <v>5.1971359999999998E-3</v>
      </c>
      <c r="P718">
        <v>0.98862329999999998</v>
      </c>
      <c r="Q718">
        <v>0.15041119999999999</v>
      </c>
      <c r="R718">
        <v>-5.1813480000000001E-4</v>
      </c>
      <c r="S718">
        <v>3.0495610000000002</v>
      </c>
      <c r="T718">
        <v>-9.8889350000000001E-2</v>
      </c>
      <c r="U718">
        <v>-0.11026</v>
      </c>
      <c r="V718">
        <v>5.6561440000000001E-3</v>
      </c>
      <c r="W718">
        <v>0.1632981</v>
      </c>
      <c r="X718">
        <v>0.98656049999999995</v>
      </c>
      <c r="Y718">
        <v>4.1301699999999997E-2</v>
      </c>
      <c r="Z718">
        <v>-8.3770729999999905E-4</v>
      </c>
      <c r="AA718">
        <v>0.99914630000000004</v>
      </c>
      <c r="AB718">
        <v>39</v>
      </c>
      <c r="AC718">
        <v>32.493200000000002</v>
      </c>
      <c r="AD718">
        <v>-1.0603715522699999</v>
      </c>
      <c r="AE718">
        <v>-1.18350000000003</v>
      </c>
      <c r="AF718">
        <v>1.35093318778794</v>
      </c>
      <c r="AG718">
        <v>-1.0603715522699999</v>
      </c>
      <c r="AH718">
        <v>32.452095537594197</v>
      </c>
      <c r="AI718">
        <v>91.869854259213795</v>
      </c>
      <c r="AJ718">
        <v>87.616236982734506</v>
      </c>
      <c r="AK718">
        <v>32.497506259524997</v>
      </c>
      <c r="AL718">
        <v>80.601617551397595</v>
      </c>
      <c r="AM718">
        <v>89.671515706459502</v>
      </c>
      <c r="AN718">
        <v>0.99999994079440202</v>
      </c>
    </row>
    <row r="719" spans="1:40" x14ac:dyDescent="0.25">
      <c r="A719" t="str">
        <f>"20190312172344275"</f>
        <v>20190312172344275</v>
      </c>
      <c r="B719" t="str">
        <f>"1552382624270195"</f>
        <v>1552382624270195</v>
      </c>
      <c r="C719" t="s">
        <v>40</v>
      </c>
      <c r="D719">
        <v>3.617775</v>
      </c>
      <c r="E719">
        <v>0.51283350000000005</v>
      </c>
      <c r="F719" t="s">
        <v>43</v>
      </c>
      <c r="G719">
        <v>-272.98880000000003</v>
      </c>
      <c r="H719" s="1">
        <v>-3.6150640000000002E-6</v>
      </c>
      <c r="I719">
        <v>366.09309999999999</v>
      </c>
      <c r="J719">
        <v>-305.40480000000002</v>
      </c>
      <c r="K719">
        <v>1.060327</v>
      </c>
      <c r="L719">
        <v>367.27330000000001</v>
      </c>
      <c r="M719">
        <v>0.99990199999999996</v>
      </c>
      <c r="N719">
        <v>0</v>
      </c>
      <c r="O719">
        <v>5.2065369999999998E-3</v>
      </c>
      <c r="P719">
        <v>0.98858570000000001</v>
      </c>
      <c r="Q719">
        <v>0.15065999999999999</v>
      </c>
      <c r="R719">
        <v>-7.3030920000000002E-4</v>
      </c>
      <c r="S719">
        <v>3.0495000000000001</v>
      </c>
      <c r="T719">
        <v>-9.9064109999999997E-2</v>
      </c>
      <c r="U719">
        <v>-0.1101379</v>
      </c>
      <c r="V719">
        <v>5.8771930000000002E-3</v>
      </c>
      <c r="W719">
        <v>0.16350419999999999</v>
      </c>
      <c r="X719">
        <v>0.98652510000000004</v>
      </c>
      <c r="Y719">
        <v>4.1271799999999997E-2</v>
      </c>
      <c r="Z719">
        <v>-8.3902399999999995E-4</v>
      </c>
      <c r="AA719">
        <v>0.99914760000000002</v>
      </c>
      <c r="AB719">
        <v>39</v>
      </c>
      <c r="AC719">
        <v>32.415999999999997</v>
      </c>
      <c r="AD719">
        <v>-1.0603306150639999</v>
      </c>
      <c r="AE719">
        <v>-1.1802000000000099</v>
      </c>
      <c r="AF719">
        <v>1.3475334717937</v>
      </c>
      <c r="AG719">
        <v>-1.0603306150639999</v>
      </c>
      <c r="AH719">
        <v>32.374821675038497</v>
      </c>
      <c r="AI719">
        <v>91.874242273052701</v>
      </c>
      <c r="AJ719">
        <v>87.6165601449664</v>
      </c>
      <c r="AK719">
        <v>32.420197808794903</v>
      </c>
      <c r="AL719">
        <v>80.5896482831225</v>
      </c>
      <c r="AM719">
        <v>89.658666190457495</v>
      </c>
      <c r="AN719">
        <v>0.99999996887260401</v>
      </c>
    </row>
    <row r="720" spans="1:40" x14ac:dyDescent="0.25">
      <c r="A720" t="str">
        <f>"20190312172344293"</f>
        <v>20190312172344293</v>
      </c>
      <c r="B720" t="str">
        <f>"1552382624290691"</f>
        <v>1552382624290691</v>
      </c>
      <c r="C720" t="s">
        <v>40</v>
      </c>
      <c r="D720">
        <v>3.596301</v>
      </c>
      <c r="E720">
        <v>0.48943130000000001</v>
      </c>
      <c r="F720" t="s">
        <v>43</v>
      </c>
      <c r="G720">
        <v>-272.57240000000002</v>
      </c>
      <c r="H720" s="1">
        <v>-3.7938960000000001E-6</v>
      </c>
      <c r="I720">
        <v>366.09199999999998</v>
      </c>
      <c r="J720">
        <v>-305.08</v>
      </c>
      <c r="K720">
        <v>1.060271</v>
      </c>
      <c r="L720">
        <v>367.27499999999998</v>
      </c>
      <c r="M720">
        <v>0.99990270000000003</v>
      </c>
      <c r="N720">
        <v>0</v>
      </c>
      <c r="O720">
        <v>5.2200279999999998E-3</v>
      </c>
      <c r="P720">
        <v>0.98856540000000004</v>
      </c>
      <c r="Q720">
        <v>0.1507907</v>
      </c>
      <c r="R720">
        <v>-9.7080039999999999E-4</v>
      </c>
      <c r="S720">
        <v>3.0495610000000002</v>
      </c>
      <c r="T720">
        <v>-9.8485829999999996E-2</v>
      </c>
      <c r="U720">
        <v>-0.10971069999999999</v>
      </c>
      <c r="V720">
        <v>6.1308580000000003E-3</v>
      </c>
      <c r="W720">
        <v>0.16357759999999999</v>
      </c>
      <c r="X720">
        <v>0.98651140000000004</v>
      </c>
      <c r="Y720">
        <v>4.1145099999999997E-2</v>
      </c>
      <c r="Z720">
        <v>-8.3250469999999999E-4</v>
      </c>
      <c r="AA720">
        <v>0.99915279999999995</v>
      </c>
      <c r="AB720">
        <v>39</v>
      </c>
      <c r="AC720">
        <v>32.507599999999897</v>
      </c>
      <c r="AD720">
        <v>-1.060274793896</v>
      </c>
      <c r="AE720">
        <v>-1.1829999999999901</v>
      </c>
      <c r="AF720">
        <v>1.35125307652133</v>
      </c>
      <c r="AG720">
        <v>-1.060274793896</v>
      </c>
      <c r="AH720">
        <v>32.466488485313597</v>
      </c>
      <c r="AI720">
        <v>91.868856149769698</v>
      </c>
      <c r="AJ720">
        <v>87.616728974246996</v>
      </c>
      <c r="AK720">
        <v>32.511889241974004</v>
      </c>
      <c r="AL720">
        <v>80.585385489728395</v>
      </c>
      <c r="AM720">
        <v>89.643929339303597</v>
      </c>
      <c r="AN720">
        <v>0.99999998048576799</v>
      </c>
    </row>
    <row r="721" spans="1:40" x14ac:dyDescent="0.25">
      <c r="A721" t="str">
        <f>"20190312172344305"</f>
        <v>20190312172344305</v>
      </c>
      <c r="B721" t="str">
        <f>"1552382624300451"</f>
        <v>1552382624300451</v>
      </c>
      <c r="C721" t="s">
        <v>40</v>
      </c>
      <c r="D721">
        <v>3.6021459999999998</v>
      </c>
      <c r="E721">
        <v>0.48874109999999998</v>
      </c>
      <c r="F721" t="s">
        <v>43</v>
      </c>
      <c r="G721">
        <v>-274.29730000000001</v>
      </c>
      <c r="H721" s="1">
        <v>-2.7072690000000001E-6</v>
      </c>
      <c r="I721">
        <v>368.0462</v>
      </c>
      <c r="J721">
        <v>-304.8802</v>
      </c>
      <c r="K721">
        <v>1.060243</v>
      </c>
      <c r="L721">
        <v>367.27600000000001</v>
      </c>
      <c r="M721">
        <v>0.99990299999999999</v>
      </c>
      <c r="N721">
        <v>0</v>
      </c>
      <c r="O721">
        <v>5.2282839999999997E-3</v>
      </c>
      <c r="P721">
        <v>0.9885583</v>
      </c>
      <c r="Q721">
        <v>0.1508341</v>
      </c>
      <c r="R721">
        <v>-1.192872E-3</v>
      </c>
      <c r="S721">
        <v>3.0508419999999998</v>
      </c>
      <c r="T721">
        <v>-0.10508239999999899</v>
      </c>
      <c r="U721">
        <v>7.6446529999999999E-2</v>
      </c>
      <c r="V721">
        <v>6.3612570000000004E-3</v>
      </c>
      <c r="W721">
        <v>0.16358929999999999</v>
      </c>
      <c r="X721">
        <v>0.98650800000000005</v>
      </c>
      <c r="Y721">
        <v>-1.9813589999999999E-2</v>
      </c>
      <c r="Z721">
        <v>1.6106089999999999E-4</v>
      </c>
      <c r="AA721">
        <v>0.99980369999999996</v>
      </c>
      <c r="AB721">
        <v>39</v>
      </c>
      <c r="AC721">
        <v>30.582899999999899</v>
      </c>
      <c r="AD721">
        <v>-1.0602457072689999</v>
      </c>
      <c r="AE721">
        <v>0.77019999999998801</v>
      </c>
      <c r="AF721">
        <v>-0.60954792925402501</v>
      </c>
      <c r="AG721">
        <v>-1.0602457072689999</v>
      </c>
      <c r="AH721">
        <v>30.5498156120691</v>
      </c>
      <c r="AI721">
        <v>91.987283958368593</v>
      </c>
      <c r="AJ721">
        <v>91.143047498393997</v>
      </c>
      <c r="AK721">
        <v>30.574285005037499</v>
      </c>
      <c r="AL721">
        <v>80.584705965048499</v>
      </c>
      <c r="AM721">
        <v>89.630547216014705</v>
      </c>
      <c r="AN721">
        <v>0.99999997936455398</v>
      </c>
    </row>
    <row r="722" spans="1:40" x14ac:dyDescent="0.25">
      <c r="A722" t="str">
        <f>"20190312172344317"</f>
        <v>20190312172344317</v>
      </c>
      <c r="B722" t="str">
        <f>"1552382624310211"</f>
        <v>1552382624310211</v>
      </c>
      <c r="C722" t="s">
        <v>40</v>
      </c>
      <c r="D722">
        <v>3.5998890000000001</v>
      </c>
      <c r="E722">
        <v>0.48835129999999999</v>
      </c>
      <c r="F722" t="s">
        <v>43</v>
      </c>
      <c r="G722">
        <v>-273.04180000000002</v>
      </c>
      <c r="H722" s="1">
        <v>-3.232286E-6</v>
      </c>
      <c r="I722">
        <v>368.12290000000002</v>
      </c>
      <c r="J722">
        <v>-304.66840000000002</v>
      </c>
      <c r="K722">
        <v>1.0602149999999999</v>
      </c>
      <c r="L722">
        <v>367.27710000000002</v>
      </c>
      <c r="M722">
        <v>0.99990330000000005</v>
      </c>
      <c r="N722">
        <v>0</v>
      </c>
      <c r="O722">
        <v>5.2372419999999996E-3</v>
      </c>
      <c r="P722">
        <v>0.98857669999999997</v>
      </c>
      <c r="Q722">
        <v>0.15071590000000001</v>
      </c>
      <c r="R722">
        <v>-1.05185E-3</v>
      </c>
      <c r="S722">
        <v>3.050354</v>
      </c>
      <c r="T722">
        <v>-0.101579</v>
      </c>
      <c r="U722">
        <v>8.1146239999999994E-2</v>
      </c>
      <c r="V722">
        <v>6.2289909999999997E-3</v>
      </c>
      <c r="W722">
        <v>0.16344210000000001</v>
      </c>
      <c r="X722">
        <v>0.98653329999999995</v>
      </c>
      <c r="Y722">
        <v>-2.1347720000000001E-2</v>
      </c>
      <c r="Z722">
        <v>1.8095019999999999E-4</v>
      </c>
      <c r="AA722">
        <v>0.99977210000000005</v>
      </c>
      <c r="AB722">
        <v>39</v>
      </c>
      <c r="AC722">
        <v>31.6266</v>
      </c>
      <c r="AD722">
        <v>-1.0602182322860001</v>
      </c>
      <c r="AE722">
        <v>0.845799999999997</v>
      </c>
      <c r="AF722">
        <v>-0.67937556374889696</v>
      </c>
      <c r="AG722">
        <v>-1.0602182322860001</v>
      </c>
      <c r="AH722">
        <v>31.5951152855461</v>
      </c>
      <c r="AI722">
        <v>91.921474938751402</v>
      </c>
      <c r="AJ722">
        <v>91.231815571740299</v>
      </c>
      <c r="AK722">
        <v>31.620198034858099</v>
      </c>
      <c r="AL722">
        <v>80.593255506738501</v>
      </c>
      <c r="AM722">
        <v>89.638238108860406</v>
      </c>
      <c r="AN722">
        <v>1.00000003619508</v>
      </c>
    </row>
    <row r="723" spans="1:40" x14ac:dyDescent="0.25">
      <c r="A723" t="str">
        <f>"20190312172344328"</f>
        <v>20190312172344328</v>
      </c>
      <c r="B723" t="str">
        <f>"1552382624320947"</f>
        <v>1552382624320947</v>
      </c>
      <c r="C723" t="s">
        <v>40</v>
      </c>
      <c r="D723">
        <v>3.5839560000000001</v>
      </c>
      <c r="E723">
        <v>0.48814800000000003</v>
      </c>
      <c r="F723" t="s">
        <v>43</v>
      </c>
      <c r="G723">
        <v>-272.88159999999999</v>
      </c>
      <c r="H723" s="1">
        <v>-3.2941049999999999E-6</v>
      </c>
      <c r="I723">
        <v>368.16180000000003</v>
      </c>
      <c r="J723">
        <v>-304.47160000000002</v>
      </c>
      <c r="K723">
        <v>1.060192</v>
      </c>
      <c r="L723">
        <v>367.27809999999999</v>
      </c>
      <c r="M723">
        <v>0.99990369999999995</v>
      </c>
      <c r="N723">
        <v>0</v>
      </c>
      <c r="O723">
        <v>5.2454490000000001E-3</v>
      </c>
      <c r="P723">
        <v>0.988591</v>
      </c>
      <c r="Q723">
        <v>0.15062229999999999</v>
      </c>
      <c r="R723">
        <v>-1.045397E-3</v>
      </c>
      <c r="S723">
        <v>3.0502929999999999</v>
      </c>
      <c r="T723">
        <v>-0.1017393</v>
      </c>
      <c r="U723">
        <v>8.4899899999999903E-2</v>
      </c>
      <c r="V723">
        <v>6.2306230000000002E-3</v>
      </c>
      <c r="W723">
        <v>0.16332449999999901</v>
      </c>
      <c r="X723">
        <v>0.98655269999999995</v>
      </c>
      <c r="Y723">
        <v>-2.2568729999999999E-2</v>
      </c>
      <c r="Z723">
        <v>2.0131599999999999E-4</v>
      </c>
      <c r="AA723">
        <v>0.9997452</v>
      </c>
      <c r="AB723">
        <v>39</v>
      </c>
      <c r="AC723">
        <v>31.59</v>
      </c>
      <c r="AD723">
        <v>-1.0601952941049999</v>
      </c>
      <c r="AE723">
        <v>0.88370000000003202</v>
      </c>
      <c r="AF723">
        <v>-0.71716328444793598</v>
      </c>
      <c r="AG723">
        <v>-1.0601952941049999</v>
      </c>
      <c r="AH723">
        <v>31.558682859481699</v>
      </c>
      <c r="AI723">
        <v>91.923597975191498</v>
      </c>
      <c r="AJ723">
        <v>91.301808398161796</v>
      </c>
      <c r="AK723">
        <v>31.584629189901001</v>
      </c>
      <c r="AL723">
        <v>80.6000846494792</v>
      </c>
      <c r="AM723">
        <v>89.638150445029098</v>
      </c>
      <c r="AN723">
        <v>0.99999997142025299</v>
      </c>
    </row>
    <row r="724" spans="1:40" x14ac:dyDescent="0.25">
      <c r="A724" t="str">
        <f>"20190312172344340"</f>
        <v>20190312172344340</v>
      </c>
      <c r="B724" t="str">
        <f>"1552382624330707"</f>
        <v>1552382624330707</v>
      </c>
      <c r="C724" t="s">
        <v>40</v>
      </c>
      <c r="D724">
        <v>3.5881199999999902</v>
      </c>
      <c r="E724">
        <v>0.48804500000000001</v>
      </c>
      <c r="F724" t="s">
        <v>43</v>
      </c>
      <c r="G724">
        <v>-273.0025</v>
      </c>
      <c r="H724" s="1">
        <v>-3.2411679999999999E-6</v>
      </c>
      <c r="I724">
        <v>368.1678</v>
      </c>
      <c r="J724">
        <v>-304.26639999999998</v>
      </c>
      <c r="K724">
        <v>1.060171</v>
      </c>
      <c r="L724">
        <v>367.2792</v>
      </c>
      <c r="M724">
        <v>0.99990389999999996</v>
      </c>
      <c r="N724">
        <v>0</v>
      </c>
      <c r="O724">
        <v>5.2543659999999999E-3</v>
      </c>
      <c r="P724">
        <v>0.9885988</v>
      </c>
      <c r="Q724">
        <v>0.1505717</v>
      </c>
      <c r="R724">
        <v>-9.7739229999999999E-4</v>
      </c>
      <c r="S724">
        <v>3.0503849999999999</v>
      </c>
      <c r="T724">
        <v>-0.10276730000000001</v>
      </c>
      <c r="U724">
        <v>8.6242680000000002E-2</v>
      </c>
      <c r="V724">
        <v>6.171274E-3</v>
      </c>
      <c r="W724">
        <v>0.1632506</v>
      </c>
      <c r="X724">
        <v>0.98656540000000004</v>
      </c>
      <c r="Y724">
        <v>-2.2998279999999999E-2</v>
      </c>
      <c r="Z724">
        <v>2.1027390000000001E-4</v>
      </c>
      <c r="AA724">
        <v>0.9997355</v>
      </c>
      <c r="AB724">
        <v>39</v>
      </c>
      <c r="AC724">
        <v>31.2638999999999</v>
      </c>
      <c r="AD724">
        <v>-1.060174241168</v>
      </c>
      <c r="AE724">
        <v>0.88859999999999595</v>
      </c>
      <c r="AF724">
        <v>-0.72347097521395198</v>
      </c>
      <c r="AG724">
        <v>-1.060174241168</v>
      </c>
      <c r="AH724">
        <v>31.232252119368901</v>
      </c>
      <c r="AI724">
        <v>91.943629399493503</v>
      </c>
      <c r="AJ724">
        <v>91.3269751285696</v>
      </c>
      <c r="AK724">
        <v>31.2586140467142</v>
      </c>
      <c r="AL724">
        <v>80.604377303800803</v>
      </c>
      <c r="AM724">
        <v>89.641601719776006</v>
      </c>
      <c r="AN724">
        <v>1.00000006575014</v>
      </c>
    </row>
    <row r="725" spans="1:40" x14ac:dyDescent="0.25">
      <c r="A725" t="str">
        <f>"20190312172344352"</f>
        <v>20190312172344352</v>
      </c>
      <c r="B725" t="str">
        <f>"1552382624340468"</f>
        <v>1552382624340468</v>
      </c>
      <c r="C725" t="s">
        <v>40</v>
      </c>
      <c r="D725">
        <v>3.5936870000000001</v>
      </c>
      <c r="E725">
        <v>0.4879114</v>
      </c>
      <c r="F725" t="s">
        <v>43</v>
      </c>
      <c r="G725">
        <v>-273.03050000000002</v>
      </c>
      <c r="H725" s="1">
        <v>-3.227928E-6</v>
      </c>
      <c r="I725">
        <v>368.17469999999997</v>
      </c>
      <c r="J725">
        <v>-304.06490000000002</v>
      </c>
      <c r="K725">
        <v>1.060155</v>
      </c>
      <c r="L725">
        <v>367.28030000000001</v>
      </c>
      <c r="M725">
        <v>0.99990409999999996</v>
      </c>
      <c r="N725">
        <v>0</v>
      </c>
      <c r="O725">
        <v>5.2633749999999998E-3</v>
      </c>
      <c r="P725">
        <v>0.9886104</v>
      </c>
      <c r="Q725">
        <v>0.15049460000000001</v>
      </c>
      <c r="R725">
        <v>-9.6126600000000001E-4</v>
      </c>
      <c r="S725">
        <v>3.050446</v>
      </c>
      <c r="T725">
        <v>-0.1035346</v>
      </c>
      <c r="U725">
        <v>8.7463379999999993E-2</v>
      </c>
      <c r="V725">
        <v>6.1643699999999997E-3</v>
      </c>
      <c r="W725">
        <v>0.16315460000000001</v>
      </c>
      <c r="X725">
        <v>0.98658129999999999</v>
      </c>
      <c r="Y725">
        <v>-2.3388079999999999E-2</v>
      </c>
      <c r="Z725">
        <v>2.181436E-4</v>
      </c>
      <c r="AA725">
        <v>0.99972640000000002</v>
      </c>
      <c r="AB725">
        <v>39</v>
      </c>
      <c r="AC725">
        <v>31.034400000000002</v>
      </c>
      <c r="AD725">
        <v>-1.060158227928</v>
      </c>
      <c r="AE725">
        <v>0.894399999999961</v>
      </c>
      <c r="AF725">
        <v>-0.730177142952252</v>
      </c>
      <c r="AG725">
        <v>-1.060158227928</v>
      </c>
      <c r="AH725">
        <v>31.002529421101599</v>
      </c>
      <c r="AI725">
        <v>91.957972874164994</v>
      </c>
      <c r="AJ725">
        <v>91.349191062198699</v>
      </c>
      <c r="AK725">
        <v>31.029243056101201</v>
      </c>
      <c r="AL725">
        <v>80.609952223752202</v>
      </c>
      <c r="AM725">
        <v>89.6420084302883</v>
      </c>
      <c r="AN725">
        <v>1.0000000422341699</v>
      </c>
    </row>
    <row r="726" spans="1:40" x14ac:dyDescent="0.25">
      <c r="A726" t="str">
        <f>"20190312172344365"</f>
        <v>20190312172344365</v>
      </c>
      <c r="B726" t="str">
        <f>"1552382624360963"</f>
        <v>1552382624360963</v>
      </c>
      <c r="C726" t="s">
        <v>40</v>
      </c>
      <c r="D726">
        <v>3.601404</v>
      </c>
      <c r="E726">
        <v>0.4876548</v>
      </c>
      <c r="F726" t="s">
        <v>43</v>
      </c>
      <c r="G726">
        <v>-272.85109999999997</v>
      </c>
      <c r="H726" s="1">
        <v>-3.3029580000000001E-6</v>
      </c>
      <c r="I726">
        <v>368.18549999999999</v>
      </c>
      <c r="J726">
        <v>-303.82810000000001</v>
      </c>
      <c r="K726">
        <v>1.0601370000000001</v>
      </c>
      <c r="L726">
        <v>367.28149999999999</v>
      </c>
      <c r="M726">
        <v>0.99990420000000002</v>
      </c>
      <c r="N726">
        <v>0</v>
      </c>
      <c r="O726">
        <v>5.2741269999999896E-3</v>
      </c>
      <c r="P726">
        <v>0.98861980000000005</v>
      </c>
      <c r="Q726">
        <v>0.1504316</v>
      </c>
      <c r="R726">
        <v>-1.1280929999999999E-3</v>
      </c>
      <c r="S726">
        <v>3.0504150000000001</v>
      </c>
      <c r="T726">
        <v>-0.10360519999999999</v>
      </c>
      <c r="U726">
        <v>8.8470460000000001E-2</v>
      </c>
      <c r="V726">
        <v>6.3416159999999996E-3</v>
      </c>
      <c r="W726">
        <v>0.16306999999999999</v>
      </c>
      <c r="X726">
        <v>0.98659410000000003</v>
      </c>
      <c r="Y726">
        <v>-2.3707209999999999E-2</v>
      </c>
      <c r="Z726">
        <v>2.2334540000000001E-4</v>
      </c>
      <c r="AA726">
        <v>0.99971889999999997</v>
      </c>
      <c r="AB726">
        <v>39</v>
      </c>
      <c r="AC726">
        <v>30.977</v>
      </c>
      <c r="AD726">
        <v>-1.0601403029580001</v>
      </c>
      <c r="AE726">
        <v>0.90399999999999603</v>
      </c>
      <c r="AF726">
        <v>-0.739731742336731</v>
      </c>
      <c r="AG726">
        <v>-1.0601403029580001</v>
      </c>
      <c r="AH726">
        <v>30.945123793538301</v>
      </c>
      <c r="AI726">
        <v>91.961552708978104</v>
      </c>
      <c r="AJ726">
        <v>91.369373629562503</v>
      </c>
      <c r="AK726">
        <v>30.9721130552952</v>
      </c>
      <c r="AL726">
        <v>80.614864650679394</v>
      </c>
      <c r="AM726">
        <v>89.631720047649196</v>
      </c>
      <c r="AN726">
        <v>0.99999997957414999</v>
      </c>
    </row>
    <row r="727" spans="1:40" x14ac:dyDescent="0.25">
      <c r="A727" t="str">
        <f>"20190312172344384"</f>
        <v>20190312172344384</v>
      </c>
      <c r="B727" t="str">
        <f>"1552382624380483"</f>
        <v>1552382624380483</v>
      </c>
      <c r="C727" t="s">
        <v>40</v>
      </c>
      <c r="D727">
        <v>3.6071230000000001</v>
      </c>
      <c r="E727">
        <v>0.48743359999999902</v>
      </c>
      <c r="F727" t="s">
        <v>43</v>
      </c>
      <c r="G727">
        <v>-273.16919999999999</v>
      </c>
      <c r="H727" s="1">
        <v>-3.1661219999999998E-6</v>
      </c>
      <c r="I727">
        <v>368.18770000000001</v>
      </c>
      <c r="J727">
        <v>-303.5095</v>
      </c>
      <c r="K727">
        <v>1.060119</v>
      </c>
      <c r="L727">
        <v>367.2833</v>
      </c>
      <c r="M727">
        <v>0.99990460000000003</v>
      </c>
      <c r="N727">
        <v>0</v>
      </c>
      <c r="O727">
        <v>5.2875910000000003E-3</v>
      </c>
      <c r="P727">
        <v>0.98863400000000001</v>
      </c>
      <c r="Q727">
        <v>0.15033940000000001</v>
      </c>
      <c r="R727">
        <v>-1.022764E-3</v>
      </c>
      <c r="S727">
        <v>3.050659</v>
      </c>
      <c r="T727">
        <v>-0.1054871</v>
      </c>
      <c r="U727">
        <v>9.017944E-2</v>
      </c>
      <c r="V727">
        <v>6.2494780000000002E-3</v>
      </c>
      <c r="W727">
        <v>0.16295279999999901</v>
      </c>
      <c r="X727">
        <v>0.98661399999999999</v>
      </c>
      <c r="Y727">
        <v>-2.4250290000000001E-2</v>
      </c>
      <c r="Z727">
        <v>2.362992E-4</v>
      </c>
      <c r="AA727">
        <v>0.99970590000000004</v>
      </c>
      <c r="AB727">
        <v>39</v>
      </c>
      <c r="AC727">
        <v>30.340299999999999</v>
      </c>
      <c r="AD727">
        <v>-1.0601221661219999</v>
      </c>
      <c r="AE727">
        <v>0.90440000000000897</v>
      </c>
      <c r="AF727">
        <v>-0.74304083830055201</v>
      </c>
      <c r="AG727">
        <v>-1.0601221661219999</v>
      </c>
      <c r="AH727">
        <v>30.307689151403402</v>
      </c>
      <c r="AI727">
        <v>92.002711183347401</v>
      </c>
      <c r="AJ727">
        <v>91.404415137102703</v>
      </c>
      <c r="AK727">
        <v>30.335325783524699</v>
      </c>
      <c r="AL727">
        <v>80.621670265300097</v>
      </c>
      <c r="AM727">
        <v>89.637078001376494</v>
      </c>
      <c r="AN727">
        <v>0.99999992799955295</v>
      </c>
    </row>
    <row r="728" spans="1:40" x14ac:dyDescent="0.25">
      <c r="A728" t="str">
        <f>"20190312172344398"</f>
        <v>20190312172344398</v>
      </c>
      <c r="B728" t="str">
        <f>"1552382624390243"</f>
        <v>1552382624390243</v>
      </c>
      <c r="C728" t="s">
        <v>40</v>
      </c>
      <c r="D728">
        <v>3.604314</v>
      </c>
      <c r="E728">
        <v>0.48737150000000001</v>
      </c>
      <c r="F728" t="s">
        <v>43</v>
      </c>
      <c r="G728">
        <v>-273.10579999999999</v>
      </c>
      <c r="H728" s="1">
        <v>-3.1912649999999999E-6</v>
      </c>
      <c r="I728">
        <v>368.19920000000002</v>
      </c>
      <c r="J728">
        <v>-303.26530000000002</v>
      </c>
      <c r="K728">
        <v>1.0600969999999901</v>
      </c>
      <c r="L728">
        <v>367.28460000000001</v>
      </c>
      <c r="M728">
        <v>0.99990469999999998</v>
      </c>
      <c r="N728">
        <v>0</v>
      </c>
      <c r="O728">
        <v>5.2983140000000001E-3</v>
      </c>
      <c r="P728">
        <v>0.98859609999999998</v>
      </c>
      <c r="Q728">
        <v>0.150589</v>
      </c>
      <c r="R728">
        <v>-8.6683919999999996E-4</v>
      </c>
      <c r="S728">
        <v>3.0507810000000002</v>
      </c>
      <c r="T728">
        <v>-0.10637489999999999</v>
      </c>
      <c r="U728">
        <v>9.1918949999999999E-2</v>
      </c>
      <c r="V728">
        <v>6.1039619999999897E-3</v>
      </c>
      <c r="W728">
        <v>0.16318479999999999</v>
      </c>
      <c r="X728">
        <v>0.98657660000000003</v>
      </c>
      <c r="Y728">
        <v>-2.4807369999999999E-2</v>
      </c>
      <c r="Z728">
        <v>2.4760850000000003E-4</v>
      </c>
      <c r="AA728">
        <v>0.99969220000000003</v>
      </c>
      <c r="AB728">
        <v>39</v>
      </c>
      <c r="AC728">
        <v>30.159500000000001</v>
      </c>
      <c r="AD728">
        <v>-1.0601001912650001</v>
      </c>
      <c r="AE728">
        <v>0.91460000000000696</v>
      </c>
      <c r="AF728">
        <v>-0.75384914209062104</v>
      </c>
      <c r="AG728">
        <v>-1.0601001912650001</v>
      </c>
      <c r="AH728">
        <v>30.126735216774001</v>
      </c>
      <c r="AI728">
        <v>92.014663487733102</v>
      </c>
      <c r="AJ728">
        <v>91.433390064353404</v>
      </c>
      <c r="AK728">
        <v>30.1548051853459</v>
      </c>
      <c r="AL728">
        <v>80.608197630622797</v>
      </c>
      <c r="AM728">
        <v>89.645514804890297</v>
      </c>
      <c r="AN728">
        <v>0.99999996248534795</v>
      </c>
    </row>
    <row r="729" spans="1:40" x14ac:dyDescent="0.25">
      <c r="A729" t="str">
        <f>"20190312172344410"</f>
        <v>20190312172344410</v>
      </c>
      <c r="B729" t="str">
        <f>"1552382624400148"</f>
        <v>1552382624400148</v>
      </c>
      <c r="C729" t="s">
        <v>40</v>
      </c>
      <c r="D729">
        <v>3.5691579999999998</v>
      </c>
      <c r="E729">
        <v>0.48724220000000001</v>
      </c>
      <c r="F729" t="s">
        <v>43</v>
      </c>
      <c r="G729">
        <v>-272.87049999999999</v>
      </c>
      <c r="H729" s="1">
        <v>-3.2900120000000002E-6</v>
      </c>
      <c r="I729">
        <v>368.2115</v>
      </c>
      <c r="J729">
        <v>-303.0401</v>
      </c>
      <c r="K729">
        <v>1.0600860000000001</v>
      </c>
      <c r="L729">
        <v>367.28570000000002</v>
      </c>
      <c r="M729">
        <v>0.99990489999999999</v>
      </c>
      <c r="N729">
        <v>0</v>
      </c>
      <c r="O729">
        <v>5.3081229999999997E-3</v>
      </c>
      <c r="P729">
        <v>0.98860979999999998</v>
      </c>
      <c r="Q729">
        <v>0.15050060000000001</v>
      </c>
      <c r="R729">
        <v>-7.1476869999999998E-4</v>
      </c>
      <c r="S729">
        <v>3.0509029999999999</v>
      </c>
      <c r="T729">
        <v>-0.1064085</v>
      </c>
      <c r="U729">
        <v>9.3048099999999995E-2</v>
      </c>
      <c r="V729">
        <v>5.9616080000000002E-3</v>
      </c>
      <c r="W729">
        <v>0.1630818</v>
      </c>
      <c r="X729">
        <v>0.98659459999999999</v>
      </c>
      <c r="Y729">
        <v>-2.516579E-2</v>
      </c>
      <c r="Z729">
        <v>2.5358059999999998E-4</v>
      </c>
      <c r="AA729">
        <v>0.99968330000000005</v>
      </c>
      <c r="AB729">
        <v>39</v>
      </c>
      <c r="AC729">
        <v>30.169599999999999</v>
      </c>
      <c r="AD729">
        <v>-1.060089290012</v>
      </c>
      <c r="AE729">
        <v>0.92579999999998097</v>
      </c>
      <c r="AF729">
        <v>-0.76468679642891002</v>
      </c>
      <c r="AG729">
        <v>-1.060089290012</v>
      </c>
      <c r="AH729">
        <v>30.136915851340799</v>
      </c>
      <c r="AI729">
        <v>92.013944981338398</v>
      </c>
      <c r="AJ729">
        <v>91.453497338246095</v>
      </c>
      <c r="AK729">
        <v>30.165248751340101</v>
      </c>
      <c r="AL729">
        <v>80.614180144207396</v>
      </c>
      <c r="AM729">
        <v>89.653788070322094</v>
      </c>
      <c r="AN729">
        <v>1.0000000595051699</v>
      </c>
    </row>
    <row r="730" spans="1:40" x14ac:dyDescent="0.25">
      <c r="A730" t="str">
        <f>"20190312172344422"</f>
        <v>20190312172344422</v>
      </c>
      <c r="B730" t="str">
        <f>"1552382624410884"</f>
        <v>1552382624410884</v>
      </c>
      <c r="C730" t="s">
        <v>40</v>
      </c>
      <c r="D730">
        <v>3.5818050000000001</v>
      </c>
      <c r="E730">
        <v>0.48716100000000001</v>
      </c>
      <c r="F730" t="s">
        <v>43</v>
      </c>
      <c r="G730">
        <v>-272.92529999999999</v>
      </c>
      <c r="H730" s="1">
        <v>-3.2651899999999998E-6</v>
      </c>
      <c r="I730">
        <v>368.2192</v>
      </c>
      <c r="J730">
        <v>-302.83229999999998</v>
      </c>
      <c r="K730">
        <v>1.060076</v>
      </c>
      <c r="L730">
        <v>367.2869</v>
      </c>
      <c r="M730">
        <v>0.99990489999999999</v>
      </c>
      <c r="N730">
        <v>0</v>
      </c>
      <c r="O730">
        <v>5.3175019999999896E-3</v>
      </c>
      <c r="P730">
        <v>0.98859660000000005</v>
      </c>
      <c r="Q730">
        <v>0.15058629999999901</v>
      </c>
      <c r="R730">
        <v>-7.7515369999999904E-4</v>
      </c>
      <c r="S730">
        <v>3.0509949999999999</v>
      </c>
      <c r="T730">
        <v>-0.1073996</v>
      </c>
      <c r="U730">
        <v>9.4573969999999993E-2</v>
      </c>
      <c r="V730">
        <v>6.0312450000000002E-3</v>
      </c>
      <c r="W730">
        <v>0.1631542</v>
      </c>
      <c r="X730">
        <v>0.98658219999999996</v>
      </c>
      <c r="Y730">
        <v>-2.5654469999999999E-2</v>
      </c>
      <c r="Z730">
        <v>2.6419790000000001E-4</v>
      </c>
      <c r="AA730">
        <v>0.99967090000000003</v>
      </c>
      <c r="AB730">
        <v>39</v>
      </c>
      <c r="AC730">
        <v>29.906999999999901</v>
      </c>
      <c r="AD730">
        <v>-1.06007926519</v>
      </c>
      <c r="AE730">
        <v>0.93229999999999802</v>
      </c>
      <c r="AF730">
        <v>-0.77227405844018904</v>
      </c>
      <c r="AG730">
        <v>-1.06007926519</v>
      </c>
      <c r="AH730">
        <v>29.874037449345401</v>
      </c>
      <c r="AI730">
        <v>92.031608032675294</v>
      </c>
      <c r="AJ730">
        <v>91.480823995902099</v>
      </c>
      <c r="AK730">
        <v>29.902814061467801</v>
      </c>
      <c r="AL730">
        <v>80.609975556520695</v>
      </c>
      <c r="AM730">
        <v>89.649739698345897</v>
      </c>
      <c r="AN730">
        <v>1.0000000531253601</v>
      </c>
    </row>
    <row r="731" spans="1:40" x14ac:dyDescent="0.25">
      <c r="A731" t="str">
        <f>"20190312172344434"</f>
        <v>20190312172344434</v>
      </c>
      <c r="B731" t="str">
        <f>"1552382624430403"</f>
        <v>1552382624430403</v>
      </c>
      <c r="C731" t="s">
        <v>40</v>
      </c>
      <c r="D731">
        <v>3.567183</v>
      </c>
      <c r="E731">
        <v>0.4870621</v>
      </c>
      <c r="F731" t="s">
        <v>43</v>
      </c>
      <c r="G731">
        <v>-272.76769999999999</v>
      </c>
      <c r="H731" s="1">
        <v>-3.3320570000000001E-6</v>
      </c>
      <c r="I731">
        <v>368.22320000000002</v>
      </c>
      <c r="J731">
        <v>-302.62759999999997</v>
      </c>
      <c r="K731">
        <v>1.0600670000000001</v>
      </c>
      <c r="L731">
        <v>367.28800000000001</v>
      </c>
      <c r="M731">
        <v>0.99990500000000004</v>
      </c>
      <c r="N731">
        <v>0</v>
      </c>
      <c r="O731">
        <v>5.3264540000000004E-3</v>
      </c>
      <c r="P731">
        <v>0.98857289999999998</v>
      </c>
      <c r="Q731">
        <v>0.1507426</v>
      </c>
      <c r="R731">
        <v>-6.5735309999999999E-4</v>
      </c>
      <c r="S731">
        <v>3.0510860000000002</v>
      </c>
      <c r="T731">
        <v>-0.1075811</v>
      </c>
      <c r="U731">
        <v>9.5031740000000003E-2</v>
      </c>
      <c r="V731">
        <v>5.9222579999999997E-3</v>
      </c>
      <c r="W731">
        <v>0.1632991</v>
      </c>
      <c r="X731">
        <v>0.98655890000000002</v>
      </c>
      <c r="Y731">
        <v>-2.5794299999999999E-2</v>
      </c>
      <c r="Z731">
        <v>2.6678420000000001E-4</v>
      </c>
      <c r="AA731">
        <v>0.99966719999999998</v>
      </c>
      <c r="AB731">
        <v>39</v>
      </c>
      <c r="AC731">
        <v>29.8598999999999</v>
      </c>
      <c r="AD731">
        <v>-1.060070332057</v>
      </c>
      <c r="AE731">
        <v>0.93520000000000802</v>
      </c>
      <c r="AF731">
        <v>-0.77515048656757701</v>
      </c>
      <c r="AG731">
        <v>-1.060070332057</v>
      </c>
      <c r="AH731">
        <v>29.8269024245342</v>
      </c>
      <c r="AI731">
        <v>92.034791494352007</v>
      </c>
      <c r="AJ731">
        <v>91.488684815298797</v>
      </c>
      <c r="AK731">
        <v>29.855798693527099</v>
      </c>
      <c r="AL731">
        <v>80.601560665211196</v>
      </c>
      <c r="AM731">
        <v>89.656060765521403</v>
      </c>
      <c r="AN731">
        <v>1.00000006618491</v>
      </c>
    </row>
    <row r="732" spans="1:40" x14ac:dyDescent="0.25">
      <c r="A732" t="str">
        <f>"20190312172344450"</f>
        <v>20190312172344450</v>
      </c>
      <c r="B732" t="str">
        <f>"1552382624440164"</f>
        <v>1552382624440164</v>
      </c>
      <c r="C732" t="s">
        <v>40</v>
      </c>
      <c r="D732">
        <v>3.572775</v>
      </c>
      <c r="E732">
        <v>0.48700399999999999</v>
      </c>
      <c r="F732" t="s">
        <v>43</v>
      </c>
      <c r="G732">
        <v>-272.68430000000001</v>
      </c>
      <c r="H732" s="1">
        <v>-3.3663420000000002E-6</v>
      </c>
      <c r="I732">
        <v>368.23160000000001</v>
      </c>
      <c r="J732">
        <v>-302.34370000000001</v>
      </c>
      <c r="K732">
        <v>1.0600560000000001</v>
      </c>
      <c r="L732">
        <v>367.28949999999998</v>
      </c>
      <c r="M732">
        <v>0.99990509999999999</v>
      </c>
      <c r="N732">
        <v>0</v>
      </c>
      <c r="O732">
        <v>5.3390030000000002E-3</v>
      </c>
      <c r="P732">
        <v>0.98859569999999997</v>
      </c>
      <c r="Q732">
        <v>0.1505928</v>
      </c>
      <c r="R732">
        <v>-4.707337E-4</v>
      </c>
      <c r="S732">
        <v>3.0512079999999999</v>
      </c>
      <c r="T732">
        <v>-0.1080204</v>
      </c>
      <c r="U732">
        <v>9.6160889999999999E-2</v>
      </c>
      <c r="V732">
        <v>5.7482039999999998E-3</v>
      </c>
      <c r="W732">
        <v>0.16313540000000001</v>
      </c>
      <c r="X732">
        <v>0.98658690000000004</v>
      </c>
      <c r="Y732">
        <v>-2.6149780000000001E-2</v>
      </c>
      <c r="Z732">
        <v>2.7370539999999998E-4</v>
      </c>
      <c r="AA732">
        <v>0.99965800000000005</v>
      </c>
      <c r="AB732">
        <v>39</v>
      </c>
      <c r="AC732">
        <v>29.659400000000002</v>
      </c>
      <c r="AD732">
        <v>-1.0600593663419999</v>
      </c>
      <c r="AE732">
        <v>0.94210000000003902</v>
      </c>
      <c r="AF732">
        <v>-0.78272331032454001</v>
      </c>
      <c r="AG732">
        <v>-1.0600593663419999</v>
      </c>
      <c r="AH732">
        <v>29.6262003646948</v>
      </c>
      <c r="AI732">
        <v>92.048520131001197</v>
      </c>
      <c r="AJ732">
        <v>91.513400687937903</v>
      </c>
      <c r="AK732">
        <v>29.655490717399001</v>
      </c>
      <c r="AL732">
        <v>80.611066423806307</v>
      </c>
      <c r="AM732">
        <v>89.666178314011304</v>
      </c>
      <c r="AN732">
        <v>0.99999995591699598</v>
      </c>
    </row>
    <row r="733" spans="1:40" x14ac:dyDescent="0.25">
      <c r="A733" t="str">
        <f>"20190312172344462"</f>
        <v>20190312172344462</v>
      </c>
      <c r="B733" t="str">
        <f>"1552382624450900"</f>
        <v>1552382624450900</v>
      </c>
      <c r="C733" t="s">
        <v>40</v>
      </c>
      <c r="D733">
        <v>3.5924230000000001</v>
      </c>
      <c r="E733">
        <v>0.4870157</v>
      </c>
      <c r="F733" t="s">
        <v>43</v>
      </c>
      <c r="G733">
        <v>-272.67399999999998</v>
      </c>
      <c r="H733" s="1">
        <v>-3.3706540000000002E-6</v>
      </c>
      <c r="I733">
        <v>368.23219999999998</v>
      </c>
      <c r="J733">
        <v>-302.14690000000002</v>
      </c>
      <c r="K733">
        <v>1.0600480000000001</v>
      </c>
      <c r="L733">
        <v>367.29050000000001</v>
      </c>
      <c r="M733">
        <v>0.99990520000000005</v>
      </c>
      <c r="N733">
        <v>0</v>
      </c>
      <c r="O733">
        <v>5.3472900000000002E-3</v>
      </c>
      <c r="P733">
        <v>0.98856820000000001</v>
      </c>
      <c r="Q733">
        <v>0.1507734</v>
      </c>
      <c r="R733">
        <v>-4.669079E-4</v>
      </c>
      <c r="S733">
        <v>3.0512700000000001</v>
      </c>
      <c r="T733">
        <v>-0.1090177</v>
      </c>
      <c r="U733">
        <v>9.6954349999999995E-2</v>
      </c>
      <c r="V733">
        <v>5.7523210000000003E-3</v>
      </c>
      <c r="W733">
        <v>0.1633066</v>
      </c>
      <c r="X733">
        <v>0.98655859999999995</v>
      </c>
      <c r="Y733">
        <v>-2.6400159999999999E-2</v>
      </c>
      <c r="Z733">
        <v>2.8039880000000001E-4</v>
      </c>
      <c r="AA733">
        <v>0.99965139999999997</v>
      </c>
      <c r="AB733">
        <v>39</v>
      </c>
      <c r="AC733">
        <v>29.4728999999999</v>
      </c>
      <c r="AD733">
        <v>-1.06005137065399</v>
      </c>
      <c r="AE733">
        <v>0.94169999999996801</v>
      </c>
      <c r="AF733">
        <v>-0.78306174847443599</v>
      </c>
      <c r="AG733">
        <v>-1.06005137065399</v>
      </c>
      <c r="AH733">
        <v>29.4394697440326</v>
      </c>
      <c r="AI733">
        <v>92.061477137851995</v>
      </c>
      <c r="AJ733">
        <v>91.523653690054999</v>
      </c>
      <c r="AK733">
        <v>29.468954399845298</v>
      </c>
      <c r="AL733">
        <v>80.601124500770595</v>
      </c>
      <c r="AM733">
        <v>89.665929645913195</v>
      </c>
      <c r="AN733">
        <v>1.0000000030172</v>
      </c>
    </row>
    <row r="734" spans="1:40" x14ac:dyDescent="0.25">
      <c r="A734" t="str">
        <f>"20190312172344473"</f>
        <v>20190312172344473</v>
      </c>
      <c r="B734" t="str">
        <f>"1552382624460659"</f>
        <v>1552382624460659</v>
      </c>
      <c r="C734" t="s">
        <v>40</v>
      </c>
      <c r="D734">
        <v>3.6112820000000001</v>
      </c>
      <c r="E734">
        <v>0.48701529999999998</v>
      </c>
      <c r="F734" t="s">
        <v>43</v>
      </c>
      <c r="G734">
        <v>-272.40769999999998</v>
      </c>
      <c r="H734" s="1">
        <v>-3.4845330000000001E-6</v>
      </c>
      <c r="I734">
        <v>368.23419999999999</v>
      </c>
      <c r="J734">
        <v>-301.94639999999998</v>
      </c>
      <c r="K734">
        <v>1.0600419999999999</v>
      </c>
      <c r="L734">
        <v>367.29160000000002</v>
      </c>
      <c r="M734">
        <v>0.99990520000000005</v>
      </c>
      <c r="N734">
        <v>0</v>
      </c>
      <c r="O734">
        <v>5.3563999999999903E-3</v>
      </c>
      <c r="P734">
        <v>0.98860780000000004</v>
      </c>
      <c r="Q734">
        <v>0.1505138</v>
      </c>
      <c r="R734">
        <v>-4.4139850000000003E-4</v>
      </c>
      <c r="S734">
        <v>3.0513309999999998</v>
      </c>
      <c r="T734">
        <v>-0.1087641</v>
      </c>
      <c r="U734">
        <v>9.6832280000000007E-2</v>
      </c>
      <c r="V734">
        <v>5.7361560000000001E-3</v>
      </c>
      <c r="W734">
        <v>0.16303889999999999</v>
      </c>
      <c r="X734">
        <v>0.98660300000000001</v>
      </c>
      <c r="Y734">
        <v>-2.635057E-2</v>
      </c>
      <c r="Z734">
        <v>2.785334E-4</v>
      </c>
      <c r="AA734">
        <v>0.99965269999999995</v>
      </c>
      <c r="AB734">
        <v>39</v>
      </c>
      <c r="AC734">
        <v>29.538699999999999</v>
      </c>
      <c r="AD734">
        <v>-1.0600454845329901</v>
      </c>
      <c r="AE734">
        <v>0.94259999999997002</v>
      </c>
      <c r="AF734">
        <v>-0.78334484589179698</v>
      </c>
      <c r="AG734">
        <v>-1.0600454845329901</v>
      </c>
      <c r="AH734">
        <v>29.5053656148614</v>
      </c>
      <c r="AI734">
        <v>92.056868399533002</v>
      </c>
      <c r="AJ734">
        <v>91.520801786717499</v>
      </c>
      <c r="AK734">
        <v>29.534791782633398</v>
      </c>
      <c r="AL734">
        <v>80.616671225835205</v>
      </c>
      <c r="AM734">
        <v>89.666883410769103</v>
      </c>
      <c r="AN734">
        <v>1.00000003300393</v>
      </c>
    </row>
    <row r="735" spans="1:40" x14ac:dyDescent="0.25">
      <c r="A735" t="str">
        <f>"20190312172344485"</f>
        <v>20190312172344485</v>
      </c>
      <c r="B735" t="str">
        <f>"1552382624480180"</f>
        <v>1552382624480180</v>
      </c>
      <c r="C735" t="s">
        <v>40</v>
      </c>
      <c r="D735">
        <v>3.588276</v>
      </c>
      <c r="E735">
        <v>0.4869909</v>
      </c>
      <c r="F735" t="s">
        <v>43</v>
      </c>
      <c r="G735">
        <v>-272.58019999999999</v>
      </c>
      <c r="H735" s="1">
        <v>-3.4121260000000002E-6</v>
      </c>
      <c r="I735">
        <v>368.22519999999997</v>
      </c>
      <c r="J735">
        <v>-301.7457</v>
      </c>
      <c r="K735">
        <v>1.0600369999999999</v>
      </c>
      <c r="L735">
        <v>367.29270000000002</v>
      </c>
      <c r="M735">
        <v>0.9999053</v>
      </c>
      <c r="N735">
        <v>0</v>
      </c>
      <c r="O735">
        <v>5.3652109999999999E-3</v>
      </c>
      <c r="P735">
        <v>0.98862249999999996</v>
      </c>
      <c r="Q735">
        <v>0.150416299999999</v>
      </c>
      <c r="R735">
        <v>-3.2328020000000002E-4</v>
      </c>
      <c r="S735">
        <v>3.0513919999999999</v>
      </c>
      <c r="T735">
        <v>-0.1101475</v>
      </c>
      <c r="U735">
        <v>9.7015379999999998E-2</v>
      </c>
      <c r="V735">
        <v>5.6270640000000002E-3</v>
      </c>
      <c r="W735">
        <v>0.16293360000000001</v>
      </c>
      <c r="X735">
        <v>0.98662099999999997</v>
      </c>
      <c r="Y735">
        <v>-2.6400690000000001E-2</v>
      </c>
      <c r="Z735">
        <v>2.8265419999999998E-4</v>
      </c>
      <c r="AA735">
        <v>0.99965139999999997</v>
      </c>
      <c r="AB735">
        <v>39</v>
      </c>
      <c r="AC735">
        <v>29.165500000000002</v>
      </c>
      <c r="AD735">
        <v>-1.0600404121259901</v>
      </c>
      <c r="AE735">
        <v>0.93249999999994704</v>
      </c>
      <c r="AF735">
        <v>-0.77497224751389004</v>
      </c>
      <c r="AG735">
        <v>-1.0600404121259901</v>
      </c>
      <c r="AH735">
        <v>29.131639741034299</v>
      </c>
      <c r="AI735">
        <v>92.083219684023206</v>
      </c>
      <c r="AJ735">
        <v>91.523847247963801</v>
      </c>
      <c r="AK735">
        <v>29.161219138800899</v>
      </c>
      <c r="AL735">
        <v>80.622786019062701</v>
      </c>
      <c r="AM735">
        <v>89.673224548716206</v>
      </c>
      <c r="AN735">
        <v>1.00000000974961</v>
      </c>
    </row>
    <row r="736" spans="1:40" x14ac:dyDescent="0.25">
      <c r="A736" t="str">
        <f>"20190312172344495"</f>
        <v>20190312172344495</v>
      </c>
      <c r="B736" t="str">
        <f>"1552382624490915"</f>
        <v>1552382624490915</v>
      </c>
      <c r="C736" t="s">
        <v>40</v>
      </c>
      <c r="D736">
        <v>3.610795</v>
      </c>
      <c r="E736">
        <v>0.4869541</v>
      </c>
      <c r="F736" t="s">
        <v>43</v>
      </c>
      <c r="G736">
        <v>-272.68099999999998</v>
      </c>
      <c r="H736" s="1">
        <v>-3.3697539999999999E-6</v>
      </c>
      <c r="I736">
        <v>368.22050000000002</v>
      </c>
      <c r="J736">
        <v>-301.54899999999998</v>
      </c>
      <c r="K736">
        <v>1.0600320000000001</v>
      </c>
      <c r="L736">
        <v>367.29379999999998</v>
      </c>
      <c r="M736">
        <v>0.99990540000000006</v>
      </c>
      <c r="N736">
        <v>0</v>
      </c>
      <c r="O736">
        <v>5.3738400000000004E-3</v>
      </c>
      <c r="P736">
        <v>0.98860539999999997</v>
      </c>
      <c r="Q736">
        <v>0.15053029999999901</v>
      </c>
      <c r="R736">
        <v>-3.7329779999999998E-4</v>
      </c>
      <c r="S736">
        <v>3.0515140000000001</v>
      </c>
      <c r="T736">
        <v>-0.11129360000000001</v>
      </c>
      <c r="U736">
        <v>9.7412109999999996E-2</v>
      </c>
      <c r="V736">
        <v>5.6852069999999899E-3</v>
      </c>
      <c r="W736">
        <v>0.16303989999999999</v>
      </c>
      <c r="X736">
        <v>0.98660309999999996</v>
      </c>
      <c r="Y736">
        <v>-2.6520269999999999E-2</v>
      </c>
      <c r="Z736">
        <v>2.8744620000000003E-4</v>
      </c>
      <c r="AA736">
        <v>0.99964819999999999</v>
      </c>
      <c r="AB736">
        <v>39</v>
      </c>
      <c r="AC736">
        <v>28.867999999999999</v>
      </c>
      <c r="AD736">
        <v>-1.0600353697539999</v>
      </c>
      <c r="AE736">
        <v>0.92670000000003905</v>
      </c>
      <c r="AF736">
        <v>-0.770504316425214</v>
      </c>
      <c r="AG736">
        <v>-1.0600353697539999</v>
      </c>
      <c r="AH736">
        <v>28.8337250900436</v>
      </c>
      <c r="AI736">
        <v>92.104707862565107</v>
      </c>
      <c r="AJ736">
        <v>91.530712444126905</v>
      </c>
      <c r="AK736">
        <v>28.863489990903201</v>
      </c>
      <c r="AL736">
        <v>80.616612876037195</v>
      </c>
      <c r="AM736">
        <v>89.669842146842001</v>
      </c>
      <c r="AN736">
        <v>1.00000000375012</v>
      </c>
    </row>
    <row r="737" spans="1:40" x14ac:dyDescent="0.25">
      <c r="A737" t="str">
        <f>"20190312172344508"</f>
        <v>20190312172344508</v>
      </c>
      <c r="B737" t="str">
        <f>"1552382624500206"</f>
        <v>1552382624500206</v>
      </c>
      <c r="C737" t="s">
        <v>40</v>
      </c>
      <c r="D737">
        <v>3.5919449999999902</v>
      </c>
      <c r="E737">
        <v>0.4869154</v>
      </c>
      <c r="F737" t="s">
        <v>43</v>
      </c>
      <c r="G737">
        <v>-272.52050000000003</v>
      </c>
      <c r="H737" s="1">
        <v>-3.4381530000000001E-6</v>
      </c>
      <c r="I737">
        <v>368.22300000000001</v>
      </c>
      <c r="J737">
        <v>-301.35500000000002</v>
      </c>
      <c r="K737">
        <v>1.0600290000000001</v>
      </c>
      <c r="L737">
        <v>367.29480000000001</v>
      </c>
      <c r="M737">
        <v>0.9999055</v>
      </c>
      <c r="N737">
        <v>0</v>
      </c>
      <c r="O737">
        <v>5.382286E-3</v>
      </c>
      <c r="P737">
        <v>0.98861600000000005</v>
      </c>
      <c r="Q737">
        <v>0.1504607</v>
      </c>
      <c r="R737">
        <v>-1.8804149999999999E-4</v>
      </c>
      <c r="S737">
        <v>3.0515750000000001</v>
      </c>
      <c r="T737">
        <v>-0.11143409999999999</v>
      </c>
      <c r="U737">
        <v>9.7686770000000006E-2</v>
      </c>
      <c r="V737">
        <v>5.5085969999999996E-3</v>
      </c>
      <c r="W737">
        <v>0.16296369999999999</v>
      </c>
      <c r="X737">
        <v>0.98661670000000001</v>
      </c>
      <c r="Y737">
        <v>-2.660098E-2</v>
      </c>
      <c r="Z737">
        <v>2.8896750000000001E-4</v>
      </c>
      <c r="AA737">
        <v>0.99964609999999998</v>
      </c>
      <c r="AB737">
        <v>39</v>
      </c>
      <c r="AC737">
        <v>28.834499999999899</v>
      </c>
      <c r="AD737">
        <v>-1.060032438153</v>
      </c>
      <c r="AE737">
        <v>0.92820000000000402</v>
      </c>
      <c r="AF737">
        <v>-0.77193642281907304</v>
      </c>
      <c r="AG737">
        <v>-1.060032438153</v>
      </c>
      <c r="AH737">
        <v>28.800195574026201</v>
      </c>
      <c r="AI737">
        <v>92.107145606447304</v>
      </c>
      <c r="AJ737">
        <v>91.535340691944199</v>
      </c>
      <c r="AK737">
        <v>28.8300332936501</v>
      </c>
      <c r="AL737">
        <v>80.621038079224903</v>
      </c>
      <c r="AM737">
        <v>89.680102638086197</v>
      </c>
      <c r="AN737">
        <v>1.00000001243874</v>
      </c>
    </row>
    <row r="738" spans="1:40" x14ac:dyDescent="0.25">
      <c r="A738" t="str">
        <f>"20190312172344518"</f>
        <v>20190312172344518</v>
      </c>
      <c r="B738" t="str">
        <f>"1552382624510942"</f>
        <v>1552382624510942</v>
      </c>
      <c r="C738" t="s">
        <v>40</v>
      </c>
      <c r="D738">
        <v>3.5725470000000001</v>
      </c>
      <c r="E738">
        <v>0.4869135</v>
      </c>
      <c r="F738" t="s">
        <v>43</v>
      </c>
      <c r="G738">
        <v>-272.5104</v>
      </c>
      <c r="H738" s="1">
        <v>-3.442222E-6</v>
      </c>
      <c r="I738">
        <v>368.2244</v>
      </c>
      <c r="J738">
        <v>-301.14510000000001</v>
      </c>
      <c r="K738">
        <v>1.060025</v>
      </c>
      <c r="L738">
        <v>367.29599999999999</v>
      </c>
      <c r="M738">
        <v>0.9999055</v>
      </c>
      <c r="N738">
        <v>0</v>
      </c>
      <c r="O738">
        <v>5.3915680000000002E-3</v>
      </c>
      <c r="P738">
        <v>0.98860170000000003</v>
      </c>
      <c r="Q738">
        <v>0.1505551</v>
      </c>
      <c r="R738">
        <v>-1.176219E-4</v>
      </c>
      <c r="S738">
        <v>3.051666</v>
      </c>
      <c r="T738">
        <v>-0.1121476</v>
      </c>
      <c r="U738">
        <v>9.8358150000000005E-2</v>
      </c>
      <c r="V738">
        <v>5.4471270000000004E-3</v>
      </c>
      <c r="W738">
        <v>0.16305159999999999</v>
      </c>
      <c r="X738">
        <v>0.98660250000000005</v>
      </c>
      <c r="Y738">
        <v>-2.6810130000000001E-2</v>
      </c>
      <c r="Z738">
        <v>2.9430649999999999E-4</v>
      </c>
      <c r="AA738">
        <v>0.99964050000000004</v>
      </c>
      <c r="AB738">
        <v>39</v>
      </c>
      <c r="AC738">
        <v>28.634699999999999</v>
      </c>
      <c r="AD738">
        <v>-1.0600284422220001</v>
      </c>
      <c r="AE738">
        <v>0.92840000000001</v>
      </c>
      <c r="AF738">
        <v>-0.77293010835177201</v>
      </c>
      <c r="AG738">
        <v>-1.0600284422220001</v>
      </c>
      <c r="AH738">
        <v>28.600136983218999</v>
      </c>
      <c r="AI738">
        <v>92.121851048325496</v>
      </c>
      <c r="AJ738">
        <v>91.548064477824894</v>
      </c>
      <c r="AK738">
        <v>28.6302098614314</v>
      </c>
      <c r="AL738">
        <v>80.615933333191094</v>
      </c>
      <c r="AM738">
        <v>89.683667721843094</v>
      </c>
      <c r="AN738">
        <v>0.99999999423068198</v>
      </c>
    </row>
    <row r="739" spans="1:40" x14ac:dyDescent="0.25">
      <c r="A739" t="str">
        <f>"20190312172344530"</f>
        <v>20190312172344530</v>
      </c>
      <c r="B739" t="str">
        <f>"1552382624520702"</f>
        <v>1552382624520702</v>
      </c>
      <c r="C739" t="s">
        <v>40</v>
      </c>
      <c r="D739">
        <v>3.571885</v>
      </c>
      <c r="E739">
        <v>0.4869116</v>
      </c>
      <c r="F739" t="s">
        <v>43</v>
      </c>
      <c r="G739">
        <v>-272.34989999999999</v>
      </c>
      <c r="H739" s="1">
        <v>-3.5104139999999998E-6</v>
      </c>
      <c r="I739">
        <v>368.22829999999999</v>
      </c>
      <c r="J739">
        <v>-300.95510000000002</v>
      </c>
      <c r="K739">
        <v>1.0600160000000001</v>
      </c>
      <c r="L739">
        <v>367.29700000000003</v>
      </c>
      <c r="M739">
        <v>0.9999055</v>
      </c>
      <c r="N739">
        <v>0</v>
      </c>
      <c r="O739">
        <v>5.3996519999999996E-3</v>
      </c>
      <c r="P739">
        <v>0.98860910000000002</v>
      </c>
      <c r="Q739">
        <v>0.15050659999999999</v>
      </c>
      <c r="R739">
        <v>-1.4428379999999999E-4</v>
      </c>
      <c r="S739">
        <v>3.0516969999999999</v>
      </c>
      <c r="T739">
        <v>-0.1123407</v>
      </c>
      <c r="U739">
        <v>9.8815920000000002E-2</v>
      </c>
      <c r="V739">
        <v>5.4816989999999996E-3</v>
      </c>
      <c r="W739">
        <v>0.16299749999999999</v>
      </c>
      <c r="X739">
        <v>0.98661120000000002</v>
      </c>
      <c r="Y739">
        <v>-2.695138E-2</v>
      </c>
      <c r="Z739">
        <v>2.9711009999999999E-4</v>
      </c>
      <c r="AA739">
        <v>0.99963670000000004</v>
      </c>
      <c r="AB739">
        <v>39</v>
      </c>
      <c r="AC739">
        <v>28.6052</v>
      </c>
      <c r="AD739">
        <v>-1.060019510414</v>
      </c>
      <c r="AE739">
        <v>0.931300000000021</v>
      </c>
      <c r="AF739">
        <v>-0.77575180625320705</v>
      </c>
      <c r="AG739">
        <v>-1.060019510414</v>
      </c>
      <c r="AH739">
        <v>28.570620028112799</v>
      </c>
      <c r="AI739">
        <v>92.124016016166806</v>
      </c>
      <c r="AJ739">
        <v>91.555317543773995</v>
      </c>
      <c r="AK739">
        <v>28.600800006610999</v>
      </c>
      <c r="AL739">
        <v>80.619074617838294</v>
      </c>
      <c r="AM739">
        <v>89.6816628622868</v>
      </c>
      <c r="AN739">
        <v>0.99999994699780603</v>
      </c>
    </row>
    <row r="740" spans="1:40" x14ac:dyDescent="0.25">
      <c r="A740" t="str">
        <f>"20190312172344542"</f>
        <v>20190312172344542</v>
      </c>
      <c r="B740" t="str">
        <f>"1552382624530462"</f>
        <v>1552382624530462</v>
      </c>
      <c r="C740" t="s">
        <v>40</v>
      </c>
      <c r="D740">
        <v>3.5573030000000001</v>
      </c>
      <c r="E740">
        <v>0.48690080000000002</v>
      </c>
      <c r="F740" t="s">
        <v>43</v>
      </c>
      <c r="G740">
        <v>-272.19819999999999</v>
      </c>
      <c r="H740" s="1">
        <v>-3.5754749999999998E-6</v>
      </c>
      <c r="I740">
        <v>368.22840000000002</v>
      </c>
      <c r="J740">
        <v>-300.74579999999997</v>
      </c>
      <c r="K740">
        <v>1.060012</v>
      </c>
      <c r="L740">
        <v>367.29809999999998</v>
      </c>
      <c r="M740">
        <v>0.99990559999999995</v>
      </c>
      <c r="N740">
        <v>0</v>
      </c>
      <c r="O740">
        <v>5.4084550000000004E-3</v>
      </c>
      <c r="P740">
        <v>0.98862079999999997</v>
      </c>
      <c r="Q740">
        <v>0.150429799999999</v>
      </c>
      <c r="R740">
        <v>-1.8887590000000001E-4</v>
      </c>
      <c r="S740">
        <v>3.0516969999999999</v>
      </c>
      <c r="T740">
        <v>-0.1124892</v>
      </c>
      <c r="U740">
        <v>9.8846439999999994E-2</v>
      </c>
      <c r="V740">
        <v>5.5351089999999999E-3</v>
      </c>
      <c r="W740">
        <v>0.1629147</v>
      </c>
      <c r="X740">
        <v>0.98662459999999996</v>
      </c>
      <c r="Y740">
        <v>-2.6952529999999999E-2</v>
      </c>
      <c r="Z740">
        <v>2.971998E-4</v>
      </c>
      <c r="AA740">
        <v>0.99963670000000004</v>
      </c>
      <c r="AB740">
        <v>39</v>
      </c>
      <c r="AC740">
        <v>28.5475999999999</v>
      </c>
      <c r="AD740">
        <v>-1.060015575475</v>
      </c>
      <c r="AE740">
        <v>0.93030000000004498</v>
      </c>
      <c r="AF740">
        <v>-0.77480853025112095</v>
      </c>
      <c r="AG740">
        <v>-1.060015575475</v>
      </c>
      <c r="AH740">
        <v>28.512943792846698</v>
      </c>
      <c r="AI740">
        <v>92.128299393518603</v>
      </c>
      <c r="AJ740">
        <v>91.556568023556693</v>
      </c>
      <c r="AK740">
        <v>28.5431589879753</v>
      </c>
      <c r="AL740">
        <v>80.623883189741605</v>
      </c>
      <c r="AM740">
        <v>89.678565628984103</v>
      </c>
      <c r="AN740">
        <v>0.99999996911644495</v>
      </c>
    </row>
    <row r="741" spans="1:40" x14ac:dyDescent="0.25">
      <c r="A741" t="str">
        <f>"20190312172344554"</f>
        <v>20190312172344554</v>
      </c>
      <c r="B741" t="str">
        <f>"1552382624550958"</f>
        <v>1552382624550958</v>
      </c>
      <c r="C741" t="s">
        <v>40</v>
      </c>
      <c r="D741">
        <v>3.5688339999999998</v>
      </c>
      <c r="E741">
        <v>0.48693639999999999</v>
      </c>
      <c r="F741" t="s">
        <v>43</v>
      </c>
      <c r="G741">
        <v>-272.11649999999997</v>
      </c>
      <c r="H741" s="1">
        <v>-3.6111579999999999E-6</v>
      </c>
      <c r="I741">
        <v>368.22480000000002</v>
      </c>
      <c r="J741">
        <v>-300.52670000000001</v>
      </c>
      <c r="K741">
        <v>1.060009</v>
      </c>
      <c r="L741">
        <v>367.29930000000002</v>
      </c>
      <c r="M741">
        <v>0.9999055</v>
      </c>
      <c r="N741">
        <v>0</v>
      </c>
      <c r="O741">
        <v>5.4180849999999996E-3</v>
      </c>
      <c r="P741">
        <v>0.98866569999999998</v>
      </c>
      <c r="Q741">
        <v>0.15013409999999999</v>
      </c>
      <c r="R741" s="1">
        <v>-5.0169880000000001E-5</v>
      </c>
      <c r="S741">
        <v>3.051758</v>
      </c>
      <c r="T741">
        <v>-0.1129926</v>
      </c>
      <c r="U741">
        <v>9.8785399999999995E-2</v>
      </c>
      <c r="V741">
        <v>5.4061309999999998E-3</v>
      </c>
      <c r="W741">
        <v>0.1626146</v>
      </c>
      <c r="X741">
        <v>0.98667479999999996</v>
      </c>
      <c r="Y741">
        <v>-2.692218E-2</v>
      </c>
      <c r="Z741">
        <v>2.9760499999999999E-4</v>
      </c>
      <c r="AA741">
        <v>0.99963749999999996</v>
      </c>
      <c r="AB741">
        <v>39</v>
      </c>
      <c r="AC741">
        <v>28.4102</v>
      </c>
      <c r="AD741">
        <v>-1.0600126111579999</v>
      </c>
      <c r="AE741">
        <v>0.92549999999999899</v>
      </c>
      <c r="AF741">
        <v>-0.77047380014872902</v>
      </c>
      <c r="AG741">
        <v>-1.0600126111579999</v>
      </c>
      <c r="AH741">
        <v>28.375338058349801</v>
      </c>
      <c r="AI741">
        <v>92.138606227697693</v>
      </c>
      <c r="AJ741">
        <v>91.555366586289495</v>
      </c>
      <c r="AK741">
        <v>28.405581608869799</v>
      </c>
      <c r="AL741">
        <v>80.641309839712093</v>
      </c>
      <c r="AM741">
        <v>89.686071449074902</v>
      </c>
      <c r="AN741">
        <v>0.99999994767029299</v>
      </c>
    </row>
    <row r="742" spans="1:40" x14ac:dyDescent="0.25">
      <c r="A742" t="str">
        <f>"20190312172344568"</f>
        <v>20190312172344568</v>
      </c>
      <c r="B742" t="str">
        <f>"1552382624560719"</f>
        <v>1552382624560719</v>
      </c>
      <c r="C742" t="s">
        <v>40</v>
      </c>
      <c r="D742">
        <v>3.5536249999999998</v>
      </c>
      <c r="E742">
        <v>0.4869444</v>
      </c>
      <c r="F742" t="s">
        <v>43</v>
      </c>
      <c r="G742">
        <v>-272.19510000000002</v>
      </c>
      <c r="H742" s="1">
        <v>-3.579455E-6</v>
      </c>
      <c r="I742">
        <v>368.2133</v>
      </c>
      <c r="J742">
        <v>-300.3023</v>
      </c>
      <c r="K742">
        <v>1.0600069999999999</v>
      </c>
      <c r="L742">
        <v>367.3005</v>
      </c>
      <c r="M742">
        <v>0.99990570000000001</v>
      </c>
      <c r="N742">
        <v>0</v>
      </c>
      <c r="O742">
        <v>5.4275369999999996E-3</v>
      </c>
      <c r="P742">
        <v>0.98865519999999996</v>
      </c>
      <c r="Q742">
        <v>0.15020449999999999</v>
      </c>
      <c r="R742" s="1">
        <v>6.3318760000000005E-5</v>
      </c>
      <c r="S742">
        <v>3.0517270000000001</v>
      </c>
      <c r="T742">
        <v>-0.1141785</v>
      </c>
      <c r="U742">
        <v>9.8449709999999996E-2</v>
      </c>
      <c r="V742">
        <v>5.3019E-3</v>
      </c>
      <c r="W742">
        <v>0.1626795</v>
      </c>
      <c r="X742">
        <v>0.98666469999999995</v>
      </c>
      <c r="Y742">
        <v>-2.6802989999999999E-2</v>
      </c>
      <c r="Z742">
        <v>2.9814810000000001E-4</v>
      </c>
      <c r="AA742">
        <v>0.99964070000000005</v>
      </c>
      <c r="AB742">
        <v>39</v>
      </c>
      <c r="AC742">
        <v>28.107199999999899</v>
      </c>
      <c r="AD742">
        <v>-1.0600105794550001</v>
      </c>
      <c r="AE742">
        <v>0.91280000000000405</v>
      </c>
      <c r="AF742">
        <v>-0.75914296890832</v>
      </c>
      <c r="AG742">
        <v>-1.0600105794550001</v>
      </c>
      <c r="AH742">
        <v>28.071856600276799</v>
      </c>
      <c r="AI742">
        <v>92.161706923215405</v>
      </c>
      <c r="AJ742">
        <v>91.549063548191398</v>
      </c>
      <c r="AK742">
        <v>28.102118309165</v>
      </c>
      <c r="AL742">
        <v>80.637541466713799</v>
      </c>
      <c r="AM742">
        <v>89.692120768494505</v>
      </c>
      <c r="AN742">
        <v>0.99999998004497404</v>
      </c>
    </row>
    <row r="743" spans="1:40" x14ac:dyDescent="0.25">
      <c r="A743" t="str">
        <f>"20190312172344585"</f>
        <v>20190312172344585</v>
      </c>
      <c r="B743" t="str">
        <f>"1552382624580238"</f>
        <v>1552382624580238</v>
      </c>
      <c r="C743" t="s">
        <v>40</v>
      </c>
      <c r="D743">
        <v>3.565795</v>
      </c>
      <c r="E743">
        <v>0.48690610000000001</v>
      </c>
      <c r="F743" t="s">
        <v>43</v>
      </c>
      <c r="G743">
        <v>-271.94290000000001</v>
      </c>
      <c r="H743" s="1">
        <v>-3.68677E-6</v>
      </c>
      <c r="I743">
        <v>368.21820000000002</v>
      </c>
      <c r="J743">
        <v>-299.99869999999999</v>
      </c>
      <c r="K743">
        <v>1.060003</v>
      </c>
      <c r="L743">
        <v>367.30220000000003</v>
      </c>
      <c r="M743">
        <v>0.99990559999999995</v>
      </c>
      <c r="N743">
        <v>0</v>
      </c>
      <c r="O743">
        <v>5.4408690000000001E-3</v>
      </c>
      <c r="P743">
        <v>0.98866410000000005</v>
      </c>
      <c r="Q743">
        <v>0.15014430000000001</v>
      </c>
      <c r="R743">
        <v>5.5655929999999998E-4</v>
      </c>
      <c r="S743">
        <v>3.051758</v>
      </c>
      <c r="T743">
        <v>-0.1140678</v>
      </c>
      <c r="U743">
        <v>9.8754880000000003E-2</v>
      </c>
      <c r="V743">
        <v>4.8219059999999999E-3</v>
      </c>
      <c r="W743">
        <v>0.1626127</v>
      </c>
      <c r="X743">
        <v>0.98667819999999995</v>
      </c>
      <c r="Y743">
        <v>-2.6889179999999999E-2</v>
      </c>
      <c r="Z743">
        <v>2.989674E-4</v>
      </c>
      <c r="AA743">
        <v>0.99963840000000004</v>
      </c>
      <c r="AB743">
        <v>39</v>
      </c>
      <c r="AC743">
        <v>28.055799999999898</v>
      </c>
      <c r="AD743">
        <v>-1.06000668677</v>
      </c>
      <c r="AE743">
        <v>0.91599999999999604</v>
      </c>
      <c r="AF743">
        <v>-0.76223942816415702</v>
      </c>
      <c r="AG743">
        <v>-1.06000668677</v>
      </c>
      <c r="AH743">
        <v>28.020412736549901</v>
      </c>
      <c r="AI743">
        <v>92.165654580028402</v>
      </c>
      <c r="AJ743">
        <v>91.558233087219406</v>
      </c>
      <c r="AK743">
        <v>28.050813768025598</v>
      </c>
      <c r="AL743">
        <v>80.641420717863596</v>
      </c>
      <c r="AM743">
        <v>89.7199971950037</v>
      </c>
      <c r="AN743">
        <v>1.000000005667</v>
      </c>
    </row>
    <row r="744" spans="1:40" x14ac:dyDescent="0.25">
      <c r="A744" t="str">
        <f>"20190312172344609"</f>
        <v>20190312172344609</v>
      </c>
      <c r="B744" t="str">
        <f>"1552382624600262"</f>
        <v>1552382624600262</v>
      </c>
      <c r="C744" t="s">
        <v>40</v>
      </c>
      <c r="D744">
        <v>3.5360390000000002</v>
      </c>
      <c r="E744">
        <v>0.48688759999999998</v>
      </c>
      <c r="F744" t="s">
        <v>43</v>
      </c>
      <c r="G744">
        <v>-271.7724</v>
      </c>
      <c r="H744" s="1">
        <v>-3.7581570000000002E-6</v>
      </c>
      <c r="I744">
        <v>368.22829999999999</v>
      </c>
      <c r="J744">
        <v>-299.5856</v>
      </c>
      <c r="K744">
        <v>1.059998</v>
      </c>
      <c r="L744">
        <v>367.30450000000002</v>
      </c>
      <c r="M744">
        <v>0.99990559999999995</v>
      </c>
      <c r="N744">
        <v>0</v>
      </c>
      <c r="O744">
        <v>5.4590350000000001E-3</v>
      </c>
      <c r="P744">
        <v>0.98867539999999998</v>
      </c>
      <c r="Q744">
        <v>0.15006889999999901</v>
      </c>
      <c r="R744">
        <v>6.9175469999999996E-4</v>
      </c>
      <c r="S744">
        <v>3.051758</v>
      </c>
      <c r="T744">
        <v>-0.1146049</v>
      </c>
      <c r="U744">
        <v>0.1001282</v>
      </c>
      <c r="V744">
        <v>4.7050199999999999E-3</v>
      </c>
      <c r="W744">
        <v>0.1625299</v>
      </c>
      <c r="X744">
        <v>0.98669240000000002</v>
      </c>
      <c r="Y744">
        <v>-2.7319940000000001E-2</v>
      </c>
      <c r="Z744">
        <v>3.0777369999999998E-4</v>
      </c>
      <c r="AA744">
        <v>0.99962669999999998</v>
      </c>
      <c r="AB744">
        <v>39</v>
      </c>
      <c r="AC744">
        <v>27.813199999999899</v>
      </c>
      <c r="AD744">
        <v>-1.060001758157</v>
      </c>
      <c r="AE744">
        <v>0.92379999999997098</v>
      </c>
      <c r="AF744">
        <v>-0.77082255553775303</v>
      </c>
      <c r="AG744">
        <v>-1.060001758157</v>
      </c>
      <c r="AH744">
        <v>27.777527014156</v>
      </c>
      <c r="AI744">
        <v>92.184529804693</v>
      </c>
      <c r="AJ744">
        <v>91.589542076159105</v>
      </c>
      <c r="AK744">
        <v>27.808429983758302</v>
      </c>
      <c r="AL744">
        <v>80.646228707131201</v>
      </c>
      <c r="AM744">
        <v>89.726788464876094</v>
      </c>
      <c r="AN744">
        <v>0.99999999891248503</v>
      </c>
    </row>
    <row r="745" spans="1:40" x14ac:dyDescent="0.25">
      <c r="A745" t="str">
        <f>"20190312172344619"</f>
        <v>20190312172344619</v>
      </c>
      <c r="B745" t="str">
        <f>"1552382624610023"</f>
        <v>1552382624610023</v>
      </c>
      <c r="C745" t="s">
        <v>40</v>
      </c>
      <c r="D745">
        <v>3.4937740000000002</v>
      </c>
      <c r="E745">
        <v>0.48688550000000003</v>
      </c>
      <c r="F745" t="s">
        <v>43</v>
      </c>
      <c r="G745">
        <v>-271.5224</v>
      </c>
      <c r="H745" s="1">
        <v>-3.8644809999999997E-6</v>
      </c>
      <c r="I745">
        <v>368.23329999999999</v>
      </c>
      <c r="J745">
        <v>-299.38549999999998</v>
      </c>
      <c r="K745">
        <v>1.0599970000000001</v>
      </c>
      <c r="L745">
        <v>367.30560000000003</v>
      </c>
      <c r="M745">
        <v>0.99990559999999995</v>
      </c>
      <c r="N745">
        <v>0</v>
      </c>
      <c r="O745">
        <v>5.4676419999999896E-3</v>
      </c>
      <c r="P745">
        <v>0.98870069999999999</v>
      </c>
      <c r="Q745">
        <v>0.1498999</v>
      </c>
      <c r="R745">
        <v>8.6557679999999903E-4</v>
      </c>
      <c r="S745">
        <v>3.0517880000000002</v>
      </c>
      <c r="T745">
        <v>-0.1152717</v>
      </c>
      <c r="U745">
        <v>0.1010132</v>
      </c>
      <c r="V745">
        <v>4.5398540000000003E-3</v>
      </c>
      <c r="W745">
        <v>0.16235769999999999</v>
      </c>
      <c r="X745">
        <v>0.98672150000000003</v>
      </c>
      <c r="Y745">
        <v>-2.760021E-2</v>
      </c>
      <c r="Z745">
        <v>3.1452340000000001E-4</v>
      </c>
      <c r="AA745">
        <v>0.99961900000000004</v>
      </c>
      <c r="AB745">
        <v>39</v>
      </c>
      <c r="AC745">
        <v>27.8630999999999</v>
      </c>
      <c r="AD745">
        <v>-1.0600008644809999</v>
      </c>
      <c r="AE745">
        <v>0.927699999999958</v>
      </c>
      <c r="AF745">
        <v>-0.77420931055158104</v>
      </c>
      <c r="AG745">
        <v>-1.0600008644809999</v>
      </c>
      <c r="AH745">
        <v>27.8275264605095</v>
      </c>
      <c r="AI745">
        <v>92.180602334562707</v>
      </c>
      <c r="AJ745">
        <v>91.593655333531203</v>
      </c>
      <c r="AK745">
        <v>27.858467847309999</v>
      </c>
      <c r="AL745">
        <v>80.656227633083006</v>
      </c>
      <c r="AM745">
        <v>89.736386976062803</v>
      </c>
      <c r="AN745">
        <v>0.99999997579293998</v>
      </c>
    </row>
    <row r="746" spans="1:40" x14ac:dyDescent="0.25">
      <c r="A746" t="str">
        <f>"20190312172344631"</f>
        <v>20190312172344631</v>
      </c>
      <c r="B746" t="str">
        <f>"1552382624620758"</f>
        <v>1552382624620758</v>
      </c>
      <c r="C746" t="s">
        <v>40</v>
      </c>
      <c r="D746">
        <v>3.5383079999999998</v>
      </c>
      <c r="E746">
        <v>0.4869193</v>
      </c>
      <c r="F746" t="s">
        <v>43</v>
      </c>
      <c r="G746">
        <v>-271.54349999999999</v>
      </c>
      <c r="H746" s="1">
        <v>-3.8557640000000003E-6</v>
      </c>
      <c r="I746">
        <v>368.23160000000001</v>
      </c>
      <c r="J746">
        <v>-299.19220000000001</v>
      </c>
      <c r="K746">
        <v>1.0599879999999999</v>
      </c>
      <c r="L746">
        <v>367.3066</v>
      </c>
      <c r="M746">
        <v>0.99990559999999995</v>
      </c>
      <c r="N746">
        <v>0</v>
      </c>
      <c r="O746">
        <v>5.4762439999999999E-3</v>
      </c>
      <c r="P746">
        <v>0.9887397</v>
      </c>
      <c r="Q746">
        <v>0.14964369999999999</v>
      </c>
      <c r="R746">
        <v>8.9232059999999895E-4</v>
      </c>
      <c r="S746">
        <v>3.0518489999999998</v>
      </c>
      <c r="T746">
        <v>-0.1161896</v>
      </c>
      <c r="U746">
        <v>0.10150149999999999</v>
      </c>
      <c r="V746">
        <v>4.5215419999999999E-3</v>
      </c>
      <c r="W746">
        <v>0.16209889999999999</v>
      </c>
      <c r="X746">
        <v>0.98676410000000003</v>
      </c>
      <c r="Y746">
        <v>-2.7750360000000002E-2</v>
      </c>
      <c r="Z746">
        <v>3.1954809999999999E-4</v>
      </c>
      <c r="AA746">
        <v>0.99961480000000003</v>
      </c>
      <c r="AB746">
        <v>39</v>
      </c>
      <c r="AC746">
        <v>27.648700000000002</v>
      </c>
      <c r="AD746">
        <v>-1.059991855764</v>
      </c>
      <c r="AE746">
        <v>0.92500000000001104</v>
      </c>
      <c r="AF746">
        <v>-0.77242903651813899</v>
      </c>
      <c r="AG746">
        <v>-1.059991855764</v>
      </c>
      <c r="AH746">
        <v>27.612811586150102</v>
      </c>
      <c r="AI746">
        <v>92.197514000767001</v>
      </c>
      <c r="AJ746">
        <v>91.602349875026405</v>
      </c>
      <c r="AK746">
        <v>27.643943152939801</v>
      </c>
      <c r="AL746">
        <v>80.6712545378941</v>
      </c>
      <c r="AM746">
        <v>89.737461607732598</v>
      </c>
      <c r="AN746">
        <v>0.99999994338603704</v>
      </c>
    </row>
    <row r="747" spans="1:40" x14ac:dyDescent="0.25">
      <c r="A747" t="str">
        <f>"20190312172344643"</f>
        <v>20190312172344643</v>
      </c>
      <c r="B747" t="str">
        <f>"1552382624630519"</f>
        <v>1552382624630519</v>
      </c>
      <c r="C747" t="s">
        <v>40</v>
      </c>
      <c r="D747">
        <v>3.5052500000000002</v>
      </c>
      <c r="E747">
        <v>0.4869173</v>
      </c>
      <c r="F747" t="s">
        <v>43</v>
      </c>
      <c r="G747">
        <v>-271.59890000000001</v>
      </c>
      <c r="H747" s="1">
        <v>-3.8340000000000001E-6</v>
      </c>
      <c r="I747">
        <v>368.22019999999998</v>
      </c>
      <c r="J747">
        <v>-298.99290000000002</v>
      </c>
      <c r="K747">
        <v>1.059985</v>
      </c>
      <c r="L747">
        <v>367.30770000000001</v>
      </c>
      <c r="M747">
        <v>0.9999055</v>
      </c>
      <c r="N747">
        <v>0</v>
      </c>
      <c r="O747">
        <v>5.4848450000000003E-3</v>
      </c>
      <c r="P747">
        <v>0.98872780000000005</v>
      </c>
      <c r="Q747">
        <v>0.14972070000000001</v>
      </c>
      <c r="R747">
        <v>9.5610409999999997E-4</v>
      </c>
      <c r="S747">
        <v>3.0518190000000001</v>
      </c>
      <c r="T747">
        <v>-0.1172349</v>
      </c>
      <c r="U747">
        <v>0.1010437</v>
      </c>
      <c r="V747">
        <v>4.4664400000000003E-3</v>
      </c>
      <c r="W747">
        <v>0.16217279999999901</v>
      </c>
      <c r="X747">
        <v>0.98675230000000003</v>
      </c>
      <c r="Y747">
        <v>-2.7592140000000001E-2</v>
      </c>
      <c r="Z747">
        <v>3.1905779999999998E-4</v>
      </c>
      <c r="AA747">
        <v>0.99961920000000004</v>
      </c>
      <c r="AB747">
        <v>39</v>
      </c>
      <c r="AC747">
        <v>27.393999999999998</v>
      </c>
      <c r="AD747">
        <v>-1.0599888340000001</v>
      </c>
      <c r="AE747">
        <v>0.912499999999966</v>
      </c>
      <c r="AF747">
        <v>-0.76108422524242403</v>
      </c>
      <c r="AG747">
        <v>-1.0599888340000001</v>
      </c>
      <c r="AH747">
        <v>27.3576775615442</v>
      </c>
      <c r="AI747">
        <v>92.217990530814504</v>
      </c>
      <c r="AJ747">
        <v>91.593544239258406</v>
      </c>
      <c r="AK747">
        <v>27.388781409320401</v>
      </c>
      <c r="AL747">
        <v>80.666964455672897</v>
      </c>
      <c r="AM747">
        <v>89.740657899901507</v>
      </c>
      <c r="AN747">
        <v>1.0000000338507</v>
      </c>
    </row>
    <row r="748" spans="1:40" x14ac:dyDescent="0.25">
      <c r="A748" t="str">
        <f>"20190312172344654"</f>
        <v>20190312172344654</v>
      </c>
      <c r="B748" t="str">
        <f>"1552382624650039"</f>
        <v>1552382624650039</v>
      </c>
      <c r="C748" t="s">
        <v>40</v>
      </c>
      <c r="D748">
        <v>3.4804810000000002</v>
      </c>
      <c r="E748">
        <v>0.48624079999999897</v>
      </c>
      <c r="F748" t="s">
        <v>43</v>
      </c>
      <c r="G748">
        <v>-271.44209999999998</v>
      </c>
      <c r="H748" s="1">
        <v>-3.900609E-6</v>
      </c>
      <c r="I748">
        <v>368.22399999999999</v>
      </c>
      <c r="J748">
        <v>-298.78649999999999</v>
      </c>
      <c r="K748">
        <v>1.059984</v>
      </c>
      <c r="L748">
        <v>367.30889999999999</v>
      </c>
      <c r="M748">
        <v>0.99990559999999995</v>
      </c>
      <c r="N748">
        <v>0</v>
      </c>
      <c r="O748">
        <v>5.4937450000000004E-3</v>
      </c>
      <c r="P748">
        <v>0.98873310000000003</v>
      </c>
      <c r="Q748">
        <v>0.1496864</v>
      </c>
      <c r="R748">
        <v>1.076586E-3</v>
      </c>
      <c r="S748">
        <v>3.0518800000000001</v>
      </c>
      <c r="T748">
        <v>-0.1174177</v>
      </c>
      <c r="U748">
        <v>0.10150149999999999</v>
      </c>
      <c r="V748">
        <v>4.3547079999999997E-3</v>
      </c>
      <c r="W748">
        <v>0.16213559999999999</v>
      </c>
      <c r="X748">
        <v>0.98675889999999999</v>
      </c>
      <c r="Y748">
        <v>-2.7732219999999998E-2</v>
      </c>
      <c r="Z748">
        <v>3.218982E-4</v>
      </c>
      <c r="AA748">
        <v>0.99961529999999998</v>
      </c>
      <c r="AB748">
        <v>39</v>
      </c>
      <c r="AC748">
        <v>27.3444</v>
      </c>
      <c r="AD748">
        <v>-1.0599879006090001</v>
      </c>
      <c r="AE748">
        <v>0.91509999999999503</v>
      </c>
      <c r="AF748">
        <v>-0.76370479647671996</v>
      </c>
      <c r="AG748">
        <v>-1.0599879006090001</v>
      </c>
      <c r="AH748">
        <v>27.308025834592701</v>
      </c>
      <c r="AI748">
        <v>92.222008243590295</v>
      </c>
      <c r="AJ748">
        <v>91.601934155455695</v>
      </c>
      <c r="AK748">
        <v>27.339259213599501</v>
      </c>
      <c r="AL748">
        <v>80.669124328846195</v>
      </c>
      <c r="AM748">
        <v>89.747147180887396</v>
      </c>
      <c r="AN748">
        <v>1.00000002149916</v>
      </c>
    </row>
    <row r="749" spans="1:40" x14ac:dyDescent="0.25">
      <c r="A749" t="str">
        <f>"20190312172344666"</f>
        <v>20190312172344666</v>
      </c>
      <c r="B749" t="str">
        <f>"1552382624660774"</f>
        <v>1552382624660774</v>
      </c>
      <c r="C749" t="s">
        <v>40</v>
      </c>
      <c r="D749">
        <v>3.435057</v>
      </c>
      <c r="E749">
        <v>0.48624079999999897</v>
      </c>
      <c r="F749" t="s">
        <v>43</v>
      </c>
      <c r="G749">
        <v>-271.28089999999997</v>
      </c>
      <c r="H749" s="1">
        <v>-3.9604290000000004E-6</v>
      </c>
      <c r="I749">
        <v>368.27670000000001</v>
      </c>
      <c r="J749">
        <v>-298.58049999999997</v>
      </c>
      <c r="K749">
        <v>1.059985</v>
      </c>
      <c r="L749">
        <v>367.31</v>
      </c>
      <c r="M749">
        <v>0.99990559999999995</v>
      </c>
      <c r="N749">
        <v>0</v>
      </c>
      <c r="O749">
        <v>5.5028809999999899E-3</v>
      </c>
      <c r="P749">
        <v>0.98869560000000001</v>
      </c>
      <c r="Q749">
        <v>0.1499354</v>
      </c>
      <c r="R749">
        <v>8.1477779999999998E-4</v>
      </c>
      <c r="S749">
        <v>3.0518489999999998</v>
      </c>
      <c r="T749">
        <v>-0.11760909999999999</v>
      </c>
      <c r="U749">
        <v>0.1073914</v>
      </c>
      <c r="V749">
        <v>4.6252189999999999E-3</v>
      </c>
      <c r="W749">
        <v>0.16238169999999999</v>
      </c>
      <c r="X749">
        <v>0.98671719999999896</v>
      </c>
      <c r="Y749">
        <v>-2.9648830000000001E-2</v>
      </c>
      <c r="Z749">
        <v>3.5896909999999998E-4</v>
      </c>
      <c r="AA749">
        <v>0.99956029999999996</v>
      </c>
      <c r="AB749">
        <v>39</v>
      </c>
      <c r="AC749">
        <v>27.299600000000002</v>
      </c>
      <c r="AD749">
        <v>-1.059988960429</v>
      </c>
      <c r="AE749">
        <v>0.966700000000003</v>
      </c>
      <c r="AF749">
        <v>-0.815219506167571</v>
      </c>
      <c r="AG749">
        <v>-1.059988960429</v>
      </c>
      <c r="AH749">
        <v>27.263455361319298</v>
      </c>
      <c r="AI749">
        <v>92.225514980767997</v>
      </c>
      <c r="AJ749">
        <v>91.712722145966893</v>
      </c>
      <c r="AK749">
        <v>27.296229733758398</v>
      </c>
      <c r="AL749">
        <v>80.654834467253806</v>
      </c>
      <c r="AM749">
        <v>89.731429038527097</v>
      </c>
      <c r="AN749">
        <v>1.00000002096076</v>
      </c>
    </row>
    <row r="750" spans="1:40" x14ac:dyDescent="0.25">
      <c r="A750" t="str">
        <f>"20190312172344679"</f>
        <v>20190312172344679</v>
      </c>
      <c r="B750" t="str">
        <f>"1552382624670535"</f>
        <v>1552382624670535</v>
      </c>
      <c r="C750" t="s">
        <v>40</v>
      </c>
      <c r="D750">
        <v>3.419581</v>
      </c>
      <c r="E750">
        <v>0.4590245</v>
      </c>
      <c r="F750" t="s">
        <v>43</v>
      </c>
      <c r="G750">
        <v>-270.89339999999999</v>
      </c>
      <c r="H750" s="1">
        <v>-4.1265899999999997E-6</v>
      </c>
      <c r="I750">
        <v>368.27699999999999</v>
      </c>
      <c r="J750">
        <v>-298.351</v>
      </c>
      <c r="K750">
        <v>1.059982</v>
      </c>
      <c r="L750">
        <v>367.31130000000002</v>
      </c>
      <c r="M750">
        <v>0.9999055</v>
      </c>
      <c r="N750">
        <v>0</v>
      </c>
      <c r="O750">
        <v>5.5127930000000002E-3</v>
      </c>
      <c r="P750">
        <v>0.98867570000000005</v>
      </c>
      <c r="Q750">
        <v>0.15006849999999999</v>
      </c>
      <c r="R750">
        <v>4.7836690000000002E-4</v>
      </c>
      <c r="S750">
        <v>3.051971</v>
      </c>
      <c r="T750">
        <v>-0.116843</v>
      </c>
      <c r="U750">
        <v>0.1065979</v>
      </c>
      <c r="V750">
        <v>4.9713780000000003E-3</v>
      </c>
      <c r="W750">
        <v>0.1625115</v>
      </c>
      <c r="X750">
        <v>0.98669410000000002</v>
      </c>
      <c r="Y750">
        <v>-2.9378410000000001E-2</v>
      </c>
      <c r="Z750">
        <v>3.5106740000000002E-4</v>
      </c>
      <c r="AA750">
        <v>0.99956829999999997</v>
      </c>
      <c r="AB750">
        <v>39</v>
      </c>
      <c r="AC750">
        <v>27.457599999999999</v>
      </c>
      <c r="AD750">
        <v>-1.0599861265899999</v>
      </c>
      <c r="AE750">
        <v>0.96569999999996903</v>
      </c>
      <c r="AF750">
        <v>-0.81309499068816704</v>
      </c>
      <c r="AG750">
        <v>-1.0599861265899999</v>
      </c>
      <c r="AH750">
        <v>27.4216906271919</v>
      </c>
      <c r="AI750">
        <v>92.212696110488494</v>
      </c>
      <c r="AJ750">
        <v>91.698409695725999</v>
      </c>
      <c r="AK750">
        <v>27.454212990101698</v>
      </c>
      <c r="AL750">
        <v>80.647296924938303</v>
      </c>
      <c r="AM750">
        <v>89.71132231608</v>
      </c>
      <c r="AN750">
        <v>0.99999997460313905</v>
      </c>
    </row>
    <row r="751" spans="1:40" x14ac:dyDescent="0.25">
      <c r="A751" t="str">
        <f>"20190312172344691"</f>
        <v>20190312172344691</v>
      </c>
      <c r="B751" t="str">
        <f>"1552382624680296"</f>
        <v>1552382624680296</v>
      </c>
      <c r="C751" t="s">
        <v>40</v>
      </c>
      <c r="D751">
        <v>3.4228519999999998</v>
      </c>
      <c r="E751">
        <v>0.45816649999999998</v>
      </c>
      <c r="F751" t="s">
        <v>43</v>
      </c>
      <c r="G751">
        <v>-263.99560000000002</v>
      </c>
      <c r="H751" s="1">
        <v>-2.9130389999999999E-6</v>
      </c>
      <c r="I751">
        <v>370.94990000000001</v>
      </c>
      <c r="J751">
        <v>-298.1592</v>
      </c>
      <c r="K751">
        <v>1.059982</v>
      </c>
      <c r="L751">
        <v>367.31229999999999</v>
      </c>
      <c r="M751">
        <v>0.99990559999999995</v>
      </c>
      <c r="N751">
        <v>0</v>
      </c>
      <c r="O751">
        <v>5.5207349999999997E-3</v>
      </c>
      <c r="P751">
        <v>0.98865670000000005</v>
      </c>
      <c r="Q751">
        <v>0.15019489999999999</v>
      </c>
      <c r="R751">
        <v>4.2861050000000001E-4</v>
      </c>
      <c r="S751">
        <v>3.048492</v>
      </c>
      <c r="T751">
        <v>-9.4056609999999999E-2</v>
      </c>
      <c r="U751">
        <v>0.322876</v>
      </c>
      <c r="V751">
        <v>5.0287409999999998E-3</v>
      </c>
      <c r="W751">
        <v>0.16263529999999901</v>
      </c>
      <c r="X751">
        <v>0.98667340000000003</v>
      </c>
      <c r="Y751">
        <v>-9.9787810000000005E-2</v>
      </c>
      <c r="Z751">
        <v>1.364926E-3</v>
      </c>
      <c r="AA751">
        <v>0.9950078</v>
      </c>
      <c r="AB751">
        <v>39</v>
      </c>
      <c r="AC751">
        <v>34.163599999999903</v>
      </c>
      <c r="AD751">
        <v>-1.059984913039</v>
      </c>
      <c r="AE751">
        <v>3.6376000000000199</v>
      </c>
      <c r="AF751">
        <v>-3.4456416511539998</v>
      </c>
      <c r="AG751">
        <v>-1.059984913039</v>
      </c>
      <c r="AH751">
        <v>34.150656226404401</v>
      </c>
      <c r="AI751">
        <v>91.768829229833599</v>
      </c>
      <c r="AJ751">
        <v>95.761379214799902</v>
      </c>
      <c r="AK751">
        <v>34.340403828407297</v>
      </c>
      <c r="AL751">
        <v>80.640107966575599</v>
      </c>
      <c r="AM751">
        <v>89.707985296023196</v>
      </c>
      <c r="AN751">
        <v>0.999999963654847</v>
      </c>
    </row>
    <row r="752" spans="1:40" x14ac:dyDescent="0.25">
      <c r="A752" t="str">
        <f>"20190312172344701"</f>
        <v>20190312172344701</v>
      </c>
      <c r="B752" t="str">
        <f>"1552382624690055"</f>
        <v>1552382624690055</v>
      </c>
      <c r="C752" t="s">
        <v>40</v>
      </c>
      <c r="D752">
        <v>3.4066740000000002</v>
      </c>
      <c r="E752">
        <v>0.45760079999999997</v>
      </c>
      <c r="F752" t="s">
        <v>43</v>
      </c>
      <c r="G752">
        <v>-261.71480000000003</v>
      </c>
      <c r="H752" s="1">
        <v>-3.9727640000000002E-6</v>
      </c>
      <c r="I752">
        <v>371.25529999999998</v>
      </c>
      <c r="J752">
        <v>-297.96640000000002</v>
      </c>
      <c r="K752">
        <v>1.0599769999999999</v>
      </c>
      <c r="L752">
        <v>367.3134</v>
      </c>
      <c r="M752">
        <v>0.99990559999999995</v>
      </c>
      <c r="N752">
        <v>0</v>
      </c>
      <c r="O752">
        <v>5.5289759999999997E-3</v>
      </c>
      <c r="P752">
        <v>0.98863120000000004</v>
      </c>
      <c r="Q752">
        <v>0.1503612</v>
      </c>
      <c r="R752">
        <v>3.0972060000000002E-4</v>
      </c>
      <c r="S752">
        <v>3.0477599999999998</v>
      </c>
      <c r="T752">
        <v>-8.864379E-2</v>
      </c>
      <c r="U752">
        <v>0.32974239999999999</v>
      </c>
      <c r="V752">
        <v>5.1556609999999998E-3</v>
      </c>
      <c r="W752">
        <v>0.16279950000000001</v>
      </c>
      <c r="X752">
        <v>0.98664569999999996</v>
      </c>
      <c r="Y752">
        <v>-0.1020247</v>
      </c>
      <c r="Z752">
        <v>1.318755E-3</v>
      </c>
      <c r="AA752">
        <v>0.99478100000000003</v>
      </c>
      <c r="AB752">
        <v>39</v>
      </c>
      <c r="AC752">
        <v>36.251600000000003</v>
      </c>
      <c r="AD752">
        <v>-1.0599809727639999</v>
      </c>
      <c r="AE752">
        <v>3.9418999999999702</v>
      </c>
      <c r="AF752">
        <v>-3.7382309930947</v>
      </c>
      <c r="AG752">
        <v>-1.0599809727639999</v>
      </c>
      <c r="AH752">
        <v>36.242218927315797</v>
      </c>
      <c r="AI752">
        <v>91.666423583413206</v>
      </c>
      <c r="AJ752">
        <v>95.888990878107407</v>
      </c>
      <c r="AK752">
        <v>36.449915821519298</v>
      </c>
      <c r="AL752">
        <v>80.630573244690396</v>
      </c>
      <c r="AM752">
        <v>89.700606887245897</v>
      </c>
      <c r="AN752">
        <v>0.99999999768454295</v>
      </c>
    </row>
    <row r="753" spans="1:40" x14ac:dyDescent="0.25">
      <c r="A753" t="str">
        <f>"20190312172344712"</f>
        <v>20190312172344712</v>
      </c>
      <c r="B753" t="str">
        <f>"1552382624700791"</f>
        <v>1552382624700791</v>
      </c>
      <c r="C753" t="s">
        <v>40</v>
      </c>
      <c r="D753">
        <v>3.4095680000000002</v>
      </c>
      <c r="E753">
        <v>0.45749109999999998</v>
      </c>
      <c r="F753" t="s">
        <v>43</v>
      </c>
      <c r="G753">
        <v>-261.36020000000002</v>
      </c>
      <c r="H753" s="1">
        <v>-4.115561E-6</v>
      </c>
      <c r="I753">
        <v>371.3211</v>
      </c>
      <c r="J753">
        <v>-297.76549999999997</v>
      </c>
      <c r="K753">
        <v>1.059979</v>
      </c>
      <c r="L753">
        <v>367.31450000000001</v>
      </c>
      <c r="M753">
        <v>0.9999053</v>
      </c>
      <c r="N753">
        <v>0</v>
      </c>
      <c r="O753">
        <v>5.5380450000000001E-3</v>
      </c>
      <c r="P753">
        <v>0.98864289999999999</v>
      </c>
      <c r="Q753">
        <v>0.150284</v>
      </c>
      <c r="R753">
        <v>1.867521E-4</v>
      </c>
      <c r="S753">
        <v>3.0477910000000001</v>
      </c>
      <c r="T753">
        <v>-8.8252540000000004E-2</v>
      </c>
      <c r="U753">
        <v>0.33367920000000001</v>
      </c>
      <c r="V753">
        <v>5.2877269999999999E-3</v>
      </c>
      <c r="W753">
        <v>0.16272039999999999</v>
      </c>
      <c r="X753">
        <v>0.98665800000000004</v>
      </c>
      <c r="Y753">
        <v>-0.1032843</v>
      </c>
      <c r="Z753">
        <v>1.3307480000000001E-3</v>
      </c>
      <c r="AA753">
        <v>0.99465099999999995</v>
      </c>
      <c r="AB753">
        <v>39</v>
      </c>
      <c r="AC753">
        <v>36.405299999999897</v>
      </c>
      <c r="AD753">
        <v>-1.059983115561</v>
      </c>
      <c r="AE753">
        <v>4.0065999999999899</v>
      </c>
      <c r="AF753">
        <v>-3.8017240083952402</v>
      </c>
      <c r="AG753">
        <v>-1.059983115561</v>
      </c>
      <c r="AH753">
        <v>36.396446227172902</v>
      </c>
      <c r="AI753">
        <v>91.6591468925633</v>
      </c>
      <c r="AJ753">
        <v>95.963101523792105</v>
      </c>
      <c r="AK753">
        <v>36.609806986773002</v>
      </c>
      <c r="AL753">
        <v>80.635166127986096</v>
      </c>
      <c r="AM753">
        <v>89.692941688151294</v>
      </c>
      <c r="AN753">
        <v>0.99999994879849197</v>
      </c>
    </row>
    <row r="754" spans="1:40" x14ac:dyDescent="0.25">
      <c r="A754" t="str">
        <f>"20190312172344724"</f>
        <v>20190312172344724</v>
      </c>
      <c r="B754" t="str">
        <f>"1552382624720311"</f>
        <v>1552382624720311</v>
      </c>
      <c r="C754" t="s">
        <v>40</v>
      </c>
      <c r="D754">
        <v>3.4364539999999999</v>
      </c>
      <c r="E754">
        <v>0.45726719999999998</v>
      </c>
      <c r="F754" t="s">
        <v>43</v>
      </c>
      <c r="G754">
        <v>-261.9554</v>
      </c>
      <c r="H754" s="1">
        <v>-3.8658310000000001E-6</v>
      </c>
      <c r="I754">
        <v>371.2414</v>
      </c>
      <c r="J754">
        <v>-297.5872</v>
      </c>
      <c r="K754">
        <v>1.0599769999999999</v>
      </c>
      <c r="L754">
        <v>367.31560000000002</v>
      </c>
      <c r="M754">
        <v>0.99990540000000006</v>
      </c>
      <c r="N754">
        <v>0</v>
      </c>
      <c r="O754">
        <v>5.5458019999999998E-3</v>
      </c>
      <c r="P754">
        <v>0.98861069999999995</v>
      </c>
      <c r="Q754">
        <v>0.15049589999999999</v>
      </c>
      <c r="R754">
        <v>1.4843699999999999E-4</v>
      </c>
      <c r="S754">
        <v>3.0481569999999998</v>
      </c>
      <c r="T754">
        <v>-9.0225700000000006E-2</v>
      </c>
      <c r="U754">
        <v>0.33425899999999997</v>
      </c>
      <c r="V754">
        <v>5.3336719999999898E-3</v>
      </c>
      <c r="W754">
        <v>0.1629303</v>
      </c>
      <c r="X754">
        <v>0.98662320000000003</v>
      </c>
      <c r="Y754">
        <v>-0.1034487</v>
      </c>
      <c r="Z754">
        <v>1.362509E-3</v>
      </c>
      <c r="AA754">
        <v>0.99463389999999996</v>
      </c>
      <c r="AB754">
        <v>39</v>
      </c>
      <c r="AC754">
        <v>35.631799999999998</v>
      </c>
      <c r="AD754">
        <v>-1.0599808658309999</v>
      </c>
      <c r="AE754">
        <v>3.9257999999999802</v>
      </c>
      <c r="AF754">
        <v>-3.7248602610091202</v>
      </c>
      <c r="AG754">
        <v>-1.0599808658309999</v>
      </c>
      <c r="AH754">
        <v>35.621879761339301</v>
      </c>
      <c r="AI754">
        <v>91.695179286362205</v>
      </c>
      <c r="AJ754">
        <v>95.969532882871604</v>
      </c>
      <c r="AK754">
        <v>35.831780044135201</v>
      </c>
      <c r="AL754">
        <v>80.622977892430598</v>
      </c>
      <c r="AM754">
        <v>89.690262789312598</v>
      </c>
      <c r="AN754">
        <v>1.00000003474666</v>
      </c>
    </row>
    <row r="755" spans="1:40" x14ac:dyDescent="0.25">
      <c r="A755" t="str">
        <f>"20190312172344734"</f>
        <v>20190312172344734</v>
      </c>
      <c r="B755" t="str">
        <f>"1552382624730071"</f>
        <v>1552382624730071</v>
      </c>
      <c r="C755" t="s">
        <v>40</v>
      </c>
      <c r="D755">
        <v>3.4189729999999998</v>
      </c>
      <c r="E755">
        <v>0.4571054</v>
      </c>
      <c r="F755" t="s">
        <v>43</v>
      </c>
      <c r="G755">
        <v>-262.28890000000001</v>
      </c>
      <c r="H755" s="1">
        <v>-3.7130689999999999E-6</v>
      </c>
      <c r="I755">
        <v>371.20499999999998</v>
      </c>
      <c r="J755">
        <v>-297.3766</v>
      </c>
      <c r="K755">
        <v>1.059976</v>
      </c>
      <c r="L755">
        <v>367.31670000000003</v>
      </c>
      <c r="M755">
        <v>0.9999053</v>
      </c>
      <c r="N755">
        <v>0</v>
      </c>
      <c r="O755">
        <v>5.5550520000000004E-3</v>
      </c>
      <c r="P755">
        <v>0.98859019999999997</v>
      </c>
      <c r="Q755">
        <v>0.1506306</v>
      </c>
      <c r="R755" s="1">
        <v>3.334926E-5</v>
      </c>
      <c r="S755">
        <v>3.0484309999999999</v>
      </c>
      <c r="T755">
        <v>-9.1541890000000001E-2</v>
      </c>
      <c r="U755">
        <v>0.33590700000000001</v>
      </c>
      <c r="V755">
        <v>5.4578409999999997E-3</v>
      </c>
      <c r="W755">
        <v>0.1630625</v>
      </c>
      <c r="X755">
        <v>0.98660060000000005</v>
      </c>
      <c r="Y755">
        <v>-0.1039596</v>
      </c>
      <c r="Z755">
        <v>1.3895800000000001E-3</v>
      </c>
      <c r="AA755">
        <v>0.99458060000000004</v>
      </c>
      <c r="AB755">
        <v>39</v>
      </c>
      <c r="AC755">
        <v>35.087699999999899</v>
      </c>
      <c r="AD755">
        <v>-1.0599797130689901</v>
      </c>
      <c r="AE755">
        <v>3.8882999999999499</v>
      </c>
      <c r="AF755">
        <v>-3.6899838819656101</v>
      </c>
      <c r="AG755">
        <v>-1.0599797130689901</v>
      </c>
      <c r="AH755">
        <v>35.077136546320297</v>
      </c>
      <c r="AI755">
        <v>91.721375229297493</v>
      </c>
      <c r="AJ755">
        <v>96.005215463194901</v>
      </c>
      <c r="AK755">
        <v>35.286612848649597</v>
      </c>
      <c r="AL755">
        <v>80.615299970135695</v>
      </c>
      <c r="AM755">
        <v>89.683044927520598</v>
      </c>
      <c r="AN755">
        <v>0.99999995542749398</v>
      </c>
    </row>
    <row r="756" spans="1:40" x14ac:dyDescent="0.25">
      <c r="A756" t="str">
        <f>"20190312172344747"</f>
        <v>20190312172344747</v>
      </c>
      <c r="B756" t="str">
        <f>"1552382624740807"</f>
        <v>1552382624740807</v>
      </c>
      <c r="C756" t="s">
        <v>40</v>
      </c>
      <c r="D756">
        <v>3.4079549999999998</v>
      </c>
      <c r="E756">
        <v>0.45705699999999999</v>
      </c>
      <c r="F756" t="s">
        <v>43</v>
      </c>
      <c r="G756">
        <v>-262.76280000000003</v>
      </c>
      <c r="H756" s="1">
        <v>-3.492815E-6</v>
      </c>
      <c r="I756">
        <v>371.14139999999998</v>
      </c>
      <c r="J756">
        <v>-297.16629999999998</v>
      </c>
      <c r="K756">
        <v>1.0599749999999999</v>
      </c>
      <c r="L756">
        <v>367.31790000000001</v>
      </c>
      <c r="M756">
        <v>0.9999053</v>
      </c>
      <c r="N756">
        <v>0</v>
      </c>
      <c r="O756">
        <v>5.5643009999999998E-3</v>
      </c>
      <c r="P756">
        <v>0.98860210000000004</v>
      </c>
      <c r="Q756">
        <v>0.1505515</v>
      </c>
      <c r="R756" s="1">
        <v>1.3374720000000001E-5</v>
      </c>
      <c r="S756">
        <v>3.0488279999999999</v>
      </c>
      <c r="T756">
        <v>-9.3364240000000001E-2</v>
      </c>
      <c r="U756">
        <v>0.3368835</v>
      </c>
      <c r="V756">
        <v>5.4870140000000001E-3</v>
      </c>
      <c r="W756">
        <v>0.16298199999999999</v>
      </c>
      <c r="X756">
        <v>0.98661379999999999</v>
      </c>
      <c r="Y756">
        <v>-0.1042492</v>
      </c>
      <c r="Z756">
        <v>1.4211600000000001E-3</v>
      </c>
      <c r="AA756">
        <v>0.99455020000000005</v>
      </c>
      <c r="AB756">
        <v>39</v>
      </c>
      <c r="AC756">
        <v>34.403499999999902</v>
      </c>
      <c r="AD756">
        <v>-1.05997849281499</v>
      </c>
      <c r="AE756">
        <v>3.8234999999999602</v>
      </c>
      <c r="AF756">
        <v>-3.6285917235355898</v>
      </c>
      <c r="AG756">
        <v>-1.05997849281499</v>
      </c>
      <c r="AH756">
        <v>34.391995209221101</v>
      </c>
      <c r="AI756">
        <v>91.755587613096793</v>
      </c>
      <c r="AJ756">
        <v>96.022816182725094</v>
      </c>
      <c r="AK756">
        <v>34.599126676441301</v>
      </c>
      <c r="AL756">
        <v>80.619975382713406</v>
      </c>
      <c r="AM756">
        <v>89.681355051876096</v>
      </c>
      <c r="AN756">
        <v>1.00000001499853</v>
      </c>
    </row>
    <row r="757" spans="1:40" x14ac:dyDescent="0.25">
      <c r="A757" t="str">
        <f>"20190312172344763"</f>
        <v>20190312172344763</v>
      </c>
      <c r="B757" t="str">
        <f>"1552382624750567"</f>
        <v>1552382624750567</v>
      </c>
      <c r="C757" t="s">
        <v>40</v>
      </c>
      <c r="D757">
        <v>3.4074580000000001</v>
      </c>
      <c r="E757">
        <v>0.45705689999999999</v>
      </c>
      <c r="F757" t="s">
        <v>43</v>
      </c>
      <c r="G757">
        <v>-263.94799999999998</v>
      </c>
      <c r="H757" s="1">
        <v>-2.9442940000000002E-6</v>
      </c>
      <c r="I757">
        <v>370.99059999999997</v>
      </c>
      <c r="J757">
        <v>-296.8965</v>
      </c>
      <c r="K757">
        <v>1.0599730000000001</v>
      </c>
      <c r="L757">
        <v>367.31939999999997</v>
      </c>
      <c r="M757">
        <v>0.99990540000000006</v>
      </c>
      <c r="N757">
        <v>0</v>
      </c>
      <c r="O757">
        <v>5.5759370000000004E-3</v>
      </c>
      <c r="P757">
        <v>0.98859799999999998</v>
      </c>
      <c r="Q757">
        <v>0.1505792</v>
      </c>
      <c r="R757" s="1">
        <v>-5.3016470000000001E-5</v>
      </c>
      <c r="S757">
        <v>3.0494080000000001</v>
      </c>
      <c r="T757">
        <v>-9.7304699999999994E-2</v>
      </c>
      <c r="U757">
        <v>0.33715820000000002</v>
      </c>
      <c r="V757">
        <v>5.5648679999999997E-3</v>
      </c>
      <c r="W757">
        <v>0.1630074</v>
      </c>
      <c r="X757">
        <v>0.98660919999999996</v>
      </c>
      <c r="Y757">
        <v>-0.10430150000000001</v>
      </c>
      <c r="Z757">
        <v>1.4812860000000001E-3</v>
      </c>
      <c r="AA757">
        <v>0.9945446</v>
      </c>
      <c r="AB757">
        <v>39</v>
      </c>
      <c r="AC757">
        <v>32.948500000000003</v>
      </c>
      <c r="AD757">
        <v>-1.059975944294</v>
      </c>
      <c r="AE757">
        <v>3.67119999999999</v>
      </c>
      <c r="AF757">
        <v>-3.4838482295099098</v>
      </c>
      <c r="AG757">
        <v>-1.059975944294</v>
      </c>
      <c r="AH757">
        <v>32.934791728387601</v>
      </c>
      <c r="AI757">
        <v>91.833155184926895</v>
      </c>
      <c r="AJ757">
        <v>96.038302980311599</v>
      </c>
      <c r="AK757">
        <v>33.135498391921097</v>
      </c>
      <c r="AL757">
        <v>80.618500645844605</v>
      </c>
      <c r="AM757">
        <v>89.676832459321602</v>
      </c>
      <c r="AN757">
        <v>1.00000004686762</v>
      </c>
    </row>
    <row r="758" spans="1:40" x14ac:dyDescent="0.25">
      <c r="A758" t="str">
        <f>"20190312172344776"</f>
        <v>20190312172344776</v>
      </c>
      <c r="B758" t="str">
        <f>"1552382624770087"</f>
        <v>1552382624770087</v>
      </c>
      <c r="C758" t="s">
        <v>40</v>
      </c>
      <c r="D758">
        <v>3.4399389999999999</v>
      </c>
      <c r="E758">
        <v>0.45701000000000003</v>
      </c>
      <c r="F758" t="s">
        <v>43</v>
      </c>
      <c r="G758">
        <v>-263.89870000000002</v>
      </c>
      <c r="H758" s="1">
        <v>-2.9592419999999999E-6</v>
      </c>
      <c r="I758">
        <v>370.96730000000002</v>
      </c>
      <c r="J758">
        <v>-296.64909999999998</v>
      </c>
      <c r="K758">
        <v>1.0599730000000001</v>
      </c>
      <c r="L758">
        <v>367.32080000000002</v>
      </c>
      <c r="M758">
        <v>0.9999053</v>
      </c>
      <c r="N758">
        <v>0</v>
      </c>
      <c r="O758">
        <v>5.5865009999999998E-3</v>
      </c>
      <c r="P758">
        <v>0.9886026</v>
      </c>
      <c r="Q758">
        <v>0.15054909999999999</v>
      </c>
      <c r="R758" s="1">
        <v>5.6101940000000002E-5</v>
      </c>
      <c r="S758">
        <v>3.0495299999999999</v>
      </c>
      <c r="T758">
        <v>-9.7958799999999999E-2</v>
      </c>
      <c r="U758">
        <v>0.33712769999999997</v>
      </c>
      <c r="V758">
        <v>5.4660430000000003E-3</v>
      </c>
      <c r="W758">
        <v>0.16297539999999999</v>
      </c>
      <c r="X758">
        <v>0.98661500000000002</v>
      </c>
      <c r="Y758">
        <v>-0.1042762</v>
      </c>
      <c r="Z758">
        <v>1.4904359999999999E-3</v>
      </c>
      <c r="AA758">
        <v>0.99454719999999996</v>
      </c>
      <c r="AB758">
        <v>39</v>
      </c>
      <c r="AC758">
        <v>32.7503999999999</v>
      </c>
      <c r="AD758">
        <v>-1.0599759592419999</v>
      </c>
      <c r="AE758">
        <v>3.6465000000000001</v>
      </c>
      <c r="AF758">
        <v>-3.4598885811921698</v>
      </c>
      <c r="AG758">
        <v>-1.0599759592419999</v>
      </c>
      <c r="AH758">
        <v>32.736389814676599</v>
      </c>
      <c r="AI758">
        <v>91.844275067462704</v>
      </c>
      <c r="AJ758">
        <v>96.033157707712903</v>
      </c>
      <c r="AK758">
        <v>32.935779877314303</v>
      </c>
      <c r="AL758">
        <v>80.620358597235295</v>
      </c>
      <c r="AM758">
        <v>89.682573252630704</v>
      </c>
      <c r="AN758">
        <v>1.00000000842811</v>
      </c>
    </row>
    <row r="759" spans="1:40" x14ac:dyDescent="0.25">
      <c r="A759" t="str">
        <f>"20190312172344791"</f>
        <v>20190312172344791</v>
      </c>
      <c r="B759" t="str">
        <f>"1552382624780822"</f>
        <v>1552382624780822</v>
      </c>
      <c r="C759" t="s">
        <v>40</v>
      </c>
      <c r="D759">
        <v>3.4387859999999999</v>
      </c>
      <c r="E759">
        <v>0.45690809999999998</v>
      </c>
      <c r="F759" t="s">
        <v>43</v>
      </c>
      <c r="G759">
        <v>-264.43470000000002</v>
      </c>
      <c r="H759" s="1">
        <v>-2.7079809999999998E-6</v>
      </c>
      <c r="I759">
        <v>370.88720000000001</v>
      </c>
      <c r="J759">
        <v>-296.41039999999998</v>
      </c>
      <c r="K759">
        <v>1.0599719999999999</v>
      </c>
      <c r="L759">
        <v>367.32209999999998</v>
      </c>
      <c r="M759">
        <v>0.9999053</v>
      </c>
      <c r="N759">
        <v>0</v>
      </c>
      <c r="O759">
        <v>5.5968240000000002E-3</v>
      </c>
      <c r="P759">
        <v>0.98861019999999999</v>
      </c>
      <c r="Q759">
        <v>0.15049899999999999</v>
      </c>
      <c r="R759" s="1">
        <v>-5.4201579999999998E-5</v>
      </c>
      <c r="S759">
        <v>3.0498349999999999</v>
      </c>
      <c r="T759">
        <v>-0.100351</v>
      </c>
      <c r="U759">
        <v>0.33764650000000002</v>
      </c>
      <c r="V759">
        <v>5.5867379999999999E-3</v>
      </c>
      <c r="W759">
        <v>0.1629237</v>
      </c>
      <c r="X759">
        <v>0.98662289999999997</v>
      </c>
      <c r="Y759">
        <v>-0.1044196</v>
      </c>
      <c r="Z759">
        <v>1.528661E-3</v>
      </c>
      <c r="AA759">
        <v>0.99453219999999998</v>
      </c>
      <c r="AB759">
        <v>39</v>
      </c>
      <c r="AC759">
        <v>31.9756999999999</v>
      </c>
      <c r="AD759">
        <v>-1.059974707981</v>
      </c>
      <c r="AE759">
        <v>3.5651000000000201</v>
      </c>
      <c r="AF759">
        <v>-3.3823964260718098</v>
      </c>
      <c r="AG759">
        <v>-1.059974707981</v>
      </c>
      <c r="AH759">
        <v>31.960464379005899</v>
      </c>
      <c r="AI759">
        <v>91.888987585493396</v>
      </c>
      <c r="AJ759">
        <v>96.041162108835707</v>
      </c>
      <c r="AK759">
        <v>32.156421369399403</v>
      </c>
      <c r="AL759">
        <v>80.623361265033694</v>
      </c>
      <c r="AM759">
        <v>89.675566938952002</v>
      </c>
      <c r="AN759">
        <v>1.0000000452337801</v>
      </c>
    </row>
    <row r="760" spans="1:40" x14ac:dyDescent="0.25">
      <c r="A760" t="str">
        <f>"20190312172344809"</f>
        <v>20190312172344809</v>
      </c>
      <c r="B760" t="str">
        <f>"1552382624800342"</f>
        <v>1552382624800342</v>
      </c>
      <c r="C760" t="s">
        <v>40</v>
      </c>
      <c r="D760">
        <v>3.4064589999999901</v>
      </c>
      <c r="E760">
        <v>0.45689590000000002</v>
      </c>
      <c r="F760" t="s">
        <v>43</v>
      </c>
      <c r="G760">
        <v>-264.52069999999998</v>
      </c>
      <c r="H760" s="1">
        <v>-2.6630760000000001E-6</v>
      </c>
      <c r="I760">
        <v>370.8571</v>
      </c>
      <c r="J760">
        <v>-296.09859999999998</v>
      </c>
      <c r="K760">
        <v>1.0599719999999999</v>
      </c>
      <c r="L760">
        <v>367.32389999999998</v>
      </c>
      <c r="M760">
        <v>0.99990520000000005</v>
      </c>
      <c r="N760">
        <v>0</v>
      </c>
      <c r="O760">
        <v>5.6104249999999996E-3</v>
      </c>
      <c r="P760">
        <v>0.98862669999999997</v>
      </c>
      <c r="Q760">
        <v>0.1503901</v>
      </c>
      <c r="R760">
        <v>-1.67168699999999E-4</v>
      </c>
      <c r="S760">
        <v>3.050049</v>
      </c>
      <c r="T760">
        <v>-0.1013796</v>
      </c>
      <c r="U760">
        <v>0.33810420000000002</v>
      </c>
      <c r="V760">
        <v>5.7132240000000003E-3</v>
      </c>
      <c r="W760">
        <v>0.1628136</v>
      </c>
      <c r="X760">
        <v>0.98664030000000003</v>
      </c>
      <c r="Y760">
        <v>-0.10454479999999999</v>
      </c>
      <c r="Z760">
        <v>1.545825E-3</v>
      </c>
      <c r="AA760">
        <v>0.99451900000000004</v>
      </c>
      <c r="AB760">
        <v>39</v>
      </c>
      <c r="AC760">
        <v>31.5779</v>
      </c>
      <c r="AD760">
        <v>-1.0599746630760001</v>
      </c>
      <c r="AE760">
        <v>3.5332000000000199</v>
      </c>
      <c r="AF760">
        <v>-3.3522345338234998</v>
      </c>
      <c r="AG760">
        <v>-1.0599746630760001</v>
      </c>
      <c r="AH760">
        <v>31.562104603984601</v>
      </c>
      <c r="AI760">
        <v>91.912735512255395</v>
      </c>
      <c r="AJ760">
        <v>96.062698200421195</v>
      </c>
      <c r="AK760">
        <v>31.757321513140699</v>
      </c>
      <c r="AL760">
        <v>80.629754428516407</v>
      </c>
      <c r="AM760">
        <v>89.668227657048703</v>
      </c>
      <c r="AN760">
        <v>0.99999999542876195</v>
      </c>
    </row>
    <row r="761" spans="1:40" x14ac:dyDescent="0.25">
      <c r="A761" t="str">
        <f>"20190312172344822"</f>
        <v>20190312172344822</v>
      </c>
      <c r="B761" t="str">
        <f>"1552382624810103"</f>
        <v>1552382624810103</v>
      </c>
      <c r="C761" t="s">
        <v>40</v>
      </c>
      <c r="D761">
        <v>3.4305829999999999</v>
      </c>
      <c r="E761">
        <v>0.45682240000000002</v>
      </c>
      <c r="F761" t="s">
        <v>43</v>
      </c>
      <c r="G761">
        <v>-264.65949999999998</v>
      </c>
      <c r="H761" s="1">
        <v>-2.5914139999999998E-6</v>
      </c>
      <c r="I761">
        <v>370.81150000000002</v>
      </c>
      <c r="J761">
        <v>-295.86259999999999</v>
      </c>
      <c r="K761">
        <v>1.059971</v>
      </c>
      <c r="L761">
        <v>367.3252</v>
      </c>
      <c r="M761">
        <v>0.99990520000000005</v>
      </c>
      <c r="N761">
        <v>0</v>
      </c>
      <c r="O761">
        <v>5.6206850000000003E-3</v>
      </c>
      <c r="P761">
        <v>0.98864839999999998</v>
      </c>
      <c r="Q761">
        <v>0.1502482</v>
      </c>
      <c r="R761">
        <v>-1.66960999999999E-4</v>
      </c>
      <c r="S761">
        <v>3.0502319999999998</v>
      </c>
      <c r="T761">
        <v>-0.102838899999999</v>
      </c>
      <c r="U761">
        <v>0.33837889999999998</v>
      </c>
      <c r="V761">
        <v>5.7232169999999897E-3</v>
      </c>
      <c r="W761">
        <v>0.1626706</v>
      </c>
      <c r="X761">
        <v>0.98666379999999998</v>
      </c>
      <c r="Y761">
        <v>-0.104614899999999</v>
      </c>
      <c r="Z761">
        <v>1.568795E-3</v>
      </c>
      <c r="AA761">
        <v>0.99451149999999999</v>
      </c>
      <c r="AB761">
        <v>39</v>
      </c>
      <c r="AC761">
        <v>31.203099999999999</v>
      </c>
      <c r="AD761">
        <v>-1.059973591414</v>
      </c>
      <c r="AE761">
        <v>3.4863000000000199</v>
      </c>
      <c r="AF761">
        <v>-3.3070790501940599</v>
      </c>
      <c r="AG761">
        <v>-1.059973591414</v>
      </c>
      <c r="AH761">
        <v>31.186659219113501</v>
      </c>
      <c r="AI761">
        <v>91.935777264162297</v>
      </c>
      <c r="AJ761">
        <v>96.053107422321204</v>
      </c>
      <c r="AK761">
        <v>31.3794204711917</v>
      </c>
      <c r="AL761">
        <v>80.638058157953196</v>
      </c>
      <c r="AM761">
        <v>89.667655282731801</v>
      </c>
      <c r="AN761">
        <v>0.99999996677381398</v>
      </c>
    </row>
    <row r="762" spans="1:40" x14ac:dyDescent="0.25">
      <c r="A762" t="str">
        <f>"20190312172344840"</f>
        <v>20190312172344840</v>
      </c>
      <c r="B762" t="str">
        <f>"1552382624830599"</f>
        <v>1552382624830599</v>
      </c>
      <c r="C762" t="s">
        <v>40</v>
      </c>
      <c r="D762">
        <v>3.3615529999999998</v>
      </c>
      <c r="E762">
        <v>0.45682529999999999</v>
      </c>
      <c r="F762" t="s">
        <v>43</v>
      </c>
      <c r="G762">
        <v>-264.9153</v>
      </c>
      <c r="H762" s="1">
        <v>-2.4685160000000002E-6</v>
      </c>
      <c r="I762">
        <v>370.76220000000001</v>
      </c>
      <c r="J762">
        <v>-295.53429999999997</v>
      </c>
      <c r="K762">
        <v>1.0599700000000001</v>
      </c>
      <c r="L762">
        <v>367.32709999999997</v>
      </c>
      <c r="M762">
        <v>0.99990520000000005</v>
      </c>
      <c r="N762">
        <v>0</v>
      </c>
      <c r="O762">
        <v>5.6352939999999999E-3</v>
      </c>
      <c r="P762">
        <v>0.98864810000000003</v>
      </c>
      <c r="Q762">
        <v>0.15025039999999901</v>
      </c>
      <c r="R762" s="1">
        <v>-6.4243099999999995E-5</v>
      </c>
      <c r="S762">
        <v>3.0503849999999999</v>
      </c>
      <c r="T762">
        <v>-0.1044785</v>
      </c>
      <c r="U762">
        <v>0.33877560000000001</v>
      </c>
      <c r="V762">
        <v>5.6351209999999999E-3</v>
      </c>
      <c r="W762">
        <v>0.16267100000000001</v>
      </c>
      <c r="X762">
        <v>0.98666430000000005</v>
      </c>
      <c r="Y762">
        <v>-0.10472089999999901</v>
      </c>
      <c r="Z762">
        <v>1.595012E-3</v>
      </c>
      <c r="AA762">
        <v>0.99450039999999995</v>
      </c>
      <c r="AB762">
        <v>39</v>
      </c>
      <c r="AC762">
        <v>30.6189999999999</v>
      </c>
      <c r="AD762">
        <v>-1.0599724685159999</v>
      </c>
      <c r="AE762">
        <v>3.43510000000003</v>
      </c>
      <c r="AF762">
        <v>-3.2586281145831202</v>
      </c>
      <c r="AG762">
        <v>-1.0599724685159999</v>
      </c>
      <c r="AH762">
        <v>30.601655436671301</v>
      </c>
      <c r="AI762">
        <v>91.972660014709703</v>
      </c>
      <c r="AJ762">
        <v>96.078256379583706</v>
      </c>
      <c r="AK762">
        <v>30.792913377722499</v>
      </c>
      <c r="AL762">
        <v>80.6380354789693</v>
      </c>
      <c r="AM762">
        <v>89.672771032774193</v>
      </c>
      <c r="AN762">
        <v>1.00000002486208</v>
      </c>
    </row>
    <row r="763" spans="1:40" x14ac:dyDescent="0.25">
      <c r="A763" t="str">
        <f>"20190312172344853"</f>
        <v>20190312172344853</v>
      </c>
      <c r="B763" t="str">
        <f>"1552382624840359"</f>
        <v>1552382624840359</v>
      </c>
      <c r="C763" t="s">
        <v>40</v>
      </c>
      <c r="D763">
        <v>3.4191669999999998</v>
      </c>
      <c r="E763">
        <v>0.45678859999999899</v>
      </c>
      <c r="F763" t="s">
        <v>43</v>
      </c>
      <c r="G763">
        <v>-265.60520000000002</v>
      </c>
      <c r="H763" s="1">
        <v>-2.1425170000000001E-6</v>
      </c>
      <c r="I763">
        <v>370.64929999999998</v>
      </c>
      <c r="J763">
        <v>-295.34050000000002</v>
      </c>
      <c r="K763">
        <v>1.0599700000000001</v>
      </c>
      <c r="L763">
        <v>367.32819999999998</v>
      </c>
      <c r="M763">
        <v>0.99990520000000005</v>
      </c>
      <c r="N763">
        <v>0</v>
      </c>
      <c r="O763">
        <v>5.6434069999999996E-3</v>
      </c>
      <c r="P763">
        <v>0.9886549</v>
      </c>
      <c r="Q763">
        <v>0.15020749999999999</v>
      </c>
      <c r="R763">
        <v>-2.120654E-4</v>
      </c>
      <c r="S763">
        <v>3.0508419999999998</v>
      </c>
      <c r="T763">
        <v>-0.1080488</v>
      </c>
      <c r="U763">
        <v>0.338653599999999</v>
      </c>
      <c r="V763">
        <v>5.7907019999999896E-3</v>
      </c>
      <c r="W763">
        <v>0.16262679999999999</v>
      </c>
      <c r="X763">
        <v>0.98667070000000001</v>
      </c>
      <c r="Y763">
        <v>-0.1046532</v>
      </c>
      <c r="Z763">
        <v>1.6477620000000001E-3</v>
      </c>
      <c r="AA763">
        <v>0.99450740000000004</v>
      </c>
      <c r="AB763">
        <v>39</v>
      </c>
      <c r="AC763">
        <v>29.735299999999899</v>
      </c>
      <c r="AD763">
        <v>-1.0599721425169999</v>
      </c>
      <c r="AE763">
        <v>3.3210999999999999</v>
      </c>
      <c r="AF763">
        <v>-3.1492729813432701</v>
      </c>
      <c r="AG763">
        <v>-1.0599721425169999</v>
      </c>
      <c r="AH763">
        <v>29.7162748729965</v>
      </c>
      <c r="AI763">
        <v>92.031493378716206</v>
      </c>
      <c r="AJ763">
        <v>96.049514579410996</v>
      </c>
      <c r="AK763">
        <v>29.901479120294599</v>
      </c>
      <c r="AL763">
        <v>80.640602265949198</v>
      </c>
      <c r="AM763">
        <v>89.6637388991591</v>
      </c>
      <c r="AN763">
        <v>1.00000003927319</v>
      </c>
    </row>
    <row r="764" spans="1:40" x14ac:dyDescent="0.25">
      <c r="A764" t="str">
        <f>"20190312172344864"</f>
        <v>20190312172344864</v>
      </c>
      <c r="B764" t="str">
        <f>"1552382624860855"</f>
        <v>1552382624860855</v>
      </c>
      <c r="C764" t="s">
        <v>40</v>
      </c>
      <c r="D764">
        <v>3.384029</v>
      </c>
      <c r="E764">
        <v>0.45682080000000003</v>
      </c>
      <c r="F764" t="s">
        <v>43</v>
      </c>
      <c r="G764">
        <v>-265.56790000000001</v>
      </c>
      <c r="H764" s="1">
        <v>-2.1543919999999999E-6</v>
      </c>
      <c r="I764">
        <v>370.63369999999998</v>
      </c>
      <c r="J764">
        <v>-295.13440000000003</v>
      </c>
      <c r="K764">
        <v>1.0599689999999999</v>
      </c>
      <c r="L764">
        <v>367.32929999999999</v>
      </c>
      <c r="M764">
        <v>0.99990509999999999</v>
      </c>
      <c r="N764">
        <v>0</v>
      </c>
      <c r="O764">
        <v>5.6522959999999898E-3</v>
      </c>
      <c r="P764">
        <v>0.98866639999999995</v>
      </c>
      <c r="Q764">
        <v>0.15012990000000001</v>
      </c>
      <c r="R764">
        <v>-3.8424230000000002E-4</v>
      </c>
      <c r="S764">
        <v>3.0510250000000001</v>
      </c>
      <c r="T764">
        <v>-0.1086231</v>
      </c>
      <c r="U764">
        <v>0.33874510000000002</v>
      </c>
      <c r="V764">
        <v>5.9719319999999897E-3</v>
      </c>
      <c r="W764">
        <v>0.16254869999999999</v>
      </c>
      <c r="X764">
        <v>0.98668250000000002</v>
      </c>
      <c r="Y764">
        <v>-0.1046667</v>
      </c>
      <c r="Z764">
        <v>1.6563369999999999E-3</v>
      </c>
      <c r="AA764">
        <v>0.994506</v>
      </c>
      <c r="AB764">
        <v>39</v>
      </c>
      <c r="AC764">
        <v>29.566500000000001</v>
      </c>
      <c r="AD764">
        <v>-1.0599711543920001</v>
      </c>
      <c r="AE764">
        <v>3.3043999999999798</v>
      </c>
      <c r="AF764">
        <v>-3.13323808467395</v>
      </c>
      <c r="AG764">
        <v>-1.0599711543920001</v>
      </c>
      <c r="AH764">
        <v>29.547199434742101</v>
      </c>
      <c r="AI764">
        <v>92.043092653756901</v>
      </c>
      <c r="AJ764">
        <v>96.053126123900796</v>
      </c>
      <c r="AK764">
        <v>29.731762715651801</v>
      </c>
      <c r="AL764">
        <v>80.645137509978099</v>
      </c>
      <c r="AM764">
        <v>89.653219428729003</v>
      </c>
      <c r="AN764">
        <v>1.00000004982487</v>
      </c>
    </row>
    <row r="765" spans="1:40" x14ac:dyDescent="0.25">
      <c r="A765" t="str">
        <f>"20190312172344876"</f>
        <v>20190312172344876</v>
      </c>
      <c r="B765" t="str">
        <f>"1552382624870615"</f>
        <v>1552382624870615</v>
      </c>
      <c r="C765" t="s">
        <v>40</v>
      </c>
      <c r="D765">
        <v>3.4450500000000002</v>
      </c>
      <c r="E765">
        <v>0.4568123</v>
      </c>
      <c r="F765" t="s">
        <v>43</v>
      </c>
      <c r="G765">
        <v>-266.41149999999999</v>
      </c>
      <c r="H765" s="1">
        <v>-1.7599310000000001E-6</v>
      </c>
      <c r="I765">
        <v>370.51130000000001</v>
      </c>
      <c r="J765">
        <v>-294.92329999999998</v>
      </c>
      <c r="K765">
        <v>1.0599689999999999</v>
      </c>
      <c r="L765">
        <v>367.33049999999997</v>
      </c>
      <c r="M765">
        <v>0.99990500000000004</v>
      </c>
      <c r="N765">
        <v>0</v>
      </c>
      <c r="O765">
        <v>5.6615399999999996E-3</v>
      </c>
      <c r="P765">
        <v>0.98866019999999999</v>
      </c>
      <c r="Q765">
        <v>0.15016930000000001</v>
      </c>
      <c r="R765">
        <v>-6.3380320000000002E-4</v>
      </c>
      <c r="S765">
        <v>3.051666</v>
      </c>
      <c r="T765">
        <v>-0.1126163</v>
      </c>
      <c r="U765">
        <v>0.33807369999999998</v>
      </c>
      <c r="V765">
        <v>6.2306439999999996E-3</v>
      </c>
      <c r="W765">
        <v>0.1625868</v>
      </c>
      <c r="X765">
        <v>0.98667450000000001</v>
      </c>
      <c r="Y765">
        <v>-0.10441400000000001</v>
      </c>
      <c r="Z765">
        <v>1.711862E-3</v>
      </c>
      <c r="AA765">
        <v>0.99453250000000004</v>
      </c>
      <c r="AB765">
        <v>39</v>
      </c>
      <c r="AC765">
        <v>28.511799999999901</v>
      </c>
      <c r="AD765">
        <v>-1.059970759931</v>
      </c>
      <c r="AE765">
        <v>3.1808000000000298</v>
      </c>
      <c r="AF765">
        <v>-3.0151994994102398</v>
      </c>
      <c r="AG765">
        <v>-1.059970759931</v>
      </c>
      <c r="AH765">
        <v>28.490460100237598</v>
      </c>
      <c r="AI765">
        <v>92.1188509053774</v>
      </c>
      <c r="AJ765">
        <v>96.041233406082</v>
      </c>
      <c r="AK765">
        <v>28.669169551216299</v>
      </c>
      <c r="AL765">
        <v>80.642923966668207</v>
      </c>
      <c r="AM765">
        <v>89.638193892934794</v>
      </c>
      <c r="AN765">
        <v>0.999999928704569</v>
      </c>
    </row>
    <row r="766" spans="1:40" x14ac:dyDescent="0.25">
      <c r="A766" t="str">
        <f>"20190312172344888"</f>
        <v>20190312172344888</v>
      </c>
      <c r="B766" t="str">
        <f>"1552382624880375"</f>
        <v>1552382624880375</v>
      </c>
      <c r="C766" t="s">
        <v>40</v>
      </c>
      <c r="D766">
        <v>3.4174349999999998</v>
      </c>
      <c r="E766">
        <v>0.45680460000000001</v>
      </c>
      <c r="F766" t="s">
        <v>43</v>
      </c>
      <c r="G766">
        <v>-266.39789999999999</v>
      </c>
      <c r="H766" s="1">
        <v>-1.75815499999999E-6</v>
      </c>
      <c r="I766">
        <v>370.48270000000002</v>
      </c>
      <c r="J766">
        <v>-294.72840000000002</v>
      </c>
      <c r="K766">
        <v>1.059968</v>
      </c>
      <c r="L766">
        <v>367.33159999999998</v>
      </c>
      <c r="M766">
        <v>0.99990489999999999</v>
      </c>
      <c r="N766">
        <v>0</v>
      </c>
      <c r="O766">
        <v>5.6699489999999996E-3</v>
      </c>
      <c r="P766">
        <v>0.98865289999999995</v>
      </c>
      <c r="Q766">
        <v>0.15021770000000001</v>
      </c>
      <c r="R766">
        <v>-5.4713799999999996E-4</v>
      </c>
      <c r="S766">
        <v>3.0518489999999998</v>
      </c>
      <c r="T766">
        <v>-0.1134028</v>
      </c>
      <c r="U766">
        <v>0.33724979999999999</v>
      </c>
      <c r="V766">
        <v>6.1522390000000003E-3</v>
      </c>
      <c r="W766">
        <v>0.1626348</v>
      </c>
      <c r="X766">
        <v>0.98666719999999997</v>
      </c>
      <c r="Y766">
        <v>-0.10413310000000001</v>
      </c>
      <c r="Z766">
        <v>1.7182199999999999E-3</v>
      </c>
      <c r="AA766">
        <v>0.9945619</v>
      </c>
      <c r="AB766">
        <v>39</v>
      </c>
      <c r="AC766">
        <v>28.330500000000001</v>
      </c>
      <c r="AD766">
        <v>-1.0599697581550001</v>
      </c>
      <c r="AE766">
        <v>3.15110000000004</v>
      </c>
      <c r="AF766">
        <v>-2.9862749314034698</v>
      </c>
      <c r="AG766">
        <v>-1.0599697581550001</v>
      </c>
      <c r="AH766">
        <v>28.308769026463999</v>
      </c>
      <c r="AI766">
        <v>92.1325118158381</v>
      </c>
      <c r="AJ766">
        <v>96.021826059819702</v>
      </c>
      <c r="AK766">
        <v>28.4855713940904</v>
      </c>
      <c r="AL766">
        <v>80.640137777613404</v>
      </c>
      <c r="AM766">
        <v>89.642744016411996</v>
      </c>
      <c r="AN766">
        <v>1.0000000458857901</v>
      </c>
    </row>
    <row r="767" spans="1:40" x14ac:dyDescent="0.25">
      <c r="A767" t="str">
        <f>"20190312172344899"</f>
        <v>20190312172344899</v>
      </c>
      <c r="B767" t="str">
        <f>"1552382624890134"</f>
        <v>1552382624890134</v>
      </c>
      <c r="C767" t="s">
        <v>40</v>
      </c>
      <c r="D767">
        <v>3.4179240000000002</v>
      </c>
      <c r="E767">
        <v>0.4567734</v>
      </c>
      <c r="F767" t="s">
        <v>43</v>
      </c>
      <c r="G767">
        <v>-266.19940000000003</v>
      </c>
      <c r="H767" s="1">
        <v>-1.844236E-6</v>
      </c>
      <c r="I767">
        <v>370.4862</v>
      </c>
      <c r="J767">
        <v>-294.51420000000002</v>
      </c>
      <c r="K767">
        <v>1.0599700000000001</v>
      </c>
      <c r="L767">
        <v>367.3329</v>
      </c>
      <c r="M767">
        <v>0.99990489999999999</v>
      </c>
      <c r="N767">
        <v>0</v>
      </c>
      <c r="O767">
        <v>5.6793719999999898E-3</v>
      </c>
      <c r="P767">
        <v>0.98864090000000004</v>
      </c>
      <c r="Q767">
        <v>0.15029619999999999</v>
      </c>
      <c r="R767">
        <v>-5.4713899999999998E-4</v>
      </c>
      <c r="S767">
        <v>3.0518190000000001</v>
      </c>
      <c r="T767">
        <v>-0.11338769999999999</v>
      </c>
      <c r="U767">
        <v>0.33746340000000002</v>
      </c>
      <c r="V767">
        <v>6.161349E-3</v>
      </c>
      <c r="W767">
        <v>0.162712</v>
      </c>
      <c r="X767">
        <v>0.98665440000000004</v>
      </c>
      <c r="Y767">
        <v>-0.1041936</v>
      </c>
      <c r="Z767">
        <v>1.7187719999999999E-3</v>
      </c>
      <c r="AA767">
        <v>0.99455550000000004</v>
      </c>
      <c r="AB767">
        <v>39</v>
      </c>
      <c r="AC767">
        <v>28.314799999999899</v>
      </c>
      <c r="AD767">
        <v>-1.059971844236</v>
      </c>
      <c r="AE767">
        <v>3.1533000000000002</v>
      </c>
      <c r="AF767">
        <v>-2.9882896709046798</v>
      </c>
      <c r="AG767">
        <v>-1.059971844236</v>
      </c>
      <c r="AH767">
        <v>28.293089284712401</v>
      </c>
      <c r="AI767">
        <v>92.133667879621996</v>
      </c>
      <c r="AJ767">
        <v>96.029173780188898</v>
      </c>
      <c r="AK767">
        <v>28.4702005040449</v>
      </c>
      <c r="AL767">
        <v>80.635654690975798</v>
      </c>
      <c r="AM767">
        <v>89.642210377697396</v>
      </c>
      <c r="AN767">
        <v>1.00000003110242</v>
      </c>
    </row>
    <row r="768" spans="1:40" x14ac:dyDescent="0.25">
      <c r="A768" t="str">
        <f>"20190312172344912"</f>
        <v>20190312172344912</v>
      </c>
      <c r="B768" t="str">
        <f>"1552382624900871"</f>
        <v>1552382624900871</v>
      </c>
      <c r="C768" t="s">
        <v>40</v>
      </c>
      <c r="D768">
        <v>3.3792200000000001</v>
      </c>
      <c r="E768">
        <v>0.45678879999999999</v>
      </c>
      <c r="F768" t="s">
        <v>43</v>
      </c>
      <c r="G768">
        <v>-265.86660000000001</v>
      </c>
      <c r="H768" s="1">
        <v>-1.992364E-6</v>
      </c>
      <c r="I768">
        <v>370.50630000000001</v>
      </c>
      <c r="J768">
        <v>-294.29489999999998</v>
      </c>
      <c r="K768">
        <v>1.059971</v>
      </c>
      <c r="L768">
        <v>367.33409999999998</v>
      </c>
      <c r="M768">
        <v>0.99990480000000004</v>
      </c>
      <c r="N768">
        <v>0</v>
      </c>
      <c r="O768">
        <v>5.6889729999999999E-3</v>
      </c>
      <c r="P768">
        <v>0.98866739999999997</v>
      </c>
      <c r="Q768">
        <v>0.15012139999999999</v>
      </c>
      <c r="R768">
        <v>-5.4793339999999896E-4</v>
      </c>
      <c r="S768">
        <v>3.0518190000000001</v>
      </c>
      <c r="T768">
        <v>-0.11291809999999999</v>
      </c>
      <c r="U768">
        <v>0.33807369999999998</v>
      </c>
      <c r="V768">
        <v>6.1717810000000003E-3</v>
      </c>
      <c r="W768">
        <v>0.1625365</v>
      </c>
      <c r="X768">
        <v>0.98668319999999998</v>
      </c>
      <c r="Y768">
        <v>-0.1043809</v>
      </c>
      <c r="Z768">
        <v>1.7147410000000001E-3</v>
      </c>
      <c r="AA768">
        <v>0.99453590000000003</v>
      </c>
      <c r="AB768">
        <v>39</v>
      </c>
      <c r="AC768">
        <v>28.428299999999901</v>
      </c>
      <c r="AD768">
        <v>-1.059972992364</v>
      </c>
      <c r="AE768">
        <v>3.1722000000000299</v>
      </c>
      <c r="AF768">
        <v>-3.0062800150286</v>
      </c>
      <c r="AG768">
        <v>-1.059972992364</v>
      </c>
      <c r="AH768">
        <v>28.4068813597091</v>
      </c>
      <c r="AI768">
        <v>92.125084334166402</v>
      </c>
      <c r="AJ768">
        <v>96.041085429509593</v>
      </c>
      <c r="AK768">
        <v>28.585173969347998</v>
      </c>
      <c r="AL768">
        <v>80.645845194932505</v>
      </c>
      <c r="AM768">
        <v>89.641615067923198</v>
      </c>
      <c r="AN768">
        <v>0.99999997093759996</v>
      </c>
    </row>
    <row r="769" spans="1:40" x14ac:dyDescent="0.25">
      <c r="A769" t="str">
        <f>"20190312172344931"</f>
        <v>20190312172344931</v>
      </c>
      <c r="B769" t="str">
        <f>"1552382624920391"</f>
        <v>1552382624920391</v>
      </c>
      <c r="C769" t="s">
        <v>40</v>
      </c>
      <c r="D769">
        <v>3.4503309999999998</v>
      </c>
      <c r="E769">
        <v>0.4572118</v>
      </c>
      <c r="F769" t="s">
        <v>43</v>
      </c>
      <c r="G769">
        <v>-265.9135</v>
      </c>
      <c r="H769" s="1">
        <v>-1.9635220000000001E-6</v>
      </c>
      <c r="I769">
        <v>370.4735</v>
      </c>
      <c r="J769">
        <v>-293.96749999999997</v>
      </c>
      <c r="K769">
        <v>1.059965</v>
      </c>
      <c r="L769">
        <v>367.33600000000001</v>
      </c>
      <c r="M769">
        <v>0.99990489999999999</v>
      </c>
      <c r="N769">
        <v>0</v>
      </c>
      <c r="O769">
        <v>5.7027500000000004E-3</v>
      </c>
      <c r="P769">
        <v>0.98871030000000004</v>
      </c>
      <c r="Q769">
        <v>0.1498389</v>
      </c>
      <c r="R769">
        <v>-5.7704049999999997E-4</v>
      </c>
      <c r="S769">
        <v>3.0518800000000001</v>
      </c>
      <c r="T769">
        <v>-0.1139795</v>
      </c>
      <c r="U769">
        <v>0.33758539999999998</v>
      </c>
      <c r="V769">
        <v>6.2149049999999997E-3</v>
      </c>
      <c r="W769">
        <v>0.1622537</v>
      </c>
      <c r="X769">
        <v>0.98672950000000004</v>
      </c>
      <c r="Y769">
        <v>-0.1042067</v>
      </c>
      <c r="Z769">
        <v>1.727073E-3</v>
      </c>
      <c r="AA769">
        <v>0.99455420000000005</v>
      </c>
      <c r="AB769">
        <v>39</v>
      </c>
      <c r="AC769">
        <v>28.053999999999899</v>
      </c>
      <c r="AD769">
        <v>-1.0599669635219999</v>
      </c>
      <c r="AE769">
        <v>3.1374999999999802</v>
      </c>
      <c r="AF769">
        <v>-2.9732593316478799</v>
      </c>
      <c r="AG769">
        <v>-1.0599669635219999</v>
      </c>
      <c r="AH769">
        <v>28.0319145731787</v>
      </c>
      <c r="AI769">
        <v>92.153417971970697</v>
      </c>
      <c r="AJ769">
        <v>96.054550624568705</v>
      </c>
      <c r="AK769">
        <v>28.209077185455399</v>
      </c>
      <c r="AL769">
        <v>80.662266667649604</v>
      </c>
      <c r="AM769">
        <v>89.639127929281202</v>
      </c>
      <c r="AN769">
        <v>0.99999999718904897</v>
      </c>
    </row>
    <row r="770" spans="1:40" x14ac:dyDescent="0.25">
      <c r="A770" t="str">
        <f>"20190312172344945"</f>
        <v>20190312172344945</v>
      </c>
      <c r="B770" t="str">
        <f>"1552382624940887"</f>
        <v>1552382624940887</v>
      </c>
      <c r="C770" t="s">
        <v>40</v>
      </c>
      <c r="D770">
        <v>3.38043</v>
      </c>
      <c r="E770">
        <v>0.47643000000000002</v>
      </c>
      <c r="F770" t="s">
        <v>43</v>
      </c>
      <c r="G770">
        <v>-266.5301</v>
      </c>
      <c r="H770" s="1">
        <v>-1.6640179999999999E-6</v>
      </c>
      <c r="I770">
        <v>370.34199999999998</v>
      </c>
      <c r="J770">
        <v>-293.7328</v>
      </c>
      <c r="K770">
        <v>1.059965</v>
      </c>
      <c r="L770">
        <v>367.33730000000003</v>
      </c>
      <c r="M770">
        <v>0.99990480000000004</v>
      </c>
      <c r="N770">
        <v>0</v>
      </c>
      <c r="O770">
        <v>5.7128889999999996E-3</v>
      </c>
      <c r="P770">
        <v>0.98872300000000002</v>
      </c>
      <c r="Q770">
        <v>0.1497561</v>
      </c>
      <c r="R770">
        <v>-4.6630059999999999E-4</v>
      </c>
      <c r="S770">
        <v>3.0523069999999999</v>
      </c>
      <c r="T770">
        <v>-0.1179167</v>
      </c>
      <c r="U770">
        <v>0.33441159999999998</v>
      </c>
      <c r="V770">
        <v>6.114113E-3</v>
      </c>
      <c r="W770">
        <v>0.16217039999999999</v>
      </c>
      <c r="X770">
        <v>0.98674379999999995</v>
      </c>
      <c r="Y770">
        <v>-0.1031556</v>
      </c>
      <c r="Z770">
        <v>1.765916E-3</v>
      </c>
      <c r="AA770">
        <v>0.99466370000000004</v>
      </c>
      <c r="AB770">
        <v>39</v>
      </c>
      <c r="AC770">
        <v>27.2027</v>
      </c>
      <c r="AD770">
        <v>-1.0599666640180001</v>
      </c>
      <c r="AE770">
        <v>3.00469999999995</v>
      </c>
      <c r="AF770">
        <v>-2.8449652213709999</v>
      </c>
      <c r="AG770">
        <v>-1.0599666640180001</v>
      </c>
      <c r="AH770">
        <v>27.1786546655742</v>
      </c>
      <c r="AI770">
        <v>92.221277660677103</v>
      </c>
      <c r="AJ770">
        <v>95.975756719313907</v>
      </c>
      <c r="AK770">
        <v>27.347698730792299</v>
      </c>
      <c r="AL770">
        <v>80.667103245966203</v>
      </c>
      <c r="AM770">
        <v>89.644985469156794</v>
      </c>
      <c r="AN770">
        <v>0.999999973926187</v>
      </c>
    </row>
    <row r="771" spans="1:40" x14ac:dyDescent="0.25">
      <c r="A771" t="str">
        <f>"20190312172345027"</f>
        <v>20190312172345027</v>
      </c>
      <c r="B771" t="str">
        <f>"1552382625020919"</f>
        <v>1552382625020919</v>
      </c>
      <c r="C771" t="s">
        <v>40</v>
      </c>
      <c r="D771">
        <v>3.5360200000000002</v>
      </c>
      <c r="E771">
        <v>0.56165859999999901</v>
      </c>
      <c r="F771" t="s">
        <v>41</v>
      </c>
      <c r="G771">
        <v>-291.7439</v>
      </c>
      <c r="H771">
        <v>0.83231029999999995</v>
      </c>
      <c r="I771">
        <v>367.2167</v>
      </c>
      <c r="J771">
        <v>-292.30119999999999</v>
      </c>
      <c r="K771">
        <v>1.059965</v>
      </c>
      <c r="L771">
        <v>367.34559999999999</v>
      </c>
      <c r="M771">
        <v>0.99990449999999997</v>
      </c>
      <c r="N771">
        <v>0</v>
      </c>
      <c r="O771">
        <v>5.7754369999999996E-3</v>
      </c>
      <c r="P771">
        <v>0.9887205</v>
      </c>
      <c r="Q771">
        <v>0.1497723</v>
      </c>
      <c r="R771">
        <v>-5.9041189999999998E-4</v>
      </c>
      <c r="S771">
        <v>3.1751710000000002</v>
      </c>
      <c r="T771">
        <v>-0.9321815</v>
      </c>
      <c r="U771">
        <v>-0.52212519999999996</v>
      </c>
      <c r="V771">
        <v>6.3000349999999998E-3</v>
      </c>
      <c r="W771">
        <v>0.1621822</v>
      </c>
      <c r="X771">
        <v>0.98674070000000003</v>
      </c>
      <c r="Y771">
        <v>0.16109479999999901</v>
      </c>
      <c r="Z771">
        <v>-2.4663910000000001E-2</v>
      </c>
      <c r="AA771">
        <v>0.98663069999999997</v>
      </c>
      <c r="AB771">
        <v>39</v>
      </c>
      <c r="AC771">
        <v>0.55729999999999702</v>
      </c>
      <c r="AD771">
        <v>-0.22765469999999999</v>
      </c>
      <c r="AE771">
        <v>-0.128899999999987</v>
      </c>
      <c r="AF771">
        <v>0.114051541225574</v>
      </c>
      <c r="AG771">
        <v>-0.22765469999999999</v>
      </c>
      <c r="AH771">
        <v>0.48044588341821098</v>
      </c>
      <c r="AI771">
        <v>114.75104500943</v>
      </c>
      <c r="AJ771">
        <v>76.645917852889795</v>
      </c>
      <c r="AK771">
        <v>0.543748713452753</v>
      </c>
      <c r="AL771">
        <v>80.666418168430496</v>
      </c>
      <c r="AM771">
        <v>89.634189091853401</v>
      </c>
      <c r="AN771">
        <v>0.99999998273716495</v>
      </c>
    </row>
    <row r="772" spans="1:40" x14ac:dyDescent="0.25">
      <c r="A772" t="str">
        <f>"20190312172345042"</f>
        <v>20190312172345042</v>
      </c>
      <c r="B772" t="str">
        <f>"1552382625030679"</f>
        <v>1552382625030679</v>
      </c>
      <c r="C772" t="s">
        <v>40</v>
      </c>
      <c r="D772">
        <v>3.5781930000000002</v>
      </c>
      <c r="E772">
        <v>0.5610889</v>
      </c>
      <c r="F772" t="s">
        <v>41</v>
      </c>
      <c r="G772">
        <v>-291.40620000000001</v>
      </c>
      <c r="H772">
        <v>0.80616840000000001</v>
      </c>
      <c r="I772">
        <v>367.2022</v>
      </c>
      <c r="J772">
        <v>-292.03390000000002</v>
      </c>
      <c r="K772">
        <v>1.0599620000000001</v>
      </c>
      <c r="L772">
        <v>367.34719999999999</v>
      </c>
      <c r="M772">
        <v>0.99990429999999997</v>
      </c>
      <c r="N772">
        <v>0</v>
      </c>
      <c r="O772">
        <v>5.7868249999999998E-3</v>
      </c>
      <c r="P772">
        <v>0.98872450000000001</v>
      </c>
      <c r="Q772">
        <v>0.14974589999999999</v>
      </c>
      <c r="R772">
        <v>-3.952677E-4</v>
      </c>
      <c r="S772">
        <v>3.170105</v>
      </c>
      <c r="T772">
        <v>-0.899029999999999</v>
      </c>
      <c r="U772">
        <v>-0.50680539999999996</v>
      </c>
      <c r="V772">
        <v>6.1162819999999998E-3</v>
      </c>
      <c r="W772">
        <v>0.16215539999999901</v>
      </c>
      <c r="X772">
        <v>0.98674629999999997</v>
      </c>
      <c r="Y772">
        <v>0.15730189999999999</v>
      </c>
      <c r="Z772">
        <v>-2.3343599999999999E-2</v>
      </c>
      <c r="AA772">
        <v>0.9872746</v>
      </c>
      <c r="AB772">
        <v>39</v>
      </c>
      <c r="AC772">
        <v>0.62770000000000403</v>
      </c>
      <c r="AD772">
        <v>-0.25379360000000001</v>
      </c>
      <c r="AE772">
        <v>-0.14499999999998101</v>
      </c>
      <c r="AF772">
        <v>0.12866240724249101</v>
      </c>
      <c r="AG772">
        <v>-0.25379360000000001</v>
      </c>
      <c r="AH772">
        <v>0.54263565784673795</v>
      </c>
      <c r="AI772">
        <v>114.469705766262</v>
      </c>
      <c r="AJ772">
        <v>76.661128941305293</v>
      </c>
      <c r="AK772">
        <v>0.61271417774126602</v>
      </c>
      <c r="AL772">
        <v>80.667974659727093</v>
      </c>
      <c r="AM772">
        <v>89.644860429661506</v>
      </c>
      <c r="AN772">
        <v>1.00000002160917</v>
      </c>
    </row>
    <row r="773" spans="1:40" x14ac:dyDescent="0.25">
      <c r="A773" t="str">
        <f>"20190312172345054"</f>
        <v>20190312172345054</v>
      </c>
      <c r="B773" t="str">
        <f>"1552382625050199"</f>
        <v>1552382625050199</v>
      </c>
      <c r="C773" t="s">
        <v>40</v>
      </c>
      <c r="D773">
        <v>3.5409039999999998</v>
      </c>
      <c r="E773">
        <v>0.56205139999999998</v>
      </c>
      <c r="F773" t="s">
        <v>41</v>
      </c>
      <c r="G773">
        <v>-291.06290000000001</v>
      </c>
      <c r="H773">
        <v>0.79393590000000003</v>
      </c>
      <c r="I773">
        <v>367.19349999999997</v>
      </c>
      <c r="J773">
        <v>-291.8227</v>
      </c>
      <c r="K773">
        <v>1.0599609999999999</v>
      </c>
      <c r="L773">
        <v>367.34840000000003</v>
      </c>
      <c r="M773">
        <v>0.99990429999999997</v>
      </c>
      <c r="N773">
        <v>0</v>
      </c>
      <c r="O773">
        <v>5.7959469999999897E-3</v>
      </c>
      <c r="P773">
        <v>0.98870449999999999</v>
      </c>
      <c r="Q773">
        <v>0.1498776</v>
      </c>
      <c r="R773">
        <v>-3.4705409999999999E-4</v>
      </c>
      <c r="S773">
        <v>3.165375</v>
      </c>
      <c r="T773">
        <v>-0.8672822</v>
      </c>
      <c r="U773">
        <v>-0.50103759999999997</v>
      </c>
      <c r="V773">
        <v>6.0768840000000003E-3</v>
      </c>
      <c r="W773">
        <v>0.16228670000000001</v>
      </c>
      <c r="X773">
        <v>0.98672499999999996</v>
      </c>
      <c r="Y773">
        <v>0.15623329999999999</v>
      </c>
      <c r="Z773">
        <v>-2.244316E-2</v>
      </c>
      <c r="AA773">
        <v>0.98746509999999998</v>
      </c>
      <c r="AB773">
        <v>39</v>
      </c>
      <c r="AC773">
        <v>0.75979999999998404</v>
      </c>
      <c r="AD773">
        <v>-0.26602510000000001</v>
      </c>
      <c r="AE773">
        <v>-0.15490000000005399</v>
      </c>
      <c r="AF773">
        <v>0.142526702029108</v>
      </c>
      <c r="AG773">
        <v>-0.26602510000000001</v>
      </c>
      <c r="AH773">
        <v>0.67897662967478201</v>
      </c>
      <c r="AI773">
        <v>110.979123245876</v>
      </c>
      <c r="AJ773">
        <v>78.144940131432193</v>
      </c>
      <c r="AK773">
        <v>0.74302925801467001</v>
      </c>
      <c r="AL773">
        <v>80.660351136401005</v>
      </c>
      <c r="AM773">
        <v>89.647140384736005</v>
      </c>
      <c r="AN773">
        <v>1.00000006357051</v>
      </c>
    </row>
    <row r="774" spans="1:40" x14ac:dyDescent="0.25">
      <c r="A774" t="str">
        <f>"20190312172345076"</f>
        <v>20190312172345076</v>
      </c>
      <c r="B774" t="str">
        <f>"1552382625070695"</f>
        <v>1552382625070695</v>
      </c>
      <c r="C774" t="s">
        <v>40</v>
      </c>
      <c r="D774">
        <v>3.5557590000000001</v>
      </c>
      <c r="E774">
        <v>0.56386769999999997</v>
      </c>
      <c r="F774" t="s">
        <v>41</v>
      </c>
      <c r="G774">
        <v>-291.03719999999998</v>
      </c>
      <c r="H774">
        <v>0.85733019999999904</v>
      </c>
      <c r="I774">
        <v>367.22199999999998</v>
      </c>
      <c r="J774">
        <v>-291.4479</v>
      </c>
      <c r="K774">
        <v>1.059966</v>
      </c>
      <c r="L774">
        <v>367.35059999999999</v>
      </c>
      <c r="M774">
        <v>0.99990429999999997</v>
      </c>
      <c r="N774">
        <v>0</v>
      </c>
      <c r="O774">
        <v>5.8123990000000002E-3</v>
      </c>
      <c r="P774">
        <v>0.98874790000000001</v>
      </c>
      <c r="Q774">
        <v>0.149591</v>
      </c>
      <c r="R774">
        <v>-4.3607880000000001E-4</v>
      </c>
      <c r="S774">
        <v>3.1575929999999999</v>
      </c>
      <c r="T774">
        <v>-0.81457669999999904</v>
      </c>
      <c r="U774">
        <v>-0.50805659999999997</v>
      </c>
      <c r="V774">
        <v>6.182707E-3</v>
      </c>
      <c r="W774">
        <v>0.16199959999999999</v>
      </c>
      <c r="X774">
        <v>0.98677150000000002</v>
      </c>
      <c r="Y774">
        <v>0.15931989999999999</v>
      </c>
      <c r="Z774">
        <v>-2.1562629999999999E-2</v>
      </c>
      <c r="AA774">
        <v>0.98699150000000002</v>
      </c>
      <c r="AB774">
        <v>39</v>
      </c>
      <c r="AC774">
        <v>0.41070000000001899</v>
      </c>
      <c r="AD774">
        <v>-0.2026358</v>
      </c>
      <c r="AE774">
        <v>-0.12860000000000499</v>
      </c>
      <c r="AF774">
        <v>0.10721565060421</v>
      </c>
      <c r="AG774">
        <v>-0.2026358</v>
      </c>
      <c r="AH774">
        <v>0.33555384356886903</v>
      </c>
      <c r="AI774">
        <v>119.90900375596399</v>
      </c>
      <c r="AJ774">
        <v>72.280358770617994</v>
      </c>
      <c r="AK774">
        <v>0.40639001600674901</v>
      </c>
      <c r="AL774">
        <v>80.677021169336697</v>
      </c>
      <c r="AM774">
        <v>89.641012755643899</v>
      </c>
      <c r="AN774">
        <v>1.00000004473912</v>
      </c>
    </row>
    <row r="775" spans="1:40" x14ac:dyDescent="0.25">
      <c r="A775" t="str">
        <f>"20190312172345087"</f>
        <v>20190312172345087</v>
      </c>
      <c r="B775" t="str">
        <f>"1552382625080455"</f>
        <v>1552382625080455</v>
      </c>
      <c r="C775" t="s">
        <v>40</v>
      </c>
      <c r="D775">
        <v>3.5897890000000001</v>
      </c>
      <c r="E775">
        <v>0.5648358</v>
      </c>
      <c r="F775" t="s">
        <v>41</v>
      </c>
      <c r="G775">
        <v>-290.68369999999999</v>
      </c>
      <c r="H775">
        <v>0.87001779999999995</v>
      </c>
      <c r="I775">
        <v>367.22390000000001</v>
      </c>
      <c r="J775">
        <v>-291.25450000000001</v>
      </c>
      <c r="K775">
        <v>1.059965</v>
      </c>
      <c r="L775">
        <v>367.35169999999999</v>
      </c>
      <c r="M775">
        <v>0.99990420000000002</v>
      </c>
      <c r="N775">
        <v>0</v>
      </c>
      <c r="O775">
        <v>5.8208050000000001E-3</v>
      </c>
      <c r="P775">
        <v>0.98874289999999998</v>
      </c>
      <c r="Q775">
        <v>0.14962349999999999</v>
      </c>
      <c r="R775">
        <v>-4.1778289999999999E-4</v>
      </c>
      <c r="S775">
        <v>3.152466</v>
      </c>
      <c r="T775">
        <v>-0.78372109999999995</v>
      </c>
      <c r="U775">
        <v>-0.52166749999999995</v>
      </c>
      <c r="V775">
        <v>6.1726740000000004E-3</v>
      </c>
      <c r="W775">
        <v>0.1620316</v>
      </c>
      <c r="X775">
        <v>0.98676629999999999</v>
      </c>
      <c r="Y775">
        <v>0.16396579999999999</v>
      </c>
      <c r="Z775">
        <v>-2.1362630000000001E-2</v>
      </c>
      <c r="AA775">
        <v>0.98623470000000002</v>
      </c>
      <c r="AB775">
        <v>39</v>
      </c>
      <c r="AC775">
        <v>0.57080000000001896</v>
      </c>
      <c r="AD775">
        <v>-0.18994720000000001</v>
      </c>
      <c r="AE775">
        <v>-0.12779999999997901</v>
      </c>
      <c r="AF775">
        <v>0.118612664674624</v>
      </c>
      <c r="AG775">
        <v>-0.18994720000000001</v>
      </c>
      <c r="AH775">
        <v>0.51566811625087905</v>
      </c>
      <c r="AI775">
        <v>109.747003128332</v>
      </c>
      <c r="AJ775">
        <v>77.046285961379397</v>
      </c>
      <c r="AK775">
        <v>0.56219436952604296</v>
      </c>
      <c r="AL775">
        <v>80.675163075119698</v>
      </c>
      <c r="AM775">
        <v>89.641593399045604</v>
      </c>
      <c r="AN775">
        <v>1.00000003605927</v>
      </c>
    </row>
    <row r="776" spans="1:40" x14ac:dyDescent="0.25">
      <c r="A776" t="str">
        <f>"20190312172345098"</f>
        <v>20190312172345098</v>
      </c>
      <c r="B776" t="str">
        <f>"1552382625091191"</f>
        <v>1552382625091191</v>
      </c>
      <c r="C776" t="s">
        <v>40</v>
      </c>
      <c r="D776">
        <v>3.6274130000000002</v>
      </c>
      <c r="E776">
        <v>0.56575949999999997</v>
      </c>
      <c r="F776" t="s">
        <v>41</v>
      </c>
      <c r="G776">
        <v>-290.34859999999998</v>
      </c>
      <c r="H776">
        <v>0.83689950000000002</v>
      </c>
      <c r="I776">
        <v>367.19959999999998</v>
      </c>
      <c r="J776">
        <v>-291.05189999999999</v>
      </c>
      <c r="K776">
        <v>1.0599670000000001</v>
      </c>
      <c r="L776">
        <v>367.35289999999998</v>
      </c>
      <c r="M776">
        <v>0.99990420000000002</v>
      </c>
      <c r="N776">
        <v>0</v>
      </c>
      <c r="O776">
        <v>5.8293919999999897E-3</v>
      </c>
      <c r="P776">
        <v>0.98874660000000003</v>
      </c>
      <c r="Q776">
        <v>0.14959990000000001</v>
      </c>
      <c r="R776">
        <v>-5.4596500000000004E-4</v>
      </c>
      <c r="S776">
        <v>3.1513369999999998</v>
      </c>
      <c r="T776">
        <v>-0.77591180000000004</v>
      </c>
      <c r="U776">
        <v>-0.52926640000000003</v>
      </c>
      <c r="V776">
        <v>6.309154E-3</v>
      </c>
      <c r="W776">
        <v>0.16200719999999999</v>
      </c>
      <c r="X776">
        <v>0.98676940000000002</v>
      </c>
      <c r="Y776">
        <v>0.16637160000000001</v>
      </c>
      <c r="Z776">
        <v>-2.1451069999999999E-2</v>
      </c>
      <c r="AA776">
        <v>0.98582979999999998</v>
      </c>
      <c r="AB776">
        <v>39</v>
      </c>
      <c r="AC776">
        <v>0.70330000000001203</v>
      </c>
      <c r="AD776">
        <v>-0.2230675</v>
      </c>
      <c r="AE776">
        <v>-0.15330000000000099</v>
      </c>
      <c r="AF776">
        <v>0.14360621655219899</v>
      </c>
      <c r="AG776">
        <v>-0.2230675</v>
      </c>
      <c r="AH776">
        <v>0.64084991014706905</v>
      </c>
      <c r="AI776">
        <v>108.76042682548</v>
      </c>
      <c r="AJ776">
        <v>77.369409596715201</v>
      </c>
      <c r="AK776">
        <v>0.693592432430021</v>
      </c>
      <c r="AL776">
        <v>80.676579410510996</v>
      </c>
      <c r="AM776">
        <v>89.633670267092199</v>
      </c>
      <c r="AN776">
        <v>0.99999999352619695</v>
      </c>
    </row>
    <row r="777" spans="1:40" x14ac:dyDescent="0.25">
      <c r="A777" t="str">
        <f>"20190312172345109"</f>
        <v>20190312172345109</v>
      </c>
      <c r="B777" t="str">
        <f>"1552382625100951"</f>
        <v>1552382625100951</v>
      </c>
      <c r="C777" t="s">
        <v>40</v>
      </c>
      <c r="D777">
        <v>3.5519029999999998</v>
      </c>
      <c r="E777">
        <v>0.56605300000000003</v>
      </c>
      <c r="F777" t="s">
        <v>41</v>
      </c>
      <c r="G777">
        <v>-290.33</v>
      </c>
      <c r="H777">
        <v>0.88330589999999998</v>
      </c>
      <c r="I777">
        <v>367.22980000000001</v>
      </c>
      <c r="J777">
        <v>-290.86439999999999</v>
      </c>
      <c r="K777">
        <v>1.059968</v>
      </c>
      <c r="L777">
        <v>367.35399999999998</v>
      </c>
      <c r="M777">
        <v>0.99990400000000002</v>
      </c>
      <c r="N777">
        <v>0</v>
      </c>
      <c r="O777">
        <v>5.83762E-3</v>
      </c>
      <c r="P777">
        <v>0.98874649999999997</v>
      </c>
      <c r="Q777">
        <v>0.14960029999999999</v>
      </c>
      <c r="R777">
        <v>-5.0494730000000005E-4</v>
      </c>
      <c r="S777">
        <v>3.1504819999999998</v>
      </c>
      <c r="T777">
        <v>-0.77093239999999996</v>
      </c>
      <c r="U777">
        <v>-0.53695680000000001</v>
      </c>
      <c r="V777">
        <v>6.2763059999999997E-3</v>
      </c>
      <c r="W777">
        <v>0.16200709999999999</v>
      </c>
      <c r="X777">
        <v>0.98676960000000002</v>
      </c>
      <c r="Y777">
        <v>0.16875660000000001</v>
      </c>
      <c r="Z777">
        <v>-2.160627E-2</v>
      </c>
      <c r="AA777">
        <v>0.98542090000000004</v>
      </c>
      <c r="AB777">
        <v>39</v>
      </c>
      <c r="AC777">
        <v>0.53440000000000498</v>
      </c>
      <c r="AD777">
        <v>-0.17666209999999899</v>
      </c>
      <c r="AE777">
        <v>-0.12420000000002999</v>
      </c>
      <c r="AF777">
        <v>0.115357182274777</v>
      </c>
      <c r="AG777">
        <v>-0.17666209999999899</v>
      </c>
      <c r="AH777">
        <v>0.48353180493731601</v>
      </c>
      <c r="AI777">
        <v>109.564403523414</v>
      </c>
      <c r="AJ777">
        <v>76.581650409787002</v>
      </c>
      <c r="AK777">
        <v>0.52756021785643104</v>
      </c>
      <c r="AL777">
        <v>80.676584976450201</v>
      </c>
      <c r="AM777">
        <v>89.635577549698098</v>
      </c>
      <c r="AN777">
        <v>0.99999996797578705</v>
      </c>
    </row>
    <row r="778" spans="1:40" x14ac:dyDescent="0.25">
      <c r="A778" t="str">
        <f>"20190312172345120"</f>
        <v>20190312172345120</v>
      </c>
      <c r="B778" t="str">
        <f>"1552382625110711"</f>
        <v>1552382625110711</v>
      </c>
      <c r="C778" t="s">
        <v>40</v>
      </c>
      <c r="D778">
        <v>3.6456170000000001</v>
      </c>
      <c r="E778">
        <v>0.56674709999999995</v>
      </c>
      <c r="F778" t="s">
        <v>41</v>
      </c>
      <c r="G778">
        <v>-289.99579999999997</v>
      </c>
      <c r="H778">
        <v>0.84883169999999897</v>
      </c>
      <c r="I778">
        <v>367.20510000000002</v>
      </c>
      <c r="J778">
        <v>-290.67140000000001</v>
      </c>
      <c r="K778">
        <v>1.0599689999999999</v>
      </c>
      <c r="L778">
        <v>367.35509999999999</v>
      </c>
      <c r="M778">
        <v>0.99990420000000002</v>
      </c>
      <c r="N778">
        <v>0</v>
      </c>
      <c r="O778">
        <v>5.8458470000000004E-3</v>
      </c>
      <c r="P778">
        <v>0.98876090000000005</v>
      </c>
      <c r="Q778">
        <v>0.14950479999999899</v>
      </c>
      <c r="R778">
        <v>-6.8939659999999999E-4</v>
      </c>
      <c r="S778">
        <v>3.14975</v>
      </c>
      <c r="T778">
        <v>-0.76564589999999999</v>
      </c>
      <c r="U778">
        <v>-0.53921509999999995</v>
      </c>
      <c r="V778">
        <v>6.469046E-3</v>
      </c>
      <c r="W778">
        <v>0.16191159999999999</v>
      </c>
      <c r="X778">
        <v>0.98678399999999999</v>
      </c>
      <c r="Y778">
        <v>0.16953289999999999</v>
      </c>
      <c r="Z778">
        <v>-2.1560090000000001E-2</v>
      </c>
      <c r="AA778">
        <v>0.98528870000000002</v>
      </c>
      <c r="AB778">
        <v>39</v>
      </c>
      <c r="AC778">
        <v>0.67560000000003095</v>
      </c>
      <c r="AD778">
        <v>-0.2111373</v>
      </c>
      <c r="AE778">
        <v>-0.14999999999997701</v>
      </c>
      <c r="AF778">
        <v>0.14083809306890499</v>
      </c>
      <c r="AG778">
        <v>-0.2111373</v>
      </c>
      <c r="AH778">
        <v>0.617257612638757</v>
      </c>
      <c r="AI778">
        <v>108.44284341542</v>
      </c>
      <c r="AJ778">
        <v>77.146997615878902</v>
      </c>
      <c r="AK778">
        <v>0.66739889741523695</v>
      </c>
      <c r="AL778">
        <v>80.682129656133398</v>
      </c>
      <c r="AM778">
        <v>89.624392244284294</v>
      </c>
      <c r="AN778">
        <v>0.99999993871335302</v>
      </c>
    </row>
    <row r="779" spans="1:40" x14ac:dyDescent="0.25">
      <c r="A779" t="str">
        <f>"20190312172345131"</f>
        <v>20190312172345131</v>
      </c>
      <c r="B779" t="str">
        <f>"1552382625120472"</f>
        <v>1552382625120472</v>
      </c>
      <c r="C779" t="s">
        <v>40</v>
      </c>
      <c r="D779">
        <v>3.6298520000000001</v>
      </c>
      <c r="E779">
        <v>0.56725150000000002</v>
      </c>
      <c r="F779" t="s">
        <v>41</v>
      </c>
      <c r="G779">
        <v>-289.97809999999998</v>
      </c>
      <c r="H779">
        <v>0.89224199999999998</v>
      </c>
      <c r="I779">
        <v>367.23489999999998</v>
      </c>
      <c r="J779">
        <v>-290.48309999999998</v>
      </c>
      <c r="K779">
        <v>1.0599689999999999</v>
      </c>
      <c r="L779">
        <v>367.3562</v>
      </c>
      <c r="M779">
        <v>0.99990400000000002</v>
      </c>
      <c r="N779">
        <v>0</v>
      </c>
      <c r="O779">
        <v>5.8541340000000004E-3</v>
      </c>
      <c r="P779">
        <v>0.98875000000000002</v>
      </c>
      <c r="Q779">
        <v>0.14957609999999999</v>
      </c>
      <c r="R779">
        <v>-8.0465339999999895E-4</v>
      </c>
      <c r="S779">
        <v>3.1488649999999998</v>
      </c>
      <c r="T779">
        <v>-0.76174469999999905</v>
      </c>
      <c r="U779">
        <v>-0.54519649999999997</v>
      </c>
      <c r="V779">
        <v>6.5923619999999896E-3</v>
      </c>
      <c r="W779">
        <v>0.16198270000000001</v>
      </c>
      <c r="X779">
        <v>0.98677159999999997</v>
      </c>
      <c r="Y779">
        <v>0.17140089999999999</v>
      </c>
      <c r="Z779">
        <v>-2.1678869999999999E-2</v>
      </c>
      <c r="AA779">
        <v>0.98496280000000003</v>
      </c>
      <c r="AB779">
        <v>39</v>
      </c>
      <c r="AC779">
        <v>0.50499999999999501</v>
      </c>
      <c r="AD779">
        <v>-0.16772699999999999</v>
      </c>
      <c r="AE779">
        <v>-0.121300000000019</v>
      </c>
      <c r="AF779">
        <v>0.11251931130429201</v>
      </c>
      <c r="AG779">
        <v>-0.16772699999999999</v>
      </c>
      <c r="AH779">
        <v>0.45665448779073398</v>
      </c>
      <c r="AI779">
        <v>109.62769738786599</v>
      </c>
      <c r="AJ779">
        <v>76.158093881184001</v>
      </c>
      <c r="AK779">
        <v>0.499325808630807</v>
      </c>
      <c r="AL779">
        <v>80.678002218606494</v>
      </c>
      <c r="AM779">
        <v>89.617227633672996</v>
      </c>
      <c r="AN779">
        <v>1.0000000224512899</v>
      </c>
    </row>
    <row r="780" spans="1:40" x14ac:dyDescent="0.25">
      <c r="A780" t="str">
        <f>"20190312172345142"</f>
        <v>20190312172345142</v>
      </c>
      <c r="B780" t="str">
        <f>"1552382625140966"</f>
        <v>1552382625140966</v>
      </c>
      <c r="C780" t="s">
        <v>40</v>
      </c>
      <c r="D780">
        <v>3.5577190000000001</v>
      </c>
      <c r="E780">
        <v>0.56738529999999998</v>
      </c>
      <c r="F780" t="s">
        <v>41</v>
      </c>
      <c r="G780">
        <v>-289.64409999999998</v>
      </c>
      <c r="H780">
        <v>0.85809539999999995</v>
      </c>
      <c r="I780">
        <v>367.2097</v>
      </c>
      <c r="J780">
        <v>-290.28469999999999</v>
      </c>
      <c r="K780">
        <v>1.0599689999999999</v>
      </c>
      <c r="L780">
        <v>367.35739999999998</v>
      </c>
      <c r="M780">
        <v>0.99990400000000002</v>
      </c>
      <c r="N780">
        <v>0</v>
      </c>
      <c r="O780">
        <v>5.8626590000000001E-3</v>
      </c>
      <c r="P780">
        <v>0.988757</v>
      </c>
      <c r="Q780">
        <v>0.14952960000000001</v>
      </c>
      <c r="R780">
        <v>-9.3741530000000003E-4</v>
      </c>
      <c r="S780">
        <v>3.148285</v>
      </c>
      <c r="T780">
        <v>-0.75756650000000003</v>
      </c>
      <c r="U780">
        <v>-0.54943850000000005</v>
      </c>
      <c r="V780">
        <v>6.7334830000000002E-3</v>
      </c>
      <c r="W780">
        <v>0.16193560000000001</v>
      </c>
      <c r="X780">
        <v>0.98677839999999994</v>
      </c>
      <c r="Y780">
        <v>0.1727436</v>
      </c>
      <c r="Z780">
        <v>-2.1724759999999999E-2</v>
      </c>
      <c r="AA780">
        <v>0.98472720000000002</v>
      </c>
      <c r="AB780">
        <v>39</v>
      </c>
      <c r="AC780">
        <v>0.64060000000000605</v>
      </c>
      <c r="AD780">
        <v>-0.20187359999999999</v>
      </c>
      <c r="AE780">
        <v>-0.14769999999998601</v>
      </c>
      <c r="AF780">
        <v>0.13840263807192699</v>
      </c>
      <c r="AG780">
        <v>-0.20187359999999999</v>
      </c>
      <c r="AH780">
        <v>0.584598070015656</v>
      </c>
      <c r="AI780">
        <v>108.573968748954</v>
      </c>
      <c r="AJ780">
        <v>76.680554415783305</v>
      </c>
      <c r="AK780">
        <v>0.63376899898011696</v>
      </c>
      <c r="AL780">
        <v>80.680737162751001</v>
      </c>
      <c r="AM780">
        <v>89.609036669736994</v>
      </c>
      <c r="AN780">
        <v>1.0000000445236099</v>
      </c>
    </row>
    <row r="781" spans="1:40" x14ac:dyDescent="0.25">
      <c r="A781" t="str">
        <f>"20190312172345153"</f>
        <v>20190312172345153</v>
      </c>
      <c r="B781" t="str">
        <f>"1552382625150727"</f>
        <v>1552382625150727</v>
      </c>
      <c r="C781" t="s">
        <v>40</v>
      </c>
      <c r="D781">
        <v>3.786019</v>
      </c>
      <c r="E781">
        <v>0.56714960000000003</v>
      </c>
      <c r="F781" t="s">
        <v>41</v>
      </c>
      <c r="G781">
        <v>-289.30799999999999</v>
      </c>
      <c r="H781">
        <v>0.82744399999999996</v>
      </c>
      <c r="I781">
        <v>367.18610000000001</v>
      </c>
      <c r="J781">
        <v>-290.09769999999997</v>
      </c>
      <c r="K781">
        <v>1.0599689999999999</v>
      </c>
      <c r="L781">
        <v>367.35849999999999</v>
      </c>
      <c r="M781">
        <v>0.99990389999999996</v>
      </c>
      <c r="N781">
        <v>0</v>
      </c>
      <c r="O781">
        <v>5.8707669999999998E-3</v>
      </c>
      <c r="P781">
        <v>0.98877700000000002</v>
      </c>
      <c r="Q781">
        <v>0.14939720000000001</v>
      </c>
      <c r="R781">
        <v>-9.0598689999999999E-4</v>
      </c>
      <c r="S781">
        <v>3.146881</v>
      </c>
      <c r="T781">
        <v>-0.74921930000000003</v>
      </c>
      <c r="U781">
        <v>-0.5510254</v>
      </c>
      <c r="V781">
        <v>6.7103309999999999E-3</v>
      </c>
      <c r="W781">
        <v>0.16180339999999999</v>
      </c>
      <c r="X781">
        <v>0.98680020000000002</v>
      </c>
      <c r="Y781">
        <v>0.1733933</v>
      </c>
      <c r="Z781">
        <v>-2.157771E-2</v>
      </c>
      <c r="AA781">
        <v>0.98461620000000005</v>
      </c>
      <c r="AB781">
        <v>39</v>
      </c>
      <c r="AC781">
        <v>0.78969999999998197</v>
      </c>
      <c r="AD781">
        <v>-0.23252500000000001</v>
      </c>
      <c r="AE781">
        <v>-0.17239999999998101</v>
      </c>
      <c r="AF781">
        <v>0.16350284257476999</v>
      </c>
      <c r="AG781">
        <v>-0.23252500000000001</v>
      </c>
      <c r="AH781">
        <v>0.72839571831308503</v>
      </c>
      <c r="AI781">
        <v>107.30067318597099</v>
      </c>
      <c r="AJ781">
        <v>77.348534116390496</v>
      </c>
      <c r="AK781">
        <v>0.78189601457729996</v>
      </c>
      <c r="AL781">
        <v>80.688412488863406</v>
      </c>
      <c r="AM781">
        <v>89.610389499899298</v>
      </c>
      <c r="AN781">
        <v>1.00000000175686</v>
      </c>
    </row>
    <row r="782" spans="1:40" x14ac:dyDescent="0.25">
      <c r="A782" t="str">
        <f>"20190312172345165"</f>
        <v>20190312172345165</v>
      </c>
      <c r="B782" t="str">
        <f>"1552382625160487"</f>
        <v>1552382625160487</v>
      </c>
      <c r="C782" t="s">
        <v>40</v>
      </c>
      <c r="D782">
        <v>3.5803370000000001</v>
      </c>
      <c r="E782">
        <v>0.56708780000000003</v>
      </c>
      <c r="F782" t="s">
        <v>41</v>
      </c>
      <c r="G782">
        <v>-289.29199999999997</v>
      </c>
      <c r="H782">
        <v>0.86882150000000002</v>
      </c>
      <c r="I782">
        <v>367.2176</v>
      </c>
      <c r="J782">
        <v>-289.89550000000003</v>
      </c>
      <c r="K782">
        <v>1.0599639999999999</v>
      </c>
      <c r="L782">
        <v>367.35969999999998</v>
      </c>
      <c r="M782">
        <v>0.99990400000000002</v>
      </c>
      <c r="N782">
        <v>0</v>
      </c>
      <c r="O782">
        <v>5.8796489999999998E-3</v>
      </c>
      <c r="P782">
        <v>0.98879629999999996</v>
      </c>
      <c r="Q782">
        <v>0.14926909999999999</v>
      </c>
      <c r="R782">
        <v>-9.8688669999999999E-4</v>
      </c>
      <c r="S782">
        <v>3.1463320000000001</v>
      </c>
      <c r="T782">
        <v>-0.74646199999999996</v>
      </c>
      <c r="U782">
        <v>-0.54898069999999999</v>
      </c>
      <c r="V782">
        <v>6.7999499999999999E-3</v>
      </c>
      <c r="W782">
        <v>0.16167590000000001</v>
      </c>
      <c r="X782">
        <v>0.98682049999999999</v>
      </c>
      <c r="Y782">
        <v>0.1728576</v>
      </c>
      <c r="Z782">
        <v>-2.1444979999999999E-2</v>
      </c>
      <c r="AA782">
        <v>0.98471339999999996</v>
      </c>
      <c r="AB782">
        <v>39</v>
      </c>
      <c r="AC782">
        <v>0.60349999999999604</v>
      </c>
      <c r="AD782">
        <v>-0.19114249999999899</v>
      </c>
      <c r="AE782">
        <v>-0.14209999999997</v>
      </c>
      <c r="AF782">
        <v>0.133004844267606</v>
      </c>
      <c r="AG782">
        <v>-0.19114249999999899</v>
      </c>
      <c r="AH782">
        <v>0.55034670875553005</v>
      </c>
      <c r="AI782">
        <v>108.654369379063</v>
      </c>
      <c r="AJ782">
        <v>76.413577010087096</v>
      </c>
      <c r="AK782">
        <v>0.59758450761624005</v>
      </c>
      <c r="AL782">
        <v>80.6958153170184</v>
      </c>
      <c r="AM782">
        <v>89.605194389935804</v>
      </c>
      <c r="AN782">
        <v>1.0000000175905299</v>
      </c>
    </row>
    <row r="783" spans="1:40" x14ac:dyDescent="0.25">
      <c r="A783" t="str">
        <f>"20190312172345176"</f>
        <v>20190312172345176</v>
      </c>
      <c r="B783" t="str">
        <f>"1552382625170247"</f>
        <v>1552382625170247</v>
      </c>
      <c r="C783" t="s">
        <v>40</v>
      </c>
      <c r="D783">
        <v>3.5324749999999998</v>
      </c>
      <c r="E783">
        <v>0.56726880000000002</v>
      </c>
      <c r="F783" t="s">
        <v>41</v>
      </c>
      <c r="G783">
        <v>-288.95600000000002</v>
      </c>
      <c r="H783">
        <v>0.83823570000000003</v>
      </c>
      <c r="I783">
        <v>367.19600000000003</v>
      </c>
      <c r="J783">
        <v>-289.70179999999999</v>
      </c>
      <c r="K783">
        <v>1.059968</v>
      </c>
      <c r="L783">
        <v>367.36090000000002</v>
      </c>
      <c r="M783">
        <v>0.99990389999999996</v>
      </c>
      <c r="N783">
        <v>0</v>
      </c>
      <c r="O783">
        <v>5.8890660000000001E-3</v>
      </c>
      <c r="P783">
        <v>0.98882159999999997</v>
      </c>
      <c r="Q783">
        <v>0.14910079999999901</v>
      </c>
      <c r="R783">
        <v>-1.0370100000000001E-3</v>
      </c>
      <c r="S783">
        <v>3.145508</v>
      </c>
      <c r="T783">
        <v>-0.74243740000000003</v>
      </c>
      <c r="U783">
        <v>-0.5483093</v>
      </c>
      <c r="V783">
        <v>6.8594550000000004E-3</v>
      </c>
      <c r="W783">
        <v>0.16150980000000001</v>
      </c>
      <c r="X783">
        <v>0.98684729999999998</v>
      </c>
      <c r="Y783">
        <v>0.17275739999999901</v>
      </c>
      <c r="Z783">
        <v>-2.1328730000000001E-2</v>
      </c>
      <c r="AA783">
        <v>0.98473350000000004</v>
      </c>
      <c r="AB783">
        <v>39</v>
      </c>
      <c r="AC783">
        <v>0.74580000000003099</v>
      </c>
      <c r="AD783">
        <v>-0.22173229999999999</v>
      </c>
      <c r="AE783">
        <v>-0.16490000000004501</v>
      </c>
      <c r="AF783">
        <v>0.15613196752772199</v>
      </c>
      <c r="AG783">
        <v>-0.22173229999999999</v>
      </c>
      <c r="AH783">
        <v>0.68692703176166803</v>
      </c>
      <c r="AI783">
        <v>107.471952370015</v>
      </c>
      <c r="AJ783">
        <v>77.194767315359698</v>
      </c>
      <c r="AK783">
        <v>0.73851956718306599</v>
      </c>
      <c r="AL783">
        <v>80.705459008010607</v>
      </c>
      <c r="AM783">
        <v>89.601750451229506</v>
      </c>
      <c r="AN783">
        <v>1.00000003056811</v>
      </c>
    </row>
    <row r="784" spans="1:40" x14ac:dyDescent="0.25">
      <c r="A784" t="str">
        <f>"20190312172345189"</f>
        <v>20190312172345189</v>
      </c>
      <c r="B784" t="str">
        <f>"1552382625180983"</f>
        <v>1552382625180983</v>
      </c>
      <c r="C784" t="s">
        <v>40</v>
      </c>
      <c r="D784">
        <v>3.5400689999999999</v>
      </c>
      <c r="E784">
        <v>0.56740429999999997</v>
      </c>
      <c r="F784" t="s">
        <v>41</v>
      </c>
      <c r="G784">
        <v>-288.93959999999998</v>
      </c>
      <c r="H784">
        <v>0.88042949999999998</v>
      </c>
      <c r="I784">
        <v>367.2276</v>
      </c>
      <c r="J784">
        <v>-289.48570000000001</v>
      </c>
      <c r="K784">
        <v>1.0599700000000001</v>
      </c>
      <c r="L784">
        <v>367.36219999999997</v>
      </c>
      <c r="M784">
        <v>0.99990369999999995</v>
      </c>
      <c r="N784">
        <v>0</v>
      </c>
      <c r="O784">
        <v>5.9018259999999998E-3</v>
      </c>
      <c r="P784">
        <v>0.98880800000000002</v>
      </c>
      <c r="Q784">
        <v>0.149190299999999</v>
      </c>
      <c r="R784">
        <v>-1.024751E-3</v>
      </c>
      <c r="S784">
        <v>3.1450499999999999</v>
      </c>
      <c r="T784">
        <v>-0.74098229999999998</v>
      </c>
      <c r="U784">
        <v>-0.55007930000000005</v>
      </c>
      <c r="V784">
        <v>6.8590609999999996E-3</v>
      </c>
      <c r="W784">
        <v>0.161602</v>
      </c>
      <c r="X784">
        <v>0.98683220000000005</v>
      </c>
      <c r="Y784">
        <v>0.17333399999999999</v>
      </c>
      <c r="Z784">
        <v>-2.1359469999999998E-2</v>
      </c>
      <c r="AA784">
        <v>0.98463149999999999</v>
      </c>
      <c r="AB784">
        <v>39</v>
      </c>
      <c r="AC784">
        <v>0.54610000000002401</v>
      </c>
      <c r="AD784">
        <v>-0.17954049999999999</v>
      </c>
      <c r="AE784">
        <v>-0.13459999999997699</v>
      </c>
      <c r="AF784">
        <v>0.125075862723936</v>
      </c>
      <c r="AG784">
        <v>-0.17954049999999999</v>
      </c>
      <c r="AH784">
        <v>0.49486960313829298</v>
      </c>
      <c r="AI784">
        <v>109.378959579785</v>
      </c>
      <c r="AJ784">
        <v>75.815822190421102</v>
      </c>
      <c r="AK784">
        <v>0.54108657965859697</v>
      </c>
      <c r="AL784">
        <v>80.700105938065306</v>
      </c>
      <c r="AM784">
        <v>89.601767232270902</v>
      </c>
      <c r="AN784">
        <v>1.0000000220393199</v>
      </c>
    </row>
    <row r="785" spans="1:40" x14ac:dyDescent="0.25">
      <c r="A785" t="str">
        <f>"20190312172345201"</f>
        <v>20190312172345201</v>
      </c>
      <c r="B785" t="str">
        <f>"1552382625190743"</f>
        <v>1552382625190743</v>
      </c>
      <c r="C785" t="s">
        <v>40</v>
      </c>
      <c r="D785">
        <v>3.9132410000000002</v>
      </c>
      <c r="E785">
        <v>0.56770189999999998</v>
      </c>
      <c r="F785" t="s">
        <v>41</v>
      </c>
      <c r="G785">
        <v>-288.60270000000003</v>
      </c>
      <c r="H785">
        <v>0.85254529999999995</v>
      </c>
      <c r="I785">
        <v>367.20729999999998</v>
      </c>
      <c r="J785">
        <v>-289.26499999999999</v>
      </c>
      <c r="K785">
        <v>1.059966</v>
      </c>
      <c r="L785">
        <v>367.36340000000001</v>
      </c>
      <c r="M785">
        <v>0.99990369999999995</v>
      </c>
      <c r="N785">
        <v>0</v>
      </c>
      <c r="O785">
        <v>5.9159590000000001E-3</v>
      </c>
      <c r="P785">
        <v>0.98883109999999996</v>
      </c>
      <c r="Q785">
        <v>0.149038</v>
      </c>
      <c r="R785">
        <v>-1.1516569999999999E-3</v>
      </c>
      <c r="S785">
        <v>3.1448670000000001</v>
      </c>
      <c r="T785">
        <v>-0.73883500000000002</v>
      </c>
      <c r="U785">
        <v>-0.55093380000000003</v>
      </c>
      <c r="V785">
        <v>6.9991840000000003E-3</v>
      </c>
      <c r="W785">
        <v>0.16145379999999901</v>
      </c>
      <c r="X785">
        <v>0.98685540000000005</v>
      </c>
      <c r="Y785">
        <v>0.17363580000000001</v>
      </c>
      <c r="Z785">
        <v>-2.1337869999999998E-2</v>
      </c>
      <c r="AA785">
        <v>0.98457870000000003</v>
      </c>
      <c r="AB785">
        <v>39</v>
      </c>
      <c r="AC785">
        <v>0.66229999999995903</v>
      </c>
      <c r="AD785">
        <v>-0.20742069999999899</v>
      </c>
      <c r="AE785">
        <v>-0.15610000000003699</v>
      </c>
      <c r="AF785">
        <v>0.14641101594988401</v>
      </c>
      <c r="AG785">
        <v>-0.20742069999999899</v>
      </c>
      <c r="AH785">
        <v>0.60513493586369105</v>
      </c>
      <c r="AI785">
        <v>108.425758839919</v>
      </c>
      <c r="AJ785">
        <v>76.398795359154406</v>
      </c>
      <c r="AK785">
        <v>0.65623762691781196</v>
      </c>
      <c r="AL785">
        <v>80.708709480081595</v>
      </c>
      <c r="AM785">
        <v>89.593641602101698</v>
      </c>
      <c r="AN785">
        <v>0.99999994931013103</v>
      </c>
    </row>
    <row r="786" spans="1:40" x14ac:dyDescent="0.25">
      <c r="A786" t="str">
        <f>"20190312172345221"</f>
        <v>20190312172345221</v>
      </c>
      <c r="B786" t="str">
        <f>"1552382625210264"</f>
        <v>1552382625210264</v>
      </c>
      <c r="C786" t="s">
        <v>40</v>
      </c>
      <c r="D786">
        <v>3.504632</v>
      </c>
      <c r="E786">
        <v>0.56805839999999996</v>
      </c>
      <c r="F786" t="s">
        <v>41</v>
      </c>
      <c r="G786">
        <v>-288.26549999999997</v>
      </c>
      <c r="H786">
        <v>0.8252159</v>
      </c>
      <c r="I786">
        <v>367.18740000000003</v>
      </c>
      <c r="J786">
        <v>-288.92129999999997</v>
      </c>
      <c r="K786">
        <v>1.0599689999999999</v>
      </c>
      <c r="L786">
        <v>367.3655</v>
      </c>
      <c r="M786">
        <v>0.99990330000000005</v>
      </c>
      <c r="N786">
        <v>0</v>
      </c>
      <c r="O786">
        <v>5.9341009999999998E-3</v>
      </c>
      <c r="P786">
        <v>0.98881730000000001</v>
      </c>
      <c r="Q786">
        <v>0.14912639999999999</v>
      </c>
      <c r="R786">
        <v>-1.3316549999999999E-3</v>
      </c>
      <c r="S786">
        <v>3.1445620000000001</v>
      </c>
      <c r="T786">
        <v>-0.73862050000000001</v>
      </c>
      <c r="U786">
        <v>-0.55349729999999997</v>
      </c>
      <c r="V786">
        <v>7.1966649999999997E-3</v>
      </c>
      <c r="W786">
        <v>0.16154930000000001</v>
      </c>
      <c r="X786">
        <v>0.9868384</v>
      </c>
      <c r="Y786">
        <v>0.17442969999999999</v>
      </c>
      <c r="Z786">
        <v>-2.142788E-2</v>
      </c>
      <c r="AA786">
        <v>0.98443650000000005</v>
      </c>
      <c r="AB786">
        <v>39</v>
      </c>
      <c r="AC786">
        <v>0.65579999999999905</v>
      </c>
      <c r="AD786">
        <v>-0.23475309999999999</v>
      </c>
      <c r="AE786">
        <v>-0.178099999999972</v>
      </c>
      <c r="AF786">
        <v>0.162586205993518</v>
      </c>
      <c r="AG786">
        <v>-0.23475309999999999</v>
      </c>
      <c r="AH786">
        <v>0.58492796048880102</v>
      </c>
      <c r="AI786">
        <v>111.14034262284</v>
      </c>
      <c r="AJ786">
        <v>74.466230420683004</v>
      </c>
      <c r="AK786">
        <v>0.65091014072647901</v>
      </c>
      <c r="AL786">
        <v>80.703165403587207</v>
      </c>
      <c r="AM786">
        <v>89.582169460022897</v>
      </c>
      <c r="AN786">
        <v>0.99999999801608597</v>
      </c>
    </row>
    <row r="787" spans="1:40" x14ac:dyDescent="0.25">
      <c r="A787" t="str">
        <f>"20190312172345232"</f>
        <v>20190312172345232</v>
      </c>
      <c r="B787" t="str">
        <f>"1552382625221001"</f>
        <v>1552382625221001</v>
      </c>
      <c r="C787" t="s">
        <v>40</v>
      </c>
      <c r="D787">
        <v>3.5176560000000001</v>
      </c>
      <c r="E787">
        <v>0.5681619</v>
      </c>
      <c r="F787" t="s">
        <v>41</v>
      </c>
      <c r="G787">
        <v>-287.9178</v>
      </c>
      <c r="H787">
        <v>0.82505980000000001</v>
      </c>
      <c r="I787">
        <v>367.18759999999997</v>
      </c>
      <c r="J787">
        <v>-288.72239999999999</v>
      </c>
      <c r="K787">
        <v>1.059965</v>
      </c>
      <c r="L787">
        <v>367.36669999999998</v>
      </c>
      <c r="M787">
        <v>0.99990330000000005</v>
      </c>
      <c r="N787">
        <v>0</v>
      </c>
      <c r="O787">
        <v>5.94277E-3</v>
      </c>
      <c r="P787">
        <v>0.9888169</v>
      </c>
      <c r="Q787">
        <v>0.14913019999999999</v>
      </c>
      <c r="R787">
        <v>-1.2419550000000001E-3</v>
      </c>
      <c r="S787">
        <v>3.1441650000000001</v>
      </c>
      <c r="T787">
        <v>-0.7360854</v>
      </c>
      <c r="U787">
        <v>-0.55657959999999995</v>
      </c>
      <c r="V787">
        <v>7.115873E-3</v>
      </c>
      <c r="W787">
        <v>0.16155729999999999</v>
      </c>
      <c r="X787">
        <v>0.98683770000000004</v>
      </c>
      <c r="Y787">
        <v>0.17540149999999999</v>
      </c>
      <c r="Z787">
        <v>-2.147048E-2</v>
      </c>
      <c r="AA787">
        <v>0.98426279999999999</v>
      </c>
      <c r="AB787">
        <v>39</v>
      </c>
      <c r="AC787">
        <v>0.80459999999999299</v>
      </c>
      <c r="AD787">
        <v>-0.23490520000000001</v>
      </c>
      <c r="AE787">
        <v>-0.17910000000000501</v>
      </c>
      <c r="AF787">
        <v>0.17006719256705899</v>
      </c>
      <c r="AG787">
        <v>-0.23490520000000001</v>
      </c>
      <c r="AH787">
        <v>0.74316694037939801</v>
      </c>
      <c r="AI787">
        <v>107.125204136086</v>
      </c>
      <c r="AJ787">
        <v>77.110311581485902</v>
      </c>
      <c r="AK787">
        <v>0.79774708037545194</v>
      </c>
      <c r="AL787">
        <v>80.7027011562475</v>
      </c>
      <c r="AM787">
        <v>89.586859699084897</v>
      </c>
      <c r="AN787">
        <v>1.0000000214865601</v>
      </c>
    </row>
    <row r="788" spans="1:40" x14ac:dyDescent="0.25">
      <c r="A788" t="str">
        <f>"20190312172345243"</f>
        <v>20190312172345243</v>
      </c>
      <c r="B788" t="str">
        <f>"1552382625240519"</f>
        <v>1552382625240519</v>
      </c>
      <c r="C788" t="s">
        <v>40</v>
      </c>
      <c r="D788">
        <v>3.5860569999999998</v>
      </c>
      <c r="E788">
        <v>0.56825769999999998</v>
      </c>
      <c r="F788" t="s">
        <v>41</v>
      </c>
      <c r="G788">
        <v>-287.90120000000002</v>
      </c>
      <c r="H788">
        <v>0.86817919999999904</v>
      </c>
      <c r="I788">
        <v>367.22089999999997</v>
      </c>
      <c r="J788">
        <v>-288.53809999999999</v>
      </c>
      <c r="K788">
        <v>1.059965</v>
      </c>
      <c r="L788">
        <v>367.36779999999999</v>
      </c>
      <c r="M788">
        <v>0.99990310000000004</v>
      </c>
      <c r="N788">
        <v>0</v>
      </c>
      <c r="O788">
        <v>5.9513219999999898E-3</v>
      </c>
      <c r="P788">
        <v>0.98880800000000002</v>
      </c>
      <c r="Q788">
        <v>0.14918799999999999</v>
      </c>
      <c r="R788">
        <v>-1.328725E-3</v>
      </c>
      <c r="S788">
        <v>3.1439819999999998</v>
      </c>
      <c r="T788">
        <v>-0.73433719999999902</v>
      </c>
      <c r="U788">
        <v>-0.55725100000000005</v>
      </c>
      <c r="V788">
        <v>7.2111419999999898E-3</v>
      </c>
      <c r="W788">
        <v>0.16161889999999901</v>
      </c>
      <c r="X788">
        <v>0.98682689999999995</v>
      </c>
      <c r="Y788">
        <v>0.17563909999999999</v>
      </c>
      <c r="Z788">
        <v>-2.1450739999999999E-2</v>
      </c>
      <c r="AA788">
        <v>0.98422089999999995</v>
      </c>
      <c r="AB788">
        <v>39</v>
      </c>
      <c r="AC788">
        <v>0.63689999999996805</v>
      </c>
      <c r="AD788">
        <v>-0.19178580000000001</v>
      </c>
      <c r="AE788">
        <v>-0.14690000000001599</v>
      </c>
      <c r="AF788">
        <v>0.13874296088937399</v>
      </c>
      <c r="AG788">
        <v>-0.19178580000000001</v>
      </c>
      <c r="AH788">
        <v>0.58559716329532197</v>
      </c>
      <c r="AI788">
        <v>107.676162887424</v>
      </c>
      <c r="AJ788">
        <v>76.670938872533199</v>
      </c>
      <c r="AK788">
        <v>0.63162919496926295</v>
      </c>
      <c r="AL788">
        <v>80.699124534272102</v>
      </c>
      <c r="AM788">
        <v>89.581324092228499</v>
      </c>
      <c r="AN788">
        <v>0.99999999998488198</v>
      </c>
    </row>
    <row r="789" spans="1:40" x14ac:dyDescent="0.25">
      <c r="A789" t="str">
        <f>"20190312172345254"</f>
        <v>20190312172345254</v>
      </c>
      <c r="B789" t="str">
        <f>"1552382625250279"</f>
        <v>1552382625250279</v>
      </c>
      <c r="C789" t="s">
        <v>40</v>
      </c>
      <c r="D789">
        <v>3.5208719999999998</v>
      </c>
      <c r="E789">
        <v>0.56825740000000002</v>
      </c>
      <c r="F789" t="s">
        <v>41</v>
      </c>
      <c r="G789">
        <v>-287.56700000000001</v>
      </c>
      <c r="H789">
        <v>0.83337739999999905</v>
      </c>
      <c r="I789">
        <v>367.19529999999997</v>
      </c>
      <c r="J789">
        <v>-288.34989999999999</v>
      </c>
      <c r="K789">
        <v>1.0599639999999999</v>
      </c>
      <c r="L789">
        <v>367.3689</v>
      </c>
      <c r="M789">
        <v>0.99990310000000004</v>
      </c>
      <c r="N789">
        <v>0</v>
      </c>
      <c r="O789">
        <v>5.9615479999999997E-3</v>
      </c>
      <c r="P789">
        <v>0.98878730000000004</v>
      </c>
      <c r="Q789">
        <v>0.14932509999999999</v>
      </c>
      <c r="R789">
        <v>-1.3403449999999999E-3</v>
      </c>
      <c r="S789">
        <v>3.1439210000000002</v>
      </c>
      <c r="T789">
        <v>-0.73361379999999998</v>
      </c>
      <c r="U789">
        <v>-0.5578613</v>
      </c>
      <c r="V789">
        <v>7.2328940000000001E-3</v>
      </c>
      <c r="W789">
        <v>0.1617596</v>
      </c>
      <c r="X789">
        <v>0.98680369999999995</v>
      </c>
      <c r="Y789">
        <v>0.17584140000000001</v>
      </c>
      <c r="Z789">
        <v>-2.1455660000000001E-2</v>
      </c>
      <c r="AA789">
        <v>0.98418470000000002</v>
      </c>
      <c r="AB789">
        <v>39</v>
      </c>
      <c r="AC789">
        <v>0.78289999999998305</v>
      </c>
      <c r="AD789">
        <v>-0.2265866</v>
      </c>
      <c r="AE789">
        <v>-0.17360000000002099</v>
      </c>
      <c r="AF789">
        <v>0.16508453154615199</v>
      </c>
      <c r="AG789">
        <v>-0.2265866</v>
      </c>
      <c r="AH789">
        <v>0.72404467103247105</v>
      </c>
      <c r="AI789">
        <v>106.967749768875</v>
      </c>
      <c r="AJ789">
        <v>77.155940639676501</v>
      </c>
      <c r="AK789">
        <v>0.77642454591923504</v>
      </c>
      <c r="AL789">
        <v>80.690955646902694</v>
      </c>
      <c r="AM789">
        <v>89.580051352796403</v>
      </c>
      <c r="AN789">
        <v>1.00000001264073</v>
      </c>
    </row>
    <row r="790" spans="1:40" x14ac:dyDescent="0.25">
      <c r="A790" t="str">
        <f>"20190312172345265"</f>
        <v>20190312172345265</v>
      </c>
      <c r="B790" t="str">
        <f>"1552382625261015"</f>
        <v>1552382625261015</v>
      </c>
      <c r="C790" t="s">
        <v>40</v>
      </c>
      <c r="D790">
        <v>3.530538</v>
      </c>
      <c r="E790">
        <v>0.56838730000000004</v>
      </c>
      <c r="F790" t="s">
        <v>41</v>
      </c>
      <c r="G790">
        <v>-287.5514</v>
      </c>
      <c r="H790">
        <v>0.87400509999999998</v>
      </c>
      <c r="I790">
        <v>367.22699999999998</v>
      </c>
      <c r="J790">
        <v>-288.149</v>
      </c>
      <c r="K790">
        <v>1.059974</v>
      </c>
      <c r="L790">
        <v>367.37009999999998</v>
      </c>
      <c r="M790">
        <v>0.99990279999999998</v>
      </c>
      <c r="N790">
        <v>0</v>
      </c>
      <c r="O790">
        <v>5.9727840000000001E-3</v>
      </c>
      <c r="P790">
        <v>0.98878120000000003</v>
      </c>
      <c r="Q790">
        <v>0.149365</v>
      </c>
      <c r="R790">
        <v>-1.404759E-3</v>
      </c>
      <c r="S790">
        <v>3.1438600000000001</v>
      </c>
      <c r="T790">
        <v>-0.73219509999999999</v>
      </c>
      <c r="U790">
        <v>-0.55828859999999902</v>
      </c>
      <c r="V790">
        <v>7.3084639999999998E-3</v>
      </c>
      <c r="W790">
        <v>0.16180339999999999</v>
      </c>
      <c r="X790">
        <v>0.98679600000000001</v>
      </c>
      <c r="Y790">
        <v>0.17599899999999999</v>
      </c>
      <c r="Z790">
        <v>-2.1435929999999999E-2</v>
      </c>
      <c r="AA790">
        <v>0.9841569</v>
      </c>
      <c r="AB790">
        <v>39</v>
      </c>
      <c r="AC790">
        <v>0.59759999999999902</v>
      </c>
      <c r="AD790">
        <v>-0.18596889999999999</v>
      </c>
      <c r="AE790">
        <v>-0.143100000000004</v>
      </c>
      <c r="AF790">
        <v>0.13436103200531399</v>
      </c>
      <c r="AG790">
        <v>-0.18596889999999999</v>
      </c>
      <c r="AH790">
        <v>0.54666582072880199</v>
      </c>
      <c r="AI790">
        <v>108.281261183971</v>
      </c>
      <c r="AJ790">
        <v>76.191397961140893</v>
      </c>
      <c r="AK790">
        <v>0.59285819404123796</v>
      </c>
      <c r="AL790">
        <v>80.688412939795995</v>
      </c>
      <c r="AM790">
        <v>89.575660535947307</v>
      </c>
      <c r="AN790">
        <v>1.00000004975679</v>
      </c>
    </row>
    <row r="791" spans="1:40" x14ac:dyDescent="0.25">
      <c r="A791" t="str">
        <f>"20190312172345277"</f>
        <v>20190312172345277</v>
      </c>
      <c r="B791" t="str">
        <f>"1552382625270775"</f>
        <v>1552382625270775</v>
      </c>
      <c r="C791" t="s">
        <v>40</v>
      </c>
      <c r="D791">
        <v>3.6134970000000002</v>
      </c>
      <c r="E791">
        <v>0.56860080000000002</v>
      </c>
      <c r="F791" t="s">
        <v>41</v>
      </c>
      <c r="G791">
        <v>-287.21589999999998</v>
      </c>
      <c r="H791">
        <v>0.84262749999999997</v>
      </c>
      <c r="I791">
        <v>367.20389999999998</v>
      </c>
      <c r="J791">
        <v>-287.93799999999999</v>
      </c>
      <c r="K791">
        <v>1.0599719999999999</v>
      </c>
      <c r="L791">
        <v>367.37139999999999</v>
      </c>
      <c r="M791">
        <v>0.99990279999999998</v>
      </c>
      <c r="N791">
        <v>0</v>
      </c>
      <c r="O791">
        <v>5.9850329999999998E-3</v>
      </c>
      <c r="P791">
        <v>0.98875489999999999</v>
      </c>
      <c r="Q791">
        <v>0.1495389</v>
      </c>
      <c r="R791">
        <v>-1.4560700000000001E-3</v>
      </c>
      <c r="S791">
        <v>3.1438600000000001</v>
      </c>
      <c r="T791">
        <v>-0.73232339999999996</v>
      </c>
      <c r="U791">
        <v>-0.55935669999999904</v>
      </c>
      <c r="V791">
        <v>7.3717050000000001E-3</v>
      </c>
      <c r="W791">
        <v>0.16198029999999999</v>
      </c>
      <c r="X791">
        <v>0.98676649999999999</v>
      </c>
      <c r="Y791">
        <v>0.17632509999999901</v>
      </c>
      <c r="Z791">
        <v>-2.1478959999999998E-2</v>
      </c>
      <c r="AA791">
        <v>0.98409760000000002</v>
      </c>
      <c r="AB791">
        <v>39</v>
      </c>
      <c r="AC791">
        <v>0.72210000000001096</v>
      </c>
      <c r="AD791">
        <v>-0.217344499999999</v>
      </c>
      <c r="AE791">
        <v>-0.167500000000018</v>
      </c>
      <c r="AF791">
        <v>0.158217351396436</v>
      </c>
      <c r="AG791">
        <v>-0.217344499999999</v>
      </c>
      <c r="AH791">
        <v>0.66400100782943305</v>
      </c>
      <c r="AI791">
        <v>107.662055897263</v>
      </c>
      <c r="AJ791">
        <v>76.597550545192703</v>
      </c>
      <c r="AK791">
        <v>0.71635794150805399</v>
      </c>
      <c r="AL791">
        <v>80.678141758000393</v>
      </c>
      <c r="AM791">
        <v>89.5719760174036</v>
      </c>
      <c r="AN791">
        <v>1.00000004257247</v>
      </c>
    </row>
    <row r="792" spans="1:40" x14ac:dyDescent="0.25">
      <c r="A792" t="str">
        <f>"20190312172345290"</f>
        <v>20190312172345290</v>
      </c>
      <c r="B792" t="str">
        <f>"1552382625280535"</f>
        <v>1552382625280535</v>
      </c>
      <c r="C792" t="s">
        <v>40</v>
      </c>
      <c r="D792">
        <v>3.5921129999999999</v>
      </c>
      <c r="E792">
        <v>0.56877929999999999</v>
      </c>
      <c r="F792" t="s">
        <v>41</v>
      </c>
      <c r="G792">
        <v>-287.19819999999999</v>
      </c>
      <c r="H792">
        <v>0.88772709999999999</v>
      </c>
      <c r="I792">
        <v>367.2389</v>
      </c>
      <c r="J792">
        <v>-287.7371</v>
      </c>
      <c r="K792">
        <v>1.0599719999999999</v>
      </c>
      <c r="L792">
        <v>367.37259999999998</v>
      </c>
      <c r="M792">
        <v>0.99990279999999998</v>
      </c>
      <c r="N792">
        <v>0</v>
      </c>
      <c r="O792">
        <v>5.9960899999999999E-3</v>
      </c>
      <c r="P792">
        <v>0.98873789999999995</v>
      </c>
      <c r="Q792">
        <v>0.14965390000000001</v>
      </c>
      <c r="R792">
        <v>-1.31039E-3</v>
      </c>
      <c r="S792">
        <v>3.144012</v>
      </c>
      <c r="T792">
        <v>-0.7320757</v>
      </c>
      <c r="U792">
        <v>-0.56185909999999994</v>
      </c>
      <c r="V792">
        <v>7.2369440000000004E-3</v>
      </c>
      <c r="W792">
        <v>0.16209889999999999</v>
      </c>
      <c r="X792">
        <v>0.98674799999999996</v>
      </c>
      <c r="Y792">
        <v>0.1770716</v>
      </c>
      <c r="Z792">
        <v>-2.1557090000000001E-2</v>
      </c>
      <c r="AA792">
        <v>0.98396189999999994</v>
      </c>
      <c r="AB792">
        <v>39</v>
      </c>
      <c r="AC792">
        <v>0.53890000000001204</v>
      </c>
      <c r="AD792">
        <v>-0.17224489999999901</v>
      </c>
      <c r="AE792">
        <v>-0.133699999999976</v>
      </c>
      <c r="AF792">
        <v>0.124908523348182</v>
      </c>
      <c r="AG792">
        <v>-0.17224489999999901</v>
      </c>
      <c r="AH792">
        <v>0.49085129901598401</v>
      </c>
      <c r="AI792">
        <v>108.78174602577</v>
      </c>
      <c r="AJ792">
        <v>75.722789823605595</v>
      </c>
      <c r="AK792">
        <v>0.53498172167534097</v>
      </c>
      <c r="AL792">
        <v>80.671255269548297</v>
      </c>
      <c r="AM792">
        <v>89.579792496700705</v>
      </c>
      <c r="AN792">
        <v>1.0000000211218301</v>
      </c>
    </row>
    <row r="793" spans="1:40" x14ac:dyDescent="0.25">
      <c r="A793" t="str">
        <f>"20190312172345302"</f>
        <v>20190312172345302</v>
      </c>
      <c r="B793" t="str">
        <f>"1552382625290295"</f>
        <v>1552382625290295</v>
      </c>
      <c r="C793" t="s">
        <v>40</v>
      </c>
      <c r="D793">
        <v>3.6712720000000001</v>
      </c>
      <c r="E793">
        <v>0.56910269999999996</v>
      </c>
      <c r="F793" t="s">
        <v>41</v>
      </c>
      <c r="G793">
        <v>-286.863</v>
      </c>
      <c r="H793">
        <v>0.8565741</v>
      </c>
      <c r="I793">
        <v>367.21600000000001</v>
      </c>
      <c r="J793">
        <v>-287.5172</v>
      </c>
      <c r="K793">
        <v>1.0599700000000001</v>
      </c>
      <c r="L793">
        <v>367.37389999999999</v>
      </c>
      <c r="M793">
        <v>0.99990250000000003</v>
      </c>
      <c r="N793">
        <v>0</v>
      </c>
      <c r="O793">
        <v>6.0081589999999999E-3</v>
      </c>
      <c r="P793">
        <v>0.9887283</v>
      </c>
      <c r="Q793">
        <v>0.149715299999999</v>
      </c>
      <c r="R793">
        <v>-1.247962E-3</v>
      </c>
      <c r="S793">
        <v>3.144196</v>
      </c>
      <c r="T793">
        <v>-0.73174810000000001</v>
      </c>
      <c r="U793">
        <v>-0.56274409999999997</v>
      </c>
      <c r="V793">
        <v>7.1866630000000003E-3</v>
      </c>
      <c r="W793">
        <v>0.1621639</v>
      </c>
      <c r="X793">
        <v>0.98673770000000005</v>
      </c>
      <c r="Y793">
        <v>0.17733959999999999</v>
      </c>
      <c r="Z793">
        <v>-2.1579279999999999E-2</v>
      </c>
      <c r="AA793">
        <v>0.98391309999999998</v>
      </c>
      <c r="AB793">
        <v>39</v>
      </c>
      <c r="AC793">
        <v>0.654200000000002</v>
      </c>
      <c r="AD793">
        <v>-0.20339589999999999</v>
      </c>
      <c r="AE793">
        <v>-0.157899999999983</v>
      </c>
      <c r="AF793">
        <v>0.148283434346169</v>
      </c>
      <c r="AG793">
        <v>-0.20339589999999999</v>
      </c>
      <c r="AH793">
        <v>0.59856505631748202</v>
      </c>
      <c r="AI793">
        <v>108.254384014214</v>
      </c>
      <c r="AJ793">
        <v>76.086150174171095</v>
      </c>
      <c r="AK793">
        <v>0.64933658119857596</v>
      </c>
      <c r="AL793">
        <v>80.667481226151295</v>
      </c>
      <c r="AM793">
        <v>89.582707564428404</v>
      </c>
      <c r="AN793">
        <v>1.0000000335947801</v>
      </c>
    </row>
    <row r="794" spans="1:40" x14ac:dyDescent="0.25">
      <c r="A794" t="str">
        <f>"20190312172345313"</f>
        <v>20190312172345313</v>
      </c>
      <c r="B794" t="str">
        <f>"1552382625310791"</f>
        <v>1552382625310791</v>
      </c>
      <c r="C794" t="s">
        <v>40</v>
      </c>
      <c r="D794">
        <v>3.5279340000000001</v>
      </c>
      <c r="E794">
        <v>0.56939790000000001</v>
      </c>
      <c r="F794" t="s">
        <v>41</v>
      </c>
      <c r="G794">
        <v>-286.52609999999999</v>
      </c>
      <c r="H794">
        <v>0.82914599999999905</v>
      </c>
      <c r="I794">
        <v>367.19560000000001</v>
      </c>
      <c r="J794">
        <v>-287.31310000000002</v>
      </c>
      <c r="K794">
        <v>1.059971</v>
      </c>
      <c r="L794">
        <v>367.37520000000001</v>
      </c>
      <c r="M794">
        <v>0.99990239999999997</v>
      </c>
      <c r="N794">
        <v>0</v>
      </c>
      <c r="O794">
        <v>6.0189309999999999E-3</v>
      </c>
      <c r="P794">
        <v>0.98874680000000004</v>
      </c>
      <c r="Q794">
        <v>0.14959149999999999</v>
      </c>
      <c r="R794">
        <v>-1.409085E-3</v>
      </c>
      <c r="S794">
        <v>3.1443789999999998</v>
      </c>
      <c r="T794">
        <v>-0.73238269999999905</v>
      </c>
      <c r="U794">
        <v>-0.5647278</v>
      </c>
      <c r="V794">
        <v>7.3584690000000003E-3</v>
      </c>
      <c r="W794">
        <v>0.1620434</v>
      </c>
      <c r="X794">
        <v>0.98675619999999997</v>
      </c>
      <c r="Y794">
        <v>0.1779193</v>
      </c>
      <c r="Z794">
        <v>-2.1663729999999999E-2</v>
      </c>
      <c r="AA794">
        <v>0.98380659999999998</v>
      </c>
      <c r="AB794">
        <v>39</v>
      </c>
      <c r="AC794">
        <v>0.78700000000003401</v>
      </c>
      <c r="AD794">
        <v>-0.230825</v>
      </c>
      <c r="AE794">
        <v>-0.17959999999999299</v>
      </c>
      <c r="AF794">
        <v>0.17040115786316601</v>
      </c>
      <c r="AG794">
        <v>-0.230825</v>
      </c>
      <c r="AH794">
        <v>0.72650215253573502</v>
      </c>
      <c r="AI794">
        <v>107.188214741629</v>
      </c>
      <c r="AJ794">
        <v>76.799879172622994</v>
      </c>
      <c r="AK794">
        <v>0.78110313842998003</v>
      </c>
      <c r="AL794">
        <v>80.674477632556105</v>
      </c>
      <c r="AM794">
        <v>89.572740052337494</v>
      </c>
      <c r="AN794">
        <v>1.00000000439401</v>
      </c>
    </row>
    <row r="795" spans="1:40" x14ac:dyDescent="0.25">
      <c r="A795" t="str">
        <f>"20190312172345326"</f>
        <v>20190312172345326</v>
      </c>
      <c r="B795" t="str">
        <f>"1552382625320551"</f>
        <v>1552382625320551</v>
      </c>
      <c r="C795" t="s">
        <v>40</v>
      </c>
      <c r="D795">
        <v>3.5267360000000001</v>
      </c>
      <c r="E795">
        <v>0.56949369999999999</v>
      </c>
      <c r="F795" t="s">
        <v>41</v>
      </c>
      <c r="G795">
        <v>-286.50940000000003</v>
      </c>
      <c r="H795">
        <v>0.87253499999999995</v>
      </c>
      <c r="I795">
        <v>367.22969999999998</v>
      </c>
      <c r="J795">
        <v>-287.10950000000003</v>
      </c>
      <c r="K795">
        <v>1.059976</v>
      </c>
      <c r="L795">
        <v>367.37639999999999</v>
      </c>
      <c r="M795">
        <v>0.99990230000000002</v>
      </c>
      <c r="N795">
        <v>0</v>
      </c>
      <c r="O795">
        <v>6.0296439999999998E-3</v>
      </c>
      <c r="P795">
        <v>0.98871229999999999</v>
      </c>
      <c r="Q795">
        <v>0.14982000000000001</v>
      </c>
      <c r="R795">
        <v>-1.4564790000000001E-3</v>
      </c>
      <c r="S795">
        <v>3.1442869999999998</v>
      </c>
      <c r="T795">
        <v>-0.73346849999999997</v>
      </c>
      <c r="U795">
        <v>-0.5675964</v>
      </c>
      <c r="V795">
        <v>7.4161180000000002E-3</v>
      </c>
      <c r="W795">
        <v>0.1622749</v>
      </c>
      <c r="X795">
        <v>0.98671770000000003</v>
      </c>
      <c r="Y795">
        <v>0.1787685</v>
      </c>
      <c r="Z795">
        <v>-2.1793380000000001E-2</v>
      </c>
      <c r="AA795">
        <v>0.98364980000000002</v>
      </c>
      <c r="AB795">
        <v>39</v>
      </c>
      <c r="AC795">
        <v>0.60009999999999697</v>
      </c>
      <c r="AD795">
        <v>-0.187441</v>
      </c>
      <c r="AE795">
        <v>-0.14670000000000899</v>
      </c>
      <c r="AF795">
        <v>0.13764437259589499</v>
      </c>
      <c r="AG795">
        <v>-0.187441</v>
      </c>
      <c r="AH795">
        <v>0.54869154263434705</v>
      </c>
      <c r="AI795">
        <v>108.332494562755</v>
      </c>
      <c r="AJ795">
        <v>75.917428143110399</v>
      </c>
      <c r="AK795">
        <v>0.59593834475285901</v>
      </c>
      <c r="AL795">
        <v>80.661035528251602</v>
      </c>
      <c r="AM795">
        <v>89.569376062656303</v>
      </c>
      <c r="AN795">
        <v>0.99999998073474405</v>
      </c>
    </row>
    <row r="796" spans="1:40" x14ac:dyDescent="0.25">
      <c r="A796" t="str">
        <f>"20190312172345338"</f>
        <v>20190312172345338</v>
      </c>
      <c r="B796" t="str">
        <f>"1552382625330311"</f>
        <v>1552382625330311</v>
      </c>
      <c r="C796" t="s">
        <v>40</v>
      </c>
      <c r="D796">
        <v>3.6966589999999999</v>
      </c>
      <c r="E796">
        <v>0.56943769999999905</v>
      </c>
      <c r="F796" t="s">
        <v>41</v>
      </c>
      <c r="G796">
        <v>-286.1737</v>
      </c>
      <c r="H796">
        <v>0.84202129999999997</v>
      </c>
      <c r="I796">
        <v>367.20710000000003</v>
      </c>
      <c r="J796">
        <v>-286.89789999999999</v>
      </c>
      <c r="K796">
        <v>1.059976</v>
      </c>
      <c r="L796">
        <v>367.3777</v>
      </c>
      <c r="M796">
        <v>0.99990230000000002</v>
      </c>
      <c r="N796">
        <v>0</v>
      </c>
      <c r="O796">
        <v>6.0405340000000002E-3</v>
      </c>
      <c r="P796">
        <v>0.98869819999999997</v>
      </c>
      <c r="Q796">
        <v>0.14991299999999999</v>
      </c>
      <c r="R796">
        <v>-1.438815E-3</v>
      </c>
      <c r="S796">
        <v>3.1443789999999998</v>
      </c>
      <c r="T796">
        <v>-0.7323828</v>
      </c>
      <c r="U796">
        <v>-0.56832890000000003</v>
      </c>
      <c r="V796">
        <v>7.4090939999999997E-3</v>
      </c>
      <c r="W796">
        <v>0.16237089999999901</v>
      </c>
      <c r="X796">
        <v>0.98670199999999997</v>
      </c>
      <c r="Y796">
        <v>0.1790042</v>
      </c>
      <c r="Z796">
        <v>-2.179027E-2</v>
      </c>
      <c r="AA796">
        <v>0.98360700000000001</v>
      </c>
      <c r="AB796">
        <v>39</v>
      </c>
      <c r="AC796">
        <v>0.72419999999999596</v>
      </c>
      <c r="AD796">
        <v>-0.2179547</v>
      </c>
      <c r="AE796">
        <v>-0.17059999999997899</v>
      </c>
      <c r="AF796">
        <v>0.16114337495245701</v>
      </c>
      <c r="AG796">
        <v>-0.2179547</v>
      </c>
      <c r="AH796">
        <v>0.66600352688164299</v>
      </c>
      <c r="AI796">
        <v>107.64479540970299</v>
      </c>
      <c r="AJ796">
        <v>76.398361174418895</v>
      </c>
      <c r="AK796">
        <v>0.71904946725656205</v>
      </c>
      <c r="AL796">
        <v>80.655461578166907</v>
      </c>
      <c r="AM796">
        <v>89.569777057386403</v>
      </c>
      <c r="AN796">
        <v>1.00000002032235</v>
      </c>
    </row>
    <row r="797" spans="1:40" x14ac:dyDescent="0.25">
      <c r="A797" t="str">
        <f>"20190312172345348"</f>
        <v>20190312172345348</v>
      </c>
      <c r="B797" t="str">
        <f>"1552382625341047"</f>
        <v>1552382625341047</v>
      </c>
      <c r="C797" t="s">
        <v>40</v>
      </c>
      <c r="D797">
        <v>3.5142820000000001</v>
      </c>
      <c r="E797">
        <v>0.56938159999999904</v>
      </c>
      <c r="F797" t="s">
        <v>41</v>
      </c>
      <c r="G797">
        <v>-286.15600000000001</v>
      </c>
      <c r="H797">
        <v>0.88736979999999999</v>
      </c>
      <c r="I797">
        <v>367.24340000000001</v>
      </c>
      <c r="J797">
        <v>-286.7072</v>
      </c>
      <c r="K797">
        <v>1.0599780000000001</v>
      </c>
      <c r="L797">
        <v>367.37880000000001</v>
      </c>
      <c r="M797">
        <v>0.99990219999999996</v>
      </c>
      <c r="N797">
        <v>0</v>
      </c>
      <c r="O797">
        <v>6.0502940000000003E-3</v>
      </c>
      <c r="P797">
        <v>0.98870429999999998</v>
      </c>
      <c r="Q797">
        <v>0.1498729</v>
      </c>
      <c r="R797">
        <v>-1.4312029999999901E-3</v>
      </c>
      <c r="S797">
        <v>3.144409</v>
      </c>
      <c r="T797">
        <v>-0.73163219999999995</v>
      </c>
      <c r="U797">
        <v>-0.56823729999999995</v>
      </c>
      <c r="V797">
        <v>7.4111769999999997E-3</v>
      </c>
      <c r="W797">
        <v>0.16233320000000001</v>
      </c>
      <c r="X797">
        <v>0.98670820000000004</v>
      </c>
      <c r="Y797">
        <v>0.17899409999999999</v>
      </c>
      <c r="Z797">
        <v>-2.1769440000000001E-2</v>
      </c>
      <c r="AA797">
        <v>0.98360930000000002</v>
      </c>
      <c r="AB797">
        <v>39</v>
      </c>
      <c r="AC797">
        <v>0.55119999999999403</v>
      </c>
      <c r="AD797">
        <v>-0.17260819999999999</v>
      </c>
      <c r="AE797">
        <v>-0.13540000000000399</v>
      </c>
      <c r="AF797">
        <v>0.12698852105507299</v>
      </c>
      <c r="AG797">
        <v>-0.17260819999999999</v>
      </c>
      <c r="AH797">
        <v>0.50377992092934698</v>
      </c>
      <c r="AI797">
        <v>108.378225121583</v>
      </c>
      <c r="AJ797">
        <v>75.852108746808796</v>
      </c>
      <c r="AK797">
        <v>0.54746130814750205</v>
      </c>
      <c r="AL797">
        <v>80.657650788206894</v>
      </c>
      <c r="AM797">
        <v>89.569658812604402</v>
      </c>
      <c r="AN797">
        <v>1.000000032657</v>
      </c>
    </row>
    <row r="798" spans="1:40" x14ac:dyDescent="0.25">
      <c r="A798" t="str">
        <f>"20190312172345360"</f>
        <v>20190312172345360</v>
      </c>
      <c r="B798" t="str">
        <f>"1552382625350807"</f>
        <v>1552382625350807</v>
      </c>
      <c r="C798" t="s">
        <v>40</v>
      </c>
      <c r="D798">
        <v>3.528044</v>
      </c>
      <c r="E798">
        <v>0.56934090000000004</v>
      </c>
      <c r="F798" t="s">
        <v>41</v>
      </c>
      <c r="G798">
        <v>-285.8218</v>
      </c>
      <c r="H798">
        <v>0.85400679999999995</v>
      </c>
      <c r="I798">
        <v>367.21870000000001</v>
      </c>
      <c r="J798">
        <v>-286.49979999999999</v>
      </c>
      <c r="K798">
        <v>1.0599780000000001</v>
      </c>
      <c r="L798">
        <v>367.38010000000003</v>
      </c>
      <c r="M798">
        <v>0.99990219999999996</v>
      </c>
      <c r="N798">
        <v>0</v>
      </c>
      <c r="O798">
        <v>6.0608880000000004E-3</v>
      </c>
      <c r="P798">
        <v>0.98869660000000004</v>
      </c>
      <c r="Q798">
        <v>0.1499241</v>
      </c>
      <c r="R798">
        <v>-1.4975089999999999E-3</v>
      </c>
      <c r="S798">
        <v>3.1443180000000002</v>
      </c>
      <c r="T798">
        <v>-0.73151889999999997</v>
      </c>
      <c r="U798">
        <v>-0.56787109999999996</v>
      </c>
      <c r="V798">
        <v>7.4876500000000002E-3</v>
      </c>
      <c r="W798">
        <v>0.1623869</v>
      </c>
      <c r="X798">
        <v>0.98669870000000004</v>
      </c>
      <c r="Y798">
        <v>0.1789019</v>
      </c>
      <c r="Z798">
        <v>-2.1758880000000001E-2</v>
      </c>
      <c r="AA798">
        <v>0.98362629999999995</v>
      </c>
      <c r="AB798">
        <v>39</v>
      </c>
      <c r="AC798">
        <v>0.67799999999999705</v>
      </c>
      <c r="AD798">
        <v>-0.20597119999999999</v>
      </c>
      <c r="AE798">
        <v>-0.161400000000014</v>
      </c>
      <c r="AF798">
        <v>0.15221237371176899</v>
      </c>
      <c r="AG798">
        <v>-0.20597119999999999</v>
      </c>
      <c r="AH798">
        <v>0.62262868265486404</v>
      </c>
      <c r="AI798">
        <v>107.814594663319</v>
      </c>
      <c r="AJ798">
        <v>76.2624942076434</v>
      </c>
      <c r="AK798">
        <v>0.673245288438726</v>
      </c>
      <c r="AL798">
        <v>80.654531827925496</v>
      </c>
      <c r="AM798">
        <v>89.565214275993497</v>
      </c>
      <c r="AN798">
        <v>0.99999994738790998</v>
      </c>
    </row>
    <row r="799" spans="1:40" x14ac:dyDescent="0.25">
      <c r="A799" t="str">
        <f>"20190312172345371"</f>
        <v>20190312172345371</v>
      </c>
      <c r="B799" t="str">
        <f>"1552382625360568"</f>
        <v>1552382625360568</v>
      </c>
      <c r="C799" t="s">
        <v>40</v>
      </c>
      <c r="D799">
        <v>3.5482619999999998</v>
      </c>
      <c r="E799">
        <v>0.56925209999999904</v>
      </c>
      <c r="F799" t="s">
        <v>41</v>
      </c>
      <c r="G799">
        <v>-285.80399999999997</v>
      </c>
      <c r="H799">
        <v>0.89824020000000004</v>
      </c>
      <c r="I799">
        <v>367.2543</v>
      </c>
      <c r="J799">
        <v>-286.3227</v>
      </c>
      <c r="K799">
        <v>1.059979</v>
      </c>
      <c r="L799">
        <v>367.38119999999998</v>
      </c>
      <c r="M799">
        <v>0.99990199999999996</v>
      </c>
      <c r="N799">
        <v>0</v>
      </c>
      <c r="O799">
        <v>6.0701130000000002E-3</v>
      </c>
      <c r="P799">
        <v>0.98872099999999996</v>
      </c>
      <c r="Q799">
        <v>0.14976249999999999</v>
      </c>
      <c r="R799">
        <v>-1.4746259999999999E-3</v>
      </c>
      <c r="S799">
        <v>3.1442869999999998</v>
      </c>
      <c r="T799">
        <v>-0.73093079999999999</v>
      </c>
      <c r="U799">
        <v>-0.56738279999999996</v>
      </c>
      <c r="V799">
        <v>7.4741089999999996E-3</v>
      </c>
      <c r="W799">
        <v>0.16222829999999999</v>
      </c>
      <c r="X799">
        <v>0.98672499999999996</v>
      </c>
      <c r="Y799">
        <v>0.17877499999999999</v>
      </c>
      <c r="Z799">
        <v>-2.1729979999999999E-2</v>
      </c>
      <c r="AA799">
        <v>0.98365000000000002</v>
      </c>
      <c r="AB799">
        <v>39</v>
      </c>
      <c r="AC799">
        <v>0.51869999999996697</v>
      </c>
      <c r="AD799">
        <v>-0.16173879999999899</v>
      </c>
      <c r="AE799">
        <v>-0.126899999999977</v>
      </c>
      <c r="AF799">
        <v>0.11911874522981</v>
      </c>
      <c r="AG799">
        <v>-0.16173879999999899</v>
      </c>
      <c r="AH799">
        <v>0.474399541975353</v>
      </c>
      <c r="AI799">
        <v>108.297450609092</v>
      </c>
      <c r="AJ799">
        <v>75.904792455673999</v>
      </c>
      <c r="AK799">
        <v>0.51517340800645794</v>
      </c>
      <c r="AL799">
        <v>80.663742061578503</v>
      </c>
      <c r="AM799">
        <v>89.566012099078407</v>
      </c>
      <c r="AN799">
        <v>1.00000005462561</v>
      </c>
    </row>
    <row r="800" spans="1:40" x14ac:dyDescent="0.25">
      <c r="A800" t="str">
        <f>"20190312172345383"</f>
        <v>20190312172345383</v>
      </c>
      <c r="B800" t="str">
        <f>"1552382625370328"</f>
        <v>1552382625370328</v>
      </c>
      <c r="C800" t="s">
        <v>40</v>
      </c>
      <c r="D800">
        <v>3.5279660000000002</v>
      </c>
      <c r="E800">
        <v>0.56918159999999995</v>
      </c>
      <c r="F800" t="s">
        <v>41</v>
      </c>
      <c r="G800">
        <v>-285.47149999999999</v>
      </c>
      <c r="H800">
        <v>0.86203359999999996</v>
      </c>
      <c r="I800">
        <v>367.2278</v>
      </c>
      <c r="J800">
        <v>-286.1241</v>
      </c>
      <c r="K800">
        <v>1.059979</v>
      </c>
      <c r="L800">
        <v>367.38240000000002</v>
      </c>
      <c r="M800">
        <v>0.99990179999999995</v>
      </c>
      <c r="N800">
        <v>0</v>
      </c>
      <c r="O800">
        <v>6.0805299999999998E-3</v>
      </c>
      <c r="P800">
        <v>0.98872309999999997</v>
      </c>
      <c r="Q800">
        <v>0.1497483</v>
      </c>
      <c r="R800">
        <v>-1.555695E-3</v>
      </c>
      <c r="S800">
        <v>3.1441349999999999</v>
      </c>
      <c r="T800">
        <v>-0.73118359999999905</v>
      </c>
      <c r="U800">
        <v>-0.56640630000000003</v>
      </c>
      <c r="V800">
        <v>7.5653480000000004E-3</v>
      </c>
      <c r="W800">
        <v>0.1622161</v>
      </c>
      <c r="X800">
        <v>0.98672629999999995</v>
      </c>
      <c r="Y800">
        <v>0.17850050000000001</v>
      </c>
      <c r="Z800">
        <v>-2.1710009999999998E-2</v>
      </c>
      <c r="AA800">
        <v>0.98370029999999997</v>
      </c>
      <c r="AB800">
        <v>39</v>
      </c>
      <c r="AC800">
        <v>0.65260000000000595</v>
      </c>
      <c r="AD800">
        <v>-0.19794539999999999</v>
      </c>
      <c r="AE800">
        <v>-0.154600000000016</v>
      </c>
      <c r="AF800">
        <v>0.145859362995755</v>
      </c>
      <c r="AG800">
        <v>-0.19794539999999999</v>
      </c>
      <c r="AH800">
        <v>0.59942968251151796</v>
      </c>
      <c r="AI800">
        <v>107.78938221887999</v>
      </c>
      <c r="AJ800">
        <v>76.3239873594393</v>
      </c>
      <c r="AK800">
        <v>0.64789912751179601</v>
      </c>
      <c r="AL800">
        <v>80.664450356444604</v>
      </c>
      <c r="AM800">
        <v>89.560715045711504</v>
      </c>
      <c r="AN800">
        <v>1.0000000443506201</v>
      </c>
    </row>
    <row r="801" spans="1:40" x14ac:dyDescent="0.25">
      <c r="A801" t="str">
        <f>"20190312172345394"</f>
        <v>20190312172345394</v>
      </c>
      <c r="B801" t="str">
        <f>"1552382625390823"</f>
        <v>1552382625390823</v>
      </c>
      <c r="C801" t="s">
        <v>40</v>
      </c>
      <c r="D801">
        <v>3.547517</v>
      </c>
      <c r="E801">
        <v>0.56906489999999998</v>
      </c>
      <c r="F801" t="s">
        <v>41</v>
      </c>
      <c r="G801">
        <v>-285.13639999999998</v>
      </c>
      <c r="H801">
        <v>0.83038959999999995</v>
      </c>
      <c r="I801">
        <v>367.20420000000001</v>
      </c>
      <c r="J801">
        <v>-285.90370000000001</v>
      </c>
      <c r="K801">
        <v>1.0599799999999999</v>
      </c>
      <c r="L801">
        <v>367.38380000000001</v>
      </c>
      <c r="M801">
        <v>0.99990190000000001</v>
      </c>
      <c r="N801">
        <v>0</v>
      </c>
      <c r="O801">
        <v>6.0918969999999998E-3</v>
      </c>
      <c r="P801">
        <v>0.98872210000000005</v>
      </c>
      <c r="Q801">
        <v>0.14975450000000001</v>
      </c>
      <c r="R801">
        <v>-1.5387339999999999E-3</v>
      </c>
      <c r="S801">
        <v>3.144012</v>
      </c>
      <c r="T801">
        <v>-0.73087999999999997</v>
      </c>
      <c r="U801">
        <v>-0.56634519999999899</v>
      </c>
      <c r="V801">
        <v>7.5598899999999997E-3</v>
      </c>
      <c r="W801">
        <v>0.16222449999999999</v>
      </c>
      <c r="X801">
        <v>0.98672490000000002</v>
      </c>
      <c r="Y801">
        <v>0.178503</v>
      </c>
      <c r="Z801">
        <v>-2.1704939999999999E-2</v>
      </c>
      <c r="AA801">
        <v>0.98369989999999996</v>
      </c>
      <c r="AB801">
        <v>39</v>
      </c>
      <c r="AC801">
        <v>0.76730000000003395</v>
      </c>
      <c r="AD801">
        <v>-0.229590399999999</v>
      </c>
      <c r="AE801">
        <v>-0.17959999999999299</v>
      </c>
      <c r="AF801">
        <v>0.169853928486354</v>
      </c>
      <c r="AG801">
        <v>-0.229590399999999</v>
      </c>
      <c r="AH801">
        <v>0.70624460576969905</v>
      </c>
      <c r="AI801">
        <v>107.540370978369</v>
      </c>
      <c r="AJ801">
        <v>76.477021039396405</v>
      </c>
      <c r="AK801">
        <v>0.76180283011630101</v>
      </c>
      <c r="AL801">
        <v>80.663962045956097</v>
      </c>
      <c r="AM801">
        <v>89.561031331457301</v>
      </c>
      <c r="AN801">
        <v>0.99999998430853498</v>
      </c>
    </row>
    <row r="802" spans="1:40" x14ac:dyDescent="0.25">
      <c r="A802" t="str">
        <f>"20190312172345408"</f>
        <v>20190312172345408</v>
      </c>
      <c r="B802" t="str">
        <f>"1552382625400583"</f>
        <v>1552382625400583</v>
      </c>
      <c r="C802" t="s">
        <v>40</v>
      </c>
      <c r="D802">
        <v>3.60921</v>
      </c>
      <c r="E802">
        <v>0.56893579999999999</v>
      </c>
      <c r="F802" t="s">
        <v>41</v>
      </c>
      <c r="G802">
        <v>-285.11829999999998</v>
      </c>
      <c r="H802">
        <v>0.87756559999999995</v>
      </c>
      <c r="I802">
        <v>367.24220000000003</v>
      </c>
      <c r="J802">
        <v>-285.67660000000001</v>
      </c>
      <c r="K802">
        <v>1.059979</v>
      </c>
      <c r="L802">
        <v>367.38510000000002</v>
      </c>
      <c r="M802">
        <v>0.99990179999999995</v>
      </c>
      <c r="N802">
        <v>0</v>
      </c>
      <c r="O802">
        <v>6.1038619999999998E-3</v>
      </c>
      <c r="P802">
        <v>0.98871659999999995</v>
      </c>
      <c r="Q802">
        <v>0.1497906</v>
      </c>
      <c r="R802">
        <v>-1.65208E-3</v>
      </c>
      <c r="S802">
        <v>3.1439210000000002</v>
      </c>
      <c r="T802">
        <v>-0.73027299999999995</v>
      </c>
      <c r="U802">
        <v>-0.56539919999999899</v>
      </c>
      <c r="V802">
        <v>7.6850169999999997E-3</v>
      </c>
      <c r="W802">
        <v>0.1622622</v>
      </c>
      <c r="X802">
        <v>0.98671779999999998</v>
      </c>
      <c r="Y802">
        <v>0.17824660000000001</v>
      </c>
      <c r="Z802">
        <v>-2.166208E-2</v>
      </c>
      <c r="AA802">
        <v>0.98374740000000005</v>
      </c>
      <c r="AB802">
        <v>39</v>
      </c>
      <c r="AC802">
        <v>0.55830000000003099</v>
      </c>
      <c r="AD802">
        <v>-0.1824134</v>
      </c>
      <c r="AE802">
        <v>-0.142899999999997</v>
      </c>
      <c r="AF802">
        <v>0.13298207462786599</v>
      </c>
      <c r="AG802">
        <v>-0.1824134</v>
      </c>
      <c r="AH802">
        <v>0.50665600731410798</v>
      </c>
      <c r="AI802">
        <v>109.20009012476901</v>
      </c>
      <c r="AJ802">
        <v>75.293296521151802</v>
      </c>
      <c r="AK802">
        <v>0.55467034391552394</v>
      </c>
      <c r="AL802">
        <v>80.661773600672603</v>
      </c>
      <c r="AM802">
        <v>89.553762852325093</v>
      </c>
      <c r="AN802">
        <v>1.0000000489359799</v>
      </c>
    </row>
    <row r="803" spans="1:40" x14ac:dyDescent="0.25">
      <c r="A803" t="str">
        <f>"20190312172345423"</f>
        <v>20190312172345423</v>
      </c>
      <c r="B803" t="str">
        <f>"1552382625410343"</f>
        <v>1552382625410343</v>
      </c>
      <c r="C803" t="s">
        <v>40</v>
      </c>
      <c r="D803">
        <v>3.5326499999999998</v>
      </c>
      <c r="E803">
        <v>0.56881839999999995</v>
      </c>
      <c r="F803" t="s">
        <v>41</v>
      </c>
      <c r="G803">
        <v>-284.78089999999997</v>
      </c>
      <c r="H803">
        <v>0.85207299999999997</v>
      </c>
      <c r="I803">
        <v>367.2244</v>
      </c>
      <c r="J803">
        <v>-285.42489999999998</v>
      </c>
      <c r="K803">
        <v>1.059979</v>
      </c>
      <c r="L803">
        <v>367.38670000000002</v>
      </c>
      <c r="M803">
        <v>0.99990159999999995</v>
      </c>
      <c r="N803">
        <v>0</v>
      </c>
      <c r="O803">
        <v>6.1170779999999998E-3</v>
      </c>
      <c r="P803">
        <v>0.98875869999999999</v>
      </c>
      <c r="Q803">
        <v>0.1495148</v>
      </c>
      <c r="R803">
        <v>-1.428999E-3</v>
      </c>
      <c r="S803">
        <v>3.1438290000000002</v>
      </c>
      <c r="T803">
        <v>-0.72967740000000003</v>
      </c>
      <c r="U803">
        <v>-0.56481930000000002</v>
      </c>
      <c r="V803">
        <v>7.47511599999999E-3</v>
      </c>
      <c r="W803">
        <v>0.161989299999999</v>
      </c>
      <c r="X803">
        <v>0.98676419999999998</v>
      </c>
      <c r="Y803">
        <v>0.17809949999999999</v>
      </c>
      <c r="Z803">
        <v>-2.1632100000000001E-2</v>
      </c>
      <c r="AA803">
        <v>0.9837747</v>
      </c>
      <c r="AB803">
        <v>39</v>
      </c>
      <c r="AC803">
        <v>0.64400000000000501</v>
      </c>
      <c r="AD803">
        <v>-0.20790600000000001</v>
      </c>
      <c r="AE803">
        <v>-0.16230000000001599</v>
      </c>
      <c r="AF803">
        <v>0.15139973131429399</v>
      </c>
      <c r="AG803">
        <v>-0.20790600000000001</v>
      </c>
      <c r="AH803">
        <v>0.58560651846197698</v>
      </c>
      <c r="AI803">
        <v>108.96913866369</v>
      </c>
      <c r="AJ803">
        <v>75.504439770323998</v>
      </c>
      <c r="AK803">
        <v>0.63959501088047699</v>
      </c>
      <c r="AL803">
        <v>80.677618780474901</v>
      </c>
      <c r="AM803">
        <v>89.565970871534404</v>
      </c>
      <c r="AN803">
        <v>0.99999999853767096</v>
      </c>
    </row>
    <row r="804" spans="1:40" x14ac:dyDescent="0.25">
      <c r="A804" t="str">
        <f>"20190312172345435"</f>
        <v>20190312172345435</v>
      </c>
      <c r="B804" t="str">
        <f>"1552382625430839"</f>
        <v>1552382625430839</v>
      </c>
      <c r="C804" t="s">
        <v>40</v>
      </c>
      <c r="D804">
        <v>3.550986</v>
      </c>
      <c r="E804">
        <v>0.56876640000000001</v>
      </c>
      <c r="F804" t="s">
        <v>41</v>
      </c>
      <c r="G804">
        <v>-284.44159999999999</v>
      </c>
      <c r="H804">
        <v>0.83152929999999903</v>
      </c>
      <c r="I804">
        <v>367.21010000000001</v>
      </c>
      <c r="J804">
        <v>-285.20330000000001</v>
      </c>
      <c r="K804">
        <v>1.0599780000000001</v>
      </c>
      <c r="L804">
        <v>367.38810000000001</v>
      </c>
      <c r="M804">
        <v>0.9999015</v>
      </c>
      <c r="N804">
        <v>0</v>
      </c>
      <c r="O804">
        <v>6.1285130000000004E-3</v>
      </c>
      <c r="P804">
        <v>0.98875420000000003</v>
      </c>
      <c r="Q804">
        <v>0.1495436</v>
      </c>
      <c r="R804">
        <v>-1.3163490000000001E-3</v>
      </c>
      <c r="S804">
        <v>3.1437379999999999</v>
      </c>
      <c r="T804">
        <v>-0.73044500000000001</v>
      </c>
      <c r="U804">
        <v>-0.56335449999999998</v>
      </c>
      <c r="V804">
        <v>7.3741419999999898E-3</v>
      </c>
      <c r="W804">
        <v>0.16201940000000001</v>
      </c>
      <c r="X804">
        <v>0.98675999999999997</v>
      </c>
      <c r="Y804">
        <v>0.17767179999999999</v>
      </c>
      <c r="Z804">
        <v>-2.1609670000000001E-2</v>
      </c>
      <c r="AA804">
        <v>0.98385250000000002</v>
      </c>
      <c r="AB804">
        <v>39</v>
      </c>
      <c r="AC804">
        <v>0.76170000000001803</v>
      </c>
      <c r="AD804">
        <v>-0.2284487</v>
      </c>
      <c r="AE804">
        <v>-0.17799999999999699</v>
      </c>
      <c r="AF804">
        <v>0.168309367514902</v>
      </c>
      <c r="AG804">
        <v>-0.2284487</v>
      </c>
      <c r="AH804">
        <v>0.700819182468706</v>
      </c>
      <c r="AI804">
        <v>107.586595918017</v>
      </c>
      <c r="AJ804">
        <v>76.4955500863704</v>
      </c>
      <c r="AK804">
        <v>0.75608490147672003</v>
      </c>
      <c r="AL804">
        <v>80.675870923487096</v>
      </c>
      <c r="AM804">
        <v>89.571831702603504</v>
      </c>
      <c r="AN804">
        <v>0.99999998077329699</v>
      </c>
    </row>
    <row r="805" spans="1:40" x14ac:dyDescent="0.25">
      <c r="A805" t="str">
        <f>"20190312172345446"</f>
        <v>20190312172345446</v>
      </c>
      <c r="B805" t="str">
        <f>"1552382625440349"</f>
        <v>1552382625440349</v>
      </c>
      <c r="C805" t="s">
        <v>40</v>
      </c>
      <c r="D805">
        <v>3.5919129999999999</v>
      </c>
      <c r="E805">
        <v>0.56880980000000003</v>
      </c>
      <c r="F805" t="s">
        <v>41</v>
      </c>
      <c r="G805">
        <v>-284.42349999999999</v>
      </c>
      <c r="H805">
        <v>0.87884010000000001</v>
      </c>
      <c r="I805">
        <v>367.24799999999999</v>
      </c>
      <c r="J805">
        <v>-285.01729999999998</v>
      </c>
      <c r="K805">
        <v>1.059976</v>
      </c>
      <c r="L805">
        <v>367.38920000000002</v>
      </c>
      <c r="M805">
        <v>0.99990140000000005</v>
      </c>
      <c r="N805">
        <v>0</v>
      </c>
      <c r="O805">
        <v>6.138101E-3</v>
      </c>
      <c r="P805">
        <v>0.98875230000000003</v>
      </c>
      <c r="Q805">
        <v>0.149557299999999</v>
      </c>
      <c r="R805">
        <v>-1.2412390000000001E-3</v>
      </c>
      <c r="S805">
        <v>3.1438600000000001</v>
      </c>
      <c r="T805">
        <v>-0.73034119999999902</v>
      </c>
      <c r="U805">
        <v>-0.5629883</v>
      </c>
      <c r="V805">
        <v>7.308274E-3</v>
      </c>
      <c r="W805">
        <v>0.1620344</v>
      </c>
      <c r="X805">
        <v>0.98675809999999997</v>
      </c>
      <c r="Y805">
        <v>0.17756749999999999</v>
      </c>
      <c r="Z805">
        <v>-2.1596400000000002E-2</v>
      </c>
      <c r="AA805">
        <v>0.98387159999999996</v>
      </c>
      <c r="AB805">
        <v>39</v>
      </c>
      <c r="AC805">
        <v>0.593799999999987</v>
      </c>
      <c r="AD805">
        <v>-0.18113589999999999</v>
      </c>
      <c r="AE805">
        <v>-0.14119999999996899</v>
      </c>
      <c r="AF805">
        <v>0.13311835155131099</v>
      </c>
      <c r="AG805">
        <v>-0.18113589999999999</v>
      </c>
      <c r="AH805">
        <v>0.54492873668536201</v>
      </c>
      <c r="AI805">
        <v>107.89566629101201</v>
      </c>
      <c r="AJ805">
        <v>76.272309236983006</v>
      </c>
      <c r="AK805">
        <v>0.589472677784181</v>
      </c>
      <c r="AL805">
        <v>80.675000655897904</v>
      </c>
      <c r="AM805">
        <v>89.575655269938693</v>
      </c>
      <c r="AN805">
        <v>1.0000000527839099</v>
      </c>
    </row>
    <row r="806" spans="1:40" x14ac:dyDescent="0.25">
      <c r="A806" t="str">
        <f>"20190312172345457"</f>
        <v>20190312172345457</v>
      </c>
      <c r="B806" t="str">
        <f>"1552382625451085"</f>
        <v>1552382625451085</v>
      </c>
      <c r="C806" t="s">
        <v>40</v>
      </c>
      <c r="D806">
        <v>3.558875</v>
      </c>
      <c r="E806">
        <v>0.56879539999999995</v>
      </c>
      <c r="F806" t="s">
        <v>41</v>
      </c>
      <c r="G806">
        <v>-284.08960000000002</v>
      </c>
      <c r="H806">
        <v>0.84440569999999904</v>
      </c>
      <c r="I806">
        <v>367.22300000000001</v>
      </c>
      <c r="J806">
        <v>-284.81400000000002</v>
      </c>
      <c r="K806">
        <v>1.0599749999999999</v>
      </c>
      <c r="L806">
        <v>367.39049999999997</v>
      </c>
      <c r="M806">
        <v>0.99990140000000005</v>
      </c>
      <c r="N806">
        <v>0</v>
      </c>
      <c r="O806">
        <v>6.1486409999999998E-3</v>
      </c>
      <c r="P806">
        <v>0.98873</v>
      </c>
      <c r="Q806">
        <v>0.149704799999999</v>
      </c>
      <c r="R806">
        <v>-1.2348470000000001E-3</v>
      </c>
      <c r="S806">
        <v>3.1438899999999999</v>
      </c>
      <c r="T806">
        <v>-0.73057249999999996</v>
      </c>
      <c r="U806">
        <v>-0.56311040000000001</v>
      </c>
      <c r="V806">
        <v>7.3123540000000001E-3</v>
      </c>
      <c r="W806">
        <v>0.16218270000000001</v>
      </c>
      <c r="X806">
        <v>0.98673370000000005</v>
      </c>
      <c r="Y806">
        <v>0.17760909999999999</v>
      </c>
      <c r="Z806">
        <v>-2.1609920000000001E-2</v>
      </c>
      <c r="AA806">
        <v>0.98386379999999996</v>
      </c>
      <c r="AB806">
        <v>39</v>
      </c>
      <c r="AC806">
        <v>0.72440000000000204</v>
      </c>
      <c r="AD806">
        <v>-0.21556929999999999</v>
      </c>
      <c r="AE806">
        <v>-0.16749999999996101</v>
      </c>
      <c r="AF806">
        <v>0.15861764127778399</v>
      </c>
      <c r="AG806">
        <v>-0.21556929999999999</v>
      </c>
      <c r="AH806">
        <v>0.66726508172639798</v>
      </c>
      <c r="AI806">
        <v>107.448229114352</v>
      </c>
      <c r="AJ806">
        <v>76.628225108750897</v>
      </c>
      <c r="AK806">
        <v>0.71893836211343898</v>
      </c>
      <c r="AL806">
        <v>80.666389738593196</v>
      </c>
      <c r="AM806">
        <v>89.575407880412001</v>
      </c>
      <c r="AN806">
        <v>1.0000000467079899</v>
      </c>
    </row>
    <row r="807" spans="1:40" x14ac:dyDescent="0.25">
      <c r="A807" t="str">
        <f>"20190312172345468"</f>
        <v>20190312172345468</v>
      </c>
      <c r="B807" t="str">
        <f>"1552382625460845"</f>
        <v>1552382625460845</v>
      </c>
      <c r="C807" t="s">
        <v>40</v>
      </c>
      <c r="D807">
        <v>3.5823659999999999</v>
      </c>
      <c r="E807">
        <v>0.56879849999999998</v>
      </c>
      <c r="F807" t="s">
        <v>41</v>
      </c>
      <c r="G807">
        <v>-284.07260000000002</v>
      </c>
      <c r="H807">
        <v>0.88778780000000002</v>
      </c>
      <c r="I807">
        <v>367.25779999999997</v>
      </c>
      <c r="J807">
        <v>-284.62029999999999</v>
      </c>
      <c r="K807">
        <v>1.0599749999999999</v>
      </c>
      <c r="L807">
        <v>367.39170000000001</v>
      </c>
      <c r="M807">
        <v>0.99990129999999999</v>
      </c>
      <c r="N807">
        <v>0</v>
      </c>
      <c r="O807">
        <v>6.1588839999999999E-3</v>
      </c>
      <c r="P807">
        <v>0.98872579999999999</v>
      </c>
      <c r="Q807">
        <v>0.14973259999999999</v>
      </c>
      <c r="R807">
        <v>-1.274348E-3</v>
      </c>
      <c r="S807">
        <v>3.144012</v>
      </c>
      <c r="T807">
        <v>-0.73023249999999995</v>
      </c>
      <c r="U807">
        <v>-0.56271359999999904</v>
      </c>
      <c r="V807">
        <v>7.3617750000000001E-3</v>
      </c>
      <c r="W807">
        <v>0.16221179999999999</v>
      </c>
      <c r="X807">
        <v>0.98672850000000001</v>
      </c>
      <c r="Y807">
        <v>0.1774994</v>
      </c>
      <c r="Z807">
        <v>-2.1589400000000002E-2</v>
      </c>
      <c r="AA807">
        <v>0.98388410000000004</v>
      </c>
      <c r="AB807">
        <v>39</v>
      </c>
      <c r="AC807">
        <v>0.54769999999996299</v>
      </c>
      <c r="AD807">
        <v>-0.17218719999999901</v>
      </c>
      <c r="AE807">
        <v>-0.13390000000003899</v>
      </c>
      <c r="AF807">
        <v>0.12556088196909301</v>
      </c>
      <c r="AG807">
        <v>-0.17218719999999901</v>
      </c>
      <c r="AH807">
        <v>0.50021388751323204</v>
      </c>
      <c r="AI807">
        <v>108.462594843761</v>
      </c>
      <c r="AJ807">
        <v>75.909068377076693</v>
      </c>
      <c r="AK807">
        <v>0.54371674628044697</v>
      </c>
      <c r="AL807">
        <v>80.664699600927094</v>
      </c>
      <c r="AM807">
        <v>89.572536101635393</v>
      </c>
      <c r="AN807">
        <v>0.99999999825132002</v>
      </c>
    </row>
    <row r="808" spans="1:40" x14ac:dyDescent="0.25">
      <c r="A808" t="str">
        <f>"20190312172345479"</f>
        <v>20190312172345479</v>
      </c>
      <c r="B808" t="str">
        <f>"1552382625470606"</f>
        <v>1552382625470606</v>
      </c>
      <c r="C808" t="s">
        <v>40</v>
      </c>
      <c r="D808">
        <v>3.5758369999999999</v>
      </c>
      <c r="E808">
        <v>0.56877509999999998</v>
      </c>
      <c r="F808" t="s">
        <v>41</v>
      </c>
      <c r="G808">
        <v>-283.73840000000001</v>
      </c>
      <c r="H808">
        <v>0.85511719999999902</v>
      </c>
      <c r="I808">
        <v>367.23360000000002</v>
      </c>
      <c r="J808">
        <v>-284.4307</v>
      </c>
      <c r="K808">
        <v>1.0599769999999999</v>
      </c>
      <c r="L808">
        <v>367.3929</v>
      </c>
      <c r="M808">
        <v>0.99990129999999999</v>
      </c>
      <c r="N808">
        <v>0</v>
      </c>
      <c r="O808">
        <v>6.1690080000000001E-3</v>
      </c>
      <c r="P808">
        <v>0.98869649999999998</v>
      </c>
      <c r="Q808">
        <v>0.14992730000000001</v>
      </c>
      <c r="R808">
        <v>-1.346758E-3</v>
      </c>
      <c r="S808">
        <v>3.1440730000000001</v>
      </c>
      <c r="T808">
        <v>-0.73041009999999995</v>
      </c>
      <c r="U808">
        <v>-0.56265259999999995</v>
      </c>
      <c r="V808">
        <v>7.4439569999999898E-3</v>
      </c>
      <c r="W808">
        <v>0.1624071</v>
      </c>
      <c r="X808">
        <v>0.98669580000000001</v>
      </c>
      <c r="Y808">
        <v>0.17748549999999999</v>
      </c>
      <c r="Z808">
        <v>-2.1594869999999999E-2</v>
      </c>
      <c r="AA808">
        <v>0.9838865</v>
      </c>
      <c r="AB808">
        <v>39</v>
      </c>
      <c r="AC808">
        <v>0.69229999999998804</v>
      </c>
      <c r="AD808">
        <v>-0.20485980000000001</v>
      </c>
      <c r="AE808">
        <v>-0.15929999999997299</v>
      </c>
      <c r="AF808">
        <v>0.15101001161073799</v>
      </c>
      <c r="AG808">
        <v>-0.20485980000000001</v>
      </c>
      <c r="AH808">
        <v>0.63822848343768201</v>
      </c>
      <c r="AI808">
        <v>107.346589166954</v>
      </c>
      <c r="AJ808">
        <v>76.688166245377801</v>
      </c>
      <c r="AK808">
        <v>0.68710054455944003</v>
      </c>
      <c r="AL808">
        <v>80.6533597579473</v>
      </c>
      <c r="AM808">
        <v>89.567750032553107</v>
      </c>
      <c r="AN808">
        <v>1.00000004018193</v>
      </c>
    </row>
    <row r="809" spans="1:40" x14ac:dyDescent="0.25">
      <c r="A809" t="str">
        <f>"20190312172345490"</f>
        <v>20190312172345490</v>
      </c>
      <c r="B809" t="str">
        <f>"1552382625480366"</f>
        <v>1552382625480366</v>
      </c>
      <c r="C809" t="s">
        <v>40</v>
      </c>
      <c r="D809">
        <v>3.5687489999999999</v>
      </c>
      <c r="E809">
        <v>0.56875439999999999</v>
      </c>
      <c r="F809" t="s">
        <v>41</v>
      </c>
      <c r="G809">
        <v>-283.72219999999999</v>
      </c>
      <c r="H809">
        <v>0.89548639999999902</v>
      </c>
      <c r="I809">
        <v>367.26580000000001</v>
      </c>
      <c r="J809">
        <v>-284.2543</v>
      </c>
      <c r="K809">
        <v>1.059976</v>
      </c>
      <c r="L809">
        <v>367.39400000000001</v>
      </c>
      <c r="M809">
        <v>0.99990120000000005</v>
      </c>
      <c r="N809">
        <v>0</v>
      </c>
      <c r="O809">
        <v>6.1785369999999996E-3</v>
      </c>
      <c r="P809">
        <v>0.98866430000000005</v>
      </c>
      <c r="Q809">
        <v>0.150138299999999</v>
      </c>
      <c r="R809">
        <v>-1.2407449999999999E-3</v>
      </c>
      <c r="S809">
        <v>3.1442869999999998</v>
      </c>
      <c r="T809">
        <v>-0.73001649999999996</v>
      </c>
      <c r="U809">
        <v>-0.56259159999999997</v>
      </c>
      <c r="V809">
        <v>7.3474730000000002E-3</v>
      </c>
      <c r="W809">
        <v>0.16261829999999999</v>
      </c>
      <c r="X809">
        <v>0.98666169999999997</v>
      </c>
      <c r="Y809">
        <v>0.1774705</v>
      </c>
      <c r="Z809">
        <v>-2.1582629999999998E-2</v>
      </c>
      <c r="AA809">
        <v>0.98388940000000003</v>
      </c>
      <c r="AB809">
        <v>39</v>
      </c>
      <c r="AC809">
        <v>0.53210000000001401</v>
      </c>
      <c r="AD809">
        <v>-0.16448960000000001</v>
      </c>
      <c r="AE809">
        <v>-0.12819999999999199</v>
      </c>
      <c r="AF809">
        <v>0.120593395038465</v>
      </c>
      <c r="AG809">
        <v>-0.16448960000000001</v>
      </c>
      <c r="AH809">
        <v>0.487285929311779</v>
      </c>
      <c r="AI809">
        <v>108.14280087296299</v>
      </c>
      <c r="AJ809">
        <v>76.099743051367298</v>
      </c>
      <c r="AK809">
        <v>0.52824915744401002</v>
      </c>
      <c r="AL809">
        <v>80.641095513148898</v>
      </c>
      <c r="AM809">
        <v>89.573337637948896</v>
      </c>
      <c r="AN809">
        <v>1.00000000355063</v>
      </c>
    </row>
    <row r="810" spans="1:40" x14ac:dyDescent="0.25">
      <c r="A810" t="str">
        <f>"20190312172345499"</f>
        <v>20190312172345499</v>
      </c>
      <c r="B810" t="str">
        <f>"1552382625491101"</f>
        <v>1552382625491101</v>
      </c>
      <c r="C810" t="s">
        <v>40</v>
      </c>
      <c r="D810">
        <v>3.5705809999999998</v>
      </c>
      <c r="E810">
        <v>0.5687468</v>
      </c>
      <c r="F810" t="s">
        <v>41</v>
      </c>
      <c r="G810">
        <v>-283.38979999999998</v>
      </c>
      <c r="H810">
        <v>0.85944149999999997</v>
      </c>
      <c r="I810">
        <v>367.23939999999999</v>
      </c>
      <c r="J810">
        <v>-284.06900000000002</v>
      </c>
      <c r="K810">
        <v>1.0599769999999999</v>
      </c>
      <c r="L810">
        <v>367.39510000000001</v>
      </c>
      <c r="M810">
        <v>0.99990109999999999</v>
      </c>
      <c r="N810">
        <v>0</v>
      </c>
      <c r="O810">
        <v>6.1886019999999996E-3</v>
      </c>
      <c r="P810">
        <v>0.98865990000000004</v>
      </c>
      <c r="Q810">
        <v>0.15016869999999999</v>
      </c>
      <c r="R810">
        <v>-1.15314E-3</v>
      </c>
      <c r="S810">
        <v>3.1444399999999999</v>
      </c>
      <c r="T810">
        <v>-0.72939690000000001</v>
      </c>
      <c r="U810">
        <v>-0.56231690000000001</v>
      </c>
      <c r="V810">
        <v>7.2697029999999998E-3</v>
      </c>
      <c r="W810">
        <v>0.1626504</v>
      </c>
      <c r="X810">
        <v>0.98665700000000001</v>
      </c>
      <c r="Y810">
        <v>0.1773988</v>
      </c>
      <c r="Z810">
        <v>-2.155806E-2</v>
      </c>
      <c r="AA810">
        <v>0.98390290000000002</v>
      </c>
      <c r="AB810">
        <v>39</v>
      </c>
      <c r="AC810">
        <v>0.679200000000037</v>
      </c>
      <c r="AD810">
        <v>-0.20053549999999901</v>
      </c>
      <c r="AE810">
        <v>-0.15570000000002401</v>
      </c>
      <c r="AF810">
        <v>0.14767034690317801</v>
      </c>
      <c r="AG810">
        <v>-0.20053549999999901</v>
      </c>
      <c r="AH810">
        <v>0.62634814957838503</v>
      </c>
      <c r="AI810">
        <v>107.30821380512199</v>
      </c>
      <c r="AJ810">
        <v>76.733972646030594</v>
      </c>
      <c r="AK810">
        <v>0.67404230030097001</v>
      </c>
      <c r="AL810">
        <v>80.639231642440706</v>
      </c>
      <c r="AM810">
        <v>89.577851509588498</v>
      </c>
      <c r="AN810">
        <v>1.0000000184254301</v>
      </c>
    </row>
    <row r="811" spans="1:40" x14ac:dyDescent="0.25">
      <c r="A811" t="str">
        <f>"20190312172345511"</f>
        <v>20190312172345511</v>
      </c>
      <c r="B811" t="str">
        <f>"1552382625500862"</f>
        <v>1552382625500862</v>
      </c>
      <c r="C811" t="s">
        <v>40</v>
      </c>
      <c r="D811">
        <v>3.5724629999999999</v>
      </c>
      <c r="E811">
        <v>0.56878490000000004</v>
      </c>
      <c r="F811" t="s">
        <v>41</v>
      </c>
      <c r="G811">
        <v>-283.37380000000002</v>
      </c>
      <c r="H811">
        <v>0.89870969999999994</v>
      </c>
      <c r="I811">
        <v>367.27100000000002</v>
      </c>
      <c r="J811">
        <v>-283.88510000000002</v>
      </c>
      <c r="K811">
        <v>1.0599799999999999</v>
      </c>
      <c r="L811">
        <v>367.3963</v>
      </c>
      <c r="M811">
        <v>0.99990109999999999</v>
      </c>
      <c r="N811">
        <v>0</v>
      </c>
      <c r="O811">
        <v>6.1980169999999897E-3</v>
      </c>
      <c r="P811">
        <v>0.9886665</v>
      </c>
      <c r="Q811">
        <v>0.15012539999999999</v>
      </c>
      <c r="R811">
        <v>-1.174486E-3</v>
      </c>
      <c r="S811">
        <v>3.1445620000000001</v>
      </c>
      <c r="T811">
        <v>-0.72944310000000001</v>
      </c>
      <c r="U811">
        <v>-0.56182860000000001</v>
      </c>
      <c r="V811">
        <v>7.3004400000000001E-3</v>
      </c>
      <c r="W811">
        <v>0.16260749999999999</v>
      </c>
      <c r="X811">
        <v>0.98666379999999998</v>
      </c>
      <c r="Y811">
        <v>0.17725629999999901</v>
      </c>
      <c r="Z811">
        <v>-2.1544830000000001E-2</v>
      </c>
      <c r="AA811">
        <v>0.9839289</v>
      </c>
      <c r="AB811">
        <v>39</v>
      </c>
      <c r="AC811">
        <v>0.51130000000000497</v>
      </c>
      <c r="AD811">
        <v>-0.16127029999999901</v>
      </c>
      <c r="AE811">
        <v>-0.12530000000003799</v>
      </c>
      <c r="AF811">
        <v>0.117444834694187</v>
      </c>
      <c r="AG811">
        <v>-0.16127029999999901</v>
      </c>
      <c r="AH811">
        <v>0.46671304471938102</v>
      </c>
      <c r="AI811">
        <v>108.525890658516</v>
      </c>
      <c r="AJ811">
        <v>75.875218592847403</v>
      </c>
      <c r="AK811">
        <v>0.50756523223096195</v>
      </c>
      <c r="AL811">
        <v>80.641722383905503</v>
      </c>
      <c r="AM811">
        <v>89.576069611980799</v>
      </c>
      <c r="AN811">
        <v>0.99999997485544101</v>
      </c>
    </row>
    <row r="812" spans="1:40" x14ac:dyDescent="0.25">
      <c r="A812" t="str">
        <f>"20190312172345523"</f>
        <v>20190312172345523</v>
      </c>
      <c r="B812" t="str">
        <f>"1552382625520381"</f>
        <v>1552382625520381</v>
      </c>
      <c r="C812" t="s">
        <v>40</v>
      </c>
      <c r="D812">
        <v>3.5375619999999999</v>
      </c>
      <c r="E812">
        <v>0.56892860000000001</v>
      </c>
      <c r="F812" t="s">
        <v>41</v>
      </c>
      <c r="G812">
        <v>-283.041</v>
      </c>
      <c r="H812">
        <v>0.86409340000000001</v>
      </c>
      <c r="I812">
        <v>367.24509999999998</v>
      </c>
      <c r="J812">
        <v>-283.68520000000001</v>
      </c>
      <c r="K812">
        <v>1.0599769999999999</v>
      </c>
      <c r="L812">
        <v>367.39749999999998</v>
      </c>
      <c r="M812">
        <v>0.99990100000000004</v>
      </c>
      <c r="N812">
        <v>0</v>
      </c>
      <c r="O812">
        <v>6.2084439999999996E-3</v>
      </c>
      <c r="P812">
        <v>0.98863369999999995</v>
      </c>
      <c r="Q812">
        <v>0.1503401</v>
      </c>
      <c r="R812">
        <v>-1.3539349999999999E-3</v>
      </c>
      <c r="S812">
        <v>3.1445620000000001</v>
      </c>
      <c r="T812">
        <v>-0.72985180000000005</v>
      </c>
      <c r="U812">
        <v>-0.56256099999999998</v>
      </c>
      <c r="V812">
        <v>7.4898769999999998E-3</v>
      </c>
      <c r="W812">
        <v>0.16282260000000001</v>
      </c>
      <c r="X812">
        <v>0.98662689999999997</v>
      </c>
      <c r="Y812">
        <v>0.17747769999999999</v>
      </c>
      <c r="Z812">
        <v>-2.1583709999999999E-2</v>
      </c>
      <c r="AA812">
        <v>0.98388810000000004</v>
      </c>
      <c r="AB812">
        <v>39</v>
      </c>
      <c r="AC812">
        <v>0.64420000000001199</v>
      </c>
      <c r="AD812">
        <v>-0.19588359999999899</v>
      </c>
      <c r="AE812">
        <v>-0.15240000000000001</v>
      </c>
      <c r="AF812">
        <v>0.143805303303256</v>
      </c>
      <c r="AG812">
        <v>-0.19588359999999899</v>
      </c>
      <c r="AH812">
        <v>0.59145378946733995</v>
      </c>
      <c r="AI812">
        <v>107.838920370636</v>
      </c>
      <c r="AJ812">
        <v>76.334348481925005</v>
      </c>
      <c r="AK812">
        <v>0.63942781850837405</v>
      </c>
      <c r="AL812">
        <v>80.629231538503205</v>
      </c>
      <c r="AM812">
        <v>89.565053316702105</v>
      </c>
      <c r="AN812">
        <v>0.99999996856592199</v>
      </c>
    </row>
    <row r="813" spans="1:40" x14ac:dyDescent="0.25">
      <c r="A813" t="str">
        <f>"20190312172345534"</f>
        <v>20190312172345534</v>
      </c>
      <c r="B813" t="str">
        <f>"1552382625531117"</f>
        <v>1552382625531117</v>
      </c>
      <c r="C813" t="s">
        <v>40</v>
      </c>
      <c r="D813">
        <v>3.6482549999999998</v>
      </c>
      <c r="E813">
        <v>0.56892860000000001</v>
      </c>
      <c r="F813" t="s">
        <v>41</v>
      </c>
      <c r="G813">
        <v>-282.70600000000002</v>
      </c>
      <c r="H813">
        <v>0.83300189999999996</v>
      </c>
      <c r="I813">
        <v>367.22160000000002</v>
      </c>
      <c r="J813">
        <v>-283.48739999999998</v>
      </c>
      <c r="K813">
        <v>1.0599780000000001</v>
      </c>
      <c r="L813">
        <v>367.39879999999999</v>
      </c>
      <c r="M813">
        <v>0.99990080000000003</v>
      </c>
      <c r="N813">
        <v>0</v>
      </c>
      <c r="O813">
        <v>6.2188699999999996E-3</v>
      </c>
      <c r="P813">
        <v>0.9886296</v>
      </c>
      <c r="Q813">
        <v>0.15036739999999901</v>
      </c>
      <c r="R813">
        <v>-1.2192559999999999E-3</v>
      </c>
      <c r="S813">
        <v>3.1445310000000002</v>
      </c>
      <c r="T813">
        <v>-0.72897829999999997</v>
      </c>
      <c r="U813">
        <v>-0.5644226</v>
      </c>
      <c r="V813">
        <v>7.3654549999999999E-3</v>
      </c>
      <c r="W813">
        <v>0.1628503</v>
      </c>
      <c r="X813">
        <v>0.98662329999999998</v>
      </c>
      <c r="Y813">
        <v>0.17805070000000001</v>
      </c>
      <c r="Z813">
        <v>-2.162507E-2</v>
      </c>
      <c r="AA813">
        <v>0.98378370000000004</v>
      </c>
      <c r="AB813">
        <v>39</v>
      </c>
      <c r="AC813">
        <v>0.78140000000001897</v>
      </c>
      <c r="AD813">
        <v>-0.22697609999999999</v>
      </c>
      <c r="AE813">
        <v>-0.17719999999996999</v>
      </c>
      <c r="AF813">
        <v>0.16853200997131801</v>
      </c>
      <c r="AG813">
        <v>-0.22697609999999999</v>
      </c>
      <c r="AH813">
        <v>0.72231814630366697</v>
      </c>
      <c r="AI813">
        <v>107.01483086734601</v>
      </c>
      <c r="AJ813">
        <v>76.866646520967706</v>
      </c>
      <c r="AK813">
        <v>0.77567047954382595</v>
      </c>
      <c r="AL813">
        <v>80.627623302771596</v>
      </c>
      <c r="AM813">
        <v>89.572276829167805</v>
      </c>
      <c r="AN813">
        <v>1.0000000031201599</v>
      </c>
    </row>
    <row r="814" spans="1:40" x14ac:dyDescent="0.25">
      <c r="A814" t="str">
        <f>"20190312172345690"</f>
        <v>20190312172345690</v>
      </c>
      <c r="B814" t="str">
        <f>"1552382625680445"</f>
        <v>1552382625680445</v>
      </c>
      <c r="C814" t="s">
        <v>40</v>
      </c>
      <c r="D814">
        <v>3.6560440000000001</v>
      </c>
      <c r="E814">
        <v>0.56814500000000001</v>
      </c>
      <c r="F814" t="s">
        <v>41</v>
      </c>
      <c r="G814">
        <v>-280.26010000000002</v>
      </c>
      <c r="H814">
        <v>0.89067629999999998</v>
      </c>
      <c r="I814">
        <v>367.28469999999999</v>
      </c>
      <c r="J814">
        <v>-280.78960000000001</v>
      </c>
      <c r="K814">
        <v>1.0605329999999999</v>
      </c>
      <c r="L814">
        <v>367.41590000000002</v>
      </c>
      <c r="M814">
        <v>0.99987899999999996</v>
      </c>
      <c r="N814">
        <v>0</v>
      </c>
      <c r="O814">
        <v>6.3445200000000002E-3</v>
      </c>
      <c r="P814">
        <v>0.98886220000000002</v>
      </c>
      <c r="Q814">
        <v>0.14882870000000001</v>
      </c>
      <c r="R814">
        <v>-1.262043E-3</v>
      </c>
      <c r="S814">
        <v>3.1446230000000002</v>
      </c>
      <c r="T814">
        <v>-0.73563529999999999</v>
      </c>
      <c r="U814">
        <v>-0.562011699999999</v>
      </c>
      <c r="V814">
        <v>7.5359390000000002E-3</v>
      </c>
      <c r="W814">
        <v>0.16286249999999999</v>
      </c>
      <c r="X814">
        <v>0.98662000000000005</v>
      </c>
      <c r="Y814">
        <v>0.17736669999999999</v>
      </c>
      <c r="Z814">
        <v>-2.1768780000000001E-2</v>
      </c>
      <c r="AA814">
        <v>0.98390409999999995</v>
      </c>
      <c r="AB814">
        <v>39</v>
      </c>
      <c r="AC814">
        <v>0.52949999999998398</v>
      </c>
      <c r="AD814">
        <v>-0.169856699999999</v>
      </c>
      <c r="AE814">
        <v>-0.13120000000003501</v>
      </c>
      <c r="AF814">
        <v>0.122664561142727</v>
      </c>
      <c r="AG814">
        <v>-0.169856699999999</v>
      </c>
      <c r="AH814">
        <v>0.481932585085247</v>
      </c>
      <c r="AI814">
        <v>108.858061917744</v>
      </c>
      <c r="AJ814">
        <v>75.719930114218698</v>
      </c>
      <c r="AK814">
        <v>0.52550633646244105</v>
      </c>
      <c r="AL814">
        <v>80.626914847629493</v>
      </c>
      <c r="AM814">
        <v>89.562375481072095</v>
      </c>
      <c r="AN814">
        <v>1.0000000043414301</v>
      </c>
    </row>
    <row r="815" spans="1:40" x14ac:dyDescent="0.25">
      <c r="A815" t="str">
        <f>"20190312172345701"</f>
        <v>20190312172345701</v>
      </c>
      <c r="B815" t="str">
        <f>"1552382625690206"</f>
        <v>1552382625690206</v>
      </c>
      <c r="C815" t="s">
        <v>40</v>
      </c>
      <c r="D815">
        <v>3.6383380000000001</v>
      </c>
      <c r="E815">
        <v>0.56766909999999904</v>
      </c>
      <c r="F815" t="s">
        <v>41</v>
      </c>
      <c r="G815">
        <v>-279.93290000000002</v>
      </c>
      <c r="H815">
        <v>0.86151299999999997</v>
      </c>
      <c r="I815">
        <v>367.26369999999997</v>
      </c>
      <c r="J815">
        <v>-280.59690000000001</v>
      </c>
      <c r="K815">
        <v>1.0608900000000001</v>
      </c>
      <c r="L815">
        <v>367.4171</v>
      </c>
      <c r="M815">
        <v>0.99986889999999995</v>
      </c>
      <c r="N815">
        <v>0</v>
      </c>
      <c r="O815">
        <v>6.3506329999999996E-3</v>
      </c>
      <c r="P815">
        <v>0.98895880000000003</v>
      </c>
      <c r="Q815">
        <v>0.14818509999999999</v>
      </c>
      <c r="R815">
        <v>-1.34094799999999E-3</v>
      </c>
      <c r="S815">
        <v>3.142944</v>
      </c>
      <c r="T815">
        <v>-0.73002639999999996</v>
      </c>
      <c r="U815">
        <v>-0.55865480000000001</v>
      </c>
      <c r="V815">
        <v>7.6221539999999999E-3</v>
      </c>
      <c r="W815">
        <v>0.16290299999999999</v>
      </c>
      <c r="X815">
        <v>0.98661270000000001</v>
      </c>
      <c r="Y815">
        <v>0.17653279999999999</v>
      </c>
      <c r="Z815">
        <v>-2.152656E-2</v>
      </c>
      <c r="AA815">
        <v>0.98405929999999997</v>
      </c>
      <c r="AB815">
        <v>38</v>
      </c>
      <c r="AC815">
        <v>0.66399999999998705</v>
      </c>
      <c r="AD815">
        <v>-0.199376999999999</v>
      </c>
      <c r="AE815">
        <v>-0.15340000000003301</v>
      </c>
      <c r="AF815">
        <v>0.145187348430448</v>
      </c>
      <c r="AG815">
        <v>-0.199376999999999</v>
      </c>
      <c r="AH815">
        <v>0.61073813888749395</v>
      </c>
      <c r="AI815">
        <v>107.619928855662</v>
      </c>
      <c r="AJ815">
        <v>76.627612314741299</v>
      </c>
      <c r="AK815">
        <v>0.658658962259699</v>
      </c>
      <c r="AL815">
        <v>80.624563413070405</v>
      </c>
      <c r="AM815">
        <v>89.557365755697802</v>
      </c>
      <c r="AN815">
        <v>1.00000005222094</v>
      </c>
    </row>
    <row r="816" spans="1:40" x14ac:dyDescent="0.25">
      <c r="A816" t="str">
        <f>"20190312172345712"</f>
        <v>20190312172345712</v>
      </c>
      <c r="B816" t="str">
        <f>"1552382625710702"</f>
        <v>1552382625710702</v>
      </c>
      <c r="C816" t="s">
        <v>40</v>
      </c>
      <c r="D816">
        <v>3.8374139999999999</v>
      </c>
      <c r="E816">
        <v>0.56684919999999905</v>
      </c>
      <c r="F816" t="s">
        <v>41</v>
      </c>
      <c r="G816">
        <v>-279.60559999999998</v>
      </c>
      <c r="H816">
        <v>0.83220239999999901</v>
      </c>
      <c r="I816">
        <v>367.24180000000001</v>
      </c>
      <c r="J816">
        <v>-280.40710000000001</v>
      </c>
      <c r="K816">
        <v>1.0612699999999999</v>
      </c>
      <c r="L816">
        <v>367.41829999999999</v>
      </c>
      <c r="M816">
        <v>0.99986759999999997</v>
      </c>
      <c r="N816">
        <v>0</v>
      </c>
      <c r="O816">
        <v>6.357489E-3</v>
      </c>
      <c r="P816">
        <v>0.98899210000000004</v>
      </c>
      <c r="Q816">
        <v>0.14796389999999901</v>
      </c>
      <c r="R816">
        <v>-1.1720140000000001E-3</v>
      </c>
      <c r="S816">
        <v>3.1413570000000002</v>
      </c>
      <c r="T816">
        <v>-0.7247709</v>
      </c>
      <c r="U816">
        <v>-0.55462650000000002</v>
      </c>
      <c r="V816">
        <v>7.4602929999999998E-3</v>
      </c>
      <c r="W816">
        <v>0.16275899999999999</v>
      </c>
      <c r="X816">
        <v>0.98663769999999995</v>
      </c>
      <c r="Y816">
        <v>0.17548920000000001</v>
      </c>
      <c r="Z816">
        <v>-2.1271740000000001E-2</v>
      </c>
      <c r="AA816">
        <v>0.98425149999999995</v>
      </c>
      <c r="AB816">
        <v>38</v>
      </c>
      <c r="AC816">
        <v>0.80150000000003196</v>
      </c>
      <c r="AD816">
        <v>-0.22906760000000001</v>
      </c>
      <c r="AE816">
        <v>-0.17649999999997501</v>
      </c>
      <c r="AF816">
        <v>0.168468330793898</v>
      </c>
      <c r="AG816">
        <v>-0.22906760000000001</v>
      </c>
      <c r="AH816">
        <v>0.74251720416695</v>
      </c>
      <c r="AI816">
        <v>106.74416834083</v>
      </c>
      <c r="AJ816">
        <v>77.216689839204804</v>
      </c>
      <c r="AK816">
        <v>0.79510083784017405</v>
      </c>
      <c r="AL816">
        <v>80.632925581759693</v>
      </c>
      <c r="AM816">
        <v>89.566775973655098</v>
      </c>
      <c r="AN816">
        <v>1.0000000495569601</v>
      </c>
    </row>
    <row r="817" spans="1:40" x14ac:dyDescent="0.25">
      <c r="A817" t="str">
        <f>"20190312172345725"</f>
        <v>20190312172345725</v>
      </c>
      <c r="B817" t="str">
        <f>"1552382625720462"</f>
        <v>1552382625720462</v>
      </c>
      <c r="C817" t="s">
        <v>40</v>
      </c>
      <c r="D817">
        <v>3.6772040000000001</v>
      </c>
      <c r="E817">
        <v>0.56644869999999903</v>
      </c>
      <c r="F817" t="s">
        <v>41</v>
      </c>
      <c r="G817">
        <v>-279.58870000000002</v>
      </c>
      <c r="H817">
        <v>0.87560130000000003</v>
      </c>
      <c r="I817">
        <v>367.27519999999998</v>
      </c>
      <c r="J817">
        <v>-280.20670000000001</v>
      </c>
      <c r="K817">
        <v>1.061661</v>
      </c>
      <c r="L817">
        <v>367.4196</v>
      </c>
      <c r="M817">
        <v>0.99987040000000005</v>
      </c>
      <c r="N817">
        <v>0</v>
      </c>
      <c r="O817">
        <v>6.3645519999999999E-3</v>
      </c>
      <c r="P817">
        <v>0.98892550000000001</v>
      </c>
      <c r="Q817">
        <v>0.14840980000000001</v>
      </c>
      <c r="R817">
        <v>-1.195177E-3</v>
      </c>
      <c r="S817">
        <v>3.1392820000000001</v>
      </c>
      <c r="T817">
        <v>-0.71235969999999904</v>
      </c>
      <c r="U817">
        <v>-0.54791259999999997</v>
      </c>
      <c r="V817">
        <v>7.4901489999999998E-3</v>
      </c>
      <c r="W817">
        <v>0.16301779999999999</v>
      </c>
      <c r="X817">
        <v>0.98659470000000005</v>
      </c>
      <c r="Y817">
        <v>0.17375560000000001</v>
      </c>
      <c r="Z817">
        <v>-2.0742110000000001E-2</v>
      </c>
      <c r="AA817">
        <v>0.98457030000000001</v>
      </c>
      <c r="AB817">
        <v>38</v>
      </c>
      <c r="AC817">
        <v>0.617999999999995</v>
      </c>
      <c r="AD817">
        <v>-0.186059699999999</v>
      </c>
      <c r="AE817">
        <v>-0.14440000000001799</v>
      </c>
      <c r="AF817">
        <v>0.13659092033725201</v>
      </c>
      <c r="AG817">
        <v>-0.186059699999999</v>
      </c>
      <c r="AH817">
        <v>0.56822948052898503</v>
      </c>
      <c r="AI817">
        <v>107.65984712370501</v>
      </c>
      <c r="AJ817">
        <v>76.483689722468498</v>
      </c>
      <c r="AK817">
        <v>0.61331886814682901</v>
      </c>
      <c r="AL817">
        <v>80.617896283153598</v>
      </c>
      <c r="AM817">
        <v>89.565023326373804</v>
      </c>
      <c r="AN817">
        <v>1.00000000375848</v>
      </c>
    </row>
    <row r="818" spans="1:40" x14ac:dyDescent="0.25">
      <c r="A818" t="str">
        <f>"20190312172345736"</f>
        <v>20190312172345736</v>
      </c>
      <c r="B818" t="str">
        <f>"1552382625730222"</f>
        <v>1552382625730222</v>
      </c>
      <c r="C818" t="s">
        <v>40</v>
      </c>
      <c r="D818">
        <v>3.6713529999999999</v>
      </c>
      <c r="E818">
        <v>0.56608649999999905</v>
      </c>
      <c r="F818" t="s">
        <v>41</v>
      </c>
      <c r="G818">
        <v>-279.25760000000002</v>
      </c>
      <c r="H818">
        <v>0.84849259999999904</v>
      </c>
      <c r="I818">
        <v>367.25470000000001</v>
      </c>
      <c r="J818">
        <v>-280.00409999999999</v>
      </c>
      <c r="K818">
        <v>1.0620270000000001</v>
      </c>
      <c r="L818">
        <v>367.42079999999999</v>
      </c>
      <c r="M818">
        <v>0.99988270000000001</v>
      </c>
      <c r="N818">
        <v>0</v>
      </c>
      <c r="O818">
        <v>6.3723219999999997E-3</v>
      </c>
      <c r="P818">
        <v>0.98877769999999998</v>
      </c>
      <c r="Q818">
        <v>0.14938950000000001</v>
      </c>
      <c r="R818">
        <v>-1.234448E-3</v>
      </c>
      <c r="S818">
        <v>3.1387330000000002</v>
      </c>
      <c r="T818">
        <v>-0.70501639999999999</v>
      </c>
      <c r="U818">
        <v>-0.54443359999999996</v>
      </c>
      <c r="V818">
        <v>7.5363139999999997E-3</v>
      </c>
      <c r="W818">
        <v>0.1631457</v>
      </c>
      <c r="X818">
        <v>0.98657320000000004</v>
      </c>
      <c r="Y818">
        <v>0.17284249999999901</v>
      </c>
      <c r="Z818">
        <v>-2.0439860000000001E-2</v>
      </c>
      <c r="AA818">
        <v>0.98473730000000004</v>
      </c>
      <c r="AB818">
        <v>38</v>
      </c>
      <c r="AC818">
        <v>0.74649999999996897</v>
      </c>
      <c r="AD818">
        <v>-0.21353440000000001</v>
      </c>
      <c r="AE818">
        <v>-0.16609999999997099</v>
      </c>
      <c r="AF818">
        <v>0.158497074461147</v>
      </c>
      <c r="AG818">
        <v>-0.21353440000000001</v>
      </c>
      <c r="AH818">
        <v>0.69151362279276896</v>
      </c>
      <c r="AI818">
        <v>106.751158691149</v>
      </c>
      <c r="AJ818">
        <v>77.090607363639904</v>
      </c>
      <c r="AK818">
        <v>0.74088416982959104</v>
      </c>
      <c r="AL818">
        <v>80.610468654810703</v>
      </c>
      <c r="AM818">
        <v>89.562332945257594</v>
      </c>
      <c r="AN818">
        <v>0.99999999720771804</v>
      </c>
    </row>
    <row r="819" spans="1:40" x14ac:dyDescent="0.25">
      <c r="A819" t="str">
        <f>"20190312172345747"</f>
        <v>20190312172345747</v>
      </c>
      <c r="B819" t="str">
        <f>"1552382625740957"</f>
        <v>1552382625740957</v>
      </c>
      <c r="C819" t="s">
        <v>40</v>
      </c>
      <c r="D819">
        <v>3.678712</v>
      </c>
      <c r="E819">
        <v>0.56574480000000005</v>
      </c>
      <c r="F819" t="s">
        <v>41</v>
      </c>
      <c r="G819">
        <v>-279.24</v>
      </c>
      <c r="H819">
        <v>0.89267090000000004</v>
      </c>
      <c r="I819">
        <v>367.28890000000001</v>
      </c>
      <c r="J819">
        <v>-279.81079999999997</v>
      </c>
      <c r="K819">
        <v>1.0624450000000001</v>
      </c>
      <c r="L819">
        <v>367.4221</v>
      </c>
      <c r="M819">
        <v>0.99989609999999995</v>
      </c>
      <c r="N819">
        <v>0</v>
      </c>
      <c r="O819">
        <v>6.3793849999999996E-3</v>
      </c>
      <c r="P819">
        <v>0.98867669999999996</v>
      </c>
      <c r="Q819">
        <v>0.150057</v>
      </c>
      <c r="R819">
        <v>-1.1744629999999999E-3</v>
      </c>
      <c r="S819">
        <v>3.1384889999999999</v>
      </c>
      <c r="T819">
        <v>-0.69576789999999999</v>
      </c>
      <c r="U819">
        <v>-0.54107669999999997</v>
      </c>
      <c r="V819">
        <v>7.4826939999999998E-3</v>
      </c>
      <c r="W819">
        <v>0.16282389999999999</v>
      </c>
      <c r="X819">
        <v>0.98662669999999997</v>
      </c>
      <c r="Y819">
        <v>0.17197019999999999</v>
      </c>
      <c r="Z819">
        <v>-2.0087919999999999E-2</v>
      </c>
      <c r="AA819">
        <v>0.98489729999999998</v>
      </c>
      <c r="AB819">
        <v>38</v>
      </c>
      <c r="AC819">
        <v>0.570799999999962</v>
      </c>
      <c r="AD819">
        <v>-0.16977410000000001</v>
      </c>
      <c r="AE819">
        <v>-0.13319999999998799</v>
      </c>
      <c r="AF819">
        <v>0.12624717895986001</v>
      </c>
      <c r="AG819">
        <v>-0.16977410000000001</v>
      </c>
      <c r="AH819">
        <v>0.52582352891178097</v>
      </c>
      <c r="AI819">
        <v>107.42971585540499</v>
      </c>
      <c r="AJ819">
        <v>76.499163573848904</v>
      </c>
      <c r="AK819">
        <v>0.56679094804290198</v>
      </c>
      <c r="AL819">
        <v>80.629155673752294</v>
      </c>
      <c r="AM819">
        <v>89.565470338565305</v>
      </c>
      <c r="AN819">
        <v>0.99999992913679603</v>
      </c>
    </row>
    <row r="820" spans="1:40" x14ac:dyDescent="0.25">
      <c r="A820" t="str">
        <f>"20190312172345758"</f>
        <v>20190312172345758</v>
      </c>
      <c r="B820" t="str">
        <f>"1552382625750718"</f>
        <v>1552382625750718</v>
      </c>
      <c r="C820" t="s">
        <v>40</v>
      </c>
      <c r="D820">
        <v>3.694858</v>
      </c>
      <c r="E820">
        <v>0.56544240000000001</v>
      </c>
      <c r="F820" t="s">
        <v>41</v>
      </c>
      <c r="G820">
        <v>-278.90809999999999</v>
      </c>
      <c r="H820">
        <v>0.86466559999999903</v>
      </c>
      <c r="I820">
        <v>367.2672</v>
      </c>
      <c r="J820">
        <v>-279.62150000000003</v>
      </c>
      <c r="K820">
        <v>1.062897</v>
      </c>
      <c r="L820">
        <v>367.42329999999998</v>
      </c>
      <c r="M820">
        <v>0.99990979999999996</v>
      </c>
      <c r="N820">
        <v>0</v>
      </c>
      <c r="O820">
        <v>6.3859859999999997E-3</v>
      </c>
      <c r="P820">
        <v>0.98849489999999995</v>
      </c>
      <c r="Q820">
        <v>0.15124799999999999</v>
      </c>
      <c r="R820">
        <v>-1.3086269999999999E-3</v>
      </c>
      <c r="S820">
        <v>3.1380919999999999</v>
      </c>
      <c r="T820">
        <v>-0.68763379999999996</v>
      </c>
      <c r="U820">
        <v>-0.53793329999999995</v>
      </c>
      <c r="V820">
        <v>7.6220100000000002E-3</v>
      </c>
      <c r="W820">
        <v>0.16292039999999999</v>
      </c>
      <c r="X820">
        <v>0.98660979999999998</v>
      </c>
      <c r="Y820">
        <v>0.17115269999999999</v>
      </c>
      <c r="Z820">
        <v>-1.9775959999999999E-2</v>
      </c>
      <c r="AA820">
        <v>0.98504599999999998</v>
      </c>
      <c r="AB820">
        <v>38</v>
      </c>
      <c r="AC820">
        <v>0.71340000000003501</v>
      </c>
      <c r="AD820">
        <v>-0.1982314</v>
      </c>
      <c r="AE820">
        <v>-0.15609999999998</v>
      </c>
      <c r="AF820">
        <v>0.14962785511031901</v>
      </c>
      <c r="AG820">
        <v>-0.1982314</v>
      </c>
      <c r="AH820">
        <v>0.66349981609652597</v>
      </c>
      <c r="AI820">
        <v>106.248619732043</v>
      </c>
      <c r="AJ820">
        <v>77.2916414229461</v>
      </c>
      <c r="AK820">
        <v>0.70846043568501305</v>
      </c>
      <c r="AL820">
        <v>80.623552706481703</v>
      </c>
      <c r="AM820">
        <v>89.557372816758502</v>
      </c>
      <c r="AN820">
        <v>1.0000000246143099</v>
      </c>
    </row>
    <row r="821" spans="1:40" x14ac:dyDescent="0.25">
      <c r="A821" t="str">
        <f>"20190312172345769"</f>
        <v>20190312172345769</v>
      </c>
      <c r="B821" t="str">
        <f>"1552382625760478"</f>
        <v>1552382625760478</v>
      </c>
      <c r="C821" t="s">
        <v>40</v>
      </c>
      <c r="D821">
        <v>3.6959019999999998</v>
      </c>
      <c r="E821">
        <v>0.56510319999999903</v>
      </c>
      <c r="F821" t="s">
        <v>41</v>
      </c>
      <c r="G821">
        <v>-278.89159999999998</v>
      </c>
      <c r="H821">
        <v>0.90517800000000004</v>
      </c>
      <c r="I821">
        <v>367.29860000000002</v>
      </c>
      <c r="J821">
        <v>-279.4477</v>
      </c>
      <c r="K821">
        <v>1.063423</v>
      </c>
      <c r="L821">
        <v>367.42439999999999</v>
      </c>
      <c r="M821">
        <v>0.9999209</v>
      </c>
      <c r="N821">
        <v>0</v>
      </c>
      <c r="O821">
        <v>6.3926139999999996E-3</v>
      </c>
      <c r="P821">
        <v>0.98834630000000001</v>
      </c>
      <c r="Q821">
        <v>0.15221799999999999</v>
      </c>
      <c r="R821">
        <v>-1.0376680000000001E-3</v>
      </c>
      <c r="S821">
        <v>3.1379389999999998</v>
      </c>
      <c r="T821">
        <v>-0.67803760000000002</v>
      </c>
      <c r="U821">
        <v>-0.53564449999999997</v>
      </c>
      <c r="V821">
        <v>7.3566559999999996E-3</v>
      </c>
      <c r="W821">
        <v>0.16291610000000001</v>
      </c>
      <c r="X821">
        <v>0.9866125</v>
      </c>
      <c r="Y821">
        <v>0.17059270000000001</v>
      </c>
      <c r="Z821">
        <v>-1.9450189999999999E-2</v>
      </c>
      <c r="AA821">
        <v>0.98514959999999996</v>
      </c>
      <c r="AB821">
        <v>38</v>
      </c>
      <c r="AC821">
        <v>0.55610000000001403</v>
      </c>
      <c r="AD821">
        <v>-0.158244999999999</v>
      </c>
      <c r="AE821">
        <v>-0.12579999999996899</v>
      </c>
      <c r="AF821">
        <v>0.120100793147778</v>
      </c>
      <c r="AG821">
        <v>-0.158244999999999</v>
      </c>
      <c r="AH821">
        <v>0.51556839094216</v>
      </c>
      <c r="AI821">
        <v>106.64295905201099</v>
      </c>
      <c r="AJ821">
        <v>76.886899824837499</v>
      </c>
      <c r="AK821">
        <v>0.55251827687273203</v>
      </c>
      <c r="AL821">
        <v>80.623802187258704</v>
      </c>
      <c r="AM821">
        <v>89.572783105201594</v>
      </c>
      <c r="AN821">
        <v>1.00000000059148</v>
      </c>
    </row>
    <row r="822" spans="1:40" x14ac:dyDescent="0.25">
      <c r="A822" t="str">
        <f>"20190312172345779"</f>
        <v>20190312172345779</v>
      </c>
      <c r="B822" t="str">
        <f>"1552382625770237"</f>
        <v>1552382625770237</v>
      </c>
      <c r="C822" t="s">
        <v>40</v>
      </c>
      <c r="D822">
        <v>3.6890809999999998</v>
      </c>
      <c r="E822">
        <v>0.56474469999999899</v>
      </c>
      <c r="F822" t="s">
        <v>41</v>
      </c>
      <c r="G822">
        <v>-278.5609</v>
      </c>
      <c r="H822">
        <v>0.87416289999999996</v>
      </c>
      <c r="I822">
        <v>367.27390000000003</v>
      </c>
      <c r="J822">
        <v>-279.24619999999999</v>
      </c>
      <c r="K822">
        <v>1.064073</v>
      </c>
      <c r="L822">
        <v>367.42579999999998</v>
      </c>
      <c r="M822">
        <v>0.9999325</v>
      </c>
      <c r="N822">
        <v>0</v>
      </c>
      <c r="O822">
        <v>6.4001219999999899E-3</v>
      </c>
      <c r="P822">
        <v>0.98818019999999995</v>
      </c>
      <c r="Q822">
        <v>0.1532935</v>
      </c>
      <c r="R822">
        <v>-1.2226190000000001E-3</v>
      </c>
      <c r="S822">
        <v>3.1379700000000001</v>
      </c>
      <c r="T822">
        <v>-0.66972349999999903</v>
      </c>
      <c r="U822">
        <v>-0.53228759999999997</v>
      </c>
      <c r="V822">
        <v>7.5479149999999997E-3</v>
      </c>
      <c r="W822">
        <v>0.1628743</v>
      </c>
      <c r="X822">
        <v>0.98661799999999999</v>
      </c>
      <c r="Y822">
        <v>0.1696888</v>
      </c>
      <c r="Z822">
        <v>-1.912517E-2</v>
      </c>
      <c r="AA822">
        <v>0.98531210000000002</v>
      </c>
      <c r="AB822">
        <v>39</v>
      </c>
      <c r="AC822">
        <v>0.68529999999998303</v>
      </c>
      <c r="AD822">
        <v>-0.1899101</v>
      </c>
      <c r="AE822">
        <v>-0.15189999999995499</v>
      </c>
      <c r="AF822">
        <v>0.14562359991673299</v>
      </c>
      <c r="AG822">
        <v>-0.1899101</v>
      </c>
      <c r="AH822">
        <v>0.63763920146241804</v>
      </c>
      <c r="AI822">
        <v>106.191041126485</v>
      </c>
      <c r="AJ822">
        <v>77.135460004298196</v>
      </c>
      <c r="AK822">
        <v>0.68106962212122502</v>
      </c>
      <c r="AL822">
        <v>80.626229976201998</v>
      </c>
      <c r="AM822">
        <v>89.561679153438902</v>
      </c>
      <c r="AN822">
        <v>1.0000000432726599</v>
      </c>
    </row>
    <row r="823" spans="1:40" x14ac:dyDescent="0.25">
      <c r="A823" t="str">
        <f>"20190312172345791"</f>
        <v>20190312172345791</v>
      </c>
      <c r="B823" t="str">
        <f>"1552382625780973"</f>
        <v>1552382625780973</v>
      </c>
      <c r="C823" t="s">
        <v>40</v>
      </c>
      <c r="D823">
        <v>3.696421</v>
      </c>
      <c r="E823">
        <v>0.56441129999999995</v>
      </c>
      <c r="F823" t="s">
        <v>41</v>
      </c>
      <c r="G823">
        <v>-278.54349999999999</v>
      </c>
      <c r="H823">
        <v>0.91598559999999996</v>
      </c>
      <c r="I823">
        <v>367.30689999999998</v>
      </c>
      <c r="J823">
        <v>-279.05059999999997</v>
      </c>
      <c r="K823">
        <v>1.064819</v>
      </c>
      <c r="L823">
        <v>367.4271</v>
      </c>
      <c r="M823">
        <v>0.99994159999999999</v>
      </c>
      <c r="N823">
        <v>0</v>
      </c>
      <c r="O823">
        <v>6.4080589999999998E-3</v>
      </c>
      <c r="P823">
        <v>0.9880196</v>
      </c>
      <c r="Q823">
        <v>0.15432489999999999</v>
      </c>
      <c r="R823">
        <v>-1.2225059999999999E-3</v>
      </c>
      <c r="S823">
        <v>3.1377869999999999</v>
      </c>
      <c r="T823">
        <v>-0.66118859999999902</v>
      </c>
      <c r="U823">
        <v>-0.53005979999999997</v>
      </c>
      <c r="V823">
        <v>7.5547929999999998E-3</v>
      </c>
      <c r="W823">
        <v>0.1629246</v>
      </c>
      <c r="X823">
        <v>0.98660959999999998</v>
      </c>
      <c r="Y823">
        <v>0.16913329999999999</v>
      </c>
      <c r="Z823">
        <v>-1.883288E-2</v>
      </c>
      <c r="AA823">
        <v>0.98541330000000005</v>
      </c>
      <c r="AB823">
        <v>39</v>
      </c>
      <c r="AC823">
        <v>0.50709999999997901</v>
      </c>
      <c r="AD823">
        <v>-0.14883339999999901</v>
      </c>
      <c r="AE823">
        <v>-0.12020000000001101</v>
      </c>
      <c r="AF823">
        <v>0.114138153160636</v>
      </c>
      <c r="AG823">
        <v>-0.14883339999999901</v>
      </c>
      <c r="AH823">
        <v>0.46813827692326299</v>
      </c>
      <c r="AI823">
        <v>107.164772467666</v>
      </c>
      <c r="AJ823">
        <v>76.2978809903762</v>
      </c>
      <c r="AK823">
        <v>0.50431373695663195</v>
      </c>
      <c r="AL823">
        <v>80.623308586702706</v>
      </c>
      <c r="AM823">
        <v>89.561276016231901</v>
      </c>
      <c r="AN823">
        <v>1.0000000014972901</v>
      </c>
    </row>
    <row r="824" spans="1:40" x14ac:dyDescent="0.25">
      <c r="A824" t="str">
        <f>"20190312172345814"</f>
        <v>20190312172345814</v>
      </c>
      <c r="B824" t="str">
        <f>"1552382625800494"</f>
        <v>1552382625800494</v>
      </c>
      <c r="C824" t="s">
        <v>40</v>
      </c>
      <c r="D824">
        <v>3.6934680000000002</v>
      </c>
      <c r="E824">
        <v>0.56376630000000005</v>
      </c>
      <c r="F824" t="s">
        <v>41</v>
      </c>
      <c r="G824">
        <v>-278.21140000000003</v>
      </c>
      <c r="H824">
        <v>0.89021360000000005</v>
      </c>
      <c r="I824">
        <v>367.28579999999999</v>
      </c>
      <c r="J824">
        <v>-278.6825</v>
      </c>
      <c r="K824">
        <v>1.0663069999999999</v>
      </c>
      <c r="L824">
        <v>367.42939999999999</v>
      </c>
      <c r="M824">
        <v>0.99995529999999999</v>
      </c>
      <c r="N824">
        <v>0</v>
      </c>
      <c r="O824">
        <v>6.4239919999999999E-3</v>
      </c>
      <c r="P824">
        <v>0.98775659999999998</v>
      </c>
      <c r="Q824">
        <v>0.1559971</v>
      </c>
      <c r="R824">
        <v>-1.2386960000000001E-3</v>
      </c>
      <c r="S824">
        <v>3.137756</v>
      </c>
      <c r="T824">
        <v>-0.65292629999999996</v>
      </c>
      <c r="U824">
        <v>-0.52706909999999996</v>
      </c>
      <c r="V824">
        <v>7.5853209999999999E-3</v>
      </c>
      <c r="W824">
        <v>0.16284089999999901</v>
      </c>
      <c r="X824">
        <v>0.98662320000000003</v>
      </c>
      <c r="Y824">
        <v>0.16834460000000001</v>
      </c>
      <c r="Z824">
        <v>-1.8526600000000001E-2</v>
      </c>
      <c r="AA824">
        <v>0.98555409999999999</v>
      </c>
      <c r="AB824">
        <v>39</v>
      </c>
      <c r="AC824">
        <v>0.47109999999997798</v>
      </c>
      <c r="AD824">
        <v>-0.17609339999999901</v>
      </c>
      <c r="AE824">
        <v>-0.14359999999999201</v>
      </c>
      <c r="AF824">
        <v>0.13000353041069901</v>
      </c>
      <c r="AG824">
        <v>-0.17609339999999901</v>
      </c>
      <c r="AH824">
        <v>0.416873762129507</v>
      </c>
      <c r="AI824">
        <v>111.962252102127</v>
      </c>
      <c r="AJ824">
        <v>72.679729190731194</v>
      </c>
      <c r="AK824">
        <v>0.47084343150862201</v>
      </c>
      <c r="AL824">
        <v>80.628169303586205</v>
      </c>
      <c r="AM824">
        <v>89.559509327410296</v>
      </c>
      <c r="AN824">
        <v>1.00000001729286</v>
      </c>
    </row>
    <row r="825" spans="1:40" x14ac:dyDescent="0.25">
      <c r="A825" t="str">
        <f>"20190312172345826"</f>
        <v>20190312172345826</v>
      </c>
      <c r="B825" t="str">
        <f>"1552382625820990"</f>
        <v>1552382625820990</v>
      </c>
      <c r="C825" t="s">
        <v>40</v>
      </c>
      <c r="D825">
        <v>3.7174339999999999</v>
      </c>
      <c r="E825">
        <v>0.56317390000000001</v>
      </c>
      <c r="F825" t="s">
        <v>41</v>
      </c>
      <c r="G825">
        <v>-277.86399999999998</v>
      </c>
      <c r="H825">
        <v>0.89992249999999996</v>
      </c>
      <c r="I825">
        <v>367.29309999999998</v>
      </c>
      <c r="J825">
        <v>-278.46409999999997</v>
      </c>
      <c r="K825">
        <v>1.0672759999999999</v>
      </c>
      <c r="L825">
        <v>367.43079999999998</v>
      </c>
      <c r="M825">
        <v>0.99996070000000004</v>
      </c>
      <c r="N825">
        <v>0</v>
      </c>
      <c r="O825">
        <v>6.4335719999999898E-3</v>
      </c>
      <c r="P825">
        <v>0.98759779999999997</v>
      </c>
      <c r="Q825">
        <v>0.15699979999999999</v>
      </c>
      <c r="R825">
        <v>-1.344804E-3</v>
      </c>
      <c r="S825">
        <v>3.1372680000000002</v>
      </c>
      <c r="T825">
        <v>-0.63778020000000002</v>
      </c>
      <c r="U825">
        <v>-0.52233890000000005</v>
      </c>
      <c r="V825">
        <v>7.6998199999999996E-3</v>
      </c>
      <c r="W825">
        <v>0.16302249999999999</v>
      </c>
      <c r="X825">
        <v>0.98659229999999998</v>
      </c>
      <c r="Y825">
        <v>0.16712089999999999</v>
      </c>
      <c r="Z825">
        <v>-1.798986E-2</v>
      </c>
      <c r="AA825">
        <v>0.98577230000000005</v>
      </c>
      <c r="AB825">
        <v>39</v>
      </c>
      <c r="AC825">
        <v>0.60009999999994001</v>
      </c>
      <c r="AD825">
        <v>-0.16735349999999999</v>
      </c>
      <c r="AE825">
        <v>-0.13769999999999499</v>
      </c>
      <c r="AF825">
        <v>0.13181898943185799</v>
      </c>
      <c r="AG825">
        <v>-0.16735349999999999</v>
      </c>
      <c r="AH825">
        <v>0.55797731423038399</v>
      </c>
      <c r="AI825">
        <v>106.27220509711501</v>
      </c>
      <c r="AJ825">
        <v>76.707902669362397</v>
      </c>
      <c r="AK825">
        <v>0.59726218960590405</v>
      </c>
      <c r="AL825">
        <v>80.6176232548587</v>
      </c>
      <c r="AM825">
        <v>89.552846467347194</v>
      </c>
      <c r="AN825">
        <v>0.99999999457678601</v>
      </c>
    </row>
    <row r="826" spans="1:40" x14ac:dyDescent="0.25">
      <c r="A826" t="str">
        <f>"20190312172345847"</f>
        <v>20190312172345847</v>
      </c>
      <c r="B826" t="str">
        <f>"1552382625840510"</f>
        <v>1552382625840510</v>
      </c>
      <c r="C826" t="s">
        <v>40</v>
      </c>
      <c r="D826">
        <v>3.7325050000000002</v>
      </c>
      <c r="E826">
        <v>0.5624207</v>
      </c>
      <c r="F826" t="s">
        <v>41</v>
      </c>
      <c r="G826">
        <v>-277.53019999999998</v>
      </c>
      <c r="H826">
        <v>0.88112590000000002</v>
      </c>
      <c r="I826">
        <v>367.27620000000002</v>
      </c>
      <c r="J826">
        <v>-278.10939999999999</v>
      </c>
      <c r="K826">
        <v>1.0691299999999999</v>
      </c>
      <c r="L826">
        <v>367.43310000000002</v>
      </c>
      <c r="M826">
        <v>0.99996419999999997</v>
      </c>
      <c r="N826">
        <v>0</v>
      </c>
      <c r="O826">
        <v>6.4501640000000004E-3</v>
      </c>
      <c r="P826">
        <v>0.98749819999999999</v>
      </c>
      <c r="Q826">
        <v>0.15762429999999999</v>
      </c>
      <c r="R826">
        <v>-1.364777E-3</v>
      </c>
      <c r="S826">
        <v>3.1363530000000002</v>
      </c>
      <c r="T826">
        <v>-0.62528149999999905</v>
      </c>
      <c r="U826">
        <v>-0.51818850000000005</v>
      </c>
      <c r="V826">
        <v>7.7358669999999996E-3</v>
      </c>
      <c r="W826">
        <v>0.16303380000000001</v>
      </c>
      <c r="X826">
        <v>0.98659010000000003</v>
      </c>
      <c r="Y826">
        <v>0.1660642</v>
      </c>
      <c r="Z826">
        <v>-1.7550489999999998E-2</v>
      </c>
      <c r="AA826">
        <v>0.98595880000000002</v>
      </c>
      <c r="AB826">
        <v>39</v>
      </c>
      <c r="AC826">
        <v>0.57920000000001404</v>
      </c>
      <c r="AD826">
        <v>-0.18800409999999901</v>
      </c>
      <c r="AE826">
        <v>-0.15690000000000701</v>
      </c>
      <c r="AF826">
        <v>0.146274768372889</v>
      </c>
      <c r="AG826">
        <v>-0.18800409999999901</v>
      </c>
      <c r="AH826">
        <v>0.52649636314092496</v>
      </c>
      <c r="AI826">
        <v>108.985969034831</v>
      </c>
      <c r="AJ826">
        <v>74.473284644075704</v>
      </c>
      <c r="AK826">
        <v>0.57787565261046703</v>
      </c>
      <c r="AL826">
        <v>80.616966559107198</v>
      </c>
      <c r="AM826">
        <v>89.550752184949502</v>
      </c>
      <c r="AN826">
        <v>0.99999994449934404</v>
      </c>
    </row>
    <row r="827" spans="1:40" x14ac:dyDescent="0.25">
      <c r="A827" t="str">
        <f>"20190312172345858"</f>
        <v>20190312172345858</v>
      </c>
      <c r="B827" t="str">
        <f>"1552382625850270"</f>
        <v>1552382625850270</v>
      </c>
      <c r="C827" t="s">
        <v>40</v>
      </c>
      <c r="D827">
        <v>3.7033999999999998</v>
      </c>
      <c r="E827">
        <v>0.5624207</v>
      </c>
      <c r="F827" t="s">
        <v>41</v>
      </c>
      <c r="G827">
        <v>-277.18819999999999</v>
      </c>
      <c r="H827">
        <v>0.88879909999999995</v>
      </c>
      <c r="I827">
        <v>367.2826</v>
      </c>
      <c r="J827">
        <v>-277.92239999999998</v>
      </c>
      <c r="K827">
        <v>1.0703049999999901</v>
      </c>
      <c r="L827">
        <v>367.43430000000001</v>
      </c>
      <c r="M827">
        <v>0.99996410000000002</v>
      </c>
      <c r="N827">
        <v>0</v>
      </c>
      <c r="O827">
        <v>6.4595679999999997E-3</v>
      </c>
      <c r="P827">
        <v>0.98750760000000004</v>
      </c>
      <c r="Q827">
        <v>0.1575648</v>
      </c>
      <c r="R827">
        <v>-1.444126E-3</v>
      </c>
      <c r="S827">
        <v>3.135284</v>
      </c>
      <c r="T827">
        <v>-0.61381009999999903</v>
      </c>
      <c r="U827">
        <v>-0.51232909999999998</v>
      </c>
      <c r="V827">
        <v>7.8246210000000004E-3</v>
      </c>
      <c r="W827">
        <v>0.16297819999999999</v>
      </c>
      <c r="X827">
        <v>0.98659859999999999</v>
      </c>
      <c r="Y827">
        <v>0.16447819999999999</v>
      </c>
      <c r="Z827">
        <v>-1.709165E-2</v>
      </c>
      <c r="AA827">
        <v>0.98623260000000001</v>
      </c>
      <c r="AB827">
        <v>38</v>
      </c>
      <c r="AC827">
        <v>0.73419999999998697</v>
      </c>
      <c r="AD827">
        <v>-0.181505899999999</v>
      </c>
      <c r="AE827">
        <v>-0.151700000000005</v>
      </c>
      <c r="AF827">
        <v>0.14777776493867101</v>
      </c>
      <c r="AG827">
        <v>-0.181505899999999</v>
      </c>
      <c r="AH827">
        <v>0.69260861017375297</v>
      </c>
      <c r="AI827">
        <v>104.375061031877</v>
      </c>
      <c r="AJ827">
        <v>77.955742586166906</v>
      </c>
      <c r="AK827">
        <v>0.73108778298635002</v>
      </c>
      <c r="AL827">
        <v>80.620195517253606</v>
      </c>
      <c r="AM827">
        <v>89.545602071274303</v>
      </c>
      <c r="AN827">
        <v>0.99999995794549501</v>
      </c>
    </row>
    <row r="828" spans="1:40" x14ac:dyDescent="0.25">
      <c r="A828" t="str">
        <f>"20190312172345869"</f>
        <v>20190312172345869</v>
      </c>
      <c r="B828" t="str">
        <f>"1552382625861006"</f>
        <v>1552382625861006</v>
      </c>
      <c r="C828" t="s">
        <v>40</v>
      </c>
      <c r="D828">
        <v>3.736313</v>
      </c>
      <c r="E828">
        <v>0.52240059999999999</v>
      </c>
      <c r="F828" t="s">
        <v>41</v>
      </c>
      <c r="G828">
        <v>-277.1739</v>
      </c>
      <c r="H828">
        <v>0.92372940000000003</v>
      </c>
      <c r="I828">
        <v>367.31200000000001</v>
      </c>
      <c r="J828">
        <v>-277.72030000000001</v>
      </c>
      <c r="K828">
        <v>1.0717049999999999</v>
      </c>
      <c r="L828">
        <v>367.43560000000002</v>
      </c>
      <c r="M828">
        <v>0.99996370000000001</v>
      </c>
      <c r="N828">
        <v>0</v>
      </c>
      <c r="O828">
        <v>6.4687729999999997E-3</v>
      </c>
      <c r="P828">
        <v>0.98752090000000003</v>
      </c>
      <c r="Q828">
        <v>0.15748280000000001</v>
      </c>
      <c r="R828">
        <v>-1.3581000000000001E-3</v>
      </c>
      <c r="S828">
        <v>3.1351619999999998</v>
      </c>
      <c r="T828">
        <v>-0.61402190000000001</v>
      </c>
      <c r="U828">
        <v>-0.51223750000000001</v>
      </c>
      <c r="V828">
        <v>7.7478750000000004E-3</v>
      </c>
      <c r="W828">
        <v>0.16297120000000001</v>
      </c>
      <c r="X828">
        <v>0.98660040000000004</v>
      </c>
      <c r="Y828">
        <v>0.164463</v>
      </c>
      <c r="Z828">
        <v>-1.7098439999999999E-2</v>
      </c>
      <c r="AA828">
        <v>0.98623499999999997</v>
      </c>
      <c r="AB828">
        <v>38</v>
      </c>
      <c r="AC828">
        <v>0.54640000000000499</v>
      </c>
      <c r="AD828">
        <v>-0.14797559999999901</v>
      </c>
      <c r="AE828">
        <v>-0.123600000000067</v>
      </c>
      <c r="AF828">
        <v>0.11884019775846801</v>
      </c>
      <c r="AG828">
        <v>-0.14797559999999901</v>
      </c>
      <c r="AH828">
        <v>0.51000458944011995</v>
      </c>
      <c r="AI828">
        <v>105.778990785407</v>
      </c>
      <c r="AJ828">
        <v>76.883118790408204</v>
      </c>
      <c r="AK828">
        <v>0.54417318203731502</v>
      </c>
      <c r="AL828">
        <v>80.620602377438402</v>
      </c>
      <c r="AM828">
        <v>89.5500595658348</v>
      </c>
      <c r="AN828">
        <v>0.99999999543830698</v>
      </c>
    </row>
    <row r="829" spans="1:40" x14ac:dyDescent="0.25">
      <c r="A829" t="str">
        <f>"20190312172345880"</f>
        <v>20190312172345880</v>
      </c>
      <c r="B829" t="str">
        <f>"1552382625870766"</f>
        <v>1552382625870766</v>
      </c>
      <c r="C829" t="s">
        <v>40</v>
      </c>
      <c r="D829">
        <v>3.7017120000000001</v>
      </c>
      <c r="E829">
        <v>0.52165059999999996</v>
      </c>
      <c r="F829" t="s">
        <v>43</v>
      </c>
      <c r="G829">
        <v>-252.2431</v>
      </c>
      <c r="H829" s="1">
        <v>-3.9748459999999996E-6</v>
      </c>
      <c r="I829">
        <v>365.8682</v>
      </c>
      <c r="J829">
        <v>-277.5283</v>
      </c>
      <c r="K829">
        <v>1.073086</v>
      </c>
      <c r="L829">
        <v>367.43689999999998</v>
      </c>
      <c r="M829">
        <v>0.99996309999999999</v>
      </c>
      <c r="N829">
        <v>0</v>
      </c>
      <c r="O829">
        <v>6.477554E-3</v>
      </c>
      <c r="P829">
        <v>0.98754790000000003</v>
      </c>
      <c r="Q829">
        <v>0.1573128</v>
      </c>
      <c r="R829">
        <v>-1.437834E-3</v>
      </c>
      <c r="S829">
        <v>3.0581670000000001</v>
      </c>
      <c r="T829">
        <v>-0.1286426</v>
      </c>
      <c r="U829">
        <v>-0.1881409</v>
      </c>
      <c r="V829">
        <v>7.8363219999999997E-3</v>
      </c>
      <c r="W829">
        <v>0.16289970000000001</v>
      </c>
      <c r="X829">
        <v>0.98661149999999997</v>
      </c>
      <c r="Y829">
        <v>6.7803409999999995E-2</v>
      </c>
      <c r="Z829">
        <v>-1.6962279999999999E-3</v>
      </c>
      <c r="AA829">
        <v>0.99769719999999995</v>
      </c>
      <c r="AB829">
        <v>38</v>
      </c>
      <c r="AC829">
        <v>25.2852</v>
      </c>
      <c r="AD829">
        <v>-1.0730899748460001</v>
      </c>
      <c r="AE829">
        <v>-1.56869999999997</v>
      </c>
      <c r="AF829">
        <v>1.7293531370511701</v>
      </c>
      <c r="AG829">
        <v>-1.0730899748460001</v>
      </c>
      <c r="AH829">
        <v>25.229241678278399</v>
      </c>
      <c r="AI829">
        <v>92.429831901814694</v>
      </c>
      <c r="AJ829">
        <v>86.078760893737098</v>
      </c>
      <c r="AK829">
        <v>25.311199498003301</v>
      </c>
      <c r="AL829">
        <v>80.624754423134505</v>
      </c>
      <c r="AM829">
        <v>89.544928539493597</v>
      </c>
      <c r="AN829">
        <v>0.99999998606741303</v>
      </c>
    </row>
    <row r="830" spans="1:40" x14ac:dyDescent="0.25">
      <c r="A830" t="str">
        <f>"20190312172345892"</f>
        <v>20190312172345892</v>
      </c>
      <c r="B830" t="str">
        <f>"1552382625880528"</f>
        <v>1552382625880528</v>
      </c>
      <c r="C830" t="s">
        <v>40</v>
      </c>
      <c r="D830">
        <v>3.759258</v>
      </c>
      <c r="E830">
        <v>0.52128409999999903</v>
      </c>
      <c r="F830" t="s">
        <v>43</v>
      </c>
      <c r="G830">
        <v>-250.86240000000001</v>
      </c>
      <c r="H830" s="1">
        <v>-4.5709279999999996E-6</v>
      </c>
      <c r="I830">
        <v>365.84719999999999</v>
      </c>
      <c r="J830">
        <v>-277.34640000000002</v>
      </c>
      <c r="K830">
        <v>1.074451</v>
      </c>
      <c r="L830">
        <v>367.43799999999999</v>
      </c>
      <c r="M830">
        <v>0.99996350000000001</v>
      </c>
      <c r="N830">
        <v>0</v>
      </c>
      <c r="O830">
        <v>6.4854769999999999E-3</v>
      </c>
      <c r="P830">
        <v>0.98751440000000001</v>
      </c>
      <c r="Q830">
        <v>0.1575242</v>
      </c>
      <c r="R830">
        <v>-1.3497139999999999E-3</v>
      </c>
      <c r="S830">
        <v>3.0571290000000002</v>
      </c>
      <c r="T830">
        <v>-0.1230247</v>
      </c>
      <c r="U830">
        <v>-0.182251</v>
      </c>
      <c r="V830">
        <v>7.7555660000000002E-3</v>
      </c>
      <c r="W830">
        <v>0.16305120000000001</v>
      </c>
      <c r="X830">
        <v>0.98658710000000005</v>
      </c>
      <c r="Y830">
        <v>6.5923869999999996E-2</v>
      </c>
      <c r="Z830">
        <v>-1.585407E-3</v>
      </c>
      <c r="AA830">
        <v>0.99782340000000003</v>
      </c>
      <c r="AB830">
        <v>38</v>
      </c>
      <c r="AC830">
        <v>26.484000000000002</v>
      </c>
      <c r="AD830">
        <v>-1.0744555709279999</v>
      </c>
      <c r="AE830">
        <v>-1.59080000000005</v>
      </c>
      <c r="AF830">
        <v>1.75964474338855</v>
      </c>
      <c r="AG830">
        <v>-1.0744555709279999</v>
      </c>
      <c r="AH830">
        <v>26.429780722050602</v>
      </c>
      <c r="AI830">
        <v>92.322838950940493</v>
      </c>
      <c r="AJ830">
        <v>86.190976893835398</v>
      </c>
      <c r="AK830">
        <v>26.510075696091601</v>
      </c>
      <c r="AL830">
        <v>80.615956373227405</v>
      </c>
      <c r="AM830">
        <v>89.549606875342704</v>
      </c>
      <c r="AN830">
        <v>0.99999997425591403</v>
      </c>
    </row>
    <row r="831" spans="1:40" x14ac:dyDescent="0.25">
      <c r="A831" t="str">
        <f>"20190312172345903"</f>
        <v>20190312172345903</v>
      </c>
      <c r="B831" t="str">
        <f>"1552382625901021"</f>
        <v>1552382625901021</v>
      </c>
      <c r="C831" t="s">
        <v>40</v>
      </c>
      <c r="D831">
        <v>3.7137180000000001</v>
      </c>
      <c r="E831">
        <v>0.52056349999999996</v>
      </c>
      <c r="F831" t="s">
        <v>43</v>
      </c>
      <c r="G831">
        <v>-250.19730000000001</v>
      </c>
      <c r="H831" s="1">
        <v>-4.8565629999999998E-6</v>
      </c>
      <c r="I831">
        <v>365.84519999999998</v>
      </c>
      <c r="J831">
        <v>-277.1404</v>
      </c>
      <c r="K831">
        <v>1.076017</v>
      </c>
      <c r="L831">
        <v>367.43939999999998</v>
      </c>
      <c r="M831">
        <v>0.99996359999999995</v>
      </c>
      <c r="N831">
        <v>0</v>
      </c>
      <c r="O831">
        <v>6.4945899999999997E-3</v>
      </c>
      <c r="P831">
        <v>0.98753230000000003</v>
      </c>
      <c r="Q831">
        <v>0.15741189999999999</v>
      </c>
      <c r="R831">
        <v>-1.234794E-3</v>
      </c>
      <c r="S831">
        <v>3.057007</v>
      </c>
      <c r="T831">
        <v>-0.1209841</v>
      </c>
      <c r="U831">
        <v>-0.17935179999999901</v>
      </c>
      <c r="V831">
        <v>7.6496589999999996E-3</v>
      </c>
      <c r="W831">
        <v>0.1628588</v>
      </c>
      <c r="X831">
        <v>0.98661969999999999</v>
      </c>
      <c r="Y831">
        <v>6.4994919999999998E-2</v>
      </c>
      <c r="Z831">
        <v>-1.5412360000000001E-3</v>
      </c>
      <c r="AA831">
        <v>0.9978844</v>
      </c>
      <c r="AB831">
        <v>38</v>
      </c>
      <c r="AC831">
        <v>26.943099999999902</v>
      </c>
      <c r="AD831">
        <v>-1.076021856563</v>
      </c>
      <c r="AE831">
        <v>-1.5942000000000001</v>
      </c>
      <c r="AF831">
        <v>1.76634603914626</v>
      </c>
      <c r="AG831">
        <v>-1.076021856563</v>
      </c>
      <c r="AH831">
        <v>26.8894402294621</v>
      </c>
      <c r="AI831">
        <v>92.286632195649204</v>
      </c>
      <c r="AJ831">
        <v>86.241685200717697</v>
      </c>
      <c r="AK831">
        <v>26.968867184581999</v>
      </c>
      <c r="AL831">
        <v>80.627129378513899</v>
      </c>
      <c r="AM831">
        <v>89.555771699033301</v>
      </c>
      <c r="AN831">
        <v>0.999999969224172</v>
      </c>
    </row>
    <row r="832" spans="1:40" x14ac:dyDescent="0.25">
      <c r="A832" t="str">
        <f>"20190312172345916"</f>
        <v>20190312172345916</v>
      </c>
      <c r="B832" t="str">
        <f>"1552382625910782"</f>
        <v>1552382625910782</v>
      </c>
      <c r="C832" t="s">
        <v>40</v>
      </c>
      <c r="D832">
        <v>3.7176070000000001</v>
      </c>
      <c r="E832">
        <v>0.52057759999999997</v>
      </c>
      <c r="F832" t="s">
        <v>43</v>
      </c>
      <c r="G832">
        <v>-248.65110000000001</v>
      </c>
      <c r="H832" s="1">
        <v>-1.511044E-6</v>
      </c>
      <c r="I832">
        <v>365.82490000000001</v>
      </c>
      <c r="J832">
        <v>-276.92020000000002</v>
      </c>
      <c r="K832">
        <v>1.077742</v>
      </c>
      <c r="L832">
        <v>367.44080000000002</v>
      </c>
      <c r="M832">
        <v>0.99996439999999998</v>
      </c>
      <c r="N832">
        <v>0</v>
      </c>
      <c r="O832">
        <v>6.5038839999999997E-3</v>
      </c>
      <c r="P832">
        <v>0.98750649999999995</v>
      </c>
      <c r="Q832">
        <v>0.15757380000000001</v>
      </c>
      <c r="R832">
        <v>-1.272383E-3</v>
      </c>
      <c r="S832">
        <v>3.0560610000000001</v>
      </c>
      <c r="T832">
        <v>-0.1154251</v>
      </c>
      <c r="U832">
        <v>-0.17318729999999999</v>
      </c>
      <c r="V832">
        <v>7.6957769999999896E-3</v>
      </c>
      <c r="W832">
        <v>0.1628955</v>
      </c>
      <c r="X832">
        <v>0.98661330000000003</v>
      </c>
      <c r="Y832">
        <v>6.3022259999999997E-2</v>
      </c>
      <c r="Z832">
        <v>-1.434151E-3</v>
      </c>
      <c r="AA832">
        <v>0.99801110000000004</v>
      </c>
      <c r="AB832">
        <v>38</v>
      </c>
      <c r="AC832">
        <v>28.269100000000002</v>
      </c>
      <c r="AD832">
        <v>-1.0777435110439999</v>
      </c>
      <c r="AE832">
        <v>-1.6159000000000101</v>
      </c>
      <c r="AF832">
        <v>1.7971238623197401</v>
      </c>
      <c r="AG832">
        <v>-1.0777435110439999</v>
      </c>
      <c r="AH832">
        <v>28.217113066800799</v>
      </c>
      <c r="AI832">
        <v>92.182912029129199</v>
      </c>
      <c r="AJ832">
        <v>86.355802685245294</v>
      </c>
      <c r="AK832">
        <v>28.294816752839001</v>
      </c>
      <c r="AL832">
        <v>80.624998325582695</v>
      </c>
      <c r="AM832">
        <v>89.553090760201201</v>
      </c>
      <c r="AN832">
        <v>0.999999986320386</v>
      </c>
    </row>
    <row r="833" spans="1:40" x14ac:dyDescent="0.25">
      <c r="A833" t="str">
        <f>"20190312172345929"</f>
        <v>20190312172345929</v>
      </c>
      <c r="B833" t="str">
        <f>"1552382625920543"</f>
        <v>1552382625920543</v>
      </c>
      <c r="C833" t="s">
        <v>40</v>
      </c>
      <c r="D833">
        <v>3.7109839999999998</v>
      </c>
      <c r="E833">
        <v>0.52037929999999999</v>
      </c>
      <c r="F833" t="s">
        <v>43</v>
      </c>
      <c r="G833">
        <v>-247.93350000000001</v>
      </c>
      <c r="H833" s="1">
        <v>-1.7945419999999901E-6</v>
      </c>
      <c r="I833">
        <v>365.79509999999999</v>
      </c>
      <c r="J833">
        <v>-276.7038</v>
      </c>
      <c r="K833">
        <v>1.0794680000000001</v>
      </c>
      <c r="L833">
        <v>367.44220000000001</v>
      </c>
      <c r="M833">
        <v>0.99996490000000005</v>
      </c>
      <c r="N833">
        <v>0</v>
      </c>
      <c r="O833">
        <v>6.5126849999999998E-3</v>
      </c>
      <c r="P833">
        <v>0.98750740000000004</v>
      </c>
      <c r="Q833">
        <v>0.15756989999999901</v>
      </c>
      <c r="R833">
        <v>-1.220949E-3</v>
      </c>
      <c r="S833">
        <v>3.0558169999999998</v>
      </c>
      <c r="T833">
        <v>-0.1136171</v>
      </c>
      <c r="U833">
        <v>-0.17349239999999999</v>
      </c>
      <c r="V833">
        <v>7.6528689999999996E-3</v>
      </c>
      <c r="W833">
        <v>0.16281309999999999</v>
      </c>
      <c r="X833">
        <v>0.98662720000000004</v>
      </c>
      <c r="Y833">
        <v>6.3136349999999994E-2</v>
      </c>
      <c r="Z833">
        <v>-1.414256E-3</v>
      </c>
      <c r="AA833">
        <v>0.99800390000000005</v>
      </c>
      <c r="AB833">
        <v>38</v>
      </c>
      <c r="AC833">
        <v>28.770299999999899</v>
      </c>
      <c r="AD833">
        <v>-1.079469794542</v>
      </c>
      <c r="AE833">
        <v>-1.64710000000002</v>
      </c>
      <c r="AF833">
        <v>1.8318691433226499</v>
      </c>
      <c r="AG833">
        <v>-1.079469794542</v>
      </c>
      <c r="AH833">
        <v>28.718665391484699</v>
      </c>
      <c r="AI833">
        <v>92.148243828923995</v>
      </c>
      <c r="AJ833">
        <v>86.3502354298097</v>
      </c>
      <c r="AK833">
        <v>28.7972696876569</v>
      </c>
      <c r="AL833">
        <v>80.629783051878206</v>
      </c>
      <c r="AM833">
        <v>89.555588674671796</v>
      </c>
      <c r="AN833">
        <v>0.99999995185768897</v>
      </c>
    </row>
    <row r="834" spans="1:40" x14ac:dyDescent="0.25">
      <c r="A834" t="str">
        <f>"20190312172345947"</f>
        <v>20190312172345947</v>
      </c>
      <c r="B834" t="str">
        <f>"1552382625941038"</f>
        <v>1552382625941038</v>
      </c>
      <c r="C834" t="s">
        <v>40</v>
      </c>
      <c r="D834">
        <v>3.732399</v>
      </c>
      <c r="E834">
        <v>0.52055399999999996</v>
      </c>
      <c r="F834" t="s">
        <v>43</v>
      </c>
      <c r="G834">
        <v>-247.53</v>
      </c>
      <c r="H834" s="1">
        <v>-1.9471989999999999E-6</v>
      </c>
      <c r="I834">
        <v>365.80360000000002</v>
      </c>
      <c r="J834">
        <v>-276.38679999999999</v>
      </c>
      <c r="K834">
        <v>1.0820190000000001</v>
      </c>
      <c r="L834">
        <v>367.4443</v>
      </c>
      <c r="M834">
        <v>0.99996470000000004</v>
      </c>
      <c r="N834">
        <v>0</v>
      </c>
      <c r="O834">
        <v>6.5263350000000003E-3</v>
      </c>
      <c r="P834">
        <v>0.98747669999999999</v>
      </c>
      <c r="Q834">
        <v>0.1577607</v>
      </c>
      <c r="R834">
        <v>-1.2333699999999999E-3</v>
      </c>
      <c r="S834">
        <v>3.0558169999999998</v>
      </c>
      <c r="T834">
        <v>-0.1130695</v>
      </c>
      <c r="U834">
        <v>-0.1716309</v>
      </c>
      <c r="V834">
        <v>7.678369E-3</v>
      </c>
      <c r="W834">
        <v>0.16298199999999999</v>
      </c>
      <c r="X834">
        <v>0.98659909999999995</v>
      </c>
      <c r="Y834">
        <v>6.254477E-2</v>
      </c>
      <c r="Z834">
        <v>-1.3970409999999999E-3</v>
      </c>
      <c r="AA834">
        <v>0.99804119999999996</v>
      </c>
      <c r="AB834">
        <v>38</v>
      </c>
      <c r="AC834">
        <v>28.8568</v>
      </c>
      <c r="AD834">
        <v>-1.0820209471989899</v>
      </c>
      <c r="AE834">
        <v>-1.6406999999999801</v>
      </c>
      <c r="AF834">
        <v>1.8264372032676099</v>
      </c>
      <c r="AG834">
        <v>-1.0820209471989899</v>
      </c>
      <c r="AH834">
        <v>28.805108996601898</v>
      </c>
      <c r="AI834">
        <v>92.146911702154796</v>
      </c>
      <c r="AJ834">
        <v>86.371920025437404</v>
      </c>
      <c r="AK834">
        <v>28.883229502494601</v>
      </c>
      <c r="AL834">
        <v>80.619974643509295</v>
      </c>
      <c r="AM834">
        <v>89.554095219388202</v>
      </c>
      <c r="AN834">
        <v>0.99999993689765299</v>
      </c>
    </row>
    <row r="835" spans="1:40" x14ac:dyDescent="0.25">
      <c r="A835" t="str">
        <f>"20190312172345959"</f>
        <v>20190312172345959</v>
      </c>
      <c r="B835" t="str">
        <f>"1552382625950800"</f>
        <v>1552382625950800</v>
      </c>
      <c r="C835" t="s">
        <v>40</v>
      </c>
      <c r="D835">
        <v>3.7359650000000002</v>
      </c>
      <c r="E835">
        <v>0.52066029999999996</v>
      </c>
      <c r="F835" t="s">
        <v>43</v>
      </c>
      <c r="G835">
        <v>-246.7251</v>
      </c>
      <c r="H835" s="1">
        <v>-2.2655589999999999E-6</v>
      </c>
      <c r="I835">
        <v>365.7688</v>
      </c>
      <c r="J835">
        <v>-276.18509999999998</v>
      </c>
      <c r="K835">
        <v>1.083647</v>
      </c>
      <c r="L835">
        <v>367.44560000000001</v>
      </c>
      <c r="M835">
        <v>0.99996439999999998</v>
      </c>
      <c r="N835">
        <v>0</v>
      </c>
      <c r="O835">
        <v>6.5349529999999996E-3</v>
      </c>
      <c r="P835">
        <v>0.98747790000000002</v>
      </c>
      <c r="Q835">
        <v>0.15775349999999999</v>
      </c>
      <c r="R835">
        <v>-1.3389020000000001E-3</v>
      </c>
      <c r="S835">
        <v>3.055634</v>
      </c>
      <c r="T835">
        <v>-0.1114658</v>
      </c>
      <c r="U835">
        <v>-0.17260739999999999</v>
      </c>
      <c r="V835">
        <v>7.7921409999999998E-3</v>
      </c>
      <c r="W835">
        <v>0.1630286</v>
      </c>
      <c r="X835">
        <v>0.98659059999999998</v>
      </c>
      <c r="Y835">
        <v>6.2875769999999997E-2</v>
      </c>
      <c r="Z835">
        <v>-1.383654E-3</v>
      </c>
      <c r="AA835">
        <v>0.99802040000000003</v>
      </c>
      <c r="AB835">
        <v>38</v>
      </c>
      <c r="AC835">
        <v>29.459999999999901</v>
      </c>
      <c r="AD835">
        <v>-1.083649265559</v>
      </c>
      <c r="AE835">
        <v>-1.6768000000000101</v>
      </c>
      <c r="AF835">
        <v>1.8667689877015901</v>
      </c>
      <c r="AG835">
        <v>-1.083649265559</v>
      </c>
      <c r="AH835">
        <v>29.4087501098833</v>
      </c>
      <c r="AI835">
        <v>92.106036835961106</v>
      </c>
      <c r="AJ835">
        <v>86.3679287465052</v>
      </c>
      <c r="AK835">
        <v>29.4878569111041</v>
      </c>
      <c r="AL835">
        <v>80.617269317915301</v>
      </c>
      <c r="AM835">
        <v>89.5474845292308</v>
      </c>
      <c r="AN835">
        <v>1.00000002694384</v>
      </c>
    </row>
    <row r="836" spans="1:40" x14ac:dyDescent="0.25">
      <c r="A836" t="str">
        <f>"20190312172345971"</f>
        <v>20190312172345971</v>
      </c>
      <c r="B836" t="str">
        <f>"1552382625960558"</f>
        <v>1552382625960558</v>
      </c>
      <c r="C836" t="s">
        <v>40</v>
      </c>
      <c r="D836">
        <v>4.066649</v>
      </c>
      <c r="E836">
        <v>0.52072580000000002</v>
      </c>
      <c r="F836" t="s">
        <v>43</v>
      </c>
      <c r="G836">
        <v>-246.4383</v>
      </c>
      <c r="H836" s="1">
        <v>-2.3806889999999998E-6</v>
      </c>
      <c r="I836">
        <v>365.75009999999997</v>
      </c>
      <c r="J836">
        <v>-275.99279999999999</v>
      </c>
      <c r="K836">
        <v>1.0851710000000001</v>
      </c>
      <c r="L836">
        <v>367.44690000000003</v>
      </c>
      <c r="M836">
        <v>0.99996379999999996</v>
      </c>
      <c r="N836">
        <v>0</v>
      </c>
      <c r="O836">
        <v>6.5430200000000001E-3</v>
      </c>
      <c r="P836">
        <v>0.98752499999999999</v>
      </c>
      <c r="Q836">
        <v>0.15745680000000001</v>
      </c>
      <c r="R836">
        <v>-1.53308E-3</v>
      </c>
      <c r="S836">
        <v>3.0556030000000001</v>
      </c>
      <c r="T836">
        <v>-0.1113127</v>
      </c>
      <c r="U836">
        <v>-0.17416379999999901</v>
      </c>
      <c r="V836">
        <v>7.9945880000000004E-3</v>
      </c>
      <c r="W836">
        <v>0.16285450000000001</v>
      </c>
      <c r="X836">
        <v>0.98661770000000004</v>
      </c>
      <c r="Y836">
        <v>6.3390870000000002E-2</v>
      </c>
      <c r="Z836">
        <v>-1.3914140000000001E-3</v>
      </c>
      <c r="AA836">
        <v>0.99798779999999998</v>
      </c>
      <c r="AB836">
        <v>38</v>
      </c>
      <c r="AC836">
        <v>29.554499999999901</v>
      </c>
      <c r="AD836">
        <v>-1.0851733806889901</v>
      </c>
      <c r="AE836">
        <v>-1.69680000000005</v>
      </c>
      <c r="AF836">
        <v>1.88760573303023</v>
      </c>
      <c r="AG836">
        <v>-1.0851733806889901</v>
      </c>
      <c r="AH836">
        <v>29.503119857146299</v>
      </c>
      <c r="AI836">
        <v>92.102189298132103</v>
      </c>
      <c r="AJ836">
        <v>86.339213162499107</v>
      </c>
      <c r="AK836">
        <v>29.583352378908401</v>
      </c>
      <c r="AL836">
        <v>80.627379316238105</v>
      </c>
      <c r="AM836">
        <v>89.535741020489695</v>
      </c>
      <c r="AN836">
        <v>0.99999999378041404</v>
      </c>
    </row>
    <row r="837" spans="1:40" x14ac:dyDescent="0.25">
      <c r="A837" t="str">
        <f>"20190312172345983"</f>
        <v>20190312172345983</v>
      </c>
      <c r="B837" t="str">
        <f>"1552382625970319"</f>
        <v>1552382625970319</v>
      </c>
      <c r="C837" t="s">
        <v>40</v>
      </c>
      <c r="D837">
        <v>3.7388910000000002</v>
      </c>
      <c r="E837">
        <v>0.52078899999999995</v>
      </c>
      <c r="F837" t="s">
        <v>43</v>
      </c>
      <c r="G837">
        <v>-246.31710000000001</v>
      </c>
      <c r="H837" s="1">
        <v>-2.4289149999999999E-6</v>
      </c>
      <c r="I837">
        <v>365.74380000000002</v>
      </c>
      <c r="J837">
        <v>-275.77999999999997</v>
      </c>
      <c r="K837">
        <v>1.086838</v>
      </c>
      <c r="L837">
        <v>367.44830000000002</v>
      </c>
      <c r="M837">
        <v>0.99996269999999998</v>
      </c>
      <c r="N837">
        <v>0</v>
      </c>
      <c r="O837">
        <v>6.5519269999999999E-3</v>
      </c>
      <c r="P837">
        <v>0.98756060000000001</v>
      </c>
      <c r="Q837">
        <v>0.1572325</v>
      </c>
      <c r="R837">
        <v>-1.5301479999999901E-3</v>
      </c>
      <c r="S837">
        <v>3.05545</v>
      </c>
      <c r="T837">
        <v>-0.1117307</v>
      </c>
      <c r="U837">
        <v>-0.17535400000000001</v>
      </c>
      <c r="V837">
        <v>8.0006560000000001E-3</v>
      </c>
      <c r="W837">
        <v>0.16279060000000001</v>
      </c>
      <c r="X837">
        <v>0.98662819999999996</v>
      </c>
      <c r="Y837">
        <v>6.3789440000000003E-2</v>
      </c>
      <c r="Z837">
        <v>-1.4042939999999999E-3</v>
      </c>
      <c r="AA837">
        <v>0.99796240000000003</v>
      </c>
      <c r="AB837">
        <v>38</v>
      </c>
      <c r="AC837">
        <v>29.462899999999902</v>
      </c>
      <c r="AD837">
        <v>-1.086840428915</v>
      </c>
      <c r="AE837">
        <v>-1.7044999999999899</v>
      </c>
      <c r="AF837">
        <v>1.8949352950385201</v>
      </c>
      <c r="AG837">
        <v>-1.086840428915</v>
      </c>
      <c r="AH837">
        <v>29.4112116370544</v>
      </c>
      <c r="AI837">
        <v>92.111928534624397</v>
      </c>
      <c r="AJ837">
        <v>86.313584813903503</v>
      </c>
      <c r="AK837">
        <v>29.492225617099699</v>
      </c>
      <c r="AL837">
        <v>80.631090069810199</v>
      </c>
      <c r="AM837">
        <v>89.5353936014304</v>
      </c>
      <c r="AN837">
        <v>0.999999997490015</v>
      </c>
    </row>
    <row r="838" spans="1:40" x14ac:dyDescent="0.25">
      <c r="A838" t="str">
        <f>"20190312172345996"</f>
        <v>20190312172345996</v>
      </c>
      <c r="B838" t="str">
        <f>"1552382625990814"</f>
        <v>1552382625990814</v>
      </c>
      <c r="C838" t="s">
        <v>40</v>
      </c>
      <c r="D838">
        <v>3.7194219999999998</v>
      </c>
      <c r="E838">
        <v>0.52091779999999999</v>
      </c>
      <c r="F838" t="s">
        <v>43</v>
      </c>
      <c r="G838">
        <v>-246.173</v>
      </c>
      <c r="H838" s="1">
        <v>-2.483859E-6</v>
      </c>
      <c r="I838">
        <v>365.74520000000001</v>
      </c>
      <c r="J838">
        <v>-275.55169999999998</v>
      </c>
      <c r="K838">
        <v>1.0885530000000001</v>
      </c>
      <c r="L838">
        <v>367.44979999999998</v>
      </c>
      <c r="M838">
        <v>0.9999614</v>
      </c>
      <c r="N838">
        <v>0</v>
      </c>
      <c r="O838">
        <v>6.5612090000000001E-3</v>
      </c>
      <c r="P838">
        <v>0.98757280000000003</v>
      </c>
      <c r="Q838">
        <v>0.15715589999999999</v>
      </c>
      <c r="R838">
        <v>-1.4859230000000001E-3</v>
      </c>
      <c r="S838">
        <v>3.0553590000000002</v>
      </c>
      <c r="T838">
        <v>-0.11215890000000001</v>
      </c>
      <c r="U838">
        <v>-0.17575070000000001</v>
      </c>
      <c r="V838">
        <v>7.9656039999999994E-3</v>
      </c>
      <c r="W838">
        <v>0.16294439999999999</v>
      </c>
      <c r="X838">
        <v>0.98660309999999996</v>
      </c>
      <c r="Y838">
        <v>6.3929130000000001E-2</v>
      </c>
      <c r="Z838">
        <v>-1.412611E-3</v>
      </c>
      <c r="AA838">
        <v>0.99795339999999999</v>
      </c>
      <c r="AB838">
        <v>38</v>
      </c>
      <c r="AC838">
        <v>29.378699999999899</v>
      </c>
      <c r="AD838">
        <v>-1.0885554838589999</v>
      </c>
      <c r="AE838">
        <v>-1.7045999999999699</v>
      </c>
      <c r="AF838">
        <v>1.8947338546455099</v>
      </c>
      <c r="AG838">
        <v>-1.0885554838589999</v>
      </c>
      <c r="AH838">
        <v>29.326755831269299</v>
      </c>
      <c r="AI838">
        <v>92.121319849852</v>
      </c>
      <c r="AJ838">
        <v>86.303389917044697</v>
      </c>
      <c r="AK838">
        <v>29.408052927867701</v>
      </c>
      <c r="AL838">
        <v>80.622158775831096</v>
      </c>
      <c r="AM838">
        <v>89.5374172511343</v>
      </c>
      <c r="AN838">
        <v>1.0000000026340199</v>
      </c>
    </row>
    <row r="839" spans="1:40" x14ac:dyDescent="0.25">
      <c r="A839" t="str">
        <f>"20190312172346008"</f>
        <v>20190312172346008</v>
      </c>
      <c r="B839" t="str">
        <f>"1552382626000575"</f>
        <v>1552382626000575</v>
      </c>
      <c r="C839" t="s">
        <v>40</v>
      </c>
      <c r="D839">
        <v>3.7162299999999999</v>
      </c>
      <c r="E839">
        <v>0.52095630000000004</v>
      </c>
      <c r="F839" t="s">
        <v>43</v>
      </c>
      <c r="G839">
        <v>-245.74170000000001</v>
      </c>
      <c r="H839" s="1">
        <v>-2.6837989999999998E-6</v>
      </c>
      <c r="I839">
        <v>365.7242</v>
      </c>
      <c r="J839">
        <v>-275.35469999999998</v>
      </c>
      <c r="K839">
        <v>1.0899840000000001</v>
      </c>
      <c r="L839">
        <v>367.4511</v>
      </c>
      <c r="M839">
        <v>0.99996010000000002</v>
      </c>
      <c r="N839">
        <v>0</v>
      </c>
      <c r="O839">
        <v>6.5694269999999897E-3</v>
      </c>
      <c r="P839">
        <v>0.98762309999999998</v>
      </c>
      <c r="Q839">
        <v>0.15684010000000001</v>
      </c>
      <c r="R839">
        <v>-1.480734E-3</v>
      </c>
      <c r="S839">
        <v>3.055237</v>
      </c>
      <c r="T839">
        <v>-0.1115664</v>
      </c>
      <c r="U839">
        <v>-0.17684939999999999</v>
      </c>
      <c r="V839">
        <v>7.9688139999999994E-3</v>
      </c>
      <c r="W839">
        <v>0.16284699999999999</v>
      </c>
      <c r="X839">
        <v>0.98661920000000003</v>
      </c>
      <c r="Y839">
        <v>6.4297530000000006E-2</v>
      </c>
      <c r="Z839">
        <v>-1.412214E-3</v>
      </c>
      <c r="AA839">
        <v>0.99792979999999998</v>
      </c>
      <c r="AB839">
        <v>38</v>
      </c>
      <c r="AC839">
        <v>29.6129999999999</v>
      </c>
      <c r="AD839">
        <v>-1.089986683799</v>
      </c>
      <c r="AE839">
        <v>-1.7269000000000001</v>
      </c>
      <c r="AF839">
        <v>1.91881592446196</v>
      </c>
      <c r="AG839">
        <v>-1.089986683799</v>
      </c>
      <c r="AH839">
        <v>29.561102143247101</v>
      </c>
      <c r="AI839">
        <v>92.107241616837598</v>
      </c>
      <c r="AJ839">
        <v>86.286131747657294</v>
      </c>
      <c r="AK839">
        <v>29.6433582012281</v>
      </c>
      <c r="AL839">
        <v>80.627815348198297</v>
      </c>
      <c r="AM839">
        <v>89.537238397731699</v>
      </c>
      <c r="AN839">
        <v>1.0000000466071</v>
      </c>
    </row>
    <row r="840" spans="1:40" x14ac:dyDescent="0.25">
      <c r="A840" t="str">
        <f>"20190312172346020"</f>
        <v>20190312172346020</v>
      </c>
      <c r="B840" t="str">
        <f>"1552382626010334"</f>
        <v>1552382626010334</v>
      </c>
      <c r="C840" t="s">
        <v>40</v>
      </c>
      <c r="D840">
        <v>3.7164670000000002</v>
      </c>
      <c r="E840">
        <v>0.52095729999999996</v>
      </c>
      <c r="F840" t="s">
        <v>43</v>
      </c>
      <c r="G840">
        <v>-245.72819999999999</v>
      </c>
      <c r="H840" s="1">
        <v>-2.688393E-6</v>
      </c>
      <c r="I840">
        <v>365.73439999999999</v>
      </c>
      <c r="J840">
        <v>-275.13959999999997</v>
      </c>
      <c r="K840">
        <v>1.0914969999999999</v>
      </c>
      <c r="L840">
        <v>367.45249999999999</v>
      </c>
      <c r="M840">
        <v>0.99995829999999997</v>
      </c>
      <c r="N840">
        <v>0</v>
      </c>
      <c r="O840">
        <v>6.578576E-3</v>
      </c>
      <c r="P840">
        <v>0.98764260000000004</v>
      </c>
      <c r="Q840">
        <v>0.15671599999999999</v>
      </c>
      <c r="R840">
        <v>-1.4881009999999999E-3</v>
      </c>
      <c r="S840">
        <v>3.0552060000000001</v>
      </c>
      <c r="T840">
        <v>-0.1124039</v>
      </c>
      <c r="U840">
        <v>-0.17703250000000001</v>
      </c>
      <c r="V840">
        <v>7.9852829999999993E-3</v>
      </c>
      <c r="W840">
        <v>0.16297729999999999</v>
      </c>
      <c r="X840">
        <v>0.98659750000000002</v>
      </c>
      <c r="Y840">
        <v>6.4366090000000001E-2</v>
      </c>
      <c r="Z840">
        <v>-1.4244150000000001E-3</v>
      </c>
      <c r="AA840">
        <v>0.99792530000000002</v>
      </c>
      <c r="AB840">
        <v>39</v>
      </c>
      <c r="AC840">
        <v>29.411399999999901</v>
      </c>
      <c r="AD840">
        <v>-1.0914996883929999</v>
      </c>
      <c r="AE840">
        <v>-1.71809999999999</v>
      </c>
      <c r="AF840">
        <v>1.90893167855655</v>
      </c>
      <c r="AG840">
        <v>-1.0914996883929999</v>
      </c>
      <c r="AH840">
        <v>29.359162982925699</v>
      </c>
      <c r="AI840">
        <v>92.124649889823999</v>
      </c>
      <c r="AJ840">
        <v>86.279867068783602</v>
      </c>
      <c r="AK840">
        <v>29.441396753230801</v>
      </c>
      <c r="AL840">
        <v>80.620248142731896</v>
      </c>
      <c r="AM840">
        <v>89.536271859706005</v>
      </c>
      <c r="AN840">
        <v>0.999999996033065</v>
      </c>
    </row>
    <row r="841" spans="1:40" x14ac:dyDescent="0.25">
      <c r="A841" t="str">
        <f>"20190312172346037"</f>
        <v>20190312172346037</v>
      </c>
      <c r="B841" t="str">
        <f>"1552382626030830"</f>
        <v>1552382626030830</v>
      </c>
      <c r="C841" t="s">
        <v>40</v>
      </c>
      <c r="D841">
        <v>3.719007</v>
      </c>
      <c r="E841">
        <v>0.52091549999999998</v>
      </c>
      <c r="F841" t="s">
        <v>43</v>
      </c>
      <c r="G841">
        <v>-245.42939999999999</v>
      </c>
      <c r="H841" s="1">
        <v>-2.8305139999999998E-6</v>
      </c>
      <c r="I841">
        <v>365.7294</v>
      </c>
      <c r="J841">
        <v>-274.84840000000003</v>
      </c>
      <c r="K841">
        <v>1.093397</v>
      </c>
      <c r="L841">
        <v>367.45440000000002</v>
      </c>
      <c r="M841">
        <v>0.99995579999999995</v>
      </c>
      <c r="N841">
        <v>0</v>
      </c>
      <c r="O841">
        <v>6.5911149999999998E-3</v>
      </c>
      <c r="P841">
        <v>0.98767640000000001</v>
      </c>
      <c r="Q841">
        <v>0.1565019</v>
      </c>
      <c r="R841">
        <v>-1.4957989999999999E-3</v>
      </c>
      <c r="S841">
        <v>3.0551149999999998</v>
      </c>
      <c r="T841">
        <v>-0.1122394</v>
      </c>
      <c r="U841">
        <v>-0.17718510000000001</v>
      </c>
      <c r="V841">
        <v>8.0056439999999993E-3</v>
      </c>
      <c r="W841">
        <v>0.16313349999999999</v>
      </c>
      <c r="X841">
        <v>0.98657159999999999</v>
      </c>
      <c r="Y841">
        <v>6.4430099999999907E-2</v>
      </c>
      <c r="Z841">
        <v>-1.4240079999999901E-3</v>
      </c>
      <c r="AA841">
        <v>0.99792119999999995</v>
      </c>
      <c r="AB841">
        <v>39</v>
      </c>
      <c r="AC841">
        <v>29.419</v>
      </c>
      <c r="AD841">
        <v>-1.093399830514</v>
      </c>
      <c r="AE841">
        <v>-1.7250000000000201</v>
      </c>
      <c r="AF841">
        <v>1.9162329897539201</v>
      </c>
      <c r="AG841">
        <v>-1.093399830514</v>
      </c>
      <c r="AH841">
        <v>29.3665646444834</v>
      </c>
      <c r="AI841">
        <v>92.127777232416804</v>
      </c>
      <c r="AJ841">
        <v>86.266616982597498</v>
      </c>
      <c r="AK841">
        <v>29.449322421390502</v>
      </c>
      <c r="AL841">
        <v>80.611177897228501</v>
      </c>
      <c r="AM841">
        <v>89.535077285704304</v>
      </c>
      <c r="AN841">
        <v>1.00000007554232</v>
      </c>
    </row>
    <row r="842" spans="1:40" x14ac:dyDescent="0.25">
      <c r="A842" t="str">
        <f>"20190312172346050"</f>
        <v>20190312172346050</v>
      </c>
      <c r="B842" t="str">
        <f>"1552382626040590"</f>
        <v>1552382626040590</v>
      </c>
      <c r="C842" t="s">
        <v>40</v>
      </c>
      <c r="D842">
        <v>3.723169</v>
      </c>
      <c r="E842">
        <v>0.52093290000000003</v>
      </c>
      <c r="F842" t="s">
        <v>43</v>
      </c>
      <c r="G842">
        <v>-244.89070000000001</v>
      </c>
      <c r="H842" s="1">
        <v>-3.0860370000000001E-6</v>
      </c>
      <c r="I842">
        <v>365.7244</v>
      </c>
      <c r="J842">
        <v>-274.62720000000002</v>
      </c>
      <c r="K842">
        <v>1.0947480000000001</v>
      </c>
      <c r="L842">
        <v>367.45589999999999</v>
      </c>
      <c r="M842">
        <v>0.9999538</v>
      </c>
      <c r="N842">
        <v>0</v>
      </c>
      <c r="O842">
        <v>6.6006629999999997E-3</v>
      </c>
      <c r="P842">
        <v>0.9877319</v>
      </c>
      <c r="Q842">
        <v>0.15615190000000001</v>
      </c>
      <c r="R842">
        <v>-1.5887E-3</v>
      </c>
      <c r="S842">
        <v>3.0548709999999999</v>
      </c>
      <c r="T842">
        <v>-0.11149729999999999</v>
      </c>
      <c r="U842">
        <v>-0.1764221</v>
      </c>
      <c r="V842">
        <v>8.1083230000000006E-3</v>
      </c>
      <c r="W842">
        <v>0.16306999999999999</v>
      </c>
      <c r="X842">
        <v>0.98658120000000005</v>
      </c>
      <c r="Y842">
        <v>6.4196630000000005E-2</v>
      </c>
      <c r="Z842">
        <v>-1.4108149999999999E-3</v>
      </c>
      <c r="AA842">
        <v>0.99793620000000005</v>
      </c>
      <c r="AB842">
        <v>39</v>
      </c>
      <c r="AC842">
        <v>29.736499999999999</v>
      </c>
      <c r="AD842">
        <v>-1.094751086037</v>
      </c>
      <c r="AE842">
        <v>-1.7314999999999801</v>
      </c>
      <c r="AF842">
        <v>1.9251472564854699</v>
      </c>
      <c r="AG842">
        <v>-1.094751086037</v>
      </c>
      <c r="AH842">
        <v>29.684326176225198</v>
      </c>
      <c r="AI842">
        <v>92.107674056187506</v>
      </c>
      <c r="AJ842">
        <v>86.289336159202406</v>
      </c>
      <c r="AK842">
        <v>29.766825367110702</v>
      </c>
      <c r="AL842">
        <v>80.614865005079395</v>
      </c>
      <c r="AM842">
        <v>89.529119116275893</v>
      </c>
      <c r="AN842">
        <v>1.00000001699765</v>
      </c>
    </row>
    <row r="843" spans="1:40" x14ac:dyDescent="0.25">
      <c r="A843" t="str">
        <f>"20190312172346063"</f>
        <v>20190312172346063</v>
      </c>
      <c r="B843" t="str">
        <f>"1552382626050350"</f>
        <v>1552382626050350</v>
      </c>
      <c r="C843" t="s">
        <v>40</v>
      </c>
      <c r="D843">
        <v>3.7116790000000002</v>
      </c>
      <c r="E843">
        <v>0.52094849999999904</v>
      </c>
      <c r="F843" t="s">
        <v>43</v>
      </c>
      <c r="G843">
        <v>-244.79929999999999</v>
      </c>
      <c r="H843" s="1">
        <v>-3.12854E-6</v>
      </c>
      <c r="I843">
        <v>365.72840000000002</v>
      </c>
      <c r="J843">
        <v>-274.40269999999998</v>
      </c>
      <c r="K843">
        <v>1.096052</v>
      </c>
      <c r="L843">
        <v>367.45740000000001</v>
      </c>
      <c r="M843">
        <v>0.99995149999999999</v>
      </c>
      <c r="N843">
        <v>0</v>
      </c>
      <c r="O843">
        <v>6.6106819999999997E-3</v>
      </c>
      <c r="P843">
        <v>0.98777309999999996</v>
      </c>
      <c r="Q843">
        <v>0.155892</v>
      </c>
      <c r="R843">
        <v>-1.4189199999999999E-3</v>
      </c>
      <c r="S843">
        <v>3.0546570000000002</v>
      </c>
      <c r="T843">
        <v>-0.11211260000000001</v>
      </c>
      <c r="U843">
        <v>-0.1769104</v>
      </c>
      <c r="V843">
        <v>7.9486039999999997E-3</v>
      </c>
      <c r="W843">
        <v>0.1631029</v>
      </c>
      <c r="X843">
        <v>0.98657700000000004</v>
      </c>
      <c r="Y843">
        <v>6.4368990000000001E-2</v>
      </c>
      <c r="Z843">
        <v>-1.422216E-3</v>
      </c>
      <c r="AA843">
        <v>0.99792519999999996</v>
      </c>
      <c r="AB843">
        <v>39</v>
      </c>
      <c r="AC843">
        <v>29.603399999999901</v>
      </c>
      <c r="AD843">
        <v>-1.09605512854</v>
      </c>
      <c r="AE843">
        <v>-1.7289999999999801</v>
      </c>
      <c r="AF843">
        <v>1.9220402755105901</v>
      </c>
      <c r="AG843">
        <v>-1.09605512854</v>
      </c>
      <c r="AH843">
        <v>29.550951503527202</v>
      </c>
      <c r="AI843">
        <v>92.119672096910193</v>
      </c>
      <c r="AJ843">
        <v>86.278634278557107</v>
      </c>
      <c r="AK843">
        <v>29.633668528032398</v>
      </c>
      <c r="AL843">
        <v>80.612953822319298</v>
      </c>
      <c r="AM843">
        <v>89.538392230289602</v>
      </c>
      <c r="AN843">
        <v>0.999999956611478</v>
      </c>
    </row>
    <row r="844" spans="1:40" x14ac:dyDescent="0.25">
      <c r="A844" t="str">
        <f>"20190312172346075"</f>
        <v>20190312172346075</v>
      </c>
      <c r="B844" t="str">
        <f>"1552382626070846"</f>
        <v>1552382626070846</v>
      </c>
      <c r="C844" t="s">
        <v>40</v>
      </c>
      <c r="D844">
        <v>3.7183760000000001</v>
      </c>
      <c r="E844">
        <v>0.52098239999999996</v>
      </c>
      <c r="F844" t="s">
        <v>43</v>
      </c>
      <c r="G844">
        <v>-244.7604</v>
      </c>
      <c r="H844" s="1">
        <v>-3.1446049999999999E-6</v>
      </c>
      <c r="I844">
        <v>365.74160000000001</v>
      </c>
      <c r="J844">
        <v>-274.18799999999999</v>
      </c>
      <c r="K844">
        <v>1.097197</v>
      </c>
      <c r="L844">
        <v>367.4588</v>
      </c>
      <c r="M844">
        <v>0.99994930000000004</v>
      </c>
      <c r="N844">
        <v>0</v>
      </c>
      <c r="O844">
        <v>6.6192269999999897E-3</v>
      </c>
      <c r="P844">
        <v>0.98783670000000001</v>
      </c>
      <c r="Q844">
        <v>0.1554905</v>
      </c>
      <c r="R844">
        <v>-1.2622390000000001E-3</v>
      </c>
      <c r="S844">
        <v>3.0547490000000002</v>
      </c>
      <c r="T844">
        <v>-0.11295239999999999</v>
      </c>
      <c r="U844">
        <v>-0.1768188</v>
      </c>
      <c r="V844">
        <v>7.8005009999999996E-3</v>
      </c>
      <c r="W844">
        <v>0.16298009999999999</v>
      </c>
      <c r="X844">
        <v>0.98659850000000004</v>
      </c>
      <c r="Y844">
        <v>6.4345289999999999E-2</v>
      </c>
      <c r="Z844">
        <v>-1.4326969999999999E-3</v>
      </c>
      <c r="AA844">
        <v>0.99792670000000006</v>
      </c>
      <c r="AB844">
        <v>39</v>
      </c>
      <c r="AC844">
        <v>29.427599999999899</v>
      </c>
      <c r="AD844">
        <v>-1.0972001446049999</v>
      </c>
      <c r="AE844">
        <v>-1.7171999999999901</v>
      </c>
      <c r="AF844">
        <v>1.90931072833572</v>
      </c>
      <c r="AG844">
        <v>-1.0972001446049999</v>
      </c>
      <c r="AH844">
        <v>29.3748914577777</v>
      </c>
      <c r="AI844">
        <v>92.134596343577101</v>
      </c>
      <c r="AJ844">
        <v>86.281117158058095</v>
      </c>
      <c r="AK844">
        <v>29.457317660827201</v>
      </c>
      <c r="AL844">
        <v>80.6200853935418</v>
      </c>
      <c r="AM844">
        <v>89.547002683693506</v>
      </c>
      <c r="AN844">
        <v>0.99999998050705496</v>
      </c>
    </row>
    <row r="845" spans="1:40" x14ac:dyDescent="0.25">
      <c r="A845" t="str">
        <f>"20190312172346087"</f>
        <v>20190312172346087</v>
      </c>
      <c r="B845" t="str">
        <f>"1552382626080607"</f>
        <v>1552382626080607</v>
      </c>
      <c r="C845" t="s">
        <v>40</v>
      </c>
      <c r="D845">
        <v>3.721622</v>
      </c>
      <c r="E845">
        <v>0.52096399999999998</v>
      </c>
      <c r="F845" t="s">
        <v>43</v>
      </c>
      <c r="G845">
        <v>-244.75120000000001</v>
      </c>
      <c r="H845" s="1">
        <v>-3.145876E-6</v>
      </c>
      <c r="I845">
        <v>365.75889999999998</v>
      </c>
      <c r="J845">
        <v>-273.98570000000001</v>
      </c>
      <c r="K845">
        <v>1.098217</v>
      </c>
      <c r="L845">
        <v>367.46010000000001</v>
      </c>
      <c r="M845">
        <v>0.99994740000000004</v>
      </c>
      <c r="N845">
        <v>0</v>
      </c>
      <c r="O845">
        <v>6.6272769999999896E-3</v>
      </c>
      <c r="P845">
        <v>0.98787349999999996</v>
      </c>
      <c r="Q845">
        <v>0.1552586</v>
      </c>
      <c r="R845">
        <v>-1.0530870000000001E-3</v>
      </c>
      <c r="S845">
        <v>3.0546259999999998</v>
      </c>
      <c r="T845">
        <v>-0.113855399999999</v>
      </c>
      <c r="U845">
        <v>-0.17639160000000001</v>
      </c>
      <c r="V845">
        <v>7.5993809999999997E-3</v>
      </c>
      <c r="W845">
        <v>0.16300599999999901</v>
      </c>
      <c r="X845">
        <v>0.98659580000000002</v>
      </c>
      <c r="Y845">
        <v>6.4215839999999996E-2</v>
      </c>
      <c r="Z845">
        <v>-1.442097E-3</v>
      </c>
      <c r="AA845">
        <v>0.99793500000000002</v>
      </c>
      <c r="AB845">
        <v>39</v>
      </c>
      <c r="AC845">
        <v>29.234500000000001</v>
      </c>
      <c r="AD845">
        <v>-1.0982201458759999</v>
      </c>
      <c r="AE845">
        <v>-1.70120000000002</v>
      </c>
      <c r="AF845">
        <v>1.8922523761194701</v>
      </c>
      <c r="AG845">
        <v>-1.0982201458759999</v>
      </c>
      <c r="AH845">
        <v>29.181541374271902</v>
      </c>
      <c r="AI845">
        <v>92.150743512540501</v>
      </c>
      <c r="AJ845">
        <v>86.289897840891996</v>
      </c>
      <c r="AK845">
        <v>29.263442441416299</v>
      </c>
      <c r="AL845">
        <v>80.618581405262603</v>
      </c>
      <c r="AM845">
        <v>89.558680619316704</v>
      </c>
      <c r="AN845">
        <v>0.99999998960261105</v>
      </c>
    </row>
    <row r="846" spans="1:40" x14ac:dyDescent="0.25">
      <c r="A846" t="str">
        <f>"20190312172346099"</f>
        <v>20190312172346099</v>
      </c>
      <c r="B846" t="str">
        <f>"1552382626090366"</f>
        <v>1552382626090366</v>
      </c>
      <c r="C846" t="s">
        <v>40</v>
      </c>
      <c r="D846">
        <v>3.7236280000000002</v>
      </c>
      <c r="E846">
        <v>0.52099849999999903</v>
      </c>
      <c r="F846" t="s">
        <v>43</v>
      </c>
      <c r="G846">
        <v>-244.66650000000001</v>
      </c>
      <c r="H846" s="1">
        <v>-3.1834770000000001E-6</v>
      </c>
      <c r="I846">
        <v>365.77260000000001</v>
      </c>
      <c r="J846">
        <v>-273.77080000000001</v>
      </c>
      <c r="K846">
        <v>1.099243</v>
      </c>
      <c r="L846">
        <v>367.46159999999998</v>
      </c>
      <c r="M846">
        <v>0.99994510000000003</v>
      </c>
      <c r="N846">
        <v>0</v>
      </c>
      <c r="O846">
        <v>6.6361379999999998E-3</v>
      </c>
      <c r="P846">
        <v>0.98792630000000003</v>
      </c>
      <c r="Q846">
        <v>0.15492300000000001</v>
      </c>
      <c r="R846">
        <v>-1.029081E-3</v>
      </c>
      <c r="S846">
        <v>3.0546259999999998</v>
      </c>
      <c r="T846">
        <v>-0.1144184</v>
      </c>
      <c r="U846">
        <v>-0.17581179999999999</v>
      </c>
      <c r="V846">
        <v>7.5843109999999998E-3</v>
      </c>
      <c r="W846">
        <v>0.16294020000000001</v>
      </c>
      <c r="X846">
        <v>0.98660680000000001</v>
      </c>
      <c r="Y846">
        <v>6.4035510000000004E-2</v>
      </c>
      <c r="Z846">
        <v>-1.44619E-3</v>
      </c>
      <c r="AA846">
        <v>0.99794660000000002</v>
      </c>
      <c r="AB846">
        <v>39</v>
      </c>
      <c r="AC846">
        <v>29.104299999999899</v>
      </c>
      <c r="AD846">
        <v>-1.099246183477</v>
      </c>
      <c r="AE846">
        <v>-1.6889999999999601</v>
      </c>
      <c r="AF846">
        <v>1.8794372665110399</v>
      </c>
      <c r="AG846">
        <v>-1.099246183477</v>
      </c>
      <c r="AH846">
        <v>29.051147563293998</v>
      </c>
      <c r="AI846">
        <v>92.162425218917505</v>
      </c>
      <c r="AJ846">
        <v>86.298460549027098</v>
      </c>
      <c r="AK846">
        <v>29.1326243471974</v>
      </c>
      <c r="AL846">
        <v>80.622402692314296</v>
      </c>
      <c r="AM846">
        <v>89.559560656425106</v>
      </c>
      <c r="AN846">
        <v>1.0000000041778101</v>
      </c>
    </row>
    <row r="847" spans="1:40" x14ac:dyDescent="0.25">
      <c r="A847" t="str">
        <f>"20190312172346110"</f>
        <v>20190312172346110</v>
      </c>
      <c r="B847" t="str">
        <f>"1552382626101103"</f>
        <v>1552382626101103</v>
      </c>
      <c r="C847" t="s">
        <v>40</v>
      </c>
      <c r="D847">
        <v>3.732297</v>
      </c>
      <c r="E847">
        <v>0.52106279999999905</v>
      </c>
      <c r="F847" t="s">
        <v>43</v>
      </c>
      <c r="G847">
        <v>-244.66290000000001</v>
      </c>
      <c r="H847" s="1">
        <v>-3.1827480000000001E-6</v>
      </c>
      <c r="I847">
        <v>365.78620000000001</v>
      </c>
      <c r="J847">
        <v>-273.58</v>
      </c>
      <c r="K847">
        <v>1.1000650000000001</v>
      </c>
      <c r="L847">
        <v>367.46289999999999</v>
      </c>
      <c r="M847">
        <v>0.99994309999999997</v>
      </c>
      <c r="N847">
        <v>0</v>
      </c>
      <c r="O847">
        <v>6.6438799999999996E-3</v>
      </c>
      <c r="P847">
        <v>0.98795900000000003</v>
      </c>
      <c r="Q847">
        <v>0.15471309999999999</v>
      </c>
      <c r="R847">
        <v>-9.8658449999999994E-4</v>
      </c>
      <c r="S847">
        <v>3.0545960000000001</v>
      </c>
      <c r="T847">
        <v>-0.115355399999999</v>
      </c>
      <c r="U847">
        <v>-0.17581179999999999</v>
      </c>
      <c r="V847">
        <v>7.5497609999999899E-3</v>
      </c>
      <c r="W847">
        <v>0.1629594</v>
      </c>
      <c r="X847">
        <v>0.98660389999999998</v>
      </c>
      <c r="Y847">
        <v>6.4043030000000001E-2</v>
      </c>
      <c r="Z847">
        <v>-1.458474E-3</v>
      </c>
      <c r="AA847">
        <v>0.99794609999999995</v>
      </c>
      <c r="AB847">
        <v>39</v>
      </c>
      <c r="AC847">
        <v>28.917099999999898</v>
      </c>
      <c r="AD847">
        <v>-1.1000681827479999</v>
      </c>
      <c r="AE847">
        <v>-1.6766999999999801</v>
      </c>
      <c r="AF847">
        <v>1.86609984728708</v>
      </c>
      <c r="AG847">
        <v>-1.1000681827479999</v>
      </c>
      <c r="AH847">
        <v>28.863689871376501</v>
      </c>
      <c r="AI847">
        <v>92.178087639049394</v>
      </c>
      <c r="AJ847">
        <v>86.300852483643595</v>
      </c>
      <c r="AK847">
        <v>28.9448626121759</v>
      </c>
      <c r="AL847">
        <v>80.621287768068299</v>
      </c>
      <c r="AM847">
        <v>89.561565691592506</v>
      </c>
      <c r="AN847">
        <v>1.0000000102173601</v>
      </c>
    </row>
    <row r="848" spans="1:40" x14ac:dyDescent="0.25">
      <c r="A848" t="str">
        <f>"20190312172346125"</f>
        <v>20190312172346125</v>
      </c>
      <c r="B848" t="str">
        <f>"1552382626121037"</f>
        <v>1552382626121037</v>
      </c>
      <c r="C848" t="s">
        <v>40</v>
      </c>
      <c r="D848">
        <v>3.7357</v>
      </c>
      <c r="E848">
        <v>0.52116890000000005</v>
      </c>
      <c r="F848" t="s">
        <v>43</v>
      </c>
      <c r="G848">
        <v>-244.56209999999999</v>
      </c>
      <c r="H848" s="1">
        <v>-3.2304660000000001E-6</v>
      </c>
      <c r="I848">
        <v>365.786</v>
      </c>
      <c r="J848">
        <v>-273.32769999999999</v>
      </c>
      <c r="K848">
        <v>1.101097</v>
      </c>
      <c r="L848">
        <v>367.46449999999999</v>
      </c>
      <c r="M848">
        <v>0.99994050000000001</v>
      </c>
      <c r="N848">
        <v>0</v>
      </c>
      <c r="O848">
        <v>6.6535090000000002E-3</v>
      </c>
      <c r="P848">
        <v>0.98802190000000001</v>
      </c>
      <c r="Q848">
        <v>0.1543109</v>
      </c>
      <c r="R848">
        <v>-9.2692109999999996E-4</v>
      </c>
      <c r="S848">
        <v>3.054535</v>
      </c>
      <c r="T848">
        <v>-0.11579730000000001</v>
      </c>
      <c r="U848">
        <v>-0.1765137</v>
      </c>
      <c r="V848">
        <v>7.5001829999999997E-3</v>
      </c>
      <c r="W848">
        <v>0.16285359999999999</v>
      </c>
      <c r="X848">
        <v>0.98662169999999905</v>
      </c>
      <c r="Y848">
        <v>6.4281770000000002E-2</v>
      </c>
      <c r="Z848">
        <v>-1.4689620000000001E-3</v>
      </c>
      <c r="AA848">
        <v>0.99793069999999895</v>
      </c>
      <c r="AB848">
        <v>38</v>
      </c>
      <c r="AC848">
        <v>28.765599999999999</v>
      </c>
      <c r="AD848">
        <v>-1.101100230466</v>
      </c>
      <c r="AE848">
        <v>-1.6784999999999799</v>
      </c>
      <c r="AF848">
        <v>1.86713566751189</v>
      </c>
      <c r="AG848">
        <v>-1.101100230466</v>
      </c>
      <c r="AH848">
        <v>28.711868062004701</v>
      </c>
      <c r="AI848">
        <v>92.191592460114094</v>
      </c>
      <c r="AJ848">
        <v>86.279288650719906</v>
      </c>
      <c r="AK848">
        <v>28.793575410643101</v>
      </c>
      <c r="AL848">
        <v>80.627431292319102</v>
      </c>
      <c r="AM848">
        <v>89.564452561757506</v>
      </c>
      <c r="AN848">
        <v>0.99999996334443997</v>
      </c>
    </row>
    <row r="849" spans="1:40" x14ac:dyDescent="0.25">
      <c r="A849" t="str">
        <f>"20190312172346136"</f>
        <v>20190312172346136</v>
      </c>
      <c r="B849" t="str">
        <f>"1552382626130798"</f>
        <v>1552382626130798</v>
      </c>
      <c r="C849" t="s">
        <v>40</v>
      </c>
      <c r="D849">
        <v>3.7071930000000002</v>
      </c>
      <c r="E849">
        <v>0.52117460000000004</v>
      </c>
      <c r="F849" t="s">
        <v>43</v>
      </c>
      <c r="G849">
        <v>-244.5909</v>
      </c>
      <c r="H849" s="1">
        <v>-3.2146519999999998E-6</v>
      </c>
      <c r="I849">
        <v>365.79840000000002</v>
      </c>
      <c r="J849">
        <v>-273.12939999999998</v>
      </c>
      <c r="K849">
        <v>1.1018349999999999</v>
      </c>
      <c r="L849">
        <v>367.46589999999998</v>
      </c>
      <c r="M849">
        <v>0.99993849999999995</v>
      </c>
      <c r="N849">
        <v>0</v>
      </c>
      <c r="O849">
        <v>6.6612800000000003E-3</v>
      </c>
      <c r="P849">
        <v>0.988089</v>
      </c>
      <c r="Q849">
        <v>0.15388080000000001</v>
      </c>
      <c r="R849">
        <v>-9.3252210000000001E-4</v>
      </c>
      <c r="S849">
        <v>3.0544739999999999</v>
      </c>
      <c r="T849">
        <v>-0.1170374</v>
      </c>
      <c r="U849">
        <v>-0.17709349999999999</v>
      </c>
      <c r="V849">
        <v>7.5136040000000001E-3</v>
      </c>
      <c r="W849">
        <v>0.1626466</v>
      </c>
      <c r="X849">
        <v>0.98665579999999997</v>
      </c>
      <c r="Y849">
        <v>6.4478250000000001E-2</v>
      </c>
      <c r="Z849">
        <v>-1.4887609999999999E-3</v>
      </c>
      <c r="AA849">
        <v>0.99791799999999997</v>
      </c>
      <c r="AB849">
        <v>38</v>
      </c>
      <c r="AC849">
        <v>28.5384999999999</v>
      </c>
      <c r="AD849">
        <v>-1.101838214652</v>
      </c>
      <c r="AE849">
        <v>-1.66749999999996</v>
      </c>
      <c r="AF849">
        <v>1.85481795157955</v>
      </c>
      <c r="AG849">
        <v>-1.101838214652</v>
      </c>
      <c r="AH849">
        <v>28.484443015881801</v>
      </c>
      <c r="AI849">
        <v>92.210539960030005</v>
      </c>
      <c r="AJ849">
        <v>86.274337733882305</v>
      </c>
      <c r="AK849">
        <v>28.566026867763501</v>
      </c>
      <c r="AL849">
        <v>80.639452312084998</v>
      </c>
      <c r="AM849">
        <v>89.563688292647797</v>
      </c>
      <c r="AN849">
        <v>1.0000000192051299</v>
      </c>
    </row>
    <row r="850" spans="1:40" x14ac:dyDescent="0.25">
      <c r="A850" t="str">
        <f>"20190312172346148"</f>
        <v>20190312172346148</v>
      </c>
      <c r="B850" t="str">
        <f>"1552382626140558"</f>
        <v>1552382626140558</v>
      </c>
      <c r="C850" t="s">
        <v>40</v>
      </c>
      <c r="D850">
        <v>4.0547380000000004</v>
      </c>
      <c r="E850">
        <v>0.52121720000000005</v>
      </c>
      <c r="F850" t="s">
        <v>43</v>
      </c>
      <c r="G850">
        <v>-244.68299999999999</v>
      </c>
      <c r="H850" s="1">
        <v>-3.1675620000000002E-6</v>
      </c>
      <c r="I850">
        <v>365.81830000000002</v>
      </c>
      <c r="J850">
        <v>-272.93009999999998</v>
      </c>
      <c r="K850">
        <v>1.102517</v>
      </c>
      <c r="L850">
        <v>367.46719999999999</v>
      </c>
      <c r="M850">
        <v>0.99993650000000001</v>
      </c>
      <c r="N850">
        <v>0</v>
      </c>
      <c r="O850">
        <v>6.6690639999999997E-3</v>
      </c>
      <c r="P850">
        <v>0.98812789999999995</v>
      </c>
      <c r="Q850">
        <v>0.15363199999999999</v>
      </c>
      <c r="R850">
        <v>-9.6040030000000003E-4</v>
      </c>
      <c r="S850">
        <v>3.0544129999999998</v>
      </c>
      <c r="T850">
        <v>-0.1183091</v>
      </c>
      <c r="U850">
        <v>-0.1769104</v>
      </c>
      <c r="V850">
        <v>7.5493080000000002E-3</v>
      </c>
      <c r="W850">
        <v>0.1626118</v>
      </c>
      <c r="X850">
        <v>0.98666129999999996</v>
      </c>
      <c r="Y850">
        <v>6.4426460000000005E-2</v>
      </c>
      <c r="Z850">
        <v>-1.504259E-3</v>
      </c>
      <c r="AA850">
        <v>0.99792130000000001</v>
      </c>
      <c r="AB850">
        <v>38</v>
      </c>
      <c r="AC850">
        <v>28.2470999999999</v>
      </c>
      <c r="AD850">
        <v>-1.102520167562</v>
      </c>
      <c r="AE850">
        <v>-1.6488999999999601</v>
      </c>
      <c r="AF850">
        <v>1.83446760817945</v>
      </c>
      <c r="AG850">
        <v>-1.102520167562</v>
      </c>
      <c r="AH850">
        <v>28.192670717361</v>
      </c>
      <c r="AI850">
        <v>92.234782119878702</v>
      </c>
      <c r="AJ850">
        <v>86.277071864411795</v>
      </c>
      <c r="AK850">
        <v>28.2737953643101</v>
      </c>
      <c r="AL850">
        <v>80.641473447711604</v>
      </c>
      <c r="AM850">
        <v>89.561617501282001</v>
      </c>
      <c r="AN850">
        <v>1.0000000552341</v>
      </c>
    </row>
    <row r="851" spans="1:40" x14ac:dyDescent="0.25">
      <c r="A851" t="str">
        <f>"20190312172346160"</f>
        <v>20190312172346160</v>
      </c>
      <c r="B851" t="str">
        <f>"1552382626150318"</f>
        <v>1552382626150318</v>
      </c>
      <c r="C851" t="s">
        <v>40</v>
      </c>
      <c r="D851">
        <v>3.7230880000000002</v>
      </c>
      <c r="E851">
        <v>0.52124859999999995</v>
      </c>
      <c r="F851" t="s">
        <v>43</v>
      </c>
      <c r="G851">
        <v>-244.5966</v>
      </c>
      <c r="H851" s="1">
        <v>-3.2084949999999999E-6</v>
      </c>
      <c r="I851">
        <v>365.81790000000001</v>
      </c>
      <c r="J851">
        <v>-272.72930000000002</v>
      </c>
      <c r="K851">
        <v>1.1031709999999999</v>
      </c>
      <c r="L851">
        <v>367.46859999999998</v>
      </c>
      <c r="M851">
        <v>0.99993449999999995</v>
      </c>
      <c r="N851">
        <v>0</v>
      </c>
      <c r="O851">
        <v>6.6767830000000004E-3</v>
      </c>
      <c r="P851">
        <v>0.98813930000000005</v>
      </c>
      <c r="Q851">
        <v>0.15355820000000001</v>
      </c>
      <c r="R851">
        <v>-9.9404620000000002E-4</v>
      </c>
      <c r="S851">
        <v>3.0543819999999999</v>
      </c>
      <c r="T851">
        <v>-0.118853</v>
      </c>
      <c r="U851">
        <v>-0.17779539999999999</v>
      </c>
      <c r="V851">
        <v>7.5906339999999997E-3</v>
      </c>
      <c r="W851">
        <v>0.16274720000000001</v>
      </c>
      <c r="X851">
        <v>0.98663860000000003</v>
      </c>
      <c r="Y851">
        <v>6.4722210000000002E-2</v>
      </c>
      <c r="Z851">
        <v>-1.5172180000000001E-3</v>
      </c>
      <c r="AA851">
        <v>0.99790219999999996</v>
      </c>
      <c r="AB851">
        <v>38</v>
      </c>
      <c r="AC851">
        <v>28.1327</v>
      </c>
      <c r="AD851">
        <v>-1.10317420849499</v>
      </c>
      <c r="AE851">
        <v>-1.6506999999999701</v>
      </c>
      <c r="AF851">
        <v>1.83569423072686</v>
      </c>
      <c r="AG851">
        <v>-1.10317420849499</v>
      </c>
      <c r="AH851">
        <v>28.078024203329999</v>
      </c>
      <c r="AI851">
        <v>92.245182445010002</v>
      </c>
      <c r="AJ851">
        <v>86.259421248974903</v>
      </c>
      <c r="AK851">
        <v>28.159584688091499</v>
      </c>
      <c r="AL851">
        <v>80.633610320169595</v>
      </c>
      <c r="AM851">
        <v>89.559207685873801</v>
      </c>
      <c r="AN851">
        <v>0.99999999792116001</v>
      </c>
    </row>
    <row r="852" spans="1:40" x14ac:dyDescent="0.25">
      <c r="A852" t="str">
        <f>"20190312172346171"</f>
        <v>20190312172346171</v>
      </c>
      <c r="B852" t="str">
        <f>"1552382626161056"</f>
        <v>1552382626161056</v>
      </c>
      <c r="C852" t="s">
        <v>40</v>
      </c>
      <c r="D852">
        <v>3.7173530000000001</v>
      </c>
      <c r="E852">
        <v>0.52128079999999999</v>
      </c>
      <c r="F852" t="s">
        <v>43</v>
      </c>
      <c r="G852">
        <v>-244.39570000000001</v>
      </c>
      <c r="H852" s="1">
        <v>-3.3037659999999999E-6</v>
      </c>
      <c r="I852">
        <v>365.81610000000001</v>
      </c>
      <c r="J852">
        <v>-272.5428</v>
      </c>
      <c r="K852">
        <v>1.1037090000000001</v>
      </c>
      <c r="L852">
        <v>367.46980000000002</v>
      </c>
      <c r="M852">
        <v>0.99993259999999995</v>
      </c>
      <c r="N852">
        <v>0</v>
      </c>
      <c r="O852">
        <v>6.6830120000000003E-3</v>
      </c>
      <c r="P852">
        <v>0.98817259999999996</v>
      </c>
      <c r="Q852">
        <v>0.15334400000000001</v>
      </c>
      <c r="R852">
        <v>-8.7242199999999998E-4</v>
      </c>
      <c r="S852">
        <v>3.0542910000000001</v>
      </c>
      <c r="T852">
        <v>-0.11891930000000001</v>
      </c>
      <c r="U852">
        <v>-0.17813109999999999</v>
      </c>
      <c r="V852">
        <v>7.4752759999999899E-3</v>
      </c>
      <c r="W852">
        <v>0.16271479999999999</v>
      </c>
      <c r="X852">
        <v>0.98664479999999999</v>
      </c>
      <c r="Y852">
        <v>6.4839320000000006E-2</v>
      </c>
      <c r="Z852">
        <v>-1.5206239999999999E-3</v>
      </c>
      <c r="AA852">
        <v>0.99789459999999996</v>
      </c>
      <c r="AB852">
        <v>38</v>
      </c>
      <c r="AC852">
        <v>28.147099999999899</v>
      </c>
      <c r="AD852">
        <v>-1.1037123037659999</v>
      </c>
      <c r="AE852">
        <v>-1.6537000000000099</v>
      </c>
      <c r="AF852">
        <v>1.8389610850032501</v>
      </c>
      <c r="AG852">
        <v>-1.1037123037659999</v>
      </c>
      <c r="AH852">
        <v>28.092372826418998</v>
      </c>
      <c r="AI852">
        <v>92.245118198078302</v>
      </c>
      <c r="AJ852">
        <v>86.254691857895907</v>
      </c>
      <c r="AK852">
        <v>28.1741258913239</v>
      </c>
      <c r="AL852">
        <v>80.635491552897804</v>
      </c>
      <c r="AM852">
        <v>89.565909058110194</v>
      </c>
      <c r="AN852">
        <v>0.99999997362867699</v>
      </c>
    </row>
    <row r="853" spans="1:40" x14ac:dyDescent="0.25">
      <c r="A853" t="str">
        <f>"20190312172346182"</f>
        <v>20190312172346182</v>
      </c>
      <c r="B853" t="str">
        <f>"1552382626170814"</f>
        <v>1552382626170814</v>
      </c>
      <c r="C853" t="s">
        <v>40</v>
      </c>
      <c r="D853">
        <v>3.7298309999999999</v>
      </c>
      <c r="E853">
        <v>0.5213236</v>
      </c>
      <c r="F853" t="s">
        <v>43</v>
      </c>
      <c r="G853">
        <v>-244.3006</v>
      </c>
      <c r="H853" s="1">
        <v>-3.3468950000000002E-6</v>
      </c>
      <c r="I853">
        <v>365.8263</v>
      </c>
      <c r="J853">
        <v>-272.34780000000001</v>
      </c>
      <c r="K853">
        <v>1.104258</v>
      </c>
      <c r="L853">
        <v>367.47120000000001</v>
      </c>
      <c r="M853">
        <v>0.99993080000000001</v>
      </c>
      <c r="N853">
        <v>0</v>
      </c>
      <c r="O853">
        <v>6.6891390000000002E-3</v>
      </c>
      <c r="P853">
        <v>0.98821159999999997</v>
      </c>
      <c r="Q853">
        <v>0.15309200000000001</v>
      </c>
      <c r="R853">
        <v>-8.7539249999999996E-4</v>
      </c>
      <c r="S853">
        <v>3.05423</v>
      </c>
      <c r="T853">
        <v>-0.1193601</v>
      </c>
      <c r="U853">
        <v>-0.17773439999999999</v>
      </c>
      <c r="V853">
        <v>7.48447E-3</v>
      </c>
      <c r="W853">
        <v>0.1626503</v>
      </c>
      <c r="X853">
        <v>0.98665539999999996</v>
      </c>
      <c r="Y853">
        <v>6.4717109999999994E-2</v>
      </c>
      <c r="Z853">
        <v>-1.524147E-3</v>
      </c>
      <c r="AA853">
        <v>0.99790250000000003</v>
      </c>
      <c r="AB853">
        <v>38</v>
      </c>
      <c r="AC853">
        <v>28.0472</v>
      </c>
      <c r="AD853">
        <v>-1.104261346895</v>
      </c>
      <c r="AE853">
        <v>-1.6449</v>
      </c>
      <c r="AF853">
        <v>1.82965713843804</v>
      </c>
      <c r="AG853">
        <v>-1.104261346895</v>
      </c>
      <c r="AH853">
        <v>27.992326304105099</v>
      </c>
      <c r="AI853">
        <v>92.254268254653894</v>
      </c>
      <c r="AJ853">
        <v>86.260306422896605</v>
      </c>
      <c r="AK853">
        <v>28.073784395445902</v>
      </c>
      <c r="AL853">
        <v>80.639237349603903</v>
      </c>
      <c r="AM853">
        <v>89.565379850105401</v>
      </c>
      <c r="AN853">
        <v>1.00000000786521</v>
      </c>
    </row>
    <row r="854" spans="1:40" x14ac:dyDescent="0.25">
      <c r="A854" t="str">
        <f>"20190312172346196"</f>
        <v>20190312172346196</v>
      </c>
      <c r="B854" t="str">
        <f>"1552382626190334"</f>
        <v>1552382626190334</v>
      </c>
      <c r="C854" t="s">
        <v>40</v>
      </c>
      <c r="D854">
        <v>3.6910509999999999</v>
      </c>
      <c r="E854">
        <v>0.52140540000000002</v>
      </c>
      <c r="F854" t="s">
        <v>43</v>
      </c>
      <c r="G854">
        <v>-244.2252</v>
      </c>
      <c r="H854" s="1">
        <v>-3.382299E-6</v>
      </c>
      <c r="I854">
        <v>365.8279</v>
      </c>
      <c r="J854">
        <v>-272.11219999999997</v>
      </c>
      <c r="K854">
        <v>1.104838</v>
      </c>
      <c r="L854">
        <v>367.47269999999997</v>
      </c>
      <c r="M854">
        <v>0.9999287</v>
      </c>
      <c r="N854">
        <v>0</v>
      </c>
      <c r="O854">
        <v>6.6954930000000003E-3</v>
      </c>
      <c r="P854">
        <v>0.98826069999999999</v>
      </c>
      <c r="Q854">
        <v>0.1527751</v>
      </c>
      <c r="R854">
        <v>-7.4456629999999999E-4</v>
      </c>
      <c r="S854">
        <v>3.0541689999999999</v>
      </c>
      <c r="T854">
        <v>-0.1199247</v>
      </c>
      <c r="U854">
        <v>-0.17846679999999901</v>
      </c>
      <c r="V854">
        <v>7.3598830000000002E-3</v>
      </c>
      <c r="W854">
        <v>0.1625431</v>
      </c>
      <c r="X854">
        <v>0.98667400000000005</v>
      </c>
      <c r="Y854">
        <v>6.4962400000000003E-2</v>
      </c>
      <c r="Z854">
        <v>-1.536431E-3</v>
      </c>
      <c r="AA854">
        <v>0.99788650000000001</v>
      </c>
      <c r="AB854">
        <v>38</v>
      </c>
      <c r="AC854">
        <v>27.886999999999901</v>
      </c>
      <c r="AD854">
        <v>-1.104841382299</v>
      </c>
      <c r="AE854">
        <v>-1.6447999999999701</v>
      </c>
      <c r="AF854">
        <v>1.8286291551456599</v>
      </c>
      <c r="AG854">
        <v>-1.104841382299</v>
      </c>
      <c r="AH854">
        <v>27.831827440030601</v>
      </c>
      <c r="AI854">
        <v>92.268393905649901</v>
      </c>
      <c r="AJ854">
        <v>86.240909463252294</v>
      </c>
      <c r="AK854">
        <v>27.913709494059098</v>
      </c>
      <c r="AL854">
        <v>80.645462265525893</v>
      </c>
      <c r="AM854">
        <v>89.572622352680796</v>
      </c>
      <c r="AN854">
        <v>1.0000000047556901</v>
      </c>
    </row>
    <row r="855" spans="1:40" x14ac:dyDescent="0.25">
      <c r="A855" t="str">
        <f>"20190312172346207"</f>
        <v>20190312172346207</v>
      </c>
      <c r="B855" t="str">
        <f>"1552382626201070"</f>
        <v>1552382626201070</v>
      </c>
      <c r="C855" t="s">
        <v>40</v>
      </c>
      <c r="D855">
        <v>3.8241209999999999</v>
      </c>
      <c r="E855">
        <v>0.52145770000000002</v>
      </c>
      <c r="F855" t="s">
        <v>43</v>
      </c>
      <c r="G855">
        <v>-244.10570000000001</v>
      </c>
      <c r="H855" s="1">
        <v>-3.4376310000000001E-6</v>
      </c>
      <c r="I855">
        <v>365.83420000000001</v>
      </c>
      <c r="J855">
        <v>-271.90809999999999</v>
      </c>
      <c r="K855">
        <v>1.1053029999999999</v>
      </c>
      <c r="L855">
        <v>367.47410000000002</v>
      </c>
      <c r="M855">
        <v>0.99992689999999995</v>
      </c>
      <c r="N855">
        <v>0</v>
      </c>
      <c r="O855">
        <v>6.7024750000000003E-3</v>
      </c>
      <c r="P855">
        <v>0.98826950000000002</v>
      </c>
      <c r="Q855">
        <v>0.15271899999999999</v>
      </c>
      <c r="R855">
        <v>-6.3841280000000004E-4</v>
      </c>
      <c r="S855">
        <v>3.054138</v>
      </c>
      <c r="T855">
        <v>-0.12048449999999999</v>
      </c>
      <c r="U855">
        <v>-0.17868039999999999</v>
      </c>
      <c r="V855">
        <v>7.2610729999999998E-3</v>
      </c>
      <c r="W855">
        <v>0.16265969999999999</v>
      </c>
      <c r="X855">
        <v>0.98665550000000002</v>
      </c>
      <c r="Y855">
        <v>6.5038929999999995E-2</v>
      </c>
      <c r="Z855">
        <v>-1.5453929999999999E-3</v>
      </c>
      <c r="AA855">
        <v>0.99788149999999998</v>
      </c>
      <c r="AB855">
        <v>38</v>
      </c>
      <c r="AC855">
        <v>27.802399999999899</v>
      </c>
      <c r="AD855">
        <v>-1.105306437631</v>
      </c>
      <c r="AE855">
        <v>-1.6399000000000099</v>
      </c>
      <c r="AF855">
        <v>1.8233456402430299</v>
      </c>
      <c r="AG855">
        <v>-1.105306437631</v>
      </c>
      <c r="AH855">
        <v>27.747080646562299</v>
      </c>
      <c r="AI855">
        <v>92.276270103140703</v>
      </c>
      <c r="AJ855">
        <v>86.240324336871197</v>
      </c>
      <c r="AK855">
        <v>27.828883844877701</v>
      </c>
      <c r="AL855">
        <v>80.638691316657102</v>
      </c>
      <c r="AM855">
        <v>89.578351990827798</v>
      </c>
      <c r="AN855">
        <v>0.99999998843272497</v>
      </c>
    </row>
    <row r="856" spans="1:40" x14ac:dyDescent="0.25">
      <c r="A856" t="str">
        <f>"20190312172346220"</f>
        <v>20190312172346220</v>
      </c>
      <c r="B856" t="str">
        <f>"1552382626210361"</f>
        <v>1552382626210361</v>
      </c>
      <c r="C856" t="s">
        <v>40</v>
      </c>
      <c r="D856">
        <v>3.7035559999999998</v>
      </c>
      <c r="E856">
        <v>0.52149809999999996</v>
      </c>
      <c r="F856" t="s">
        <v>43</v>
      </c>
      <c r="G856">
        <v>-243.90639999999999</v>
      </c>
      <c r="H856" s="1">
        <v>-3.5314909999999999E-6</v>
      </c>
      <c r="I856">
        <v>365.83609999999999</v>
      </c>
      <c r="J856">
        <v>-271.68920000000003</v>
      </c>
      <c r="K856">
        <v>1.1057680000000001</v>
      </c>
      <c r="L856">
        <v>367.47559999999999</v>
      </c>
      <c r="M856">
        <v>0.99992510000000001</v>
      </c>
      <c r="N856">
        <v>0</v>
      </c>
      <c r="O856">
        <v>6.7119629999999996E-3</v>
      </c>
      <c r="P856">
        <v>0.98829710000000004</v>
      </c>
      <c r="Q856">
        <v>0.15254129999999999</v>
      </c>
      <c r="R856">
        <v>-5.069594E-4</v>
      </c>
      <c r="S856">
        <v>3.0540769999999999</v>
      </c>
      <c r="T856">
        <v>-0.1205531</v>
      </c>
      <c r="U856">
        <v>-0.1786499</v>
      </c>
      <c r="V856">
        <v>7.1397869999999999E-3</v>
      </c>
      <c r="W856">
        <v>0.1626602</v>
      </c>
      <c r="X856">
        <v>0.98665630000000004</v>
      </c>
      <c r="Y856">
        <v>6.503958E-2</v>
      </c>
      <c r="Z856">
        <v>-1.546691E-3</v>
      </c>
      <c r="AA856">
        <v>0.99788149999999998</v>
      </c>
      <c r="AB856">
        <v>38</v>
      </c>
      <c r="AC856">
        <v>27.782800000000002</v>
      </c>
      <c r="AD856">
        <v>-1.1057715314909999</v>
      </c>
      <c r="AE856">
        <v>-1.63949999999999</v>
      </c>
      <c r="AF856">
        <v>1.8230720767997799</v>
      </c>
      <c r="AG856">
        <v>-1.1057715314909999</v>
      </c>
      <c r="AH856">
        <v>27.727399108760899</v>
      </c>
      <c r="AI856">
        <v>92.278836154355005</v>
      </c>
      <c r="AJ856">
        <v>86.238226152549004</v>
      </c>
      <c r="AK856">
        <v>27.809260756330399</v>
      </c>
      <c r="AL856">
        <v>80.638662256996497</v>
      </c>
      <c r="AM856">
        <v>89.585395115299605</v>
      </c>
      <c r="AN856">
        <v>0.99999998577606697</v>
      </c>
    </row>
    <row r="857" spans="1:40" x14ac:dyDescent="0.25">
      <c r="A857" t="str">
        <f>"20190312172346238"</f>
        <v>20190312172346238</v>
      </c>
      <c r="B857" t="str">
        <f>"1552382626230857"</f>
        <v>1552382626230857</v>
      </c>
      <c r="C857" t="s">
        <v>40</v>
      </c>
      <c r="D857">
        <v>3.717282</v>
      </c>
      <c r="E857">
        <v>0.52153809999999901</v>
      </c>
      <c r="F857" t="s">
        <v>43</v>
      </c>
      <c r="G857">
        <v>-243.7927</v>
      </c>
      <c r="H857" s="1">
        <v>-3.5842360000000001E-6</v>
      </c>
      <c r="I857">
        <v>365.84190000000001</v>
      </c>
      <c r="J857">
        <v>-271.3947</v>
      </c>
      <c r="K857">
        <v>1.106309</v>
      </c>
      <c r="L857">
        <v>367.4776</v>
      </c>
      <c r="M857">
        <v>0.99992259999999999</v>
      </c>
      <c r="N857">
        <v>0</v>
      </c>
      <c r="O857">
        <v>6.7257439999999996E-3</v>
      </c>
      <c r="P857">
        <v>0.98832410000000004</v>
      </c>
      <c r="Q857">
        <v>0.15236720000000001</v>
      </c>
      <c r="R857">
        <v>-1.4989539999999999E-4</v>
      </c>
      <c r="S857">
        <v>3.054138</v>
      </c>
      <c r="T857">
        <v>-0.1210611</v>
      </c>
      <c r="U857">
        <v>-0.17886350000000001</v>
      </c>
      <c r="V857">
        <v>6.797193E-3</v>
      </c>
      <c r="W857">
        <v>0.16270589999999999</v>
      </c>
      <c r="X857">
        <v>0.98665119999999895</v>
      </c>
      <c r="Y857">
        <v>6.5121200000000004E-2</v>
      </c>
      <c r="Z857">
        <v>-1.5553310000000001E-3</v>
      </c>
      <c r="AA857">
        <v>0.99787619999999999</v>
      </c>
      <c r="AB857">
        <v>38</v>
      </c>
      <c r="AC857">
        <v>27.602</v>
      </c>
      <c r="AD857">
        <v>-1.106312584236</v>
      </c>
      <c r="AE857">
        <v>-1.6356999999999799</v>
      </c>
      <c r="AF857">
        <v>1.81840615024053</v>
      </c>
      <c r="AG857">
        <v>-1.106312584236</v>
      </c>
      <c r="AH857">
        <v>27.546276117956001</v>
      </c>
      <c r="AI857">
        <v>92.294885680655099</v>
      </c>
      <c r="AJ857">
        <v>86.223226189522606</v>
      </c>
      <c r="AK857">
        <v>27.628388596296102</v>
      </c>
      <c r="AL857">
        <v>80.636008632054896</v>
      </c>
      <c r="AM857">
        <v>89.605286741205305</v>
      </c>
      <c r="AN857">
        <v>1.0000000010944601</v>
      </c>
    </row>
    <row r="858" spans="1:40" x14ac:dyDescent="0.25">
      <c r="A858" t="str">
        <f>"20190312172346260"</f>
        <v>20190312172346260</v>
      </c>
      <c r="B858" t="str">
        <f>"1552382626250377"</f>
        <v>1552382626250377</v>
      </c>
      <c r="C858" t="s">
        <v>40</v>
      </c>
      <c r="D858">
        <v>3.7087919999999999</v>
      </c>
      <c r="E858">
        <v>0.52164529999999998</v>
      </c>
      <c r="F858" t="s">
        <v>43</v>
      </c>
      <c r="G858">
        <v>-243.58699999999999</v>
      </c>
      <c r="H858" s="1">
        <v>-3.6789329999999999E-6</v>
      </c>
      <c r="I858">
        <v>365.8562</v>
      </c>
      <c r="J858">
        <v>-271.00959999999998</v>
      </c>
      <c r="K858">
        <v>1.106943</v>
      </c>
      <c r="L858">
        <v>367.48020000000002</v>
      </c>
      <c r="M858">
        <v>0.99991969999999997</v>
      </c>
      <c r="N858">
        <v>0</v>
      </c>
      <c r="O858">
        <v>6.7419530000000002E-3</v>
      </c>
      <c r="P858">
        <v>0.98833910000000003</v>
      </c>
      <c r="Q858">
        <v>0.1522693</v>
      </c>
      <c r="R858">
        <v>-3.0104680000000002E-4</v>
      </c>
      <c r="S858">
        <v>3.0540769999999999</v>
      </c>
      <c r="T858">
        <v>-0.121504399999999</v>
      </c>
      <c r="U858">
        <v>-0.17807010000000001</v>
      </c>
      <c r="V858">
        <v>6.9646200000000004E-3</v>
      </c>
      <c r="W858">
        <v>0.1628724</v>
      </c>
      <c r="X858">
        <v>0.98662260000000002</v>
      </c>
      <c r="Y858">
        <v>6.4879950000000006E-2</v>
      </c>
      <c r="Z858">
        <v>-1.5569169999999999E-3</v>
      </c>
      <c r="AA858">
        <v>0.9978918</v>
      </c>
      <c r="AB858">
        <v>38</v>
      </c>
      <c r="AC858">
        <v>27.4225999999999</v>
      </c>
      <c r="AD858">
        <v>-1.106946678933</v>
      </c>
      <c r="AE858">
        <v>-1.6240000000000201</v>
      </c>
      <c r="AF858">
        <v>1.80592326727898</v>
      </c>
      <c r="AG858">
        <v>-1.106946678933</v>
      </c>
      <c r="AH858">
        <v>27.366590981739598</v>
      </c>
      <c r="AI858">
        <v>92.311263278385297</v>
      </c>
      <c r="AJ858">
        <v>86.224521468438496</v>
      </c>
      <c r="AK858">
        <v>27.448442428654001</v>
      </c>
      <c r="AL858">
        <v>80.626340277905399</v>
      </c>
      <c r="AM858">
        <v>89.595552844651394</v>
      </c>
      <c r="AN858">
        <v>1.00000003972213</v>
      </c>
    </row>
    <row r="859" spans="1:40" x14ac:dyDescent="0.25">
      <c r="A859" t="str">
        <f>"20190312172346271"</f>
        <v>20190312172346271</v>
      </c>
      <c r="B859" t="str">
        <f>"1552382626261114"</f>
        <v>1552382626261114</v>
      </c>
      <c r="C859" t="s">
        <v>40</v>
      </c>
      <c r="D859">
        <v>3.7063600000000001</v>
      </c>
      <c r="E859">
        <v>0.52168009999999998</v>
      </c>
      <c r="F859" t="s">
        <v>43</v>
      </c>
      <c r="G859">
        <v>-243.2278</v>
      </c>
      <c r="H859" s="1">
        <v>-3.8499259999999996E-6</v>
      </c>
      <c r="I859">
        <v>365.84949999999998</v>
      </c>
      <c r="J859">
        <v>-270.81659999999999</v>
      </c>
      <c r="K859">
        <v>1.1072109999999999</v>
      </c>
      <c r="L859">
        <v>367.48140000000001</v>
      </c>
      <c r="M859">
        <v>0.99991830000000004</v>
      </c>
      <c r="N859">
        <v>0</v>
      </c>
      <c r="O859">
        <v>6.7492269999999896E-3</v>
      </c>
      <c r="P859">
        <v>0.98832620000000004</v>
      </c>
      <c r="Q859">
        <v>0.1523524</v>
      </c>
      <c r="R859">
        <v>-5.6196000000000002E-4</v>
      </c>
      <c r="S859">
        <v>3.0541079999999998</v>
      </c>
      <c r="T859">
        <v>-0.1216888</v>
      </c>
      <c r="U859">
        <v>-0.17926029999999901</v>
      </c>
      <c r="V859">
        <v>7.2323750000000001E-3</v>
      </c>
      <c r="W859">
        <v>0.16307469999999999</v>
      </c>
      <c r="X859">
        <v>0.9865872</v>
      </c>
      <c r="Y859">
        <v>6.5273689999999995E-2</v>
      </c>
      <c r="Z859">
        <v>-1.5673690000000001E-3</v>
      </c>
      <c r="AA859">
        <v>0.99786620000000004</v>
      </c>
      <c r="AB859">
        <v>38</v>
      </c>
      <c r="AC859">
        <v>27.5887999999999</v>
      </c>
      <c r="AD859">
        <v>-1.1072148499259999</v>
      </c>
      <c r="AE859">
        <v>-1.6319000000000301</v>
      </c>
      <c r="AF859">
        <v>1.8151634934857399</v>
      </c>
      <c r="AG859">
        <v>-1.1072148499259999</v>
      </c>
      <c r="AH859">
        <v>27.5329657937516</v>
      </c>
      <c r="AI859">
        <v>92.297877378089197</v>
      </c>
      <c r="AJ859">
        <v>86.228124340038505</v>
      </c>
      <c r="AK859">
        <v>27.614940677681702</v>
      </c>
      <c r="AL859">
        <v>80.614591749928607</v>
      </c>
      <c r="AM859">
        <v>89.579989340322101</v>
      </c>
      <c r="AN859">
        <v>0.99999998411603497</v>
      </c>
    </row>
    <row r="860" spans="1:40" x14ac:dyDescent="0.25">
      <c r="A860" t="str">
        <f>"20190312172346283"</f>
        <v>20190312172346283</v>
      </c>
      <c r="B860" t="str">
        <f>"1552382626270874"</f>
        <v>1552382626270874</v>
      </c>
      <c r="C860" t="s">
        <v>40</v>
      </c>
      <c r="D860">
        <v>3.7349939999999999</v>
      </c>
      <c r="E860">
        <v>0.52172640000000003</v>
      </c>
      <c r="F860" t="s">
        <v>43</v>
      </c>
      <c r="G860">
        <v>-242.9306</v>
      </c>
      <c r="H860" s="1">
        <v>-3.9929250000000004E-6</v>
      </c>
      <c r="I860">
        <v>365.83539999999999</v>
      </c>
      <c r="J860">
        <v>-270.61329999999998</v>
      </c>
      <c r="K860">
        <v>1.10748</v>
      </c>
      <c r="L860">
        <v>367.4828</v>
      </c>
      <c r="M860">
        <v>0.9999169</v>
      </c>
      <c r="N860">
        <v>0</v>
      </c>
      <c r="O860">
        <v>6.7565940000000003E-3</v>
      </c>
      <c r="P860">
        <v>0.98832169999999997</v>
      </c>
      <c r="Q860">
        <v>0.15238080000000001</v>
      </c>
      <c r="R860">
        <v>-5.4446789999999996E-4</v>
      </c>
      <c r="S860">
        <v>3.0540159999999998</v>
      </c>
      <c r="T860">
        <v>-0.1212596</v>
      </c>
      <c r="U860">
        <v>-0.18026729999999999</v>
      </c>
      <c r="V860">
        <v>7.22215599999999E-3</v>
      </c>
      <c r="W860">
        <v>0.1632257</v>
      </c>
      <c r="X860">
        <v>0.9865623</v>
      </c>
      <c r="Y860">
        <v>6.5610859999999993E-2</v>
      </c>
      <c r="Z860">
        <v>-1.568854E-3</v>
      </c>
      <c r="AA860">
        <v>0.99784399999999995</v>
      </c>
      <c r="AB860">
        <v>38</v>
      </c>
      <c r="AC860">
        <v>27.682699999999901</v>
      </c>
      <c r="AD860">
        <v>-1.107483992925</v>
      </c>
      <c r="AE860">
        <v>-1.6474</v>
      </c>
      <c r="AF860">
        <v>1.8314934540750301</v>
      </c>
      <c r="AG860">
        <v>-1.107483992925</v>
      </c>
      <c r="AH860">
        <v>27.626875540370101</v>
      </c>
      <c r="AI860">
        <v>92.290575532048194</v>
      </c>
      <c r="AJ860">
        <v>86.207188875550798</v>
      </c>
      <c r="AK860">
        <v>27.7096579046008</v>
      </c>
      <c r="AL860">
        <v>80.605822554402295</v>
      </c>
      <c r="AM860">
        <v>89.580572188724105</v>
      </c>
      <c r="AN860">
        <v>0.99999998022953396</v>
      </c>
    </row>
    <row r="861" spans="1:40" x14ac:dyDescent="0.25">
      <c r="A861" t="str">
        <f>"20190312172346295"</f>
        <v>20190312172346295</v>
      </c>
      <c r="B861" t="str">
        <f>"1552382626290394"</f>
        <v>1552382626290394</v>
      </c>
      <c r="C861" t="s">
        <v>40</v>
      </c>
      <c r="D861">
        <v>3.7171989999999999</v>
      </c>
      <c r="E861">
        <v>0.52177609999999996</v>
      </c>
      <c r="F861" t="s">
        <v>43</v>
      </c>
      <c r="G861">
        <v>-242.70650000000001</v>
      </c>
      <c r="H861" s="1">
        <v>-4.09912E-6</v>
      </c>
      <c r="I861">
        <v>365.834</v>
      </c>
      <c r="J861">
        <v>-270.40660000000003</v>
      </c>
      <c r="K861">
        <v>1.107723</v>
      </c>
      <c r="L861">
        <v>367.48430000000002</v>
      </c>
      <c r="M861">
        <v>0.99991569999999996</v>
      </c>
      <c r="N861">
        <v>0</v>
      </c>
      <c r="O861">
        <v>6.7639950000000001E-3</v>
      </c>
      <c r="P861">
        <v>0.98835079999999997</v>
      </c>
      <c r="Q861">
        <v>0.15219369999999999</v>
      </c>
      <c r="R861">
        <v>-6.0899279999999999E-4</v>
      </c>
      <c r="S861">
        <v>3.0540470000000002</v>
      </c>
      <c r="T861">
        <v>-0.1212</v>
      </c>
      <c r="U861">
        <v>-0.18045040000000001</v>
      </c>
      <c r="V861">
        <v>7.2941419999999896E-3</v>
      </c>
      <c r="W861">
        <v>0.16315370000000001</v>
      </c>
      <c r="X861">
        <v>0.9865737</v>
      </c>
      <c r="Y861">
        <v>6.5677289999999999E-2</v>
      </c>
      <c r="Z861">
        <v>-1.569675E-3</v>
      </c>
      <c r="AA861">
        <v>0.9978397</v>
      </c>
      <c r="AB861">
        <v>38</v>
      </c>
      <c r="AC861">
        <v>27.700099999999999</v>
      </c>
      <c r="AD861">
        <v>-1.1077270991199999</v>
      </c>
      <c r="AE861">
        <v>-1.6503000000000101</v>
      </c>
      <c r="AF861">
        <v>1.83471339310129</v>
      </c>
      <c r="AG861">
        <v>-1.1077270991199999</v>
      </c>
      <c r="AH861">
        <v>27.644250611898801</v>
      </c>
      <c r="AI861">
        <v>92.289628041441006</v>
      </c>
      <c r="AJ861">
        <v>86.202921331385696</v>
      </c>
      <c r="AK861">
        <v>27.7272036897776</v>
      </c>
      <c r="AL861">
        <v>80.610004089475098</v>
      </c>
      <c r="AM861">
        <v>89.576396637062402</v>
      </c>
      <c r="AN861">
        <v>0.99999999993144795</v>
      </c>
    </row>
    <row r="862" spans="1:40" x14ac:dyDescent="0.25">
      <c r="A862" t="str">
        <f>"20190312172346306"</f>
        <v>20190312172346306</v>
      </c>
      <c r="B862" t="str">
        <f>"1552382626300154"</f>
        <v>1552382626300154</v>
      </c>
      <c r="C862" t="s">
        <v>40</v>
      </c>
      <c r="D862">
        <v>3.764411</v>
      </c>
      <c r="E862">
        <v>0.52027500000000004</v>
      </c>
      <c r="F862" t="s">
        <v>43</v>
      </c>
      <c r="G862">
        <v>-242.55719999999999</v>
      </c>
      <c r="H862" s="1">
        <v>-4.1703599999999997E-6</v>
      </c>
      <c r="I862">
        <v>365.83010000000002</v>
      </c>
      <c r="J862">
        <v>-270.21660000000003</v>
      </c>
      <c r="K862">
        <v>1.1079289999999999</v>
      </c>
      <c r="L862">
        <v>367.48559999999998</v>
      </c>
      <c r="M862">
        <v>0.99991439999999998</v>
      </c>
      <c r="N862">
        <v>0</v>
      </c>
      <c r="O862">
        <v>6.7714669999999998E-3</v>
      </c>
      <c r="P862">
        <v>0.98835479999999998</v>
      </c>
      <c r="Q862">
        <v>0.15216589999999999</v>
      </c>
      <c r="R862">
        <v>-5.7247750000000001E-4</v>
      </c>
      <c r="S862">
        <v>3.0539860000000001</v>
      </c>
      <c r="T862">
        <v>-0.12147429999999999</v>
      </c>
      <c r="U862">
        <v>-0.18139649999999999</v>
      </c>
      <c r="V862">
        <v>7.2653479999999996E-3</v>
      </c>
      <c r="W862">
        <v>0.1632266</v>
      </c>
      <c r="X862">
        <v>0.98656180000000004</v>
      </c>
      <c r="Y862">
        <v>6.5993430000000006E-2</v>
      </c>
      <c r="Z862">
        <v>-1.579818E-3</v>
      </c>
      <c r="AA862">
        <v>0.99781880000000001</v>
      </c>
      <c r="AB862">
        <v>38</v>
      </c>
      <c r="AC862">
        <v>27.659400000000002</v>
      </c>
      <c r="AD862">
        <v>-1.1079331703599999</v>
      </c>
      <c r="AE862">
        <v>-1.65549999999996</v>
      </c>
      <c r="AF862">
        <v>1.83982701554507</v>
      </c>
      <c r="AG862">
        <v>-1.1079331703599999</v>
      </c>
      <c r="AH862">
        <v>27.603423128289499</v>
      </c>
      <c r="AI862">
        <v>92.293394076691897</v>
      </c>
      <c r="AJ862">
        <v>86.186754228726898</v>
      </c>
      <c r="AK862">
        <v>27.686846114292301</v>
      </c>
      <c r="AL862">
        <v>80.605769969619701</v>
      </c>
      <c r="AM862">
        <v>89.578063683319897</v>
      </c>
      <c r="AN862">
        <v>0.99999994672417902</v>
      </c>
    </row>
    <row r="863" spans="1:40" x14ac:dyDescent="0.25">
      <c r="A863" t="str">
        <f>"20190312172346318"</f>
        <v>20190312172346318</v>
      </c>
      <c r="B863" t="str">
        <f>"1552382626310422"</f>
        <v>1552382626310422</v>
      </c>
      <c r="C863" t="s">
        <v>40</v>
      </c>
      <c r="D863">
        <v>3.7028430000000001</v>
      </c>
      <c r="E863">
        <v>0.52027500000000004</v>
      </c>
      <c r="F863" t="s">
        <v>41</v>
      </c>
      <c r="G863">
        <v>-269.22149999999999</v>
      </c>
      <c r="H863">
        <v>1.0520890000000001</v>
      </c>
      <c r="I863">
        <v>367.43020000000001</v>
      </c>
      <c r="J863">
        <v>-270.01060000000001</v>
      </c>
      <c r="K863">
        <v>1.108134</v>
      </c>
      <c r="L863">
        <v>367.48689999999999</v>
      </c>
      <c r="M863">
        <v>0.9999131</v>
      </c>
      <c r="N863">
        <v>0</v>
      </c>
      <c r="O863">
        <v>6.7796310000000004E-3</v>
      </c>
      <c r="P863">
        <v>0.98834469999999996</v>
      </c>
      <c r="Q863">
        <v>0.1522319</v>
      </c>
      <c r="R863">
        <v>-6.7081629999999996E-4</v>
      </c>
      <c r="S863">
        <v>3.0617369999999999</v>
      </c>
      <c r="T863">
        <v>-0.17205039999999999</v>
      </c>
      <c r="U863">
        <v>-0.16967769999999999</v>
      </c>
      <c r="V863">
        <v>7.3716199999999997E-3</v>
      </c>
      <c r="W863">
        <v>0.16339600000000001</v>
      </c>
      <c r="X863">
        <v>0.98653299999999999</v>
      </c>
      <c r="Y863">
        <v>6.1994100000000003E-2</v>
      </c>
      <c r="Z863">
        <v>-2.1195559999999999E-3</v>
      </c>
      <c r="AA863">
        <v>0.99807429999999997</v>
      </c>
      <c r="AB863">
        <v>38</v>
      </c>
      <c r="AC863">
        <v>0.78910000000001901</v>
      </c>
      <c r="AD863">
        <v>-5.60449999999999E-2</v>
      </c>
      <c r="AE863">
        <v>-5.66999999999779E-2</v>
      </c>
      <c r="AF863">
        <v>6.1739008868724701E-2</v>
      </c>
      <c r="AG863">
        <v>-5.60449999999999E-2</v>
      </c>
      <c r="AH863">
        <v>0.78475912619769705</v>
      </c>
      <c r="AI863">
        <v>94.072405955431904</v>
      </c>
      <c r="AJ863">
        <v>85.501659755195405</v>
      </c>
      <c r="AK863">
        <v>0.78917655400529096</v>
      </c>
      <c r="AL863">
        <v>80.595932270850398</v>
      </c>
      <c r="AM863">
        <v>89.571879649607595</v>
      </c>
      <c r="AN863">
        <v>0.99999997684321196</v>
      </c>
    </row>
    <row r="864" spans="1:40" x14ac:dyDescent="0.25">
      <c r="A864" t="str">
        <f>"20190312172346328"</f>
        <v>20190312172346328</v>
      </c>
      <c r="B864" t="str">
        <f>"1552382626320182"</f>
        <v>1552382626320182</v>
      </c>
      <c r="C864" t="s">
        <v>40</v>
      </c>
      <c r="D864">
        <v>3.7485529999999998</v>
      </c>
      <c r="E864">
        <v>0.52456480000000005</v>
      </c>
      <c r="F864" t="s">
        <v>43</v>
      </c>
      <c r="G864">
        <v>-250.26329999999999</v>
      </c>
      <c r="H864" s="1">
        <v>-4.7319039999999996E-6</v>
      </c>
      <c r="I864">
        <v>366.38839999999999</v>
      </c>
      <c r="J864">
        <v>-269.83339999999998</v>
      </c>
      <c r="K864">
        <v>1.10829</v>
      </c>
      <c r="L864">
        <v>367.48820000000001</v>
      </c>
      <c r="M864">
        <v>0.99991209999999997</v>
      </c>
      <c r="N864">
        <v>0</v>
      </c>
      <c r="O864">
        <v>6.7868900000000003E-3</v>
      </c>
      <c r="P864">
        <v>0.98834739999999999</v>
      </c>
      <c r="Q864">
        <v>0.15221399999999999</v>
      </c>
      <c r="R864">
        <v>-6.4763570000000005E-4</v>
      </c>
      <c r="S864">
        <v>3.0617369999999999</v>
      </c>
      <c r="T864">
        <v>-0.17181160000000001</v>
      </c>
      <c r="U864">
        <v>-0.17031859999999999</v>
      </c>
      <c r="V864">
        <v>7.3558529999999999E-3</v>
      </c>
      <c r="W864">
        <v>0.16346140000000001</v>
      </c>
      <c r="X864">
        <v>0.98652229999999996</v>
      </c>
      <c r="Y864">
        <v>6.2209569999999999E-2</v>
      </c>
      <c r="Z864">
        <v>-2.12305E-3</v>
      </c>
      <c r="AA864">
        <v>0.99806079999999997</v>
      </c>
      <c r="AB864">
        <v>38</v>
      </c>
      <c r="AC864">
        <v>19.5701</v>
      </c>
      <c r="AD864">
        <v>-1.108294731904</v>
      </c>
      <c r="AE864">
        <v>-1.0998000000000101</v>
      </c>
      <c r="AF864">
        <v>1.22867521260642</v>
      </c>
      <c r="AG864">
        <v>-1.108294731904</v>
      </c>
      <c r="AH864">
        <v>19.499841741718502</v>
      </c>
      <c r="AI864">
        <v>93.246543766238702</v>
      </c>
      <c r="AJ864">
        <v>86.394588130544406</v>
      </c>
      <c r="AK864">
        <v>19.569920488926499</v>
      </c>
      <c r="AL864">
        <v>80.592134215021801</v>
      </c>
      <c r="AM864">
        <v>89.572790679705903</v>
      </c>
      <c r="AN864">
        <v>0.99999999313030297</v>
      </c>
    </row>
    <row r="865" spans="1:40" x14ac:dyDescent="0.25">
      <c r="A865" t="str">
        <f>"20190312172346339"</f>
        <v>20190312172346339</v>
      </c>
      <c r="B865" t="str">
        <f>"1552382626330917"</f>
        <v>1552382626330917</v>
      </c>
      <c r="C865" t="s">
        <v>40</v>
      </c>
      <c r="D865">
        <v>3.738394</v>
      </c>
      <c r="E865">
        <v>0.52457929999999997</v>
      </c>
      <c r="F865" t="s">
        <v>43</v>
      </c>
      <c r="G865">
        <v>-240.35839999999999</v>
      </c>
      <c r="H865" s="1">
        <v>-5.2646340000000001E-6</v>
      </c>
      <c r="I865">
        <v>365.5206</v>
      </c>
      <c r="J865">
        <v>-269.62979999999999</v>
      </c>
      <c r="K865">
        <v>1.1084620000000001</v>
      </c>
      <c r="L865">
        <v>367.4896</v>
      </c>
      <c r="M865">
        <v>0.99991099999999999</v>
      </c>
      <c r="N865">
        <v>0</v>
      </c>
      <c r="O865">
        <v>6.7950390000000001E-3</v>
      </c>
      <c r="P865">
        <v>0.98832770000000003</v>
      </c>
      <c r="Q865">
        <v>0.152341899999999</v>
      </c>
      <c r="R865">
        <v>-7.2730379999999995E-4</v>
      </c>
      <c r="S865">
        <v>3.0529169999999999</v>
      </c>
      <c r="T865">
        <v>-0.114793699999999</v>
      </c>
      <c r="U865">
        <v>-0.20379639999999999</v>
      </c>
      <c r="V865">
        <v>7.4435419999999896E-3</v>
      </c>
      <c r="W865">
        <v>0.16368350000000001</v>
      </c>
      <c r="X865">
        <v>0.98648480000000005</v>
      </c>
      <c r="Y865">
        <v>7.3328879999999999E-2</v>
      </c>
      <c r="Z865">
        <v>-1.6317720000000001E-3</v>
      </c>
      <c r="AA865">
        <v>0.99730649999999998</v>
      </c>
      <c r="AB865">
        <v>38</v>
      </c>
      <c r="AC865">
        <v>29.2714</v>
      </c>
      <c r="AD865">
        <v>-1.1084672646339999</v>
      </c>
      <c r="AE865">
        <v>-1.9689999999999901</v>
      </c>
      <c r="AF865">
        <v>2.1647775757604499</v>
      </c>
      <c r="AG865">
        <v>-1.1084672646339999</v>
      </c>
      <c r="AH865">
        <v>29.215636392657299</v>
      </c>
      <c r="AI865">
        <v>92.166876139092594</v>
      </c>
      <c r="AJ865">
        <v>85.762325014543606</v>
      </c>
      <c r="AK865">
        <v>29.316691004566799</v>
      </c>
      <c r="AL865">
        <v>80.579234940097706</v>
      </c>
      <c r="AM865">
        <v>89.567681683920895</v>
      </c>
      <c r="AN865">
        <v>0.99999997756039705</v>
      </c>
    </row>
    <row r="866" spans="1:40" x14ac:dyDescent="0.25">
      <c r="A866" t="str">
        <f>"20190312172346351"</f>
        <v>20190312172346351</v>
      </c>
      <c r="B866" t="str">
        <f>"1552382626340678"</f>
        <v>1552382626340678</v>
      </c>
      <c r="C866" t="s">
        <v>40</v>
      </c>
      <c r="D866">
        <v>3.7236479999999998</v>
      </c>
      <c r="E866">
        <v>0.52440180000000003</v>
      </c>
      <c r="F866" t="s">
        <v>43</v>
      </c>
      <c r="G866">
        <v>-239.99369999999999</v>
      </c>
      <c r="H866" s="1">
        <v>-5.4392689999999999E-6</v>
      </c>
      <c r="I866">
        <v>365.50790000000001</v>
      </c>
      <c r="J866">
        <v>-269.44310000000002</v>
      </c>
      <c r="K866">
        <v>1.108598</v>
      </c>
      <c r="L866">
        <v>367.49079999999998</v>
      </c>
      <c r="M866">
        <v>0.99990990000000002</v>
      </c>
      <c r="N866">
        <v>0</v>
      </c>
      <c r="O866">
        <v>6.8024969999999898E-3</v>
      </c>
      <c r="P866">
        <v>0.98836230000000003</v>
      </c>
      <c r="Q866">
        <v>0.15211629999999901</v>
      </c>
      <c r="R866">
        <v>-7.2751990000000002E-4</v>
      </c>
      <c r="S866">
        <v>3.0528870000000001</v>
      </c>
      <c r="T866">
        <v>-0.1141862</v>
      </c>
      <c r="U866">
        <v>-0.20413210000000001</v>
      </c>
      <c r="V866">
        <v>7.4514159999999998E-3</v>
      </c>
      <c r="W866">
        <v>0.16353809999999999</v>
      </c>
      <c r="X866">
        <v>0.98650890000000002</v>
      </c>
      <c r="Y866">
        <v>7.344668E-2</v>
      </c>
      <c r="Z866">
        <v>-1.625631E-3</v>
      </c>
      <c r="AA866">
        <v>0.99729780000000001</v>
      </c>
      <c r="AB866">
        <v>38</v>
      </c>
      <c r="AC866">
        <v>29.449400000000001</v>
      </c>
      <c r="AD866">
        <v>-1.1086034392690001</v>
      </c>
      <c r="AE866">
        <v>-1.9828999999999699</v>
      </c>
      <c r="AF866">
        <v>2.1801214852656901</v>
      </c>
      <c r="AG866">
        <v>-1.1086034392690001</v>
      </c>
      <c r="AH866">
        <v>29.393763137858599</v>
      </c>
      <c r="AI866">
        <v>92.154009992540196</v>
      </c>
      <c r="AJ866">
        <v>85.758166079554798</v>
      </c>
      <c r="AK866">
        <v>29.495342728651501</v>
      </c>
      <c r="AL866">
        <v>80.587679957749202</v>
      </c>
      <c r="AM866">
        <v>89.567234954265004</v>
      </c>
      <c r="AN866">
        <v>1.00000002176561</v>
      </c>
    </row>
    <row r="867" spans="1:40" x14ac:dyDescent="0.25">
      <c r="A867" t="str">
        <f>"20190312172346364"</f>
        <v>20190312172346364</v>
      </c>
      <c r="B867" t="str">
        <f>"1552382626350438"</f>
        <v>1552382626350438</v>
      </c>
      <c r="C867" t="s">
        <v>40</v>
      </c>
      <c r="D867">
        <v>3.7254010000000002</v>
      </c>
      <c r="E867">
        <v>0.52443830000000002</v>
      </c>
      <c r="F867" t="s">
        <v>43</v>
      </c>
      <c r="G867">
        <v>-240.2037</v>
      </c>
      <c r="H867" s="1">
        <v>-5.3325110000000003E-6</v>
      </c>
      <c r="I867">
        <v>365.55040000000002</v>
      </c>
      <c r="J867">
        <v>-269.23689999999999</v>
      </c>
      <c r="K867">
        <v>1.108735</v>
      </c>
      <c r="L867">
        <v>367.49220000000003</v>
      </c>
      <c r="M867">
        <v>0.99990889999999999</v>
      </c>
      <c r="N867">
        <v>0</v>
      </c>
      <c r="O867">
        <v>6.8100340000000004E-3</v>
      </c>
      <c r="P867">
        <v>0.98836329999999994</v>
      </c>
      <c r="Q867">
        <v>0.15211150000000001</v>
      </c>
      <c r="R867">
        <v>-5.0220169999999999E-4</v>
      </c>
      <c r="S867">
        <v>3.0529790000000001</v>
      </c>
      <c r="T867">
        <v>-0.1157528</v>
      </c>
      <c r="U867">
        <v>-0.20260619999999999</v>
      </c>
      <c r="V867">
        <v>7.2333240000000002E-3</v>
      </c>
      <c r="W867">
        <v>0.1636204</v>
      </c>
      <c r="X867">
        <v>0.98649690000000001</v>
      </c>
      <c r="Y867">
        <v>7.2954770000000002E-2</v>
      </c>
      <c r="Z867">
        <v>-1.6388710000000001E-3</v>
      </c>
      <c r="AA867">
        <v>0.9973339</v>
      </c>
      <c r="AB867">
        <v>38</v>
      </c>
      <c r="AC867">
        <v>29.033199999999901</v>
      </c>
      <c r="AD867">
        <v>-1.1087403325109999</v>
      </c>
      <c r="AE867">
        <v>-1.9418</v>
      </c>
      <c r="AF867">
        <v>2.13638369486713</v>
      </c>
      <c r="AG867">
        <v>-1.1087403325109999</v>
      </c>
      <c r="AH867">
        <v>28.9772305097006</v>
      </c>
      <c r="AI867">
        <v>92.185283676464493</v>
      </c>
      <c r="AJ867">
        <v>85.783423537799706</v>
      </c>
      <c r="AK867">
        <v>29.0770240641809</v>
      </c>
      <c r="AL867">
        <v>80.582900352590997</v>
      </c>
      <c r="AM867">
        <v>89.579895780600197</v>
      </c>
      <c r="AN867">
        <v>1.0000000449909201</v>
      </c>
    </row>
    <row r="868" spans="1:40" x14ac:dyDescent="0.25">
      <c r="A868" t="str">
        <f>"20190312172346374"</f>
        <v>20190312172346374</v>
      </c>
      <c r="B868" t="str">
        <f>"1552382626360198"</f>
        <v>1552382626360198</v>
      </c>
      <c r="C868" t="s">
        <v>40</v>
      </c>
      <c r="D868">
        <v>3.7595860000000001</v>
      </c>
      <c r="E868">
        <v>0.52460799999999996</v>
      </c>
      <c r="F868" t="s">
        <v>43</v>
      </c>
      <c r="G868">
        <v>-240.16159999999999</v>
      </c>
      <c r="H868" s="1">
        <v>-5.3492320000000004E-6</v>
      </c>
      <c r="I868">
        <v>365.5684</v>
      </c>
      <c r="J868">
        <v>-269.03809999999999</v>
      </c>
      <c r="K868">
        <v>1.1088549999999999</v>
      </c>
      <c r="L868">
        <v>367.49360000000001</v>
      </c>
      <c r="M868">
        <v>0.99990809999999997</v>
      </c>
      <c r="N868">
        <v>0</v>
      </c>
      <c r="O868">
        <v>6.8156629999999996E-3</v>
      </c>
      <c r="P868">
        <v>0.98835759999999995</v>
      </c>
      <c r="Q868">
        <v>0.15214859999999999</v>
      </c>
      <c r="R868">
        <v>-5.2952580000000004E-4</v>
      </c>
      <c r="S868">
        <v>3.0531619999999999</v>
      </c>
      <c r="T868">
        <v>-0.1164274</v>
      </c>
      <c r="U868">
        <v>-0.20202639999999999</v>
      </c>
      <c r="V868">
        <v>7.2659409999999997E-3</v>
      </c>
      <c r="W868">
        <v>0.1637342</v>
      </c>
      <c r="X868">
        <v>0.98647770000000001</v>
      </c>
      <c r="Y868">
        <v>7.2767310000000002E-2</v>
      </c>
      <c r="Z868">
        <v>-1.644972E-3</v>
      </c>
      <c r="AA868">
        <v>0.9973476</v>
      </c>
      <c r="AB868">
        <v>38</v>
      </c>
      <c r="AC868">
        <v>28.8765</v>
      </c>
      <c r="AD868">
        <v>-1.1088603492319999</v>
      </c>
      <c r="AE868">
        <v>-1.92520000000001</v>
      </c>
      <c r="AF868">
        <v>2.1188706952067098</v>
      </c>
      <c r="AG868">
        <v>-1.1088603492319999</v>
      </c>
      <c r="AH868">
        <v>28.820397227057899</v>
      </c>
      <c r="AI868">
        <v>92.197434601616294</v>
      </c>
      <c r="AJ868">
        <v>85.795189059836602</v>
      </c>
      <c r="AK868">
        <v>28.919448138277399</v>
      </c>
      <c r="AL868">
        <v>80.576290220333803</v>
      </c>
      <c r="AM868">
        <v>89.577993273096297</v>
      </c>
      <c r="AN868">
        <v>0.99999996737277197</v>
      </c>
    </row>
    <row r="869" spans="1:40" x14ac:dyDescent="0.25">
      <c r="A869" t="str">
        <f>"20190312172346385"</f>
        <v>20190312172346385</v>
      </c>
      <c r="B869" t="str">
        <f>"1552382626380693"</f>
        <v>1552382626380693</v>
      </c>
      <c r="C869" t="s">
        <v>40</v>
      </c>
      <c r="D869">
        <v>3.722451</v>
      </c>
      <c r="E869">
        <v>0.52468680000000001</v>
      </c>
      <c r="F869" t="s">
        <v>43</v>
      </c>
      <c r="G869">
        <v>-240.05850000000001</v>
      </c>
      <c r="H869" s="1">
        <v>-5.3995209999999997E-6</v>
      </c>
      <c r="I869">
        <v>365.55959999999999</v>
      </c>
      <c r="J869">
        <v>-268.85059999999999</v>
      </c>
      <c r="K869">
        <v>1.108962</v>
      </c>
      <c r="L869">
        <v>367.49489999999997</v>
      </c>
      <c r="M869">
        <v>0.99990710000000005</v>
      </c>
      <c r="N869">
        <v>0</v>
      </c>
      <c r="O869">
        <v>6.8220989999999999E-3</v>
      </c>
      <c r="P869">
        <v>0.98837710000000001</v>
      </c>
      <c r="Q869">
        <v>0.1520215</v>
      </c>
      <c r="R869">
        <v>-6.5051529999999897E-4</v>
      </c>
      <c r="S869">
        <v>3.0532530000000002</v>
      </c>
      <c r="T869">
        <v>-0.116828</v>
      </c>
      <c r="U869">
        <v>-0.2037659</v>
      </c>
      <c r="V869">
        <v>7.3932340000000003E-3</v>
      </c>
      <c r="W869">
        <v>0.1636773</v>
      </c>
      <c r="X869">
        <v>0.98648630000000004</v>
      </c>
      <c r="Y869">
        <v>7.3336659999999998E-2</v>
      </c>
      <c r="Z869">
        <v>-1.6616700000000001E-3</v>
      </c>
      <c r="AA869">
        <v>0.99730589999999997</v>
      </c>
      <c r="AB869">
        <v>38</v>
      </c>
      <c r="AC869">
        <v>28.792099999999898</v>
      </c>
      <c r="AD869">
        <v>-1.1089673995209901</v>
      </c>
      <c r="AE869">
        <v>-1.93529999999998</v>
      </c>
      <c r="AF869">
        <v>2.12854766968848</v>
      </c>
      <c r="AG869">
        <v>-1.1089673995209901</v>
      </c>
      <c r="AH869">
        <v>28.735788033569101</v>
      </c>
      <c r="AI869">
        <v>92.204021470340294</v>
      </c>
      <c r="AJ869">
        <v>85.763663147598905</v>
      </c>
      <c r="AK869">
        <v>28.835846403141201</v>
      </c>
      <c r="AL869">
        <v>80.579595902098106</v>
      </c>
      <c r="AM869">
        <v>89.570604098082995</v>
      </c>
      <c r="AN869">
        <v>1.0000000692659701</v>
      </c>
    </row>
    <row r="870" spans="1:40" x14ac:dyDescent="0.25">
      <c r="A870" t="str">
        <f>"20190312172346397"</f>
        <v>20190312172346397</v>
      </c>
      <c r="B870" t="str">
        <f>"1552382626390453"</f>
        <v>1552382626390453</v>
      </c>
      <c r="C870" t="s">
        <v>40</v>
      </c>
      <c r="D870">
        <v>3.7526410000000001</v>
      </c>
      <c r="E870">
        <v>0.52471820000000002</v>
      </c>
      <c r="F870" t="s">
        <v>43</v>
      </c>
      <c r="G870">
        <v>-240.1232</v>
      </c>
      <c r="H870" s="1">
        <v>-5.3673329999999997E-6</v>
      </c>
      <c r="I870">
        <v>365.5686</v>
      </c>
      <c r="J870">
        <v>-268.65379999999999</v>
      </c>
      <c r="K870">
        <v>1.1090629999999999</v>
      </c>
      <c r="L870">
        <v>367.49619999999999</v>
      </c>
      <c r="M870">
        <v>0.99990630000000003</v>
      </c>
      <c r="N870">
        <v>0</v>
      </c>
      <c r="O870">
        <v>6.8295980000000001E-3</v>
      </c>
      <c r="P870">
        <v>0.98836139999999995</v>
      </c>
      <c r="Q870">
        <v>0.15212429999999999</v>
      </c>
      <c r="R870">
        <v>-5.1765890000000003E-4</v>
      </c>
      <c r="S870">
        <v>3.0532840000000001</v>
      </c>
      <c r="T870">
        <v>-0.11786629999999999</v>
      </c>
      <c r="U870">
        <v>-0.20474239999999999</v>
      </c>
      <c r="V870">
        <v>7.2680430000000001E-3</v>
      </c>
      <c r="W870">
        <v>0.16384949999999901</v>
      </c>
      <c r="X870">
        <v>0.98645859999999996</v>
      </c>
      <c r="Y870">
        <v>7.3659749999999996E-2</v>
      </c>
      <c r="Z870">
        <v>-1.682909E-3</v>
      </c>
      <c r="AA870">
        <v>0.997282</v>
      </c>
      <c r="AB870">
        <v>38</v>
      </c>
      <c r="AC870">
        <v>28.5306</v>
      </c>
      <c r="AD870">
        <v>-1.109068367333</v>
      </c>
      <c r="AE870">
        <v>-1.92759999999998</v>
      </c>
      <c r="AF870">
        <v>2.1192334467901799</v>
      </c>
      <c r="AG870">
        <v>-1.109068367333</v>
      </c>
      <c r="AH870">
        <v>28.473937242840702</v>
      </c>
      <c r="AI870">
        <v>92.224413939620007</v>
      </c>
      <c r="AJ870">
        <v>85.743487462575501</v>
      </c>
      <c r="AK870">
        <v>28.574224139154499</v>
      </c>
      <c r="AL870">
        <v>80.569594138893606</v>
      </c>
      <c r="AM870">
        <v>89.577863020057904</v>
      </c>
      <c r="AN870">
        <v>1.00000002630662</v>
      </c>
    </row>
    <row r="871" spans="1:40" x14ac:dyDescent="0.25">
      <c r="A871" t="str">
        <f>"20190312172346409"</f>
        <v>20190312172346409</v>
      </c>
      <c r="B871" t="str">
        <f>"1552382626400214"</f>
        <v>1552382626400214</v>
      </c>
      <c r="C871" t="s">
        <v>40</v>
      </c>
      <c r="D871">
        <v>3.7369880000000002</v>
      </c>
      <c r="E871">
        <v>0.52478610000000003</v>
      </c>
      <c r="F871" t="s">
        <v>43</v>
      </c>
      <c r="G871">
        <v>-240.08260000000001</v>
      </c>
      <c r="H871" s="1">
        <v>-5.3847549999999999E-6</v>
      </c>
      <c r="I871">
        <v>365.57850000000002</v>
      </c>
      <c r="J871">
        <v>-268.45749999999998</v>
      </c>
      <c r="K871">
        <v>1.109154</v>
      </c>
      <c r="L871">
        <v>367.49759999999998</v>
      </c>
      <c r="M871">
        <v>0.9999055</v>
      </c>
      <c r="N871">
        <v>0</v>
      </c>
      <c r="O871">
        <v>6.8365930000000002E-3</v>
      </c>
      <c r="P871">
        <v>0.98837010000000003</v>
      </c>
      <c r="Q871">
        <v>0.1520677</v>
      </c>
      <c r="R871">
        <v>-4.4638849999999999E-4</v>
      </c>
      <c r="S871">
        <v>3.0534669999999999</v>
      </c>
      <c r="T871">
        <v>-0.11852849999999999</v>
      </c>
      <c r="U871">
        <v>-0.2049561</v>
      </c>
      <c r="V871">
        <v>7.203999E-3</v>
      </c>
      <c r="W871">
        <v>0.163857</v>
      </c>
      <c r="X871">
        <v>0.98645780000000005</v>
      </c>
      <c r="Y871">
        <v>7.3731469999999993E-2</v>
      </c>
      <c r="Z871">
        <v>-1.69391299999999E-3</v>
      </c>
      <c r="AA871">
        <v>0.99727670000000002</v>
      </c>
      <c r="AB871">
        <v>38</v>
      </c>
      <c r="AC871">
        <v>28.374899999999901</v>
      </c>
      <c r="AD871">
        <v>-1.1091593847550001</v>
      </c>
      <c r="AE871">
        <v>-1.9190999999999501</v>
      </c>
      <c r="AF871">
        <v>2.1098474497203599</v>
      </c>
      <c r="AG871">
        <v>-1.1091593847550001</v>
      </c>
      <c r="AH871">
        <v>28.318043219424499</v>
      </c>
      <c r="AI871">
        <v>92.236817600141507</v>
      </c>
      <c r="AJ871">
        <v>85.7390270599263</v>
      </c>
      <c r="AK871">
        <v>28.418185420238899</v>
      </c>
      <c r="AL871">
        <v>80.569158307763402</v>
      </c>
      <c r="AM871">
        <v>89.5815823031039</v>
      </c>
      <c r="AN871">
        <v>1.0000000026157101</v>
      </c>
    </row>
    <row r="872" spans="1:40" x14ac:dyDescent="0.25">
      <c r="A872" t="str">
        <f>"20190312172346422"</f>
        <v>20190312172346422</v>
      </c>
      <c r="B872" t="str">
        <f>"1552382626410481"</f>
        <v>1552382626410481</v>
      </c>
      <c r="C872" t="s">
        <v>40</v>
      </c>
      <c r="D872">
        <v>3.7363309999999998</v>
      </c>
      <c r="E872">
        <v>0.52478610000000003</v>
      </c>
      <c r="F872" t="s">
        <v>43</v>
      </c>
      <c r="G872">
        <v>-239.73939999999999</v>
      </c>
      <c r="H872" s="1">
        <v>-1.1513600000000001E-6</v>
      </c>
      <c r="I872">
        <v>365.5702</v>
      </c>
      <c r="J872">
        <v>-268.24079999999998</v>
      </c>
      <c r="K872">
        <v>1.1092489999999999</v>
      </c>
      <c r="L872">
        <v>367.4991</v>
      </c>
      <c r="M872">
        <v>0.99990460000000003</v>
      </c>
      <c r="N872">
        <v>0</v>
      </c>
      <c r="O872">
        <v>6.8445789999999999E-3</v>
      </c>
      <c r="P872">
        <v>0.98836500000000005</v>
      </c>
      <c r="Q872">
        <v>0.1521006</v>
      </c>
      <c r="R872">
        <v>-3.8077260000000002E-4</v>
      </c>
      <c r="S872">
        <v>3.0533450000000002</v>
      </c>
      <c r="T872">
        <v>-0.1179264</v>
      </c>
      <c r="U872">
        <v>-0.20492550000000001</v>
      </c>
      <c r="V872">
        <v>7.1462060000000004E-3</v>
      </c>
      <c r="W872">
        <v>0.16395860000000001</v>
      </c>
      <c r="X872">
        <v>0.98644129999999997</v>
      </c>
      <c r="Y872">
        <v>7.3732790000000006E-2</v>
      </c>
      <c r="Z872">
        <v>-1.6857160000000001E-3</v>
      </c>
      <c r="AA872">
        <v>0.99727659999999996</v>
      </c>
      <c r="AB872">
        <v>38</v>
      </c>
      <c r="AC872">
        <v>28.501399999999901</v>
      </c>
      <c r="AD872">
        <v>-1.1092501513599999</v>
      </c>
      <c r="AE872">
        <v>-1.9288999999999901</v>
      </c>
      <c r="AF872">
        <v>2.1207512799221999</v>
      </c>
      <c r="AG872">
        <v>-1.1092501513599999</v>
      </c>
      <c r="AH872">
        <v>28.444640161989799</v>
      </c>
      <c r="AI872">
        <v>92.227045886093904</v>
      </c>
      <c r="AJ872">
        <v>85.736079058379701</v>
      </c>
      <c r="AK872">
        <v>28.5451497777585</v>
      </c>
      <c r="AL872">
        <v>80.563256886258401</v>
      </c>
      <c r="AM872">
        <v>89.584931935926804</v>
      </c>
      <c r="AN872">
        <v>0.99999996455992102</v>
      </c>
    </row>
    <row r="873" spans="1:40" x14ac:dyDescent="0.25">
      <c r="A873" t="str">
        <f>"20190312172346438"</f>
        <v>20190312172346438</v>
      </c>
      <c r="B873" t="str">
        <f>"1552382626430977"</f>
        <v>1552382626430977</v>
      </c>
      <c r="C873" t="s">
        <v>40</v>
      </c>
      <c r="D873">
        <v>3.747471</v>
      </c>
      <c r="E873">
        <v>0.52500859999999905</v>
      </c>
      <c r="F873" t="s">
        <v>43</v>
      </c>
      <c r="G873">
        <v>-239.49619999999999</v>
      </c>
      <c r="H873" s="1">
        <v>-1.233203E-6</v>
      </c>
      <c r="I873">
        <v>365.5736</v>
      </c>
      <c r="J873">
        <v>-267.9402</v>
      </c>
      <c r="K873">
        <v>1.109362</v>
      </c>
      <c r="L873">
        <v>367.50110000000001</v>
      </c>
      <c r="M873">
        <v>0.9999034</v>
      </c>
      <c r="N873">
        <v>0</v>
      </c>
      <c r="O873">
        <v>6.8549619999999896E-3</v>
      </c>
      <c r="P873">
        <v>0.98839370000000004</v>
      </c>
      <c r="Q873">
        <v>0.1519141</v>
      </c>
      <c r="R873">
        <v>-5.1113730000000004E-4</v>
      </c>
      <c r="S873">
        <v>3.0533450000000002</v>
      </c>
      <c r="T873">
        <v>-0.11782769999999999</v>
      </c>
      <c r="U873">
        <v>-0.20452880000000001</v>
      </c>
      <c r="V873">
        <v>7.2868619999999999E-3</v>
      </c>
      <c r="W873">
        <v>0.16385839999999999</v>
      </c>
      <c r="X873">
        <v>0.98645689999999997</v>
      </c>
      <c r="Y873">
        <v>7.3614310000000002E-2</v>
      </c>
      <c r="Z873">
        <v>-1.6824310000000001E-3</v>
      </c>
      <c r="AA873">
        <v>0.99728539999999999</v>
      </c>
      <c r="AB873">
        <v>38</v>
      </c>
      <c r="AC873">
        <v>28.443999999999999</v>
      </c>
      <c r="AD873">
        <v>-1.1093632332029999</v>
      </c>
      <c r="AE873">
        <v>-1.9275</v>
      </c>
      <c r="AF873">
        <v>2.1192425926849001</v>
      </c>
      <c r="AG873">
        <v>-1.1093632332029999</v>
      </c>
      <c r="AH873">
        <v>28.3871345627241</v>
      </c>
      <c r="AI873">
        <v>92.231763868348906</v>
      </c>
      <c r="AJ873">
        <v>85.730501521003404</v>
      </c>
      <c r="AK873">
        <v>28.4877391983295</v>
      </c>
      <c r="AL873">
        <v>80.569076442343899</v>
      </c>
      <c r="AM873">
        <v>89.576769299490394</v>
      </c>
      <c r="AN873">
        <v>0.99999994458298702</v>
      </c>
    </row>
    <row r="874" spans="1:40" x14ac:dyDescent="0.25">
      <c r="A874" t="str">
        <f>"20190312172346453"</f>
        <v>20190312172346453</v>
      </c>
      <c r="B874" t="str">
        <f>"1552382626440736"</f>
        <v>1552382626440736</v>
      </c>
      <c r="C874" t="s">
        <v>40</v>
      </c>
      <c r="D874">
        <v>3.7597589999999999</v>
      </c>
      <c r="E874">
        <v>0.52508239999999995</v>
      </c>
      <c r="F874" t="s">
        <v>43</v>
      </c>
      <c r="G874">
        <v>-239.38720000000001</v>
      </c>
      <c r="H874" s="1">
        <v>-1.2727009999999999E-6</v>
      </c>
      <c r="I874">
        <v>365.56450000000001</v>
      </c>
      <c r="J874">
        <v>-267.70319999999998</v>
      </c>
      <c r="K874">
        <v>1.109437</v>
      </c>
      <c r="L874">
        <v>367.50279999999998</v>
      </c>
      <c r="M874">
        <v>0.99990259999999997</v>
      </c>
      <c r="N874">
        <v>0</v>
      </c>
      <c r="O874">
        <v>6.8639909999999998E-3</v>
      </c>
      <c r="P874">
        <v>0.98844779999999999</v>
      </c>
      <c r="Q874">
        <v>0.15156059999999999</v>
      </c>
      <c r="R874">
        <v>-5.5497879999999997E-4</v>
      </c>
      <c r="S874">
        <v>3.053375</v>
      </c>
      <c r="T874">
        <v>-0.1186318</v>
      </c>
      <c r="U874">
        <v>-0.20709230000000001</v>
      </c>
      <c r="V874">
        <v>7.3401869999999998E-3</v>
      </c>
      <c r="W874">
        <v>0.163567299999999</v>
      </c>
      <c r="X874">
        <v>0.98650490000000002</v>
      </c>
      <c r="Y874">
        <v>7.4454690000000004E-2</v>
      </c>
      <c r="Z874">
        <v>-1.7104920000000001E-3</v>
      </c>
      <c r="AA874">
        <v>0.99722299999999997</v>
      </c>
      <c r="AB874">
        <v>38</v>
      </c>
      <c r="AC874">
        <v>28.315999999999899</v>
      </c>
      <c r="AD874">
        <v>-1.1094382727009999</v>
      </c>
      <c r="AE874">
        <v>-1.9382999999999599</v>
      </c>
      <c r="AF874">
        <v>2.1293758507430098</v>
      </c>
      <c r="AG874">
        <v>-1.1094382727009999</v>
      </c>
      <c r="AH874">
        <v>28.2588489756549</v>
      </c>
      <c r="AI874">
        <v>92.241919981875697</v>
      </c>
      <c r="AJ874">
        <v>85.690761527406806</v>
      </c>
      <c r="AK874">
        <v>28.3606706589166</v>
      </c>
      <c r="AL874">
        <v>80.585984152715298</v>
      </c>
      <c r="AM874">
        <v>89.573692968907594</v>
      </c>
      <c r="AN874">
        <v>1.0000000288492401</v>
      </c>
    </row>
    <row r="875" spans="1:40" x14ac:dyDescent="0.25">
      <c r="A875" t="str">
        <f>"20190312172346471"</f>
        <v>20190312172346471</v>
      </c>
      <c r="B875" t="str">
        <f>"1552382626460257"</f>
        <v>1552382626460257</v>
      </c>
      <c r="C875" t="s">
        <v>40</v>
      </c>
      <c r="D875">
        <v>3.7540749999999998</v>
      </c>
      <c r="E875">
        <v>0.52521149999999905</v>
      </c>
      <c r="F875" t="s">
        <v>43</v>
      </c>
      <c r="G875">
        <v>-239.38800000000001</v>
      </c>
      <c r="H875" s="1">
        <v>-1.2691390000000001E-6</v>
      </c>
      <c r="I875">
        <v>365.57679999999999</v>
      </c>
      <c r="J875">
        <v>-267.37849999999997</v>
      </c>
      <c r="K875">
        <v>1.109531</v>
      </c>
      <c r="L875">
        <v>367.505</v>
      </c>
      <c r="M875">
        <v>0.99990159999999995</v>
      </c>
      <c r="N875">
        <v>0</v>
      </c>
      <c r="O875">
        <v>6.8764319999999896E-3</v>
      </c>
      <c r="P875">
        <v>0.98843809999999999</v>
      </c>
      <c r="Q875">
        <v>0.1516246</v>
      </c>
      <c r="R875">
        <v>-4.5790799999999998E-4</v>
      </c>
      <c r="S875">
        <v>3.0532840000000001</v>
      </c>
      <c r="T875">
        <v>-0.1196328</v>
      </c>
      <c r="U875">
        <v>-0.2076721</v>
      </c>
      <c r="V875">
        <v>7.25562E-3</v>
      </c>
      <c r="W875">
        <v>0.16370879999999999</v>
      </c>
      <c r="X875">
        <v>0.98648199999999997</v>
      </c>
      <c r="Y875">
        <v>7.4656429999999996E-2</v>
      </c>
      <c r="Z875">
        <v>-1.7293880000000001E-3</v>
      </c>
      <c r="AA875">
        <v>0.99720779999999998</v>
      </c>
      <c r="AB875">
        <v>38</v>
      </c>
      <c r="AC875">
        <v>27.990499999999901</v>
      </c>
      <c r="AD875">
        <v>-1.1095322691389999</v>
      </c>
      <c r="AE875">
        <v>-1.9281999999999999</v>
      </c>
      <c r="AF875">
        <v>2.1173323178301802</v>
      </c>
      <c r="AG875">
        <v>-1.1095322691389999</v>
      </c>
      <c r="AH875">
        <v>27.932894395320801</v>
      </c>
      <c r="AI875">
        <v>92.268169887188606</v>
      </c>
      <c r="AJ875">
        <v>85.665230573046202</v>
      </c>
      <c r="AK875">
        <v>28.0349914803007</v>
      </c>
      <c r="AL875">
        <v>80.577765518753594</v>
      </c>
      <c r="AM875">
        <v>89.578594533200203</v>
      </c>
      <c r="AN875">
        <v>0.99999997577151101</v>
      </c>
    </row>
    <row r="876" spans="1:40" x14ac:dyDescent="0.25">
      <c r="A876" t="str">
        <f>"20190312172346484"</f>
        <v>20190312172346484</v>
      </c>
      <c r="B876" t="str">
        <f>"1552382626470993"</f>
        <v>1552382626470993</v>
      </c>
      <c r="C876" t="s">
        <v>40</v>
      </c>
      <c r="D876">
        <v>3.7837260000000001</v>
      </c>
      <c r="E876">
        <v>0.52526919999999899</v>
      </c>
      <c r="F876" t="s">
        <v>43</v>
      </c>
      <c r="G876">
        <v>-239.24529999999999</v>
      </c>
      <c r="H876" s="1">
        <v>-1.3160509999999999E-6</v>
      </c>
      <c r="I876">
        <v>365.58319999999998</v>
      </c>
      <c r="J876">
        <v>-267.16899999999998</v>
      </c>
      <c r="K876">
        <v>1.1095820000000001</v>
      </c>
      <c r="L876">
        <v>367.50650000000002</v>
      </c>
      <c r="M876">
        <v>0.99990100000000004</v>
      </c>
      <c r="N876">
        <v>0</v>
      </c>
      <c r="O876">
        <v>6.8841839999999998E-3</v>
      </c>
      <c r="P876">
        <v>0.98842600000000003</v>
      </c>
      <c r="Q876">
        <v>0.15170549999999999</v>
      </c>
      <c r="R876">
        <v>-4.1358360000000002E-4</v>
      </c>
      <c r="S876">
        <v>3.0534970000000001</v>
      </c>
      <c r="T876">
        <v>-0.120425</v>
      </c>
      <c r="U876">
        <v>-0.20858760000000001</v>
      </c>
      <c r="V876">
        <v>7.2188219999999997E-3</v>
      </c>
      <c r="W876">
        <v>0.16383629999999999</v>
      </c>
      <c r="X876">
        <v>0.98646109999999998</v>
      </c>
      <c r="Y876">
        <v>7.4955999999999995E-2</v>
      </c>
      <c r="Z876">
        <v>-1.7468939999999999E-3</v>
      </c>
      <c r="AA876">
        <v>0.99718530000000005</v>
      </c>
      <c r="AB876">
        <v>38</v>
      </c>
      <c r="AC876">
        <v>27.9237</v>
      </c>
      <c r="AD876">
        <v>-1.109583316051</v>
      </c>
      <c r="AE876">
        <v>-1.92330000000004</v>
      </c>
      <c r="AF876">
        <v>2.1121814589829002</v>
      </c>
      <c r="AG876">
        <v>-1.109583316051</v>
      </c>
      <c r="AH876">
        <v>27.866005025570399</v>
      </c>
      <c r="AI876">
        <v>92.273713668581607</v>
      </c>
      <c r="AJ876">
        <v>85.665395347970801</v>
      </c>
      <c r="AK876">
        <v>27.967958841074601</v>
      </c>
      <c r="AL876">
        <v>80.570360298190394</v>
      </c>
      <c r="AM876">
        <v>89.580722797113296</v>
      </c>
      <c r="AN876">
        <v>0.99999997320098299</v>
      </c>
    </row>
    <row r="877" spans="1:40" x14ac:dyDescent="0.25">
      <c r="A877" t="str">
        <f>"20190312172346496"</f>
        <v>20190312172346496</v>
      </c>
      <c r="B877" t="str">
        <f>"1552382626490513"</f>
        <v>1552382626490513</v>
      </c>
      <c r="C877" t="s">
        <v>40</v>
      </c>
      <c r="D877">
        <v>3.7649499999999998</v>
      </c>
      <c r="E877">
        <v>0.52540299999999995</v>
      </c>
      <c r="F877" t="s">
        <v>43</v>
      </c>
      <c r="G877">
        <v>-239.1326</v>
      </c>
      <c r="H877" s="1">
        <v>-1.3523580000000001E-6</v>
      </c>
      <c r="I877">
        <v>365.5908</v>
      </c>
      <c r="J877">
        <v>-266.96030000000002</v>
      </c>
      <c r="K877">
        <v>1.1096250000000001</v>
      </c>
      <c r="L877">
        <v>367.50790000000001</v>
      </c>
      <c r="M877">
        <v>0.99990029999999996</v>
      </c>
      <c r="N877">
        <v>0</v>
      </c>
      <c r="O877">
        <v>6.8917839999999998E-3</v>
      </c>
      <c r="P877">
        <v>0.98843309999999995</v>
      </c>
      <c r="Q877">
        <v>0.15165709999999999</v>
      </c>
      <c r="R877">
        <v>-3.9721139999999999E-4</v>
      </c>
      <c r="S877">
        <v>3.0535890000000001</v>
      </c>
      <c r="T877">
        <v>-0.1208502</v>
      </c>
      <c r="U877">
        <v>-0.20864869999999999</v>
      </c>
      <c r="V877">
        <v>7.2100899999999997E-3</v>
      </c>
      <c r="W877">
        <v>0.16383020000000001</v>
      </c>
      <c r="X877">
        <v>0.98646219999999996</v>
      </c>
      <c r="Y877">
        <v>7.4980909999999998E-2</v>
      </c>
      <c r="Z877">
        <v>-1.7537970000000001E-3</v>
      </c>
      <c r="AA877">
        <v>0.99718340000000005</v>
      </c>
      <c r="AB877">
        <v>38</v>
      </c>
      <c r="AC877">
        <v>27.8277</v>
      </c>
      <c r="AD877">
        <v>-1.1096263523579999</v>
      </c>
      <c r="AE877">
        <v>-1.9171</v>
      </c>
      <c r="AF877">
        <v>2.1055195531655402</v>
      </c>
      <c r="AG877">
        <v>-1.1096263523579999</v>
      </c>
      <c r="AH877">
        <v>27.769880067441299</v>
      </c>
      <c r="AI877">
        <v>92.281660324132702</v>
      </c>
      <c r="AJ877">
        <v>85.664114932218595</v>
      </c>
      <c r="AK877">
        <v>27.871683160345501</v>
      </c>
      <c r="AL877">
        <v>80.570714805892607</v>
      </c>
      <c r="AM877">
        <v>89.581230410255301</v>
      </c>
      <c r="AN877">
        <v>0.99999999592934397</v>
      </c>
    </row>
    <row r="878" spans="1:40" x14ac:dyDescent="0.25">
      <c r="A878" t="str">
        <f>"20190312172346509"</f>
        <v>20190312172346509</v>
      </c>
      <c r="B878" t="str">
        <f>"1552382626500273"</f>
        <v>1552382626500273</v>
      </c>
      <c r="C878" t="s">
        <v>40</v>
      </c>
      <c r="D878">
        <v>3.751573</v>
      </c>
      <c r="E878">
        <v>0.52540299999999995</v>
      </c>
      <c r="F878" t="s">
        <v>43</v>
      </c>
      <c r="G878">
        <v>-238.97399999999999</v>
      </c>
      <c r="H878" s="1">
        <v>-1.4081769999999999E-6</v>
      </c>
      <c r="I878">
        <v>365.58390000000003</v>
      </c>
      <c r="J878">
        <v>-266.75569999999999</v>
      </c>
      <c r="K878">
        <v>1.109664</v>
      </c>
      <c r="L878">
        <v>367.50940000000003</v>
      </c>
      <c r="M878">
        <v>0.99989969999999995</v>
      </c>
      <c r="N878">
        <v>0</v>
      </c>
      <c r="O878">
        <v>6.8992849999999998E-3</v>
      </c>
      <c r="P878">
        <v>0.98844670000000001</v>
      </c>
      <c r="Q878">
        <v>0.15156889999999901</v>
      </c>
      <c r="R878">
        <v>-4.5004719999999998E-4</v>
      </c>
      <c r="S878">
        <v>3.0535890000000001</v>
      </c>
      <c r="T878">
        <v>-0.121071</v>
      </c>
      <c r="U878">
        <v>-0.20993039999999999</v>
      </c>
      <c r="V878">
        <v>7.2704589999999999E-3</v>
      </c>
      <c r="W878">
        <v>0.16378129999999999</v>
      </c>
      <c r="X878">
        <v>0.98646990000000001</v>
      </c>
      <c r="Y878">
        <v>7.5404410000000005E-2</v>
      </c>
      <c r="Z878">
        <v>-1.7656529999999901E-3</v>
      </c>
      <c r="AA878">
        <v>0.99715149999999997</v>
      </c>
      <c r="AB878">
        <v>38</v>
      </c>
      <c r="AC878">
        <v>27.781699999999901</v>
      </c>
      <c r="AD878">
        <v>-1.1096654081770001</v>
      </c>
      <c r="AE878">
        <v>-1.92549999999999</v>
      </c>
      <c r="AF878">
        <v>2.1137865064239998</v>
      </c>
      <c r="AG878">
        <v>-1.1096654081770001</v>
      </c>
      <c r="AH878">
        <v>27.723734416956201</v>
      </c>
      <c r="AI878">
        <v>92.285461192952297</v>
      </c>
      <c r="AJ878">
        <v>85.639938827915103</v>
      </c>
      <c r="AK878">
        <v>27.826334662236199</v>
      </c>
      <c r="AL878">
        <v>80.573555148857594</v>
      </c>
      <c r="AM878">
        <v>89.577727537858493</v>
      </c>
      <c r="AN878">
        <v>1.0000000187048801</v>
      </c>
    </row>
    <row r="879" spans="1:40" x14ac:dyDescent="0.25">
      <c r="A879" t="str">
        <f>"20190312172346520"</f>
        <v>20190312172346520</v>
      </c>
      <c r="B879" t="str">
        <f>"1552382626510541"</f>
        <v>1552382626510541</v>
      </c>
      <c r="C879" t="s">
        <v>40</v>
      </c>
      <c r="D879">
        <v>3.7800989999999999</v>
      </c>
      <c r="E879">
        <v>0.52543909999999905</v>
      </c>
      <c r="F879" t="s">
        <v>43</v>
      </c>
      <c r="G879">
        <v>-238.84110000000001</v>
      </c>
      <c r="H879" s="1">
        <v>-1.45162999999999E-6</v>
      </c>
      <c r="I879">
        <v>365.59050000000002</v>
      </c>
      <c r="J879">
        <v>-266.541</v>
      </c>
      <c r="K879">
        <v>1.109704</v>
      </c>
      <c r="L879">
        <v>367.51089999999999</v>
      </c>
      <c r="M879">
        <v>0.99989919999999999</v>
      </c>
      <c r="N879">
        <v>0</v>
      </c>
      <c r="O879">
        <v>6.9070829999999996E-3</v>
      </c>
      <c r="P879">
        <v>0.98844100000000001</v>
      </c>
      <c r="Q879">
        <v>0.15160609999999999</v>
      </c>
      <c r="R879">
        <v>-2.9614609999999999E-4</v>
      </c>
      <c r="S879">
        <v>3.0535890000000001</v>
      </c>
      <c r="T879">
        <v>-0.1213863</v>
      </c>
      <c r="U879">
        <v>-0.2098999</v>
      </c>
      <c r="V879">
        <v>7.1242939999999998E-3</v>
      </c>
      <c r="W879">
        <v>0.16385749999999999</v>
      </c>
      <c r="X879">
        <v>0.98645830000000001</v>
      </c>
      <c r="Y879">
        <v>7.5401949999999995E-2</v>
      </c>
      <c r="Z879">
        <v>-1.770509E-3</v>
      </c>
      <c r="AA879">
        <v>0.99715169999999997</v>
      </c>
      <c r="AB879">
        <v>38</v>
      </c>
      <c r="AC879">
        <v>27.6998999999999</v>
      </c>
      <c r="AD879">
        <v>-1.10970545162999</v>
      </c>
      <c r="AE879">
        <v>-1.9203999999999699</v>
      </c>
      <c r="AF879">
        <v>2.1083268603765299</v>
      </c>
      <c r="AG879">
        <v>-1.10970545162999</v>
      </c>
      <c r="AH879">
        <v>27.641822478482101</v>
      </c>
      <c r="AI879">
        <v>92.292304257406499</v>
      </c>
      <c r="AJ879">
        <v>85.638319647937706</v>
      </c>
      <c r="AK879">
        <v>27.744311818307601</v>
      </c>
      <c r="AL879">
        <v>80.569129306759606</v>
      </c>
      <c r="AM879">
        <v>89.586211721751894</v>
      </c>
      <c r="AN879">
        <v>1.0000000067550601</v>
      </c>
    </row>
    <row r="880" spans="1:40" x14ac:dyDescent="0.25">
      <c r="A880" t="str">
        <f>"20190312172346533"</f>
        <v>20190312172346533</v>
      </c>
      <c r="B880" t="str">
        <f>"1552382626520301"</f>
        <v>1552382626520301</v>
      </c>
      <c r="C880" t="s">
        <v>40</v>
      </c>
      <c r="D880">
        <v>3.7463109999999999</v>
      </c>
      <c r="E880">
        <v>0.52550220000000003</v>
      </c>
      <c r="F880" t="s">
        <v>43</v>
      </c>
      <c r="G880">
        <v>-238.66560000000001</v>
      </c>
      <c r="H880" s="1">
        <v>-1.510232E-6</v>
      </c>
      <c r="I880">
        <v>365.59469999999999</v>
      </c>
      <c r="J880">
        <v>-266.32749999999999</v>
      </c>
      <c r="K880">
        <v>1.109739</v>
      </c>
      <c r="L880">
        <v>367.51240000000001</v>
      </c>
      <c r="M880">
        <v>0.99989890000000003</v>
      </c>
      <c r="N880">
        <v>0</v>
      </c>
      <c r="O880">
        <v>6.914613E-3</v>
      </c>
      <c r="P880">
        <v>0.98845470000000002</v>
      </c>
      <c r="Q880">
        <v>0.1515174</v>
      </c>
      <c r="R880">
        <v>-1.8367120000000001E-4</v>
      </c>
      <c r="S880">
        <v>3.0536500000000002</v>
      </c>
      <c r="T880">
        <v>-0.1215638</v>
      </c>
      <c r="U880">
        <v>-0.2098999</v>
      </c>
      <c r="V880">
        <v>7.0193909999999998E-3</v>
      </c>
      <c r="W880">
        <v>0.16380339999999999</v>
      </c>
      <c r="X880">
        <v>0.98646800000000001</v>
      </c>
      <c r="Y880">
        <v>7.5407890000000005E-2</v>
      </c>
      <c r="Z880">
        <v>-1.773478E-3</v>
      </c>
      <c r="AA880">
        <v>0.99715120000000002</v>
      </c>
      <c r="AB880">
        <v>38</v>
      </c>
      <c r="AC880">
        <v>27.6618999999999</v>
      </c>
      <c r="AD880">
        <v>-1.1097405102319999</v>
      </c>
      <c r="AE880">
        <v>-1.9177000000000199</v>
      </c>
      <c r="AF880">
        <v>2.1055676397242702</v>
      </c>
      <c r="AG880">
        <v>-1.1097405102319999</v>
      </c>
      <c r="AH880">
        <v>27.603762913905001</v>
      </c>
      <c r="AI880">
        <v>92.295533003123495</v>
      </c>
      <c r="AJ880">
        <v>85.638023103302103</v>
      </c>
      <c r="AK880">
        <v>27.7061846181061</v>
      </c>
      <c r="AL880">
        <v>80.572271117399097</v>
      </c>
      <c r="AM880">
        <v>89.592308426238006</v>
      </c>
      <c r="AN880">
        <v>0.99999997036278498</v>
      </c>
    </row>
    <row r="881" spans="1:40" x14ac:dyDescent="0.25">
      <c r="A881" t="str">
        <f>"20190312172346545"</f>
        <v>20190312172346545</v>
      </c>
      <c r="B881" t="str">
        <f>"1552382626540796"</f>
        <v>1552382626540796</v>
      </c>
      <c r="C881" t="s">
        <v>40</v>
      </c>
      <c r="D881">
        <v>3.9255810000000002</v>
      </c>
      <c r="E881">
        <v>0.52562249999999999</v>
      </c>
      <c r="F881" t="s">
        <v>43</v>
      </c>
      <c r="G881">
        <v>-238.59569999999999</v>
      </c>
      <c r="H881" s="1">
        <v>-1.530991E-6</v>
      </c>
      <c r="I881">
        <v>365.60610000000003</v>
      </c>
      <c r="J881">
        <v>-266.12450000000001</v>
      </c>
      <c r="K881">
        <v>1.1097699999999999</v>
      </c>
      <c r="L881">
        <v>367.51369999999997</v>
      </c>
      <c r="M881">
        <v>0.99989810000000001</v>
      </c>
      <c r="N881">
        <v>0</v>
      </c>
      <c r="O881">
        <v>6.9219779999999996E-3</v>
      </c>
      <c r="P881">
        <v>0.98842419999999998</v>
      </c>
      <c r="Q881">
        <v>0.15171419999999999</v>
      </c>
      <c r="R881">
        <v>-4.515066E-4</v>
      </c>
      <c r="S881">
        <v>3.053741</v>
      </c>
      <c r="T881">
        <v>-0.12220060000000001</v>
      </c>
      <c r="U881">
        <v>-0.2098999</v>
      </c>
      <c r="V881">
        <v>7.2942369999999899E-3</v>
      </c>
      <c r="W881">
        <v>0.1640325</v>
      </c>
      <c r="X881">
        <v>0.98642799999999997</v>
      </c>
      <c r="Y881">
        <v>7.5412519999999997E-2</v>
      </c>
      <c r="Z881">
        <v>-1.7830949999999999E-3</v>
      </c>
      <c r="AA881">
        <v>0.9971508</v>
      </c>
      <c r="AB881">
        <v>38</v>
      </c>
      <c r="AC881">
        <v>27.5288</v>
      </c>
      <c r="AD881">
        <v>-1.1097715309909999</v>
      </c>
      <c r="AE881">
        <v>-1.90759999999994</v>
      </c>
      <c r="AF881">
        <v>2.0947349097556098</v>
      </c>
      <c r="AG881">
        <v>-1.1097715309909999</v>
      </c>
      <c r="AH881">
        <v>27.470504730670399</v>
      </c>
      <c r="AI881">
        <v>92.306725188806396</v>
      </c>
      <c r="AJ881">
        <v>85.639408358071805</v>
      </c>
      <c r="AK881">
        <v>27.572597580767301</v>
      </c>
      <c r="AL881">
        <v>80.558965267971701</v>
      </c>
      <c r="AM881">
        <v>89.576328553470006</v>
      </c>
      <c r="AN881">
        <v>1.0000000330668299</v>
      </c>
    </row>
    <row r="882" spans="1:40" x14ac:dyDescent="0.25">
      <c r="A882" t="str">
        <f>"20190312172346556"</f>
        <v>20190312172346556</v>
      </c>
      <c r="B882" t="str">
        <f>"1552382626550557"</f>
        <v>1552382626550557</v>
      </c>
      <c r="C882" t="s">
        <v>40</v>
      </c>
      <c r="D882">
        <v>3.7470189999999999</v>
      </c>
      <c r="E882">
        <v>0.52568919999999997</v>
      </c>
      <c r="F882" t="s">
        <v>43</v>
      </c>
      <c r="G882">
        <v>-238.27969999999999</v>
      </c>
      <c r="H882" s="1">
        <v>-1.6443840000000001E-6</v>
      </c>
      <c r="I882">
        <v>365.58420000000001</v>
      </c>
      <c r="J882">
        <v>-265.92129999999997</v>
      </c>
      <c r="K882">
        <v>1.1097980000000001</v>
      </c>
      <c r="L882">
        <v>367.51519999999999</v>
      </c>
      <c r="M882">
        <v>0.99989779999999995</v>
      </c>
      <c r="N882">
        <v>0</v>
      </c>
      <c r="O882">
        <v>6.9291680000000003E-3</v>
      </c>
      <c r="P882">
        <v>0.98846719999999999</v>
      </c>
      <c r="Q882">
        <v>0.15143470000000001</v>
      </c>
      <c r="R882">
        <v>-4.8019179999999999E-4</v>
      </c>
      <c r="S882">
        <v>3.0537109999999998</v>
      </c>
      <c r="T882">
        <v>-0.121707</v>
      </c>
      <c r="U882">
        <v>-0.21160889999999999</v>
      </c>
      <c r="V882">
        <v>7.3304040000000004E-3</v>
      </c>
      <c r="W882">
        <v>0.16378499999999999</v>
      </c>
      <c r="X882">
        <v>0.98646880000000003</v>
      </c>
      <c r="Y882">
        <v>7.5975840000000003E-2</v>
      </c>
      <c r="Z882">
        <v>-1.787376E-3</v>
      </c>
      <c r="AA882">
        <v>0.99710799999999999</v>
      </c>
      <c r="AB882">
        <v>38</v>
      </c>
      <c r="AC882">
        <v>27.641599999999901</v>
      </c>
      <c r="AD882">
        <v>-1.1097996443839999</v>
      </c>
      <c r="AE882">
        <v>-1.9309999999999801</v>
      </c>
      <c r="AF882">
        <v>2.1191025168488502</v>
      </c>
      <c r="AG882">
        <v>-1.1097996443839999</v>
      </c>
      <c r="AH882">
        <v>27.583306913001799</v>
      </c>
      <c r="AI882">
        <v>92.297260266236705</v>
      </c>
      <c r="AJ882">
        <v>85.606850126223407</v>
      </c>
      <c r="AK882">
        <v>27.6868393101206</v>
      </c>
      <c r="AL882">
        <v>80.573339857876704</v>
      </c>
      <c r="AM882">
        <v>89.574245550503505</v>
      </c>
      <c r="AN882">
        <v>0.99999997721062095</v>
      </c>
    </row>
    <row r="883" spans="1:40" x14ac:dyDescent="0.25">
      <c r="A883" t="str">
        <f>"20190312172346573"</f>
        <v>20190312172346573</v>
      </c>
      <c r="B883" t="str">
        <f>"1552382626560317"</f>
        <v>1552382626560317</v>
      </c>
      <c r="C883" t="s">
        <v>40</v>
      </c>
      <c r="D883">
        <v>3.7535620000000001</v>
      </c>
      <c r="E883">
        <v>0.52577289999999999</v>
      </c>
      <c r="F883" t="s">
        <v>43</v>
      </c>
      <c r="G883">
        <v>-238.25819999999999</v>
      </c>
      <c r="H883" s="1">
        <v>-1.64959E-6</v>
      </c>
      <c r="I883">
        <v>365.59210000000002</v>
      </c>
      <c r="J883">
        <v>-265.6508</v>
      </c>
      <c r="K883">
        <v>1.1098250000000001</v>
      </c>
      <c r="L883">
        <v>367.51710000000003</v>
      </c>
      <c r="M883">
        <v>0.99989720000000004</v>
      </c>
      <c r="N883">
        <v>0</v>
      </c>
      <c r="O883">
        <v>6.9388030000000003E-3</v>
      </c>
      <c r="P883">
        <v>0.98847680000000004</v>
      </c>
      <c r="Q883">
        <v>0.15137120000000001</v>
      </c>
      <c r="R883">
        <v>-5.2481749999999997E-4</v>
      </c>
      <c r="S883">
        <v>3.0536799999999999</v>
      </c>
      <c r="T883">
        <v>-0.122508199999999</v>
      </c>
      <c r="U883">
        <v>-0.21228030000000001</v>
      </c>
      <c r="V883">
        <v>7.3846329999999998E-3</v>
      </c>
      <c r="W883">
        <v>0.16376199999999999</v>
      </c>
      <c r="X883">
        <v>0.98647220000000002</v>
      </c>
      <c r="Y883">
        <v>7.620325E-2</v>
      </c>
      <c r="Z883">
        <v>-1.8040770000000001E-3</v>
      </c>
      <c r="AA883">
        <v>0.9970907</v>
      </c>
      <c r="AB883">
        <v>38</v>
      </c>
      <c r="AC883">
        <v>27.392600000000002</v>
      </c>
      <c r="AD883">
        <v>-1.10982664959</v>
      </c>
      <c r="AE883">
        <v>-1.92500000000001</v>
      </c>
      <c r="AF883">
        <v>2.1115913036220402</v>
      </c>
      <c r="AG883">
        <v>-1.10982664959</v>
      </c>
      <c r="AH883">
        <v>27.333933749782901</v>
      </c>
      <c r="AI883">
        <v>92.318176668599705</v>
      </c>
      <c r="AJ883">
        <v>85.582580379732704</v>
      </c>
      <c r="AK883">
        <v>27.437829128106898</v>
      </c>
      <c r="AL883">
        <v>80.5746755661294</v>
      </c>
      <c r="AM883">
        <v>89.571097491710802</v>
      </c>
      <c r="AN883">
        <v>0.99999996341069097</v>
      </c>
    </row>
    <row r="884" spans="1:40" x14ac:dyDescent="0.25">
      <c r="A884" t="str">
        <f>"20190312172346584"</f>
        <v>20190312172346584</v>
      </c>
      <c r="B884" t="str">
        <f>"1552382626580813"</f>
        <v>1552382626580813</v>
      </c>
      <c r="C884" t="s">
        <v>40</v>
      </c>
      <c r="D884">
        <v>3.7774359999999998</v>
      </c>
      <c r="E884">
        <v>0.52590459999999895</v>
      </c>
      <c r="F884" t="s">
        <v>43</v>
      </c>
      <c r="G884">
        <v>-238.03059999999999</v>
      </c>
      <c r="H884" s="1">
        <v>-1.728239E-6</v>
      </c>
      <c r="I884">
        <v>365.58760000000001</v>
      </c>
      <c r="J884">
        <v>-265.4545</v>
      </c>
      <c r="K884">
        <v>1.1098460000000001</v>
      </c>
      <c r="L884">
        <v>367.51839999999999</v>
      </c>
      <c r="M884">
        <v>0.99989689999999998</v>
      </c>
      <c r="N884">
        <v>0</v>
      </c>
      <c r="O884">
        <v>6.9458310000000004E-3</v>
      </c>
      <c r="P884">
        <v>0.98851100000000003</v>
      </c>
      <c r="Q884">
        <v>0.151149799999999</v>
      </c>
      <c r="R884">
        <v>-4.3749199999999999E-4</v>
      </c>
      <c r="S884">
        <v>3.0536799999999999</v>
      </c>
      <c r="T884">
        <v>-0.1227018</v>
      </c>
      <c r="U884">
        <v>-0.2133179</v>
      </c>
      <c r="V884">
        <v>7.3043519999999897E-3</v>
      </c>
      <c r="W884">
        <v>0.1635692</v>
      </c>
      <c r="X884">
        <v>0.98650490000000002</v>
      </c>
      <c r="Y884">
        <v>7.6546920000000004E-2</v>
      </c>
      <c r="Z884">
        <v>-1.81408E-3</v>
      </c>
      <c r="AA884">
        <v>0.99706439999999996</v>
      </c>
      <c r="AB884">
        <v>38</v>
      </c>
      <c r="AC884">
        <v>27.4239</v>
      </c>
      <c r="AD884">
        <v>-1.10984772823899</v>
      </c>
      <c r="AE884">
        <v>-1.9307999999999701</v>
      </c>
      <c r="AF884">
        <v>2.11779875434795</v>
      </c>
      <c r="AG884">
        <v>-1.10984772823899</v>
      </c>
      <c r="AH884">
        <v>27.365227820305801</v>
      </c>
      <c r="AI884">
        <v>92.315547865433999</v>
      </c>
      <c r="AJ884">
        <v>85.574692390416303</v>
      </c>
      <c r="AK884">
        <v>27.469483562692499</v>
      </c>
      <c r="AL884">
        <v>80.585874264228096</v>
      </c>
      <c r="AM884">
        <v>89.575774135609393</v>
      </c>
      <c r="AN884">
        <v>1.0000000772353901</v>
      </c>
    </row>
    <row r="885" spans="1:40" x14ac:dyDescent="0.25">
      <c r="A885" t="str">
        <f>"20190312172346595"</f>
        <v>20190312172346595</v>
      </c>
      <c r="B885" t="str">
        <f>"1552382626590572"</f>
        <v>1552382626590572</v>
      </c>
      <c r="C885" t="s">
        <v>40</v>
      </c>
      <c r="D885">
        <v>3.7516829999999999</v>
      </c>
      <c r="E885">
        <v>0.52595959999999997</v>
      </c>
      <c r="F885" t="s">
        <v>43</v>
      </c>
      <c r="G885">
        <v>-238.0386</v>
      </c>
      <c r="H885" s="1">
        <v>-1.723474E-6</v>
      </c>
      <c r="I885">
        <v>365.59530000000001</v>
      </c>
      <c r="J885">
        <v>-265.25400000000002</v>
      </c>
      <c r="K885">
        <v>1.1098629999999901</v>
      </c>
      <c r="L885">
        <v>367.51979999999998</v>
      </c>
      <c r="M885">
        <v>0.99989629999999996</v>
      </c>
      <c r="N885">
        <v>0</v>
      </c>
      <c r="O885">
        <v>6.9538739999999996E-3</v>
      </c>
      <c r="P885">
        <v>0.98849140000000002</v>
      </c>
      <c r="Q885">
        <v>0.15127579999999999</v>
      </c>
      <c r="R885">
        <v>-5.016504E-4</v>
      </c>
      <c r="S885">
        <v>3.0536799999999999</v>
      </c>
      <c r="T885">
        <v>-0.1236182</v>
      </c>
      <c r="U885">
        <v>-0.2142029</v>
      </c>
      <c r="V885">
        <v>7.3766409999999998E-3</v>
      </c>
      <c r="W885">
        <v>0.16372249999999999</v>
      </c>
      <c r="X885">
        <v>0.98647890000000005</v>
      </c>
      <c r="Y885">
        <v>7.6841240000000005E-2</v>
      </c>
      <c r="Z885">
        <v>-1.833873E-3</v>
      </c>
      <c r="AA885">
        <v>0.99704159999999997</v>
      </c>
      <c r="AB885">
        <v>38</v>
      </c>
      <c r="AC885">
        <v>27.215399999999999</v>
      </c>
      <c r="AD885">
        <v>-1.10986472347399</v>
      </c>
      <c r="AE885">
        <v>-1.9244999999999599</v>
      </c>
      <c r="AF885">
        <v>2.1102289760216202</v>
      </c>
      <c r="AG885">
        <v>-1.10986472347399</v>
      </c>
      <c r="AH885">
        <v>27.156419744442001</v>
      </c>
      <c r="AI885">
        <v>92.333311571151398</v>
      </c>
      <c r="AJ885">
        <v>85.556677372857493</v>
      </c>
      <c r="AK885">
        <v>27.260887721642</v>
      </c>
      <c r="AL885">
        <v>80.576970498511002</v>
      </c>
      <c r="AM885">
        <v>89.571564562804099</v>
      </c>
      <c r="AN885">
        <v>1.00000004599195</v>
      </c>
    </row>
    <row r="886" spans="1:40" x14ac:dyDescent="0.25">
      <c r="A886" t="str">
        <f>"20190312172346607"</f>
        <v>20190312172346607</v>
      </c>
      <c r="B886" t="str">
        <f>"1552382626600333"</f>
        <v>1552382626600333</v>
      </c>
      <c r="C886" t="s">
        <v>40</v>
      </c>
      <c r="D886">
        <v>3.7642319999999998</v>
      </c>
      <c r="E886">
        <v>0.52601279999999995</v>
      </c>
      <c r="F886" t="s">
        <v>43</v>
      </c>
      <c r="G886">
        <v>-237.7938</v>
      </c>
      <c r="H886" s="1">
        <v>-1.8084820000000001E-6</v>
      </c>
      <c r="I886">
        <v>365.58890000000002</v>
      </c>
      <c r="J886">
        <v>-265.07490000000001</v>
      </c>
      <c r="K886">
        <v>1.1098809999999999</v>
      </c>
      <c r="L886">
        <v>367.52109999999999</v>
      </c>
      <c r="M886">
        <v>0.99989609999999995</v>
      </c>
      <c r="N886">
        <v>0</v>
      </c>
      <c r="O886">
        <v>6.9608059999999999E-3</v>
      </c>
      <c r="P886">
        <v>0.98849390000000004</v>
      </c>
      <c r="Q886">
        <v>0.15126149999999999</v>
      </c>
      <c r="R886">
        <v>-5.2203239999999999E-4</v>
      </c>
      <c r="S886">
        <v>3.0536799999999999</v>
      </c>
      <c r="T886">
        <v>-0.1234208</v>
      </c>
      <c r="U886">
        <v>-0.21472169999999999</v>
      </c>
      <c r="V886">
        <v>7.4037919999999898E-3</v>
      </c>
      <c r="W886">
        <v>0.16373279999999901</v>
      </c>
      <c r="X886">
        <v>0.98647700000000005</v>
      </c>
      <c r="Y886">
        <v>7.7016790000000002E-2</v>
      </c>
      <c r="Z886">
        <v>-1.8347579999999999E-3</v>
      </c>
      <c r="AA886">
        <v>0.99702809999999997</v>
      </c>
      <c r="AB886">
        <v>38</v>
      </c>
      <c r="AC886">
        <v>27.281099999999999</v>
      </c>
      <c r="AD886">
        <v>-1.1098828084819901</v>
      </c>
      <c r="AE886">
        <v>-1.9321999999999599</v>
      </c>
      <c r="AF886">
        <v>2.1185777501849001</v>
      </c>
      <c r="AG886">
        <v>-1.1098828084819901</v>
      </c>
      <c r="AH886">
        <v>27.222157066375601</v>
      </c>
      <c r="AI886">
        <v>92.327699679821293</v>
      </c>
      <c r="AJ886">
        <v>85.549897810043106</v>
      </c>
      <c r="AK886">
        <v>27.327020453729801</v>
      </c>
      <c r="AL886">
        <v>80.576372400525798</v>
      </c>
      <c r="AM886">
        <v>89.5699868631675</v>
      </c>
      <c r="AN886">
        <v>1.0000000587304001</v>
      </c>
    </row>
    <row r="887" spans="1:40" x14ac:dyDescent="0.25">
      <c r="A887" t="str">
        <f>"20190312172346618"</f>
        <v>20190312172346618</v>
      </c>
      <c r="B887" t="str">
        <f>"1552382626611068"</f>
        <v>1552382626611068</v>
      </c>
      <c r="C887" t="s">
        <v>40</v>
      </c>
      <c r="D887">
        <v>3.7741560000000001</v>
      </c>
      <c r="E887">
        <v>0.52601279999999995</v>
      </c>
      <c r="F887" t="s">
        <v>43</v>
      </c>
      <c r="G887">
        <v>-237.6447</v>
      </c>
      <c r="H887" s="1">
        <v>-1.859486E-6</v>
      </c>
      <c r="I887">
        <v>365.58789999999999</v>
      </c>
      <c r="J887">
        <v>-264.86070000000001</v>
      </c>
      <c r="K887">
        <v>1.109899</v>
      </c>
      <c r="L887">
        <v>367.52260000000001</v>
      </c>
      <c r="M887">
        <v>0.99989570000000005</v>
      </c>
      <c r="N887">
        <v>0</v>
      </c>
      <c r="O887">
        <v>6.9693180000000004E-3</v>
      </c>
      <c r="P887">
        <v>0.98847689999999999</v>
      </c>
      <c r="Q887">
        <v>0.15137200000000001</v>
      </c>
      <c r="R887">
        <v>-2.904963E-4</v>
      </c>
      <c r="S887">
        <v>3.0537719999999999</v>
      </c>
      <c r="T887">
        <v>-0.1235613</v>
      </c>
      <c r="U887">
        <v>-0.21521000000000001</v>
      </c>
      <c r="V887">
        <v>7.1808870000000004E-3</v>
      </c>
      <c r="W887">
        <v>0.16387109999999999</v>
      </c>
      <c r="X887">
        <v>0.98645559999999999</v>
      </c>
      <c r="Y887">
        <v>7.7181550000000002E-2</v>
      </c>
      <c r="Z887">
        <v>-1.8404509999999999E-3</v>
      </c>
      <c r="AA887">
        <v>0.9970154</v>
      </c>
      <c r="AB887">
        <v>38</v>
      </c>
      <c r="AC887">
        <v>27.216000000000001</v>
      </c>
      <c r="AD887">
        <v>-1.109900859486</v>
      </c>
      <c r="AE887">
        <v>-1.9347000000000201</v>
      </c>
      <c r="AF887">
        <v>2.1208357037283401</v>
      </c>
      <c r="AG887">
        <v>-1.109900859486</v>
      </c>
      <c r="AH887">
        <v>27.1569165783439</v>
      </c>
      <c r="AI887">
        <v>92.333274584965395</v>
      </c>
      <c r="AJ887">
        <v>85.534515199678196</v>
      </c>
      <c r="AK887">
        <v>27.2622072115085</v>
      </c>
      <c r="AL887">
        <v>80.568339120585094</v>
      </c>
      <c r="AM887">
        <v>89.582923700705607</v>
      </c>
      <c r="AN887">
        <v>0.99999997666233797</v>
      </c>
    </row>
    <row r="888" spans="1:40" x14ac:dyDescent="0.25">
      <c r="A888" t="str">
        <f>"20190312172346640"</f>
        <v>20190312172346640</v>
      </c>
      <c r="B888" t="str">
        <f>"1552382626630588"</f>
        <v>1552382626630588</v>
      </c>
      <c r="C888" t="s">
        <v>40</v>
      </c>
      <c r="D888">
        <v>3.7478229999999999</v>
      </c>
      <c r="E888">
        <v>0.52617440000000004</v>
      </c>
      <c r="F888" t="s">
        <v>43</v>
      </c>
      <c r="G888">
        <v>-237.35120000000001</v>
      </c>
      <c r="H888" s="1">
        <v>-1.9586749999999999E-6</v>
      </c>
      <c r="I888">
        <v>365.59050000000002</v>
      </c>
      <c r="J888">
        <v>-264.49930000000001</v>
      </c>
      <c r="K888">
        <v>1.1099289999999999</v>
      </c>
      <c r="L888">
        <v>367.52510000000001</v>
      </c>
      <c r="M888">
        <v>0.99989499999999998</v>
      </c>
      <c r="N888">
        <v>0</v>
      </c>
      <c r="O888">
        <v>6.9836719999999998E-3</v>
      </c>
      <c r="P888">
        <v>0.98845760000000005</v>
      </c>
      <c r="Q888">
        <v>0.15149789999999999</v>
      </c>
      <c r="R888">
        <v>-2.3153010000000001E-4</v>
      </c>
      <c r="S888">
        <v>3.0538020000000001</v>
      </c>
      <c r="T888">
        <v>-0.1232086</v>
      </c>
      <c r="U888">
        <v>-0.21447749999999999</v>
      </c>
      <c r="V888">
        <v>7.1361130000000004E-3</v>
      </c>
      <c r="W888">
        <v>0.16404469999999999</v>
      </c>
      <c r="X888">
        <v>0.9864271</v>
      </c>
      <c r="Y888">
        <v>7.6957769999999995E-2</v>
      </c>
      <c r="Z888">
        <v>-1.831271E-3</v>
      </c>
      <c r="AA888">
        <v>0.99703260000000005</v>
      </c>
      <c r="AB888">
        <v>38</v>
      </c>
      <c r="AC888">
        <v>27.148099999999999</v>
      </c>
      <c r="AD888">
        <v>-1.1099309586749999</v>
      </c>
      <c r="AE888">
        <v>-1.9345999999999799</v>
      </c>
      <c r="AF888">
        <v>2.1206347395851401</v>
      </c>
      <c r="AG888">
        <v>-1.1099309586749999</v>
      </c>
      <c r="AH888">
        <v>27.088875179364599</v>
      </c>
      <c r="AI888">
        <v>92.339157855741902</v>
      </c>
      <c r="AJ888">
        <v>85.523766873327205</v>
      </c>
      <c r="AK888">
        <v>27.194414811040801</v>
      </c>
      <c r="AL888">
        <v>80.558256399503804</v>
      </c>
      <c r="AM888">
        <v>89.585512173672001</v>
      </c>
      <c r="AN888">
        <v>1.00000000566062</v>
      </c>
    </row>
    <row r="889" spans="1:40" x14ac:dyDescent="0.25">
      <c r="A889" t="str">
        <f>"20190312172346654"</f>
        <v>20190312172346654</v>
      </c>
      <c r="B889" t="str">
        <f>"1552382626640352"</f>
        <v>1552382626640352</v>
      </c>
      <c r="C889" t="s">
        <v>40</v>
      </c>
      <c r="D889">
        <v>3.7671640000000002</v>
      </c>
      <c r="E889">
        <v>0.52624389999999999</v>
      </c>
      <c r="F889" t="s">
        <v>43</v>
      </c>
      <c r="G889">
        <v>-236.96729999999999</v>
      </c>
      <c r="H889" s="1">
        <v>-2.092046E-6</v>
      </c>
      <c r="I889">
        <v>365.58019999999999</v>
      </c>
      <c r="J889">
        <v>-264.26609999999999</v>
      </c>
      <c r="K889">
        <v>1.109945</v>
      </c>
      <c r="L889">
        <v>367.52670000000001</v>
      </c>
      <c r="M889">
        <v>0.99989439999999996</v>
      </c>
      <c r="N889">
        <v>0</v>
      </c>
      <c r="O889">
        <v>6.9928419999999896E-3</v>
      </c>
      <c r="P889">
        <v>0.98847220000000002</v>
      </c>
      <c r="Q889">
        <v>0.15140239999999999</v>
      </c>
      <c r="R889">
        <v>-2.8961759999999998E-4</v>
      </c>
      <c r="S889">
        <v>3.0538639999999999</v>
      </c>
      <c r="T889">
        <v>-0.123113899999999</v>
      </c>
      <c r="U889">
        <v>-0.2157288</v>
      </c>
      <c r="V889">
        <v>7.2033230000000002E-3</v>
      </c>
      <c r="W889">
        <v>0.16397790000000001</v>
      </c>
      <c r="X889">
        <v>0.98643769999999997</v>
      </c>
      <c r="Y889">
        <v>7.7371770000000006E-2</v>
      </c>
      <c r="Z889">
        <v>-1.838501E-3</v>
      </c>
      <c r="AA889">
        <v>0.99700060000000001</v>
      </c>
      <c r="AB889">
        <v>38</v>
      </c>
      <c r="AC889">
        <v>27.2988</v>
      </c>
      <c r="AD889">
        <v>-1.109947092046</v>
      </c>
      <c r="AE889">
        <v>-1.9465000000000101</v>
      </c>
      <c r="AF889">
        <v>2.1338543082285</v>
      </c>
      <c r="AG889">
        <v>-1.109947092046</v>
      </c>
      <c r="AH889">
        <v>27.239715677731901</v>
      </c>
      <c r="AI889">
        <v>92.326243395526305</v>
      </c>
      <c r="AJ889">
        <v>85.520816827755695</v>
      </c>
      <c r="AK889">
        <v>27.345702166146001</v>
      </c>
      <c r="AL889">
        <v>80.562136126913799</v>
      </c>
      <c r="AM889">
        <v>89.581613039951094</v>
      </c>
      <c r="AN889">
        <v>0.99999998776597099</v>
      </c>
    </row>
    <row r="890" spans="1:40" x14ac:dyDescent="0.25">
      <c r="A890" t="str">
        <f>"20190312172346673"</f>
        <v>20190312172346673</v>
      </c>
      <c r="B890" t="str">
        <f>"1552382626660844"</f>
        <v>1552382626660844</v>
      </c>
      <c r="C890" t="s">
        <v>40</v>
      </c>
      <c r="D890">
        <v>3.7905549999999999</v>
      </c>
      <c r="E890">
        <v>0.526362199999999</v>
      </c>
      <c r="F890" t="s">
        <v>43</v>
      </c>
      <c r="G890">
        <v>-236.803</v>
      </c>
      <c r="H890" s="1">
        <v>-2.148083E-6</v>
      </c>
      <c r="I890">
        <v>365.5797</v>
      </c>
      <c r="J890">
        <v>-263.93950000000001</v>
      </c>
      <c r="K890">
        <v>1.10996299999999</v>
      </c>
      <c r="L890">
        <v>367.52910000000003</v>
      </c>
      <c r="M890">
        <v>0.9998939</v>
      </c>
      <c r="N890">
        <v>0</v>
      </c>
      <c r="O890">
        <v>7.0053989999999998E-3</v>
      </c>
      <c r="P890">
        <v>0.98849160000000003</v>
      </c>
      <c r="Q890">
        <v>0.15127669999999999</v>
      </c>
      <c r="R890" s="1">
        <v>-4.8207580000000001E-5</v>
      </c>
      <c r="S890">
        <v>3.0537719999999999</v>
      </c>
      <c r="T890">
        <v>-0.1234205</v>
      </c>
      <c r="U890">
        <v>-0.21649170000000001</v>
      </c>
      <c r="V890">
        <v>6.9742659999999998E-3</v>
      </c>
      <c r="W890">
        <v>0.16389229999999999</v>
      </c>
      <c r="X890">
        <v>0.98645360000000004</v>
      </c>
      <c r="Y890">
        <v>7.7633690000000005E-2</v>
      </c>
      <c r="Z890">
        <v>-1.848906E-3</v>
      </c>
      <c r="AA890">
        <v>0.99698019999999998</v>
      </c>
      <c r="AB890">
        <v>38</v>
      </c>
      <c r="AC890">
        <v>27.136500000000002</v>
      </c>
      <c r="AD890">
        <v>-1.10996514808299</v>
      </c>
      <c r="AE890">
        <v>-1.94940000000002</v>
      </c>
      <c r="AF890">
        <v>2.1359145110078401</v>
      </c>
      <c r="AG890">
        <v>-1.10996514808299</v>
      </c>
      <c r="AH890">
        <v>27.077107580312099</v>
      </c>
      <c r="AI890">
        <v>92.340136082930101</v>
      </c>
      <c r="AJ890">
        <v>85.489695610813897</v>
      </c>
      <c r="AK890">
        <v>27.183890603519</v>
      </c>
      <c r="AL890">
        <v>80.567108173918697</v>
      </c>
      <c r="AM890">
        <v>89.5949233200583</v>
      </c>
      <c r="AN890">
        <v>1.0000000156692399</v>
      </c>
    </row>
    <row r="891" spans="1:40" x14ac:dyDescent="0.25">
      <c r="A891" t="str">
        <f>"20190312172346686"</f>
        <v>20190312172346686</v>
      </c>
      <c r="B891" t="str">
        <f>"1552382626680365"</f>
        <v>1552382626680365</v>
      </c>
      <c r="C891" t="s">
        <v>40</v>
      </c>
      <c r="D891">
        <v>3.752983</v>
      </c>
      <c r="E891">
        <v>0.52652019999999899</v>
      </c>
      <c r="F891" t="s">
        <v>43</v>
      </c>
      <c r="G891">
        <v>-236.6284</v>
      </c>
      <c r="H891" s="1">
        <v>-2.2045459999999998E-6</v>
      </c>
      <c r="I891">
        <v>365.5908</v>
      </c>
      <c r="J891">
        <v>-263.7201</v>
      </c>
      <c r="K891">
        <v>1.109974</v>
      </c>
      <c r="L891">
        <v>367.53059999999999</v>
      </c>
      <c r="M891">
        <v>0.99989349999999999</v>
      </c>
      <c r="N891">
        <v>0</v>
      </c>
      <c r="O891">
        <v>7.01375E-3</v>
      </c>
      <c r="P891">
        <v>0.9884889</v>
      </c>
      <c r="Q891">
        <v>0.15129379999999901</v>
      </c>
      <c r="R891" s="1">
        <v>-2.1460929999999999E-5</v>
      </c>
      <c r="S891">
        <v>3.0539550000000002</v>
      </c>
      <c r="T891">
        <v>-0.12411700000000001</v>
      </c>
      <c r="U891">
        <v>-0.21673580000000001</v>
      </c>
      <c r="V891">
        <v>6.9557200000000003E-3</v>
      </c>
      <c r="W891">
        <v>0.1639361</v>
      </c>
      <c r="X891">
        <v>0.98644639999999995</v>
      </c>
      <c r="Y891">
        <v>7.7716229999999997E-2</v>
      </c>
      <c r="Z891">
        <v>-1.86123E-3</v>
      </c>
      <c r="AA891">
        <v>0.99697380000000002</v>
      </c>
      <c r="AB891">
        <v>38</v>
      </c>
      <c r="AC891">
        <v>27.091699999999999</v>
      </c>
      <c r="AD891">
        <v>-1.109976204546</v>
      </c>
      <c r="AE891">
        <v>-1.93979999999999</v>
      </c>
      <c r="AF891">
        <v>2.1262313046421499</v>
      </c>
      <c r="AG891">
        <v>-1.109976204546</v>
      </c>
      <c r="AH891">
        <v>27.032281407764</v>
      </c>
      <c r="AI891">
        <v>92.344077284103506</v>
      </c>
      <c r="AJ891">
        <v>85.502644451053399</v>
      </c>
      <c r="AK891">
        <v>27.138480886815401</v>
      </c>
      <c r="AL891">
        <v>80.564563713941297</v>
      </c>
      <c r="AM891">
        <v>89.595997517399297</v>
      </c>
      <c r="AN891">
        <v>0.999999963498443</v>
      </c>
    </row>
    <row r="892" spans="1:40" x14ac:dyDescent="0.25">
      <c r="A892" t="str">
        <f>"20190312172346696"</f>
        <v>20190312172346696</v>
      </c>
      <c r="B892" t="str">
        <f>"1552382626690125"</f>
        <v>1552382626690125</v>
      </c>
      <c r="C892" t="s">
        <v>40</v>
      </c>
      <c r="D892">
        <v>4.0676489999999896</v>
      </c>
      <c r="E892">
        <v>0.52652019999999899</v>
      </c>
      <c r="F892" t="s">
        <v>43</v>
      </c>
      <c r="G892">
        <v>-236.54169999999999</v>
      </c>
      <c r="H892" s="1">
        <v>-2.2341610000000001E-6</v>
      </c>
      <c r="I892">
        <v>365.59030000000001</v>
      </c>
      <c r="J892">
        <v>-263.5204</v>
      </c>
      <c r="K892">
        <v>1.109985</v>
      </c>
      <c r="L892">
        <v>367.53199999999998</v>
      </c>
      <c r="M892">
        <v>0.99989309999999998</v>
      </c>
      <c r="N892">
        <v>0</v>
      </c>
      <c r="O892">
        <v>7.021523E-3</v>
      </c>
      <c r="P892">
        <v>0.98849580000000004</v>
      </c>
      <c r="Q892">
        <v>0.1512481</v>
      </c>
      <c r="R892" s="1">
        <v>1.485366E-5</v>
      </c>
      <c r="S892">
        <v>3.0539860000000001</v>
      </c>
      <c r="T892">
        <v>-0.1247258</v>
      </c>
      <c r="U892">
        <v>-0.21801760000000001</v>
      </c>
      <c r="V892">
        <v>6.9271369999999999E-3</v>
      </c>
      <c r="W892">
        <v>0.16391439999999999</v>
      </c>
      <c r="X892">
        <v>0.9864503</v>
      </c>
      <c r="Y892">
        <v>7.8138570000000004E-2</v>
      </c>
      <c r="Z892">
        <v>-1.879232E-3</v>
      </c>
      <c r="AA892">
        <v>0.99694070000000001</v>
      </c>
      <c r="AB892">
        <v>38</v>
      </c>
      <c r="AC892">
        <v>26.9787</v>
      </c>
      <c r="AD892">
        <v>-1.109987234161</v>
      </c>
      <c r="AE892">
        <v>-1.94169999999996</v>
      </c>
      <c r="AF892">
        <v>2.12751646679081</v>
      </c>
      <c r="AG892">
        <v>-1.109987234161</v>
      </c>
      <c r="AH892">
        <v>26.919067471548299</v>
      </c>
      <c r="AI892">
        <v>92.353878361314003</v>
      </c>
      <c r="AJ892">
        <v>85.481089509338403</v>
      </c>
      <c r="AK892">
        <v>27.025813429279701</v>
      </c>
      <c r="AL892">
        <v>80.565824953417703</v>
      </c>
      <c r="AM892">
        <v>89.597659212606104</v>
      </c>
      <c r="AN892">
        <v>1.0000000550622301</v>
      </c>
    </row>
    <row r="893" spans="1:40" x14ac:dyDescent="0.25">
      <c r="A893" t="str">
        <f>"20190312172346708"</f>
        <v>20190312172346708</v>
      </c>
      <c r="B893" t="str">
        <f>"1552382626700861"</f>
        <v>1552382626700861</v>
      </c>
      <c r="C893" t="s">
        <v>40</v>
      </c>
      <c r="D893">
        <v>3.7355260000000001</v>
      </c>
      <c r="E893">
        <v>0.52677050000000003</v>
      </c>
      <c r="F893" t="s">
        <v>43</v>
      </c>
      <c r="G893">
        <v>-236.3707</v>
      </c>
      <c r="H893" s="1">
        <v>-2.2904999999999999E-6</v>
      </c>
      <c r="I893">
        <v>365.59739999999999</v>
      </c>
      <c r="J893">
        <v>-263.33600000000001</v>
      </c>
      <c r="K893">
        <v>1.1099950000000001</v>
      </c>
      <c r="L893">
        <v>367.5333</v>
      </c>
      <c r="M893">
        <v>0.99989289999999997</v>
      </c>
      <c r="N893">
        <v>0</v>
      </c>
      <c r="O893">
        <v>7.0281120000000004E-3</v>
      </c>
      <c r="P893">
        <v>0.98853199999999997</v>
      </c>
      <c r="Q893">
        <v>0.15101249999999999</v>
      </c>
      <c r="R893" s="1">
        <v>-7.3055739999999995E-5</v>
      </c>
      <c r="S893">
        <v>3.0539860000000001</v>
      </c>
      <c r="T893">
        <v>-0.1248587</v>
      </c>
      <c r="U893">
        <v>-0.2176208</v>
      </c>
      <c r="V893">
        <v>7.0217709999999996E-3</v>
      </c>
      <c r="W893">
        <v>0.16370219999999999</v>
      </c>
      <c r="X893">
        <v>0.98648480000000005</v>
      </c>
      <c r="Y893">
        <v>7.8016210000000003E-2</v>
      </c>
      <c r="Z893">
        <v>-1.8790129999999999E-3</v>
      </c>
      <c r="AA893">
        <v>0.99695029999999996</v>
      </c>
      <c r="AB893">
        <v>38</v>
      </c>
      <c r="AC893">
        <v>26.965299999999999</v>
      </c>
      <c r="AD893">
        <v>-1.1099972905</v>
      </c>
      <c r="AE893">
        <v>-1.9359</v>
      </c>
      <c r="AF893">
        <v>2.1218060499214202</v>
      </c>
      <c r="AG893">
        <v>-1.1099972905</v>
      </c>
      <c r="AH893">
        <v>26.905670055868601</v>
      </c>
      <c r="AI893">
        <v>92.355102354030507</v>
      </c>
      <c r="AJ893">
        <v>85.490933694598695</v>
      </c>
      <c r="AK893">
        <v>27.0120202142244</v>
      </c>
      <c r="AL893">
        <v>80.578148959366104</v>
      </c>
      <c r="AM893">
        <v>89.592177143868795</v>
      </c>
      <c r="AN893">
        <v>0.99999998809192803</v>
      </c>
    </row>
    <row r="894" spans="1:40" x14ac:dyDescent="0.25">
      <c r="A894" t="str">
        <f>"20190312172346719"</f>
        <v>20190312172346719</v>
      </c>
      <c r="B894" t="str">
        <f>"1552382626710621"</f>
        <v>1552382626710621</v>
      </c>
      <c r="C894" t="s">
        <v>40</v>
      </c>
      <c r="D894">
        <v>3.7531119999999998</v>
      </c>
      <c r="E894">
        <v>0.52677050000000003</v>
      </c>
      <c r="F894" t="s">
        <v>43</v>
      </c>
      <c r="G894">
        <v>-236.64580000000001</v>
      </c>
      <c r="H894" s="1">
        <v>-2.1924150000000002E-6</v>
      </c>
      <c r="I894">
        <v>365.61419999999998</v>
      </c>
      <c r="J894">
        <v>-263.13909999999998</v>
      </c>
      <c r="K894">
        <v>1.1100049999999999</v>
      </c>
      <c r="L894">
        <v>367.53469999999999</v>
      </c>
      <c r="M894">
        <v>0.99989249999999996</v>
      </c>
      <c r="N894">
        <v>0</v>
      </c>
      <c r="O894">
        <v>7.0353459999999996E-3</v>
      </c>
      <c r="P894">
        <v>0.98857169999999905</v>
      </c>
      <c r="Q894">
        <v>0.15075269999999999</v>
      </c>
      <c r="R894" s="1">
        <v>-7.4948649999999898E-5</v>
      </c>
      <c r="S894">
        <v>3.0541689999999999</v>
      </c>
      <c r="T894">
        <v>-0.12701689999999999</v>
      </c>
      <c r="U894">
        <v>-0.21960450000000001</v>
      </c>
      <c r="V894">
        <v>7.0310049999999999E-3</v>
      </c>
      <c r="W894">
        <v>0.163467</v>
      </c>
      <c r="X894">
        <v>0.9865237</v>
      </c>
      <c r="Y894">
        <v>7.8660380000000002E-2</v>
      </c>
      <c r="Z894">
        <v>-1.9249779999999999E-3</v>
      </c>
      <c r="AA894">
        <v>0.9968996</v>
      </c>
      <c r="AB894">
        <v>38</v>
      </c>
      <c r="AC894">
        <v>26.493299999999898</v>
      </c>
      <c r="AD894">
        <v>-1.1100071924149999</v>
      </c>
      <c r="AE894">
        <v>-1.9205000000000001</v>
      </c>
      <c r="AF894">
        <v>2.1031847599106102</v>
      </c>
      <c r="AG894">
        <v>-1.1100071924149999</v>
      </c>
      <c r="AH894">
        <v>26.432973475883699</v>
      </c>
      <c r="AI894">
        <v>92.397057899713502</v>
      </c>
      <c r="AJ894">
        <v>85.450747348854904</v>
      </c>
      <c r="AK894">
        <v>26.5397360363343</v>
      </c>
      <c r="AL894">
        <v>80.591808602040501</v>
      </c>
      <c r="AM894">
        <v>89.591656955030601</v>
      </c>
      <c r="AN894">
        <v>0.99999995289099897</v>
      </c>
    </row>
    <row r="895" spans="1:40" x14ac:dyDescent="0.25">
      <c r="A895" t="str">
        <f>"20190312172346732"</f>
        <v>20190312172346732</v>
      </c>
      <c r="B895" t="str">
        <f>"1552382626720381"</f>
        <v>1552382626720381</v>
      </c>
      <c r="C895" t="s">
        <v>40</v>
      </c>
      <c r="D895">
        <v>3.7621060000000002</v>
      </c>
      <c r="E895">
        <v>0.54721239999999904</v>
      </c>
      <c r="F895" t="s">
        <v>43</v>
      </c>
      <c r="G895">
        <v>-236.6156</v>
      </c>
      <c r="H895" s="1">
        <v>-2.1995380000000001E-6</v>
      </c>
      <c r="I895">
        <v>365.6259</v>
      </c>
      <c r="J895">
        <v>-262.93680000000001</v>
      </c>
      <c r="K895">
        <v>1.110009</v>
      </c>
      <c r="L895">
        <v>367.53609999999998</v>
      </c>
      <c r="M895">
        <v>0.99989209999999995</v>
      </c>
      <c r="N895">
        <v>0</v>
      </c>
      <c r="O895">
        <v>7.0432280000000003E-3</v>
      </c>
      <c r="P895">
        <v>0.98856540000000004</v>
      </c>
      <c r="Q895">
        <v>0.15079429999999999</v>
      </c>
      <c r="R895" s="1">
        <v>-6.0647260000000002E-5</v>
      </c>
      <c r="S895">
        <v>3.0541689999999999</v>
      </c>
      <c r="T895">
        <v>-0.12781680000000001</v>
      </c>
      <c r="U895">
        <v>-0.2197876</v>
      </c>
      <c r="V895">
        <v>7.024349E-3</v>
      </c>
      <c r="W895">
        <v>0.1635334</v>
      </c>
      <c r="X895">
        <v>0.98651279999999997</v>
      </c>
      <c r="Y895">
        <v>7.8726690000000002E-2</v>
      </c>
      <c r="Z895">
        <v>-1.938801E-3</v>
      </c>
      <c r="AA895">
        <v>0.99689439999999996</v>
      </c>
      <c r="AB895">
        <v>38</v>
      </c>
      <c r="AC895">
        <v>26.321200000000001</v>
      </c>
      <c r="AD895">
        <v>-1.110011199538</v>
      </c>
      <c r="AE895">
        <v>-1.9101999999999699</v>
      </c>
      <c r="AF895">
        <v>2.09185345043662</v>
      </c>
      <c r="AG895">
        <v>-1.110011199538</v>
      </c>
      <c r="AH895">
        <v>26.260633216005299</v>
      </c>
      <c r="AI895">
        <v>92.412761917019793</v>
      </c>
      <c r="AJ895">
        <v>85.445584655062603</v>
      </c>
      <c r="AK895">
        <v>26.367192353884899</v>
      </c>
      <c r="AL895">
        <v>80.587952806030302</v>
      </c>
      <c r="AM895">
        <v>89.592038998292196</v>
      </c>
      <c r="AN895">
        <v>1.0000000094791299</v>
      </c>
    </row>
    <row r="896" spans="1:40" x14ac:dyDescent="0.25">
      <c r="A896" t="str">
        <f>"20190312172346744"</f>
        <v>20190312172346744</v>
      </c>
      <c r="B896" t="str">
        <f>"1552382626740877"</f>
        <v>1552382626740877</v>
      </c>
      <c r="C896" t="s">
        <v>40</v>
      </c>
      <c r="D896">
        <v>3.718836</v>
      </c>
      <c r="E896">
        <v>0.55436940000000001</v>
      </c>
      <c r="F896" t="s">
        <v>41</v>
      </c>
      <c r="G896">
        <v>-262.06060000000002</v>
      </c>
      <c r="H896">
        <v>1.0020169999999999</v>
      </c>
      <c r="I896">
        <v>367.42680000000001</v>
      </c>
      <c r="J896">
        <v>-262.72160000000002</v>
      </c>
      <c r="K896">
        <v>1.110015</v>
      </c>
      <c r="L896">
        <v>367.53769999999997</v>
      </c>
      <c r="M896">
        <v>0.99989170000000005</v>
      </c>
      <c r="N896">
        <v>0</v>
      </c>
      <c r="O896">
        <v>7.0514559999999898E-3</v>
      </c>
      <c r="P896">
        <v>0.98856999999999995</v>
      </c>
      <c r="Q896">
        <v>0.15076419999999999</v>
      </c>
      <c r="R896">
        <v>-3.2959269999999999E-4</v>
      </c>
      <c r="S896">
        <v>3.0928339999999999</v>
      </c>
      <c r="T896">
        <v>-0.38121569999999999</v>
      </c>
      <c r="U896">
        <v>-0.3856812</v>
      </c>
      <c r="V896">
        <v>7.3013849999999996E-3</v>
      </c>
      <c r="W896">
        <v>0.1635305</v>
      </c>
      <c r="X896">
        <v>0.98651120000000003</v>
      </c>
      <c r="Y896">
        <v>0.12971839999999901</v>
      </c>
      <c r="Z896">
        <v>-8.7966079999999992E-3</v>
      </c>
      <c r="AA896">
        <v>0.9915119</v>
      </c>
      <c r="AB896">
        <v>38</v>
      </c>
      <c r="AC896">
        <v>0.66100000000000103</v>
      </c>
      <c r="AD896">
        <v>-0.107998</v>
      </c>
      <c r="AE896">
        <v>-0.110899999999958</v>
      </c>
      <c r="AF896">
        <v>0.112634203028622</v>
      </c>
      <c r="AG896">
        <v>-0.107998</v>
      </c>
      <c r="AH896">
        <v>0.64349378366150101</v>
      </c>
      <c r="AI896">
        <v>99.387084539815703</v>
      </c>
      <c r="AJ896">
        <v>80.071785536329401</v>
      </c>
      <c r="AK896">
        <v>0.66214370140241297</v>
      </c>
      <c r="AL896">
        <v>80.588120582541407</v>
      </c>
      <c r="AM896">
        <v>89.575949156215103</v>
      </c>
      <c r="AN896">
        <v>0.99999994118930202</v>
      </c>
    </row>
    <row r="897" spans="1:40" x14ac:dyDescent="0.25">
      <c r="A897" t="str">
        <f>"20190312172346756"</f>
        <v>20190312172346756</v>
      </c>
      <c r="B897" t="str">
        <f>"1552382626750638"</f>
        <v>1552382626750638</v>
      </c>
      <c r="C897" t="s">
        <v>40</v>
      </c>
      <c r="D897">
        <v>3.6932510000000001</v>
      </c>
      <c r="E897">
        <v>0.55569250000000003</v>
      </c>
      <c r="F897" t="s">
        <v>41</v>
      </c>
      <c r="G897">
        <v>-261.74279999999999</v>
      </c>
      <c r="H897">
        <v>0.95174369999999997</v>
      </c>
      <c r="I897">
        <v>367.39760000000001</v>
      </c>
      <c r="J897">
        <v>-262.51179999999999</v>
      </c>
      <c r="K897">
        <v>1.1100219999999901</v>
      </c>
      <c r="L897">
        <v>367.53910000000002</v>
      </c>
      <c r="M897">
        <v>0.99989119999999998</v>
      </c>
      <c r="N897">
        <v>0</v>
      </c>
      <c r="O897">
        <v>7.0598600000000003E-3</v>
      </c>
      <c r="P897">
        <v>0.98857680000000003</v>
      </c>
      <c r="Q897">
        <v>0.15071879999999999</v>
      </c>
      <c r="R897">
        <v>-3.0135269999999998E-4</v>
      </c>
      <c r="S897">
        <v>3.1112669999999998</v>
      </c>
      <c r="T897">
        <v>-0.50309420000000005</v>
      </c>
      <c r="U897">
        <v>-0.44500729999999999</v>
      </c>
      <c r="V897">
        <v>7.2814869999999997E-3</v>
      </c>
      <c r="W897">
        <v>0.16351170000000001</v>
      </c>
      <c r="X897">
        <v>0.98651449999999996</v>
      </c>
      <c r="Y897">
        <v>0.14661879999999999</v>
      </c>
      <c r="Z897">
        <v>-1.284801E-2</v>
      </c>
      <c r="AA897">
        <v>0.98910960000000003</v>
      </c>
      <c r="AB897">
        <v>38</v>
      </c>
      <c r="AC897">
        <v>0.76900000000000501</v>
      </c>
      <c r="AD897">
        <v>-0.15827829999999901</v>
      </c>
      <c r="AE897">
        <v>-0.14150000000000701</v>
      </c>
      <c r="AF897">
        <v>0.14114250990302701</v>
      </c>
      <c r="AG897">
        <v>-0.15827829999999901</v>
      </c>
      <c r="AH897">
        <v>0.73775168913419997</v>
      </c>
      <c r="AI897">
        <v>101.899272085451</v>
      </c>
      <c r="AJ897">
        <v>79.169365732463007</v>
      </c>
      <c r="AK897">
        <v>0.76762672124736597</v>
      </c>
      <c r="AL897">
        <v>80.589212783708007</v>
      </c>
      <c r="AM897">
        <v>89.577106167551904</v>
      </c>
      <c r="AN897">
        <v>0.99999997740003499</v>
      </c>
    </row>
    <row r="898" spans="1:40" x14ac:dyDescent="0.25">
      <c r="A898" t="str">
        <f>"20190312172346768"</f>
        <v>20190312172346768</v>
      </c>
      <c r="B898" t="str">
        <f>"1552382626760397"</f>
        <v>1552382626760397</v>
      </c>
      <c r="C898" t="s">
        <v>40</v>
      </c>
      <c r="D898">
        <v>3.6840619999999999</v>
      </c>
      <c r="E898">
        <v>0.55685560000000001</v>
      </c>
      <c r="F898" t="s">
        <v>41</v>
      </c>
      <c r="G898">
        <v>-261.73239999999998</v>
      </c>
      <c r="H898">
        <v>0.97562070000000001</v>
      </c>
      <c r="I898">
        <v>367.42509999999999</v>
      </c>
      <c r="J898">
        <v>-262.32100000000003</v>
      </c>
      <c r="K898">
        <v>1.1100289999999999</v>
      </c>
      <c r="L898">
        <v>367.54039999999998</v>
      </c>
      <c r="M898">
        <v>0.99989090000000003</v>
      </c>
      <c r="N898">
        <v>0</v>
      </c>
      <c r="O898">
        <v>7.0672080000000002E-3</v>
      </c>
      <c r="P898">
        <v>0.98857980000000001</v>
      </c>
      <c r="Q898">
        <v>0.1506989</v>
      </c>
      <c r="R898">
        <v>-4.4300310000000001E-4</v>
      </c>
      <c r="S898">
        <v>3.1164550000000002</v>
      </c>
      <c r="T898">
        <v>-0.53743479999999999</v>
      </c>
      <c r="U898">
        <v>-0.45547490000000002</v>
      </c>
      <c r="V898">
        <v>7.4307180000000002E-3</v>
      </c>
      <c r="W898">
        <v>0.16351640000000001</v>
      </c>
      <c r="X898">
        <v>0.98651259999999996</v>
      </c>
      <c r="Y898">
        <v>0.1493437</v>
      </c>
      <c r="Z898">
        <v>-1.392059E-2</v>
      </c>
      <c r="AA898">
        <v>0.98868730000000005</v>
      </c>
      <c r="AB898">
        <v>38</v>
      </c>
      <c r="AC898">
        <v>0.58859999999998502</v>
      </c>
      <c r="AD898">
        <v>-0.13440830000000001</v>
      </c>
      <c r="AE898">
        <v>-0.11529999999998999</v>
      </c>
      <c r="AF898">
        <v>0.113745184311433</v>
      </c>
      <c r="AG898">
        <v>-0.13440830000000001</v>
      </c>
      <c r="AH898">
        <v>0.55966517060336796</v>
      </c>
      <c r="AI898">
        <v>103.24339170134699</v>
      </c>
      <c r="AJ898">
        <v>78.511795393556795</v>
      </c>
      <c r="AK898">
        <v>0.58671003165910596</v>
      </c>
      <c r="AL898">
        <v>80.588939742783396</v>
      </c>
      <c r="AM898">
        <v>89.568438630474603</v>
      </c>
      <c r="AN898">
        <v>0.99999996929885704</v>
      </c>
    </row>
    <row r="899" spans="1:40" x14ac:dyDescent="0.25">
      <c r="A899" t="str">
        <f>"20190312172346778"</f>
        <v>20190312172346778</v>
      </c>
      <c r="B899" t="str">
        <f>"1552382626770158"</f>
        <v>1552382626770158</v>
      </c>
      <c r="C899" t="s">
        <v>40</v>
      </c>
      <c r="D899">
        <v>3.7352189999999998</v>
      </c>
      <c r="E899">
        <v>0.55838699999999997</v>
      </c>
      <c r="F899" t="s">
        <v>41</v>
      </c>
      <c r="G899">
        <v>-261.4051</v>
      </c>
      <c r="H899">
        <v>0.94542709999999996</v>
      </c>
      <c r="I899">
        <v>367.40390000000002</v>
      </c>
      <c r="J899">
        <v>-262.11649999999997</v>
      </c>
      <c r="K899">
        <v>1.1100369999999999</v>
      </c>
      <c r="L899">
        <v>367.5419</v>
      </c>
      <c r="M899">
        <v>0.99989050000000002</v>
      </c>
      <c r="N899">
        <v>0</v>
      </c>
      <c r="O899">
        <v>7.0752599999999999E-3</v>
      </c>
      <c r="P899">
        <v>0.98859900000000001</v>
      </c>
      <c r="Q899">
        <v>0.15057229999999999</v>
      </c>
      <c r="R899">
        <v>-3.8692959999999998E-4</v>
      </c>
      <c r="S899">
        <v>3.119904</v>
      </c>
      <c r="T899">
        <v>-0.56070609999999999</v>
      </c>
      <c r="U899">
        <v>-0.46548460000000003</v>
      </c>
      <c r="V899">
        <v>7.3825369999999998E-3</v>
      </c>
      <c r="W899">
        <v>0.1634167</v>
      </c>
      <c r="X899">
        <v>0.98652949999999995</v>
      </c>
      <c r="Y899">
        <v>0.15206449999999999</v>
      </c>
      <c r="Z899">
        <v>-1.473792E-2</v>
      </c>
      <c r="AA899">
        <v>0.98826069999999999</v>
      </c>
      <c r="AB899">
        <v>38</v>
      </c>
      <c r="AC899">
        <v>0.71139999999996895</v>
      </c>
      <c r="AD899">
        <v>-0.1646099</v>
      </c>
      <c r="AE899">
        <v>-0.137999999999976</v>
      </c>
      <c r="AF899">
        <v>0.13601220822281301</v>
      </c>
      <c r="AG899">
        <v>-0.1646099</v>
      </c>
      <c r="AH899">
        <v>0.67554807600522704</v>
      </c>
      <c r="AI899">
        <v>103.434782122538</v>
      </c>
      <c r="AJ899">
        <v>78.616478476907503</v>
      </c>
      <c r="AK899">
        <v>0.70849202039121095</v>
      </c>
      <c r="AL899">
        <v>80.594730186173805</v>
      </c>
      <c r="AM899">
        <v>89.571244127389505</v>
      </c>
      <c r="AN899">
        <v>0.99999998703084803</v>
      </c>
    </row>
    <row r="900" spans="1:40" x14ac:dyDescent="0.25">
      <c r="A900" t="str">
        <f>"20190312172346791"</f>
        <v>20190312172346791</v>
      </c>
      <c r="B900" t="str">
        <f>"1552382626780894"</f>
        <v>1552382626780894</v>
      </c>
      <c r="C900" t="s">
        <v>40</v>
      </c>
      <c r="D900">
        <v>3.6879110000000002</v>
      </c>
      <c r="E900">
        <v>0.55917640000000002</v>
      </c>
      <c r="F900" t="s">
        <v>41</v>
      </c>
      <c r="G900">
        <v>-261.39210000000003</v>
      </c>
      <c r="H900">
        <v>0.9748793</v>
      </c>
      <c r="I900">
        <v>367.43110000000001</v>
      </c>
      <c r="J900">
        <v>-261.91140000000001</v>
      </c>
      <c r="K900">
        <v>1.110044</v>
      </c>
      <c r="L900">
        <v>367.54340000000002</v>
      </c>
      <c r="M900">
        <v>0.9998901</v>
      </c>
      <c r="N900">
        <v>0</v>
      </c>
      <c r="O900">
        <v>7.0833659999999998E-3</v>
      </c>
      <c r="P900">
        <v>0.98858170000000001</v>
      </c>
      <c r="Q900">
        <v>0.1506865</v>
      </c>
      <c r="R900">
        <v>-3.3173149999999999E-4</v>
      </c>
      <c r="S900">
        <v>3.1231689999999999</v>
      </c>
      <c r="T900">
        <v>-0.58264269999999996</v>
      </c>
      <c r="U900">
        <v>-0.47808840000000002</v>
      </c>
      <c r="V900">
        <v>7.3352629999999999E-3</v>
      </c>
      <c r="W900">
        <v>0.1635578</v>
      </c>
      <c r="X900">
        <v>0.98650649999999995</v>
      </c>
      <c r="Y900">
        <v>0.15557070000000001</v>
      </c>
      <c r="Z900">
        <v>-1.560893E-2</v>
      </c>
      <c r="AA900">
        <v>0.98770139999999995</v>
      </c>
      <c r="AB900">
        <v>38</v>
      </c>
      <c r="AC900">
        <v>0.51929999999998699</v>
      </c>
      <c r="AD900">
        <v>-0.1351647</v>
      </c>
      <c r="AE900">
        <v>-0.11230000000000399</v>
      </c>
      <c r="AF900">
        <v>0.10892615099267999</v>
      </c>
      <c r="AG900">
        <v>-0.1351647</v>
      </c>
      <c r="AH900">
        <v>0.48697430817048898</v>
      </c>
      <c r="AI900">
        <v>105.155857410153</v>
      </c>
      <c r="AJ900">
        <v>77.391652343014897</v>
      </c>
      <c r="AK900">
        <v>0.51698972844177205</v>
      </c>
      <c r="AL900">
        <v>80.586535783041697</v>
      </c>
      <c r="AM900">
        <v>89.5739796278162</v>
      </c>
      <c r="AN900">
        <v>1.00000001728318</v>
      </c>
    </row>
    <row r="901" spans="1:40" x14ac:dyDescent="0.25">
      <c r="A901" t="str">
        <f>"20190312172346807"</f>
        <v>20190312172346807</v>
      </c>
      <c r="B901" t="str">
        <f>"1552382626800415"</f>
        <v>1552382626800415</v>
      </c>
      <c r="C901" t="s">
        <v>40</v>
      </c>
      <c r="D901">
        <v>3.743169</v>
      </c>
      <c r="E901">
        <v>0.56109980000000004</v>
      </c>
      <c r="F901" t="s">
        <v>41</v>
      </c>
      <c r="G901">
        <v>-261.0634</v>
      </c>
      <c r="H901">
        <v>0.94824870000000006</v>
      </c>
      <c r="I901">
        <v>367.4119</v>
      </c>
      <c r="J901">
        <v>-261.64850000000001</v>
      </c>
      <c r="K901">
        <v>1.1100490000000001</v>
      </c>
      <c r="L901">
        <v>367.5453</v>
      </c>
      <c r="M901">
        <v>0.99988949999999999</v>
      </c>
      <c r="N901">
        <v>0</v>
      </c>
      <c r="O901">
        <v>7.0938640000000001E-3</v>
      </c>
      <c r="P901">
        <v>0.98858800000000002</v>
      </c>
      <c r="Q901">
        <v>0.15064520000000001</v>
      </c>
      <c r="R901">
        <v>-3.1985439999999998E-4</v>
      </c>
      <c r="S901">
        <v>3.1254270000000002</v>
      </c>
      <c r="T901">
        <v>-0.59638740000000001</v>
      </c>
      <c r="U901">
        <v>-0.48416140000000002</v>
      </c>
      <c r="V901">
        <v>7.3336690000000001E-3</v>
      </c>
      <c r="W901">
        <v>0.16355129999999901</v>
      </c>
      <c r="X901">
        <v>0.98650760000000004</v>
      </c>
      <c r="Y901">
        <v>0.15719540000000001</v>
      </c>
      <c r="Z901">
        <v>-1.611201E-2</v>
      </c>
      <c r="AA901">
        <v>0.98743610000000004</v>
      </c>
      <c r="AB901">
        <v>38</v>
      </c>
      <c r="AC901">
        <v>0.58510000000001094</v>
      </c>
      <c r="AD901">
        <v>-0.16180030000000001</v>
      </c>
      <c r="AE901">
        <v>-0.133399999999994</v>
      </c>
      <c r="AF901">
        <v>0.12822649902771399</v>
      </c>
      <c r="AG901">
        <v>-0.16180030000000001</v>
      </c>
      <c r="AH901">
        <v>0.54455383766776599</v>
      </c>
      <c r="AI901">
        <v>106.130647456666</v>
      </c>
      <c r="AJ901">
        <v>76.749891228392798</v>
      </c>
      <c r="AK901">
        <v>0.58237466827780704</v>
      </c>
      <c r="AL901">
        <v>80.586913387412594</v>
      </c>
      <c r="AM901">
        <v>89.574072676293099</v>
      </c>
      <c r="AN901">
        <v>1.0000000276452199</v>
      </c>
    </row>
    <row r="902" spans="1:40" x14ac:dyDescent="0.25">
      <c r="A902" t="str">
        <f>"20190312172346818"</f>
        <v>20190312172346818</v>
      </c>
      <c r="B902" t="str">
        <f>"1552382626810173"</f>
        <v>1552382626810173</v>
      </c>
      <c r="C902" t="s">
        <v>40</v>
      </c>
      <c r="D902">
        <v>3.6761400000000002</v>
      </c>
      <c r="E902">
        <v>0.56144629999999995</v>
      </c>
      <c r="F902" t="s">
        <v>41</v>
      </c>
      <c r="G902">
        <v>-260.73149999999998</v>
      </c>
      <c r="H902">
        <v>0.92806719999999998</v>
      </c>
      <c r="I902">
        <v>367.399</v>
      </c>
      <c r="J902">
        <v>-261.43880000000001</v>
      </c>
      <c r="K902">
        <v>1.1100559999999999</v>
      </c>
      <c r="L902">
        <v>367.54680000000002</v>
      </c>
      <c r="M902">
        <v>0.99988900000000003</v>
      </c>
      <c r="N902">
        <v>0</v>
      </c>
      <c r="O902">
        <v>7.1022639999999996E-3</v>
      </c>
      <c r="P902">
        <v>0.98858449999999998</v>
      </c>
      <c r="Q902">
        <v>0.15066860000000001</v>
      </c>
      <c r="R902">
        <v>-1.322408E-4</v>
      </c>
      <c r="S902">
        <v>3.129089</v>
      </c>
      <c r="T902">
        <v>-0.62097440000000004</v>
      </c>
      <c r="U902">
        <v>-0.4995117</v>
      </c>
      <c r="V902">
        <v>7.1542569999999998E-3</v>
      </c>
      <c r="W902">
        <v>0.16360250000000001</v>
      </c>
      <c r="X902">
        <v>0.98650040000000006</v>
      </c>
      <c r="Y902">
        <v>0.16144220000000001</v>
      </c>
      <c r="Z902">
        <v>-1.7155210000000001E-2</v>
      </c>
      <c r="AA902">
        <v>0.98673310000000003</v>
      </c>
      <c r="AB902">
        <v>38</v>
      </c>
      <c r="AC902">
        <v>0.70730000000003201</v>
      </c>
      <c r="AD902">
        <v>-0.18198880000000001</v>
      </c>
      <c r="AE902">
        <v>-0.147800000000017</v>
      </c>
      <c r="AF902">
        <v>0.14370442021660601</v>
      </c>
      <c r="AG902">
        <v>-0.18198880000000001</v>
      </c>
      <c r="AH902">
        <v>0.66410562708876997</v>
      </c>
      <c r="AI902">
        <v>104.99400728002</v>
      </c>
      <c r="AJ902">
        <v>77.790134323454296</v>
      </c>
      <c r="AK902">
        <v>0.70342531063802405</v>
      </c>
      <c r="AL902">
        <v>80.583939531154797</v>
      </c>
      <c r="AM902">
        <v>89.584489225083402</v>
      </c>
      <c r="AN902">
        <v>1.00000000029981</v>
      </c>
    </row>
    <row r="903" spans="1:40" x14ac:dyDescent="0.25">
      <c r="A903" t="str">
        <f>"20190312172346832"</f>
        <v>20190312172346832</v>
      </c>
      <c r="B903" t="str">
        <f>"1552382626820909"</f>
        <v>1552382626820909</v>
      </c>
      <c r="C903" t="s">
        <v>40</v>
      </c>
      <c r="D903">
        <v>3.6755949999999999</v>
      </c>
      <c r="E903">
        <v>0.56171839999999995</v>
      </c>
      <c r="F903" t="s">
        <v>41</v>
      </c>
      <c r="G903">
        <v>-260.71559999999999</v>
      </c>
      <c r="H903">
        <v>0.96491420000000006</v>
      </c>
      <c r="I903">
        <v>367.43079999999998</v>
      </c>
      <c r="J903">
        <v>-261.2294</v>
      </c>
      <c r="K903">
        <v>1.1100639999999999</v>
      </c>
      <c r="L903">
        <v>367.54820000000001</v>
      </c>
      <c r="M903">
        <v>0.99988869999999996</v>
      </c>
      <c r="N903">
        <v>0</v>
      </c>
      <c r="O903">
        <v>7.1106110000000002E-3</v>
      </c>
      <c r="P903">
        <v>0.98860429999999999</v>
      </c>
      <c r="Q903">
        <v>0.15053800000000001</v>
      </c>
      <c r="R903" s="1">
        <v>-8.5742209999999994E-5</v>
      </c>
      <c r="S903">
        <v>3.130341</v>
      </c>
      <c r="T903">
        <v>-0.62827540000000004</v>
      </c>
      <c r="U903">
        <v>-0.50210569999999999</v>
      </c>
      <c r="V903">
        <v>7.1163909999999997E-3</v>
      </c>
      <c r="W903">
        <v>0.16349810000000001</v>
      </c>
      <c r="X903">
        <v>0.98651800000000001</v>
      </c>
      <c r="Y903">
        <v>0.1621011</v>
      </c>
      <c r="Z903">
        <v>-1.7411960000000001E-2</v>
      </c>
      <c r="AA903">
        <v>0.98662050000000001</v>
      </c>
      <c r="AB903">
        <v>38</v>
      </c>
      <c r="AC903">
        <v>0.51380000000000303</v>
      </c>
      <c r="AD903">
        <v>-0.1451498</v>
      </c>
      <c r="AE903">
        <v>-0.11740000000003099</v>
      </c>
      <c r="AF903">
        <v>0.112516646435911</v>
      </c>
      <c r="AG903">
        <v>-0.1451498</v>
      </c>
      <c r="AH903">
        <v>0.476788806188016</v>
      </c>
      <c r="AI903">
        <v>106.50421234268499</v>
      </c>
      <c r="AJ903">
        <v>76.721791111627894</v>
      </c>
      <c r="AK903">
        <v>0.51093642057639399</v>
      </c>
      <c r="AL903">
        <v>80.590003021492095</v>
      </c>
      <c r="AM903">
        <v>89.586695734470595</v>
      </c>
      <c r="AN903">
        <v>1.0000000180242301</v>
      </c>
    </row>
    <row r="904" spans="1:40" x14ac:dyDescent="0.25">
      <c r="A904" t="str">
        <f>"20190312172346845"</f>
        <v>20190312172346845</v>
      </c>
      <c r="B904" t="str">
        <f>"1552382626840428"</f>
        <v>1552382626840428</v>
      </c>
      <c r="C904" t="s">
        <v>40</v>
      </c>
      <c r="D904">
        <v>3.833628</v>
      </c>
      <c r="E904">
        <v>0.56182989999999999</v>
      </c>
      <c r="F904" t="s">
        <v>41</v>
      </c>
      <c r="G904">
        <v>-260.38679999999999</v>
      </c>
      <c r="H904">
        <v>0.93919889999999995</v>
      </c>
      <c r="I904">
        <v>367.41239999999999</v>
      </c>
      <c r="J904">
        <v>-261.00510000000003</v>
      </c>
      <c r="K904">
        <v>1.110069</v>
      </c>
      <c r="L904">
        <v>367.54989999999998</v>
      </c>
      <c r="M904">
        <v>0.99988829999999995</v>
      </c>
      <c r="N904">
        <v>0</v>
      </c>
      <c r="O904">
        <v>7.1196649999999998E-3</v>
      </c>
      <c r="P904">
        <v>0.98859920000000001</v>
      </c>
      <c r="Q904">
        <v>0.15057229999999999</v>
      </c>
      <c r="R904" s="1">
        <v>-2.9932240000000001E-5</v>
      </c>
      <c r="S904">
        <v>3.131195</v>
      </c>
      <c r="T904">
        <v>-0.63490069999999998</v>
      </c>
      <c r="U904">
        <v>-0.50424190000000002</v>
      </c>
      <c r="V904">
        <v>7.0693819999999999E-3</v>
      </c>
      <c r="W904">
        <v>0.16355919999999999</v>
      </c>
      <c r="X904">
        <v>0.98650819999999995</v>
      </c>
      <c r="Y904">
        <v>0.16264629999999999</v>
      </c>
      <c r="Z904">
        <v>-1.764261E-2</v>
      </c>
      <c r="AA904">
        <v>0.98652669999999998</v>
      </c>
      <c r="AB904">
        <v>38</v>
      </c>
      <c r="AC904">
        <v>0.61830000000003305</v>
      </c>
      <c r="AD904">
        <v>-0.1708701</v>
      </c>
      <c r="AE904">
        <v>-0.13749999999998799</v>
      </c>
      <c r="AF904">
        <v>0.13227308097901</v>
      </c>
      <c r="AG904">
        <v>-0.1708701</v>
      </c>
      <c r="AH904">
        <v>0.57542957910514103</v>
      </c>
      <c r="AI904">
        <v>106.14024189685701</v>
      </c>
      <c r="AJ904">
        <v>77.054396576371701</v>
      </c>
      <c r="AK904">
        <v>0.61466410301465502</v>
      </c>
      <c r="AL904">
        <v>80.586454389317296</v>
      </c>
      <c r="AM904">
        <v>89.589421741035494</v>
      </c>
      <c r="AN904">
        <v>1.0000000083668701</v>
      </c>
    </row>
    <row r="905" spans="1:40" x14ac:dyDescent="0.25">
      <c r="A905" t="str">
        <f>"20190312172346862"</f>
        <v>20190312172346862</v>
      </c>
      <c r="B905" t="str">
        <f>"1552382626860924"</f>
        <v>1552382626860924</v>
      </c>
      <c r="C905" t="s">
        <v>40</v>
      </c>
      <c r="D905">
        <v>3.671783</v>
      </c>
      <c r="E905">
        <v>0.56217289999999998</v>
      </c>
      <c r="F905" t="s">
        <v>41</v>
      </c>
      <c r="G905">
        <v>-260.05619999999999</v>
      </c>
      <c r="H905">
        <v>0.91550509999999996</v>
      </c>
      <c r="I905">
        <v>367.39699999999999</v>
      </c>
      <c r="J905">
        <v>-260.70119999999997</v>
      </c>
      <c r="K905">
        <v>1.1100749999999999</v>
      </c>
      <c r="L905">
        <v>367.55200000000002</v>
      </c>
      <c r="M905">
        <v>0.99988779999999999</v>
      </c>
      <c r="N905">
        <v>0</v>
      </c>
      <c r="O905">
        <v>7.1325429999999999E-3</v>
      </c>
      <c r="P905">
        <v>0.98861319999999997</v>
      </c>
      <c r="Q905">
        <v>0.15048</v>
      </c>
      <c r="R905" s="1">
        <v>4.788442E-5</v>
      </c>
      <c r="S905">
        <v>3.1323850000000002</v>
      </c>
      <c r="T905">
        <v>-0.64219999999999999</v>
      </c>
      <c r="U905">
        <v>-0.50488279999999996</v>
      </c>
      <c r="V905">
        <v>7.0043989999999997E-3</v>
      </c>
      <c r="W905">
        <v>0.163501799999999</v>
      </c>
      <c r="X905">
        <v>0.98651809999999995</v>
      </c>
      <c r="Y905">
        <v>0.16272059999999999</v>
      </c>
      <c r="Z905">
        <v>-1.7844659999999998E-2</v>
      </c>
      <c r="AA905">
        <v>0.98651080000000002</v>
      </c>
      <c r="AB905">
        <v>38</v>
      </c>
      <c r="AC905">
        <v>0.64499999999998103</v>
      </c>
      <c r="AD905">
        <v>-0.19456989999999999</v>
      </c>
      <c r="AE905">
        <v>-0.15499999999997199</v>
      </c>
      <c r="AF905">
        <v>0.146954471373752</v>
      </c>
      <c r="AG905">
        <v>-0.19456989999999999</v>
      </c>
      <c r="AH905">
        <v>0.59287314811621705</v>
      </c>
      <c r="AI905">
        <v>107.668850988062</v>
      </c>
      <c r="AJ905">
        <v>76.078765827948601</v>
      </c>
      <c r="AK905">
        <v>0.64105509310821496</v>
      </c>
      <c r="AL905">
        <v>80.589787308326194</v>
      </c>
      <c r="AM905">
        <v>89.593199803285998</v>
      </c>
      <c r="AN905">
        <v>0.99999993091809802</v>
      </c>
    </row>
    <row r="906" spans="1:40" x14ac:dyDescent="0.25">
      <c r="A906" t="str">
        <f>"20190312172346877"</f>
        <v>20190312172346877</v>
      </c>
      <c r="B906" t="str">
        <f>"1552382626870685"</f>
        <v>1552382626870685</v>
      </c>
      <c r="C906" t="s">
        <v>40</v>
      </c>
      <c r="D906">
        <v>3.672863</v>
      </c>
      <c r="E906">
        <v>0.56245819999999902</v>
      </c>
      <c r="F906" t="s">
        <v>41</v>
      </c>
      <c r="G906">
        <v>-259.71969999999999</v>
      </c>
      <c r="H906">
        <v>0.90666650000000004</v>
      </c>
      <c r="I906">
        <v>367.3931</v>
      </c>
      <c r="J906">
        <v>-260.44990000000001</v>
      </c>
      <c r="K906">
        <v>1.11008</v>
      </c>
      <c r="L906">
        <v>367.5539</v>
      </c>
      <c r="M906">
        <v>0.99988730000000003</v>
      </c>
      <c r="N906">
        <v>0</v>
      </c>
      <c r="O906">
        <v>7.142621E-3</v>
      </c>
      <c r="P906">
        <v>0.9886528</v>
      </c>
      <c r="Q906">
        <v>0.15021999999999999</v>
      </c>
      <c r="R906" s="1">
        <v>7.6228750000000001E-5</v>
      </c>
      <c r="S906">
        <v>3.1334230000000001</v>
      </c>
      <c r="T906">
        <v>-0.64942219999999995</v>
      </c>
      <c r="U906">
        <v>-0.50708009999999903</v>
      </c>
      <c r="V906">
        <v>6.986328E-3</v>
      </c>
      <c r="W906">
        <v>0.16326849999999901</v>
      </c>
      <c r="X906">
        <v>0.98655689999999996</v>
      </c>
      <c r="Y906">
        <v>0.16326749999999901</v>
      </c>
      <c r="Z906">
        <v>-1.809229E-2</v>
      </c>
      <c r="AA906">
        <v>0.98641590000000001</v>
      </c>
      <c r="AB906">
        <v>38</v>
      </c>
      <c r="AC906">
        <v>0.73020000000002405</v>
      </c>
      <c r="AD906">
        <v>-0.203413499999999</v>
      </c>
      <c r="AE906">
        <v>-0.160799999999994</v>
      </c>
      <c r="AF906">
        <v>0.15457154034888601</v>
      </c>
      <c r="AG906">
        <v>-0.203413499999999</v>
      </c>
      <c r="AH906">
        <v>0.67879300862351299</v>
      </c>
      <c r="AI906">
        <v>106.287809256098</v>
      </c>
      <c r="AJ906">
        <v>77.171625214998002</v>
      </c>
      <c r="AK906">
        <v>0.72527881647283599</v>
      </c>
      <c r="AL906">
        <v>80.603336801102003</v>
      </c>
      <c r="AM906">
        <v>89.594265249479903</v>
      </c>
      <c r="AN906">
        <v>0.99999996440439098</v>
      </c>
    </row>
    <row r="907" spans="1:40" x14ac:dyDescent="0.25">
      <c r="A907" t="str">
        <f>"20190312172346889"</f>
        <v>20190312172346889</v>
      </c>
      <c r="B907" t="str">
        <f>"1552382626880445"</f>
        <v>1552382626880445</v>
      </c>
      <c r="C907" t="s">
        <v>40</v>
      </c>
      <c r="D907">
        <v>3.9935999999999998</v>
      </c>
      <c r="E907">
        <v>0.56248949999999998</v>
      </c>
      <c r="F907" t="s">
        <v>41</v>
      </c>
      <c r="G907">
        <v>-259.70049999999998</v>
      </c>
      <c r="H907">
        <v>0.95377990000000001</v>
      </c>
      <c r="I907">
        <v>367.43189999999998</v>
      </c>
      <c r="J907">
        <v>-260.25599999999997</v>
      </c>
      <c r="K907">
        <v>1.1100829999999999</v>
      </c>
      <c r="L907">
        <v>367.55529999999999</v>
      </c>
      <c r="M907">
        <v>0.99988690000000002</v>
      </c>
      <c r="N907">
        <v>0</v>
      </c>
      <c r="O907">
        <v>7.1504259999999997E-3</v>
      </c>
      <c r="P907">
        <v>0.98861489999999996</v>
      </c>
      <c r="Q907">
        <v>0.1504672</v>
      </c>
      <c r="R907">
        <v>2.5402200000000002E-4</v>
      </c>
      <c r="S907">
        <v>3.1337890000000002</v>
      </c>
      <c r="T907">
        <v>-0.6536651</v>
      </c>
      <c r="U907">
        <v>-0.509552</v>
      </c>
      <c r="V907">
        <v>6.8158680000000001E-3</v>
      </c>
      <c r="W907">
        <v>0.16353380000000001</v>
      </c>
      <c r="X907">
        <v>0.98651420000000001</v>
      </c>
      <c r="Y907">
        <v>0.16395599999999999</v>
      </c>
      <c r="Z907">
        <v>-1.8277089999999999E-2</v>
      </c>
      <c r="AA907">
        <v>0.98629829999999996</v>
      </c>
      <c r="AB907">
        <v>38</v>
      </c>
      <c r="AC907">
        <v>0.555499999999995</v>
      </c>
      <c r="AD907">
        <v>-0.156303099999999</v>
      </c>
      <c r="AE907">
        <v>-0.12340000000000299</v>
      </c>
      <c r="AF907">
        <v>0.11843366803369799</v>
      </c>
      <c r="AG907">
        <v>-0.156303099999999</v>
      </c>
      <c r="AH907">
        <v>0.51569517516066998</v>
      </c>
      <c r="AI907">
        <v>106.45724319731301</v>
      </c>
      <c r="AJ907">
        <v>77.065832174115897</v>
      </c>
      <c r="AK907">
        <v>0.55172339671027204</v>
      </c>
      <c r="AL907">
        <v>80.587929611269303</v>
      </c>
      <c r="AM907">
        <v>89.604147353902405</v>
      </c>
      <c r="AN907">
        <v>1.0000000133003299</v>
      </c>
    </row>
    <row r="908" spans="1:40" x14ac:dyDescent="0.25">
      <c r="A908" t="str">
        <f>"20190312172346901"</f>
        <v>20190312172346901</v>
      </c>
      <c r="B908" t="str">
        <f>"1552382626890205"</f>
        <v>1552382626890205</v>
      </c>
      <c r="C908" t="s">
        <v>40</v>
      </c>
      <c r="D908">
        <v>3.6891889999999998</v>
      </c>
      <c r="E908">
        <v>0.56252749999999996</v>
      </c>
      <c r="F908" t="s">
        <v>41</v>
      </c>
      <c r="G908">
        <v>-259.37279999999998</v>
      </c>
      <c r="H908">
        <v>0.92558110000000005</v>
      </c>
      <c r="I908">
        <v>367.4117</v>
      </c>
      <c r="J908">
        <v>-260.048</v>
      </c>
      <c r="K908">
        <v>1.1100909999999999</v>
      </c>
      <c r="L908">
        <v>367.55669999999998</v>
      </c>
      <c r="M908">
        <v>0.99988659999999996</v>
      </c>
      <c r="N908">
        <v>0</v>
      </c>
      <c r="O908">
        <v>7.1583469999999998E-3</v>
      </c>
      <c r="P908">
        <v>0.98862059999999996</v>
      </c>
      <c r="Q908">
        <v>0.15043049999999999</v>
      </c>
      <c r="R908" s="1">
        <v>9.6671749999999995E-5</v>
      </c>
      <c r="S908">
        <v>3.1343380000000001</v>
      </c>
      <c r="T908">
        <v>-0.65472869999999905</v>
      </c>
      <c r="U908">
        <v>-0.5097351</v>
      </c>
      <c r="V908">
        <v>6.9811419999999897E-3</v>
      </c>
      <c r="W908">
        <v>0.16351640000000001</v>
      </c>
      <c r="X908">
        <v>0.9865159</v>
      </c>
      <c r="Y908">
        <v>0.16398160000000001</v>
      </c>
      <c r="Z908">
        <v>-1.830729E-2</v>
      </c>
      <c r="AA908">
        <v>0.98629350000000005</v>
      </c>
      <c r="AB908">
        <v>38</v>
      </c>
      <c r="AC908">
        <v>0.67520000000001701</v>
      </c>
      <c r="AD908">
        <v>-0.1845099</v>
      </c>
      <c r="AE908">
        <v>-0.14499999999998101</v>
      </c>
      <c r="AF908">
        <v>0.13984732621902601</v>
      </c>
      <c r="AG908">
        <v>-0.1845099</v>
      </c>
      <c r="AH908">
        <v>0.62922853135140699</v>
      </c>
      <c r="AI908">
        <v>105.973632519554</v>
      </c>
      <c r="AJ908">
        <v>77.469564134992098</v>
      </c>
      <c r="AK908">
        <v>0.67046977748088699</v>
      </c>
      <c r="AL908">
        <v>80.588939893626204</v>
      </c>
      <c r="AM908">
        <v>89.594549569736401</v>
      </c>
      <c r="AN908">
        <v>0.99999998518269695</v>
      </c>
    </row>
    <row r="909" spans="1:40" x14ac:dyDescent="0.25">
      <c r="A909" t="str">
        <f>"20190312172346914"</f>
        <v>20190312172346914</v>
      </c>
      <c r="B909" t="str">
        <f>"1552382626910701"</f>
        <v>1552382626910701</v>
      </c>
      <c r="C909" t="s">
        <v>40</v>
      </c>
      <c r="D909">
        <v>3.6892559999999999</v>
      </c>
      <c r="E909">
        <v>0.56255710000000003</v>
      </c>
      <c r="F909" t="s">
        <v>41</v>
      </c>
      <c r="G909">
        <v>-259.04320000000001</v>
      </c>
      <c r="H909">
        <v>0.89961899999999995</v>
      </c>
      <c r="I909">
        <v>367.3931</v>
      </c>
      <c r="J909">
        <v>-259.83</v>
      </c>
      <c r="K909">
        <v>1.1100920000000001</v>
      </c>
      <c r="L909">
        <v>367.55829999999997</v>
      </c>
      <c r="M909">
        <v>0.99988639999999995</v>
      </c>
      <c r="N909">
        <v>0</v>
      </c>
      <c r="O909">
        <v>7.16681E-3</v>
      </c>
      <c r="P909">
        <v>0.98861390000000005</v>
      </c>
      <c r="Q909">
        <v>0.15047530000000001</v>
      </c>
      <c r="R909" s="1">
        <v>8.7814409999999903E-5</v>
      </c>
      <c r="S909">
        <v>3.1344910000000001</v>
      </c>
      <c r="T909">
        <v>-0.65652449999999996</v>
      </c>
      <c r="U909">
        <v>-0.51010129999999998</v>
      </c>
      <c r="V909">
        <v>6.9980939999999998E-3</v>
      </c>
      <c r="W909">
        <v>0.1635799</v>
      </c>
      <c r="X909">
        <v>0.98650530000000003</v>
      </c>
      <c r="Y909">
        <v>0.16407330000000001</v>
      </c>
      <c r="Z909">
        <v>-1.8366609999999998E-2</v>
      </c>
      <c r="AA909">
        <v>0.98627719999999997</v>
      </c>
      <c r="AB909">
        <v>38</v>
      </c>
      <c r="AC909">
        <v>0.78679999999997097</v>
      </c>
      <c r="AD909">
        <v>-0.21047299999999999</v>
      </c>
      <c r="AE909">
        <v>-0.16519999999997001</v>
      </c>
      <c r="AF909">
        <v>0.15987749606961399</v>
      </c>
      <c r="AG909">
        <v>-0.21047299999999999</v>
      </c>
      <c r="AH909">
        <v>0.73520651873985798</v>
      </c>
      <c r="AI909">
        <v>105.62840748335201</v>
      </c>
      <c r="AJ909">
        <v>77.731506181356096</v>
      </c>
      <c r="AK909">
        <v>0.78127352615845802</v>
      </c>
      <c r="AL909">
        <v>80.585252399235202</v>
      </c>
      <c r="AM909">
        <v>89.593560698283696</v>
      </c>
      <c r="AN909">
        <v>1.00000003196586</v>
      </c>
    </row>
    <row r="910" spans="1:40" x14ac:dyDescent="0.25">
      <c r="A910" t="str">
        <f>"20190312172346927"</f>
        <v>20190312172346927</v>
      </c>
      <c r="B910" t="str">
        <f>"1552382626920462"</f>
        <v>1552382626920462</v>
      </c>
      <c r="C910" t="s">
        <v>40</v>
      </c>
      <c r="D910">
        <v>3.6644670000000001</v>
      </c>
      <c r="E910">
        <v>0.56262349999999905</v>
      </c>
      <c r="F910" t="s">
        <v>41</v>
      </c>
      <c r="G910">
        <v>-259.02679999999998</v>
      </c>
      <c r="H910">
        <v>0.94114799999999998</v>
      </c>
      <c r="I910">
        <v>367.42759999999998</v>
      </c>
      <c r="J910">
        <v>-259.6114</v>
      </c>
      <c r="K910">
        <v>1.1100950000000001</v>
      </c>
      <c r="L910">
        <v>367.55990000000003</v>
      </c>
      <c r="M910">
        <v>0.99988600000000005</v>
      </c>
      <c r="N910">
        <v>0</v>
      </c>
      <c r="O910">
        <v>7.1755760000000003E-3</v>
      </c>
      <c r="P910">
        <v>0.98863579999999995</v>
      </c>
      <c r="Q910">
        <v>0.15032999999999999</v>
      </c>
      <c r="R910" s="1">
        <v>-1.5864610000000001E-5</v>
      </c>
      <c r="S910">
        <v>3.1349490000000002</v>
      </c>
      <c r="T910">
        <v>-0.65941459999999996</v>
      </c>
      <c r="U910">
        <v>-0.50991819999999999</v>
      </c>
      <c r="V910">
        <v>7.1106190000000003E-3</v>
      </c>
      <c r="W910">
        <v>0.1634515</v>
      </c>
      <c r="X910">
        <v>0.98652569999999995</v>
      </c>
      <c r="Y910">
        <v>0.16397429999999999</v>
      </c>
      <c r="Z910">
        <v>-1.8434820000000001E-2</v>
      </c>
      <c r="AA910">
        <v>0.98629239999999996</v>
      </c>
      <c r="AB910">
        <v>38</v>
      </c>
      <c r="AC910">
        <v>0.58460000000002299</v>
      </c>
      <c r="AD910">
        <v>-0.16894700000000001</v>
      </c>
      <c r="AE910">
        <v>-0.13230000000004299</v>
      </c>
      <c r="AF910">
        <v>0.12644574507051701</v>
      </c>
      <c r="AG910">
        <v>-0.16894700000000001</v>
      </c>
      <c r="AH910">
        <v>0.54067883286379803</v>
      </c>
      <c r="AI910">
        <v>106.923027874816</v>
      </c>
      <c r="AJ910">
        <v>76.837102775171402</v>
      </c>
      <c r="AK910">
        <v>0.58040090933973998</v>
      </c>
      <c r="AL910">
        <v>80.592708816638094</v>
      </c>
      <c r="AM910">
        <v>89.587034171044294</v>
      </c>
      <c r="AN910">
        <v>0.99999995525764995</v>
      </c>
    </row>
    <row r="911" spans="1:40" x14ac:dyDescent="0.25">
      <c r="A911" t="str">
        <f>"20190312172346940"</f>
        <v>20190312172346940</v>
      </c>
      <c r="B911" t="str">
        <f>"1552382626930221"</f>
        <v>1552382626930221</v>
      </c>
      <c r="C911" t="s">
        <v>40</v>
      </c>
      <c r="D911">
        <v>3.692958</v>
      </c>
      <c r="E911">
        <v>0.56270640000000005</v>
      </c>
      <c r="F911" t="s">
        <v>41</v>
      </c>
      <c r="G911">
        <v>-258.69709999999998</v>
      </c>
      <c r="H911">
        <v>0.91728699999999996</v>
      </c>
      <c r="I911">
        <v>367.41090000000003</v>
      </c>
      <c r="J911">
        <v>-259.37560000000002</v>
      </c>
      <c r="K911">
        <v>1.1100950000000001</v>
      </c>
      <c r="L911">
        <v>367.5616</v>
      </c>
      <c r="M911">
        <v>0.99988589999999999</v>
      </c>
      <c r="N911">
        <v>0</v>
      </c>
      <c r="O911">
        <v>7.1845190000000003E-3</v>
      </c>
      <c r="P911">
        <v>0.98869910000000005</v>
      </c>
      <c r="Q911">
        <v>0.14991450000000001</v>
      </c>
      <c r="R911" s="1">
        <v>-5.7289379999999999E-5</v>
      </c>
      <c r="S911">
        <v>3.1350099999999999</v>
      </c>
      <c r="T911">
        <v>-0.66115570000000001</v>
      </c>
      <c r="U911">
        <v>-0.51068119999999995</v>
      </c>
      <c r="V911">
        <v>7.1612159999999998E-3</v>
      </c>
      <c r="W911">
        <v>0.163054</v>
      </c>
      <c r="X911">
        <v>0.9865912</v>
      </c>
      <c r="Y911">
        <v>0.16419029999999901</v>
      </c>
      <c r="Z911">
        <v>-1.850601E-2</v>
      </c>
      <c r="AA911">
        <v>0.98625510000000005</v>
      </c>
      <c r="AB911">
        <v>38</v>
      </c>
      <c r="AC911">
        <v>0.67850000000004196</v>
      </c>
      <c r="AD911">
        <v>-0.19280800000000001</v>
      </c>
      <c r="AE911">
        <v>-0.150699999999972</v>
      </c>
      <c r="AF911">
        <v>0.144454705973322</v>
      </c>
      <c r="AG911">
        <v>-0.19280800000000001</v>
      </c>
      <c r="AH911">
        <v>0.62899527089076002</v>
      </c>
      <c r="AI911">
        <v>106.633822294542</v>
      </c>
      <c r="AJ911">
        <v>77.065768785278095</v>
      </c>
      <c r="AK911">
        <v>0.67355559365562401</v>
      </c>
      <c r="AL911">
        <v>80.615794419189299</v>
      </c>
      <c r="AM911">
        <v>89.584123345793003</v>
      </c>
      <c r="AN911">
        <v>1.0000000429240099</v>
      </c>
    </row>
    <row r="912" spans="1:40" x14ac:dyDescent="0.25">
      <c r="A912" t="str">
        <f>"20190312172346955"</f>
        <v>20190312172346955</v>
      </c>
      <c r="B912" t="str">
        <f>"1552382626950717"</f>
        <v>1552382626950717</v>
      </c>
      <c r="C912" t="s">
        <v>40</v>
      </c>
      <c r="D912">
        <v>3.6958730000000002</v>
      </c>
      <c r="E912">
        <v>0.56277739999999998</v>
      </c>
      <c r="F912" t="s">
        <v>41</v>
      </c>
      <c r="G912">
        <v>-258.678</v>
      </c>
      <c r="H912">
        <v>0.96243979999999996</v>
      </c>
      <c r="I912">
        <v>367.4477</v>
      </c>
      <c r="J912">
        <v>-259.14019999999999</v>
      </c>
      <c r="K912">
        <v>1.110096</v>
      </c>
      <c r="L912">
        <v>367.56319999999999</v>
      </c>
      <c r="M912">
        <v>0.99988540000000004</v>
      </c>
      <c r="N912">
        <v>0</v>
      </c>
      <c r="O912">
        <v>7.1940119999999996E-3</v>
      </c>
      <c r="P912">
        <v>0.98869859999999998</v>
      </c>
      <c r="Q912">
        <v>0.1499161</v>
      </c>
      <c r="R912">
        <v>-1.9260119999999999E-4</v>
      </c>
      <c r="S912">
        <v>3.1349490000000002</v>
      </c>
      <c r="T912">
        <v>-0.66361239999999999</v>
      </c>
      <c r="U912">
        <v>-0.51174929999999996</v>
      </c>
      <c r="V912">
        <v>7.3060030000000001E-3</v>
      </c>
      <c r="W912">
        <v>0.16307089999999999</v>
      </c>
      <c r="X912">
        <v>0.98658729999999994</v>
      </c>
      <c r="Y912">
        <v>0.16449620000000001</v>
      </c>
      <c r="Z912">
        <v>-1.860697E-2</v>
      </c>
      <c r="AA912">
        <v>0.98620220000000003</v>
      </c>
      <c r="AB912">
        <v>38</v>
      </c>
      <c r="AC912">
        <v>0.462199999999995</v>
      </c>
      <c r="AD912">
        <v>-0.14765619999999899</v>
      </c>
      <c r="AE912">
        <v>-0.11549999999999699</v>
      </c>
      <c r="AF912">
        <v>0.108408773302494</v>
      </c>
      <c r="AG912">
        <v>-0.14765619999999899</v>
      </c>
      <c r="AH912">
        <v>0.42092367828670302</v>
      </c>
      <c r="AI912">
        <v>108.762889063746</v>
      </c>
      <c r="AJ912">
        <v>75.557363587331395</v>
      </c>
      <c r="AK912">
        <v>0.459055071282085</v>
      </c>
      <c r="AL912">
        <v>80.6148125623357</v>
      </c>
      <c r="AM912">
        <v>89.575713689653895</v>
      </c>
      <c r="AN912">
        <v>0.99999999831396702</v>
      </c>
    </row>
    <row r="913" spans="1:40" x14ac:dyDescent="0.25">
      <c r="A913" t="str">
        <f>"20190312172346968"</f>
        <v>20190312172346968</v>
      </c>
      <c r="B913" t="str">
        <f>"1552382626960477"</f>
        <v>1552382626960477</v>
      </c>
      <c r="C913" t="s">
        <v>40</v>
      </c>
      <c r="D913">
        <v>3.768697</v>
      </c>
      <c r="E913">
        <v>0.56288249999999995</v>
      </c>
      <c r="F913" t="s">
        <v>41</v>
      </c>
      <c r="G913">
        <v>-258.34789999999998</v>
      </c>
      <c r="H913">
        <v>0.94196449999999998</v>
      </c>
      <c r="I913">
        <v>367.43329999999997</v>
      </c>
      <c r="J913">
        <v>-258.91680000000002</v>
      </c>
      <c r="K913">
        <v>1.1101000000000001</v>
      </c>
      <c r="L913">
        <v>367.56490000000002</v>
      </c>
      <c r="M913">
        <v>0.99988520000000003</v>
      </c>
      <c r="N913">
        <v>0</v>
      </c>
      <c r="O913">
        <v>7.2027920000000004E-3</v>
      </c>
      <c r="P913">
        <v>0.98871019999999998</v>
      </c>
      <c r="Q913">
        <v>0.14984029999999901</v>
      </c>
      <c r="R913" s="1">
        <v>-1.8237159999999999E-5</v>
      </c>
      <c r="S913">
        <v>3.1350709999999999</v>
      </c>
      <c r="T913">
        <v>-0.665404</v>
      </c>
      <c r="U913">
        <v>-0.51300049999999997</v>
      </c>
      <c r="V913">
        <v>7.1404939999999998E-3</v>
      </c>
      <c r="W913">
        <v>0.16301019999999999</v>
      </c>
      <c r="X913">
        <v>0.98659859999999999</v>
      </c>
      <c r="Y913">
        <v>0.1648549</v>
      </c>
      <c r="Z913">
        <v>-1.869409E-2</v>
      </c>
      <c r="AA913">
        <v>0.98614069999999998</v>
      </c>
      <c r="AB913">
        <v>38</v>
      </c>
      <c r="AC913">
        <v>0.56890000000004104</v>
      </c>
      <c r="AD913">
        <v>-0.16813549999999999</v>
      </c>
      <c r="AE913">
        <v>-0.13160000000004801</v>
      </c>
      <c r="AF913">
        <v>0.125305510900065</v>
      </c>
      <c r="AG913">
        <v>-0.16813549999999999</v>
      </c>
      <c r="AH913">
        <v>0.52445462116582997</v>
      </c>
      <c r="AI913">
        <v>107.31824223648501</v>
      </c>
      <c r="AJ913">
        <v>76.5624996473788</v>
      </c>
      <c r="AK913">
        <v>0.56482180117659297</v>
      </c>
      <c r="AL913">
        <v>80.618338117317094</v>
      </c>
      <c r="AM913">
        <v>89.585329812286503</v>
      </c>
      <c r="AN913">
        <v>1.0000000547402801</v>
      </c>
    </row>
    <row r="914" spans="1:40" x14ac:dyDescent="0.25">
      <c r="A914" t="str">
        <f>"20190312172346979"</f>
        <v>20190312172346979</v>
      </c>
      <c r="B914" t="str">
        <f>"1552382626970237"</f>
        <v>1552382626970237</v>
      </c>
      <c r="C914" t="s">
        <v>40</v>
      </c>
      <c r="D914">
        <v>3.7021009999999999</v>
      </c>
      <c r="E914">
        <v>0.56292810000000004</v>
      </c>
      <c r="F914" t="s">
        <v>41</v>
      </c>
      <c r="G914">
        <v>-258.01819999999998</v>
      </c>
      <c r="H914">
        <v>0.91905519999999996</v>
      </c>
      <c r="I914">
        <v>367.41759999999999</v>
      </c>
      <c r="J914">
        <v>-258.70499999999998</v>
      </c>
      <c r="K914">
        <v>1.110101</v>
      </c>
      <c r="L914">
        <v>367.56639999999999</v>
      </c>
      <c r="M914">
        <v>0.99988500000000002</v>
      </c>
      <c r="N914">
        <v>0</v>
      </c>
      <c r="O914">
        <v>7.2110969999999996E-3</v>
      </c>
      <c r="P914">
        <v>0.98870239999999998</v>
      </c>
      <c r="Q914">
        <v>0.14989259999999999</v>
      </c>
      <c r="R914" s="1">
        <v>-8.1745909999999993E-5</v>
      </c>
      <c r="S914">
        <v>3.1352690000000001</v>
      </c>
      <c r="T914">
        <v>-0.66663090000000003</v>
      </c>
      <c r="U914">
        <v>-0.51376339999999998</v>
      </c>
      <c r="V914">
        <v>7.2120880000000002E-3</v>
      </c>
      <c r="W914">
        <v>0.1630771</v>
      </c>
      <c r="X914">
        <v>0.98658699999999999</v>
      </c>
      <c r="Y914">
        <v>0.16506899999999999</v>
      </c>
      <c r="Z914">
        <v>-1.875042E-2</v>
      </c>
      <c r="AA914">
        <v>0.98610379999999997</v>
      </c>
      <c r="AB914">
        <v>38</v>
      </c>
      <c r="AC914">
        <v>0.68680000000000496</v>
      </c>
      <c r="AD914">
        <v>-0.19104579999999999</v>
      </c>
      <c r="AE914">
        <v>-0.14879999999999399</v>
      </c>
      <c r="AF914">
        <v>0.143167875204608</v>
      </c>
      <c r="AG914">
        <v>-0.19104579999999999</v>
      </c>
      <c r="AH914">
        <v>0.63851737427686694</v>
      </c>
      <c r="AI914">
        <v>106.275339759177</v>
      </c>
      <c r="AJ914">
        <v>77.362202769564206</v>
      </c>
      <c r="AK914">
        <v>0.68168906067331503</v>
      </c>
      <c r="AL914">
        <v>80.614452824600093</v>
      </c>
      <c r="AM914">
        <v>89.581167354216504</v>
      </c>
      <c r="AN914">
        <v>1.0000000316633599</v>
      </c>
    </row>
    <row r="915" spans="1:40" x14ac:dyDescent="0.25">
      <c r="A915" t="str">
        <f>"20190312172346993"</f>
        <v>20190312172346993</v>
      </c>
      <c r="B915" t="str">
        <f>"1552382626990733"</f>
        <v>1552382626990733</v>
      </c>
      <c r="C915" t="s">
        <v>40</v>
      </c>
      <c r="D915">
        <v>3.6887279999999998</v>
      </c>
      <c r="E915">
        <v>0.56299940000000004</v>
      </c>
      <c r="F915" t="s">
        <v>41</v>
      </c>
      <c r="G915">
        <v>-258.00080000000003</v>
      </c>
      <c r="H915">
        <v>0.9602482</v>
      </c>
      <c r="I915">
        <v>367.45089999999999</v>
      </c>
      <c r="J915">
        <v>-258.49160000000001</v>
      </c>
      <c r="K915">
        <v>1.1101019999999999</v>
      </c>
      <c r="L915">
        <v>367.56799999999998</v>
      </c>
      <c r="M915">
        <v>0.99988469999999996</v>
      </c>
      <c r="N915">
        <v>0</v>
      </c>
      <c r="O915">
        <v>7.2197549999999996E-3</v>
      </c>
      <c r="P915">
        <v>0.98865040000000004</v>
      </c>
      <c r="Q915">
        <v>0.15023520000000001</v>
      </c>
      <c r="R915">
        <v>-1.005833E-4</v>
      </c>
      <c r="S915">
        <v>3.1354519999999999</v>
      </c>
      <c r="T915">
        <v>-0.66737519999999995</v>
      </c>
      <c r="U915">
        <v>-0.51397709999999996</v>
      </c>
      <c r="V915">
        <v>7.2389749999999999E-3</v>
      </c>
      <c r="W915">
        <v>0.16343360000000001</v>
      </c>
      <c r="X915">
        <v>0.98652779999999995</v>
      </c>
      <c r="Y915">
        <v>0.16512449999999901</v>
      </c>
      <c r="Z915">
        <v>-1.8777370000000002E-2</v>
      </c>
      <c r="AA915">
        <v>0.98609389999999997</v>
      </c>
      <c r="AB915">
        <v>38</v>
      </c>
      <c r="AC915">
        <v>0.49079999999997798</v>
      </c>
      <c r="AD915">
        <v>-0.14985380000000001</v>
      </c>
      <c r="AE915">
        <v>-0.11710000000005</v>
      </c>
      <c r="AF915">
        <v>0.110862354343014</v>
      </c>
      <c r="AG915">
        <v>-0.14985380000000001</v>
      </c>
      <c r="AH915">
        <v>0.45023015686534201</v>
      </c>
      <c r="AI915">
        <v>107.91004292878</v>
      </c>
      <c r="AJ915">
        <v>76.166973178274503</v>
      </c>
      <c r="AK915">
        <v>0.48729233231799002</v>
      </c>
      <c r="AL915">
        <v>80.593749026503303</v>
      </c>
      <c r="AM915">
        <v>89.579580756253193</v>
      </c>
      <c r="AN915">
        <v>1.00000002227042</v>
      </c>
    </row>
    <row r="916" spans="1:40" x14ac:dyDescent="0.25">
      <c r="A916" t="str">
        <f>"20190312172347008"</f>
        <v>20190312172347008</v>
      </c>
      <c r="B916" t="str">
        <f>"1552382627000496"</f>
        <v>1552382627000496</v>
      </c>
      <c r="C916" t="s">
        <v>40</v>
      </c>
      <c r="D916">
        <v>3.6942050000000002</v>
      </c>
      <c r="E916">
        <v>0.56300220000000001</v>
      </c>
      <c r="F916" t="s">
        <v>41</v>
      </c>
      <c r="G916">
        <v>-257.67290000000003</v>
      </c>
      <c r="H916">
        <v>0.93573980000000001</v>
      </c>
      <c r="I916">
        <v>367.43329999999997</v>
      </c>
      <c r="J916">
        <v>-258.23340000000002</v>
      </c>
      <c r="K916">
        <v>1.110106</v>
      </c>
      <c r="L916">
        <v>367.56990000000002</v>
      </c>
      <c r="M916">
        <v>0.99988440000000001</v>
      </c>
      <c r="N916">
        <v>0</v>
      </c>
      <c r="O916">
        <v>7.2301709999999996E-3</v>
      </c>
      <c r="P916">
        <v>0.98869390000000001</v>
      </c>
      <c r="Q916">
        <v>0.1499489</v>
      </c>
      <c r="R916" s="1">
        <v>-2.558809E-6</v>
      </c>
      <c r="S916">
        <v>3.1358950000000001</v>
      </c>
      <c r="T916">
        <v>-0.66795289999999996</v>
      </c>
      <c r="U916">
        <v>-0.51449579999999995</v>
      </c>
      <c r="V916">
        <v>7.1517489999999998E-3</v>
      </c>
      <c r="W916">
        <v>0.16316739999999999</v>
      </c>
      <c r="X916">
        <v>0.98657249999999996</v>
      </c>
      <c r="Y916">
        <v>0.16526289999999999</v>
      </c>
      <c r="Z916">
        <v>-1.880714E-2</v>
      </c>
      <c r="AA916">
        <v>0.98607020000000001</v>
      </c>
      <c r="AB916">
        <v>38</v>
      </c>
      <c r="AC916">
        <v>0.56049999999999001</v>
      </c>
      <c r="AD916">
        <v>-0.174366199999999</v>
      </c>
      <c r="AE916">
        <v>-0.13660000000004399</v>
      </c>
      <c r="AF916">
        <v>0.128876268525346</v>
      </c>
      <c r="AG916">
        <v>-0.174366199999999</v>
      </c>
      <c r="AH916">
        <v>0.51266493310586003</v>
      </c>
      <c r="AI916">
        <v>108.2553692115</v>
      </c>
      <c r="AJ916">
        <v>75.889094769162597</v>
      </c>
      <c r="AK916">
        <v>0.55663093511580297</v>
      </c>
      <c r="AL916">
        <v>80.609208692835296</v>
      </c>
      <c r="AM916">
        <v>89.584665236008206</v>
      </c>
      <c r="AN916">
        <v>1.0000000228463799</v>
      </c>
    </row>
    <row r="917" spans="1:40" x14ac:dyDescent="0.25">
      <c r="A917" t="str">
        <f>"20190312172347020"</f>
        <v>20190312172347020</v>
      </c>
      <c r="B917" t="str">
        <f>"1552382627010253"</f>
        <v>1552382627010253</v>
      </c>
      <c r="C917" t="s">
        <v>40</v>
      </c>
      <c r="D917">
        <v>3.6887729999999999</v>
      </c>
      <c r="E917">
        <v>0.56306179999999995</v>
      </c>
      <c r="F917" t="s">
        <v>41</v>
      </c>
      <c r="G917">
        <v>-257.34070000000003</v>
      </c>
      <c r="H917">
        <v>0.91944459999999995</v>
      </c>
      <c r="I917">
        <v>367.42360000000002</v>
      </c>
      <c r="J917">
        <v>-258.03890000000001</v>
      </c>
      <c r="K917">
        <v>1.110109</v>
      </c>
      <c r="L917">
        <v>367.57130000000001</v>
      </c>
      <c r="M917">
        <v>0.9998842</v>
      </c>
      <c r="N917">
        <v>0</v>
      </c>
      <c r="O917">
        <v>7.2381099999999999E-3</v>
      </c>
      <c r="P917">
        <v>0.98869629999999997</v>
      </c>
      <c r="Q917">
        <v>0.14993419999999999</v>
      </c>
      <c r="R917" s="1">
        <v>-6.7332759999999997E-5</v>
      </c>
      <c r="S917">
        <v>3.1358799999999998</v>
      </c>
      <c r="T917">
        <v>-0.66970629999999998</v>
      </c>
      <c r="U917">
        <v>-0.51400760000000001</v>
      </c>
      <c r="V917">
        <v>7.224294E-3</v>
      </c>
      <c r="W917">
        <v>0.16316789999999901</v>
      </c>
      <c r="X917">
        <v>0.9865718</v>
      </c>
      <c r="Y917">
        <v>0.16510549999999999</v>
      </c>
      <c r="Z917">
        <v>-1.8840909999999999E-2</v>
      </c>
      <c r="AA917">
        <v>0.98609590000000003</v>
      </c>
      <c r="AB917">
        <v>38</v>
      </c>
      <c r="AC917">
        <v>0.69819999999998505</v>
      </c>
      <c r="AD917">
        <v>-0.19066440000000001</v>
      </c>
      <c r="AE917">
        <v>-0.14769999999998601</v>
      </c>
      <c r="AF917">
        <v>0.14257355917572101</v>
      </c>
      <c r="AG917">
        <v>-0.19066440000000001</v>
      </c>
      <c r="AH917">
        <v>0.65066884247756895</v>
      </c>
      <c r="AI917">
        <v>105.97309901310599</v>
      </c>
      <c r="AJ917">
        <v>77.640766767656004</v>
      </c>
      <c r="AK917">
        <v>0.69285646116240596</v>
      </c>
      <c r="AL917">
        <v>80.609178826083294</v>
      </c>
      <c r="AM917">
        <v>89.580452068335006</v>
      </c>
      <c r="AN917">
        <v>0.99999993528472197</v>
      </c>
    </row>
    <row r="918" spans="1:40" x14ac:dyDescent="0.25">
      <c r="A918" t="str">
        <f>"20190312172347032"</f>
        <v>20190312172347032</v>
      </c>
      <c r="B918" t="str">
        <f>"1552382627020989"</f>
        <v>1552382627020989</v>
      </c>
      <c r="C918" t="s">
        <v>40</v>
      </c>
      <c r="D918">
        <v>3.6966030000000001</v>
      </c>
      <c r="E918">
        <v>0.56313250000000004</v>
      </c>
      <c r="F918" t="s">
        <v>41</v>
      </c>
      <c r="G918">
        <v>-257.32470000000001</v>
      </c>
      <c r="H918">
        <v>0.95744940000000001</v>
      </c>
      <c r="I918">
        <v>367.45420000000001</v>
      </c>
      <c r="J918">
        <v>-257.83679999999998</v>
      </c>
      <c r="K918">
        <v>1.110114</v>
      </c>
      <c r="L918">
        <v>367.57279999999997</v>
      </c>
      <c r="M918">
        <v>0.99988379999999999</v>
      </c>
      <c r="N918">
        <v>0</v>
      </c>
      <c r="O918">
        <v>7.2467549999999997E-3</v>
      </c>
      <c r="P918">
        <v>0.98867640000000001</v>
      </c>
      <c r="Q918">
        <v>0.15006320000000001</v>
      </c>
      <c r="R918" s="1">
        <v>-1.7443669999999999E-6</v>
      </c>
      <c r="S918">
        <v>3.13591</v>
      </c>
      <c r="T918">
        <v>-0.67022999999999999</v>
      </c>
      <c r="U918">
        <v>-0.51458740000000003</v>
      </c>
      <c r="V918">
        <v>7.167423E-3</v>
      </c>
      <c r="W918">
        <v>0.16331319999999999</v>
      </c>
      <c r="X918">
        <v>0.98654819999999999</v>
      </c>
      <c r="Y918">
        <v>0.16528029999999999</v>
      </c>
      <c r="Z918">
        <v>-1.8875050000000001E-2</v>
      </c>
      <c r="AA918">
        <v>0.986066</v>
      </c>
      <c r="AB918">
        <v>38</v>
      </c>
      <c r="AC918">
        <v>0.51209999999997502</v>
      </c>
      <c r="AD918">
        <v>-0.15266460000000001</v>
      </c>
      <c r="AE918">
        <v>-0.118599999999958</v>
      </c>
      <c r="AF918">
        <v>0.11279427624093</v>
      </c>
      <c r="AG918">
        <v>-0.15266460000000001</v>
      </c>
      <c r="AH918">
        <v>0.47146014427057298</v>
      </c>
      <c r="AI918">
        <v>107.48051217665299</v>
      </c>
      <c r="AJ918">
        <v>76.545199736732499</v>
      </c>
      <c r="AK918">
        <v>0.50823586697664802</v>
      </c>
      <c r="AL918">
        <v>80.600740814561206</v>
      </c>
      <c r="AM918">
        <v>89.583744754845895</v>
      </c>
      <c r="AN918">
        <v>0.999999962084969</v>
      </c>
    </row>
    <row r="919" spans="1:40" x14ac:dyDescent="0.25">
      <c r="A919" t="str">
        <f>"20190312172347054"</f>
        <v>20190312172347054</v>
      </c>
      <c r="B919" t="str">
        <f>"1552382627050269"</f>
        <v>1552382627050269</v>
      </c>
      <c r="C919" t="s">
        <v>40</v>
      </c>
      <c r="D919">
        <v>3.6815669999999998</v>
      </c>
      <c r="E919">
        <v>0.5632125</v>
      </c>
      <c r="F919" t="s">
        <v>41</v>
      </c>
      <c r="G919">
        <v>-256.99799999999999</v>
      </c>
      <c r="H919">
        <v>0.93084940000000005</v>
      </c>
      <c r="I919">
        <v>367.4348</v>
      </c>
      <c r="J919">
        <v>-257.46800000000002</v>
      </c>
      <c r="K919">
        <v>1.1101270000000001</v>
      </c>
      <c r="L919">
        <v>367.5754</v>
      </c>
      <c r="M919">
        <v>0.99988330000000003</v>
      </c>
      <c r="N919">
        <v>0</v>
      </c>
      <c r="O919">
        <v>7.2619709999999999E-3</v>
      </c>
      <c r="P919">
        <v>0.98869130000000005</v>
      </c>
      <c r="Q919">
        <v>0.14996590000000001</v>
      </c>
      <c r="R919" s="1">
        <v>8.4640459999999994E-5</v>
      </c>
      <c r="S919">
        <v>3.1360929999999998</v>
      </c>
      <c r="T919">
        <v>-0.67026330000000001</v>
      </c>
      <c r="U919">
        <v>-0.51495360000000001</v>
      </c>
      <c r="V919">
        <v>7.0963049999999998E-3</v>
      </c>
      <c r="W919">
        <v>0.16324830000000001</v>
      </c>
      <c r="X919">
        <v>0.98655950000000003</v>
      </c>
      <c r="Y919">
        <v>0.1653956</v>
      </c>
      <c r="Z919">
        <v>-1.8890029999999999E-2</v>
      </c>
      <c r="AA919">
        <v>0.98604639999999999</v>
      </c>
      <c r="AB919">
        <v>38</v>
      </c>
      <c r="AC919">
        <v>0.47000000000002701</v>
      </c>
      <c r="AD919">
        <v>-0.17927760000000001</v>
      </c>
      <c r="AE919">
        <v>-0.140600000000006</v>
      </c>
      <c r="AF919">
        <v>0.12704349149390701</v>
      </c>
      <c r="AG919">
        <v>-0.17927760000000001</v>
      </c>
      <c r="AH919">
        <v>0.41371607536253502</v>
      </c>
      <c r="AI919">
        <v>112.50147495301501</v>
      </c>
      <c r="AJ919">
        <v>72.929380818442496</v>
      </c>
      <c r="AK919">
        <v>0.46844583209385199</v>
      </c>
      <c r="AL919">
        <v>80.604510309689502</v>
      </c>
      <c r="AM919">
        <v>89.587879580807595</v>
      </c>
      <c r="AN919">
        <v>1.0000000060188901</v>
      </c>
    </row>
    <row r="920" spans="1:40" x14ac:dyDescent="0.25">
      <c r="A920" t="str">
        <f>"20190312172347075"</f>
        <v>20190312172347075</v>
      </c>
      <c r="B920" t="str">
        <f>"1552382627070764"</f>
        <v>1552382627070764</v>
      </c>
      <c r="C920" t="s">
        <v>40</v>
      </c>
      <c r="D920">
        <v>3.6845490000000001</v>
      </c>
      <c r="E920">
        <v>0.56323939999999995</v>
      </c>
      <c r="F920" t="s">
        <v>41</v>
      </c>
      <c r="G920">
        <v>-256.6574</v>
      </c>
      <c r="H920">
        <v>0.93639810000000001</v>
      </c>
      <c r="I920">
        <v>367.44229999999999</v>
      </c>
      <c r="J920">
        <v>-257.101</v>
      </c>
      <c r="K920">
        <v>1.1101369999999999</v>
      </c>
      <c r="L920">
        <v>367.57810000000001</v>
      </c>
      <c r="M920">
        <v>0.99988270000000001</v>
      </c>
      <c r="N920">
        <v>0</v>
      </c>
      <c r="O920">
        <v>7.2765240000000004E-3</v>
      </c>
      <c r="P920">
        <v>0.98864569999999996</v>
      </c>
      <c r="Q920">
        <v>0.15026539999999999</v>
      </c>
      <c r="R920">
        <v>-2.5430370000000002E-4</v>
      </c>
      <c r="S920">
        <v>3.1363219999999998</v>
      </c>
      <c r="T920">
        <v>-0.67218259999999996</v>
      </c>
      <c r="U920">
        <v>-0.51535029999999904</v>
      </c>
      <c r="V920">
        <v>7.4491180000000002E-3</v>
      </c>
      <c r="W920">
        <v>0.1635809</v>
      </c>
      <c r="X920">
        <v>0.98650179999999998</v>
      </c>
      <c r="Y920">
        <v>0.16549639999999999</v>
      </c>
      <c r="Z920">
        <v>-1.8955099999999999E-2</v>
      </c>
      <c r="AA920">
        <v>0.98602820000000002</v>
      </c>
      <c r="AB920">
        <v>38</v>
      </c>
      <c r="AC920">
        <v>0.44360000000000299</v>
      </c>
      <c r="AD920">
        <v>-0.1737389</v>
      </c>
      <c r="AE920">
        <v>-0.13580000000001699</v>
      </c>
      <c r="AF920">
        <v>0.121924516416547</v>
      </c>
      <c r="AG920">
        <v>-0.1737389</v>
      </c>
      <c r="AH920">
        <v>0.388160128954539</v>
      </c>
      <c r="AI920">
        <v>113.123709261908</v>
      </c>
      <c r="AJ920">
        <v>72.562036708712</v>
      </c>
      <c r="AK920">
        <v>0.44240149048869998</v>
      </c>
      <c r="AL920">
        <v>80.585194025089194</v>
      </c>
      <c r="AM920">
        <v>89.567365299366401</v>
      </c>
      <c r="AN920">
        <v>1.0000000008035099</v>
      </c>
    </row>
    <row r="921" spans="1:40" x14ac:dyDescent="0.25">
      <c r="A921" t="str">
        <f>"20190312172347088"</f>
        <v>20190312172347088</v>
      </c>
      <c r="B921" t="str">
        <f>"1552382627080525"</f>
        <v>1552382627080525</v>
      </c>
      <c r="C921" t="s">
        <v>40</v>
      </c>
      <c r="D921">
        <v>3.767423</v>
      </c>
      <c r="E921">
        <v>0.56327749999999999</v>
      </c>
      <c r="F921" t="s">
        <v>41</v>
      </c>
      <c r="G921">
        <v>-256.31700000000001</v>
      </c>
      <c r="H921">
        <v>0.94212249999999997</v>
      </c>
      <c r="I921">
        <v>367.4486</v>
      </c>
      <c r="J921">
        <v>-256.88499999999999</v>
      </c>
      <c r="K921">
        <v>1.110142</v>
      </c>
      <c r="L921">
        <v>367.5797</v>
      </c>
      <c r="M921">
        <v>0.9998823</v>
      </c>
      <c r="N921">
        <v>0</v>
      </c>
      <c r="O921">
        <v>7.2849639999999997E-3</v>
      </c>
      <c r="P921">
        <v>0.98857519999999999</v>
      </c>
      <c r="Q921">
        <v>0.15072969999999999</v>
      </c>
      <c r="R921">
        <v>-3.4537069999999998E-4</v>
      </c>
      <c r="S921">
        <v>3.1364899999999998</v>
      </c>
      <c r="T921">
        <v>-0.67222919999999997</v>
      </c>
      <c r="U921">
        <v>-0.51647949999999998</v>
      </c>
      <c r="V921">
        <v>7.5477529999999999E-3</v>
      </c>
      <c r="W921">
        <v>0.1640654</v>
      </c>
      <c r="X921">
        <v>0.98642059999999998</v>
      </c>
      <c r="Y921">
        <v>0.16583429999999999</v>
      </c>
      <c r="Z921">
        <v>-1.8992229999999999E-2</v>
      </c>
      <c r="AA921">
        <v>0.98597069999999998</v>
      </c>
      <c r="AB921">
        <v>38</v>
      </c>
      <c r="AC921">
        <v>0.56799999999998296</v>
      </c>
      <c r="AD921">
        <v>-0.16801949999999899</v>
      </c>
      <c r="AE921">
        <v>-0.13110000000000299</v>
      </c>
      <c r="AF921">
        <v>0.124861608713562</v>
      </c>
      <c r="AG921">
        <v>-0.16801949999999899</v>
      </c>
      <c r="AH921">
        <v>0.52353590011749196</v>
      </c>
      <c r="AI921">
        <v>107.337138059525</v>
      </c>
      <c r="AJ921">
        <v>76.585733653891893</v>
      </c>
      <c r="AK921">
        <v>0.56383580271442602</v>
      </c>
      <c r="AL921">
        <v>80.557054148122504</v>
      </c>
      <c r="AM921">
        <v>89.561600850344504</v>
      </c>
      <c r="AN921">
        <v>1.00000001207843</v>
      </c>
    </row>
    <row r="922" spans="1:40" x14ac:dyDescent="0.25">
      <c r="A922" t="str">
        <f>"20190312172347098"</f>
        <v>20190312172347098</v>
      </c>
      <c r="B922" t="str">
        <f>"1552382627090286"</f>
        <v>1552382627090286</v>
      </c>
      <c r="C922" t="s">
        <v>40</v>
      </c>
      <c r="D922">
        <v>3.9002859999999999</v>
      </c>
      <c r="E922">
        <v>0.56328</v>
      </c>
      <c r="F922" t="s">
        <v>41</v>
      </c>
      <c r="G922">
        <v>-255.9889</v>
      </c>
      <c r="H922">
        <v>0.91835770000000005</v>
      </c>
      <c r="I922">
        <v>367.43200000000002</v>
      </c>
      <c r="J922">
        <v>-256.70209999999997</v>
      </c>
      <c r="K922">
        <v>1.1101510000000001</v>
      </c>
      <c r="L922">
        <v>367.58100000000002</v>
      </c>
      <c r="M922">
        <v>0.99988189999999999</v>
      </c>
      <c r="N922">
        <v>0</v>
      </c>
      <c r="O922">
        <v>7.2922280000000004E-3</v>
      </c>
      <c r="P922">
        <v>0.98857220000000001</v>
      </c>
      <c r="Q922">
        <v>0.15074709999999999</v>
      </c>
      <c r="R922">
        <v>-4.8195710000000001E-4</v>
      </c>
      <c r="S922">
        <v>3.1368559999999999</v>
      </c>
      <c r="T922">
        <v>-0.6713943</v>
      </c>
      <c r="U922">
        <v>-0.51693729999999904</v>
      </c>
      <c r="V922">
        <v>7.6916049999999998E-3</v>
      </c>
      <c r="W922">
        <v>0.1641012</v>
      </c>
      <c r="X922">
        <v>0.98641350000000005</v>
      </c>
      <c r="Y922">
        <v>0.16597039999999999</v>
      </c>
      <c r="Z922">
        <v>-1.898263E-2</v>
      </c>
      <c r="AA922">
        <v>0.98594800000000005</v>
      </c>
      <c r="AB922">
        <v>38</v>
      </c>
      <c r="AC922">
        <v>0.71319999999997197</v>
      </c>
      <c r="AD922">
        <v>-0.1917933</v>
      </c>
      <c r="AE922">
        <v>-0.14899999999999999</v>
      </c>
      <c r="AF922">
        <v>0.14420490786544299</v>
      </c>
      <c r="AG922">
        <v>-0.1917933</v>
      </c>
      <c r="AH922">
        <v>0.66594866359665805</v>
      </c>
      <c r="AI922">
        <v>105.720665011501</v>
      </c>
      <c r="AJ922">
        <v>77.781777971620201</v>
      </c>
      <c r="AK922">
        <v>0.70786110779131395</v>
      </c>
      <c r="AL922">
        <v>80.554974459308298</v>
      </c>
      <c r="AM922">
        <v>89.553242557198999</v>
      </c>
      <c r="AN922">
        <v>0.999999978805582</v>
      </c>
    </row>
    <row r="923" spans="1:40" x14ac:dyDescent="0.25">
      <c r="A923" t="str">
        <f>"20190312172347109"</f>
        <v>20190312172347109</v>
      </c>
      <c r="B923" t="str">
        <f>"1552382627101021"</f>
        <v>1552382627101021</v>
      </c>
      <c r="C923" t="s">
        <v>40</v>
      </c>
      <c r="D923">
        <v>3.846679</v>
      </c>
      <c r="E923">
        <v>0.56332660000000001</v>
      </c>
      <c r="F923" t="s">
        <v>41</v>
      </c>
      <c r="G923">
        <v>-255.97389999999999</v>
      </c>
      <c r="H923">
        <v>0.95421769999999995</v>
      </c>
      <c r="I923">
        <v>367.46089999999998</v>
      </c>
      <c r="J923">
        <v>-256.52069999999998</v>
      </c>
      <c r="K923">
        <v>1.1101559999999999</v>
      </c>
      <c r="L923">
        <v>367.58240000000001</v>
      </c>
      <c r="M923">
        <v>0.99988160000000004</v>
      </c>
      <c r="N923">
        <v>0</v>
      </c>
      <c r="O923">
        <v>7.2994690000000003E-3</v>
      </c>
      <c r="P923">
        <v>0.98852030000000002</v>
      </c>
      <c r="Q923">
        <v>0.151087</v>
      </c>
      <c r="R923">
        <v>-7.4644990000000003E-4</v>
      </c>
      <c r="S923">
        <v>3.1368559999999999</v>
      </c>
      <c r="T923">
        <v>-0.67170319999999994</v>
      </c>
      <c r="U923">
        <v>-0.51739499999999905</v>
      </c>
      <c r="V923">
        <v>7.9627780000000002E-3</v>
      </c>
      <c r="W923">
        <v>0.16446189999999999</v>
      </c>
      <c r="X923">
        <v>0.98635130000000004</v>
      </c>
      <c r="Y923">
        <v>0.16611090000000001</v>
      </c>
      <c r="Z923">
        <v>-1.900727E-2</v>
      </c>
      <c r="AA923">
        <v>0.98592389999999996</v>
      </c>
      <c r="AB923">
        <v>38</v>
      </c>
      <c r="AC923">
        <v>0.54679999999998996</v>
      </c>
      <c r="AD923">
        <v>-0.155938299999999</v>
      </c>
      <c r="AE923">
        <v>-0.121500000000025</v>
      </c>
      <c r="AF923">
        <v>0.116462302696187</v>
      </c>
      <c r="AG923">
        <v>-0.155938299999999</v>
      </c>
      <c r="AH923">
        <v>0.50663290246474502</v>
      </c>
      <c r="AI923">
        <v>106.697662269303</v>
      </c>
      <c r="AJ923">
        <v>77.054030911025606</v>
      </c>
      <c r="AK923">
        <v>0.54273116661570098</v>
      </c>
      <c r="AL923">
        <v>80.534023464142507</v>
      </c>
      <c r="AM923">
        <v>89.537463313875406</v>
      </c>
      <c r="AN923">
        <v>1.0000000046983799</v>
      </c>
    </row>
    <row r="924" spans="1:40" x14ac:dyDescent="0.25">
      <c r="A924" t="str">
        <f>"20190312172347120"</f>
        <v>20190312172347120</v>
      </c>
      <c r="B924" t="str">
        <f>"1552382627110781"</f>
        <v>1552382627110781</v>
      </c>
      <c r="C924" t="s">
        <v>40</v>
      </c>
      <c r="D924">
        <v>3.6924860000000002</v>
      </c>
      <c r="E924">
        <v>0.5633667</v>
      </c>
      <c r="F924" t="s">
        <v>41</v>
      </c>
      <c r="G924">
        <v>-255.64940000000001</v>
      </c>
      <c r="H924">
        <v>0.92375810000000003</v>
      </c>
      <c r="I924">
        <v>367.43810000000002</v>
      </c>
      <c r="J924">
        <v>-256.32830000000001</v>
      </c>
      <c r="K924">
        <v>1.110163</v>
      </c>
      <c r="L924">
        <v>367.58370000000002</v>
      </c>
      <c r="M924">
        <v>0.99988129999999997</v>
      </c>
      <c r="N924">
        <v>0</v>
      </c>
      <c r="O924">
        <v>7.3066930000000004E-3</v>
      </c>
      <c r="P924">
        <v>0.98851650000000002</v>
      </c>
      <c r="Q924">
        <v>0.151112</v>
      </c>
      <c r="R924">
        <v>-6.7098579999999998E-4</v>
      </c>
      <c r="S924">
        <v>3.13707</v>
      </c>
      <c r="T924">
        <v>-0.67119549999999994</v>
      </c>
      <c r="U924">
        <v>-0.51815800000000001</v>
      </c>
      <c r="V924">
        <v>7.8945270000000001E-3</v>
      </c>
      <c r="W924">
        <v>0.16451079999999901</v>
      </c>
      <c r="X924">
        <v>0.98634370000000005</v>
      </c>
      <c r="Y924">
        <v>0.16634189999999999</v>
      </c>
      <c r="Z924">
        <v>-1.9017389999999999E-2</v>
      </c>
      <c r="AA924">
        <v>0.98588469999999995</v>
      </c>
      <c r="AB924">
        <v>38</v>
      </c>
      <c r="AC924">
        <v>0.67889999999999795</v>
      </c>
      <c r="AD924">
        <v>-0.18640490000000001</v>
      </c>
      <c r="AE924">
        <v>-0.14560000000000101</v>
      </c>
      <c r="AF924">
        <v>0.14043545937972499</v>
      </c>
      <c r="AG924">
        <v>-0.18640490000000001</v>
      </c>
      <c r="AH924">
        <v>0.63224970457671403</v>
      </c>
      <c r="AI924">
        <v>106.056531120008</v>
      </c>
      <c r="AJ924">
        <v>77.476760308726</v>
      </c>
      <c r="AK924">
        <v>0.673949993643851</v>
      </c>
      <c r="AL924">
        <v>80.531183069121496</v>
      </c>
      <c r="AM924">
        <v>89.541424130428993</v>
      </c>
      <c r="AN924">
        <v>1.00000001070144</v>
      </c>
    </row>
    <row r="925" spans="1:40" x14ac:dyDescent="0.25">
      <c r="A925" t="str">
        <f>"20190312172347132"</f>
        <v>20190312172347132</v>
      </c>
      <c r="B925" t="str">
        <f>"1552382627120542"</f>
        <v>1552382627120542</v>
      </c>
      <c r="C925" t="s">
        <v>40</v>
      </c>
      <c r="D925">
        <v>3.847928</v>
      </c>
      <c r="E925">
        <v>0.56344399999999994</v>
      </c>
      <c r="F925" t="s">
        <v>41</v>
      </c>
      <c r="G925">
        <v>-255.63319999999999</v>
      </c>
      <c r="H925">
        <v>0.96139160000000001</v>
      </c>
      <c r="I925">
        <v>367.46850000000001</v>
      </c>
      <c r="J925">
        <v>-256.14569999999998</v>
      </c>
      <c r="K925">
        <v>1.1101650000000001</v>
      </c>
      <c r="L925">
        <v>367.58510000000001</v>
      </c>
      <c r="M925">
        <v>0.99988069999999896</v>
      </c>
      <c r="N925">
        <v>0</v>
      </c>
      <c r="O925">
        <v>7.3140559999999898E-3</v>
      </c>
      <c r="P925">
        <v>0.98850519999999997</v>
      </c>
      <c r="Q925">
        <v>0.15118409999999999</v>
      </c>
      <c r="R925">
        <v>-9.0632869999999999E-4</v>
      </c>
      <c r="S925">
        <v>3.1371609999999999</v>
      </c>
      <c r="T925">
        <v>-0.67159639999999998</v>
      </c>
      <c r="U925">
        <v>-0.51837159999999904</v>
      </c>
      <c r="V925">
        <v>8.1371800000000008E-3</v>
      </c>
      <c r="W925">
        <v>0.16461289999999901</v>
      </c>
      <c r="X925">
        <v>0.98632470000000005</v>
      </c>
      <c r="Y925">
        <v>0.1664041</v>
      </c>
      <c r="Z925">
        <v>-1.9035960000000001E-2</v>
      </c>
      <c r="AA925">
        <v>0.98587389999999997</v>
      </c>
      <c r="AB925">
        <v>38</v>
      </c>
      <c r="AC925">
        <v>0.51249999999998797</v>
      </c>
      <c r="AD925">
        <v>-0.1487734</v>
      </c>
      <c r="AE925">
        <v>-0.11660000000000501</v>
      </c>
      <c r="AF925">
        <v>0.111418720765098</v>
      </c>
      <c r="AG925">
        <v>-0.1487734</v>
      </c>
      <c r="AH925">
        <v>0.47368162578628698</v>
      </c>
      <c r="AI925">
        <v>107.000222785608</v>
      </c>
      <c r="AJ925">
        <v>76.7635809425676</v>
      </c>
      <c r="AK925">
        <v>0.50884372698504499</v>
      </c>
      <c r="AL925">
        <v>80.525252376753201</v>
      </c>
      <c r="AM925">
        <v>89.527320471582001</v>
      </c>
      <c r="AN925">
        <v>1.0000000171874199</v>
      </c>
    </row>
    <row r="926" spans="1:40" x14ac:dyDescent="0.25">
      <c r="A926" t="str">
        <f>"20190312172347143"</f>
        <v>20190312172347143</v>
      </c>
      <c r="B926" t="str">
        <f>"1552382627141037"</f>
        <v>1552382627141037</v>
      </c>
      <c r="C926" t="s">
        <v>40</v>
      </c>
      <c r="D926">
        <v>3.7182590000000002</v>
      </c>
      <c r="E926">
        <v>0.56347259999999999</v>
      </c>
      <c r="F926" t="s">
        <v>41</v>
      </c>
      <c r="G926">
        <v>-255.30940000000001</v>
      </c>
      <c r="H926">
        <v>0.93105360000000004</v>
      </c>
      <c r="I926">
        <v>367.44659999999999</v>
      </c>
      <c r="J926">
        <v>-255.94550000000001</v>
      </c>
      <c r="K926">
        <v>1.1101749999999999</v>
      </c>
      <c r="L926">
        <v>367.5865</v>
      </c>
      <c r="M926">
        <v>0.99988030000000006</v>
      </c>
      <c r="N926">
        <v>0</v>
      </c>
      <c r="O926">
        <v>7.3220409999999996E-3</v>
      </c>
      <c r="P926">
        <v>0.98853709999999995</v>
      </c>
      <c r="Q926">
        <v>0.15097669999999999</v>
      </c>
      <c r="R926">
        <v>-8.4125200000000002E-4</v>
      </c>
      <c r="S926">
        <v>3.1371769999999999</v>
      </c>
      <c r="T926">
        <v>-0.67190380000000005</v>
      </c>
      <c r="U926">
        <v>-0.5197754</v>
      </c>
      <c r="V926">
        <v>8.0800660000000003E-3</v>
      </c>
      <c r="W926">
        <v>0.16444029999999901</v>
      </c>
      <c r="X926">
        <v>0.98635390000000001</v>
      </c>
      <c r="Y926">
        <v>0.1668279</v>
      </c>
      <c r="Z926">
        <v>-1.9089979999999999E-2</v>
      </c>
      <c r="AA926">
        <v>0.98580120000000004</v>
      </c>
      <c r="AB926">
        <v>38</v>
      </c>
      <c r="AC926">
        <v>0.636099999999999</v>
      </c>
      <c r="AD926">
        <v>-0.17912139999999899</v>
      </c>
      <c r="AE926">
        <v>-0.13990000000001099</v>
      </c>
      <c r="AF926">
        <v>0.1343895308237</v>
      </c>
      <c r="AG926">
        <v>-0.17912139999999899</v>
      </c>
      <c r="AH926">
        <v>0.59040273113527897</v>
      </c>
      <c r="AI926">
        <v>106.479358022707</v>
      </c>
      <c r="AJ926">
        <v>77.176625192918905</v>
      </c>
      <c r="AK926">
        <v>0.63144311451228197</v>
      </c>
      <c r="AL926">
        <v>80.5352776878984</v>
      </c>
      <c r="AM926">
        <v>89.530651904273199</v>
      </c>
      <c r="AN926">
        <v>0.99999995788793095</v>
      </c>
    </row>
    <row r="927" spans="1:40" x14ac:dyDescent="0.25">
      <c r="A927" t="str">
        <f>"20190312172347155"</f>
        <v>20190312172347155</v>
      </c>
      <c r="B927" t="str">
        <f>"1552382627150797"</f>
        <v>1552382627150797</v>
      </c>
      <c r="C927" t="s">
        <v>40</v>
      </c>
      <c r="D927">
        <v>3.7166359999999998</v>
      </c>
      <c r="E927">
        <v>0.56347259999999999</v>
      </c>
      <c r="F927" t="s">
        <v>41</v>
      </c>
      <c r="G927">
        <v>-254.9828</v>
      </c>
      <c r="H927">
        <v>0.90414669999999997</v>
      </c>
      <c r="I927">
        <v>367.42669999999998</v>
      </c>
      <c r="J927">
        <v>-255.74510000000001</v>
      </c>
      <c r="K927">
        <v>1.1101829999999999</v>
      </c>
      <c r="L927">
        <v>367.58800000000002</v>
      </c>
      <c r="M927">
        <v>0.99987969999999904</v>
      </c>
      <c r="N927">
        <v>0</v>
      </c>
      <c r="O927">
        <v>7.3299790000000004E-3</v>
      </c>
      <c r="P927">
        <v>0.98850369999999999</v>
      </c>
      <c r="Q927">
        <v>0.1511942</v>
      </c>
      <c r="R927">
        <v>-9.4493059999999995E-4</v>
      </c>
      <c r="S927">
        <v>3.1368559999999999</v>
      </c>
      <c r="T927">
        <v>-0.67142630000000003</v>
      </c>
      <c r="U927">
        <v>-0.51992799999999995</v>
      </c>
      <c r="V927">
        <v>8.1914959999999995E-3</v>
      </c>
      <c r="W927">
        <v>0.1646985</v>
      </c>
      <c r="X927">
        <v>0.98630989999999996</v>
      </c>
      <c r="Y927">
        <v>0.16690150000000001</v>
      </c>
      <c r="Z927">
        <v>-1.9087929999999999E-2</v>
      </c>
      <c r="AA927">
        <v>0.98578880000000002</v>
      </c>
      <c r="AB927">
        <v>38</v>
      </c>
      <c r="AC927">
        <v>0.76230000000000997</v>
      </c>
      <c r="AD927">
        <v>-0.20603630000000001</v>
      </c>
      <c r="AE927">
        <v>-0.161300000000039</v>
      </c>
      <c r="AF927">
        <v>0.155977571490899</v>
      </c>
      <c r="AG927">
        <v>-0.20603630000000001</v>
      </c>
      <c r="AH927">
        <v>0.71135755725329297</v>
      </c>
      <c r="AI927">
        <v>105.797106577159</v>
      </c>
      <c r="AJ927">
        <v>77.632620915201798</v>
      </c>
      <c r="AK927">
        <v>0.75684181569682096</v>
      </c>
      <c r="AL927">
        <v>80.520279421149098</v>
      </c>
      <c r="AM927">
        <v>89.5241583217597</v>
      </c>
      <c r="AN927">
        <v>0.99999995767348804</v>
      </c>
    </row>
    <row r="928" spans="1:40" x14ac:dyDescent="0.25">
      <c r="A928" t="str">
        <f>"20190312172347167"</f>
        <v>20190312172347167</v>
      </c>
      <c r="B928" t="str">
        <f>"1552382627160557"</f>
        <v>1552382627160557</v>
      </c>
      <c r="C928" t="s">
        <v>40</v>
      </c>
      <c r="D928">
        <v>3.7442199999999999</v>
      </c>
      <c r="E928">
        <v>0.54896250000000002</v>
      </c>
      <c r="F928" t="s">
        <v>41</v>
      </c>
      <c r="G928">
        <v>-254.96700000000001</v>
      </c>
      <c r="H928">
        <v>0.94386329999999996</v>
      </c>
      <c r="I928">
        <v>367.45859999999999</v>
      </c>
      <c r="J928">
        <v>-255.55709999999999</v>
      </c>
      <c r="K928">
        <v>1.11019</v>
      </c>
      <c r="L928">
        <v>367.58940000000001</v>
      </c>
      <c r="M928">
        <v>0.99987910000000002</v>
      </c>
      <c r="N928">
        <v>0</v>
      </c>
      <c r="O928">
        <v>7.3374390000000003E-3</v>
      </c>
      <c r="P928">
        <v>0.98851529999999999</v>
      </c>
      <c r="Q928">
        <v>0.15111869999999999</v>
      </c>
      <c r="R928">
        <v>-9.4452169999999995E-4</v>
      </c>
      <c r="S928">
        <v>3.1369630000000002</v>
      </c>
      <c r="T928">
        <v>-0.67061999999999999</v>
      </c>
      <c r="U928">
        <v>-0.52038569999999995</v>
      </c>
      <c r="V928">
        <v>8.1984129999999999E-3</v>
      </c>
      <c r="W928">
        <v>0.16466410000000001</v>
      </c>
      <c r="X928">
        <v>0.98631559999999996</v>
      </c>
      <c r="Y928">
        <v>0.16704949999999999</v>
      </c>
      <c r="Z928">
        <v>-1.9081770000000001E-2</v>
      </c>
      <c r="AA928">
        <v>0.98576379999999997</v>
      </c>
      <c r="AB928">
        <v>38</v>
      </c>
      <c r="AC928">
        <v>0.59009999999997798</v>
      </c>
      <c r="AD928">
        <v>-0.16632669999999999</v>
      </c>
      <c r="AE928">
        <v>-0.13080000000002101</v>
      </c>
      <c r="AF928">
        <v>0.125614479151853</v>
      </c>
      <c r="AG928">
        <v>-0.16632669999999999</v>
      </c>
      <c r="AH928">
        <v>0.54765294942729703</v>
      </c>
      <c r="AI928">
        <v>106.48986956528501</v>
      </c>
      <c r="AJ928">
        <v>77.081590356507206</v>
      </c>
      <c r="AK928">
        <v>0.58597552979787404</v>
      </c>
      <c r="AL928">
        <v>80.522277808975502</v>
      </c>
      <c r="AM928">
        <v>89.523759285815402</v>
      </c>
      <c r="AN928">
        <v>0.99999997130394302</v>
      </c>
    </row>
    <row r="929" spans="1:40" x14ac:dyDescent="0.25">
      <c r="A929" t="str">
        <f>"20190312172347179"</f>
        <v>20190312172347179</v>
      </c>
      <c r="B929" t="str">
        <f>"1552382627171293"</f>
        <v>1552382627171293</v>
      </c>
      <c r="C929" t="s">
        <v>40</v>
      </c>
      <c r="D929">
        <v>3.7535769999999999</v>
      </c>
      <c r="E929">
        <v>0.54822649999999995</v>
      </c>
      <c r="F929" t="s">
        <v>41</v>
      </c>
      <c r="G929">
        <v>-254.60149999999999</v>
      </c>
      <c r="H929">
        <v>1.0044599999999999</v>
      </c>
      <c r="I929">
        <v>367.46510000000001</v>
      </c>
      <c r="J929">
        <v>-255.34780000000001</v>
      </c>
      <c r="K929">
        <v>1.110198</v>
      </c>
      <c r="L929">
        <v>367.59089999999998</v>
      </c>
      <c r="M929">
        <v>0.9998783</v>
      </c>
      <c r="N929">
        <v>0</v>
      </c>
      <c r="O929">
        <v>7.3454430000000001E-3</v>
      </c>
      <c r="P929">
        <v>0.98847300000000005</v>
      </c>
      <c r="Q929">
        <v>0.1513951</v>
      </c>
      <c r="R929">
        <v>-1.0119300000000001E-3</v>
      </c>
      <c r="S929">
        <v>3.086716</v>
      </c>
      <c r="T929">
        <v>-0.34164129999999998</v>
      </c>
      <c r="U929">
        <v>-0.40118409999999999</v>
      </c>
      <c r="V929">
        <v>8.2733240000000003E-3</v>
      </c>
      <c r="W929">
        <v>0.16498869999999999</v>
      </c>
      <c r="X929">
        <v>0.98626080000000005</v>
      </c>
      <c r="Y929">
        <v>0.1353116</v>
      </c>
      <c r="Z929">
        <v>-8.241778E-3</v>
      </c>
      <c r="AA929">
        <v>0.99076880000000001</v>
      </c>
      <c r="AB929">
        <v>38</v>
      </c>
      <c r="AC929">
        <v>0.74630000000001895</v>
      </c>
      <c r="AD929">
        <v>-0.105737999999999</v>
      </c>
      <c r="AE929">
        <v>-0.12579999999996899</v>
      </c>
      <c r="AF929">
        <v>0.12876559708462401</v>
      </c>
      <c r="AG929">
        <v>-0.105737999999999</v>
      </c>
      <c r="AH929">
        <v>0.73108534458002306</v>
      </c>
      <c r="AI929">
        <v>98.106626468891804</v>
      </c>
      <c r="AJ929">
        <v>80.010981532200404</v>
      </c>
      <c r="AK929">
        <v>0.749831237476975</v>
      </c>
      <c r="AL929">
        <v>80.503422376199197</v>
      </c>
      <c r="AM929">
        <v>89.519381253504704</v>
      </c>
      <c r="AN929">
        <v>1.00000004231716</v>
      </c>
    </row>
    <row r="930" spans="1:40" x14ac:dyDescent="0.25">
      <c r="A930" t="str">
        <f>"20190312172347190"</f>
        <v>20190312172347190</v>
      </c>
      <c r="B930" t="str">
        <f>"1552382627181054"</f>
        <v>1552382627181054</v>
      </c>
      <c r="C930" t="s">
        <v>40</v>
      </c>
      <c r="D930">
        <v>3.7588339999999998</v>
      </c>
      <c r="E930">
        <v>0.54825179999999996</v>
      </c>
      <c r="F930" t="s">
        <v>41</v>
      </c>
      <c r="G930">
        <v>-254.58709999999999</v>
      </c>
      <c r="H930">
        <v>1.0350820000000001</v>
      </c>
      <c r="I930">
        <v>367.49329999999998</v>
      </c>
      <c r="J930">
        <v>-255.1602</v>
      </c>
      <c r="K930">
        <v>1.110206</v>
      </c>
      <c r="L930">
        <v>367.59230000000002</v>
      </c>
      <c r="M930">
        <v>0.99987760000000003</v>
      </c>
      <c r="N930">
        <v>0</v>
      </c>
      <c r="O930">
        <v>7.3528630000000003E-3</v>
      </c>
      <c r="P930">
        <v>0.98854149999999996</v>
      </c>
      <c r="Q930">
        <v>0.15094669999999999</v>
      </c>
      <c r="R930">
        <v>-1.0099309999999999E-3</v>
      </c>
      <c r="S930">
        <v>3.081207</v>
      </c>
      <c r="T930">
        <v>-0.3044288</v>
      </c>
      <c r="U930">
        <v>-0.39505000000000001</v>
      </c>
      <c r="V930">
        <v>8.2792879999999992E-3</v>
      </c>
      <c r="W930">
        <v>0.1645875</v>
      </c>
      <c r="X930">
        <v>0.98632779999999998</v>
      </c>
      <c r="Y930">
        <v>0.13378590000000001</v>
      </c>
      <c r="Z930">
        <v>-7.2883389999999996E-3</v>
      </c>
      <c r="AA930">
        <v>0.99098350000000002</v>
      </c>
      <c r="AB930">
        <v>38</v>
      </c>
      <c r="AC930">
        <v>0.57310000000001005</v>
      </c>
      <c r="AD930">
        <v>-7.5123999999999899E-2</v>
      </c>
      <c r="AE930">
        <v>-9.9000000000046301E-2</v>
      </c>
      <c r="AF930">
        <v>0.101517824814574</v>
      </c>
      <c r="AG930">
        <v>-7.5123999999999899E-2</v>
      </c>
      <c r="AH930">
        <v>0.56296344984800395</v>
      </c>
      <c r="AI930">
        <v>97.481593397014706</v>
      </c>
      <c r="AJ930">
        <v>79.777848550894802</v>
      </c>
      <c r="AK930">
        <v>0.57695522356232198</v>
      </c>
      <c r="AL930">
        <v>80.5267282271748</v>
      </c>
      <c r="AM930">
        <v>89.519067475442995</v>
      </c>
      <c r="AN930">
        <v>1.0000000604094299</v>
      </c>
    </row>
    <row r="931" spans="1:40" x14ac:dyDescent="0.25">
      <c r="A931" t="str">
        <f>"20190312172347201"</f>
        <v>20190312172347201</v>
      </c>
      <c r="B931" t="str">
        <f>"1552382627190813"</f>
        <v>1552382627190813</v>
      </c>
      <c r="C931" t="s">
        <v>40</v>
      </c>
      <c r="D931">
        <v>3.762038</v>
      </c>
      <c r="E931">
        <v>0.5480604</v>
      </c>
      <c r="F931" t="s">
        <v>41</v>
      </c>
      <c r="G931">
        <v>-254.25479999999999</v>
      </c>
      <c r="H931">
        <v>1.026383</v>
      </c>
      <c r="I931">
        <v>367.47609999999997</v>
      </c>
      <c r="J931">
        <v>-254.96809999999999</v>
      </c>
      <c r="K931">
        <v>1.1102179999999999</v>
      </c>
      <c r="L931">
        <v>367.59370000000001</v>
      </c>
      <c r="M931">
        <v>0.99987689999999996</v>
      </c>
      <c r="N931">
        <v>0</v>
      </c>
      <c r="O931">
        <v>7.3603899999999996E-3</v>
      </c>
      <c r="P931">
        <v>0.98857260000000002</v>
      </c>
      <c r="Q931">
        <v>0.15074270000000001</v>
      </c>
      <c r="R931">
        <v>-1.056609E-3</v>
      </c>
      <c r="S931">
        <v>3.0779109999999998</v>
      </c>
      <c r="T931">
        <v>-0.28511239999999999</v>
      </c>
      <c r="U931">
        <v>-0.39447019999999999</v>
      </c>
      <c r="V931">
        <v>8.3337959999999992E-3</v>
      </c>
      <c r="W931">
        <v>0.164432299999999</v>
      </c>
      <c r="X931">
        <v>0.98635320000000004</v>
      </c>
      <c r="Y931">
        <v>0.133825</v>
      </c>
      <c r="Z931">
        <v>-6.8376869999999899E-3</v>
      </c>
      <c r="AA931">
        <v>0.99098140000000001</v>
      </c>
      <c r="AB931">
        <v>38</v>
      </c>
      <c r="AC931">
        <v>0.71330000000000304</v>
      </c>
      <c r="AD931">
        <v>-8.3834999999999799E-2</v>
      </c>
      <c r="AE931">
        <v>-0.11760000000003799</v>
      </c>
      <c r="AF931">
        <v>0.121217347669278</v>
      </c>
      <c r="AG931">
        <v>-8.3834999999999799E-2</v>
      </c>
      <c r="AH931">
        <v>0.70296155016023798</v>
      </c>
      <c r="AI931">
        <v>96.702951309549206</v>
      </c>
      <c r="AJ931">
        <v>80.2162410032129</v>
      </c>
      <c r="AK931">
        <v>0.71824570559430401</v>
      </c>
      <c r="AL931">
        <v>80.535743109458494</v>
      </c>
      <c r="AM931">
        <v>89.515913796050995</v>
      </c>
      <c r="AN931">
        <v>1.00000003429464</v>
      </c>
    </row>
    <row r="932" spans="1:40" x14ac:dyDescent="0.25">
      <c r="A932" t="str">
        <f>"20190312172347214"</f>
        <v>20190312172347214</v>
      </c>
      <c r="B932" t="str">
        <f>"1552382627211309"</f>
        <v>1552382627211309</v>
      </c>
      <c r="C932" t="s">
        <v>40</v>
      </c>
      <c r="D932">
        <v>3.796929</v>
      </c>
      <c r="E932">
        <v>0.54793380000000003</v>
      </c>
      <c r="F932" t="s">
        <v>41</v>
      </c>
      <c r="G932">
        <v>-253.92250000000001</v>
      </c>
      <c r="H932">
        <v>1.018421</v>
      </c>
      <c r="I932">
        <v>367.46</v>
      </c>
      <c r="J932">
        <v>-254.7593</v>
      </c>
      <c r="K932">
        <v>1.110228</v>
      </c>
      <c r="L932">
        <v>367.59530000000001</v>
      </c>
      <c r="M932">
        <v>0.99987610000000005</v>
      </c>
      <c r="N932">
        <v>0</v>
      </c>
      <c r="O932">
        <v>7.3686019999999897E-3</v>
      </c>
      <c r="P932">
        <v>0.98864450000000004</v>
      </c>
      <c r="Q932">
        <v>0.1502703</v>
      </c>
      <c r="R932">
        <v>-9.8755260000000004E-4</v>
      </c>
      <c r="S932">
        <v>3.0754389999999998</v>
      </c>
      <c r="T932">
        <v>-0.27008510000000002</v>
      </c>
      <c r="U932">
        <v>-0.39297490000000002</v>
      </c>
      <c r="V932">
        <v>8.2734019999999991E-3</v>
      </c>
      <c r="W932">
        <v>0.1640132</v>
      </c>
      <c r="X932">
        <v>0.98642339999999995</v>
      </c>
      <c r="Y932">
        <v>0.13352069999999999</v>
      </c>
      <c r="Z932">
        <v>-6.4714760000000003E-3</v>
      </c>
      <c r="AA932">
        <v>0.99102489999999999</v>
      </c>
      <c r="AB932">
        <v>38</v>
      </c>
      <c r="AC932">
        <v>0.836799999999982</v>
      </c>
      <c r="AD932">
        <v>-9.1806999999999903E-2</v>
      </c>
      <c r="AE932">
        <v>-0.13530000000002901</v>
      </c>
      <c r="AF932">
        <v>0.13982283779627999</v>
      </c>
      <c r="AG932">
        <v>-9.1806999999999903E-2</v>
      </c>
      <c r="AH932">
        <v>0.82609011808445698</v>
      </c>
      <c r="AI932">
        <v>96.253286338376</v>
      </c>
      <c r="AJ932">
        <v>80.393246947879206</v>
      </c>
      <c r="AK932">
        <v>0.842854574891302</v>
      </c>
      <c r="AL932">
        <v>80.560085481649907</v>
      </c>
      <c r="AM932">
        <v>89.519455943730804</v>
      </c>
      <c r="AN932">
        <v>0.999999951511225</v>
      </c>
    </row>
    <row r="933" spans="1:40" x14ac:dyDescent="0.25">
      <c r="A933" t="str">
        <f>"20190312172347226"</f>
        <v>20190312172347226</v>
      </c>
      <c r="B933" t="str">
        <f>"1552382627221069"</f>
        <v>1552382627221069</v>
      </c>
      <c r="C933" t="s">
        <v>40</v>
      </c>
      <c r="D933">
        <v>3.765225</v>
      </c>
      <c r="E933">
        <v>0.54788169999999903</v>
      </c>
      <c r="F933" t="s">
        <v>41</v>
      </c>
      <c r="G933">
        <v>-253.91079999999999</v>
      </c>
      <c r="H933">
        <v>1.0411379999999999</v>
      </c>
      <c r="I933">
        <v>367.48689999999999</v>
      </c>
      <c r="J933">
        <v>-254.5504</v>
      </c>
      <c r="K933">
        <v>1.1102350000000001</v>
      </c>
      <c r="L933">
        <v>367.59679999999997</v>
      </c>
      <c r="M933">
        <v>0.99987539999999997</v>
      </c>
      <c r="N933">
        <v>0</v>
      </c>
      <c r="O933">
        <v>7.3769919999999998E-3</v>
      </c>
      <c r="P933">
        <v>0.98867959999999999</v>
      </c>
      <c r="Q933">
        <v>0.15004010000000001</v>
      </c>
      <c r="R933">
        <v>-1.0944150000000001E-3</v>
      </c>
      <c r="S933">
        <v>3.0720830000000001</v>
      </c>
      <c r="T933">
        <v>-0.25025399999999998</v>
      </c>
      <c r="U933">
        <v>-0.39199830000000002</v>
      </c>
      <c r="V933">
        <v>8.3885260000000003E-3</v>
      </c>
      <c r="W933">
        <v>0.16383490000000001</v>
      </c>
      <c r="X933">
        <v>0.98645210000000005</v>
      </c>
      <c r="Y933">
        <v>0.13342979999999999</v>
      </c>
      <c r="Z933">
        <v>-6.001513E-3</v>
      </c>
      <c r="AA933">
        <v>0.99104009999999998</v>
      </c>
      <c r="AB933">
        <v>38</v>
      </c>
      <c r="AC933">
        <v>0.63960000000000095</v>
      </c>
      <c r="AD933">
        <v>-6.9097000000000103E-2</v>
      </c>
      <c r="AE933">
        <v>-0.109899999999981</v>
      </c>
      <c r="AF933">
        <v>0.113331056778935</v>
      </c>
      <c r="AG933">
        <v>-6.9097000000000103E-2</v>
      </c>
      <c r="AH933">
        <v>0.63161174815251298</v>
      </c>
      <c r="AI933">
        <v>96.145829265965304</v>
      </c>
      <c r="AJ933">
        <v>79.827578642962806</v>
      </c>
      <c r="AK933">
        <v>0.64540818420895796</v>
      </c>
      <c r="AL933">
        <v>80.570441806171004</v>
      </c>
      <c r="AM933">
        <v>89.512783690801001</v>
      </c>
      <c r="AN933">
        <v>0.99999999371043602</v>
      </c>
    </row>
    <row r="934" spans="1:40" x14ac:dyDescent="0.25">
      <c r="A934" t="str">
        <f>"20190312172347243"</f>
        <v>20190312172347243</v>
      </c>
      <c r="B934" t="str">
        <f>"1552382627230829"</f>
        <v>1552382627230829</v>
      </c>
      <c r="C934" t="s">
        <v>40</v>
      </c>
      <c r="D934">
        <v>3.7939059999999998</v>
      </c>
      <c r="E934">
        <v>0.54797189999999996</v>
      </c>
      <c r="F934" t="s">
        <v>41</v>
      </c>
      <c r="G934">
        <v>-253.58029999999999</v>
      </c>
      <c r="H934">
        <v>1.032859</v>
      </c>
      <c r="I934">
        <v>367.4726</v>
      </c>
      <c r="J934">
        <v>-254.2843</v>
      </c>
      <c r="K934">
        <v>1.1102479999999999</v>
      </c>
      <c r="L934">
        <v>367.59879999999998</v>
      </c>
      <c r="M934">
        <v>0.99987440000000005</v>
      </c>
      <c r="N934">
        <v>0</v>
      </c>
      <c r="O934">
        <v>7.3879009999999997E-3</v>
      </c>
      <c r="P934">
        <v>0.98874240000000002</v>
      </c>
      <c r="Q934">
        <v>0.149624799999999</v>
      </c>
      <c r="R934">
        <v>-1.1356680000000001E-3</v>
      </c>
      <c r="S934">
        <v>3.071167</v>
      </c>
      <c r="T934">
        <v>-0.24531790000000001</v>
      </c>
      <c r="U934">
        <v>-0.39196779999999998</v>
      </c>
      <c r="V934">
        <v>8.4413470000000001E-3</v>
      </c>
      <c r="W934">
        <v>0.16348679999999999</v>
      </c>
      <c r="X934">
        <v>0.98650939999999998</v>
      </c>
      <c r="Y934">
        <v>0.13348550000000001</v>
      </c>
      <c r="Z934">
        <v>-5.888328E-3</v>
      </c>
      <c r="AA934">
        <v>0.99103330000000001</v>
      </c>
      <c r="AB934">
        <v>38</v>
      </c>
      <c r="AC934">
        <v>0.70400000000000695</v>
      </c>
      <c r="AD934">
        <v>-7.7388999999999902E-2</v>
      </c>
      <c r="AE934">
        <v>-0.12619999999998299</v>
      </c>
      <c r="AF934">
        <v>0.12987756306435699</v>
      </c>
      <c r="AG934">
        <v>-7.7388999999999902E-2</v>
      </c>
      <c r="AH934">
        <v>0.69491241489928701</v>
      </c>
      <c r="AI934">
        <v>96.247270171132698</v>
      </c>
      <c r="AJ934">
        <v>79.4136831220912</v>
      </c>
      <c r="AK934">
        <v>0.71116840698226702</v>
      </c>
      <c r="AL934">
        <v>80.590659058516195</v>
      </c>
      <c r="AM934">
        <v>89.509744404981205</v>
      </c>
      <c r="AN934">
        <v>0.99999999320088695</v>
      </c>
    </row>
    <row r="935" spans="1:40" x14ac:dyDescent="0.25">
      <c r="A935" t="str">
        <f>"20190312172347265"</f>
        <v>20190312172347265</v>
      </c>
      <c r="B935" t="str">
        <f>"1552382627261085"</f>
        <v>1552382627261085</v>
      </c>
      <c r="C935" t="s">
        <v>40</v>
      </c>
      <c r="D935">
        <v>3.8138570000000001</v>
      </c>
      <c r="E935">
        <v>0.54839839999999995</v>
      </c>
      <c r="F935" t="s">
        <v>41</v>
      </c>
      <c r="G935">
        <v>-253.2473</v>
      </c>
      <c r="H935">
        <v>1.028322</v>
      </c>
      <c r="I935">
        <v>367.46620000000001</v>
      </c>
      <c r="J935">
        <v>-253.90289999999999</v>
      </c>
      <c r="K935">
        <v>1.110263</v>
      </c>
      <c r="L935">
        <v>367.60169999999999</v>
      </c>
      <c r="M935">
        <v>0.99987280000000001</v>
      </c>
      <c r="N935">
        <v>0</v>
      </c>
      <c r="O935">
        <v>7.4032079999999997E-3</v>
      </c>
      <c r="P935">
        <v>0.9888304</v>
      </c>
      <c r="Q935">
        <v>0.14904200000000001</v>
      </c>
      <c r="R935">
        <v>-1.0218969999999999E-3</v>
      </c>
      <c r="S935">
        <v>3.0704039999999999</v>
      </c>
      <c r="T935">
        <v>-0.2425448</v>
      </c>
      <c r="U935">
        <v>-0.3928528</v>
      </c>
      <c r="V935">
        <v>8.3433429999999996E-3</v>
      </c>
      <c r="W935">
        <v>0.162998</v>
      </c>
      <c r="X935">
        <v>0.98659110000000005</v>
      </c>
      <c r="Y935">
        <v>0.1338212</v>
      </c>
      <c r="Z935">
        <v>-5.8376859999999999E-3</v>
      </c>
      <c r="AA935">
        <v>0.99098830000000004</v>
      </c>
      <c r="AB935">
        <v>38</v>
      </c>
      <c r="AC935">
        <v>0.65559999999999197</v>
      </c>
      <c r="AD935">
        <v>-8.1941E-2</v>
      </c>
      <c r="AE935">
        <v>-0.135499999999979</v>
      </c>
      <c r="AF935">
        <v>0.138278677820418</v>
      </c>
      <c r="AG935">
        <v>-8.1941E-2</v>
      </c>
      <c r="AH935">
        <v>0.64491690876047103</v>
      </c>
      <c r="AI935">
        <v>97.081747097224294</v>
      </c>
      <c r="AJ935">
        <v>77.898261118746007</v>
      </c>
      <c r="AK935">
        <v>0.66464512292344802</v>
      </c>
      <c r="AL935">
        <v>80.6190458844369</v>
      </c>
      <c r="AM935">
        <v>89.515476122220903</v>
      </c>
      <c r="AN935">
        <v>0.99999997898781201</v>
      </c>
    </row>
    <row r="936" spans="1:40" x14ac:dyDescent="0.25">
      <c r="A936" t="str">
        <f>"20190312172347279"</f>
        <v>20190312172347279</v>
      </c>
      <c r="B936" t="str">
        <f>"1552382627270845"</f>
        <v>1552382627270845</v>
      </c>
      <c r="C936" t="s">
        <v>40</v>
      </c>
      <c r="D936">
        <v>3.8008519999999999</v>
      </c>
      <c r="E936">
        <v>0.54857109999999998</v>
      </c>
      <c r="F936" t="s">
        <v>41</v>
      </c>
      <c r="G936">
        <v>-252.90899999999999</v>
      </c>
      <c r="H936">
        <v>1.0341800000000001</v>
      </c>
      <c r="I936">
        <v>367.47320000000002</v>
      </c>
      <c r="J936">
        <v>-253.66489999999999</v>
      </c>
      <c r="K936">
        <v>1.1102700000000001</v>
      </c>
      <c r="L936">
        <v>367.60340000000002</v>
      </c>
      <c r="M936">
        <v>0.99987199999999998</v>
      </c>
      <c r="N936">
        <v>0</v>
      </c>
      <c r="O936">
        <v>7.4130559999999899E-3</v>
      </c>
      <c r="P936">
        <v>0.98885489999999998</v>
      </c>
      <c r="Q936">
        <v>0.14887999999999901</v>
      </c>
      <c r="R936">
        <v>-1.100469E-3</v>
      </c>
      <c r="S936">
        <v>3.068924</v>
      </c>
      <c r="T936">
        <v>-0.23514180000000001</v>
      </c>
      <c r="U936">
        <v>-0.39596559999999997</v>
      </c>
      <c r="V936">
        <v>8.4318209999999904E-3</v>
      </c>
      <c r="W936">
        <v>0.16289120000000001</v>
      </c>
      <c r="X936">
        <v>0.98660800000000004</v>
      </c>
      <c r="Y936">
        <v>0.13490250000000001</v>
      </c>
      <c r="Z936">
        <v>-5.7043090000000003E-3</v>
      </c>
      <c r="AA936">
        <v>0.99084249999999996</v>
      </c>
      <c r="AB936">
        <v>37</v>
      </c>
      <c r="AC936">
        <v>0.75589999999996804</v>
      </c>
      <c r="AD936">
        <v>-7.6090000000000199E-2</v>
      </c>
      <c r="AE936">
        <v>-0.13020000000000201</v>
      </c>
      <c r="AF936">
        <v>0.13447715525581</v>
      </c>
      <c r="AG936">
        <v>-7.6090000000000199E-2</v>
      </c>
      <c r="AH936">
        <v>0.74755740786192004</v>
      </c>
      <c r="AI936">
        <v>95.720626546163899</v>
      </c>
      <c r="AJ936">
        <v>79.802201432599901</v>
      </c>
      <c r="AK936">
        <v>0.76335828510269599</v>
      </c>
      <c r="AL936">
        <v>80.625248087780605</v>
      </c>
      <c r="AM936">
        <v>89.510346565648504</v>
      </c>
      <c r="AN936">
        <v>0.99999999215340796</v>
      </c>
    </row>
    <row r="937" spans="1:40" x14ac:dyDescent="0.25">
      <c r="A937" t="str">
        <f>"20190312172347300"</f>
        <v>20190312172347300</v>
      </c>
      <c r="B937" t="str">
        <f>"1552382627290368"</f>
        <v>1552382627290368</v>
      </c>
      <c r="C937" t="s">
        <v>40</v>
      </c>
      <c r="D937">
        <v>3.8006679999999999</v>
      </c>
      <c r="E937">
        <v>0.54876610000000003</v>
      </c>
      <c r="F937" t="s">
        <v>43</v>
      </c>
      <c r="G937">
        <v>-239.0479</v>
      </c>
      <c r="H937" s="1">
        <v>-1.349342E-6</v>
      </c>
      <c r="I937">
        <v>365.71039999999999</v>
      </c>
      <c r="J937">
        <v>-253.3357</v>
      </c>
      <c r="K937">
        <v>1.110276</v>
      </c>
      <c r="L937">
        <v>367.60590000000002</v>
      </c>
      <c r="M937">
        <v>0.99987079999999995</v>
      </c>
      <c r="N937">
        <v>0</v>
      </c>
      <c r="O937">
        <v>7.4267789999999997E-3</v>
      </c>
      <c r="P937">
        <v>0.988846</v>
      </c>
      <c r="Q937">
        <v>0.14893709999999999</v>
      </c>
      <c r="R937">
        <v>-1.0958770000000001E-3</v>
      </c>
      <c r="S937">
        <v>3.068451</v>
      </c>
      <c r="T937">
        <v>-0.2330711</v>
      </c>
      <c r="U937">
        <v>-0.39736939999999998</v>
      </c>
      <c r="V937">
        <v>8.4411179999999992E-3</v>
      </c>
      <c r="W937">
        <v>0.1630201</v>
      </c>
      <c r="X937">
        <v>0.98658659999999998</v>
      </c>
      <c r="Y937">
        <v>0.13538699999999901</v>
      </c>
      <c r="Z937">
        <v>-5.6742519999999899E-3</v>
      </c>
      <c r="AA937">
        <v>0.99077649999999995</v>
      </c>
      <c r="AB937">
        <v>37</v>
      </c>
      <c r="AC937">
        <v>14.287800000000001</v>
      </c>
      <c r="AD937">
        <v>-1.110277349342</v>
      </c>
      <c r="AE937">
        <v>-1.8955000000000199</v>
      </c>
      <c r="AF937">
        <v>1.9897633702536</v>
      </c>
      <c r="AG937">
        <v>-1.110277349342</v>
      </c>
      <c r="AH937">
        <v>14.1891272482713</v>
      </c>
      <c r="AI937">
        <v>94.431009436427004</v>
      </c>
      <c r="AJ937">
        <v>82.017377963432395</v>
      </c>
      <c r="AK937">
        <v>14.370915285036601</v>
      </c>
      <c r="AL937">
        <v>80.617762324475294</v>
      </c>
      <c r="AM937">
        <v>89.509796063556294</v>
      </c>
      <c r="AN937">
        <v>0.999999962388329</v>
      </c>
    </row>
    <row r="938" spans="1:40" x14ac:dyDescent="0.25">
      <c r="A938" t="str">
        <f>"20190312172347311"</f>
        <v>20190312172347311</v>
      </c>
      <c r="B938" t="str">
        <f>"1552382627301102"</f>
        <v>1552382627301102</v>
      </c>
      <c r="C938" t="s">
        <v>40</v>
      </c>
      <c r="D938">
        <v>3.8238590000000001</v>
      </c>
      <c r="E938">
        <v>0.54888210000000004</v>
      </c>
      <c r="F938" t="s">
        <v>43</v>
      </c>
      <c r="G938">
        <v>-238.4802</v>
      </c>
      <c r="H938" s="1">
        <v>-1.5522229999999999E-6</v>
      </c>
      <c r="I938">
        <v>365.67399999999998</v>
      </c>
      <c r="J938">
        <v>-253.1337</v>
      </c>
      <c r="K938">
        <v>1.1102810000000001</v>
      </c>
      <c r="L938">
        <v>367.60739999999998</v>
      </c>
      <c r="M938">
        <v>0.99987020000000004</v>
      </c>
      <c r="N938">
        <v>0</v>
      </c>
      <c r="O938">
        <v>7.43524599999999E-3</v>
      </c>
      <c r="P938">
        <v>0.98884680000000003</v>
      </c>
      <c r="Q938">
        <v>0.14893299999999901</v>
      </c>
      <c r="R938">
        <v>-1.1168839999999901E-3</v>
      </c>
      <c r="S938">
        <v>3.0679319999999999</v>
      </c>
      <c r="T938">
        <v>-0.229292</v>
      </c>
      <c r="U938">
        <v>-0.39895629999999999</v>
      </c>
      <c r="V938">
        <v>8.4703199999999999E-3</v>
      </c>
      <c r="W938">
        <v>0.1630559</v>
      </c>
      <c r="X938">
        <v>0.98658049999999997</v>
      </c>
      <c r="Y938">
        <v>0.1359321</v>
      </c>
      <c r="Z938">
        <v>-5.6041390000000002E-3</v>
      </c>
      <c r="AA938">
        <v>0.99070230000000004</v>
      </c>
      <c r="AB938">
        <v>37</v>
      </c>
      <c r="AC938">
        <v>14.653499999999999</v>
      </c>
      <c r="AD938">
        <v>-1.11028255222299</v>
      </c>
      <c r="AE938">
        <v>-1.9333999999999401</v>
      </c>
      <c r="AF938">
        <v>2.0308505223228801</v>
      </c>
      <c r="AG938">
        <v>-1.11028255222299</v>
      </c>
      <c r="AH938">
        <v>14.556579309696</v>
      </c>
      <c r="AI938">
        <v>94.320029802907001</v>
      </c>
      <c r="AJ938">
        <v>82.057686768618794</v>
      </c>
      <c r="AK938">
        <v>14.739439690478701</v>
      </c>
      <c r="AL938">
        <v>80.615683938408196</v>
      </c>
      <c r="AM938">
        <v>89.508097247742597</v>
      </c>
      <c r="AN938">
        <v>1.0000000279129799</v>
      </c>
    </row>
    <row r="939" spans="1:40" x14ac:dyDescent="0.25">
      <c r="A939" t="str">
        <f>"20190312172347323"</f>
        <v>20190312172347323</v>
      </c>
      <c r="B939" t="str">
        <f>"1552382627320621"</f>
        <v>1552382627320621</v>
      </c>
      <c r="C939" t="s">
        <v>40</v>
      </c>
      <c r="D939">
        <v>3.811604</v>
      </c>
      <c r="E939">
        <v>0.54901330000000004</v>
      </c>
      <c r="F939" t="s">
        <v>41</v>
      </c>
      <c r="G939">
        <v>-252.23410000000001</v>
      </c>
      <c r="H939">
        <v>1.043674</v>
      </c>
      <c r="I939">
        <v>367.4898</v>
      </c>
      <c r="J939">
        <v>-252.93700000000001</v>
      </c>
      <c r="K939">
        <v>1.110285</v>
      </c>
      <c r="L939">
        <v>367.60890000000001</v>
      </c>
      <c r="M939">
        <v>0.99986960000000003</v>
      </c>
      <c r="N939">
        <v>0</v>
      </c>
      <c r="O939">
        <v>7.4433719999999898E-3</v>
      </c>
      <c r="P939">
        <v>0.98880869999999998</v>
      </c>
      <c r="Q939">
        <v>0.14918480000000001</v>
      </c>
      <c r="R939">
        <v>-1.2563310000000001E-3</v>
      </c>
      <c r="S939">
        <v>3.0676420000000002</v>
      </c>
      <c r="T939">
        <v>-0.22748160000000001</v>
      </c>
      <c r="U939">
        <v>-0.39962769999999997</v>
      </c>
      <c r="V939">
        <v>8.6176399999999993E-3</v>
      </c>
      <c r="W939">
        <v>0.16334470000000001</v>
      </c>
      <c r="X939">
        <v>0.98653139999999995</v>
      </c>
      <c r="Y939">
        <v>0.13617079999999901</v>
      </c>
      <c r="Z939">
        <v>-5.5698550000000003E-3</v>
      </c>
      <c r="AA939">
        <v>0.99066969999999999</v>
      </c>
      <c r="AB939">
        <v>37</v>
      </c>
      <c r="AC939">
        <v>0.70289999999999897</v>
      </c>
      <c r="AD939">
        <v>-6.6610999999999906E-2</v>
      </c>
      <c r="AE939">
        <v>-0.119100000000003</v>
      </c>
      <c r="AF939">
        <v>0.12325318929932801</v>
      </c>
      <c r="AG939">
        <v>-6.6610999999999906E-2</v>
      </c>
      <c r="AH939">
        <v>0.69591859272821599</v>
      </c>
      <c r="AI939">
        <v>95.384215126652407</v>
      </c>
      <c r="AJ939">
        <v>79.956570987335297</v>
      </c>
      <c r="AK939">
        <v>0.70988101939569903</v>
      </c>
      <c r="AL939">
        <v>80.5989115919743</v>
      </c>
      <c r="AM939">
        <v>89.499517356223294</v>
      </c>
      <c r="AN939">
        <v>0.99999997896160897</v>
      </c>
    </row>
    <row r="940" spans="1:40" x14ac:dyDescent="0.25">
      <c r="A940" t="str">
        <f>"20190312172347343"</f>
        <v>20190312172347343</v>
      </c>
      <c r="B940" t="str">
        <f>"1552382627330381"</f>
        <v>1552382627330381</v>
      </c>
      <c r="C940" t="s">
        <v>40</v>
      </c>
      <c r="D940">
        <v>3.7904460000000002</v>
      </c>
      <c r="E940">
        <v>0.54910680000000001</v>
      </c>
      <c r="F940" t="s">
        <v>41</v>
      </c>
      <c r="G940">
        <v>-251.90549999999999</v>
      </c>
      <c r="H940">
        <v>1.035012</v>
      </c>
      <c r="I940">
        <v>367.47390000000001</v>
      </c>
      <c r="J940">
        <v>-252.60830000000001</v>
      </c>
      <c r="K940">
        <v>1.1102909999999999</v>
      </c>
      <c r="L940">
        <v>367.6114</v>
      </c>
      <c r="M940">
        <v>0.99986870000000005</v>
      </c>
      <c r="N940">
        <v>0</v>
      </c>
      <c r="O940">
        <v>7.4565439999999998E-3</v>
      </c>
      <c r="P940">
        <v>0.9887842</v>
      </c>
      <c r="Q940">
        <v>0.14934639999999999</v>
      </c>
      <c r="R940">
        <v>-1.3320579999999999E-3</v>
      </c>
      <c r="S940">
        <v>3.0672299999999999</v>
      </c>
      <c r="T940">
        <v>-0.22383980000000001</v>
      </c>
      <c r="U940">
        <v>-0.40124510000000002</v>
      </c>
      <c r="V940">
        <v>8.7062579999999997E-3</v>
      </c>
      <c r="W940">
        <v>0.1635635</v>
      </c>
      <c r="X940">
        <v>0.98649439999999999</v>
      </c>
      <c r="Y940">
        <v>0.13672519999999999</v>
      </c>
      <c r="Z940">
        <v>-5.5025380000000004E-3</v>
      </c>
      <c r="AA940">
        <v>0.99059370000000002</v>
      </c>
      <c r="AB940">
        <v>37</v>
      </c>
      <c r="AC940">
        <v>0.70280000000002396</v>
      </c>
      <c r="AD940">
        <v>-7.5278999999999804E-2</v>
      </c>
      <c r="AE940">
        <v>-0.13749999999998799</v>
      </c>
      <c r="AF940">
        <v>0.14117714020519401</v>
      </c>
      <c r="AG940">
        <v>-7.5278999999999804E-2</v>
      </c>
      <c r="AH940">
        <v>0.69408528408472603</v>
      </c>
      <c r="AI940">
        <v>96.066713340770605</v>
      </c>
      <c r="AJ940">
        <v>78.502862128181704</v>
      </c>
      <c r="AK940">
        <v>0.71228666584493405</v>
      </c>
      <c r="AL940">
        <v>80.586204663628493</v>
      </c>
      <c r="AM940">
        <v>89.494352032555796</v>
      </c>
      <c r="AN940">
        <v>1.00000000934598</v>
      </c>
    </row>
    <row r="941" spans="1:40" x14ac:dyDescent="0.25">
      <c r="A941" t="str">
        <f>"20190312172347353"</f>
        <v>20190312172347353</v>
      </c>
      <c r="B941" t="str">
        <f>"1552382627350877"</f>
        <v>1552382627350877</v>
      </c>
      <c r="C941" t="s">
        <v>40</v>
      </c>
      <c r="D941">
        <v>3.8239269999999999</v>
      </c>
      <c r="E941">
        <v>0.54939459999999996</v>
      </c>
      <c r="F941" t="s">
        <v>41</v>
      </c>
      <c r="G941">
        <v>-251.57159999999999</v>
      </c>
      <c r="H941">
        <v>1.035544</v>
      </c>
      <c r="I941">
        <v>367.4751</v>
      </c>
      <c r="J941">
        <v>-252.4187</v>
      </c>
      <c r="K941">
        <v>1.1102860000000001</v>
      </c>
      <c r="L941">
        <v>367.61279999999999</v>
      </c>
      <c r="M941">
        <v>0.99986819999999998</v>
      </c>
      <c r="N941">
        <v>0</v>
      </c>
      <c r="O941">
        <v>7.4638980000000001E-3</v>
      </c>
      <c r="P941">
        <v>0.98878580000000005</v>
      </c>
      <c r="Q941">
        <v>0.14933389999999999</v>
      </c>
      <c r="R941">
        <v>-1.5021209999999999E-3</v>
      </c>
      <c r="S941">
        <v>3.0669249999999999</v>
      </c>
      <c r="T941">
        <v>-0.22140290000000001</v>
      </c>
      <c r="U941">
        <v>-0.40237430000000002</v>
      </c>
      <c r="V941">
        <v>8.8834729999999994E-3</v>
      </c>
      <c r="W941">
        <v>0.1635809</v>
      </c>
      <c r="X941">
        <v>0.98648999999999998</v>
      </c>
      <c r="Y941">
        <v>0.1371108</v>
      </c>
      <c r="Z941">
        <v>-5.4575659999999996E-3</v>
      </c>
      <c r="AA941">
        <v>0.99054070000000005</v>
      </c>
      <c r="AB941">
        <v>37</v>
      </c>
      <c r="AC941">
        <v>0.84710000000001096</v>
      </c>
      <c r="AD941">
        <v>-7.4742000000000003E-2</v>
      </c>
      <c r="AE941">
        <v>-0.13769999999999499</v>
      </c>
      <c r="AF941">
        <v>0.14293537963833799</v>
      </c>
      <c r="AG941">
        <v>-7.4742000000000003E-2</v>
      </c>
      <c r="AH941">
        <v>0.83967986874995404</v>
      </c>
      <c r="AI941">
        <v>95.014871288456902</v>
      </c>
      <c r="AJ941">
        <v>80.339367743685798</v>
      </c>
      <c r="AK941">
        <v>0.85503167853612005</v>
      </c>
      <c r="AL941">
        <v>80.585194715917098</v>
      </c>
      <c r="AM941">
        <v>89.484057869110799</v>
      </c>
      <c r="AN941">
        <v>1.00000007351867</v>
      </c>
    </row>
    <row r="942" spans="1:40" x14ac:dyDescent="0.25">
      <c r="A942" t="str">
        <f>"20190312172347367"</f>
        <v>20190312172347367</v>
      </c>
      <c r="B942" t="str">
        <f>"1552382627360637"</f>
        <v>1552382627360637</v>
      </c>
      <c r="C942" t="s">
        <v>40</v>
      </c>
      <c r="D942">
        <v>3.815734</v>
      </c>
      <c r="E942">
        <v>0.54952500000000004</v>
      </c>
      <c r="F942" t="s">
        <v>43</v>
      </c>
      <c r="G942">
        <v>-236.8356</v>
      </c>
      <c r="H942" s="1">
        <v>-2.1438839999999999E-6</v>
      </c>
      <c r="I942">
        <v>365.55380000000002</v>
      </c>
      <c r="J942">
        <v>-252.2098</v>
      </c>
      <c r="K942">
        <v>1.1102879999999999</v>
      </c>
      <c r="L942">
        <v>367.61430000000001</v>
      </c>
      <c r="M942">
        <v>0.99986759999999997</v>
      </c>
      <c r="N942">
        <v>0</v>
      </c>
      <c r="O942">
        <v>7.4718959999999996E-3</v>
      </c>
      <c r="P942">
        <v>0.98876370000000002</v>
      </c>
      <c r="Q942">
        <v>0.14948059999999999</v>
      </c>
      <c r="R942">
        <v>-1.43772E-3</v>
      </c>
      <c r="S942">
        <v>3.0664220000000002</v>
      </c>
      <c r="T942">
        <v>-0.2184799</v>
      </c>
      <c r="U942">
        <v>-0.40515139999999999</v>
      </c>
      <c r="V942">
        <v>8.8266779999999993E-3</v>
      </c>
      <c r="W942">
        <v>0.16375819999999999</v>
      </c>
      <c r="X942">
        <v>0.98646100000000003</v>
      </c>
      <c r="Y942">
        <v>0.13802879999999901</v>
      </c>
      <c r="Z942">
        <v>-5.4193399999999999E-3</v>
      </c>
      <c r="AA942">
        <v>0.9904134</v>
      </c>
      <c r="AB942">
        <v>37</v>
      </c>
      <c r="AC942">
        <v>15.3742</v>
      </c>
      <c r="AD942">
        <v>-1.110290143884</v>
      </c>
      <c r="AE942">
        <v>-2.06049999999999</v>
      </c>
      <c r="AF942">
        <v>2.1642406768248801</v>
      </c>
      <c r="AG942">
        <v>-1.110290143884</v>
      </c>
      <c r="AH942">
        <v>15.280087650386999</v>
      </c>
      <c r="AI942">
        <v>94.115025244284595</v>
      </c>
      <c r="AJ942">
        <v>81.938365393409299</v>
      </c>
      <c r="AK942">
        <v>15.472483980096399</v>
      </c>
      <c r="AL942">
        <v>80.574896440806398</v>
      </c>
      <c r="AM942">
        <v>89.487341212385203</v>
      </c>
      <c r="AN942">
        <v>0.99999998141637703</v>
      </c>
    </row>
    <row r="943" spans="1:40" x14ac:dyDescent="0.25">
      <c r="A943" t="str">
        <f>"20190312172347378"</f>
        <v>20190312172347378</v>
      </c>
      <c r="B943" t="str">
        <f>"1552382627370397"</f>
        <v>1552382627370397</v>
      </c>
      <c r="C943" t="s">
        <v>40</v>
      </c>
      <c r="D943">
        <v>3.7937820000000002</v>
      </c>
      <c r="E943">
        <v>0.54967029999999995</v>
      </c>
      <c r="F943" t="s">
        <v>41</v>
      </c>
      <c r="G943">
        <v>-251.22919999999999</v>
      </c>
      <c r="H943">
        <v>1.0408630000000001</v>
      </c>
      <c r="I943">
        <v>367.48450000000003</v>
      </c>
      <c r="J943">
        <v>-252.02549999999999</v>
      </c>
      <c r="K943">
        <v>1.1102879999999999</v>
      </c>
      <c r="L943">
        <v>367.6157</v>
      </c>
      <c r="M943">
        <v>0.99986719999999896</v>
      </c>
      <c r="N943">
        <v>0</v>
      </c>
      <c r="O943">
        <v>7.479098E-3</v>
      </c>
      <c r="P943">
        <v>0.98876540000000002</v>
      </c>
      <c r="Q943">
        <v>0.14946599999999999</v>
      </c>
      <c r="R943">
        <v>-1.7889550000000001E-3</v>
      </c>
      <c r="S943">
        <v>3.0663450000000001</v>
      </c>
      <c r="T943">
        <v>-0.21720619999999999</v>
      </c>
      <c r="U943">
        <v>-0.40588380000000002</v>
      </c>
      <c r="V943">
        <v>9.1851250000000006E-3</v>
      </c>
      <c r="W943">
        <v>0.16376949999999901</v>
      </c>
      <c r="X943">
        <v>0.98645590000000005</v>
      </c>
      <c r="Y943">
        <v>0.13827519999999999</v>
      </c>
      <c r="Z943">
        <v>-5.3970629999999997E-3</v>
      </c>
      <c r="AA943">
        <v>0.99037920000000002</v>
      </c>
      <c r="AB943">
        <v>37</v>
      </c>
      <c r="AC943">
        <v>0.79630000000000201</v>
      </c>
      <c r="AD943">
        <v>-6.9425000000000001E-2</v>
      </c>
      <c r="AE943">
        <v>-0.131199999999978</v>
      </c>
      <c r="AF943">
        <v>0.13614505344238101</v>
      </c>
      <c r="AG943">
        <v>-6.9425000000000001E-2</v>
      </c>
      <c r="AH943">
        <v>0.78945421070090205</v>
      </c>
      <c r="AI943">
        <v>94.952950281041495</v>
      </c>
      <c r="AJ943">
        <v>80.215319363762504</v>
      </c>
      <c r="AK943">
        <v>0.80411022689380895</v>
      </c>
      <c r="AL943">
        <v>80.574240592128504</v>
      </c>
      <c r="AM943">
        <v>89.466520816013301</v>
      </c>
      <c r="AN943">
        <v>1.0000000291481601</v>
      </c>
    </row>
    <row r="944" spans="1:40" x14ac:dyDescent="0.25">
      <c r="A944" t="str">
        <f>"20190312172347388"</f>
        <v>20190312172347388</v>
      </c>
      <c r="B944" t="str">
        <f>"1552382627381133"</f>
        <v>1552382627381133</v>
      </c>
      <c r="C944" t="s">
        <v>40</v>
      </c>
      <c r="D944">
        <v>3.8093149999999998</v>
      </c>
      <c r="E944">
        <v>0.54979489999999998</v>
      </c>
      <c r="F944" t="s">
        <v>43</v>
      </c>
      <c r="G944">
        <v>-236.2636</v>
      </c>
      <c r="H944" s="1">
        <v>-2.3481020000000001E-6</v>
      </c>
      <c r="I944">
        <v>365.51780000000002</v>
      </c>
      <c r="J944">
        <v>-251.84100000000001</v>
      </c>
      <c r="K944">
        <v>1.11029</v>
      </c>
      <c r="L944">
        <v>367.61709999999999</v>
      </c>
      <c r="M944">
        <v>0.99986679999999994</v>
      </c>
      <c r="N944">
        <v>0</v>
      </c>
      <c r="O944">
        <v>7.4861349999999997E-3</v>
      </c>
      <c r="P944">
        <v>0.98871640000000005</v>
      </c>
      <c r="Q944">
        <v>0.1497898</v>
      </c>
      <c r="R944">
        <v>-1.693883E-3</v>
      </c>
      <c r="S944">
        <v>3.0659939999999999</v>
      </c>
      <c r="T944">
        <v>-0.21597269999999999</v>
      </c>
      <c r="U944">
        <v>-0.40808109999999997</v>
      </c>
      <c r="V944">
        <v>9.0966199999999997E-3</v>
      </c>
      <c r="W944">
        <v>0.16411619999999999</v>
      </c>
      <c r="X944">
        <v>0.98639909999999997</v>
      </c>
      <c r="Y944">
        <v>0.1389966</v>
      </c>
      <c r="Z944">
        <v>-5.3926010000000003E-3</v>
      </c>
      <c r="AA944">
        <v>0.9902782</v>
      </c>
      <c r="AB944">
        <v>37</v>
      </c>
      <c r="AC944">
        <v>15.5773999999999</v>
      </c>
      <c r="AD944">
        <v>-1.1102923481019999</v>
      </c>
      <c r="AE944">
        <v>-2.0992999999999702</v>
      </c>
      <c r="AF944">
        <v>2.2048664897372001</v>
      </c>
      <c r="AG944">
        <v>-1.1102923481019999</v>
      </c>
      <c r="AH944">
        <v>15.4839868148373</v>
      </c>
      <c r="AI944">
        <v>94.060600133064199</v>
      </c>
      <c r="AJ944">
        <v>81.895760859698697</v>
      </c>
      <c r="AK944">
        <v>15.6795418624995</v>
      </c>
      <c r="AL944">
        <v>80.554103698813606</v>
      </c>
      <c r="AM944">
        <v>89.471630540526803</v>
      </c>
      <c r="AN944">
        <v>1.0000000300393299</v>
      </c>
    </row>
    <row r="945" spans="1:40" x14ac:dyDescent="0.25">
      <c r="A945" t="str">
        <f>"20190312172347399"</f>
        <v>20190312172347399</v>
      </c>
      <c r="B945" t="str">
        <f>"1552382627390893"</f>
        <v>1552382627390893</v>
      </c>
      <c r="C945" t="s">
        <v>40</v>
      </c>
      <c r="D945">
        <v>3.7957869999999998</v>
      </c>
      <c r="E945">
        <v>0.54989719999999997</v>
      </c>
      <c r="F945" t="s">
        <v>43</v>
      </c>
      <c r="G945">
        <v>-235.9348</v>
      </c>
      <c r="H945" s="1">
        <v>-2.4658269999999999E-6</v>
      </c>
      <c r="I945">
        <v>365.49599999999998</v>
      </c>
      <c r="J945">
        <v>-251.65520000000001</v>
      </c>
      <c r="K945">
        <v>1.1102920000000001</v>
      </c>
      <c r="L945">
        <v>367.61849999999998</v>
      </c>
      <c r="M945">
        <v>0.99986640000000004</v>
      </c>
      <c r="N945">
        <v>0</v>
      </c>
      <c r="O945">
        <v>7.4933559999999996E-3</v>
      </c>
      <c r="P945">
        <v>0.98874459999999997</v>
      </c>
      <c r="Q945">
        <v>0.14960509999999999</v>
      </c>
      <c r="R945">
        <v>-1.6445819999999999E-3</v>
      </c>
      <c r="S945">
        <v>3.065979</v>
      </c>
      <c r="T945">
        <v>-0.2140108</v>
      </c>
      <c r="U945">
        <v>-0.40884399999999999</v>
      </c>
      <c r="V945">
        <v>9.0546870000000005E-3</v>
      </c>
      <c r="W945">
        <v>0.16395479999999901</v>
      </c>
      <c r="X945">
        <v>0.98642629999999998</v>
      </c>
      <c r="Y945">
        <v>0.1392524</v>
      </c>
      <c r="Z945">
        <v>-5.3530519999999996E-3</v>
      </c>
      <c r="AA945">
        <v>0.99024250000000003</v>
      </c>
      <c r="AB945">
        <v>37</v>
      </c>
      <c r="AC945">
        <v>15.7204</v>
      </c>
      <c r="AD945">
        <v>-1.110294465827</v>
      </c>
      <c r="AE945">
        <v>-2.1225000000000001</v>
      </c>
      <c r="AF945">
        <v>2.2293299909756201</v>
      </c>
      <c r="AG945">
        <v>-1.110294465827</v>
      </c>
      <c r="AH945">
        <v>15.627493804177</v>
      </c>
      <c r="AI945">
        <v>94.023297986416495</v>
      </c>
      <c r="AJ945">
        <v>81.881284687693494</v>
      </c>
      <c r="AK945">
        <v>15.8247031128265</v>
      </c>
      <c r="AL945">
        <v>80.563477977954705</v>
      </c>
      <c r="AM945">
        <v>89.474080547582801</v>
      </c>
      <c r="AN945">
        <v>1.00000000456569</v>
      </c>
    </row>
    <row r="946" spans="1:40" x14ac:dyDescent="0.25">
      <c r="A946" t="str">
        <f>"20190312172347411"</f>
        <v>20190312172347411</v>
      </c>
      <c r="B946" t="str">
        <f>"1552382627400653"</f>
        <v>1552382627400653</v>
      </c>
      <c r="C946" t="s">
        <v>40</v>
      </c>
      <c r="D946">
        <v>3.790375</v>
      </c>
      <c r="E946">
        <v>0.55000629999999995</v>
      </c>
      <c r="F946" t="s">
        <v>43</v>
      </c>
      <c r="G946">
        <v>-235.72890000000001</v>
      </c>
      <c r="H946" s="1">
        <v>-2.5463620000000001E-6</v>
      </c>
      <c r="I946">
        <v>365.49110000000002</v>
      </c>
      <c r="J946">
        <v>-251.47</v>
      </c>
      <c r="K946">
        <v>1.110293</v>
      </c>
      <c r="L946">
        <v>367.61989999999997</v>
      </c>
      <c r="M946">
        <v>0.99986609999999998</v>
      </c>
      <c r="N946">
        <v>0</v>
      </c>
      <c r="O946">
        <v>7.5005940000000002E-3</v>
      </c>
      <c r="P946">
        <v>0.9887435</v>
      </c>
      <c r="Q946">
        <v>0.14960960000000001</v>
      </c>
      <c r="R946">
        <v>-1.8720690000000001E-3</v>
      </c>
      <c r="S946">
        <v>3.0657960000000002</v>
      </c>
      <c r="T946">
        <v>-0.213729</v>
      </c>
      <c r="U946">
        <v>-0.40951539999999997</v>
      </c>
      <c r="V946">
        <v>9.2890990000000003E-3</v>
      </c>
      <c r="W946">
        <v>0.16397979999999901</v>
      </c>
      <c r="X946">
        <v>0.98641999999999996</v>
      </c>
      <c r="Y946">
        <v>0.13948070000000001</v>
      </c>
      <c r="Z946">
        <v>-5.3546740000000002E-3</v>
      </c>
      <c r="AA946">
        <v>0.99021029999999999</v>
      </c>
      <c r="AB946">
        <v>37</v>
      </c>
      <c r="AC946">
        <v>15.7410999999999</v>
      </c>
      <c r="AD946">
        <v>-1.1102955463619999</v>
      </c>
      <c r="AE946">
        <v>-2.1287999999999498</v>
      </c>
      <c r="AF946">
        <v>2.23589604953531</v>
      </c>
      <c r="AG946">
        <v>-1.1102955463619999</v>
      </c>
      <c r="AH946">
        <v>15.648233993558801</v>
      </c>
      <c r="AI946">
        <v>94.017857702430504</v>
      </c>
      <c r="AJ946">
        <v>81.868340167896505</v>
      </c>
      <c r="AK946">
        <v>15.846110389044</v>
      </c>
      <c r="AL946">
        <v>80.562026261812605</v>
      </c>
      <c r="AM946">
        <v>89.460462646244096</v>
      </c>
      <c r="AN946">
        <v>1.0000000392841299</v>
      </c>
    </row>
    <row r="947" spans="1:40" x14ac:dyDescent="0.25">
      <c r="A947" t="str">
        <f>"20190312172347423"</f>
        <v>20190312172347423</v>
      </c>
      <c r="B947" t="str">
        <f>"1552382627410413"</f>
        <v>1552382627410413</v>
      </c>
      <c r="C947" t="s">
        <v>40</v>
      </c>
      <c r="D947">
        <v>3.8013720000000002</v>
      </c>
      <c r="E947">
        <v>0.55012240000000001</v>
      </c>
      <c r="F947" t="s">
        <v>43</v>
      </c>
      <c r="G947">
        <v>-235.47710000000001</v>
      </c>
      <c r="H947" s="1">
        <v>-2.6571470000000002E-6</v>
      </c>
      <c r="I947">
        <v>365.47559999999999</v>
      </c>
      <c r="J947">
        <v>-251.28</v>
      </c>
      <c r="K947">
        <v>1.110295</v>
      </c>
      <c r="L947">
        <v>367.62130000000002</v>
      </c>
      <c r="M947">
        <v>0.99986560000000002</v>
      </c>
      <c r="N947">
        <v>0</v>
      </c>
      <c r="O947">
        <v>7.5080119999999997E-3</v>
      </c>
      <c r="P947">
        <v>0.98876699999999995</v>
      </c>
      <c r="Q947">
        <v>0.14945429999999901</v>
      </c>
      <c r="R947">
        <v>-1.78019299999999E-3</v>
      </c>
      <c r="S947">
        <v>3.065582</v>
      </c>
      <c r="T947">
        <v>-0.21282390000000001</v>
      </c>
      <c r="U947">
        <v>-0.41101070000000001</v>
      </c>
      <c r="V947">
        <v>9.2048240000000003E-3</v>
      </c>
      <c r="W947">
        <v>0.1638453</v>
      </c>
      <c r="X947">
        <v>0.98644310000000002</v>
      </c>
      <c r="Y947">
        <v>0.13997329999999999</v>
      </c>
      <c r="Z947">
        <v>-5.3497650000000002E-3</v>
      </c>
      <c r="AA947">
        <v>0.99014080000000004</v>
      </c>
      <c r="AB947">
        <v>37</v>
      </c>
      <c r="AC947">
        <v>15.8028999999999</v>
      </c>
      <c r="AD947">
        <v>-1.110297657147</v>
      </c>
      <c r="AE947">
        <v>-2.1457000000000299</v>
      </c>
      <c r="AF947">
        <v>2.25337838709856</v>
      </c>
      <c r="AG947">
        <v>-1.110297657147</v>
      </c>
      <c r="AH947">
        <v>15.710195776535899</v>
      </c>
      <c r="AI947">
        <v>94.001762897489698</v>
      </c>
      <c r="AJ947">
        <v>81.837502074295202</v>
      </c>
      <c r="AK947">
        <v>15.909768269211099</v>
      </c>
      <c r="AL947">
        <v>80.569837830599994</v>
      </c>
      <c r="AM947">
        <v>89.465369812330593</v>
      </c>
      <c r="AN947">
        <v>1.00000000032728</v>
      </c>
    </row>
    <row r="948" spans="1:40" x14ac:dyDescent="0.25">
      <c r="A948" t="str">
        <f>"20190312172347434"</f>
        <v>20190312172347434</v>
      </c>
      <c r="B948" t="str">
        <f>"1552382627430909"</f>
        <v>1552382627430909</v>
      </c>
      <c r="C948" t="s">
        <v>40</v>
      </c>
      <c r="D948">
        <v>3.8511190000000002</v>
      </c>
      <c r="E948">
        <v>0.55027389999999998</v>
      </c>
      <c r="F948" t="s">
        <v>43</v>
      </c>
      <c r="G948">
        <v>-235.2587</v>
      </c>
      <c r="H948" s="1">
        <v>-2.7520430000000002E-6</v>
      </c>
      <c r="I948">
        <v>365.46870000000001</v>
      </c>
      <c r="J948">
        <v>-251.08709999999999</v>
      </c>
      <c r="K948">
        <v>1.110295</v>
      </c>
      <c r="L948">
        <v>367.62279999999998</v>
      </c>
      <c r="M948">
        <v>0.99986540000000002</v>
      </c>
      <c r="N948">
        <v>0</v>
      </c>
      <c r="O948">
        <v>7.5154459999999899E-3</v>
      </c>
      <c r="P948">
        <v>0.98875089999999999</v>
      </c>
      <c r="Q948">
        <v>0.14956410000000001</v>
      </c>
      <c r="R948">
        <v>-1.5712009999999999E-3</v>
      </c>
      <c r="S948">
        <v>3.0654599999999999</v>
      </c>
      <c r="T948">
        <v>-0.21244009999999999</v>
      </c>
      <c r="U948">
        <v>-0.41186519999999999</v>
      </c>
      <c r="V948">
        <v>9.0030549999999994E-3</v>
      </c>
      <c r="W948">
        <v>0.16397320000000001</v>
      </c>
      <c r="X948">
        <v>0.98642370000000001</v>
      </c>
      <c r="Y948">
        <v>0.14025750000000001</v>
      </c>
      <c r="Z948">
        <v>-5.3505580000000001E-3</v>
      </c>
      <c r="AA948">
        <v>0.9901006</v>
      </c>
      <c r="AB948">
        <v>37</v>
      </c>
      <c r="AC948">
        <v>15.828399999999901</v>
      </c>
      <c r="AD948">
        <v>-1.110297752043</v>
      </c>
      <c r="AE948">
        <v>-2.1540999999999699</v>
      </c>
      <c r="AF948">
        <v>2.2620812272469402</v>
      </c>
      <c r="AG948">
        <v>-1.110297752043</v>
      </c>
      <c r="AH948">
        <v>15.7357431228137</v>
      </c>
      <c r="AI948">
        <v>93.995107942539903</v>
      </c>
      <c r="AJ948">
        <v>81.8195269870006</v>
      </c>
      <c r="AK948">
        <v>15.9362286694196</v>
      </c>
      <c r="AL948">
        <v>80.562409139276198</v>
      </c>
      <c r="AM948">
        <v>89.477077921377003</v>
      </c>
      <c r="AN948">
        <v>0.99999999061963096</v>
      </c>
    </row>
    <row r="949" spans="1:40" x14ac:dyDescent="0.25">
      <c r="A949" t="str">
        <f>"20190312172347446"</f>
        <v>20190312172347446</v>
      </c>
      <c r="B949" t="str">
        <f>"1552382627440669"</f>
        <v>1552382627440669</v>
      </c>
      <c r="C949" t="s">
        <v>40</v>
      </c>
      <c r="D949">
        <v>3.8548650000000002</v>
      </c>
      <c r="E949">
        <v>0.55027389999999998</v>
      </c>
      <c r="F949" t="s">
        <v>43</v>
      </c>
      <c r="G949">
        <v>-234.98410000000001</v>
      </c>
      <c r="H949" s="1">
        <v>-2.8721009999999998E-6</v>
      </c>
      <c r="I949">
        <v>365.45600000000002</v>
      </c>
      <c r="J949">
        <v>-250.90289999999999</v>
      </c>
      <c r="K949">
        <v>1.110298</v>
      </c>
      <c r="L949">
        <v>367.62419999999997</v>
      </c>
      <c r="M949">
        <v>0.99986509999999995</v>
      </c>
      <c r="N949">
        <v>0</v>
      </c>
      <c r="O949">
        <v>7.522534E-3</v>
      </c>
      <c r="P949">
        <v>0.98875829999999998</v>
      </c>
      <c r="Q949">
        <v>0.14951349999999999</v>
      </c>
      <c r="R949">
        <v>-1.6770050000000001E-3</v>
      </c>
      <c r="S949">
        <v>3.065445</v>
      </c>
      <c r="T949">
        <v>-0.2113614</v>
      </c>
      <c r="U949">
        <v>-0.4124756</v>
      </c>
      <c r="V949">
        <v>9.1157979999999996E-3</v>
      </c>
      <c r="W949">
        <v>0.1639398</v>
      </c>
      <c r="X949">
        <v>0.98642819999999998</v>
      </c>
      <c r="Y949">
        <v>0.1404619</v>
      </c>
      <c r="Z949">
        <v>-5.3308990000000001E-3</v>
      </c>
      <c r="AA949">
        <v>0.9900717</v>
      </c>
      <c r="AB949">
        <v>37</v>
      </c>
      <c r="AC949">
        <v>15.9187999999999</v>
      </c>
      <c r="AD949">
        <v>-1.1103008721009999</v>
      </c>
      <c r="AE949">
        <v>-2.1682000000000099</v>
      </c>
      <c r="AF949">
        <v>2.2770257088845902</v>
      </c>
      <c r="AG949">
        <v>-1.1103008721009999</v>
      </c>
      <c r="AH949">
        <v>15.8264479393202</v>
      </c>
      <c r="AI949">
        <v>93.972228583267594</v>
      </c>
      <c r="AJ949">
        <v>81.812769187368502</v>
      </c>
      <c r="AK949">
        <v>16.027915288069199</v>
      </c>
      <c r="AL949">
        <v>80.564348919452797</v>
      </c>
      <c r="AM949">
        <v>89.470532285077596</v>
      </c>
      <c r="AN949">
        <v>0.99999997477622804</v>
      </c>
    </row>
    <row r="950" spans="1:40" x14ac:dyDescent="0.25">
      <c r="A950" t="str">
        <f>"20190312172347467"</f>
        <v>20190312172347467</v>
      </c>
      <c r="B950" t="str">
        <f>"1552382627461165"</f>
        <v>1552382627461165</v>
      </c>
      <c r="C950" t="s">
        <v>40</v>
      </c>
      <c r="D950">
        <v>3.9987140000000001</v>
      </c>
      <c r="E950">
        <v>0.52574560000000004</v>
      </c>
      <c r="F950" t="s">
        <v>43</v>
      </c>
      <c r="G950">
        <v>-234.81530000000001</v>
      </c>
      <c r="H950" s="1">
        <v>-2.9439249999999999E-6</v>
      </c>
      <c r="I950">
        <v>365.45940000000002</v>
      </c>
      <c r="J950">
        <v>-250.5522</v>
      </c>
      <c r="K950">
        <v>1.110306</v>
      </c>
      <c r="L950">
        <v>367.6268</v>
      </c>
      <c r="M950">
        <v>0.99986459999999999</v>
      </c>
      <c r="N950">
        <v>0</v>
      </c>
      <c r="O950">
        <v>7.5362700000000003E-3</v>
      </c>
      <c r="P950">
        <v>0.98877570000000004</v>
      </c>
      <c r="Q950">
        <v>0.14939959999999999</v>
      </c>
      <c r="R950">
        <v>-1.6378390000000001E-3</v>
      </c>
      <c r="S950">
        <v>3.0654140000000001</v>
      </c>
      <c r="T950">
        <v>-0.21156159999999999</v>
      </c>
      <c r="U950">
        <v>-0.4124756</v>
      </c>
      <c r="V950">
        <v>9.0904469999999998E-3</v>
      </c>
      <c r="W950">
        <v>0.16385420000000001</v>
      </c>
      <c r="X950">
        <v>0.98644270000000001</v>
      </c>
      <c r="Y950">
        <v>0.14047609999999999</v>
      </c>
      <c r="Z950">
        <v>-5.3374190000000004E-3</v>
      </c>
      <c r="AA950">
        <v>0.99006970000000005</v>
      </c>
      <c r="AB950">
        <v>37</v>
      </c>
      <c r="AC950">
        <v>15.736899999999901</v>
      </c>
      <c r="AD950">
        <v>-1.110308943925</v>
      </c>
      <c r="AE950">
        <v>-2.1673999999999798</v>
      </c>
      <c r="AF950">
        <v>2.27483547368012</v>
      </c>
      <c r="AG950">
        <v>-1.110308943925</v>
      </c>
      <c r="AH950">
        <v>15.643693506801499</v>
      </c>
      <c r="AI950">
        <v>94.017637072824996</v>
      </c>
      <c r="AJ950">
        <v>81.726298115806799</v>
      </c>
      <c r="AK950">
        <v>15.847170375749</v>
      </c>
      <c r="AL950">
        <v>80.569321077822096</v>
      </c>
      <c r="AM950">
        <v>89.4720124100417</v>
      </c>
      <c r="AN950">
        <v>1.00000001773379</v>
      </c>
    </row>
    <row r="951" spans="1:40" x14ac:dyDescent="0.25">
      <c r="A951" t="str">
        <f>"20190312172347481"</f>
        <v>20190312172347481</v>
      </c>
      <c r="B951" t="str">
        <f>"1552382627470925"</f>
        <v>1552382627470925</v>
      </c>
      <c r="C951" t="s">
        <v>40</v>
      </c>
      <c r="D951">
        <v>3.8474119999999998</v>
      </c>
      <c r="E951">
        <v>0.52265159999999999</v>
      </c>
      <c r="F951" t="s">
        <v>41</v>
      </c>
      <c r="G951">
        <v>-249.5771</v>
      </c>
      <c r="H951">
        <v>1.0482479999999901</v>
      </c>
      <c r="I951">
        <v>367.5575</v>
      </c>
      <c r="J951">
        <v>-250.30719999999999</v>
      </c>
      <c r="K951">
        <v>1.1103080000000001</v>
      </c>
      <c r="L951">
        <v>367.62869999999998</v>
      </c>
      <c r="M951">
        <v>0.99986419999999998</v>
      </c>
      <c r="N951">
        <v>0</v>
      </c>
      <c r="O951">
        <v>7.5462109999999997E-3</v>
      </c>
      <c r="P951">
        <v>0.98878679999999997</v>
      </c>
      <c r="Q951">
        <v>0.1493264</v>
      </c>
      <c r="R951">
        <v>-1.5624580000000001E-3</v>
      </c>
      <c r="S951">
        <v>3.0632169999999999</v>
      </c>
      <c r="T951">
        <v>-0.1951852</v>
      </c>
      <c r="U951">
        <v>-0.21670529999999999</v>
      </c>
      <c r="V951">
        <v>9.025089E-3</v>
      </c>
      <c r="W951">
        <v>0.1637982</v>
      </c>
      <c r="X951">
        <v>0.98645260000000001</v>
      </c>
      <c r="Y951">
        <v>7.7921699999999997E-2</v>
      </c>
      <c r="Z951">
        <v>-2.9567790000000001E-3</v>
      </c>
      <c r="AA951">
        <v>0.99695509999999998</v>
      </c>
      <c r="AB951">
        <v>37</v>
      </c>
      <c r="AC951">
        <v>0.73009999999999298</v>
      </c>
      <c r="AD951">
        <v>-6.2060000000000198E-2</v>
      </c>
      <c r="AE951">
        <v>-7.1199999999976102E-2</v>
      </c>
      <c r="AF951">
        <v>7.6162932769762298E-2</v>
      </c>
      <c r="AG951">
        <v>-6.2060000000000198E-2</v>
      </c>
      <c r="AH951">
        <v>0.72435742964399397</v>
      </c>
      <c r="AI951">
        <v>94.870193921870793</v>
      </c>
      <c r="AJ951">
        <v>83.997660870862404</v>
      </c>
      <c r="AK951">
        <v>0.73098968652679697</v>
      </c>
      <c r="AL951">
        <v>80.572573581218606</v>
      </c>
      <c r="AM951">
        <v>89.475813554300601</v>
      </c>
      <c r="AN951">
        <v>1.00000001730072</v>
      </c>
    </row>
    <row r="952" spans="1:40" x14ac:dyDescent="0.25">
      <c r="A952" t="str">
        <f>"20190312172347499"</f>
        <v>20190312172347499</v>
      </c>
      <c r="B952" t="str">
        <f>"1552382627490445"</f>
        <v>1552382627490445</v>
      </c>
      <c r="C952" t="s">
        <v>40</v>
      </c>
      <c r="D952">
        <v>3.8238289999999999</v>
      </c>
      <c r="E952">
        <v>0.52013019999999999</v>
      </c>
      <c r="F952" t="s">
        <v>41</v>
      </c>
      <c r="G952">
        <v>-249.24850000000001</v>
      </c>
      <c r="H952">
        <v>1.046386</v>
      </c>
      <c r="I952">
        <v>367.56209999999999</v>
      </c>
      <c r="J952">
        <v>-250.0129</v>
      </c>
      <c r="K952">
        <v>1.1103099999999999</v>
      </c>
      <c r="L952">
        <v>367.6309</v>
      </c>
      <c r="M952">
        <v>0.99986390000000003</v>
      </c>
      <c r="N952">
        <v>0</v>
      </c>
      <c r="O952">
        <v>7.5579949999999996E-3</v>
      </c>
      <c r="P952">
        <v>0.98878339999999998</v>
      </c>
      <c r="Q952">
        <v>0.149347799999999</v>
      </c>
      <c r="R952">
        <v>-1.6765679999999901E-3</v>
      </c>
      <c r="S952">
        <v>3.061661</v>
      </c>
      <c r="T952">
        <v>-0.1850475</v>
      </c>
      <c r="U952">
        <v>-0.1918945</v>
      </c>
      <c r="V952">
        <v>9.1508900000000001E-3</v>
      </c>
      <c r="W952">
        <v>0.1638377</v>
      </c>
      <c r="X952">
        <v>0.98644480000000001</v>
      </c>
      <c r="Y952">
        <v>6.9955180000000006E-2</v>
      </c>
      <c r="Z952">
        <v>-2.5660790000000002E-3</v>
      </c>
      <c r="AA952">
        <v>0.99754690000000001</v>
      </c>
      <c r="AB952">
        <v>37</v>
      </c>
      <c r="AC952">
        <v>0.76439999999999397</v>
      </c>
      <c r="AD952">
        <v>-6.3923999999999995E-2</v>
      </c>
      <c r="AE952">
        <v>-6.8800000000010103E-2</v>
      </c>
      <c r="AF952">
        <v>7.4062204909159199E-2</v>
      </c>
      <c r="AG952">
        <v>-6.3923999999999995E-2</v>
      </c>
      <c r="AH952">
        <v>0.75859560772707602</v>
      </c>
      <c r="AI952">
        <v>94.794034005681297</v>
      </c>
      <c r="AJ952">
        <v>84.423846119012794</v>
      </c>
      <c r="AK952">
        <v>0.76487828053541795</v>
      </c>
      <c r="AL952">
        <v>80.570278641707802</v>
      </c>
      <c r="AM952">
        <v>89.468503116813693</v>
      </c>
      <c r="AN952">
        <v>0.99999993708805901</v>
      </c>
    </row>
    <row r="953" spans="1:40" x14ac:dyDescent="0.25">
      <c r="A953" t="str">
        <f>"20190312172347511"</f>
        <v>20190312172347511</v>
      </c>
      <c r="B953" t="str">
        <f>"1552382627501181"</f>
        <v>1552382627501181</v>
      </c>
      <c r="C953" t="s">
        <v>40</v>
      </c>
      <c r="D953">
        <v>3.838015</v>
      </c>
      <c r="E953">
        <v>0.51944399999999902</v>
      </c>
      <c r="F953" t="s">
        <v>43</v>
      </c>
      <c r="G953">
        <v>-230.38149999999999</v>
      </c>
      <c r="H953" s="1">
        <v>-4.6566079999999998E-6</v>
      </c>
      <c r="I953">
        <v>366.52710000000002</v>
      </c>
      <c r="J953">
        <v>-249.8158</v>
      </c>
      <c r="K953">
        <v>1.1103099999999999</v>
      </c>
      <c r="L953">
        <v>367.63240000000002</v>
      </c>
      <c r="M953">
        <v>0.99986359999999996</v>
      </c>
      <c r="N953">
        <v>0</v>
      </c>
      <c r="O953">
        <v>7.56596E-3</v>
      </c>
      <c r="P953">
        <v>0.98876819999999999</v>
      </c>
      <c r="Q953">
        <v>0.1494463</v>
      </c>
      <c r="R953">
        <v>-1.779224E-3</v>
      </c>
      <c r="S953">
        <v>3.0598909999999999</v>
      </c>
      <c r="T953">
        <v>-0.17306099999999999</v>
      </c>
      <c r="U953">
        <v>-0.1720276</v>
      </c>
      <c r="V953">
        <v>9.2614110000000006E-3</v>
      </c>
      <c r="W953">
        <v>0.16394639999999999</v>
      </c>
      <c r="X953">
        <v>0.98642580000000002</v>
      </c>
      <c r="Y953">
        <v>6.3571429999999998E-2</v>
      </c>
      <c r="Z953">
        <v>-2.222187E-3</v>
      </c>
      <c r="AA953">
        <v>0.99797480000000005</v>
      </c>
      <c r="AB953">
        <v>37</v>
      </c>
      <c r="AC953">
        <v>19.4343</v>
      </c>
      <c r="AD953">
        <v>-1.110314656608</v>
      </c>
      <c r="AE953">
        <v>-1.10529999999999</v>
      </c>
      <c r="AF953">
        <v>1.2482621118620401</v>
      </c>
      <c r="AG953">
        <v>-1.110314656608</v>
      </c>
      <c r="AH953">
        <v>19.362384403253198</v>
      </c>
      <c r="AI953">
        <v>93.275185054436804</v>
      </c>
      <c r="AJ953">
        <v>86.311336859967795</v>
      </c>
      <c r="AK953">
        <v>19.434322388906001</v>
      </c>
      <c r="AL953">
        <v>80.563966081327095</v>
      </c>
      <c r="AM953">
        <v>89.462073912318104</v>
      </c>
      <c r="AN953">
        <v>1.00000002735615</v>
      </c>
    </row>
    <row r="954" spans="1:40" x14ac:dyDescent="0.25">
      <c r="A954" t="str">
        <f>"20190312172347523"</f>
        <v>20190312172347523</v>
      </c>
      <c r="B954" t="str">
        <f>"1552382627520701"</f>
        <v>1552382627520701</v>
      </c>
      <c r="C954" t="s">
        <v>40</v>
      </c>
      <c r="D954">
        <v>3.8461530000000002</v>
      </c>
      <c r="E954">
        <v>0.51852229999999999</v>
      </c>
      <c r="F954" t="s">
        <v>43</v>
      </c>
      <c r="G954">
        <v>-229.8083</v>
      </c>
      <c r="H954" s="1">
        <v>-8.6969149999999999E-7</v>
      </c>
      <c r="I954">
        <v>366.54059999999998</v>
      </c>
      <c r="J954">
        <v>-249.61429999999999</v>
      </c>
      <c r="K954">
        <v>1.110312</v>
      </c>
      <c r="L954">
        <v>367.63389999999998</v>
      </c>
      <c r="M954">
        <v>0.99986359999999996</v>
      </c>
      <c r="N954">
        <v>0</v>
      </c>
      <c r="O954">
        <v>7.5737490000000003E-3</v>
      </c>
      <c r="P954">
        <v>0.98877320000000002</v>
      </c>
      <c r="Q954">
        <v>0.149412299999999</v>
      </c>
      <c r="R954">
        <v>-1.914907E-3</v>
      </c>
      <c r="S954">
        <v>3.0594480000000002</v>
      </c>
      <c r="T954">
        <v>-0.16978219999999999</v>
      </c>
      <c r="U954">
        <v>-0.1669312</v>
      </c>
      <c r="V954">
        <v>9.4047379999999993E-3</v>
      </c>
      <c r="W954">
        <v>0.16392290000000001</v>
      </c>
      <c r="X954">
        <v>0.98642830000000004</v>
      </c>
      <c r="Y954">
        <v>6.1936579999999998E-2</v>
      </c>
      <c r="Z954">
        <v>-2.1357009999999998E-3</v>
      </c>
      <c r="AA954">
        <v>0.99807780000000001</v>
      </c>
      <c r="AB954">
        <v>37</v>
      </c>
      <c r="AC954">
        <v>19.805999999999901</v>
      </c>
      <c r="AD954">
        <v>-1.1103128696914999</v>
      </c>
      <c r="AE954">
        <v>-1.0932999999999899</v>
      </c>
      <c r="AF954">
        <v>1.2394072670396199</v>
      </c>
      <c r="AG954">
        <v>-1.1103128696914999</v>
      </c>
      <c r="AH954">
        <v>19.735317590853299</v>
      </c>
      <c r="AI954">
        <v>93.213759310727298</v>
      </c>
      <c r="AJ954">
        <v>86.406459299189095</v>
      </c>
      <c r="AK954">
        <v>19.805344870868499</v>
      </c>
      <c r="AL954">
        <v>80.5653305339779</v>
      </c>
      <c r="AM954">
        <v>89.453751003935295</v>
      </c>
      <c r="AN954">
        <v>0.99999997864107404</v>
      </c>
    </row>
    <row r="955" spans="1:40" x14ac:dyDescent="0.25">
      <c r="A955" t="str">
        <f>"20190312172347534"</f>
        <v>20190312172347534</v>
      </c>
      <c r="B955" t="str">
        <f>"1552382627530461"</f>
        <v>1552382627530461</v>
      </c>
      <c r="C955" t="s">
        <v>40</v>
      </c>
      <c r="D955">
        <v>3.824414</v>
      </c>
      <c r="E955">
        <v>0.51827190000000001</v>
      </c>
      <c r="F955" t="s">
        <v>43</v>
      </c>
      <c r="G955">
        <v>-229.28270000000001</v>
      </c>
      <c r="H955" s="1">
        <v>-1.0402630000000001E-6</v>
      </c>
      <c r="I955">
        <v>366.5718</v>
      </c>
      <c r="J955">
        <v>-249.42769999999999</v>
      </c>
      <c r="K955">
        <v>1.110312</v>
      </c>
      <c r="L955">
        <v>367.63529999999997</v>
      </c>
      <c r="M955">
        <v>0.99986319999999995</v>
      </c>
      <c r="N955">
        <v>0</v>
      </c>
      <c r="O955">
        <v>7.5810779999999998E-3</v>
      </c>
      <c r="P955">
        <v>0.98875449999999998</v>
      </c>
      <c r="Q955">
        <v>0.14953420000000001</v>
      </c>
      <c r="R955">
        <v>-2.0254269999999998E-3</v>
      </c>
      <c r="S955">
        <v>3.0590060000000001</v>
      </c>
      <c r="T955">
        <v>-0.16705239999999999</v>
      </c>
      <c r="U955">
        <v>-0.15978999999999999</v>
      </c>
      <c r="V955">
        <v>9.5222829999999994E-3</v>
      </c>
      <c r="W955">
        <v>0.16405320000000001</v>
      </c>
      <c r="X955">
        <v>0.98640559999999999</v>
      </c>
      <c r="Y955">
        <v>5.9635010000000002E-2</v>
      </c>
      <c r="Z955">
        <v>-2.0394929999999999E-3</v>
      </c>
      <c r="AA955">
        <v>0.99821819999999895</v>
      </c>
      <c r="AB955">
        <v>37</v>
      </c>
      <c r="AC955">
        <v>20.1449999999999</v>
      </c>
      <c r="AD955">
        <v>-1.1103130402629999</v>
      </c>
      <c r="AE955">
        <v>-1.0634999999999699</v>
      </c>
      <c r="AF955">
        <v>1.21253357974122</v>
      </c>
      <c r="AG955">
        <v>-1.1103130402629999</v>
      </c>
      <c r="AH955">
        <v>20.075542036198598</v>
      </c>
      <c r="AI955">
        <v>93.159871803727597</v>
      </c>
      <c r="AJ955">
        <v>86.543617001266398</v>
      </c>
      <c r="AK955">
        <v>20.142751072694999</v>
      </c>
      <c r="AL955">
        <v>80.557763281348798</v>
      </c>
      <c r="AM955">
        <v>89.446911412133801</v>
      </c>
      <c r="AN955">
        <v>1.0000000670075599</v>
      </c>
    </row>
    <row r="956" spans="1:40" x14ac:dyDescent="0.25">
      <c r="A956" t="str">
        <f>"20190312172347547"</f>
        <v>20190312172347547</v>
      </c>
      <c r="B956" t="str">
        <f>"1552382627541198"</f>
        <v>1552382627541198</v>
      </c>
      <c r="C956" t="s">
        <v>40</v>
      </c>
      <c r="D956">
        <v>3.8515060000000001</v>
      </c>
      <c r="E956">
        <v>0.51800270000000004</v>
      </c>
      <c r="F956" t="s">
        <v>43</v>
      </c>
      <c r="G956">
        <v>-228.9469</v>
      </c>
      <c r="H956" s="1">
        <v>-1.1536310000000001E-6</v>
      </c>
      <c r="I956">
        <v>366.5752</v>
      </c>
      <c r="J956">
        <v>-249.23990000000001</v>
      </c>
      <c r="K956">
        <v>1.1103130000000001</v>
      </c>
      <c r="L956">
        <v>367.63670000000002</v>
      </c>
      <c r="M956">
        <v>0.99986319999999995</v>
      </c>
      <c r="N956">
        <v>0</v>
      </c>
      <c r="O956">
        <v>7.5881119999999897E-3</v>
      </c>
      <c r="P956">
        <v>0.98875760000000001</v>
      </c>
      <c r="Q956">
        <v>0.1495126</v>
      </c>
      <c r="R956">
        <v>-2.1922299999999999E-3</v>
      </c>
      <c r="S956">
        <v>3.0588679999999999</v>
      </c>
      <c r="T956">
        <v>-0.16582810000000001</v>
      </c>
      <c r="U956">
        <v>-0.1583252</v>
      </c>
      <c r="V956">
        <v>9.6961589999999993E-3</v>
      </c>
      <c r="W956">
        <v>0.1640395</v>
      </c>
      <c r="X956">
        <v>0.98640609999999995</v>
      </c>
      <c r="Y956">
        <v>5.9169720000000002E-2</v>
      </c>
      <c r="Z956">
        <v>-2.0124689999999998E-3</v>
      </c>
      <c r="AA956">
        <v>0.99824590000000002</v>
      </c>
      <c r="AB956">
        <v>37</v>
      </c>
      <c r="AC956">
        <v>20.292999999999999</v>
      </c>
      <c r="AD956">
        <v>-1.1103141536309999</v>
      </c>
      <c r="AE956">
        <v>-1.0615000000000201</v>
      </c>
      <c r="AF956">
        <v>1.21185367133849</v>
      </c>
      <c r="AG956">
        <v>-1.1103141536309999</v>
      </c>
      <c r="AH956">
        <v>20.2239819159646</v>
      </c>
      <c r="AI956">
        <v>93.136818113636394</v>
      </c>
      <c r="AJ956">
        <v>86.570844640846602</v>
      </c>
      <c r="AK956">
        <v>20.290658722125102</v>
      </c>
      <c r="AL956">
        <v>80.558558218746995</v>
      </c>
      <c r="AM956">
        <v>89.436812996207195</v>
      </c>
      <c r="AN956">
        <v>0.99999998358840603</v>
      </c>
    </row>
    <row r="957" spans="1:40" x14ac:dyDescent="0.25">
      <c r="A957" t="str">
        <f>"20190312172347566"</f>
        <v>20190312172347566</v>
      </c>
      <c r="B957" t="str">
        <f>"1552382627560720"</f>
        <v>1552382627560720</v>
      </c>
      <c r="C957" t="s">
        <v>40</v>
      </c>
      <c r="D957">
        <v>3.843035</v>
      </c>
      <c r="E957">
        <v>0.517567</v>
      </c>
      <c r="F957" t="s">
        <v>43</v>
      </c>
      <c r="G957">
        <v>-228.59039999999999</v>
      </c>
      <c r="H957" s="1">
        <v>-1.2735110000000001E-6</v>
      </c>
      <c r="I957">
        <v>366.58049999999997</v>
      </c>
      <c r="J957">
        <v>-248.90620000000001</v>
      </c>
      <c r="K957">
        <v>1.1103209999999999</v>
      </c>
      <c r="L957">
        <v>367.63929999999999</v>
      </c>
      <c r="M957">
        <v>0.9998629</v>
      </c>
      <c r="N957">
        <v>0</v>
      </c>
      <c r="O957">
        <v>7.6014289999999998E-3</v>
      </c>
      <c r="P957">
        <v>0.98879459999999997</v>
      </c>
      <c r="Q957">
        <v>0.1492658</v>
      </c>
      <c r="R957">
        <v>-2.3171569999999998E-3</v>
      </c>
      <c r="S957">
        <v>3.058624</v>
      </c>
      <c r="T957">
        <v>-0.16446069999999999</v>
      </c>
      <c r="U957">
        <v>-0.15643309999999999</v>
      </c>
      <c r="V957">
        <v>9.8344279999999992E-3</v>
      </c>
      <c r="W957">
        <v>0.16380529999999999</v>
      </c>
      <c r="X957">
        <v>0.98644370000000003</v>
      </c>
      <c r="Y957">
        <v>5.8573670000000001E-2</v>
      </c>
      <c r="Z957">
        <v>-1.9808009999999999E-3</v>
      </c>
      <c r="AA957">
        <v>0.99828110000000003</v>
      </c>
      <c r="AB957">
        <v>37</v>
      </c>
      <c r="AC957">
        <v>20.315799999999999</v>
      </c>
      <c r="AD957">
        <v>-1.1103222735110001</v>
      </c>
      <c r="AE957">
        <v>-1.05880000000001</v>
      </c>
      <c r="AF957">
        <v>1.20961194418997</v>
      </c>
      <c r="AG957">
        <v>-1.1103222735110001</v>
      </c>
      <c r="AH957">
        <v>20.246850830066499</v>
      </c>
      <c r="AI957">
        <v>93.133338254709898</v>
      </c>
      <c r="AJ957">
        <v>86.581029834139201</v>
      </c>
      <c r="AK957">
        <v>20.313319402341602</v>
      </c>
      <c r="AL957">
        <v>80.572161358655904</v>
      </c>
      <c r="AM957">
        <v>89.428804146483003</v>
      </c>
      <c r="AN957">
        <v>1.00000003277593</v>
      </c>
    </row>
    <row r="958" spans="1:40" x14ac:dyDescent="0.25">
      <c r="A958" t="str">
        <f>"20190312172347578"</f>
        <v>20190312172347578</v>
      </c>
      <c r="B958" t="str">
        <f>"1552382627570479"</f>
        <v>1552382627570479</v>
      </c>
      <c r="C958" t="s">
        <v>40</v>
      </c>
      <c r="D958">
        <v>3.8263660000000002</v>
      </c>
      <c r="E958">
        <v>0.51736090000000001</v>
      </c>
      <c r="F958" t="s">
        <v>43</v>
      </c>
      <c r="G958">
        <v>-228.3622</v>
      </c>
      <c r="H958" s="1">
        <v>-1.3439439999999999E-6</v>
      </c>
      <c r="I958">
        <v>366.6078</v>
      </c>
      <c r="J958">
        <v>-248.70750000000001</v>
      </c>
      <c r="K958">
        <v>1.1103240000000001</v>
      </c>
      <c r="L958">
        <v>367.64080000000001</v>
      </c>
      <c r="M958">
        <v>0.99986260000000005</v>
      </c>
      <c r="N958">
        <v>0</v>
      </c>
      <c r="O958">
        <v>7.6094259999999999E-3</v>
      </c>
      <c r="P958">
        <v>0.98881269999999999</v>
      </c>
      <c r="Q958">
        <v>0.14914359999999999</v>
      </c>
      <c r="R958">
        <v>-2.338236E-3</v>
      </c>
      <c r="S958">
        <v>3.0585939999999998</v>
      </c>
      <c r="T958">
        <v>-0.16530439999999999</v>
      </c>
      <c r="U958">
        <v>-0.15356449999999999</v>
      </c>
      <c r="V958">
        <v>9.8638119999999996E-3</v>
      </c>
      <c r="W958">
        <v>0.16369</v>
      </c>
      <c r="X958">
        <v>0.98646250000000002</v>
      </c>
      <c r="Y958">
        <v>5.764859E-2</v>
      </c>
      <c r="Z958">
        <v>-1.9664819999999999E-3</v>
      </c>
      <c r="AA958">
        <v>0.99833499999999997</v>
      </c>
      <c r="AB958">
        <v>37</v>
      </c>
      <c r="AC958">
        <v>20.345300000000002</v>
      </c>
      <c r="AD958">
        <v>-1.110325343944</v>
      </c>
      <c r="AE958">
        <v>-1.0330000000000099</v>
      </c>
      <c r="AF958">
        <v>1.1842848142090501</v>
      </c>
      <c r="AG958">
        <v>-1.110325343944</v>
      </c>
      <c r="AH958">
        <v>20.2766143473748</v>
      </c>
      <c r="AI958">
        <v>93.129002426441104</v>
      </c>
      <c r="AJ958">
        <v>86.6573551023546</v>
      </c>
      <c r="AK958">
        <v>20.341495576351701</v>
      </c>
      <c r="AL958">
        <v>80.578857519260396</v>
      </c>
      <c r="AM958">
        <v>89.427108518314498</v>
      </c>
      <c r="AN958">
        <v>0.99999998739671003</v>
      </c>
    </row>
    <row r="959" spans="1:40" x14ac:dyDescent="0.25">
      <c r="A959" t="str">
        <f>"20190312172347590"</f>
        <v>20190312172347590</v>
      </c>
      <c r="B959" t="str">
        <f>"1552382627581213"</f>
        <v>1552382627581213</v>
      </c>
      <c r="C959" t="s">
        <v>40</v>
      </c>
      <c r="D959">
        <v>3.817653</v>
      </c>
      <c r="E959">
        <v>0.51720200000000005</v>
      </c>
      <c r="F959" t="s">
        <v>43</v>
      </c>
      <c r="G959">
        <v>-228.12119999999999</v>
      </c>
      <c r="H959" s="1">
        <v>-1.423248E-6</v>
      </c>
      <c r="I959">
        <v>366.61799999999999</v>
      </c>
      <c r="J959">
        <v>-248.51140000000001</v>
      </c>
      <c r="K959">
        <v>1.1103240000000001</v>
      </c>
      <c r="L959">
        <v>367.64229999999998</v>
      </c>
      <c r="M959">
        <v>0.99986260000000005</v>
      </c>
      <c r="N959">
        <v>0</v>
      </c>
      <c r="O959">
        <v>7.6171310000000001E-3</v>
      </c>
      <c r="P959">
        <v>0.9888074</v>
      </c>
      <c r="Q959">
        <v>0.14918129999999999</v>
      </c>
      <c r="R959">
        <v>-2.2593750000000001E-3</v>
      </c>
      <c r="S959">
        <v>3.0584560000000001</v>
      </c>
      <c r="T959">
        <v>-0.16495750000000001</v>
      </c>
      <c r="U959">
        <v>-0.151947</v>
      </c>
      <c r="V959">
        <v>9.7923400000000001E-3</v>
      </c>
      <c r="W959">
        <v>0.1637333</v>
      </c>
      <c r="X959">
        <v>0.986456</v>
      </c>
      <c r="Y959">
        <v>5.7133000000000003E-2</v>
      </c>
      <c r="Z959">
        <v>-1.949005E-3</v>
      </c>
      <c r="AA959">
        <v>0.99836469999999999</v>
      </c>
      <c r="AB959">
        <v>37</v>
      </c>
      <c r="AC959">
        <v>20.3902</v>
      </c>
      <c r="AD959">
        <v>-1.110325423248</v>
      </c>
      <c r="AE959">
        <v>-1.0242999999999201</v>
      </c>
      <c r="AF959">
        <v>1.17612324717622</v>
      </c>
      <c r="AG959">
        <v>-1.110325423248</v>
      </c>
      <c r="AH959">
        <v>20.321698544818101</v>
      </c>
      <c r="AI959">
        <v>93.122170535776206</v>
      </c>
      <c r="AJ959">
        <v>86.687687769089194</v>
      </c>
      <c r="AK959">
        <v>20.3859638031789</v>
      </c>
      <c r="AL959">
        <v>80.576342437960804</v>
      </c>
      <c r="AM959">
        <v>89.431255600358298</v>
      </c>
      <c r="AN959">
        <v>0.99999996169378202</v>
      </c>
    </row>
    <row r="960" spans="1:40" x14ac:dyDescent="0.25">
      <c r="A960" t="str">
        <f>"20190312172347601"</f>
        <v>20190312172347601</v>
      </c>
      <c r="B960" t="str">
        <f>"1552382627590973"</f>
        <v>1552382627590973</v>
      </c>
      <c r="C960" t="s">
        <v>40</v>
      </c>
      <c r="D960">
        <v>3.8510960000000001</v>
      </c>
      <c r="E960">
        <v>0.51703940000000004</v>
      </c>
      <c r="F960" t="s">
        <v>43</v>
      </c>
      <c r="G960">
        <v>-227.8629</v>
      </c>
      <c r="H960" s="1">
        <v>-1.5089319999999999E-6</v>
      </c>
      <c r="I960">
        <v>366.62630000000001</v>
      </c>
      <c r="J960">
        <v>-248.3237</v>
      </c>
      <c r="K960">
        <v>1.1103270000000001</v>
      </c>
      <c r="L960">
        <v>367.64370000000002</v>
      </c>
      <c r="M960">
        <v>0.99986240000000004</v>
      </c>
      <c r="N960">
        <v>0</v>
      </c>
      <c r="O960">
        <v>7.6246609999999996E-3</v>
      </c>
      <c r="P960">
        <v>0.98880449999999998</v>
      </c>
      <c r="Q960">
        <v>0.1491973</v>
      </c>
      <c r="R960">
        <v>-2.4421450000000002E-3</v>
      </c>
      <c r="S960">
        <v>3.0584259999999999</v>
      </c>
      <c r="T960">
        <v>-0.1644592</v>
      </c>
      <c r="U960">
        <v>-0.15048220000000001</v>
      </c>
      <c r="V960">
        <v>9.9825739999999993E-3</v>
      </c>
      <c r="W960">
        <v>0.16375399999999901</v>
      </c>
      <c r="X960">
        <v>0.98645070000000001</v>
      </c>
      <c r="Y960">
        <v>5.6665229999999997E-2</v>
      </c>
      <c r="Z960">
        <v>-1.931012E-3</v>
      </c>
      <c r="AA960">
        <v>0.99839140000000004</v>
      </c>
      <c r="AB960">
        <v>37</v>
      </c>
      <c r="AC960">
        <v>20.460799999999999</v>
      </c>
      <c r="AD960">
        <v>-1.1103285089319901</v>
      </c>
      <c r="AE960">
        <v>-1.0174000000000001</v>
      </c>
      <c r="AF960">
        <v>1.16995720850315</v>
      </c>
      <c r="AG960">
        <v>-1.1103285089319901</v>
      </c>
      <c r="AH960">
        <v>20.392542824073601</v>
      </c>
      <c r="AI960">
        <v>93.111443786874801</v>
      </c>
      <c r="AJ960">
        <v>86.716436584743505</v>
      </c>
      <c r="AK960">
        <v>20.4562321090457</v>
      </c>
      <c r="AL960">
        <v>80.5751405899818</v>
      </c>
      <c r="AM960">
        <v>89.420204338997294</v>
      </c>
      <c r="AN960">
        <v>1.00000000391507</v>
      </c>
    </row>
    <row r="961" spans="1:40" x14ac:dyDescent="0.25">
      <c r="A961" t="str">
        <f>"20190312172347614"</f>
        <v>20190312172347614</v>
      </c>
      <c r="B961" t="str">
        <f>"1552382627610493"</f>
        <v>1552382627610493</v>
      </c>
      <c r="C961" t="s">
        <v>40</v>
      </c>
      <c r="D961">
        <v>4.0162579999999997</v>
      </c>
      <c r="E961">
        <v>0.51684110000000005</v>
      </c>
      <c r="F961" t="s">
        <v>43</v>
      </c>
      <c r="G961">
        <v>-227.6729</v>
      </c>
      <c r="H961" s="1">
        <v>-1.5714980000000001E-6</v>
      </c>
      <c r="I961">
        <v>366.63420000000002</v>
      </c>
      <c r="J961">
        <v>-248.12430000000001</v>
      </c>
      <c r="K961">
        <v>1.1103259999999999</v>
      </c>
      <c r="L961">
        <v>367.64519999999999</v>
      </c>
      <c r="M961">
        <v>0.99986229999999998</v>
      </c>
      <c r="N961">
        <v>0</v>
      </c>
      <c r="O961">
        <v>7.6326719999999897E-3</v>
      </c>
      <c r="P961">
        <v>0.98878279999999996</v>
      </c>
      <c r="Q961">
        <v>0.149344899999999</v>
      </c>
      <c r="R961">
        <v>-2.2707019999999999E-3</v>
      </c>
      <c r="S961">
        <v>3.058395</v>
      </c>
      <c r="T961">
        <v>-0.16443959999999999</v>
      </c>
      <c r="U961">
        <v>-0.14950559999999999</v>
      </c>
      <c r="V961">
        <v>9.818874E-3</v>
      </c>
      <c r="W961">
        <v>0.16390589999999999</v>
      </c>
      <c r="X961">
        <v>0.9864271</v>
      </c>
      <c r="Y961">
        <v>5.6356139999999999E-2</v>
      </c>
      <c r="Z961">
        <v>-1.9229480000000001E-3</v>
      </c>
      <c r="AA961">
        <v>0.99840890000000004</v>
      </c>
      <c r="AB961">
        <v>37</v>
      </c>
      <c r="AC961">
        <v>20.4514</v>
      </c>
      <c r="AD961">
        <v>-1.1103275714980001</v>
      </c>
      <c r="AE961">
        <v>-1.0109999999999599</v>
      </c>
      <c r="AF961">
        <v>1.16366476215617</v>
      </c>
      <c r="AG961">
        <v>-1.1103275714980001</v>
      </c>
      <c r="AH961">
        <v>20.3831534589448</v>
      </c>
      <c r="AI961">
        <v>93.112921638193896</v>
      </c>
      <c r="AJ961">
        <v>86.732557250123193</v>
      </c>
      <c r="AK961">
        <v>20.446512854900401</v>
      </c>
      <c r="AL961">
        <v>80.5663180154407</v>
      </c>
      <c r="AM961">
        <v>89.429697886021302</v>
      </c>
      <c r="AN961">
        <v>0.99999998897792297</v>
      </c>
    </row>
    <row r="962" spans="1:40" x14ac:dyDescent="0.25">
      <c r="A962" t="str">
        <f>"20190312172347626"</f>
        <v>20190312172347626</v>
      </c>
      <c r="B962" t="str">
        <f>"1552382627621231"</f>
        <v>1552382627621231</v>
      </c>
      <c r="C962" t="s">
        <v>40</v>
      </c>
      <c r="D962">
        <v>3.8304100000000001</v>
      </c>
      <c r="E962">
        <v>0.51677399999999996</v>
      </c>
      <c r="F962" t="s">
        <v>43</v>
      </c>
      <c r="G962">
        <v>-227.33519999999999</v>
      </c>
      <c r="H962" s="1">
        <v>-1.684327E-6</v>
      </c>
      <c r="I962">
        <v>366.642</v>
      </c>
      <c r="J962">
        <v>-247.9349</v>
      </c>
      <c r="K962">
        <v>1.1103270000000001</v>
      </c>
      <c r="L962">
        <v>367.64670000000001</v>
      </c>
      <c r="M962">
        <v>0.99986209999999998</v>
      </c>
      <c r="N962">
        <v>0</v>
      </c>
      <c r="O962">
        <v>7.6402110000000001E-3</v>
      </c>
      <c r="P962">
        <v>0.98879269999999997</v>
      </c>
      <c r="Q962">
        <v>0.14927770000000001</v>
      </c>
      <c r="R962">
        <v>-2.3463889999999999E-3</v>
      </c>
      <c r="S962">
        <v>3.0583800000000001</v>
      </c>
      <c r="T962">
        <v>-0.16334470000000001</v>
      </c>
      <c r="U962">
        <v>-0.14758299999999999</v>
      </c>
      <c r="V962">
        <v>9.9019889999999999E-3</v>
      </c>
      <c r="W962">
        <v>0.16384290000000001</v>
      </c>
      <c r="X962">
        <v>0.98643670000000006</v>
      </c>
      <c r="Y962">
        <v>5.5739820000000002E-2</v>
      </c>
      <c r="Z962">
        <v>-1.894167E-3</v>
      </c>
      <c r="AA962">
        <v>0.99844350000000004</v>
      </c>
      <c r="AB962">
        <v>37</v>
      </c>
      <c r="AC962">
        <v>20.599699999999999</v>
      </c>
      <c r="AD962">
        <v>-1.1103286843269999</v>
      </c>
      <c r="AE962">
        <v>-1.0047000000000099</v>
      </c>
      <c r="AF962">
        <v>1.15871548291876</v>
      </c>
      <c r="AG962">
        <v>-1.1103286843269999</v>
      </c>
      <c r="AH962">
        <v>20.5319131900293</v>
      </c>
      <c r="AI962">
        <v>93.090528832425605</v>
      </c>
      <c r="AJ962">
        <v>86.769947376788906</v>
      </c>
      <c r="AK962">
        <v>20.594535940401599</v>
      </c>
      <c r="AL962">
        <v>80.569976785123501</v>
      </c>
      <c r="AM962">
        <v>89.424876301031304</v>
      </c>
      <c r="AN962">
        <v>0.99999995418672705</v>
      </c>
    </row>
    <row r="963" spans="1:40" x14ac:dyDescent="0.25">
      <c r="A963" t="str">
        <f>"20190312172347637"</f>
        <v>20190312172347637</v>
      </c>
      <c r="B963" t="str">
        <f>"1552382627630990"</f>
        <v>1552382627630990</v>
      </c>
      <c r="C963" t="s">
        <v>40</v>
      </c>
      <c r="D963">
        <v>3.8271459999999999</v>
      </c>
      <c r="E963">
        <v>0.51670439999999995</v>
      </c>
      <c r="F963" t="s">
        <v>43</v>
      </c>
      <c r="G963">
        <v>-227.15</v>
      </c>
      <c r="H963" s="1">
        <v>-1.746464E-6</v>
      </c>
      <c r="I963">
        <v>366.64530000000002</v>
      </c>
      <c r="J963">
        <v>-247.74</v>
      </c>
      <c r="K963">
        <v>1.1103289999999999</v>
      </c>
      <c r="L963">
        <v>367.64819999999997</v>
      </c>
      <c r="M963">
        <v>0.99986189999999997</v>
      </c>
      <c r="N963">
        <v>0</v>
      </c>
      <c r="O963">
        <v>7.6482299999999998E-3</v>
      </c>
      <c r="P963">
        <v>0.98879479999999997</v>
      </c>
      <c r="Q963">
        <v>0.14926429999999999</v>
      </c>
      <c r="R963">
        <v>-2.2313290000000002E-3</v>
      </c>
      <c r="S963">
        <v>3.058319</v>
      </c>
      <c r="T963">
        <v>-0.16337489999999999</v>
      </c>
      <c r="U963">
        <v>-0.14733889999999999</v>
      </c>
      <c r="V963">
        <v>9.7950320000000004E-3</v>
      </c>
      <c r="W963">
        <v>0.16383300000000001</v>
      </c>
      <c r="X963">
        <v>0.98643950000000002</v>
      </c>
      <c r="Y963">
        <v>5.5669330000000003E-2</v>
      </c>
      <c r="Z963">
        <v>-1.893105E-3</v>
      </c>
      <c r="AA963">
        <v>0.99844750000000004</v>
      </c>
      <c r="AB963">
        <v>37</v>
      </c>
      <c r="AC963">
        <v>20.59</v>
      </c>
      <c r="AD963">
        <v>-1.110330746464</v>
      </c>
      <c r="AE963">
        <v>-1.0028999999999499</v>
      </c>
      <c r="AF963">
        <v>1.1570082611365999</v>
      </c>
      <c r="AG963">
        <v>-1.110330746464</v>
      </c>
      <c r="AH963">
        <v>20.5221894528562</v>
      </c>
      <c r="AI963">
        <v>93.092005859465104</v>
      </c>
      <c r="AJ963">
        <v>86.773171427915798</v>
      </c>
      <c r="AK963">
        <v>20.5847458673116</v>
      </c>
      <c r="AL963">
        <v>80.570552607813696</v>
      </c>
      <c r="AM963">
        <v>89.431089742540905</v>
      </c>
      <c r="AN963">
        <v>1.00000004085056</v>
      </c>
    </row>
    <row r="964" spans="1:40" x14ac:dyDescent="0.25">
      <c r="A964" t="str">
        <f>"20190312172347649"</f>
        <v>20190312172347649</v>
      </c>
      <c r="B964" t="str">
        <f>"1552382627640750"</f>
        <v>1552382627640750</v>
      </c>
      <c r="C964" t="s">
        <v>40</v>
      </c>
      <c r="D964">
        <v>3.8516180000000002</v>
      </c>
      <c r="E964">
        <v>0.51661380000000001</v>
      </c>
      <c r="F964" t="s">
        <v>43</v>
      </c>
      <c r="G964">
        <v>-226.95840000000001</v>
      </c>
      <c r="H964" s="1">
        <v>-1.812797E-6</v>
      </c>
      <c r="I964">
        <v>366.65320000000003</v>
      </c>
      <c r="J964">
        <v>-247.54759999999999</v>
      </c>
      <c r="K964">
        <v>1.110328</v>
      </c>
      <c r="L964">
        <v>367.6497</v>
      </c>
      <c r="M964">
        <v>0.99986180000000002</v>
      </c>
      <c r="N964">
        <v>0</v>
      </c>
      <c r="O964">
        <v>7.656131E-3</v>
      </c>
      <c r="P964">
        <v>0.98879300000000003</v>
      </c>
      <c r="Q964">
        <v>0.14927460000000001</v>
      </c>
      <c r="R964">
        <v>-2.3311339999999999E-3</v>
      </c>
      <c r="S964">
        <v>3.0583499999999999</v>
      </c>
      <c r="T964">
        <v>-0.1634023</v>
      </c>
      <c r="U964">
        <v>-0.14642330000000001</v>
      </c>
      <c r="V964">
        <v>9.9026970000000002E-3</v>
      </c>
      <c r="W964">
        <v>0.1638462</v>
      </c>
      <c r="X964">
        <v>0.98643619999999999</v>
      </c>
      <c r="Y964">
        <v>5.5378910000000003E-2</v>
      </c>
      <c r="Z964">
        <v>-1.88609E-3</v>
      </c>
      <c r="AA964">
        <v>0.99846360000000001</v>
      </c>
      <c r="AB964">
        <v>37</v>
      </c>
      <c r="AC964">
        <v>20.589199999999899</v>
      </c>
      <c r="AD964">
        <v>-1.110329812797</v>
      </c>
      <c r="AE964">
        <v>-0.99649999999996897</v>
      </c>
      <c r="AF964">
        <v>1.1507826753524599</v>
      </c>
      <c r="AG964">
        <v>-1.110329812797</v>
      </c>
      <c r="AH964">
        <v>20.521425219178099</v>
      </c>
      <c r="AI964">
        <v>93.092170303397793</v>
      </c>
      <c r="AJ964">
        <v>86.790378553069203</v>
      </c>
      <c r="AK964">
        <v>20.583634909446701</v>
      </c>
      <c r="AL964">
        <v>80.569785637342093</v>
      </c>
      <c r="AM964">
        <v>89.4248348904799</v>
      </c>
      <c r="AN964">
        <v>1.0000000086663701</v>
      </c>
    </row>
    <row r="965" spans="1:40" x14ac:dyDescent="0.25">
      <c r="A965" t="str">
        <f>"20190312172347662"</f>
        <v>20190312172347662</v>
      </c>
      <c r="B965" t="str">
        <f>"1552382627650510"</f>
        <v>1552382627650510</v>
      </c>
      <c r="C965" t="s">
        <v>40</v>
      </c>
      <c r="D965">
        <v>3.8282060000000002</v>
      </c>
      <c r="E965">
        <v>0.51659129999999998</v>
      </c>
      <c r="F965" t="s">
        <v>43</v>
      </c>
      <c r="G965">
        <v>-226.78299999999999</v>
      </c>
      <c r="H965" s="1">
        <v>-1.8869770000000001E-6</v>
      </c>
      <c r="I965">
        <v>366.6592</v>
      </c>
      <c r="J965">
        <v>-247.33430000000001</v>
      </c>
      <c r="K965">
        <v>1.110331</v>
      </c>
      <c r="L965">
        <v>367.65129999999999</v>
      </c>
      <c r="M965">
        <v>0.99986180000000002</v>
      </c>
      <c r="N965">
        <v>0</v>
      </c>
      <c r="O965">
        <v>7.664985E-3</v>
      </c>
      <c r="P965">
        <v>0.9887956</v>
      </c>
      <c r="Q965">
        <v>0.14926149999999999</v>
      </c>
      <c r="R965">
        <v>-2.0999149999999999E-3</v>
      </c>
      <c r="S965">
        <v>3.0583339999999999</v>
      </c>
      <c r="T965">
        <v>-0.16353500000000001</v>
      </c>
      <c r="U965">
        <v>-0.145874</v>
      </c>
      <c r="V965">
        <v>9.6803299999999991E-3</v>
      </c>
      <c r="W965">
        <v>0.16383629999999999</v>
      </c>
      <c r="X965">
        <v>0.98644010000000004</v>
      </c>
      <c r="Y965">
        <v>5.5209139999999997E-2</v>
      </c>
      <c r="Z965">
        <v>-1.883577E-3</v>
      </c>
      <c r="AA965">
        <v>0.99847300000000005</v>
      </c>
      <c r="AB965">
        <v>37</v>
      </c>
      <c r="AC965">
        <v>20.551300000000001</v>
      </c>
      <c r="AD965">
        <v>-1.1103328869769999</v>
      </c>
      <c r="AE965">
        <v>-0.99209999999999299</v>
      </c>
      <c r="AF965">
        <v>1.1462752496042901</v>
      </c>
      <c r="AG965">
        <v>-1.1103328869769999</v>
      </c>
      <c r="AH965">
        <v>20.483439602718502</v>
      </c>
      <c r="AI965">
        <v>93.097922034697802</v>
      </c>
      <c r="AJ965">
        <v>86.797007480022799</v>
      </c>
      <c r="AK965">
        <v>20.545512503366201</v>
      </c>
      <c r="AL965">
        <v>80.570361090242997</v>
      </c>
      <c r="AM965">
        <v>89.437751719748505</v>
      </c>
      <c r="AN965">
        <v>1.0000000564372999</v>
      </c>
    </row>
    <row r="966" spans="1:40" x14ac:dyDescent="0.25">
      <c r="A966" t="str">
        <f>"20190312172347678"</f>
        <v>20190312172347678</v>
      </c>
      <c r="B966" t="str">
        <f>"1552382627671005"</f>
        <v>1552382627671005</v>
      </c>
      <c r="C966" t="s">
        <v>40</v>
      </c>
      <c r="D966">
        <v>3.8595600000000001</v>
      </c>
      <c r="E966">
        <v>0.51656919999999995</v>
      </c>
      <c r="F966" t="s">
        <v>43</v>
      </c>
      <c r="G966">
        <v>-226.61580000000001</v>
      </c>
      <c r="H966" s="1">
        <v>-1.9567959999999999E-6</v>
      </c>
      <c r="I966">
        <v>366.66989999999998</v>
      </c>
      <c r="J966">
        <v>-247.06720000000001</v>
      </c>
      <c r="K966">
        <v>1.1103350000000001</v>
      </c>
      <c r="L966">
        <v>367.65339999999998</v>
      </c>
      <c r="M966">
        <v>0.99986149999999996</v>
      </c>
      <c r="N966">
        <v>0</v>
      </c>
      <c r="O966">
        <v>7.6762230000000002E-3</v>
      </c>
      <c r="P966">
        <v>0.98882499999999995</v>
      </c>
      <c r="Q966">
        <v>0.14906639999999999</v>
      </c>
      <c r="R966">
        <v>-2.0711689999999999E-3</v>
      </c>
      <c r="S966">
        <v>3.0584259999999999</v>
      </c>
      <c r="T966">
        <v>-0.16390450000000001</v>
      </c>
      <c r="U966">
        <v>-0.14486689999999999</v>
      </c>
      <c r="V966">
        <v>9.6629360000000004E-3</v>
      </c>
      <c r="W966">
        <v>0.16364489999999901</v>
      </c>
      <c r="X966">
        <v>0.98647200000000002</v>
      </c>
      <c r="Y966">
        <v>5.4890950000000001E-2</v>
      </c>
      <c r="Z966">
        <v>-1.879871E-3</v>
      </c>
      <c r="AA966">
        <v>0.99849060000000001</v>
      </c>
      <c r="AB966">
        <v>37</v>
      </c>
      <c r="AC966">
        <v>20.4514</v>
      </c>
      <c r="AD966">
        <v>-1.110336956796</v>
      </c>
      <c r="AE966">
        <v>-0.98349999999999205</v>
      </c>
      <c r="AF966">
        <v>1.1371336007188999</v>
      </c>
      <c r="AG966">
        <v>-1.110336956796</v>
      </c>
      <c r="AH966">
        <v>20.3833044212112</v>
      </c>
      <c r="AI966">
        <v>93.113152475918099</v>
      </c>
      <c r="AJ966">
        <v>86.8069214884828</v>
      </c>
      <c r="AK966">
        <v>20.445171070726701</v>
      </c>
      <c r="AL966">
        <v>80.581477153348203</v>
      </c>
      <c r="AM966">
        <v>89.438780072879396</v>
      </c>
      <c r="AN966">
        <v>1.00000001620607</v>
      </c>
    </row>
    <row r="967" spans="1:40" x14ac:dyDescent="0.25">
      <c r="A967" t="str">
        <f>"20190312172347701"</f>
        <v>20190312172347701</v>
      </c>
      <c r="B967" t="str">
        <f>"1552382627690525"</f>
        <v>1552382627690525</v>
      </c>
      <c r="C967" t="s">
        <v>40</v>
      </c>
      <c r="D967">
        <v>3.8466109999999998</v>
      </c>
      <c r="E967">
        <v>0.51656480000000005</v>
      </c>
      <c r="F967" t="s">
        <v>43</v>
      </c>
      <c r="G967">
        <v>-226.3954</v>
      </c>
      <c r="H967" s="1">
        <v>-2.0504119999999998E-6</v>
      </c>
      <c r="I967">
        <v>366.67520000000002</v>
      </c>
      <c r="J967">
        <v>-246.70410000000001</v>
      </c>
      <c r="K967">
        <v>1.1103289999999999</v>
      </c>
      <c r="L967">
        <v>367.65620000000001</v>
      </c>
      <c r="M967">
        <v>0.99986149999999996</v>
      </c>
      <c r="N967">
        <v>0</v>
      </c>
      <c r="O967">
        <v>7.6912719999999999E-3</v>
      </c>
      <c r="P967">
        <v>0.98879490000000003</v>
      </c>
      <c r="Q967">
        <v>0.1492636</v>
      </c>
      <c r="R967">
        <v>-2.3240029999999998E-3</v>
      </c>
      <c r="S967">
        <v>3.0583650000000002</v>
      </c>
      <c r="T967">
        <v>-0.16427220000000001</v>
      </c>
      <c r="U967">
        <v>-0.14471439999999999</v>
      </c>
      <c r="V967">
        <v>9.9305810000000008E-3</v>
      </c>
      <c r="W967">
        <v>0.1638443</v>
      </c>
      <c r="X967">
        <v>0.98643619999999999</v>
      </c>
      <c r="Y967">
        <v>5.4856830000000002E-2</v>
      </c>
      <c r="Z967">
        <v>-1.884014E-3</v>
      </c>
      <c r="AA967">
        <v>0.99849250000000001</v>
      </c>
      <c r="AB967">
        <v>37</v>
      </c>
      <c r="AC967">
        <v>20.308700000000002</v>
      </c>
      <c r="AD967">
        <v>-1.1103310504119901</v>
      </c>
      <c r="AE967">
        <v>-0.98099999999999399</v>
      </c>
      <c r="AF967">
        <v>1.1338065539759601</v>
      </c>
      <c r="AG967">
        <v>-1.1103310504119901</v>
      </c>
      <c r="AH967">
        <v>20.2401940476419</v>
      </c>
      <c r="AI967">
        <v>93.135063823329503</v>
      </c>
      <c r="AJ967">
        <v>86.793780340877504</v>
      </c>
      <c r="AK967">
        <v>20.302310396345199</v>
      </c>
      <c r="AL967">
        <v>80.569895659558597</v>
      </c>
      <c r="AM967">
        <v>89.423215450651199</v>
      </c>
      <c r="AN967">
        <v>0.99999997387596296</v>
      </c>
    </row>
    <row r="968" spans="1:40" x14ac:dyDescent="0.25">
      <c r="A968" t="str">
        <f>"20190312172347713"</f>
        <v>20190312172347713</v>
      </c>
      <c r="B968" t="str">
        <f>"1552382627711021"</f>
        <v>1552382627711021</v>
      </c>
      <c r="C968" t="s">
        <v>40</v>
      </c>
      <c r="D968">
        <v>3.865246</v>
      </c>
      <c r="E968">
        <v>0.51657219999999904</v>
      </c>
      <c r="F968" t="s">
        <v>43</v>
      </c>
      <c r="G968">
        <v>-226.05529999999999</v>
      </c>
      <c r="H968" s="1">
        <v>-2.1960919999999998E-6</v>
      </c>
      <c r="I968">
        <v>366.67630000000003</v>
      </c>
      <c r="J968">
        <v>-246.50030000000001</v>
      </c>
      <c r="K968">
        <v>1.11032999999999</v>
      </c>
      <c r="L968">
        <v>367.65780000000001</v>
      </c>
      <c r="M968">
        <v>0.99986140000000001</v>
      </c>
      <c r="N968">
        <v>0</v>
      </c>
      <c r="O968">
        <v>7.699488E-3</v>
      </c>
      <c r="P968">
        <v>0.98880310000000005</v>
      </c>
      <c r="Q968">
        <v>0.14921019999999999</v>
      </c>
      <c r="R968">
        <v>-2.1713430000000001E-3</v>
      </c>
      <c r="S968">
        <v>3.0585019999999998</v>
      </c>
      <c r="T968">
        <v>-0.16446229999999901</v>
      </c>
      <c r="U968">
        <v>-0.14514160000000001</v>
      </c>
      <c r="V968">
        <v>9.7862139999999997E-3</v>
      </c>
      <c r="W968">
        <v>0.1637931</v>
      </c>
      <c r="X968">
        <v>0.98644620000000005</v>
      </c>
      <c r="Y968">
        <v>5.5001660000000001E-2</v>
      </c>
      <c r="Z968">
        <v>-1.8904309999999999E-3</v>
      </c>
      <c r="AA968">
        <v>0.9984845</v>
      </c>
      <c r="AB968">
        <v>37</v>
      </c>
      <c r="AC968">
        <v>20.445</v>
      </c>
      <c r="AD968">
        <v>-1.1103321960919901</v>
      </c>
      <c r="AE968">
        <v>-0.98149999999998205</v>
      </c>
      <c r="AF968">
        <v>1.1355625743753599</v>
      </c>
      <c r="AG968">
        <v>-1.1103321960919901</v>
      </c>
      <c r="AH968">
        <v>20.376874893731198</v>
      </c>
      <c r="AI968">
        <v>93.114129790096797</v>
      </c>
      <c r="AJ968">
        <v>86.810319783368996</v>
      </c>
      <c r="AK968">
        <v>20.438673400707099</v>
      </c>
      <c r="AL968">
        <v>80.572869887639897</v>
      </c>
      <c r="AM968">
        <v>89.431605732026199</v>
      </c>
      <c r="AN968">
        <v>1.0000000275432499</v>
      </c>
    </row>
    <row r="969" spans="1:40" x14ac:dyDescent="0.25">
      <c r="A969" t="str">
        <f>"20190312172347726"</f>
        <v>20190312172347726</v>
      </c>
      <c r="B969" t="str">
        <f>"1552382627720781"</f>
        <v>1552382627720781</v>
      </c>
      <c r="C969" t="s">
        <v>40</v>
      </c>
      <c r="D969">
        <v>3.8505229999999999</v>
      </c>
      <c r="E969">
        <v>0.51655430000000002</v>
      </c>
      <c r="F969" t="s">
        <v>43</v>
      </c>
      <c r="G969">
        <v>-225.91200000000001</v>
      </c>
      <c r="H969" s="1">
        <v>-2.2564149999999999E-6</v>
      </c>
      <c r="I969">
        <v>366.68299999999999</v>
      </c>
      <c r="J969">
        <v>-246.30009999999999</v>
      </c>
      <c r="K969">
        <v>1.1103369999999999</v>
      </c>
      <c r="L969">
        <v>367.65940000000001</v>
      </c>
      <c r="M969">
        <v>0.99986129999999995</v>
      </c>
      <c r="N969">
        <v>0</v>
      </c>
      <c r="O969">
        <v>7.7075859999999998E-3</v>
      </c>
      <c r="P969">
        <v>0.98882840000000005</v>
      </c>
      <c r="Q969">
        <v>0.14903959999999999</v>
      </c>
      <c r="R969">
        <v>-2.3959609999999998E-3</v>
      </c>
      <c r="S969">
        <v>3.0585170000000002</v>
      </c>
      <c r="T969">
        <v>-0.16494600000000001</v>
      </c>
      <c r="U969">
        <v>-0.14480589999999999</v>
      </c>
      <c r="V969">
        <v>1.0018859999999999E-2</v>
      </c>
      <c r="W969">
        <v>0.16362370000000001</v>
      </c>
      <c r="X969">
        <v>0.98647200000000002</v>
      </c>
      <c r="Y969">
        <v>5.4899770000000001E-2</v>
      </c>
      <c r="Z969">
        <v>-1.8936700000000001E-3</v>
      </c>
      <c r="AA969">
        <v>0.99849010000000005</v>
      </c>
      <c r="AB969">
        <v>37</v>
      </c>
      <c r="AC969">
        <v>20.388099999999898</v>
      </c>
      <c r="AD969">
        <v>-1.1103392564149901</v>
      </c>
      <c r="AE969">
        <v>-0.97639999999995497</v>
      </c>
      <c r="AF969">
        <v>1.13018679299785</v>
      </c>
      <c r="AG969">
        <v>-1.1103392564149901</v>
      </c>
      <c r="AH969">
        <v>20.319838860675201</v>
      </c>
      <c r="AI969">
        <v>93.122892130083898</v>
      </c>
      <c r="AJ969">
        <v>86.816496293316106</v>
      </c>
      <c r="AK969">
        <v>20.381511886393699</v>
      </c>
      <c r="AL969">
        <v>80.582708738979704</v>
      </c>
      <c r="AM969">
        <v>89.418109528199594</v>
      </c>
      <c r="AN969">
        <v>1.00000004977069</v>
      </c>
    </row>
    <row r="970" spans="1:40" x14ac:dyDescent="0.25">
      <c r="A970" t="str">
        <f>"20190312172347746"</f>
        <v>20190312172347746</v>
      </c>
      <c r="B970" t="str">
        <f>"1552382627741278"</f>
        <v>1552382627741278</v>
      </c>
      <c r="C970" t="s">
        <v>40</v>
      </c>
      <c r="D970">
        <v>3.8741509999999999</v>
      </c>
      <c r="E970">
        <v>0.5165246</v>
      </c>
      <c r="F970" t="s">
        <v>43</v>
      </c>
      <c r="G970">
        <v>-225.8066</v>
      </c>
      <c r="H970" s="1">
        <v>-2.3011080000000001E-6</v>
      </c>
      <c r="I970">
        <v>366.68579999999997</v>
      </c>
      <c r="J970">
        <v>-245.97890000000001</v>
      </c>
      <c r="K970">
        <v>1.1103400000000001</v>
      </c>
      <c r="L970">
        <v>367.66180000000003</v>
      </c>
      <c r="M970">
        <v>0.99986120000000001</v>
      </c>
      <c r="N970">
        <v>0</v>
      </c>
      <c r="O970">
        <v>7.7203330000000002E-3</v>
      </c>
      <c r="P970">
        <v>0.98885880000000004</v>
      </c>
      <c r="Q970">
        <v>0.148834299999999</v>
      </c>
      <c r="R970">
        <v>-2.6369309999999999E-3</v>
      </c>
      <c r="S970">
        <v>3.0585019999999998</v>
      </c>
      <c r="T970">
        <v>-0.1657091</v>
      </c>
      <c r="U970">
        <v>-0.14529420000000001</v>
      </c>
      <c r="V970">
        <v>1.027264E-2</v>
      </c>
      <c r="W970">
        <v>0.16342000000000001</v>
      </c>
      <c r="X970">
        <v>0.98650309999999997</v>
      </c>
      <c r="Y970">
        <v>5.5070679999999997E-2</v>
      </c>
      <c r="Z970">
        <v>-1.907735E-3</v>
      </c>
      <c r="AA970">
        <v>0.99848060000000005</v>
      </c>
      <c r="AB970">
        <v>36</v>
      </c>
      <c r="AC970">
        <v>20.1723</v>
      </c>
      <c r="AD970">
        <v>-1.11034230110799</v>
      </c>
      <c r="AE970">
        <v>-0.97600000000005604</v>
      </c>
      <c r="AF970">
        <v>1.12831426038</v>
      </c>
      <c r="AG970">
        <v>-1.11034230110799</v>
      </c>
      <c r="AH970">
        <v>20.103397344367799</v>
      </c>
      <c r="AI970">
        <v>93.156366771049406</v>
      </c>
      <c r="AJ970">
        <v>86.787613044114593</v>
      </c>
      <c r="AK970">
        <v>20.1656276342033</v>
      </c>
      <c r="AL970">
        <v>80.594538608573401</v>
      </c>
      <c r="AM970">
        <v>89.403389970323602</v>
      </c>
      <c r="AN970">
        <v>0.99999999492108904</v>
      </c>
    </row>
    <row r="971" spans="1:40" x14ac:dyDescent="0.25">
      <c r="A971" t="str">
        <f>"20190312172347758"</f>
        <v>20190312172347758</v>
      </c>
      <c r="B971" t="str">
        <f>"1552382627751038"</f>
        <v>1552382627751038</v>
      </c>
      <c r="C971" t="s">
        <v>40</v>
      </c>
      <c r="D971">
        <v>3.8922490000000001</v>
      </c>
      <c r="E971">
        <v>0.51652180000000003</v>
      </c>
      <c r="F971" t="s">
        <v>43</v>
      </c>
      <c r="G971">
        <v>-225.61539999999999</v>
      </c>
      <c r="H971" s="1">
        <v>-2.3822869999999999E-6</v>
      </c>
      <c r="I971">
        <v>366.69060000000002</v>
      </c>
      <c r="J971">
        <v>-245.7646</v>
      </c>
      <c r="K971">
        <v>1.1103430000000001</v>
      </c>
      <c r="L971">
        <v>367.6635</v>
      </c>
      <c r="M971">
        <v>0.99986109999999995</v>
      </c>
      <c r="N971">
        <v>0</v>
      </c>
      <c r="O971">
        <v>7.7288529999999999E-3</v>
      </c>
      <c r="P971">
        <v>0.98883410000000005</v>
      </c>
      <c r="Q971">
        <v>0.1490021</v>
      </c>
      <c r="R971">
        <v>-2.4314380000000002E-3</v>
      </c>
      <c r="S971">
        <v>3.0585330000000002</v>
      </c>
      <c r="T971">
        <v>-0.16676959999999999</v>
      </c>
      <c r="U971">
        <v>-0.145874</v>
      </c>
      <c r="V971">
        <v>1.0075209999999999E-2</v>
      </c>
      <c r="W971">
        <v>0.16358789999999901</v>
      </c>
      <c r="X971">
        <v>0.9864773</v>
      </c>
      <c r="Y971">
        <v>5.5266089999999997E-2</v>
      </c>
      <c r="Z971">
        <v>-1.9256830000000001E-3</v>
      </c>
      <c r="AA971">
        <v>0.99846979999999996</v>
      </c>
      <c r="AB971">
        <v>36</v>
      </c>
      <c r="AC971">
        <v>20.1492</v>
      </c>
      <c r="AD971">
        <v>-1.110345382287</v>
      </c>
      <c r="AE971">
        <v>-0.972899999999981</v>
      </c>
      <c r="AF971">
        <v>1.1252091563376301</v>
      </c>
      <c r="AG971">
        <v>-1.110345382287</v>
      </c>
      <c r="AH971">
        <v>20.080242178742399</v>
      </c>
      <c r="AI971">
        <v>93.160023709124104</v>
      </c>
      <c r="AJ971">
        <v>86.792748621533704</v>
      </c>
      <c r="AK971">
        <v>20.1423704779357</v>
      </c>
      <c r="AL971">
        <v>80.584787348450007</v>
      </c>
      <c r="AM971">
        <v>89.414840118452801</v>
      </c>
      <c r="AN971">
        <v>0.99999998714912097</v>
      </c>
    </row>
    <row r="972" spans="1:40" x14ac:dyDescent="0.25">
      <c r="A972" t="str">
        <f>"20190312172347769"</f>
        <v>20190312172347769</v>
      </c>
      <c r="B972" t="str">
        <f>"1552382627760797"</f>
        <v>1552382627760797</v>
      </c>
      <c r="C972" t="s">
        <v>40</v>
      </c>
      <c r="D972">
        <v>3.9066540000000001</v>
      </c>
      <c r="E972">
        <v>0.51651359999999902</v>
      </c>
      <c r="F972" t="s">
        <v>43</v>
      </c>
      <c r="G972">
        <v>-225.38140000000001</v>
      </c>
      <c r="H972" s="1">
        <v>-2.4824819999999999E-6</v>
      </c>
      <c r="I972">
        <v>366.69170000000003</v>
      </c>
      <c r="J972">
        <v>-245.5849</v>
      </c>
      <c r="K972">
        <v>1.1103449999999999</v>
      </c>
      <c r="L972">
        <v>367.66489999999999</v>
      </c>
      <c r="M972">
        <v>0.99986120000000001</v>
      </c>
      <c r="N972">
        <v>0</v>
      </c>
      <c r="O972">
        <v>7.7357659999999998E-3</v>
      </c>
      <c r="P972">
        <v>0.98884749999999999</v>
      </c>
      <c r="Q972">
        <v>0.1489075</v>
      </c>
      <c r="R972">
        <v>-2.7360940000000001E-3</v>
      </c>
      <c r="S972">
        <v>3.058624</v>
      </c>
      <c r="T972">
        <v>-0.16661329999999999</v>
      </c>
      <c r="U972">
        <v>-0.145813</v>
      </c>
      <c r="V972">
        <v>1.038701E-2</v>
      </c>
      <c r="W972">
        <v>0.16349339999999901</v>
      </c>
      <c r="X972">
        <v>0.98648979999999997</v>
      </c>
      <c r="Y972">
        <v>5.5251880000000003E-2</v>
      </c>
      <c r="Z972">
        <v>-1.923814E-3</v>
      </c>
      <c r="AA972">
        <v>0.99847059999999999</v>
      </c>
      <c r="AB972">
        <v>36</v>
      </c>
      <c r="AC972">
        <v>20.203499999999899</v>
      </c>
      <c r="AD972">
        <v>-1.1103474824820001</v>
      </c>
      <c r="AE972">
        <v>-0.97319999999996298</v>
      </c>
      <c r="AF972">
        <v>1.1260840886158501</v>
      </c>
      <c r="AG972">
        <v>-1.1103474824820001</v>
      </c>
      <c r="AH972">
        <v>20.134692023387</v>
      </c>
      <c r="AI972">
        <v>93.151520288836196</v>
      </c>
      <c r="AJ972">
        <v>86.798921921927004</v>
      </c>
      <c r="AK972">
        <v>20.196701705554101</v>
      </c>
      <c r="AL972">
        <v>80.590276323023204</v>
      </c>
      <c r="AM972">
        <v>89.396739993608406</v>
      </c>
      <c r="AN972">
        <v>1.00000005366216</v>
      </c>
    </row>
    <row r="973" spans="1:40" x14ac:dyDescent="0.25">
      <c r="A973" t="str">
        <f>"20190312172347781"</f>
        <v>20190312172347781</v>
      </c>
      <c r="B973" t="str">
        <f>"1552382627770558"</f>
        <v>1552382627770558</v>
      </c>
      <c r="C973" t="s">
        <v>40</v>
      </c>
      <c r="D973">
        <v>3.8773689999999998</v>
      </c>
      <c r="E973">
        <v>0.51652319999999996</v>
      </c>
      <c r="F973" t="s">
        <v>43</v>
      </c>
      <c r="G973">
        <v>-225.27160000000001</v>
      </c>
      <c r="H973" s="1">
        <v>-2.5294739999999998E-6</v>
      </c>
      <c r="I973">
        <v>366.69220000000001</v>
      </c>
      <c r="J973">
        <v>-245.3954</v>
      </c>
      <c r="K973">
        <v>1.110347</v>
      </c>
      <c r="L973">
        <v>367.66640000000001</v>
      </c>
      <c r="M973">
        <v>0.99986109999999995</v>
      </c>
      <c r="N973">
        <v>0</v>
      </c>
      <c r="O973">
        <v>7.7434549999999998E-3</v>
      </c>
      <c r="P973">
        <v>0.98882289999999995</v>
      </c>
      <c r="Q973">
        <v>0.1490744</v>
      </c>
      <c r="R973">
        <v>-2.544611E-3</v>
      </c>
      <c r="S973">
        <v>3.058624</v>
      </c>
      <c r="T973">
        <v>-0.16718759999999999</v>
      </c>
      <c r="U973">
        <v>-0.1464539</v>
      </c>
      <c r="V973">
        <v>1.0202879999999999E-2</v>
      </c>
      <c r="W973">
        <v>0.1636609</v>
      </c>
      <c r="X973">
        <v>0.98646389999999995</v>
      </c>
      <c r="Y973">
        <v>5.5467320000000001E-2</v>
      </c>
      <c r="Z973">
        <v>-1.936725E-3</v>
      </c>
      <c r="AA973">
        <v>0.99845859999999997</v>
      </c>
      <c r="AB973">
        <v>36</v>
      </c>
      <c r="AC973">
        <v>20.1237999999999</v>
      </c>
      <c r="AD973">
        <v>-1.110349529474</v>
      </c>
      <c r="AE973">
        <v>-0.97419999999999596</v>
      </c>
      <c r="AF973">
        <v>1.12659373491461</v>
      </c>
      <c r="AG973">
        <v>-1.110349529474</v>
      </c>
      <c r="AH973">
        <v>20.054740459009899</v>
      </c>
      <c r="AI973">
        <v>93.164020870766294</v>
      </c>
      <c r="AJ973">
        <v>86.784735523214806</v>
      </c>
      <c r="AK973">
        <v>20.117025237330701</v>
      </c>
      <c r="AL973">
        <v>80.580547809600702</v>
      </c>
      <c r="AM973">
        <v>89.407417626781793</v>
      </c>
      <c r="AN973">
        <v>1.0000000074761499</v>
      </c>
    </row>
    <row r="974" spans="1:40" x14ac:dyDescent="0.25">
      <c r="A974" t="str">
        <f>"20190312172347794"</f>
        <v>20190312172347794</v>
      </c>
      <c r="B974" t="str">
        <f>"1552382627791054"</f>
        <v>1552382627791054</v>
      </c>
      <c r="C974" t="s">
        <v>40</v>
      </c>
      <c r="D974">
        <v>4.2038320000000002</v>
      </c>
      <c r="E974">
        <v>0.51657819999999999</v>
      </c>
      <c r="F974" t="s">
        <v>41</v>
      </c>
      <c r="G974">
        <v>-244.32820000000001</v>
      </c>
      <c r="H974">
        <v>1.0522910000000001</v>
      </c>
      <c r="I974">
        <v>367.61520000000002</v>
      </c>
      <c r="J974">
        <v>-245.17959999999999</v>
      </c>
      <c r="K974">
        <v>1.110347</v>
      </c>
      <c r="L974">
        <v>367.66800000000001</v>
      </c>
      <c r="M974">
        <v>0.999861</v>
      </c>
      <c r="N974">
        <v>0</v>
      </c>
      <c r="O974">
        <v>7.7520389999999996E-3</v>
      </c>
      <c r="P974">
        <v>0.98883779999999999</v>
      </c>
      <c r="Q974">
        <v>0.14896779999999901</v>
      </c>
      <c r="R974">
        <v>-2.9519139999999999E-3</v>
      </c>
      <c r="S974">
        <v>3.0586700000000002</v>
      </c>
      <c r="T974">
        <v>-0.1666443</v>
      </c>
      <c r="U974">
        <v>-0.145813</v>
      </c>
      <c r="V974">
        <v>1.061877E-2</v>
      </c>
      <c r="W974">
        <v>0.16355410000000001</v>
      </c>
      <c r="X974">
        <v>0.98647720000000005</v>
      </c>
      <c r="Y974">
        <v>5.526735E-2</v>
      </c>
      <c r="Z974">
        <v>-1.9254490000000001E-3</v>
      </c>
      <c r="AA974">
        <v>0.99846970000000002</v>
      </c>
      <c r="AB974">
        <v>36</v>
      </c>
      <c r="AC974">
        <v>0.85139999999998395</v>
      </c>
      <c r="AD974">
        <v>-5.8055999999999802E-2</v>
      </c>
      <c r="AE974">
        <v>-5.2799999999990598E-2</v>
      </c>
      <c r="AF974">
        <v>5.91253551327586E-2</v>
      </c>
      <c r="AG974">
        <v>-5.8055999999999802E-2</v>
      </c>
      <c r="AH974">
        <v>0.84704164126872195</v>
      </c>
      <c r="AI974">
        <v>93.911417171222894</v>
      </c>
      <c r="AJ974">
        <v>86.007106062580704</v>
      </c>
      <c r="AK974">
        <v>0.85108510079708499</v>
      </c>
      <c r="AL974">
        <v>80.586750355048196</v>
      </c>
      <c r="AM974">
        <v>89.383272915760401</v>
      </c>
      <c r="AN974">
        <v>0.99999998401148105</v>
      </c>
    </row>
    <row r="975" spans="1:40" x14ac:dyDescent="0.25">
      <c r="A975" t="str">
        <f>"20190312172347807"</f>
        <v>20190312172347807</v>
      </c>
      <c r="B975" t="str">
        <f>"1552382627800813"</f>
        <v>1552382627800813</v>
      </c>
      <c r="C975" t="s">
        <v>40</v>
      </c>
      <c r="D975">
        <v>3.895667</v>
      </c>
      <c r="E975">
        <v>0.51663959999999998</v>
      </c>
      <c r="F975" t="s">
        <v>43</v>
      </c>
      <c r="G975">
        <v>-224.85749999999999</v>
      </c>
      <c r="H975" s="1">
        <v>-2.7077930000000002E-6</v>
      </c>
      <c r="I975">
        <v>366.68860000000001</v>
      </c>
      <c r="J975">
        <v>-244.9794</v>
      </c>
      <c r="K975">
        <v>1.110347</v>
      </c>
      <c r="L975">
        <v>367.6696</v>
      </c>
      <c r="M975">
        <v>0.999861</v>
      </c>
      <c r="N975">
        <v>0</v>
      </c>
      <c r="O975">
        <v>7.7597909999999898E-3</v>
      </c>
      <c r="P975">
        <v>0.98882409999999998</v>
      </c>
      <c r="Q975">
        <v>0.14905929999999901</v>
      </c>
      <c r="R975">
        <v>-2.9927450000000002E-3</v>
      </c>
      <c r="S975">
        <v>3.058624</v>
      </c>
      <c r="T975">
        <v>-0.1671144</v>
      </c>
      <c r="U975">
        <v>-0.1473999</v>
      </c>
      <c r="V975">
        <v>1.066696E-2</v>
      </c>
      <c r="W975">
        <v>0.16364489999999901</v>
      </c>
      <c r="X975">
        <v>0.98646160000000005</v>
      </c>
      <c r="Y975">
        <v>5.5791319999999998E-2</v>
      </c>
      <c r="Z975">
        <v>-1.9455950000000001E-3</v>
      </c>
      <c r="AA975">
        <v>0.99844060000000001</v>
      </c>
      <c r="AB975">
        <v>36</v>
      </c>
      <c r="AC975">
        <v>20.1219</v>
      </c>
      <c r="AD975">
        <v>-1.110349707793</v>
      </c>
      <c r="AE975">
        <v>-0.98099999999999399</v>
      </c>
      <c r="AF975">
        <v>1.13368535937086</v>
      </c>
      <c r="AG975">
        <v>-1.110349707793</v>
      </c>
      <c r="AH975">
        <v>20.0527657770042</v>
      </c>
      <c r="AI975">
        <v>93.164268600953307</v>
      </c>
      <c r="AJ975">
        <v>86.764221173087606</v>
      </c>
      <c r="AK975">
        <v>20.115455109816399</v>
      </c>
      <c r="AL975">
        <v>80.581476645791099</v>
      </c>
      <c r="AM975">
        <v>89.380464512008999</v>
      </c>
      <c r="AN975">
        <v>0.99999996280310499</v>
      </c>
    </row>
    <row r="976" spans="1:40" x14ac:dyDescent="0.25">
      <c r="A976" t="str">
        <f>"20190312172347819"</f>
        <v>20190312172347819</v>
      </c>
      <c r="B976" t="str">
        <f>"1552382627810573"</f>
        <v>1552382627810573</v>
      </c>
      <c r="C976" t="s">
        <v>40</v>
      </c>
      <c r="D976">
        <v>3.8927309999999999</v>
      </c>
      <c r="E976">
        <v>0.51669520000000002</v>
      </c>
      <c r="F976" t="s">
        <v>43</v>
      </c>
      <c r="G976">
        <v>-224.62260000000001</v>
      </c>
      <c r="H976" s="1">
        <v>-2.8089139999999999E-6</v>
      </c>
      <c r="I976">
        <v>366.68650000000002</v>
      </c>
      <c r="J976">
        <v>-244.78049999999999</v>
      </c>
      <c r="K976">
        <v>1.1103499999999999</v>
      </c>
      <c r="L976">
        <v>367.67110000000002</v>
      </c>
      <c r="M976">
        <v>0.99986090000000005</v>
      </c>
      <c r="N976">
        <v>0</v>
      </c>
      <c r="O976">
        <v>7.7674850000000002E-3</v>
      </c>
      <c r="P976">
        <v>0.98885480000000003</v>
      </c>
      <c r="Q976">
        <v>0.14885190000000001</v>
      </c>
      <c r="R976">
        <v>-3.1005590000000001E-3</v>
      </c>
      <c r="S976">
        <v>3.0586090000000001</v>
      </c>
      <c r="T976">
        <v>-0.1668297</v>
      </c>
      <c r="U976">
        <v>-0.14770510000000001</v>
      </c>
      <c r="V976">
        <v>1.0782760000000001E-2</v>
      </c>
      <c r="W976">
        <v>0.1634379</v>
      </c>
      <c r="X976">
        <v>0.98649469999999995</v>
      </c>
      <c r="Y976">
        <v>5.5898780000000002E-2</v>
      </c>
      <c r="Z976">
        <v>-1.9456370000000001E-3</v>
      </c>
      <c r="AA976">
        <v>0.9984345</v>
      </c>
      <c r="AB976">
        <v>36</v>
      </c>
      <c r="AC976">
        <v>20.157899999999898</v>
      </c>
      <c r="AD976">
        <v>-1.110352808914</v>
      </c>
      <c r="AE976">
        <v>-0.98460000000000003</v>
      </c>
      <c r="AF976">
        <v>1.1377197824932299</v>
      </c>
      <c r="AG976">
        <v>-1.110352808914</v>
      </c>
      <c r="AH976">
        <v>20.088836375891301</v>
      </c>
      <c r="AI976">
        <v>93.158589644617805</v>
      </c>
      <c r="AJ976">
        <v>86.758548876201004</v>
      </c>
      <c r="AK976">
        <v>20.151641039902199</v>
      </c>
      <c r="AL976">
        <v>80.593499124302994</v>
      </c>
      <c r="AM976">
        <v>89.373760408956301</v>
      </c>
      <c r="AN976">
        <v>1.0000000040988499</v>
      </c>
    </row>
    <row r="977" spans="1:40" x14ac:dyDescent="0.25">
      <c r="A977" t="str">
        <f>"20190312172347834"</f>
        <v>20190312172347834</v>
      </c>
      <c r="B977" t="str">
        <f>"1552382627831070"</f>
        <v>1552382627831070</v>
      </c>
      <c r="C977" t="s">
        <v>40</v>
      </c>
      <c r="D977">
        <v>3.8679329999999998</v>
      </c>
      <c r="E977">
        <v>0.51680609999999905</v>
      </c>
      <c r="F977" t="s">
        <v>43</v>
      </c>
      <c r="G977">
        <v>-224.49359999999999</v>
      </c>
      <c r="H977" s="1">
        <v>-2.864635E-6</v>
      </c>
      <c r="I977">
        <v>366.68450000000001</v>
      </c>
      <c r="J977">
        <v>-244.53129999999999</v>
      </c>
      <c r="K977">
        <v>1.1103449999999999</v>
      </c>
      <c r="L977">
        <v>367.67309999999998</v>
      </c>
      <c r="M977">
        <v>0.99986079999999999</v>
      </c>
      <c r="N977">
        <v>0</v>
      </c>
      <c r="O977">
        <v>7.7772650000000002E-3</v>
      </c>
      <c r="P977">
        <v>0.98883620000000005</v>
      </c>
      <c r="Q977">
        <v>0.14897550000000001</v>
      </c>
      <c r="R977">
        <v>-3.126401E-3</v>
      </c>
      <c r="S977">
        <v>3.058548</v>
      </c>
      <c r="T977">
        <v>-0.16740099999999999</v>
      </c>
      <c r="U977">
        <v>-0.14874270000000001</v>
      </c>
      <c r="V977">
        <v>1.0818080000000001E-2</v>
      </c>
      <c r="W977">
        <v>0.16356019999999999</v>
      </c>
      <c r="X977">
        <v>0.98647399999999996</v>
      </c>
      <c r="Y977">
        <v>5.6246249999999998E-2</v>
      </c>
      <c r="Z977">
        <v>-1.9623430000000001E-3</v>
      </c>
      <c r="AA977">
        <v>0.99841500000000005</v>
      </c>
      <c r="AB977">
        <v>36</v>
      </c>
      <c r="AC977">
        <v>20.037700000000001</v>
      </c>
      <c r="AD977">
        <v>-1.110347864635</v>
      </c>
      <c r="AE977">
        <v>-0.98859999999996195</v>
      </c>
      <c r="AF977">
        <v>1.14093075063275</v>
      </c>
      <c r="AG977">
        <v>-1.110347864635</v>
      </c>
      <c r="AH977">
        <v>19.968238950656101</v>
      </c>
      <c r="AI977">
        <v>93.177522316565003</v>
      </c>
      <c r="AJ977">
        <v>86.729830896521705</v>
      </c>
      <c r="AK977">
        <v>20.031604083266402</v>
      </c>
      <c r="AL977">
        <v>80.586395864115602</v>
      </c>
      <c r="AM977">
        <v>89.371696080338097</v>
      </c>
      <c r="AN977">
        <v>0.99999996127746205</v>
      </c>
    </row>
    <row r="978" spans="1:40" x14ac:dyDescent="0.25">
      <c r="A978" t="str">
        <f>"20190312172347847"</f>
        <v>20190312172347847</v>
      </c>
      <c r="B978" t="str">
        <f>"1552382627840829"</f>
        <v>1552382627840829</v>
      </c>
      <c r="C978" t="s">
        <v>40</v>
      </c>
      <c r="D978">
        <v>3.873497</v>
      </c>
      <c r="E978">
        <v>0.51685219999999998</v>
      </c>
      <c r="F978" t="s">
        <v>43</v>
      </c>
      <c r="G978">
        <v>-224.23179999999999</v>
      </c>
      <c r="H978" s="1">
        <v>-2.977559E-6</v>
      </c>
      <c r="I978">
        <v>366.68099999999998</v>
      </c>
      <c r="J978">
        <v>-244.3304</v>
      </c>
      <c r="K978">
        <v>1.110349</v>
      </c>
      <c r="L978">
        <v>367.67469999999997</v>
      </c>
      <c r="M978">
        <v>0.99986059999999999</v>
      </c>
      <c r="N978">
        <v>0</v>
      </c>
      <c r="O978">
        <v>7.7853159999999996E-3</v>
      </c>
      <c r="P978">
        <v>0.98882289999999995</v>
      </c>
      <c r="Q978">
        <v>0.14906520000000001</v>
      </c>
      <c r="R978">
        <v>-2.9412489999999999E-3</v>
      </c>
      <c r="S978">
        <v>3.0585939999999998</v>
      </c>
      <c r="T978">
        <v>-0.1672989</v>
      </c>
      <c r="U978">
        <v>-0.1494751</v>
      </c>
      <c r="V978">
        <v>1.06409E-2</v>
      </c>
      <c r="W978">
        <v>0.16364909999999999</v>
      </c>
      <c r="X978">
        <v>0.98646120000000004</v>
      </c>
      <c r="Y978">
        <v>5.6491819999999998E-2</v>
      </c>
      <c r="Z978">
        <v>-1.9682549999999999E-3</v>
      </c>
      <c r="AA978">
        <v>0.99840110000000004</v>
      </c>
      <c r="AB978">
        <v>36</v>
      </c>
      <c r="AC978">
        <v>20.098600000000001</v>
      </c>
      <c r="AD978">
        <v>-1.1103519775590001</v>
      </c>
      <c r="AE978">
        <v>-0.99369999999998904</v>
      </c>
      <c r="AF978">
        <v>1.1466697580909699</v>
      </c>
      <c r="AG978">
        <v>-1.1103519775590001</v>
      </c>
      <c r="AH978">
        <v>20.029272638310399</v>
      </c>
      <c r="AI978">
        <v>93.167850893530897</v>
      </c>
      <c r="AJ978">
        <v>86.723410654547905</v>
      </c>
      <c r="AK978">
        <v>20.092772219580901</v>
      </c>
      <c r="AL978">
        <v>80.581232858505302</v>
      </c>
      <c r="AM978">
        <v>89.381977704901104</v>
      </c>
      <c r="AN978">
        <v>0.99999997789452899</v>
      </c>
    </row>
    <row r="979" spans="1:40" x14ac:dyDescent="0.25">
      <c r="A979" t="str">
        <f>"20190312172347859"</f>
        <v>20190312172347859</v>
      </c>
      <c r="B979" t="str">
        <f>"1552382627850590"</f>
        <v>1552382627850590</v>
      </c>
      <c r="C979" t="s">
        <v>40</v>
      </c>
      <c r="D979">
        <v>3.875022</v>
      </c>
      <c r="E979">
        <v>0.51690219999999998</v>
      </c>
      <c r="F979" t="s">
        <v>43</v>
      </c>
      <c r="G979">
        <v>-224.02780000000001</v>
      </c>
      <c r="H979" s="1">
        <v>-3.0644919999999998E-6</v>
      </c>
      <c r="I979">
        <v>366.68430000000001</v>
      </c>
      <c r="J979">
        <v>-244.1266</v>
      </c>
      <c r="K979">
        <v>1.1103540000000001</v>
      </c>
      <c r="L979">
        <v>367.67630000000003</v>
      </c>
      <c r="M979">
        <v>0.99986079999999999</v>
      </c>
      <c r="N979">
        <v>0</v>
      </c>
      <c r="O979">
        <v>7.7933680000000002E-3</v>
      </c>
      <c r="P979">
        <v>0.98877530000000002</v>
      </c>
      <c r="Q979">
        <v>0.14937120000000001</v>
      </c>
      <c r="R979">
        <v>-3.4707309999999999E-3</v>
      </c>
      <c r="S979">
        <v>3.0586850000000001</v>
      </c>
      <c r="T979">
        <v>-0.16727890000000001</v>
      </c>
      <c r="U979">
        <v>-0.14920039999999901</v>
      </c>
      <c r="V979">
        <v>1.117775E-2</v>
      </c>
      <c r="W979">
        <v>0.16395390000000001</v>
      </c>
      <c r="X979">
        <v>0.98640470000000002</v>
      </c>
      <c r="Y979">
        <v>5.6409099999999997E-2</v>
      </c>
      <c r="Z979">
        <v>-1.9661460000000002E-3</v>
      </c>
      <c r="AA979">
        <v>0.99840580000000001</v>
      </c>
      <c r="AB979">
        <v>36</v>
      </c>
      <c r="AC979">
        <v>20.098799999999901</v>
      </c>
      <c r="AD979">
        <v>-1.110357064492</v>
      </c>
      <c r="AE979">
        <v>-0.99200000000001798</v>
      </c>
      <c r="AF979">
        <v>1.1451377891039001</v>
      </c>
      <c r="AG979">
        <v>-1.110357064492</v>
      </c>
      <c r="AH979">
        <v>20.029476145699</v>
      </c>
      <c r="AI979">
        <v>93.167847149311001</v>
      </c>
      <c r="AJ979">
        <v>86.727811885768304</v>
      </c>
      <c r="AK979">
        <v>20.0928879964485</v>
      </c>
      <c r="AL979">
        <v>80.563530472790902</v>
      </c>
      <c r="AM979">
        <v>89.350762938672105</v>
      </c>
      <c r="AN979">
        <v>1.00000002780118</v>
      </c>
    </row>
    <row r="980" spans="1:40" x14ac:dyDescent="0.25">
      <c r="A980" t="str">
        <f>"20190312172347872"</f>
        <v>20190312172347872</v>
      </c>
      <c r="B980" t="str">
        <f>"1552382627861326"</f>
        <v>1552382627861326</v>
      </c>
      <c r="C980" t="s">
        <v>40</v>
      </c>
      <c r="D980">
        <v>4.2178000000000004</v>
      </c>
      <c r="E980">
        <v>0.51697539999999997</v>
      </c>
      <c r="F980" t="s">
        <v>43</v>
      </c>
      <c r="G980">
        <v>-223.75450000000001</v>
      </c>
      <c r="H980" s="1">
        <v>-3.1840820000000001E-6</v>
      </c>
      <c r="I980">
        <v>366.67110000000002</v>
      </c>
      <c r="J980">
        <v>-243.92699999999999</v>
      </c>
      <c r="K980">
        <v>1.110357</v>
      </c>
      <c r="L980">
        <v>367.67779999999999</v>
      </c>
      <c r="M980">
        <v>0.99986059999999999</v>
      </c>
      <c r="N980">
        <v>0</v>
      </c>
      <c r="O980">
        <v>7.8014209999999898E-3</v>
      </c>
      <c r="P980">
        <v>0.98875060000000004</v>
      </c>
      <c r="Q980">
        <v>0.14953320000000001</v>
      </c>
      <c r="R980">
        <v>-3.4567119999999998E-3</v>
      </c>
      <c r="S980">
        <v>3.0587309999999999</v>
      </c>
      <c r="T980">
        <v>-0.16671179999999999</v>
      </c>
      <c r="U980">
        <v>-0.1509094</v>
      </c>
      <c r="V980">
        <v>1.117169E-2</v>
      </c>
      <c r="W980">
        <v>0.16411429999999999</v>
      </c>
      <c r="X980">
        <v>0.98637810000000004</v>
      </c>
      <c r="Y980">
        <v>5.6972710000000003E-2</v>
      </c>
      <c r="Z980">
        <v>-1.9752120000000001E-3</v>
      </c>
      <c r="AA980">
        <v>0.99837379999999998</v>
      </c>
      <c r="AB980">
        <v>36</v>
      </c>
      <c r="AC980">
        <v>20.172499999999999</v>
      </c>
      <c r="AD980">
        <v>-1.1103601840819901</v>
      </c>
      <c r="AE980">
        <v>-1.00669999999996</v>
      </c>
      <c r="AF980">
        <v>1.16055321001256</v>
      </c>
      <c r="AG980">
        <v>-1.1103601840819901</v>
      </c>
      <c r="AH980">
        <v>20.103274642918901</v>
      </c>
      <c r="AI980">
        <v>93.156150034093201</v>
      </c>
      <c r="AJ980">
        <v>86.696006981381402</v>
      </c>
      <c r="AK980">
        <v>20.1673358394284</v>
      </c>
      <c r="AL980">
        <v>80.554214086684496</v>
      </c>
      <c r="AM980">
        <v>89.351097394230493</v>
      </c>
      <c r="AN980">
        <v>1.0000000331407699</v>
      </c>
    </row>
    <row r="981" spans="1:40" x14ac:dyDescent="0.25">
      <c r="A981" t="str">
        <f>"20190312172347887"</f>
        <v>20190312172347887</v>
      </c>
      <c r="B981" t="str">
        <f>"1552382627880845"</f>
        <v>1552382627880845</v>
      </c>
      <c r="C981" t="s">
        <v>40</v>
      </c>
      <c r="D981">
        <v>3.8784640000000001</v>
      </c>
      <c r="E981">
        <v>0.51709259999999901</v>
      </c>
      <c r="F981" t="s">
        <v>43</v>
      </c>
      <c r="G981">
        <v>-223.52010000000001</v>
      </c>
      <c r="H981" s="1">
        <v>-3.2853819999999998E-6</v>
      </c>
      <c r="I981">
        <v>366.6669</v>
      </c>
      <c r="J981">
        <v>-243.68</v>
      </c>
      <c r="K981">
        <v>1.11036</v>
      </c>
      <c r="L981">
        <v>367.67970000000003</v>
      </c>
      <c r="M981">
        <v>0.99986050000000004</v>
      </c>
      <c r="N981">
        <v>0</v>
      </c>
      <c r="O981">
        <v>7.81102599999999E-3</v>
      </c>
      <c r="P981">
        <v>0.98875789999999997</v>
      </c>
      <c r="Q981">
        <v>0.1494808</v>
      </c>
      <c r="R981">
        <v>-3.6412710000000002E-3</v>
      </c>
      <c r="S981">
        <v>3.0587770000000001</v>
      </c>
      <c r="T981">
        <v>-0.16642989999999999</v>
      </c>
      <c r="U981">
        <v>-0.15151979999999901</v>
      </c>
      <c r="V981">
        <v>1.136582E-2</v>
      </c>
      <c r="W981">
        <v>0.16406119999999999</v>
      </c>
      <c r="X981">
        <v>0.9863847</v>
      </c>
      <c r="Y981">
        <v>5.7180300000000003E-2</v>
      </c>
      <c r="Z981">
        <v>-1.9779989999999998E-3</v>
      </c>
      <c r="AA981">
        <v>0.99836190000000002</v>
      </c>
      <c r="AB981">
        <v>36</v>
      </c>
      <c r="AC981">
        <v>20.1599</v>
      </c>
      <c r="AD981">
        <v>-1.110363285382</v>
      </c>
      <c r="AE981">
        <v>-1.0128000000000199</v>
      </c>
      <c r="AF981">
        <v>1.16672533598033</v>
      </c>
      <c r="AG981">
        <v>-1.110363285382</v>
      </c>
      <c r="AH981">
        <v>20.0905803218178</v>
      </c>
      <c r="AI981">
        <v>93.158086518318996</v>
      </c>
      <c r="AJ981">
        <v>86.676380702395207</v>
      </c>
      <c r="AK981">
        <v>20.1550383850429</v>
      </c>
      <c r="AL981">
        <v>80.557298150471595</v>
      </c>
      <c r="AM981">
        <v>89.339826846595898</v>
      </c>
      <c r="AN981">
        <v>1.0000000178019</v>
      </c>
    </row>
    <row r="982" spans="1:40" x14ac:dyDescent="0.25">
      <c r="A982" t="str">
        <f>"20190312172347902"</f>
        <v>20190312172347902</v>
      </c>
      <c r="B982" t="str">
        <f>"1552382627890606"</f>
        <v>1552382627890606</v>
      </c>
      <c r="C982" t="s">
        <v>40</v>
      </c>
      <c r="D982">
        <v>3.8727640000000001</v>
      </c>
      <c r="E982">
        <v>0.51713129999999996</v>
      </c>
      <c r="F982" t="s">
        <v>43</v>
      </c>
      <c r="G982">
        <v>-223.33969999999999</v>
      </c>
      <c r="H982" s="1">
        <v>-3.3636989999999998E-6</v>
      </c>
      <c r="I982">
        <v>366.66160000000002</v>
      </c>
      <c r="J982">
        <v>-243.4374</v>
      </c>
      <c r="K982">
        <v>1.110363</v>
      </c>
      <c r="L982">
        <v>367.6816</v>
      </c>
      <c r="M982">
        <v>0.99986059999999999</v>
      </c>
      <c r="N982">
        <v>0</v>
      </c>
      <c r="O982">
        <v>7.8202769999999901E-3</v>
      </c>
      <c r="P982">
        <v>0.98871390000000003</v>
      </c>
      <c r="Q982">
        <v>0.1497646</v>
      </c>
      <c r="R982">
        <v>-3.9788760000000001E-3</v>
      </c>
      <c r="S982">
        <v>3.0587620000000002</v>
      </c>
      <c r="T982">
        <v>-0.1669755</v>
      </c>
      <c r="U982">
        <v>-0.15310670000000001</v>
      </c>
      <c r="V982">
        <v>1.171201E-2</v>
      </c>
      <c r="W982">
        <v>0.1643425</v>
      </c>
      <c r="X982">
        <v>0.98633380000000004</v>
      </c>
      <c r="Y982">
        <v>5.7705029999999997E-2</v>
      </c>
      <c r="Z982">
        <v>-1.999266E-3</v>
      </c>
      <c r="AA982">
        <v>0.99833170000000004</v>
      </c>
      <c r="AB982">
        <v>36</v>
      </c>
      <c r="AC982">
        <v>20.0977</v>
      </c>
      <c r="AD982">
        <v>-1.110366363699</v>
      </c>
      <c r="AE982">
        <v>-1.01999999999998</v>
      </c>
      <c r="AF982">
        <v>1.1735824617192301</v>
      </c>
      <c r="AG982">
        <v>-1.110366363699</v>
      </c>
      <c r="AH982">
        <v>20.0281311664722</v>
      </c>
      <c r="AI982">
        <v>93.167826190518497</v>
      </c>
      <c r="AJ982">
        <v>86.646490867041393</v>
      </c>
      <c r="AK982">
        <v>20.093189076836499</v>
      </c>
      <c r="AL982">
        <v>80.5409588727901</v>
      </c>
      <c r="AM982">
        <v>89.319685479410694</v>
      </c>
      <c r="AN982">
        <v>0.99999999675346496</v>
      </c>
    </row>
    <row r="983" spans="1:40" x14ac:dyDescent="0.25">
      <c r="A983" t="str">
        <f>"20190312172347925"</f>
        <v>20190312172347925</v>
      </c>
      <c r="B983" t="str">
        <f>"1552382627920659"</f>
        <v>1552382627920659</v>
      </c>
      <c r="C983" t="s">
        <v>40</v>
      </c>
      <c r="D983">
        <v>3.874193</v>
      </c>
      <c r="E983">
        <v>0.51731680000000002</v>
      </c>
      <c r="F983" t="s">
        <v>43</v>
      </c>
      <c r="G983">
        <v>-223.02340000000001</v>
      </c>
      <c r="H983" s="1">
        <v>-3.500885E-6</v>
      </c>
      <c r="I983">
        <v>366.65309999999999</v>
      </c>
      <c r="J983">
        <v>-243.07550000000001</v>
      </c>
      <c r="K983">
        <v>1.1103609999999999</v>
      </c>
      <c r="L983">
        <v>367.68450000000001</v>
      </c>
      <c r="M983">
        <v>0.99986039999999998</v>
      </c>
      <c r="N983">
        <v>0</v>
      </c>
      <c r="O983">
        <v>7.8348949999999997E-3</v>
      </c>
      <c r="P983">
        <v>0.98875119999999905</v>
      </c>
      <c r="Q983">
        <v>0.14950959999999999</v>
      </c>
      <c r="R983">
        <v>-4.223185E-3</v>
      </c>
      <c r="S983">
        <v>3.0588069999999998</v>
      </c>
      <c r="T983">
        <v>-0.16637560000000001</v>
      </c>
      <c r="U983">
        <v>-0.1541138</v>
      </c>
      <c r="V983">
        <v>1.1971320000000001E-2</v>
      </c>
      <c r="W983">
        <v>0.1640856</v>
      </c>
      <c r="X983">
        <v>0.98637350000000001</v>
      </c>
      <c r="Y983">
        <v>5.8046920000000002E-2</v>
      </c>
      <c r="Z983">
        <v>-2.0021280000000002E-3</v>
      </c>
      <c r="AA983">
        <v>0.99831190000000003</v>
      </c>
      <c r="AB983">
        <v>36</v>
      </c>
      <c r="AC983">
        <v>20.052099999999999</v>
      </c>
      <c r="AD983">
        <v>-1.1103645008849901</v>
      </c>
      <c r="AE983">
        <v>-1.0314000000000101</v>
      </c>
      <c r="AF983">
        <v>1.18486799831124</v>
      </c>
      <c r="AG983">
        <v>-1.1103645008849901</v>
      </c>
      <c r="AH983">
        <v>19.982293036549901</v>
      </c>
      <c r="AI983">
        <v>93.174942681184007</v>
      </c>
      <c r="AJ983">
        <v>86.606568718102494</v>
      </c>
      <c r="AK983">
        <v>20.0481634195454</v>
      </c>
      <c r="AL983">
        <v>80.555881130119602</v>
      </c>
      <c r="AM983">
        <v>89.3046524097618</v>
      </c>
      <c r="AN983">
        <v>1.0000000390660699</v>
      </c>
    </row>
    <row r="984" spans="1:40" x14ac:dyDescent="0.25">
      <c r="A984" t="str">
        <f>"20190312172347947"</f>
        <v>20190312172347947</v>
      </c>
      <c r="B984" t="str">
        <f>"1552382627941155"</f>
        <v>1552382627941155</v>
      </c>
      <c r="C984" t="s">
        <v>40</v>
      </c>
      <c r="D984">
        <v>3.9032879999999999</v>
      </c>
      <c r="E984">
        <v>0.51740739999999996</v>
      </c>
      <c r="F984" t="s">
        <v>43</v>
      </c>
      <c r="G984">
        <v>-222.7938</v>
      </c>
      <c r="H984" s="1">
        <v>-3.6009850000000001E-6</v>
      </c>
      <c r="I984">
        <v>366.64420000000001</v>
      </c>
      <c r="J984">
        <v>-242.72139999999999</v>
      </c>
      <c r="K984">
        <v>1.1103620000000001</v>
      </c>
      <c r="L984">
        <v>367.68729999999999</v>
      </c>
      <c r="M984">
        <v>0.99986030000000004</v>
      </c>
      <c r="N984">
        <v>0</v>
      </c>
      <c r="O984">
        <v>7.8492149999999997E-3</v>
      </c>
      <c r="P984">
        <v>0.98874059999999997</v>
      </c>
      <c r="Q984">
        <v>0.1495841</v>
      </c>
      <c r="R984">
        <v>-4.0928539999999999E-3</v>
      </c>
      <c r="S984">
        <v>3.0587460000000002</v>
      </c>
      <c r="T984">
        <v>-0.16745660000000001</v>
      </c>
      <c r="U984">
        <v>-0.1568909</v>
      </c>
      <c r="V984">
        <v>1.185482E-2</v>
      </c>
      <c r="W984">
        <v>0.16415759999999999</v>
      </c>
      <c r="X984">
        <v>0.98636290000000004</v>
      </c>
      <c r="Y984">
        <v>5.8963580000000002E-2</v>
      </c>
      <c r="Z984">
        <v>-2.040951E-3</v>
      </c>
      <c r="AA984">
        <v>0.99825810000000004</v>
      </c>
      <c r="AB984">
        <v>36</v>
      </c>
      <c r="AC984">
        <v>19.927599999999899</v>
      </c>
      <c r="AD984">
        <v>-1.110365600985</v>
      </c>
      <c r="AE984">
        <v>-1.0430999999999799</v>
      </c>
      <c r="AF984">
        <v>1.1957984396788199</v>
      </c>
      <c r="AG984">
        <v>-1.110365600985</v>
      </c>
      <c r="AH984">
        <v>19.857314697056101</v>
      </c>
      <c r="AI984">
        <v>93.194711741655894</v>
      </c>
      <c r="AJ984">
        <v>86.553835969175495</v>
      </c>
      <c r="AK984">
        <v>19.924251369979</v>
      </c>
      <c r="AL984">
        <v>80.551698872851006</v>
      </c>
      <c r="AM984">
        <v>89.311411194781797</v>
      </c>
      <c r="AN984">
        <v>1.0000000124457</v>
      </c>
    </row>
    <row r="985" spans="1:40" x14ac:dyDescent="0.25">
      <c r="A985" t="str">
        <f>"20190312172347969"</f>
        <v>20190312172347969</v>
      </c>
      <c r="B985" t="str">
        <f>"1552382627960675"</f>
        <v>1552382627960675</v>
      </c>
      <c r="C985" t="s">
        <v>40</v>
      </c>
      <c r="D985">
        <v>3.8989509999999998</v>
      </c>
      <c r="E985">
        <v>0.5174919</v>
      </c>
      <c r="F985" t="s">
        <v>43</v>
      </c>
      <c r="G985">
        <v>-222.435</v>
      </c>
      <c r="H985" s="1">
        <v>-3.7548130000000002E-6</v>
      </c>
      <c r="I985">
        <v>366.6447</v>
      </c>
      <c r="J985">
        <v>-242.36009999999999</v>
      </c>
      <c r="K985">
        <v>1.110368</v>
      </c>
      <c r="L985">
        <v>367.69009999999997</v>
      </c>
      <c r="M985">
        <v>0.99986030000000004</v>
      </c>
      <c r="N985">
        <v>0</v>
      </c>
      <c r="O985">
        <v>7.8634769999999903E-3</v>
      </c>
      <c r="P985">
        <v>0.98863979999999996</v>
      </c>
      <c r="Q985">
        <v>0.1502473</v>
      </c>
      <c r="R985">
        <v>-4.1620889999999999E-3</v>
      </c>
      <c r="S985">
        <v>3.0588380000000002</v>
      </c>
      <c r="T985">
        <v>-0.16742309999999999</v>
      </c>
      <c r="U985">
        <v>-0.157196</v>
      </c>
      <c r="V985">
        <v>1.193756E-2</v>
      </c>
      <c r="W985">
        <v>0.16481699999999999</v>
      </c>
      <c r="X985">
        <v>0.98625189999999996</v>
      </c>
      <c r="Y985">
        <v>5.9075490000000001E-2</v>
      </c>
      <c r="Z985">
        <v>-2.0443150000000001E-3</v>
      </c>
      <c r="AA985">
        <v>0.99825140000000001</v>
      </c>
      <c r="AB985">
        <v>36</v>
      </c>
      <c r="AC985">
        <v>19.925099999999901</v>
      </c>
      <c r="AD985">
        <v>-1.1103717548129901</v>
      </c>
      <c r="AE985">
        <v>-1.0453999999999699</v>
      </c>
      <c r="AF985">
        <v>1.1983539741587199</v>
      </c>
      <c r="AG985">
        <v>-1.1103717548129901</v>
      </c>
      <c r="AH985">
        <v>19.854772123212399</v>
      </c>
      <c r="AI985">
        <v>93.195111546184904</v>
      </c>
      <c r="AJ985">
        <v>86.546047815313997</v>
      </c>
      <c r="AK985">
        <v>19.921871241074701</v>
      </c>
      <c r="AL985">
        <v>80.513396009203902</v>
      </c>
      <c r="AM985">
        <v>89.306527666382607</v>
      </c>
      <c r="AN985">
        <v>0.99999997954068098</v>
      </c>
    </row>
    <row r="986" spans="1:40" x14ac:dyDescent="0.25">
      <c r="A986" t="str">
        <f>"20190312172347983"</f>
        <v>20190312172347983</v>
      </c>
      <c r="B986" t="str">
        <f>"1552382627970435"</f>
        <v>1552382627970435</v>
      </c>
      <c r="C986" t="s">
        <v>40</v>
      </c>
      <c r="D986">
        <v>3.8972579999999999</v>
      </c>
      <c r="E986">
        <v>0.51757039999999999</v>
      </c>
      <c r="F986" t="s">
        <v>43</v>
      </c>
      <c r="G986">
        <v>-221.8449</v>
      </c>
      <c r="H986" s="1">
        <v>-4.0106439999999997E-6</v>
      </c>
      <c r="I986">
        <v>366.62950000000001</v>
      </c>
      <c r="J986">
        <v>-242.1455</v>
      </c>
      <c r="K986">
        <v>1.1103689999999999</v>
      </c>
      <c r="L986">
        <v>367.6918</v>
      </c>
      <c r="M986">
        <v>0.99986019999999998</v>
      </c>
      <c r="N986">
        <v>0</v>
      </c>
      <c r="O986">
        <v>7.8721889999999999E-3</v>
      </c>
      <c r="P986">
        <v>0.98863009999999996</v>
      </c>
      <c r="Q986">
        <v>0.15030829999999901</v>
      </c>
      <c r="R986">
        <v>-4.2687569999999998E-3</v>
      </c>
      <c r="S986">
        <v>3.0589750000000002</v>
      </c>
      <c r="T986">
        <v>-0.1655644</v>
      </c>
      <c r="U986">
        <v>-0.15814210000000001</v>
      </c>
      <c r="V986">
        <v>1.205261E-2</v>
      </c>
      <c r="W986">
        <v>0.16487579999999999</v>
      </c>
      <c r="X986">
        <v>0.98624069999999997</v>
      </c>
      <c r="Y986">
        <v>5.939154E-2</v>
      </c>
      <c r="Z986">
        <v>-2.0305589999999999E-3</v>
      </c>
      <c r="AA986">
        <v>0.99823269999999997</v>
      </c>
      <c r="AB986">
        <v>36</v>
      </c>
      <c r="AC986">
        <v>20.300599999999999</v>
      </c>
      <c r="AD986">
        <v>-1.110373010644</v>
      </c>
      <c r="AE986">
        <v>-1.06229999999999</v>
      </c>
      <c r="AF986">
        <v>1.2184593001625601</v>
      </c>
      <c r="AG986">
        <v>-1.110373010644</v>
      </c>
      <c r="AH986">
        <v>20.231246473923299</v>
      </c>
      <c r="AI986">
        <v>93.1358027607195</v>
      </c>
      <c r="AJ986">
        <v>86.553432847331095</v>
      </c>
      <c r="AK986">
        <v>20.298298085740001</v>
      </c>
      <c r="AL986">
        <v>80.509980546691196</v>
      </c>
      <c r="AM986">
        <v>89.299836936017002</v>
      </c>
      <c r="AN986">
        <v>1.0000000065849699</v>
      </c>
    </row>
    <row r="987" spans="1:40" x14ac:dyDescent="0.25">
      <c r="A987" t="str">
        <f>"20190312172347997"</f>
        <v>20190312172347997</v>
      </c>
      <c r="B987" t="str">
        <f>"1552382627990931"</f>
        <v>1552382627990931</v>
      </c>
      <c r="C987" t="s">
        <v>40</v>
      </c>
      <c r="D987">
        <v>4.1798849999999996</v>
      </c>
      <c r="E987">
        <v>0.51771750000000005</v>
      </c>
      <c r="F987" t="s">
        <v>43</v>
      </c>
      <c r="G987">
        <v>-221.6405</v>
      </c>
      <c r="H987" s="1">
        <v>-4.0986820000000002E-6</v>
      </c>
      <c r="I987">
        <v>366.62759999999997</v>
      </c>
      <c r="J987">
        <v>-241.88919999999999</v>
      </c>
      <c r="K987">
        <v>1.1103730000000001</v>
      </c>
      <c r="L987">
        <v>367.69380000000001</v>
      </c>
      <c r="M987">
        <v>0.99986019999999998</v>
      </c>
      <c r="N987">
        <v>0</v>
      </c>
      <c r="O987">
        <v>7.8821619999999998E-3</v>
      </c>
      <c r="P987">
        <v>0.98860870000000001</v>
      </c>
      <c r="Q987">
        <v>0.15044769999999999</v>
      </c>
      <c r="R987">
        <v>-4.3009959999999996E-3</v>
      </c>
      <c r="S987">
        <v>3.0590060000000001</v>
      </c>
      <c r="T987">
        <v>-0.165648499999999</v>
      </c>
      <c r="U987">
        <v>-0.15875239999999999</v>
      </c>
      <c r="V987">
        <v>1.209468E-2</v>
      </c>
      <c r="W987">
        <v>0.1650131</v>
      </c>
      <c r="X987">
        <v>0.98621720000000002</v>
      </c>
      <c r="Y987">
        <v>5.959921E-2</v>
      </c>
      <c r="Z987">
        <v>-2.0377110000000002E-3</v>
      </c>
      <c r="AA987">
        <v>0.99822029999999995</v>
      </c>
      <c r="AB987">
        <v>36</v>
      </c>
      <c r="AC987">
        <v>20.2486999999999</v>
      </c>
      <c r="AD987">
        <v>-1.1103770986820001</v>
      </c>
      <c r="AE987">
        <v>-1.06620000000003</v>
      </c>
      <c r="AF987">
        <v>1.2221228864717599</v>
      </c>
      <c r="AG987">
        <v>-1.1103770986820001</v>
      </c>
      <c r="AH987">
        <v>20.179153176187</v>
      </c>
      <c r="AI987">
        <v>93.143829662491797</v>
      </c>
      <c r="AJ987">
        <v>86.534192606075806</v>
      </c>
      <c r="AK987">
        <v>20.2465983453748</v>
      </c>
      <c r="AL987">
        <v>80.502004381619102</v>
      </c>
      <c r="AM987">
        <v>89.297376499891897</v>
      </c>
      <c r="AN987">
        <v>0.99999998501587595</v>
      </c>
    </row>
    <row r="988" spans="1:40" x14ac:dyDescent="0.25">
      <c r="A988" t="str">
        <f>"20190312172348013"</f>
        <v>20190312172348013</v>
      </c>
      <c r="B988" t="str">
        <f>"1552382628000691"</f>
        <v>1552382628000691</v>
      </c>
      <c r="C988" t="s">
        <v>40</v>
      </c>
      <c r="D988">
        <v>3.9188450000000001</v>
      </c>
      <c r="E988">
        <v>0.51777059999999997</v>
      </c>
      <c r="F988" t="s">
        <v>43</v>
      </c>
      <c r="G988">
        <v>-221.4007</v>
      </c>
      <c r="H988" s="1">
        <v>-4.2020669999999997E-6</v>
      </c>
      <c r="I988">
        <v>366.62459999999999</v>
      </c>
      <c r="J988">
        <v>-241.6541</v>
      </c>
      <c r="K988">
        <v>1.1103749999999999</v>
      </c>
      <c r="L988">
        <v>367.69569999999999</v>
      </c>
      <c r="M988">
        <v>0.99986019999999998</v>
      </c>
      <c r="N988">
        <v>0</v>
      </c>
      <c r="O988">
        <v>7.8914150000000006E-3</v>
      </c>
      <c r="P988">
        <v>0.98860099999999995</v>
      </c>
      <c r="Q988">
        <v>0.1504896</v>
      </c>
      <c r="R988">
        <v>-4.5701099999999996E-3</v>
      </c>
      <c r="S988">
        <v>3.059097</v>
      </c>
      <c r="T988">
        <v>-0.16578760000000001</v>
      </c>
      <c r="U988">
        <v>-0.15963749999999999</v>
      </c>
      <c r="V988">
        <v>1.2372899999999999E-2</v>
      </c>
      <c r="W988">
        <v>0.16505310000000001</v>
      </c>
      <c r="X988">
        <v>0.9862071</v>
      </c>
      <c r="Y988">
        <v>5.9894299999999998E-2</v>
      </c>
      <c r="Z988">
        <v>-2.04783E-3</v>
      </c>
      <c r="AA988">
        <v>0.99820260000000005</v>
      </c>
      <c r="AB988">
        <v>36</v>
      </c>
      <c r="AC988">
        <v>20.253399999999999</v>
      </c>
      <c r="AD988">
        <v>-1.11037920206699</v>
      </c>
      <c r="AE988">
        <v>-1.0710999999999999</v>
      </c>
      <c r="AF988">
        <v>1.2272335766829201</v>
      </c>
      <c r="AG988">
        <v>-1.11037920206699</v>
      </c>
      <c r="AH988">
        <v>20.1838183457652</v>
      </c>
      <c r="AI988">
        <v>93.143065048816396</v>
      </c>
      <c r="AJ988">
        <v>86.520537226550104</v>
      </c>
      <c r="AK988">
        <v>20.251557155907001</v>
      </c>
      <c r="AL988">
        <v>80.499681112424398</v>
      </c>
      <c r="AM988">
        <v>89.281208014755094</v>
      </c>
      <c r="AN988">
        <v>1.00000002928221</v>
      </c>
    </row>
    <row r="989" spans="1:40" x14ac:dyDescent="0.25">
      <c r="A989" t="str">
        <f>"20190312172348027"</f>
        <v>20190312172348027</v>
      </c>
      <c r="B989" t="str">
        <f>"1552382628021208"</f>
        <v>1552382628021208</v>
      </c>
      <c r="C989" t="s">
        <v>40</v>
      </c>
      <c r="D989">
        <v>3.910606</v>
      </c>
      <c r="E989">
        <v>0.51790130000000001</v>
      </c>
      <c r="F989" t="s">
        <v>43</v>
      </c>
      <c r="G989">
        <v>-221.1763</v>
      </c>
      <c r="H989" s="1">
        <v>-4.3001609999999999E-6</v>
      </c>
      <c r="I989">
        <v>366.61439999999999</v>
      </c>
      <c r="J989">
        <v>-241.4417</v>
      </c>
      <c r="K989">
        <v>1.110376</v>
      </c>
      <c r="L989">
        <v>367.69740000000002</v>
      </c>
      <c r="M989">
        <v>0.99986010000000003</v>
      </c>
      <c r="N989">
        <v>0</v>
      </c>
      <c r="O989">
        <v>7.8999510000000005E-3</v>
      </c>
      <c r="P989">
        <v>0.98860840000000005</v>
      </c>
      <c r="Q989">
        <v>0.1504363</v>
      </c>
      <c r="R989">
        <v>-4.7402720000000002E-3</v>
      </c>
      <c r="S989">
        <v>3.059097</v>
      </c>
      <c r="T989">
        <v>-0.16587460000000001</v>
      </c>
      <c r="U989">
        <v>-0.16152949999999999</v>
      </c>
      <c r="V989">
        <v>1.2551390000000001E-2</v>
      </c>
      <c r="W989">
        <v>0.16499759999999999</v>
      </c>
      <c r="X989">
        <v>0.98621409999999998</v>
      </c>
      <c r="Y989">
        <v>6.051749E-2</v>
      </c>
      <c r="Z989">
        <v>-2.0662050000000002E-3</v>
      </c>
      <c r="AA989">
        <v>0.99816499999999997</v>
      </c>
      <c r="AB989">
        <v>36</v>
      </c>
      <c r="AC989">
        <v>20.2654</v>
      </c>
      <c r="AD989">
        <v>-1.110380300161</v>
      </c>
      <c r="AE989">
        <v>-1.0830000000000199</v>
      </c>
      <c r="AF989">
        <v>1.23936908514425</v>
      </c>
      <c r="AG989">
        <v>-1.110380300161</v>
      </c>
      <c r="AH989">
        <v>20.195752781828499</v>
      </c>
      <c r="AI989">
        <v>93.141106728178698</v>
      </c>
      <c r="AJ989">
        <v>86.488287547026403</v>
      </c>
      <c r="AK989">
        <v>20.264190350589601</v>
      </c>
      <c r="AL989">
        <v>80.502904935204796</v>
      </c>
      <c r="AM989">
        <v>89.270845092620306</v>
      </c>
      <c r="AN989">
        <v>0.99999999821775098</v>
      </c>
    </row>
    <row r="990" spans="1:40" x14ac:dyDescent="0.25">
      <c r="A990" t="str">
        <f>"20190312172348037"</f>
        <v>20190312172348037</v>
      </c>
      <c r="B990" t="str">
        <f>"1552382628030968"</f>
        <v>1552382628030968</v>
      </c>
      <c r="C990" t="s">
        <v>40</v>
      </c>
      <c r="D990">
        <v>3.9435190000000002</v>
      </c>
      <c r="E990">
        <v>0.51790130000000001</v>
      </c>
      <c r="F990" t="s">
        <v>43</v>
      </c>
      <c r="G990">
        <v>-221.042</v>
      </c>
      <c r="H990" s="1">
        <v>-4.3584669999999996E-6</v>
      </c>
      <c r="I990">
        <v>366.61059999999998</v>
      </c>
      <c r="J990">
        <v>-241.25059999999999</v>
      </c>
      <c r="K990">
        <v>1.1103769999999999</v>
      </c>
      <c r="L990">
        <v>367.69889999999998</v>
      </c>
      <c r="M990">
        <v>0.99985999999999997</v>
      </c>
      <c r="N990">
        <v>0</v>
      </c>
      <c r="O990">
        <v>7.9075320000000001E-3</v>
      </c>
      <c r="P990">
        <v>0.98866529999999997</v>
      </c>
      <c r="Q990">
        <v>0.15005679999999999</v>
      </c>
      <c r="R990">
        <v>-4.8851650000000003E-3</v>
      </c>
      <c r="S990">
        <v>3.059113</v>
      </c>
      <c r="T990">
        <v>-0.16651009999999999</v>
      </c>
      <c r="U990">
        <v>-0.16296389999999999</v>
      </c>
      <c r="V990">
        <v>1.270424E-2</v>
      </c>
      <c r="W990">
        <v>0.1646176</v>
      </c>
      <c r="X990">
        <v>0.98627569999999998</v>
      </c>
      <c r="Y990">
        <v>6.0990009999999997E-2</v>
      </c>
      <c r="Z990">
        <v>-2.0873269999999999E-3</v>
      </c>
      <c r="AA990">
        <v>0.99813620000000003</v>
      </c>
      <c r="AB990">
        <v>36</v>
      </c>
      <c r="AC990">
        <v>20.208599999999901</v>
      </c>
      <c r="AD990">
        <v>-1.1103813584669999</v>
      </c>
      <c r="AE990">
        <v>-1.0883</v>
      </c>
      <c r="AF990">
        <v>1.2443376279160301</v>
      </c>
      <c r="AG990">
        <v>-1.1103813584669999</v>
      </c>
      <c r="AH990">
        <v>20.1387370855721</v>
      </c>
      <c r="AI990">
        <v>93.149903688134103</v>
      </c>
      <c r="AJ990">
        <v>86.464288143431801</v>
      </c>
      <c r="AK990">
        <v>20.207673153910498</v>
      </c>
      <c r="AL990">
        <v>80.524979715797002</v>
      </c>
      <c r="AM990">
        <v>89.262012558902299</v>
      </c>
      <c r="AN990">
        <v>1.0000000541771099</v>
      </c>
    </row>
    <row r="991" spans="1:40" x14ac:dyDescent="0.25">
      <c r="A991" t="str">
        <f>"20190312172348050"</f>
        <v>20190312172348050</v>
      </c>
      <c r="B991" t="str">
        <f>"1552382628040728"</f>
        <v>1552382628040728</v>
      </c>
      <c r="C991" t="s">
        <v>40</v>
      </c>
      <c r="D991">
        <v>3.9140709999999999</v>
      </c>
      <c r="E991">
        <v>0.52259699999999998</v>
      </c>
      <c r="F991" t="s">
        <v>43</v>
      </c>
      <c r="G991">
        <v>-220.9965</v>
      </c>
      <c r="H991" s="1">
        <v>-4.3765140000000003E-6</v>
      </c>
      <c r="I991">
        <v>366.61880000000002</v>
      </c>
      <c r="J991">
        <v>-241.05680000000001</v>
      </c>
      <c r="K991">
        <v>1.110379</v>
      </c>
      <c r="L991">
        <v>367.7004</v>
      </c>
      <c r="M991">
        <v>0.99985999999999997</v>
      </c>
      <c r="N991">
        <v>0</v>
      </c>
      <c r="O991">
        <v>7.9151129999999997E-3</v>
      </c>
      <c r="P991">
        <v>0.98865999999999998</v>
      </c>
      <c r="Q991">
        <v>0.15008669999999999</v>
      </c>
      <c r="R991">
        <v>-5.0514970000000003E-3</v>
      </c>
      <c r="S991">
        <v>3.059021</v>
      </c>
      <c r="T991">
        <v>-0.1677023</v>
      </c>
      <c r="U991">
        <v>-0.1631165</v>
      </c>
      <c r="V991">
        <v>1.2878290000000001E-2</v>
      </c>
      <c r="W991">
        <v>0.16464579999999901</v>
      </c>
      <c r="X991">
        <v>0.9862687</v>
      </c>
      <c r="Y991">
        <v>6.1047240000000003E-2</v>
      </c>
      <c r="Z991">
        <v>-2.1042909999999999E-3</v>
      </c>
      <c r="AA991">
        <v>0.99813260000000004</v>
      </c>
      <c r="AB991">
        <v>36</v>
      </c>
      <c r="AC991">
        <v>20.060300000000002</v>
      </c>
      <c r="AD991">
        <v>-1.1103833765140001</v>
      </c>
      <c r="AE991">
        <v>-1.0815999999999799</v>
      </c>
      <c r="AF991">
        <v>1.2365851493881099</v>
      </c>
      <c r="AG991">
        <v>-1.1103833765140001</v>
      </c>
      <c r="AH991">
        <v>19.9900401063888</v>
      </c>
      <c r="AI991">
        <v>93.173278457644997</v>
      </c>
      <c r="AJ991">
        <v>86.460190070613095</v>
      </c>
      <c r="AK991">
        <v>20.0590078899621</v>
      </c>
      <c r="AL991">
        <v>80.523341288841905</v>
      </c>
      <c r="AM991">
        <v>89.251897852195398</v>
      </c>
      <c r="AN991">
        <v>1.00000001920532</v>
      </c>
    </row>
    <row r="992" spans="1:40" x14ac:dyDescent="0.25">
      <c r="A992" t="str">
        <f>"20190312172348063"</f>
        <v>20190312172348063</v>
      </c>
      <c r="B992" t="str">
        <f>"1552382628050489"</f>
        <v>1552382628050489</v>
      </c>
      <c r="C992" t="s">
        <v>40</v>
      </c>
      <c r="D992">
        <v>4.2699689999999997</v>
      </c>
      <c r="E992">
        <v>0.52252779999999999</v>
      </c>
      <c r="F992" t="s">
        <v>43</v>
      </c>
      <c r="G992">
        <v>-221.9726</v>
      </c>
      <c r="H992" s="1">
        <v>-3.9885300000000004E-6</v>
      </c>
      <c r="I992">
        <v>366.44549999999998</v>
      </c>
      <c r="J992">
        <v>-240.8631</v>
      </c>
      <c r="K992">
        <v>1.1103809999999901</v>
      </c>
      <c r="L992">
        <v>367.70190000000002</v>
      </c>
      <c r="M992">
        <v>0.99985990000000002</v>
      </c>
      <c r="N992">
        <v>0</v>
      </c>
      <c r="O992">
        <v>7.9229909999999903E-3</v>
      </c>
      <c r="P992">
        <v>0.98866799999999999</v>
      </c>
      <c r="Q992">
        <v>0.15002449999999901</v>
      </c>
      <c r="R992">
        <v>-5.3290330000000004E-3</v>
      </c>
      <c r="S992">
        <v>3.0604100000000001</v>
      </c>
      <c r="T992">
        <v>-0.17806359999999999</v>
      </c>
      <c r="U992">
        <v>-0.20123289999999999</v>
      </c>
      <c r="V992">
        <v>1.316346E-2</v>
      </c>
      <c r="W992">
        <v>0.16458229999999999</v>
      </c>
      <c r="X992">
        <v>0.98627549999999997</v>
      </c>
      <c r="Y992">
        <v>7.3379700000000006E-2</v>
      </c>
      <c r="Z992">
        <v>-2.590799E-3</v>
      </c>
      <c r="AA992">
        <v>0.99730070000000004</v>
      </c>
      <c r="AB992">
        <v>36</v>
      </c>
      <c r="AC992">
        <v>18.890499999999999</v>
      </c>
      <c r="AD992">
        <v>-1.1103849885299999</v>
      </c>
      <c r="AE992">
        <v>-1.2564000000000399</v>
      </c>
      <c r="AF992">
        <v>1.4012260395990099</v>
      </c>
      <c r="AG992">
        <v>-1.1103849885299999</v>
      </c>
      <c r="AH992">
        <v>18.8152292756603</v>
      </c>
      <c r="AI992">
        <v>93.368100370704695</v>
      </c>
      <c r="AJ992">
        <v>85.740875434077395</v>
      </c>
      <c r="AK992">
        <v>18.899979945292799</v>
      </c>
      <c r="AL992">
        <v>80.527029573267896</v>
      </c>
      <c r="AM992">
        <v>89.235339493497094</v>
      </c>
      <c r="AN992">
        <v>0.99999998602635498</v>
      </c>
    </row>
    <row r="993" spans="1:40" x14ac:dyDescent="0.25">
      <c r="A993" t="str">
        <f>"20190312172348080"</f>
        <v>20190312172348080</v>
      </c>
      <c r="B993" t="str">
        <f>"1552382628070983"</f>
        <v>1552382628070983</v>
      </c>
      <c r="C993" t="s">
        <v>40</v>
      </c>
      <c r="D993">
        <v>3.9596309999999999</v>
      </c>
      <c r="E993">
        <v>0.52258470000000001</v>
      </c>
      <c r="F993" t="s">
        <v>41</v>
      </c>
      <c r="G993">
        <v>-239.82560000000001</v>
      </c>
      <c r="H993">
        <v>1.049693</v>
      </c>
      <c r="I993">
        <v>367.63350000000003</v>
      </c>
      <c r="J993">
        <v>-240.57089999999999</v>
      </c>
      <c r="K993">
        <v>1.110382</v>
      </c>
      <c r="L993">
        <v>367.70429999999999</v>
      </c>
      <c r="M993">
        <v>0.99985999999999997</v>
      </c>
      <c r="N993">
        <v>0</v>
      </c>
      <c r="O993">
        <v>7.9351040000000001E-3</v>
      </c>
      <c r="P993">
        <v>0.98868279999999997</v>
      </c>
      <c r="Q993">
        <v>0.14990539999999999</v>
      </c>
      <c r="R993">
        <v>-5.9193279999999997E-3</v>
      </c>
      <c r="S993">
        <v>3.0605009999999999</v>
      </c>
      <c r="T993">
        <v>-0.179176</v>
      </c>
      <c r="U993">
        <v>-0.20141600000000001</v>
      </c>
      <c r="V993">
        <v>1.3765990000000001E-2</v>
      </c>
      <c r="W993">
        <v>0.16446050000000001</v>
      </c>
      <c r="X993">
        <v>0.98628760000000004</v>
      </c>
      <c r="Y993">
        <v>7.3447410000000005E-2</v>
      </c>
      <c r="Z993">
        <v>-2.609559E-3</v>
      </c>
      <c r="AA993">
        <v>0.99729570000000001</v>
      </c>
      <c r="AB993">
        <v>36</v>
      </c>
      <c r="AC993">
        <v>0.74529999999998597</v>
      </c>
      <c r="AD993">
        <v>-6.0688999999999903E-2</v>
      </c>
      <c r="AE993">
        <v>-7.0799999999962795E-2</v>
      </c>
      <c r="AF993">
        <v>7.6211630203328606E-2</v>
      </c>
      <c r="AG993">
        <v>-6.0688999999999903E-2</v>
      </c>
      <c r="AH993">
        <v>0.739852814502311</v>
      </c>
      <c r="AI993">
        <v>94.664812783022697</v>
      </c>
      <c r="AJ993">
        <v>84.118752078655405</v>
      </c>
      <c r="AK993">
        <v>0.74623960925847399</v>
      </c>
      <c r="AL993">
        <v>80.534104685512403</v>
      </c>
      <c r="AM993">
        <v>89.200353004015497</v>
      </c>
      <c r="AN993">
        <v>0.99999999422734498</v>
      </c>
    </row>
    <row r="994" spans="1:40" x14ac:dyDescent="0.25">
      <c r="A994" t="str">
        <f>"20190312172348096"</f>
        <v>20190312172348096</v>
      </c>
      <c r="B994" t="str">
        <f>"1552382628090504"</f>
        <v>1552382628090504</v>
      </c>
      <c r="C994" t="s">
        <v>40</v>
      </c>
      <c r="D994">
        <v>3.9673389999999999</v>
      </c>
      <c r="E994">
        <v>0.52199719999999905</v>
      </c>
      <c r="F994" t="s">
        <v>43</v>
      </c>
      <c r="G994">
        <v>-222.05189999999999</v>
      </c>
      <c r="H994" s="1">
        <v>-3.9500110000000004E-6</v>
      </c>
      <c r="I994">
        <v>366.47070000000002</v>
      </c>
      <c r="J994">
        <v>-240.33709999999999</v>
      </c>
      <c r="K994">
        <v>1.110379</v>
      </c>
      <c r="L994">
        <v>367.70609999999999</v>
      </c>
      <c r="M994">
        <v>0.99985990000000002</v>
      </c>
      <c r="N994">
        <v>0</v>
      </c>
      <c r="O994">
        <v>7.9443610000000005E-3</v>
      </c>
      <c r="P994">
        <v>0.98870840000000004</v>
      </c>
      <c r="Q994">
        <v>0.14972009999999999</v>
      </c>
      <c r="R994">
        <v>-6.3188100000000002E-3</v>
      </c>
      <c r="S994">
        <v>3.0609280000000001</v>
      </c>
      <c r="T994">
        <v>-0.18353059999999999</v>
      </c>
      <c r="U994">
        <v>-0.20388790000000001</v>
      </c>
      <c r="V994">
        <v>1.417472E-2</v>
      </c>
      <c r="W994">
        <v>0.16427329999999901</v>
      </c>
      <c r="X994">
        <v>0.986313</v>
      </c>
      <c r="Y994">
        <v>7.4241139999999997E-2</v>
      </c>
      <c r="Z994">
        <v>-2.6967279999999998E-3</v>
      </c>
      <c r="AA994">
        <v>0.99723669999999998</v>
      </c>
      <c r="AB994">
        <v>36</v>
      </c>
      <c r="AC994">
        <v>18.2852</v>
      </c>
      <c r="AD994">
        <v>-1.1103829500110001</v>
      </c>
      <c r="AE994">
        <v>-1.2353999999999601</v>
      </c>
      <c r="AF994">
        <v>1.375591396545</v>
      </c>
      <c r="AG994">
        <v>-1.1103829500110001</v>
      </c>
      <c r="AH994">
        <v>18.207968358406301</v>
      </c>
      <c r="AI994">
        <v>93.479874563011805</v>
      </c>
      <c r="AJ994">
        <v>85.679576043690801</v>
      </c>
      <c r="AK994">
        <v>18.293586682951201</v>
      </c>
      <c r="AL994">
        <v>80.544978275055797</v>
      </c>
      <c r="AM994">
        <v>89.176634876168805</v>
      </c>
      <c r="AN994">
        <v>0.99999998687448399</v>
      </c>
    </row>
    <row r="995" spans="1:40" x14ac:dyDescent="0.25">
      <c r="A995" t="str">
        <f>"20190312172348113"</f>
        <v>20190312172348113</v>
      </c>
      <c r="B995" t="str">
        <f>"1552382628110999"</f>
        <v>1552382628110999</v>
      </c>
      <c r="C995" t="s">
        <v>40</v>
      </c>
      <c r="D995">
        <v>3.9535230000000001</v>
      </c>
      <c r="E995">
        <v>0.52169399999999999</v>
      </c>
      <c r="F995" t="s">
        <v>43</v>
      </c>
      <c r="G995">
        <v>-222.0429</v>
      </c>
      <c r="H995" s="1">
        <v>-3.9472860000000003E-6</v>
      </c>
      <c r="I995">
        <v>366.50779999999997</v>
      </c>
      <c r="J995">
        <v>-240.04339999999999</v>
      </c>
      <c r="K995">
        <v>1.1103780000000001</v>
      </c>
      <c r="L995">
        <v>367.70850000000002</v>
      </c>
      <c r="M995">
        <v>0.99985979999999997</v>
      </c>
      <c r="N995">
        <v>0</v>
      </c>
      <c r="O995">
        <v>7.9564809999999996E-3</v>
      </c>
      <c r="P995">
        <v>0.98871849999999994</v>
      </c>
      <c r="Q995">
        <v>0.14961179999999999</v>
      </c>
      <c r="R995">
        <v>-7.2269069999999899E-3</v>
      </c>
      <c r="S995">
        <v>3.0611109999999999</v>
      </c>
      <c r="T995">
        <v>-0.1857963</v>
      </c>
      <c r="U995">
        <v>-0.2005005</v>
      </c>
      <c r="V995">
        <v>1.5094939999999999E-2</v>
      </c>
      <c r="W995">
        <v>0.1641618</v>
      </c>
      <c r="X995">
        <v>0.98631789999999997</v>
      </c>
      <c r="Y995">
        <v>7.3148820000000003E-2</v>
      </c>
      <c r="Z995">
        <v>-2.6975459999999999E-3</v>
      </c>
      <c r="AA995">
        <v>0.99731740000000002</v>
      </c>
      <c r="AB995">
        <v>36</v>
      </c>
      <c r="AC995">
        <v>18.000499999999899</v>
      </c>
      <c r="AD995">
        <v>-1.1103819472859999</v>
      </c>
      <c r="AE995">
        <v>-1.2007000000000401</v>
      </c>
      <c r="AF995">
        <v>1.33882625601154</v>
      </c>
      <c r="AG995">
        <v>-1.1103819472859999</v>
      </c>
      <c r="AH995">
        <v>17.922479483862801</v>
      </c>
      <c r="AI995">
        <v>93.535386517589203</v>
      </c>
      <c r="AJ995">
        <v>85.727885473396498</v>
      </c>
      <c r="AK995">
        <v>18.0066841662236</v>
      </c>
      <c r="AL995">
        <v>80.551454581442798</v>
      </c>
      <c r="AM995">
        <v>89.123194622202803</v>
      </c>
      <c r="AN995">
        <v>0.999999976826626</v>
      </c>
    </row>
    <row r="996" spans="1:40" x14ac:dyDescent="0.25">
      <c r="A996" t="str">
        <f>"20190312172348128"</f>
        <v>20190312172348128</v>
      </c>
      <c r="B996" t="str">
        <f>"1552382628120289"</f>
        <v>1552382628120289</v>
      </c>
      <c r="C996" t="s">
        <v>40</v>
      </c>
      <c r="D996">
        <v>3.9695710000000002</v>
      </c>
      <c r="E996">
        <v>0.52165850000000002</v>
      </c>
      <c r="F996" t="s">
        <v>43</v>
      </c>
      <c r="G996">
        <v>-222.19159999999999</v>
      </c>
      <c r="H996" s="1">
        <v>-3.8782609999999998E-6</v>
      </c>
      <c r="I996">
        <v>366.53739999999999</v>
      </c>
      <c r="J996">
        <v>-239.81899999999999</v>
      </c>
      <c r="K996">
        <v>1.1103799999999999</v>
      </c>
      <c r="L996">
        <v>367.71030000000002</v>
      </c>
      <c r="M996">
        <v>0.99985990000000002</v>
      </c>
      <c r="N996">
        <v>0</v>
      </c>
      <c r="O996">
        <v>7.9659120000000003E-3</v>
      </c>
      <c r="P996">
        <v>0.98867329999999998</v>
      </c>
      <c r="Q996">
        <v>0.14989229999999901</v>
      </c>
      <c r="R996">
        <v>-7.5982180000000003E-3</v>
      </c>
      <c r="S996">
        <v>3.0615839999999999</v>
      </c>
      <c r="T996">
        <v>-0.1904293</v>
      </c>
      <c r="U996">
        <v>-0.20083619999999999</v>
      </c>
      <c r="V996">
        <v>1.5475360000000001E-2</v>
      </c>
      <c r="W996">
        <v>0.16443929999999901</v>
      </c>
      <c r="X996">
        <v>0.98626579999999997</v>
      </c>
      <c r="Y996">
        <v>7.3249399999999895E-2</v>
      </c>
      <c r="Z996">
        <v>-2.7679570000000001E-3</v>
      </c>
      <c r="AA996">
        <v>0.99730980000000002</v>
      </c>
      <c r="AB996">
        <v>36</v>
      </c>
      <c r="AC996">
        <v>17.627400000000002</v>
      </c>
      <c r="AD996">
        <v>-1.1103838782609901</v>
      </c>
      <c r="AE996">
        <v>-1.17290000000002</v>
      </c>
      <c r="AF996">
        <v>1.3081285613898399</v>
      </c>
      <c r="AG996">
        <v>-1.1103838782609901</v>
      </c>
      <c r="AH996">
        <v>17.5481724359047</v>
      </c>
      <c r="AI996">
        <v>93.610647751129605</v>
      </c>
      <c r="AJ996">
        <v>85.736771154564295</v>
      </c>
      <c r="AK996">
        <v>17.631860608865701</v>
      </c>
      <c r="AL996">
        <v>80.5353361690116</v>
      </c>
      <c r="AM996">
        <v>89.101053632818903</v>
      </c>
      <c r="AN996">
        <v>0.99999999920062899</v>
      </c>
    </row>
    <row r="997" spans="1:40" x14ac:dyDescent="0.25">
      <c r="A997" t="str">
        <f>"20190312172348138"</f>
        <v>20190312172348138</v>
      </c>
      <c r="B997" t="str">
        <f>"1552382628131026"</f>
        <v>1552382628131026</v>
      </c>
      <c r="C997" t="s">
        <v>40</v>
      </c>
      <c r="D997">
        <v>3.9854579999999999</v>
      </c>
      <c r="E997">
        <v>0.52153700000000003</v>
      </c>
      <c r="F997" t="s">
        <v>41</v>
      </c>
      <c r="G997">
        <v>-238.86779999999999</v>
      </c>
      <c r="H997">
        <v>1.0512269999999999</v>
      </c>
      <c r="I997">
        <v>367.64760000000001</v>
      </c>
      <c r="J997">
        <v>-239.63650000000001</v>
      </c>
      <c r="K997">
        <v>1.1103799999999999</v>
      </c>
      <c r="L997">
        <v>367.71179999999998</v>
      </c>
      <c r="M997">
        <v>0.99985970000000002</v>
      </c>
      <c r="N997">
        <v>0</v>
      </c>
      <c r="O997">
        <v>7.9736119999999997E-3</v>
      </c>
      <c r="P997">
        <v>0.98868420000000001</v>
      </c>
      <c r="Q997">
        <v>0.14979729999999999</v>
      </c>
      <c r="R997">
        <v>-8.0286509999999995E-3</v>
      </c>
      <c r="S997">
        <v>3.0616759999999998</v>
      </c>
      <c r="T997">
        <v>-0.19044849999999999</v>
      </c>
      <c r="U997">
        <v>-0.2015381</v>
      </c>
      <c r="V997">
        <v>1.5913420000000001E-2</v>
      </c>
      <c r="W997">
        <v>0.1643424</v>
      </c>
      <c r="X997">
        <v>0.98627500000000001</v>
      </c>
      <c r="Y997">
        <v>7.34823E-2</v>
      </c>
      <c r="Z997">
        <v>-2.7758399999999999E-3</v>
      </c>
      <c r="AA997">
        <v>0.99729259999999997</v>
      </c>
      <c r="AB997">
        <v>36</v>
      </c>
      <c r="AC997">
        <v>0.76870000000002303</v>
      </c>
      <c r="AD997">
        <v>-5.9152999999999699E-2</v>
      </c>
      <c r="AE997">
        <v>-6.41999999999711E-2</v>
      </c>
      <c r="AF997">
        <v>6.99167872751741E-2</v>
      </c>
      <c r="AG997">
        <v>-5.9152999999999699E-2</v>
      </c>
      <c r="AH997">
        <v>0.76367274895459902</v>
      </c>
      <c r="AI997">
        <v>94.410831191892797</v>
      </c>
      <c r="AJ997">
        <v>84.768963298199594</v>
      </c>
      <c r="AK997">
        <v>0.76914465612637295</v>
      </c>
      <c r="AL997">
        <v>80.540964888930205</v>
      </c>
      <c r="AM997">
        <v>89.075620192925797</v>
      </c>
      <c r="AN997">
        <v>1.00000001849942</v>
      </c>
    </row>
    <row r="998" spans="1:40" x14ac:dyDescent="0.25">
      <c r="A998" t="str">
        <f>"20190312172348151"</f>
        <v>20190312172348151</v>
      </c>
      <c r="B998" t="str">
        <f>"1552382628140786"</f>
        <v>1552382628140786</v>
      </c>
      <c r="C998" t="s">
        <v>40</v>
      </c>
      <c r="D998">
        <v>3.9927760000000001</v>
      </c>
      <c r="E998">
        <v>0.521503299999999</v>
      </c>
      <c r="F998" t="s">
        <v>43</v>
      </c>
      <c r="G998">
        <v>-221.8879</v>
      </c>
      <c r="H998" s="1">
        <v>-4.007853E-6</v>
      </c>
      <c r="I998">
        <v>366.54129999999998</v>
      </c>
      <c r="J998">
        <v>-239.4504</v>
      </c>
      <c r="K998">
        <v>1.1103809999999901</v>
      </c>
      <c r="L998">
        <v>367.71319999999997</v>
      </c>
      <c r="M998">
        <v>0.99985979999999997</v>
      </c>
      <c r="N998">
        <v>0</v>
      </c>
      <c r="O998">
        <v>7.9813729999999999E-3</v>
      </c>
      <c r="P998">
        <v>0.98868409999999995</v>
      </c>
      <c r="Q998">
        <v>0.1497493</v>
      </c>
      <c r="R998">
        <v>-8.9005049999999995E-3</v>
      </c>
      <c r="S998">
        <v>3.0617220000000001</v>
      </c>
      <c r="T998">
        <v>-0.19154579999999999</v>
      </c>
      <c r="U998">
        <v>-0.20190430000000001</v>
      </c>
      <c r="V998">
        <v>1.6792979999999999E-2</v>
      </c>
      <c r="W998">
        <v>0.1642921</v>
      </c>
      <c r="X998">
        <v>0.98626879999999995</v>
      </c>
      <c r="Y998">
        <v>7.3605779999999996E-2</v>
      </c>
      <c r="Z998">
        <v>-2.7960889999999999E-3</v>
      </c>
      <c r="AA998">
        <v>0.99728349999999999</v>
      </c>
      <c r="AB998">
        <v>36</v>
      </c>
      <c r="AC998">
        <v>17.5625</v>
      </c>
      <c r="AD998">
        <v>-1.11038500785299</v>
      </c>
      <c r="AE998">
        <v>-1.1718999999999899</v>
      </c>
      <c r="AF998">
        <v>1.3068499092586501</v>
      </c>
      <c r="AG998">
        <v>-1.11038500785299</v>
      </c>
      <c r="AH998">
        <v>17.483009807097002</v>
      </c>
      <c r="AI998">
        <v>93.624018300999296</v>
      </c>
      <c r="AJ998">
        <v>85.725107295510696</v>
      </c>
      <c r="AK998">
        <v>17.566913316403799</v>
      </c>
      <c r="AL998">
        <v>80.5438866136748</v>
      </c>
      <c r="AM998">
        <v>89.024531735524803</v>
      </c>
      <c r="AN998">
        <v>1.0000000220765599</v>
      </c>
    </row>
    <row r="999" spans="1:40" x14ac:dyDescent="0.25">
      <c r="A999" t="str">
        <f>"20190312172348163"</f>
        <v>20190312172348163</v>
      </c>
      <c r="B999" t="str">
        <f>"1552382628150545"</f>
        <v>1552382628150545</v>
      </c>
      <c r="C999" t="s">
        <v>40</v>
      </c>
      <c r="D999">
        <v>3.9957020000000001</v>
      </c>
      <c r="E999">
        <v>0.52145580000000002</v>
      </c>
      <c r="F999" t="s">
        <v>41</v>
      </c>
      <c r="G999">
        <v>-238.54349999999999</v>
      </c>
      <c r="H999">
        <v>1.0531969999999999</v>
      </c>
      <c r="I999">
        <v>367.65249999999997</v>
      </c>
      <c r="J999">
        <v>-239.25559999999999</v>
      </c>
      <c r="K999">
        <v>1.1103809999999901</v>
      </c>
      <c r="L999">
        <v>367.71480000000003</v>
      </c>
      <c r="M999">
        <v>0.99985970000000002</v>
      </c>
      <c r="N999">
        <v>0</v>
      </c>
      <c r="O999">
        <v>7.9896110000000006E-3</v>
      </c>
      <c r="P999">
        <v>0.9886798</v>
      </c>
      <c r="Q999">
        <v>0.14974009999999999</v>
      </c>
      <c r="R999">
        <v>-9.5132010000000006E-3</v>
      </c>
      <c r="S999">
        <v>3.0617679999999998</v>
      </c>
      <c r="T999">
        <v>-0.19329299999999999</v>
      </c>
      <c r="U999">
        <v>-0.2042542</v>
      </c>
      <c r="V999">
        <v>1.741378E-2</v>
      </c>
      <c r="W999">
        <v>0.16428129999999999</v>
      </c>
      <c r="X999">
        <v>0.98625980000000002</v>
      </c>
      <c r="Y999">
        <v>7.4370629999999993E-2</v>
      </c>
      <c r="Z999">
        <v>-2.8460410000000001E-3</v>
      </c>
      <c r="AA999">
        <v>0.99722659999999996</v>
      </c>
      <c r="AB999">
        <v>36</v>
      </c>
      <c r="AC999">
        <v>0.71209999999999196</v>
      </c>
      <c r="AD999">
        <v>-5.7183999999999902E-2</v>
      </c>
      <c r="AE999">
        <v>-6.2300000000050197E-2</v>
      </c>
      <c r="AF999">
        <v>6.7555697570155407E-2</v>
      </c>
      <c r="AG999">
        <v>-5.7183999999999902E-2</v>
      </c>
      <c r="AH999">
        <v>0.70705456453930104</v>
      </c>
      <c r="AI999">
        <v>94.602938783214995</v>
      </c>
      <c r="AJ999">
        <v>84.542228601177996</v>
      </c>
      <c r="AK999">
        <v>0.71257276075222797</v>
      </c>
      <c r="AL999">
        <v>80.544513617770505</v>
      </c>
      <c r="AM999">
        <v>88.988468922621294</v>
      </c>
      <c r="AN999">
        <v>0.99999998917980903</v>
      </c>
    </row>
    <row r="1000" spans="1:40" x14ac:dyDescent="0.25">
      <c r="A1000" t="str">
        <f>"20190312172348174"</f>
        <v>20190312172348174</v>
      </c>
      <c r="B1000" t="str">
        <f>"1552382628171042"</f>
        <v>1552382628171042</v>
      </c>
      <c r="C1000" t="s">
        <v>40</v>
      </c>
      <c r="D1000">
        <v>3.98936</v>
      </c>
      <c r="E1000">
        <v>0.52147940000000004</v>
      </c>
      <c r="F1000" t="s">
        <v>41</v>
      </c>
      <c r="G1000">
        <v>-238.2364</v>
      </c>
      <c r="H1000">
        <v>1.0458229999999999</v>
      </c>
      <c r="I1000">
        <v>367.64609999999999</v>
      </c>
      <c r="J1000">
        <v>-239.06540000000001</v>
      </c>
      <c r="K1000">
        <v>1.1103829999999999</v>
      </c>
      <c r="L1000">
        <v>367.71629999999999</v>
      </c>
      <c r="M1000">
        <v>0.99985979999999997</v>
      </c>
      <c r="N1000">
        <v>0</v>
      </c>
      <c r="O1000">
        <v>7.9976690000000007E-3</v>
      </c>
      <c r="P1000">
        <v>0.98866270000000001</v>
      </c>
      <c r="Q1000">
        <v>0.149779</v>
      </c>
      <c r="R1000">
        <v>-1.060491E-2</v>
      </c>
      <c r="S1000">
        <v>3.0617679999999998</v>
      </c>
      <c r="T1000">
        <v>-0.19405410000000001</v>
      </c>
      <c r="U1000">
        <v>-0.2057495</v>
      </c>
      <c r="V1000">
        <v>1.8513439999999999E-2</v>
      </c>
      <c r="W1000">
        <v>0.16431750000000001</v>
      </c>
      <c r="X1000">
        <v>0.98623380000000005</v>
      </c>
      <c r="Y1000">
        <v>7.4861239999999996E-2</v>
      </c>
      <c r="Z1000">
        <v>-2.873203E-3</v>
      </c>
      <c r="AA1000">
        <v>0.99718980000000002</v>
      </c>
      <c r="AB1000">
        <v>36</v>
      </c>
      <c r="AC1000">
        <v>0.82900000000000695</v>
      </c>
      <c r="AD1000">
        <v>-6.4559999999999895E-2</v>
      </c>
      <c r="AE1000">
        <v>-7.0199999999999804E-2</v>
      </c>
      <c r="AF1000">
        <v>7.6368674778757001E-2</v>
      </c>
      <c r="AG1000">
        <v>-6.4559999999999895E-2</v>
      </c>
      <c r="AH1000">
        <v>0.82345344299936296</v>
      </c>
      <c r="AI1000">
        <v>94.463828100663903</v>
      </c>
      <c r="AJ1000">
        <v>84.701434330321803</v>
      </c>
      <c r="AK1000">
        <v>0.82950330974322795</v>
      </c>
      <c r="AL1000">
        <v>80.542411500103498</v>
      </c>
      <c r="AM1000">
        <v>88.924578120394798</v>
      </c>
      <c r="AN1000">
        <v>1.00000004826466</v>
      </c>
    </row>
    <row r="1001" spans="1:40" x14ac:dyDescent="0.25">
      <c r="A1001" t="str">
        <f>"20190312172348187"</f>
        <v>20190312172348187</v>
      </c>
      <c r="B1001" t="str">
        <f>"1552382628180802"</f>
        <v>1552382628180802</v>
      </c>
      <c r="C1001" t="s">
        <v>40</v>
      </c>
      <c r="D1001">
        <v>3.967079</v>
      </c>
      <c r="E1001">
        <v>0.52150059999999998</v>
      </c>
      <c r="F1001" t="s">
        <v>43</v>
      </c>
      <c r="G1001">
        <v>-221.7012</v>
      </c>
      <c r="H1001" s="1">
        <v>-4.0904470000000001E-6</v>
      </c>
      <c r="I1001">
        <v>366.52730000000003</v>
      </c>
      <c r="J1001">
        <v>-238.87880000000001</v>
      </c>
      <c r="K1001">
        <v>1.110385</v>
      </c>
      <c r="L1001">
        <v>367.71780000000001</v>
      </c>
      <c r="M1001">
        <v>0.99985959999999996</v>
      </c>
      <c r="N1001">
        <v>0</v>
      </c>
      <c r="O1001">
        <v>8.0055509999999996E-3</v>
      </c>
      <c r="P1001">
        <v>0.98861189999999999</v>
      </c>
      <c r="Q1001">
        <v>0.1500203</v>
      </c>
      <c r="R1001">
        <v>-1.1844E-2</v>
      </c>
      <c r="S1001">
        <v>3.0618289999999999</v>
      </c>
      <c r="T1001">
        <v>-0.1957932</v>
      </c>
      <c r="U1001">
        <v>-0.2096558</v>
      </c>
      <c r="V1001">
        <v>1.9760090000000001E-2</v>
      </c>
      <c r="W1001">
        <v>0.16455600000000001</v>
      </c>
      <c r="X1001">
        <v>0.98616979999999999</v>
      </c>
      <c r="Y1001">
        <v>7.612853E-2</v>
      </c>
      <c r="Z1001">
        <v>-2.9396520000000001E-3</v>
      </c>
      <c r="AA1001">
        <v>0.99709369999999997</v>
      </c>
      <c r="AB1001">
        <v>36</v>
      </c>
      <c r="AC1001">
        <v>17.177600000000002</v>
      </c>
      <c r="AD1001">
        <v>-1.110389090447</v>
      </c>
      <c r="AE1001">
        <v>-1.1904999999999799</v>
      </c>
      <c r="AF1001">
        <v>1.32249321163852</v>
      </c>
      <c r="AG1001">
        <v>-1.110389090447</v>
      </c>
      <c r="AH1001">
        <v>17.0964210615845</v>
      </c>
      <c r="AI1001">
        <v>93.705025394331699</v>
      </c>
      <c r="AJ1001">
        <v>85.576695126868202</v>
      </c>
      <c r="AK1001">
        <v>17.183409595944699</v>
      </c>
      <c r="AL1001">
        <v>80.528557476144201</v>
      </c>
      <c r="AM1001">
        <v>88.852106119948601</v>
      </c>
      <c r="AN1001">
        <v>1.0000000063624199</v>
      </c>
    </row>
    <row r="1002" spans="1:40" x14ac:dyDescent="0.25">
      <c r="A1002" t="str">
        <f>"20190312172348198"</f>
        <v>20190312172348198</v>
      </c>
      <c r="B1002" t="str">
        <f>"1552382628190562"</f>
        <v>1552382628190562</v>
      </c>
      <c r="C1002" t="s">
        <v>40</v>
      </c>
      <c r="D1002">
        <v>3.9826969999999999</v>
      </c>
      <c r="E1002">
        <v>0.5215592</v>
      </c>
      <c r="F1002" t="s">
        <v>41</v>
      </c>
      <c r="G1002">
        <v>-237.9161</v>
      </c>
      <c r="H1002">
        <v>1.0489440000000001</v>
      </c>
      <c r="I1002">
        <v>367.65050000000002</v>
      </c>
      <c r="J1002">
        <v>-238.68629999999999</v>
      </c>
      <c r="K1002">
        <v>1.1103769999999999</v>
      </c>
      <c r="L1002">
        <v>367.71940000000001</v>
      </c>
      <c r="M1002">
        <v>0.99985970000000002</v>
      </c>
      <c r="N1002">
        <v>0</v>
      </c>
      <c r="O1002">
        <v>8.0133159999999995E-3</v>
      </c>
      <c r="P1002">
        <v>0.98856429999999995</v>
      </c>
      <c r="Q1002">
        <v>0.1502503</v>
      </c>
      <c r="R1002">
        <v>-1.287781E-2</v>
      </c>
      <c r="S1002">
        <v>3.0616910000000002</v>
      </c>
      <c r="T1002">
        <v>-0.19559170000000001</v>
      </c>
      <c r="U1002">
        <v>-0.21374509999999999</v>
      </c>
      <c r="V1002">
        <v>2.080102E-2</v>
      </c>
      <c r="W1002">
        <v>0.1647827</v>
      </c>
      <c r="X1002">
        <v>0.9861105</v>
      </c>
      <c r="Y1002">
        <v>7.7462320000000001E-2</v>
      </c>
      <c r="Z1002">
        <v>-2.9796340000000001E-3</v>
      </c>
      <c r="AA1002">
        <v>0.99699079999999995</v>
      </c>
      <c r="AB1002">
        <v>36</v>
      </c>
      <c r="AC1002">
        <v>0.77019999999998801</v>
      </c>
      <c r="AD1002">
        <v>-6.14329999999998E-2</v>
      </c>
      <c r="AE1002">
        <v>-6.8899999999985001E-2</v>
      </c>
      <c r="AF1002">
        <v>7.4599474181846606E-2</v>
      </c>
      <c r="AG1002">
        <v>-6.14329999999998E-2</v>
      </c>
      <c r="AH1002">
        <v>0.76479605401796302</v>
      </c>
      <c r="AI1002">
        <v>94.570879361094697</v>
      </c>
      <c r="AJ1002">
        <v>84.428898651232601</v>
      </c>
      <c r="AK1002">
        <v>0.77087748655584398</v>
      </c>
      <c r="AL1002">
        <v>80.515388400949803</v>
      </c>
      <c r="AM1002">
        <v>88.791581740019595</v>
      </c>
      <c r="AN1002">
        <v>0.99999996943128899</v>
      </c>
    </row>
    <row r="1003" spans="1:40" x14ac:dyDescent="0.25">
      <c r="A1003" t="str">
        <f>"20190312172348213"</f>
        <v>20190312172348213</v>
      </c>
      <c r="B1003" t="str">
        <f>"1552382628200322"</f>
        <v>1552382628200322</v>
      </c>
      <c r="C1003" t="s">
        <v>40</v>
      </c>
      <c r="D1003">
        <v>3.9703550000000001</v>
      </c>
      <c r="E1003">
        <v>0.52159009999999995</v>
      </c>
      <c r="F1003" t="s">
        <v>43</v>
      </c>
      <c r="G1003">
        <v>-221.30250000000001</v>
      </c>
      <c r="H1003" s="1">
        <v>-4.269166E-6</v>
      </c>
      <c r="I1003">
        <v>366.48390000000001</v>
      </c>
      <c r="J1003">
        <v>-238.45249999999999</v>
      </c>
      <c r="K1003">
        <v>1.110379</v>
      </c>
      <c r="L1003">
        <v>367.72129999999999</v>
      </c>
      <c r="M1003">
        <v>0.99985959999999996</v>
      </c>
      <c r="N1003">
        <v>0</v>
      </c>
      <c r="O1003">
        <v>8.0227530000000005E-3</v>
      </c>
      <c r="P1003">
        <v>0.98849089999999995</v>
      </c>
      <c r="Q1003">
        <v>0.1505504</v>
      </c>
      <c r="R1003">
        <v>-1.4856950000000001E-2</v>
      </c>
      <c r="S1003">
        <v>3.0615839999999999</v>
      </c>
      <c r="T1003">
        <v>-0.19555620000000001</v>
      </c>
      <c r="U1003">
        <v>-0.21759029999999999</v>
      </c>
      <c r="V1003">
        <v>2.2788510000000001E-2</v>
      </c>
      <c r="W1003">
        <v>0.165079</v>
      </c>
      <c r="X1003">
        <v>0.98601700000000003</v>
      </c>
      <c r="Y1003">
        <v>7.8717570000000001E-2</v>
      </c>
      <c r="Z1003">
        <v>-3.0196670000000002E-3</v>
      </c>
      <c r="AA1003">
        <v>0.99689240000000001</v>
      </c>
      <c r="AB1003">
        <v>36</v>
      </c>
      <c r="AC1003">
        <v>17.149999999999899</v>
      </c>
      <c r="AD1003">
        <v>-1.1103832691660001</v>
      </c>
      <c r="AE1003">
        <v>-1.2373999999999701</v>
      </c>
      <c r="AF1003">
        <v>1.36925513070484</v>
      </c>
      <c r="AG1003">
        <v>-1.1103832691660001</v>
      </c>
      <c r="AH1003">
        <v>17.068340193831801</v>
      </c>
      <c r="AI1003">
        <v>93.710253812181605</v>
      </c>
      <c r="AJ1003">
        <v>85.413444378765604</v>
      </c>
      <c r="AK1003">
        <v>17.159138894180501</v>
      </c>
      <c r="AL1003">
        <v>80.498175832305407</v>
      </c>
      <c r="AM1003">
        <v>88.676033940924398</v>
      </c>
      <c r="AN1003">
        <v>0.99999995835900901</v>
      </c>
    </row>
    <row r="1004" spans="1:40" x14ac:dyDescent="0.25">
      <c r="A1004" t="str">
        <f>"20190312172348227"</f>
        <v>20190312172348227</v>
      </c>
      <c r="B1004" t="str">
        <f>"1552382628220350"</f>
        <v>1552382628220350</v>
      </c>
      <c r="C1004" t="s">
        <v>40</v>
      </c>
      <c r="D1004">
        <v>3.9670200000000002</v>
      </c>
      <c r="E1004">
        <v>0.52155169999999995</v>
      </c>
      <c r="F1004" t="s">
        <v>43</v>
      </c>
      <c r="G1004">
        <v>-221.03399999999999</v>
      </c>
      <c r="H1004" s="1">
        <v>-4.3912840000000002E-6</v>
      </c>
      <c r="I1004">
        <v>366.44490000000002</v>
      </c>
      <c r="J1004">
        <v>-238.24359999999999</v>
      </c>
      <c r="K1004">
        <v>1.1103769999999999</v>
      </c>
      <c r="L1004">
        <v>367.72289999999998</v>
      </c>
      <c r="M1004">
        <v>0.99985959999999996</v>
      </c>
      <c r="N1004">
        <v>0</v>
      </c>
      <c r="O1004">
        <v>8.0311749999999998E-3</v>
      </c>
      <c r="P1004">
        <v>0.98844920000000003</v>
      </c>
      <c r="Q1004">
        <v>0.1507444</v>
      </c>
      <c r="R1004">
        <v>-1.5645409999999998E-2</v>
      </c>
      <c r="S1004">
        <v>3.0612949999999999</v>
      </c>
      <c r="T1004">
        <v>-0.19514870000000001</v>
      </c>
      <c r="U1004">
        <v>-0.22430420000000001</v>
      </c>
      <c r="V1004">
        <v>2.358509E-2</v>
      </c>
      <c r="W1004">
        <v>0.16527039999999901</v>
      </c>
      <c r="X1004">
        <v>0.98596629999999996</v>
      </c>
      <c r="Y1004">
        <v>8.0903749999999997E-2</v>
      </c>
      <c r="Z1004">
        <v>-3.0834899999999999E-3</v>
      </c>
      <c r="AA1004">
        <v>0.99671719999999997</v>
      </c>
      <c r="AB1004">
        <v>36</v>
      </c>
      <c r="AC1004">
        <v>17.209599999999899</v>
      </c>
      <c r="AD1004">
        <v>-1.1103813912839999</v>
      </c>
      <c r="AE1004">
        <v>-1.2779999999999601</v>
      </c>
      <c r="AF1004">
        <v>1.41034800367197</v>
      </c>
      <c r="AG1004">
        <v>-1.1103813912839999</v>
      </c>
      <c r="AH1004">
        <v>17.1278682443584</v>
      </c>
      <c r="AI1004">
        <v>93.696757144610601</v>
      </c>
      <c r="AJ1004">
        <v>85.292753548450406</v>
      </c>
      <c r="AK1004">
        <v>17.221669458030799</v>
      </c>
      <c r="AL1004">
        <v>80.4870576009275</v>
      </c>
      <c r="AM1004">
        <v>88.629701177284502</v>
      </c>
      <c r="AN1004">
        <v>1.00000005316107</v>
      </c>
    </row>
    <row r="1005" spans="1:40" x14ac:dyDescent="0.25">
      <c r="A1005" t="str">
        <f>"20190312172348238"</f>
        <v>20190312172348238</v>
      </c>
      <c r="B1005" t="str">
        <f>"1552382628231087"</f>
        <v>1552382628231087</v>
      </c>
      <c r="C1005" t="s">
        <v>40</v>
      </c>
      <c r="D1005">
        <v>3.9825599999999999</v>
      </c>
      <c r="E1005">
        <v>0.52149699999999999</v>
      </c>
      <c r="F1005" t="s">
        <v>41</v>
      </c>
      <c r="G1005">
        <v>-237.28190000000001</v>
      </c>
      <c r="H1005">
        <v>1.0491189999999999</v>
      </c>
      <c r="I1005">
        <v>367.65140000000002</v>
      </c>
      <c r="J1005">
        <v>-238.053</v>
      </c>
      <c r="K1005">
        <v>1.1103780000000001</v>
      </c>
      <c r="L1005">
        <v>367.72449999999998</v>
      </c>
      <c r="M1005">
        <v>0.99985959999999996</v>
      </c>
      <c r="N1005">
        <v>0</v>
      </c>
      <c r="O1005">
        <v>8.0386999999999993E-3</v>
      </c>
      <c r="P1005">
        <v>0.98842169999999896</v>
      </c>
      <c r="Q1005">
        <v>0.15079219999999999</v>
      </c>
      <c r="R1005">
        <v>-1.687257E-2</v>
      </c>
      <c r="S1005">
        <v>3.0612490000000001</v>
      </c>
      <c r="T1005">
        <v>-0.19531689999999999</v>
      </c>
      <c r="U1005">
        <v>-0.22668460000000001</v>
      </c>
      <c r="V1005">
        <v>2.4819239999999999E-2</v>
      </c>
      <c r="W1005">
        <v>0.16531599999999999</v>
      </c>
      <c r="X1005">
        <v>0.98592829999999998</v>
      </c>
      <c r="Y1005">
        <v>8.1681290000000004E-2</v>
      </c>
      <c r="Z1005">
        <v>-3.1113249999999999E-3</v>
      </c>
      <c r="AA1005">
        <v>0.99665360000000003</v>
      </c>
      <c r="AB1005">
        <v>35</v>
      </c>
      <c r="AC1005">
        <v>0.77109999999998902</v>
      </c>
      <c r="AD1005">
        <v>-6.1258999999999897E-2</v>
      </c>
      <c r="AE1005">
        <v>-7.3099999999953896E-2</v>
      </c>
      <c r="AF1005">
        <v>7.8804023748926894E-2</v>
      </c>
      <c r="AG1005">
        <v>-6.1258999999999897E-2</v>
      </c>
      <c r="AH1005">
        <v>0.76569788597455501</v>
      </c>
      <c r="AI1005">
        <v>94.550223892192193</v>
      </c>
      <c r="AJ1005">
        <v>84.1239266640426</v>
      </c>
      <c r="AK1005">
        <v>0.77217614041481797</v>
      </c>
      <c r="AL1005">
        <v>80.484407901688797</v>
      </c>
      <c r="AM1005">
        <v>88.557970763866507</v>
      </c>
      <c r="AN1005">
        <v>0.99999999363553305</v>
      </c>
    </row>
    <row r="1006" spans="1:40" x14ac:dyDescent="0.25">
      <c r="A1006" t="str">
        <f>"20190312172348250"</f>
        <v>20190312172348250</v>
      </c>
      <c r="B1006" t="str">
        <f>"1552382628240847"</f>
        <v>1552382628240847</v>
      </c>
      <c r="C1006" t="s">
        <v>40</v>
      </c>
      <c r="D1006">
        <v>3.9660500000000001</v>
      </c>
      <c r="E1006">
        <v>0.52147209999999999</v>
      </c>
      <c r="F1006" t="s">
        <v>43</v>
      </c>
      <c r="G1006">
        <v>-220.68389999999999</v>
      </c>
      <c r="H1006" s="1">
        <v>-4.5454690000000001E-6</v>
      </c>
      <c r="I1006">
        <v>366.42219999999998</v>
      </c>
      <c r="J1006">
        <v>-237.88030000000001</v>
      </c>
      <c r="K1006">
        <v>1.110376</v>
      </c>
      <c r="L1006">
        <v>367.72590000000002</v>
      </c>
      <c r="M1006">
        <v>0.99985950000000001</v>
      </c>
      <c r="N1006">
        <v>0</v>
      </c>
      <c r="O1006">
        <v>8.0456280000000008E-3</v>
      </c>
      <c r="P1006">
        <v>0.98834999999999995</v>
      </c>
      <c r="Q1006">
        <v>0.15115229999999999</v>
      </c>
      <c r="R1006">
        <v>-1.7813659999999999E-2</v>
      </c>
      <c r="S1006">
        <v>3.0610810000000002</v>
      </c>
      <c r="T1006">
        <v>-0.19569</v>
      </c>
      <c r="U1006">
        <v>-0.22949220000000001</v>
      </c>
      <c r="V1006">
        <v>2.5766730000000002E-2</v>
      </c>
      <c r="W1006">
        <v>0.1656734</v>
      </c>
      <c r="X1006">
        <v>0.98584400000000005</v>
      </c>
      <c r="Y1006">
        <v>8.2598699999999997E-2</v>
      </c>
      <c r="Z1006">
        <v>-3.1470180000000001E-3</v>
      </c>
      <c r="AA1006">
        <v>0.99657790000000002</v>
      </c>
      <c r="AB1006">
        <v>35</v>
      </c>
      <c r="AC1006">
        <v>17.196400000000001</v>
      </c>
      <c r="AD1006">
        <v>-1.1103805454689999</v>
      </c>
      <c r="AE1006">
        <v>-1.30370000000004</v>
      </c>
      <c r="AF1006">
        <v>1.4360753064090299</v>
      </c>
      <c r="AG1006">
        <v>-1.1103805454689999</v>
      </c>
      <c r="AH1006">
        <v>17.11440486115</v>
      </c>
      <c r="AI1006">
        <v>93.699176827841498</v>
      </c>
      <c r="AJ1006">
        <v>85.203528580123702</v>
      </c>
      <c r="AK1006">
        <v>17.210407054825499</v>
      </c>
      <c r="AL1006">
        <v>80.463644094332096</v>
      </c>
      <c r="AM1006">
        <v>88.502817032391306</v>
      </c>
      <c r="AN1006">
        <v>0.99999999608922596</v>
      </c>
    </row>
    <row r="1007" spans="1:40" x14ac:dyDescent="0.25">
      <c r="A1007" t="str">
        <f>"20190312172348272"</f>
        <v>20190312172348272</v>
      </c>
      <c r="B1007" t="str">
        <f>"1552382628260367"</f>
        <v>1552382628260367</v>
      </c>
      <c r="C1007" t="s">
        <v>40</v>
      </c>
      <c r="D1007">
        <v>3.9598230000000001</v>
      </c>
      <c r="E1007">
        <v>0.52145540000000001</v>
      </c>
      <c r="F1007" t="s">
        <v>41</v>
      </c>
      <c r="G1007">
        <v>-236.9631</v>
      </c>
      <c r="H1007">
        <v>1.051944</v>
      </c>
      <c r="I1007">
        <v>367.65629999999999</v>
      </c>
      <c r="J1007">
        <v>-237.54640000000001</v>
      </c>
      <c r="K1007">
        <v>1.1103809999999901</v>
      </c>
      <c r="L1007">
        <v>367.7285</v>
      </c>
      <c r="M1007">
        <v>0.99985950000000001</v>
      </c>
      <c r="N1007">
        <v>0</v>
      </c>
      <c r="O1007">
        <v>8.0585910000000004E-3</v>
      </c>
      <c r="P1007">
        <v>0.98829330000000004</v>
      </c>
      <c r="Q1007">
        <v>0.15123449999999999</v>
      </c>
      <c r="R1007">
        <v>-2.0121389999999999E-2</v>
      </c>
      <c r="S1007">
        <v>3.0610050000000002</v>
      </c>
      <c r="T1007">
        <v>-0.1949774</v>
      </c>
      <c r="U1007">
        <v>-0.23242189999999999</v>
      </c>
      <c r="V1007">
        <v>2.8086610000000001E-2</v>
      </c>
      <c r="W1007">
        <v>0.1657505</v>
      </c>
      <c r="X1007">
        <v>0.98576770000000002</v>
      </c>
      <c r="Y1007">
        <v>8.356123E-2</v>
      </c>
      <c r="Z1007">
        <v>-3.1669509999999999E-3</v>
      </c>
      <c r="AA1007">
        <v>0.99649759999999998</v>
      </c>
      <c r="AB1007">
        <v>35</v>
      </c>
      <c r="AC1007">
        <v>0.58330000000000803</v>
      </c>
      <c r="AD1007">
        <v>-5.8436999999999802E-2</v>
      </c>
      <c r="AE1007">
        <v>-7.2200000000009298E-2</v>
      </c>
      <c r="AF1007">
        <v>7.6146015280288706E-2</v>
      </c>
      <c r="AG1007">
        <v>-5.8436999999999802E-2</v>
      </c>
      <c r="AH1007">
        <v>0.576995408153959</v>
      </c>
      <c r="AI1007">
        <v>95.733710498784603</v>
      </c>
      <c r="AJ1007">
        <v>82.482125826473606</v>
      </c>
      <c r="AK1007">
        <v>0.58492461022153996</v>
      </c>
      <c r="AL1007">
        <v>80.459164908757799</v>
      </c>
      <c r="AM1007">
        <v>88.367963401627406</v>
      </c>
      <c r="AN1007">
        <v>1.0000000221374099</v>
      </c>
    </row>
    <row r="1008" spans="1:40" x14ac:dyDescent="0.25">
      <c r="A1008" t="str">
        <f>"20190312172348293"</f>
        <v>20190312172348293</v>
      </c>
      <c r="B1008" t="str">
        <f>"1552382628280863"</f>
        <v>1552382628280863</v>
      </c>
      <c r="C1008" t="s">
        <v>40</v>
      </c>
      <c r="D1008">
        <v>3.9593280000000002</v>
      </c>
      <c r="E1008">
        <v>0.52139009999999997</v>
      </c>
      <c r="F1008" t="s">
        <v>41</v>
      </c>
      <c r="G1008">
        <v>-236.6395</v>
      </c>
      <c r="H1008">
        <v>1.05252099999999</v>
      </c>
      <c r="I1008">
        <v>367.65750000000003</v>
      </c>
      <c r="J1008">
        <v>-237.20930000000001</v>
      </c>
      <c r="K1008">
        <v>1.110385</v>
      </c>
      <c r="L1008">
        <v>367.73129999999998</v>
      </c>
      <c r="M1008">
        <v>0.99985930000000001</v>
      </c>
      <c r="N1008">
        <v>0</v>
      </c>
      <c r="O1008">
        <v>8.0718509999999997E-3</v>
      </c>
      <c r="P1008">
        <v>0.98824199999999995</v>
      </c>
      <c r="Q1008">
        <v>0.151254799999999</v>
      </c>
      <c r="R1008">
        <v>-2.2362119999999999E-2</v>
      </c>
      <c r="S1008">
        <v>3.060562</v>
      </c>
      <c r="T1008">
        <v>-0.1954632</v>
      </c>
      <c r="U1008">
        <v>-0.23913570000000001</v>
      </c>
      <c r="V1008">
        <v>3.0339890000000001E-2</v>
      </c>
      <c r="W1008">
        <v>0.16576649999999901</v>
      </c>
      <c r="X1008">
        <v>0.98569819999999997</v>
      </c>
      <c r="Y1008">
        <v>8.5752780000000001E-2</v>
      </c>
      <c r="Z1008">
        <v>-3.245665E-3</v>
      </c>
      <c r="AA1008">
        <v>0.99631119999999995</v>
      </c>
      <c r="AB1008">
        <v>35</v>
      </c>
      <c r="AC1008">
        <v>0.56980000000001496</v>
      </c>
      <c r="AD1008">
        <v>-5.7864000000000103E-2</v>
      </c>
      <c r="AE1008">
        <v>-7.3799999999948795E-2</v>
      </c>
      <c r="AF1008">
        <v>7.7610267402483599E-2</v>
      </c>
      <c r="AG1008">
        <v>-5.7864000000000103E-2</v>
      </c>
      <c r="AH1008">
        <v>0.56347063813188902</v>
      </c>
      <c r="AI1008">
        <v>95.808811554655904</v>
      </c>
      <c r="AJ1008">
        <v>82.157645468778</v>
      </c>
      <c r="AK1008">
        <v>0.57172611986775901</v>
      </c>
      <c r="AL1008">
        <v>80.458235021276906</v>
      </c>
      <c r="AM1008">
        <v>88.236986756093799</v>
      </c>
      <c r="AN1008">
        <v>0.99999999146535001</v>
      </c>
    </row>
    <row r="1009" spans="1:40" x14ac:dyDescent="0.25">
      <c r="A1009" t="str">
        <f>"20190312172348310"</f>
        <v>20190312172348310</v>
      </c>
      <c r="B1009" t="str">
        <f>"1552382628300383"</f>
        <v>1552382628300383</v>
      </c>
      <c r="C1009" t="s">
        <v>40</v>
      </c>
      <c r="D1009">
        <v>3.9600309999999999</v>
      </c>
      <c r="E1009">
        <v>0.5213255</v>
      </c>
      <c r="F1009" t="s">
        <v>43</v>
      </c>
      <c r="G1009">
        <v>-219.87090000000001</v>
      </c>
      <c r="H1009" s="1">
        <v>-9.0146549999999997E-7</v>
      </c>
      <c r="I1009">
        <v>366.34120000000001</v>
      </c>
      <c r="J1009">
        <v>-236.93770000000001</v>
      </c>
      <c r="K1009">
        <v>1.1103860000000001</v>
      </c>
      <c r="L1009">
        <v>367.73349999999999</v>
      </c>
      <c r="M1009">
        <v>0.99985930000000001</v>
      </c>
      <c r="N1009">
        <v>0</v>
      </c>
      <c r="O1009">
        <v>8.0826579999999995E-3</v>
      </c>
      <c r="P1009">
        <v>0.98824559999999995</v>
      </c>
      <c r="Q1009">
        <v>0.15102360000000001</v>
      </c>
      <c r="R1009">
        <v>-2.371879E-2</v>
      </c>
      <c r="S1009">
        <v>3.0601349999999998</v>
      </c>
      <c r="T1009">
        <v>-0.19597600000000001</v>
      </c>
      <c r="U1009">
        <v>-0.24533079999999999</v>
      </c>
      <c r="V1009">
        <v>3.1707249999999999E-2</v>
      </c>
      <c r="W1009">
        <v>0.16553229999999999</v>
      </c>
      <c r="X1009">
        <v>0.98569450000000003</v>
      </c>
      <c r="Y1009">
        <v>8.7773450000000003E-2</v>
      </c>
      <c r="Z1009">
        <v>-3.3195830000000001E-3</v>
      </c>
      <c r="AA1009">
        <v>0.99613490000000005</v>
      </c>
      <c r="AB1009">
        <v>35</v>
      </c>
      <c r="AC1009">
        <v>17.066800000000001</v>
      </c>
      <c r="AD1009">
        <v>-1.1103869014654999</v>
      </c>
      <c r="AE1009">
        <v>-1.3922999999999699</v>
      </c>
      <c r="AF1009">
        <v>1.52380694739586</v>
      </c>
      <c r="AG1009">
        <v>-1.1103869014654999</v>
      </c>
      <c r="AH1009">
        <v>16.98357214264</v>
      </c>
      <c r="AI1009">
        <v>93.725753545237197</v>
      </c>
      <c r="AJ1009">
        <v>84.873013028096693</v>
      </c>
      <c r="AK1009">
        <v>17.087910036284001</v>
      </c>
      <c r="AL1009">
        <v>80.471841463437798</v>
      </c>
      <c r="AM1009">
        <v>88.157577839033095</v>
      </c>
      <c r="AN1009">
        <v>0.99999996968805005</v>
      </c>
    </row>
    <row r="1010" spans="1:40" x14ac:dyDescent="0.25">
      <c r="A1010" t="str">
        <f>"20190312172348326"</f>
        <v>20190312172348326</v>
      </c>
      <c r="B1010" t="str">
        <f>"1552382628320879"</f>
        <v>1552382628320879</v>
      </c>
      <c r="C1010" t="s">
        <v>40</v>
      </c>
      <c r="D1010">
        <v>3.9531540000000001</v>
      </c>
      <c r="E1010">
        <v>0.52124510000000002</v>
      </c>
      <c r="F1010" t="s">
        <v>41</v>
      </c>
      <c r="G1010">
        <v>-236.01669999999999</v>
      </c>
      <c r="H1010">
        <v>1.0509900000000001</v>
      </c>
      <c r="I1010">
        <v>367.65839999999997</v>
      </c>
      <c r="J1010">
        <v>-236.67660000000001</v>
      </c>
      <c r="K1010">
        <v>1.11039</v>
      </c>
      <c r="L1010">
        <v>367.73559999999998</v>
      </c>
      <c r="M1010">
        <v>0.99985930000000001</v>
      </c>
      <c r="N1010">
        <v>0</v>
      </c>
      <c r="O1010">
        <v>8.0930480000000003E-3</v>
      </c>
      <c r="P1010">
        <v>0.98819120000000005</v>
      </c>
      <c r="Q1010">
        <v>0.15100350000000001</v>
      </c>
      <c r="R1010">
        <v>-2.6002330000000001E-2</v>
      </c>
      <c r="S1010">
        <v>3.0598749999999999</v>
      </c>
      <c r="T1010">
        <v>-0.1974677</v>
      </c>
      <c r="U1010">
        <v>-0.2493591</v>
      </c>
      <c r="V1010">
        <v>3.4000750000000003E-2</v>
      </c>
      <c r="W1010">
        <v>0.1655083</v>
      </c>
      <c r="X1010">
        <v>0.98562209999999995</v>
      </c>
      <c r="Y1010">
        <v>8.9087639999999996E-2</v>
      </c>
      <c r="Z1010">
        <v>-3.387864E-3</v>
      </c>
      <c r="AA1010">
        <v>0.99601810000000002</v>
      </c>
      <c r="AB1010">
        <v>35</v>
      </c>
      <c r="AC1010">
        <v>0.65990000000002103</v>
      </c>
      <c r="AD1010">
        <v>-5.9400000000000099E-2</v>
      </c>
      <c r="AE1010">
        <v>-7.7200000000004806E-2</v>
      </c>
      <c r="AF1010">
        <v>8.1884145135935907E-2</v>
      </c>
      <c r="AG1010">
        <v>-5.9400000000000099E-2</v>
      </c>
      <c r="AH1010">
        <v>0.65402586432143395</v>
      </c>
      <c r="AI1010">
        <v>95.149501469968499</v>
      </c>
      <c r="AJ1010">
        <v>82.863691845379805</v>
      </c>
      <c r="AK1010">
        <v>0.6618029951776</v>
      </c>
      <c r="AL1010">
        <v>80.473235953730097</v>
      </c>
      <c r="AM1010">
        <v>88.024265827502404</v>
      </c>
      <c r="AN1010">
        <v>0.99999998618893104</v>
      </c>
    </row>
    <row r="1011" spans="1:40" x14ac:dyDescent="0.25">
      <c r="A1011" t="str">
        <f>"20190312172348338"</f>
        <v>20190312172348338</v>
      </c>
      <c r="B1011" t="str">
        <f>"1552382628330638"</f>
        <v>1552382628330638</v>
      </c>
      <c r="C1011" t="s">
        <v>40</v>
      </c>
      <c r="D1011">
        <v>3.9617279999999999</v>
      </c>
      <c r="E1011">
        <v>0.52120540000000004</v>
      </c>
      <c r="F1011" t="s">
        <v>41</v>
      </c>
      <c r="G1011">
        <v>-235.7047</v>
      </c>
      <c r="H1011">
        <v>1.047396</v>
      </c>
      <c r="I1011">
        <v>367.65429999999998</v>
      </c>
      <c r="J1011">
        <v>-236.48159999999999</v>
      </c>
      <c r="K1011">
        <v>1.110392</v>
      </c>
      <c r="L1011">
        <v>367.73719999999997</v>
      </c>
      <c r="M1011">
        <v>0.99985930000000001</v>
      </c>
      <c r="N1011">
        <v>0</v>
      </c>
      <c r="O1011">
        <v>8.1009879999999999E-3</v>
      </c>
      <c r="P1011">
        <v>0.9881877</v>
      </c>
      <c r="Q1011">
        <v>0.1508196</v>
      </c>
      <c r="R1011">
        <v>-2.718127E-2</v>
      </c>
      <c r="S1011">
        <v>3.0594329999999998</v>
      </c>
      <c r="T1011">
        <v>-0.19824269999999999</v>
      </c>
      <c r="U1011">
        <v>-0.25582890000000003</v>
      </c>
      <c r="V1011">
        <v>3.518727E-2</v>
      </c>
      <c r="W1011">
        <v>0.16532259999999999</v>
      </c>
      <c r="X1011">
        <v>0.98561160000000003</v>
      </c>
      <c r="Y1011">
        <v>9.119302E-2</v>
      </c>
      <c r="Z1011">
        <v>-3.469864E-3</v>
      </c>
      <c r="AA1011">
        <v>0.99582720000000002</v>
      </c>
      <c r="AB1011">
        <v>35</v>
      </c>
      <c r="AC1011">
        <v>0.77689999999998305</v>
      </c>
      <c r="AD1011">
        <v>-6.2995999999999996E-2</v>
      </c>
      <c r="AE1011">
        <v>-8.2899999999995005E-2</v>
      </c>
      <c r="AF1011">
        <v>8.8615528218448203E-2</v>
      </c>
      <c r="AG1011">
        <v>-6.2995999999999996E-2</v>
      </c>
      <c r="AH1011">
        <v>0.77118937231509399</v>
      </c>
      <c r="AI1011">
        <v>94.639546111681199</v>
      </c>
      <c r="AJ1011">
        <v>83.445028074598397</v>
      </c>
      <c r="AK1011">
        <v>0.77881593193076404</v>
      </c>
      <c r="AL1011">
        <v>80.484024208642296</v>
      </c>
      <c r="AM1011">
        <v>87.955354644455994</v>
      </c>
      <c r="AN1011">
        <v>0.99999996604768504</v>
      </c>
    </row>
    <row r="1012" spans="1:40" x14ac:dyDescent="0.25">
      <c r="A1012" t="str">
        <f>"20190312172348350"</f>
        <v>20190312172348350</v>
      </c>
      <c r="B1012" t="str">
        <f>"1552382628340399"</f>
        <v>1552382628340399</v>
      </c>
      <c r="C1012" t="s">
        <v>40</v>
      </c>
      <c r="D1012">
        <v>3.9794109999999998</v>
      </c>
      <c r="E1012">
        <v>0.52123599999999903</v>
      </c>
      <c r="F1012" t="s">
        <v>43</v>
      </c>
      <c r="G1012">
        <v>-219.41409999999999</v>
      </c>
      <c r="H1012" s="1">
        <v>-1.069695E-6</v>
      </c>
      <c r="I1012">
        <v>366.29320000000001</v>
      </c>
      <c r="J1012">
        <v>-236.2998</v>
      </c>
      <c r="K1012">
        <v>1.110393</v>
      </c>
      <c r="L1012">
        <v>367.73860000000002</v>
      </c>
      <c r="M1012">
        <v>0.99985919999999895</v>
      </c>
      <c r="N1012">
        <v>0</v>
      </c>
      <c r="O1012">
        <v>8.1083919999999903E-3</v>
      </c>
      <c r="P1012">
        <v>0.98808470000000004</v>
      </c>
      <c r="Q1012">
        <v>0.1512221</v>
      </c>
      <c r="R1012">
        <v>-2.864676E-2</v>
      </c>
      <c r="S1012">
        <v>3.0591279999999998</v>
      </c>
      <c r="T1012">
        <v>-0.19902320000000001</v>
      </c>
      <c r="U1012">
        <v>-0.25881959999999998</v>
      </c>
      <c r="V1012">
        <v>3.6659360000000002E-2</v>
      </c>
      <c r="W1012">
        <v>0.16572089999999901</v>
      </c>
      <c r="X1012">
        <v>0.98549109999999995</v>
      </c>
      <c r="Y1012">
        <v>9.2171580000000003E-2</v>
      </c>
      <c r="Z1012">
        <v>-3.5159229999999998E-3</v>
      </c>
      <c r="AA1012">
        <v>0.99573699999999998</v>
      </c>
      <c r="AB1012">
        <v>35</v>
      </c>
      <c r="AC1012">
        <v>16.8857</v>
      </c>
      <c r="AD1012">
        <v>-1.1103940696950001</v>
      </c>
      <c r="AE1012">
        <v>-1.4454</v>
      </c>
      <c r="AF1012">
        <v>1.5755196597458301</v>
      </c>
      <c r="AG1012">
        <v>-1.1103940696950001</v>
      </c>
      <c r="AH1012">
        <v>16.801298223468699</v>
      </c>
      <c r="AI1012">
        <v>93.764698138714394</v>
      </c>
      <c r="AJ1012">
        <v>84.6428296904391</v>
      </c>
      <c r="AK1012">
        <v>16.911500796268601</v>
      </c>
      <c r="AL1012">
        <v>80.4608845957993</v>
      </c>
      <c r="AM1012">
        <v>87.869632131124504</v>
      </c>
      <c r="AN1012">
        <v>1.0000000167758101</v>
      </c>
    </row>
    <row r="1013" spans="1:40" x14ac:dyDescent="0.25">
      <c r="A1013" t="str">
        <f>"20190312172348363"</f>
        <v>20190312172348363</v>
      </c>
      <c r="B1013" t="str">
        <f>"1552382628360895"</f>
        <v>1552382628360895</v>
      </c>
      <c r="C1013" t="s">
        <v>40</v>
      </c>
      <c r="D1013">
        <v>3.9777300000000002</v>
      </c>
      <c r="E1013">
        <v>0.52125719999999998</v>
      </c>
      <c r="F1013" t="s">
        <v>41</v>
      </c>
      <c r="G1013">
        <v>-235.38659999999999</v>
      </c>
      <c r="H1013">
        <v>1.0513870000000001</v>
      </c>
      <c r="I1013">
        <v>367.65969999999999</v>
      </c>
      <c r="J1013">
        <v>-236.0941</v>
      </c>
      <c r="K1013">
        <v>1.1103959999999999</v>
      </c>
      <c r="L1013">
        <v>367.74029999999999</v>
      </c>
      <c r="M1013">
        <v>0.99985919999999895</v>
      </c>
      <c r="N1013">
        <v>0</v>
      </c>
      <c r="O1013">
        <v>8.1167519999999996E-3</v>
      </c>
      <c r="P1013">
        <v>0.98802020000000002</v>
      </c>
      <c r="Q1013">
        <v>0.15138160000000001</v>
      </c>
      <c r="R1013">
        <v>-2.99958E-2</v>
      </c>
      <c r="S1013">
        <v>3.0588229999999998</v>
      </c>
      <c r="T1013">
        <v>-0.19789470000000001</v>
      </c>
      <c r="U1013">
        <v>-0.26348880000000002</v>
      </c>
      <c r="V1013">
        <v>3.8016050000000003E-2</v>
      </c>
      <c r="W1013">
        <v>0.16587750000000001</v>
      </c>
      <c r="X1013">
        <v>0.98541330000000005</v>
      </c>
      <c r="Y1013">
        <v>9.3696310000000005E-2</v>
      </c>
      <c r="Z1013">
        <v>-3.5458690000000001E-3</v>
      </c>
      <c r="AA1013">
        <v>0.99559450000000005</v>
      </c>
      <c r="AB1013">
        <v>35</v>
      </c>
      <c r="AC1013">
        <v>0.70750000000001001</v>
      </c>
      <c r="AD1013">
        <v>-5.9008999999999798E-2</v>
      </c>
      <c r="AE1013">
        <v>-8.0600000000004002E-2</v>
      </c>
      <c r="AF1013">
        <v>8.5751686704277102E-2</v>
      </c>
      <c r="AG1013">
        <v>-5.9008999999999798E-2</v>
      </c>
      <c r="AH1013">
        <v>0.70200158083030295</v>
      </c>
      <c r="AI1013">
        <v>94.769598084282194</v>
      </c>
      <c r="AJ1013">
        <v>83.035644012415801</v>
      </c>
      <c r="AK1013">
        <v>0.709677133168227</v>
      </c>
      <c r="AL1013">
        <v>80.4517856843012</v>
      </c>
      <c r="AM1013">
        <v>87.790693933859103</v>
      </c>
      <c r="AN1013">
        <v>0.99999996844036998</v>
      </c>
    </row>
    <row r="1014" spans="1:40" x14ac:dyDescent="0.25">
      <c r="A1014" t="str">
        <f>"20190312172348377"</f>
        <v>20190312172348377</v>
      </c>
      <c r="B1014" t="str">
        <f>"1552382628370655"</f>
        <v>1552382628370655</v>
      </c>
      <c r="C1014" t="s">
        <v>40</v>
      </c>
      <c r="D1014">
        <v>3.967692</v>
      </c>
      <c r="E1014">
        <v>0.52122780000000002</v>
      </c>
      <c r="F1014" t="s">
        <v>41</v>
      </c>
      <c r="G1014">
        <v>-235.0778</v>
      </c>
      <c r="H1014">
        <v>1.044797</v>
      </c>
      <c r="I1014">
        <v>367.65120000000002</v>
      </c>
      <c r="J1014">
        <v>-235.86359999999999</v>
      </c>
      <c r="K1014">
        <v>1.110398</v>
      </c>
      <c r="L1014">
        <v>367.74220000000003</v>
      </c>
      <c r="M1014">
        <v>0.99985919999999895</v>
      </c>
      <c r="N1014">
        <v>0</v>
      </c>
      <c r="O1014">
        <v>8.1258919999999991E-3</v>
      </c>
      <c r="P1014">
        <v>0.98794859999999896</v>
      </c>
      <c r="Q1014">
        <v>0.151561</v>
      </c>
      <c r="R1014">
        <v>-3.1416449999999999E-2</v>
      </c>
      <c r="S1014">
        <v>3.0585170000000002</v>
      </c>
      <c r="T1014">
        <v>-0.1974612</v>
      </c>
      <c r="U1014">
        <v>-0.26794430000000002</v>
      </c>
      <c r="V1014">
        <v>3.9445040000000001E-2</v>
      </c>
      <c r="W1014">
        <v>0.166053799999999</v>
      </c>
      <c r="X1014">
        <v>0.98532750000000002</v>
      </c>
      <c r="Y1014">
        <v>9.5151139999999995E-2</v>
      </c>
      <c r="Z1014">
        <v>-3.585661E-3</v>
      </c>
      <c r="AA1014">
        <v>0.99545640000000002</v>
      </c>
      <c r="AB1014">
        <v>35</v>
      </c>
      <c r="AC1014">
        <v>0.78579999999999395</v>
      </c>
      <c r="AD1014">
        <v>-6.5601000000000007E-2</v>
      </c>
      <c r="AE1014">
        <v>-9.1000000000008199E-2</v>
      </c>
      <c r="AF1014">
        <v>9.6717861638212804E-2</v>
      </c>
      <c r="AG1014">
        <v>-6.5601000000000007E-2</v>
      </c>
      <c r="AH1014">
        <v>0.77967255528564094</v>
      </c>
      <c r="AI1014">
        <v>94.773077662630399</v>
      </c>
      <c r="AJ1014">
        <v>82.928621043714998</v>
      </c>
      <c r="AK1014">
        <v>0.78838260345248001</v>
      </c>
      <c r="AL1014">
        <v>80.441542963059902</v>
      </c>
      <c r="AM1014">
        <v>87.707535648549793</v>
      </c>
      <c r="AN1014">
        <v>1.0000000289656401</v>
      </c>
    </row>
    <row r="1015" spans="1:40" x14ac:dyDescent="0.25">
      <c r="A1015" t="str">
        <f>"20190312172348390"</f>
        <v>20190312172348390</v>
      </c>
      <c r="B1015" t="str">
        <f>"1552382628380415"</f>
        <v>1552382628380415</v>
      </c>
      <c r="C1015" t="s">
        <v>40</v>
      </c>
      <c r="D1015">
        <v>3.9684940000000002</v>
      </c>
      <c r="E1015">
        <v>0.52118240000000005</v>
      </c>
      <c r="F1015" t="s">
        <v>43</v>
      </c>
      <c r="G1015">
        <v>-218.64</v>
      </c>
      <c r="H1015" s="1">
        <v>-1.3555040000000001E-6</v>
      </c>
      <c r="I1015">
        <v>366.209</v>
      </c>
      <c r="J1015">
        <v>-235.6703</v>
      </c>
      <c r="K1015">
        <v>1.1104039999999999</v>
      </c>
      <c r="L1015">
        <v>367.74380000000002</v>
      </c>
      <c r="M1015">
        <v>0.9998591</v>
      </c>
      <c r="N1015">
        <v>0</v>
      </c>
      <c r="O1015">
        <v>8.1334179999999999E-3</v>
      </c>
      <c r="P1015">
        <v>0.98787440000000004</v>
      </c>
      <c r="Q1015">
        <v>0.151717299999999</v>
      </c>
      <c r="R1015">
        <v>-3.2956340000000001E-2</v>
      </c>
      <c r="S1015">
        <v>3.058182</v>
      </c>
      <c r="T1015">
        <v>-0.1971591</v>
      </c>
      <c r="U1015">
        <v>-0.27221679999999998</v>
      </c>
      <c r="V1015">
        <v>4.0991809999999997E-2</v>
      </c>
      <c r="W1015">
        <v>0.16620660000000001</v>
      </c>
      <c r="X1015">
        <v>0.98523859999999996</v>
      </c>
      <c r="Y1015">
        <v>9.6545759999999994E-2</v>
      </c>
      <c r="Z1015">
        <v>-3.6256610000000001E-3</v>
      </c>
      <c r="AA1015">
        <v>0.99532189999999998</v>
      </c>
      <c r="AB1015">
        <v>35</v>
      </c>
      <c r="AC1015">
        <v>17.0303</v>
      </c>
      <c r="AD1015">
        <v>-1.1104053555040001</v>
      </c>
      <c r="AE1015">
        <v>-1.5348000000000099</v>
      </c>
      <c r="AF1015">
        <v>1.6662520927519899</v>
      </c>
      <c r="AG1015">
        <v>-1.1104053555040001</v>
      </c>
      <c r="AH1015">
        <v>16.9457913503344</v>
      </c>
      <c r="AI1015">
        <v>93.731113191771698</v>
      </c>
      <c r="AJ1015">
        <v>84.384251356304404</v>
      </c>
      <c r="AK1015">
        <v>17.0636819174292</v>
      </c>
      <c r="AL1015">
        <v>80.432664811916098</v>
      </c>
      <c r="AM1015">
        <v>87.617527476727304</v>
      </c>
      <c r="AN1015">
        <v>1.0000000306502901</v>
      </c>
    </row>
    <row r="1016" spans="1:40" x14ac:dyDescent="0.25">
      <c r="A1016" t="str">
        <f>"20190312172348403"</f>
        <v>20190312172348403</v>
      </c>
      <c r="B1016" t="str">
        <f>"1552382628400911"</f>
        <v>1552382628400911</v>
      </c>
      <c r="C1016" t="s">
        <v>40</v>
      </c>
      <c r="D1016">
        <v>3.9574690000000001</v>
      </c>
      <c r="E1016">
        <v>0.52107609999999904</v>
      </c>
      <c r="F1016" t="s">
        <v>41</v>
      </c>
      <c r="G1016">
        <v>-234.75069999999999</v>
      </c>
      <c r="H1016">
        <v>1.051383</v>
      </c>
      <c r="I1016">
        <v>367.66050000000001</v>
      </c>
      <c r="J1016">
        <v>-235.4605</v>
      </c>
      <c r="K1016">
        <v>1.110403</v>
      </c>
      <c r="L1016">
        <v>367.74549999999999</v>
      </c>
      <c r="M1016">
        <v>0.99985900000000005</v>
      </c>
      <c r="N1016">
        <v>0</v>
      </c>
      <c r="O1016">
        <v>8.1418380000000002E-3</v>
      </c>
      <c r="P1016">
        <v>0.98768690000000003</v>
      </c>
      <c r="Q1016">
        <v>0.15231979999999901</v>
      </c>
      <c r="R1016">
        <v>-3.5683899999999998E-2</v>
      </c>
      <c r="S1016">
        <v>3.0577700000000001</v>
      </c>
      <c r="T1016">
        <v>-0.19646559999999999</v>
      </c>
      <c r="U1016">
        <v>-0.27633669999999999</v>
      </c>
      <c r="V1016">
        <v>4.3725970000000003E-2</v>
      </c>
      <c r="W1016">
        <v>0.166803799999999</v>
      </c>
      <c r="X1016">
        <v>0.98502009999999995</v>
      </c>
      <c r="Y1016">
        <v>9.789494E-2</v>
      </c>
      <c r="Z1016">
        <v>-3.6569549999999999E-3</v>
      </c>
      <c r="AA1016">
        <v>0.99519000000000002</v>
      </c>
      <c r="AB1016">
        <v>35</v>
      </c>
      <c r="AC1016">
        <v>0.70980000000000099</v>
      </c>
      <c r="AD1016">
        <v>-5.9020000000000003E-2</v>
      </c>
      <c r="AE1016">
        <v>-8.4999999999979495E-2</v>
      </c>
      <c r="AF1016">
        <v>9.0162317179158097E-2</v>
      </c>
      <c r="AG1016">
        <v>-5.9020000000000003E-2</v>
      </c>
      <c r="AH1016">
        <v>0.70428379490719895</v>
      </c>
      <c r="AI1016">
        <v>94.751676692770999</v>
      </c>
      <c r="AJ1016">
        <v>82.704683794239102</v>
      </c>
      <c r="AK1016">
        <v>0.71248036296307804</v>
      </c>
      <c r="AL1016">
        <v>80.397963381244097</v>
      </c>
      <c r="AM1016">
        <v>87.458255055831202</v>
      </c>
      <c r="AN1016">
        <v>1.0000000327754399</v>
      </c>
    </row>
    <row r="1017" spans="1:40" x14ac:dyDescent="0.25">
      <c r="A1017" t="str">
        <f>"20190312172348416"</f>
        <v>20190312172348416</v>
      </c>
      <c r="B1017" t="str">
        <f>"1552382628410671"</f>
        <v>1552382628410671</v>
      </c>
      <c r="C1017" t="s">
        <v>40</v>
      </c>
      <c r="D1017">
        <v>3.9682979999999999</v>
      </c>
      <c r="E1017">
        <v>0.52100069999999998</v>
      </c>
      <c r="F1017" t="s">
        <v>41</v>
      </c>
      <c r="G1017">
        <v>-234.44909999999999</v>
      </c>
      <c r="H1017">
        <v>1.046049</v>
      </c>
      <c r="I1017">
        <v>367.65120000000002</v>
      </c>
      <c r="J1017">
        <v>-235.24780000000001</v>
      </c>
      <c r="K1017">
        <v>1.1104019999999999</v>
      </c>
      <c r="L1017">
        <v>367.74720000000002</v>
      </c>
      <c r="M1017">
        <v>0.99985919999999895</v>
      </c>
      <c r="N1017">
        <v>0</v>
      </c>
      <c r="O1017">
        <v>8.1502580000000005E-3</v>
      </c>
      <c r="P1017">
        <v>0.98755009999999999</v>
      </c>
      <c r="Q1017">
        <v>0.15284339999999999</v>
      </c>
      <c r="R1017">
        <v>-3.7204170000000002E-2</v>
      </c>
      <c r="S1017">
        <v>3.0571290000000002</v>
      </c>
      <c r="T1017">
        <v>-0.19454840000000001</v>
      </c>
      <c r="U1017">
        <v>-0.28472900000000001</v>
      </c>
      <c r="V1017">
        <v>4.5253290000000002E-2</v>
      </c>
      <c r="W1017">
        <v>0.16732230000000001</v>
      </c>
      <c r="X1017">
        <v>0.98486309999999999</v>
      </c>
      <c r="Y1017">
        <v>0.1006295</v>
      </c>
      <c r="Z1017">
        <v>-3.708912E-3</v>
      </c>
      <c r="AA1017">
        <v>0.99491700000000005</v>
      </c>
      <c r="AB1017">
        <v>35</v>
      </c>
      <c r="AC1017">
        <v>0.79870000000002495</v>
      </c>
      <c r="AD1017">
        <v>-6.4353000000000105E-2</v>
      </c>
      <c r="AE1017">
        <v>-9.6000000000003596E-2</v>
      </c>
      <c r="AF1017">
        <v>0.10185530692097999</v>
      </c>
      <c r="AG1017">
        <v>-6.4353000000000105E-2</v>
      </c>
      <c r="AH1017">
        <v>0.79281738263064006</v>
      </c>
      <c r="AI1017">
        <v>94.602860162461099</v>
      </c>
      <c r="AJ1017">
        <v>82.679164040160401</v>
      </c>
      <c r="AK1017">
        <v>0.80191970568022997</v>
      </c>
      <c r="AL1017">
        <v>80.3678314412915</v>
      </c>
      <c r="AM1017">
        <v>87.369177403650596</v>
      </c>
      <c r="AN1017">
        <v>0.99999996903736099</v>
      </c>
    </row>
    <row r="1018" spans="1:40" x14ac:dyDescent="0.25">
      <c r="A1018" t="str">
        <f>"20190312172348429"</f>
        <v>20190312172348429</v>
      </c>
      <c r="B1018" t="str">
        <f>"1552382628420431"</f>
        <v>1552382628420431</v>
      </c>
      <c r="C1018" t="s">
        <v>40</v>
      </c>
      <c r="D1018">
        <v>3.941268</v>
      </c>
      <c r="E1018">
        <v>0.52100069999999998</v>
      </c>
      <c r="F1018" t="s">
        <v>43</v>
      </c>
      <c r="G1018">
        <v>-217.65889999999999</v>
      </c>
      <c r="H1018" s="1">
        <v>-1.7220859999999901E-6</v>
      </c>
      <c r="I1018">
        <v>366.08620000000002</v>
      </c>
      <c r="J1018">
        <v>-235.06739999999999</v>
      </c>
      <c r="K1018">
        <v>1.110403</v>
      </c>
      <c r="L1018">
        <v>367.74869999999999</v>
      </c>
      <c r="M1018">
        <v>0.99985900000000005</v>
      </c>
      <c r="N1018">
        <v>0</v>
      </c>
      <c r="O1018">
        <v>8.1576619999999996E-3</v>
      </c>
      <c r="P1018">
        <v>0.98742929999999995</v>
      </c>
      <c r="Q1018">
        <v>0.1531921</v>
      </c>
      <c r="R1018">
        <v>-3.8935400000000002E-2</v>
      </c>
      <c r="S1018">
        <v>3.056778</v>
      </c>
      <c r="T1018">
        <v>-0.19297639999999999</v>
      </c>
      <c r="U1018">
        <v>-0.28866579999999997</v>
      </c>
      <c r="V1018">
        <v>4.6990789999999998E-2</v>
      </c>
      <c r="W1018">
        <v>0.16766739999999999</v>
      </c>
      <c r="X1018">
        <v>0.98472309999999996</v>
      </c>
      <c r="Y1018">
        <v>0.10191840000000001</v>
      </c>
      <c r="Z1018">
        <v>-3.7202239999999998E-3</v>
      </c>
      <c r="AA1018">
        <v>0.99478580000000005</v>
      </c>
      <c r="AB1018">
        <v>35</v>
      </c>
      <c r="AC1018">
        <v>17.4085</v>
      </c>
      <c r="AD1018">
        <v>-1.1104047220860001</v>
      </c>
      <c r="AE1018">
        <v>-1.6624999999999599</v>
      </c>
      <c r="AF1018">
        <v>1.7972266023932899</v>
      </c>
      <c r="AG1018">
        <v>-1.1104047220860001</v>
      </c>
      <c r="AH1018">
        <v>17.324508406361002</v>
      </c>
      <c r="AI1018">
        <v>93.647802071266696</v>
      </c>
      <c r="AJ1018">
        <v>84.077380363997705</v>
      </c>
      <c r="AK1018">
        <v>17.452839701012898</v>
      </c>
      <c r="AL1018">
        <v>80.347776000760902</v>
      </c>
      <c r="AM1018">
        <v>87.267929372290993</v>
      </c>
      <c r="AN1018">
        <v>1.00000003752059</v>
      </c>
    </row>
    <row r="1019" spans="1:40" x14ac:dyDescent="0.25">
      <c r="A1019" t="str">
        <f>"20190312172348439"</f>
        <v>20190312172348439</v>
      </c>
      <c r="B1019" t="str">
        <f>"1552382628431168"</f>
        <v>1552382628431168</v>
      </c>
      <c r="C1019" t="s">
        <v>40</v>
      </c>
      <c r="D1019">
        <v>3.9665499999999998</v>
      </c>
      <c r="E1019">
        <v>0.51796809999999904</v>
      </c>
      <c r="F1019" t="s">
        <v>43</v>
      </c>
      <c r="G1019">
        <v>-217.3741</v>
      </c>
      <c r="H1019" s="1">
        <v>-1.830564E-6</v>
      </c>
      <c r="I1019">
        <v>366.04270000000002</v>
      </c>
      <c r="J1019">
        <v>-234.8921</v>
      </c>
      <c r="K1019">
        <v>1.1104039999999999</v>
      </c>
      <c r="L1019">
        <v>367.75009999999997</v>
      </c>
      <c r="M1019">
        <v>0.99985900000000005</v>
      </c>
      <c r="N1019">
        <v>0</v>
      </c>
      <c r="O1019">
        <v>8.1647079999999997E-3</v>
      </c>
      <c r="P1019">
        <v>0.98733990000000005</v>
      </c>
      <c r="Q1019">
        <v>0.1534065</v>
      </c>
      <c r="R1019">
        <v>-4.0329999999999998E-2</v>
      </c>
      <c r="S1019">
        <v>3.0563349999999998</v>
      </c>
      <c r="T1019">
        <v>-0.19181000000000001</v>
      </c>
      <c r="U1019">
        <v>-0.29467769999999999</v>
      </c>
      <c r="V1019">
        <v>4.8391730000000001E-2</v>
      </c>
      <c r="W1019">
        <v>0.16787839999999901</v>
      </c>
      <c r="X1019">
        <v>0.98461929999999998</v>
      </c>
      <c r="Y1019">
        <v>0.1038766</v>
      </c>
      <c r="Z1019">
        <v>-3.759657E-3</v>
      </c>
      <c r="AA1019">
        <v>0.99458310000000005</v>
      </c>
      <c r="AB1019">
        <v>35</v>
      </c>
      <c r="AC1019">
        <v>17.518000000000001</v>
      </c>
      <c r="AD1019">
        <v>-1.1104058305640001</v>
      </c>
      <c r="AE1019">
        <v>-1.7073999999999401</v>
      </c>
      <c r="AF1019">
        <v>1.8430523956934299</v>
      </c>
      <c r="AG1019">
        <v>-1.1104058305640001</v>
      </c>
      <c r="AH1019">
        <v>17.434085547581098</v>
      </c>
      <c r="AI1019">
        <v>93.624199608685799</v>
      </c>
      <c r="AJ1019">
        <v>83.965364176773306</v>
      </c>
      <c r="AK1019">
        <v>17.566365079953101</v>
      </c>
      <c r="AL1019">
        <v>80.335512805768701</v>
      </c>
      <c r="AM1019">
        <v>87.186310799761102</v>
      </c>
      <c r="AN1019">
        <v>1.00000004132572</v>
      </c>
    </row>
    <row r="1020" spans="1:40" x14ac:dyDescent="0.25">
      <c r="A1020" t="str">
        <f>"20190312172348460"</f>
        <v>20190312172348460</v>
      </c>
      <c r="B1020" t="str">
        <f>"1552382628450690"</f>
        <v>1552382628450690</v>
      </c>
      <c r="C1020" t="s">
        <v>40</v>
      </c>
      <c r="D1020">
        <v>3.967984</v>
      </c>
      <c r="E1020">
        <v>0.5173894</v>
      </c>
      <c r="F1020" t="s">
        <v>43</v>
      </c>
      <c r="G1020">
        <v>-217.10400000000001</v>
      </c>
      <c r="H1020" s="1">
        <v>-1.8938350000000001E-6</v>
      </c>
      <c r="I1020">
        <v>366.15039999999999</v>
      </c>
      <c r="J1020">
        <v>-234.5735</v>
      </c>
      <c r="K1020">
        <v>1.1104149999999999</v>
      </c>
      <c r="L1020">
        <v>367.7527</v>
      </c>
      <c r="M1020">
        <v>0.99985900000000005</v>
      </c>
      <c r="N1020">
        <v>0</v>
      </c>
      <c r="O1020">
        <v>8.177485E-3</v>
      </c>
      <c r="P1020">
        <v>0.98712330000000004</v>
      </c>
      <c r="Q1020">
        <v>0.1539932</v>
      </c>
      <c r="R1020">
        <v>-4.329011E-2</v>
      </c>
      <c r="S1020">
        <v>3.05687</v>
      </c>
      <c r="T1020">
        <v>-0.19082089999999999</v>
      </c>
      <c r="U1020">
        <v>-0.27490229999999999</v>
      </c>
      <c r="V1020">
        <v>5.136247E-2</v>
      </c>
      <c r="W1020">
        <v>0.168458</v>
      </c>
      <c r="X1020">
        <v>0.98436979999999996</v>
      </c>
      <c r="Y1020">
        <v>9.7506330000000002E-2</v>
      </c>
      <c r="Z1020">
        <v>-3.5433320000000002E-3</v>
      </c>
      <c r="AA1020">
        <v>0.99522860000000002</v>
      </c>
      <c r="AB1020">
        <v>35</v>
      </c>
      <c r="AC1020">
        <v>17.469499999999901</v>
      </c>
      <c r="AD1020">
        <v>-1.1104168938350001</v>
      </c>
      <c r="AE1020">
        <v>-1.60230000000001</v>
      </c>
      <c r="AF1020">
        <v>1.7381543150390599</v>
      </c>
      <c r="AG1020">
        <v>-1.1104168938350001</v>
      </c>
      <c r="AH1020">
        <v>17.386152696910901</v>
      </c>
      <c r="AI1020">
        <v>93.636319286078901</v>
      </c>
      <c r="AJ1020">
        <v>84.290910894620893</v>
      </c>
      <c r="AK1020">
        <v>17.508069902228101</v>
      </c>
      <c r="AL1020">
        <v>80.301824498808301</v>
      </c>
      <c r="AM1020">
        <v>87.0131281694525</v>
      </c>
      <c r="AN1020">
        <v>1.0000000521202601</v>
      </c>
    </row>
    <row r="1021" spans="1:40" x14ac:dyDescent="0.25">
      <c r="A1021" t="str">
        <f>"20190312172348474"</f>
        <v>20190312172348474</v>
      </c>
      <c r="B1021" t="str">
        <f>"1552382628460447"</f>
        <v>1552382628460447</v>
      </c>
      <c r="C1021" t="s">
        <v>40</v>
      </c>
      <c r="D1021">
        <v>3.9775230000000001</v>
      </c>
      <c r="E1021">
        <v>0.51716549999999994</v>
      </c>
      <c r="F1021" t="s">
        <v>43</v>
      </c>
      <c r="G1021">
        <v>-217.06710000000001</v>
      </c>
      <c r="H1021" s="1">
        <v>-1.906321E-6</v>
      </c>
      <c r="I1021">
        <v>366.15069999999997</v>
      </c>
      <c r="J1021">
        <v>-234.37219999999999</v>
      </c>
      <c r="K1021">
        <v>1.1104179999999999</v>
      </c>
      <c r="L1021">
        <v>367.75439999999998</v>
      </c>
      <c r="M1021">
        <v>0.99985889999999999</v>
      </c>
      <c r="N1021">
        <v>0</v>
      </c>
      <c r="O1021">
        <v>8.1854300000000005E-3</v>
      </c>
      <c r="P1021">
        <v>0.98700670000000001</v>
      </c>
      <c r="Q1021">
        <v>0.15427929999999901</v>
      </c>
      <c r="R1021">
        <v>-4.4898689999999998E-2</v>
      </c>
      <c r="S1021">
        <v>3.0570979999999999</v>
      </c>
      <c r="T1021">
        <v>-0.1939082</v>
      </c>
      <c r="U1021">
        <v>-0.27975460000000002</v>
      </c>
      <c r="V1021">
        <v>5.2977929999999999E-2</v>
      </c>
      <c r="W1021">
        <v>0.16874</v>
      </c>
      <c r="X1021">
        <v>0.98423579999999999</v>
      </c>
      <c r="Y1021">
        <v>9.9064509999999995E-2</v>
      </c>
      <c r="Z1021">
        <v>-3.64979E-3</v>
      </c>
      <c r="AA1021">
        <v>0.99507429999999997</v>
      </c>
      <c r="AB1021">
        <v>35</v>
      </c>
      <c r="AC1021">
        <v>17.3050999999999</v>
      </c>
      <c r="AD1021">
        <v>-1.1104199063210001</v>
      </c>
      <c r="AE1021">
        <v>-1.6036999999999999</v>
      </c>
      <c r="AF1021">
        <v>1.7382151517017399</v>
      </c>
      <c r="AG1021">
        <v>-1.1104199063210001</v>
      </c>
      <c r="AH1021">
        <v>17.221088884094399</v>
      </c>
      <c r="AI1021">
        <v>93.670738247907593</v>
      </c>
      <c r="AJ1021">
        <v>84.236355675372906</v>
      </c>
      <c r="AK1021">
        <v>17.344172699666</v>
      </c>
      <c r="AL1021">
        <v>80.285431718923306</v>
      </c>
      <c r="AM1021">
        <v>86.918944226037596</v>
      </c>
      <c r="AN1021">
        <v>0.99999997933436202</v>
      </c>
    </row>
    <row r="1022" spans="1:40" x14ac:dyDescent="0.25">
      <c r="A1022" t="str">
        <f>"20190312172348486"</f>
        <v>20190312172348486</v>
      </c>
      <c r="B1022" t="str">
        <f>"1552382628480943"</f>
        <v>1552382628480943</v>
      </c>
      <c r="C1022" t="s">
        <v>40</v>
      </c>
      <c r="D1022">
        <v>3.946618</v>
      </c>
      <c r="E1022">
        <v>0.516988</v>
      </c>
      <c r="F1022" t="s">
        <v>43</v>
      </c>
      <c r="G1022">
        <v>-216.88720000000001</v>
      </c>
      <c r="H1022" s="1">
        <v>-1.9715600000000001E-6</v>
      </c>
      <c r="I1022">
        <v>366.13560000000001</v>
      </c>
      <c r="J1022">
        <v>-234.16730000000001</v>
      </c>
      <c r="K1022">
        <v>1.1104179999999999</v>
      </c>
      <c r="L1022">
        <v>367.75599999999997</v>
      </c>
      <c r="M1022">
        <v>0.99985880000000005</v>
      </c>
      <c r="N1022">
        <v>0</v>
      </c>
      <c r="O1022">
        <v>8.1936730000000003E-3</v>
      </c>
      <c r="P1022">
        <v>0.98689919999999998</v>
      </c>
      <c r="Q1022">
        <v>0.15449489999999999</v>
      </c>
      <c r="R1022">
        <v>-4.649205E-2</v>
      </c>
      <c r="S1022">
        <v>3.0569609999999998</v>
      </c>
      <c r="T1022">
        <v>-0.19413710000000001</v>
      </c>
      <c r="U1022">
        <v>-0.28301999999999999</v>
      </c>
      <c r="V1022">
        <v>5.4578450000000001E-2</v>
      </c>
      <c r="W1022">
        <v>0.16895199999999999</v>
      </c>
      <c r="X1022">
        <v>0.98411199999999999</v>
      </c>
      <c r="Y1022">
        <v>0.1001281</v>
      </c>
      <c r="Z1022">
        <v>-3.6882619999999999E-3</v>
      </c>
      <c r="AA1022">
        <v>0.99496770000000001</v>
      </c>
      <c r="AB1022">
        <v>35</v>
      </c>
      <c r="AC1022">
        <v>17.280100000000001</v>
      </c>
      <c r="AD1022">
        <v>-1.1104199715600001</v>
      </c>
      <c r="AE1022">
        <v>-1.6203999999999601</v>
      </c>
      <c r="AF1022">
        <v>1.75476543783878</v>
      </c>
      <c r="AG1022">
        <v>-1.1104199715600001</v>
      </c>
      <c r="AH1022">
        <v>17.195852549843298</v>
      </c>
      <c r="AI1022">
        <v>93.675701835307905</v>
      </c>
      <c r="AJ1022">
        <v>84.173372376393004</v>
      </c>
      <c r="AK1022">
        <v>17.320784600329901</v>
      </c>
      <c r="AL1022">
        <v>80.273108347968005</v>
      </c>
      <c r="AM1022">
        <v>86.825651298239507</v>
      </c>
      <c r="AN1022">
        <v>1.0000000070262001</v>
      </c>
    </row>
    <row r="1023" spans="1:40" x14ac:dyDescent="0.25">
      <c r="A1023" t="str">
        <f>"20190312172348505"</f>
        <v>20190312172348505</v>
      </c>
      <c r="B1023" t="str">
        <f>"1552382628500463"</f>
        <v>1552382628500463</v>
      </c>
      <c r="C1023" t="s">
        <v>40</v>
      </c>
      <c r="D1023">
        <v>3.9633669999999999</v>
      </c>
      <c r="E1023">
        <v>0.51658789999999999</v>
      </c>
      <c r="F1023" t="s">
        <v>41</v>
      </c>
      <c r="G1023">
        <v>-233.1962</v>
      </c>
      <c r="H1023">
        <v>1.0490219999999999</v>
      </c>
      <c r="I1023">
        <v>367.66489999999999</v>
      </c>
      <c r="J1023">
        <v>-233.8708</v>
      </c>
      <c r="K1023">
        <v>1.110414</v>
      </c>
      <c r="L1023">
        <v>367.75839999999999</v>
      </c>
      <c r="M1023">
        <v>0.99985869999999999</v>
      </c>
      <c r="N1023">
        <v>0</v>
      </c>
      <c r="O1023">
        <v>8.2056159999999902E-3</v>
      </c>
      <c r="P1023">
        <v>0.98676160000000002</v>
      </c>
      <c r="Q1023">
        <v>0.154473</v>
      </c>
      <c r="R1023">
        <v>-4.9386890000000003E-2</v>
      </c>
      <c r="S1023">
        <v>3.0565950000000002</v>
      </c>
      <c r="T1023">
        <v>-0.1932441</v>
      </c>
      <c r="U1023">
        <v>-0.28656009999999998</v>
      </c>
      <c r="V1023">
        <v>5.748412E-2</v>
      </c>
      <c r="W1023">
        <v>0.1689242</v>
      </c>
      <c r="X1023">
        <v>0.98395129999999997</v>
      </c>
      <c r="Y1023">
        <v>0.10129290000000001</v>
      </c>
      <c r="Z1023">
        <v>-3.7090280000000001E-3</v>
      </c>
      <c r="AA1023">
        <v>0.99484969999999995</v>
      </c>
      <c r="AB1023">
        <v>35</v>
      </c>
      <c r="AC1023">
        <v>0.67459999999999798</v>
      </c>
      <c r="AD1023">
        <v>-6.1392000000000099E-2</v>
      </c>
      <c r="AE1023">
        <v>-9.3500000000005898E-2</v>
      </c>
      <c r="AF1023">
        <v>9.8234718336803695E-2</v>
      </c>
      <c r="AG1023">
        <v>-6.1392000000000099E-2</v>
      </c>
      <c r="AH1023">
        <v>0.66837885023783195</v>
      </c>
      <c r="AI1023">
        <v>95.192537910852295</v>
      </c>
      <c r="AJ1023">
        <v>81.638837083859798</v>
      </c>
      <c r="AK1023">
        <v>0.67834307322766796</v>
      </c>
      <c r="AL1023">
        <v>80.274724183208903</v>
      </c>
      <c r="AM1023">
        <v>86.656482899153701</v>
      </c>
      <c r="AN1023">
        <v>0.99999998508475196</v>
      </c>
    </row>
    <row r="1024" spans="1:40" x14ac:dyDescent="0.25">
      <c r="A1024" t="str">
        <f>"20190312172348527"</f>
        <v>20190312172348527</v>
      </c>
      <c r="B1024" t="str">
        <f>"1552382628520958"</f>
        <v>1552382628520958</v>
      </c>
      <c r="C1024" t="s">
        <v>40</v>
      </c>
      <c r="D1024">
        <v>3.9832709999999998</v>
      </c>
      <c r="E1024">
        <v>0.51445029999999903</v>
      </c>
      <c r="F1024" t="s">
        <v>41</v>
      </c>
      <c r="G1024">
        <v>-232.88489999999999</v>
      </c>
      <c r="H1024">
        <v>1.048251</v>
      </c>
      <c r="I1024">
        <v>367.66359999999997</v>
      </c>
      <c r="J1024">
        <v>-233.52610000000001</v>
      </c>
      <c r="K1024">
        <v>1.1104179999999999</v>
      </c>
      <c r="L1024">
        <v>367.76130000000001</v>
      </c>
      <c r="M1024">
        <v>0.99985889999999999</v>
      </c>
      <c r="N1024">
        <v>0</v>
      </c>
      <c r="O1024">
        <v>8.2186910000000002E-3</v>
      </c>
      <c r="P1024">
        <v>0.98661600000000005</v>
      </c>
      <c r="Q1024">
        <v>0.15449589999999999</v>
      </c>
      <c r="R1024">
        <v>-5.2155609999999998E-2</v>
      </c>
      <c r="S1024">
        <v>3.0558010000000002</v>
      </c>
      <c r="T1024">
        <v>-0.19291079999999999</v>
      </c>
      <c r="U1024">
        <v>-0.29299930000000002</v>
      </c>
      <c r="V1024">
        <v>6.0264419999999999E-2</v>
      </c>
      <c r="W1024">
        <v>0.16894120000000001</v>
      </c>
      <c r="X1024">
        <v>0.98378209999999999</v>
      </c>
      <c r="Y1024">
        <v>0.1034038</v>
      </c>
      <c r="Z1024">
        <v>-3.7704700000000002E-3</v>
      </c>
      <c r="AA1024">
        <v>0.99463230000000002</v>
      </c>
      <c r="AB1024">
        <v>35</v>
      </c>
      <c r="AC1024">
        <v>0.64120000000002597</v>
      </c>
      <c r="AD1024">
        <v>-6.2167E-2</v>
      </c>
      <c r="AE1024">
        <v>-9.7700000000031595E-2</v>
      </c>
      <c r="AF1024">
        <v>0.102029760974432</v>
      </c>
      <c r="AG1024">
        <v>-6.2167E-2</v>
      </c>
      <c r="AH1024">
        <v>0.634545829786899</v>
      </c>
      <c r="AI1024">
        <v>95.5249423957017</v>
      </c>
      <c r="AJ1024">
        <v>80.865494609627504</v>
      </c>
      <c r="AK1024">
        <v>0.64569591768373702</v>
      </c>
      <c r="AL1024">
        <v>80.273736833019299</v>
      </c>
      <c r="AM1024">
        <v>86.4945615634512</v>
      </c>
      <c r="AN1024">
        <v>1.0000000748278901</v>
      </c>
    </row>
    <row r="1025" spans="1:40" x14ac:dyDescent="0.25">
      <c r="A1025" t="str">
        <f>"20190312172348539"</f>
        <v>20190312172348539</v>
      </c>
      <c r="B1025" t="str">
        <f>"1552382628530718"</f>
        <v>1552382628530718</v>
      </c>
      <c r="C1025" t="s">
        <v>40</v>
      </c>
      <c r="D1025">
        <v>3.947797</v>
      </c>
      <c r="E1025">
        <v>0.51429069999999999</v>
      </c>
      <c r="F1025" t="s">
        <v>41</v>
      </c>
      <c r="G1025">
        <v>-232.5762</v>
      </c>
      <c r="H1025">
        <v>1.045785</v>
      </c>
      <c r="I1025">
        <v>367.67270000000002</v>
      </c>
      <c r="J1025">
        <v>-233.3271</v>
      </c>
      <c r="K1025">
        <v>1.11042</v>
      </c>
      <c r="L1025">
        <v>367.7629</v>
      </c>
      <c r="M1025">
        <v>0.99985860000000004</v>
      </c>
      <c r="N1025">
        <v>0</v>
      </c>
      <c r="O1025">
        <v>8.2260879999999995E-3</v>
      </c>
      <c r="P1025">
        <v>0.98654929999999996</v>
      </c>
      <c r="Q1025">
        <v>0.15443879999999999</v>
      </c>
      <c r="R1025">
        <v>-5.3565939999999999E-2</v>
      </c>
      <c r="S1025">
        <v>3.058243</v>
      </c>
      <c r="T1025">
        <v>-0.20818200000000001</v>
      </c>
      <c r="U1025">
        <v>-0.28488160000000001</v>
      </c>
      <c r="V1025">
        <v>6.1681470000000002E-2</v>
      </c>
      <c r="W1025">
        <v>0.16888059999999999</v>
      </c>
      <c r="X1025">
        <v>0.98370460000000004</v>
      </c>
      <c r="Y1025">
        <v>0.100689</v>
      </c>
      <c r="Z1025">
        <v>-3.9739689999999999E-3</v>
      </c>
      <c r="AA1025">
        <v>0.99490999999999996</v>
      </c>
      <c r="AB1025">
        <v>35</v>
      </c>
      <c r="AC1025">
        <v>0.75090000000000101</v>
      </c>
      <c r="AD1025">
        <v>-6.4634999999999998E-2</v>
      </c>
      <c r="AE1025">
        <v>-9.01999999999816E-2</v>
      </c>
      <c r="AF1025">
        <v>9.5675783659110794E-2</v>
      </c>
      <c r="AG1025">
        <v>-6.4634999999999998E-2</v>
      </c>
      <c r="AH1025">
        <v>0.74469341584768101</v>
      </c>
      <c r="AI1025">
        <v>94.920264312108401</v>
      </c>
      <c r="AJ1025">
        <v>82.678930337096901</v>
      </c>
      <c r="AK1025">
        <v>0.75359128339615999</v>
      </c>
      <c r="AL1025">
        <v>80.277258843733605</v>
      </c>
      <c r="AM1025">
        <v>86.412066034238407</v>
      </c>
      <c r="AN1025">
        <v>1.00000000042944</v>
      </c>
    </row>
    <row r="1026" spans="1:40" x14ac:dyDescent="0.25">
      <c r="A1026" t="str">
        <f>"20190312172348551"</f>
        <v>20190312172348551</v>
      </c>
      <c r="B1026" t="str">
        <f>"1552382628540479"</f>
        <v>1552382628540479</v>
      </c>
      <c r="C1026" t="s">
        <v>40</v>
      </c>
      <c r="D1026">
        <v>3.980715</v>
      </c>
      <c r="E1026">
        <v>0.51416989999999996</v>
      </c>
      <c r="F1026" t="s">
        <v>43</v>
      </c>
      <c r="G1026">
        <v>-216.87379999999999</v>
      </c>
      <c r="H1026" s="1">
        <v>-1.955862E-6</v>
      </c>
      <c r="I1026">
        <v>366.21170000000001</v>
      </c>
      <c r="J1026">
        <v>-233.1541</v>
      </c>
      <c r="K1026">
        <v>1.11042</v>
      </c>
      <c r="L1026">
        <v>367.76429999999999</v>
      </c>
      <c r="M1026">
        <v>0.99985869999999999</v>
      </c>
      <c r="N1026">
        <v>0</v>
      </c>
      <c r="O1026">
        <v>8.2313339999999999E-3</v>
      </c>
      <c r="P1026">
        <v>0.98642770000000002</v>
      </c>
      <c r="Q1026">
        <v>0.154648799999999</v>
      </c>
      <c r="R1026">
        <v>-5.5176049999999997E-2</v>
      </c>
      <c r="S1026">
        <v>3.0575709999999998</v>
      </c>
      <c r="T1026">
        <v>-0.20635220000000001</v>
      </c>
      <c r="U1026">
        <v>-0.288269</v>
      </c>
      <c r="V1026">
        <v>6.3296089999999999E-2</v>
      </c>
      <c r="W1026">
        <v>0.1690864</v>
      </c>
      <c r="X1026">
        <v>0.98356659999999996</v>
      </c>
      <c r="Y1026">
        <v>0.1018087</v>
      </c>
      <c r="Z1026">
        <v>-3.977787E-3</v>
      </c>
      <c r="AA1026">
        <v>0.99479600000000001</v>
      </c>
      <c r="AB1026">
        <v>35</v>
      </c>
      <c r="AC1026">
        <v>16.2803</v>
      </c>
      <c r="AD1026">
        <v>-1.1104219558620001</v>
      </c>
      <c r="AE1026">
        <v>-1.55259999999998</v>
      </c>
      <c r="AF1026">
        <v>1.6788306365646299</v>
      </c>
      <c r="AG1026">
        <v>-1.1104219558620001</v>
      </c>
      <c r="AH1026">
        <v>16.192317255381301</v>
      </c>
      <c r="AI1026">
        <v>93.902183185152694</v>
      </c>
      <c r="AJ1026">
        <v>84.080683809402899</v>
      </c>
      <c r="AK1026">
        <v>16.3169435656696</v>
      </c>
      <c r="AL1026">
        <v>80.265294642539899</v>
      </c>
      <c r="AM1026">
        <v>86.317885507389207</v>
      </c>
      <c r="AN1026">
        <v>0.99999993115490105</v>
      </c>
    </row>
    <row r="1027" spans="1:40" x14ac:dyDescent="0.25">
      <c r="A1027" t="str">
        <f>"20190312172348562"</f>
        <v>20190312172348562</v>
      </c>
      <c r="B1027" t="str">
        <f>"1552382628551216"</f>
        <v>1552382628551216</v>
      </c>
      <c r="C1027" t="s">
        <v>40</v>
      </c>
      <c r="D1027">
        <v>3.9550480000000001</v>
      </c>
      <c r="E1027">
        <v>0.51402250000000005</v>
      </c>
      <c r="F1027" t="s">
        <v>41</v>
      </c>
      <c r="G1027">
        <v>-232.2611</v>
      </c>
      <c r="H1027">
        <v>1.050438</v>
      </c>
      <c r="I1027">
        <v>367.67880000000002</v>
      </c>
      <c r="J1027">
        <v>-232.97790000000001</v>
      </c>
      <c r="K1027">
        <v>1.1104229999999999</v>
      </c>
      <c r="L1027">
        <v>367.76569999999998</v>
      </c>
      <c r="M1027">
        <v>0.99985869999999999</v>
      </c>
      <c r="N1027">
        <v>0</v>
      </c>
      <c r="O1027">
        <v>8.2365200000000006E-3</v>
      </c>
      <c r="P1027">
        <v>0.98631630000000003</v>
      </c>
      <c r="Q1027">
        <v>0.15492449999999999</v>
      </c>
      <c r="R1027">
        <v>-5.638133E-2</v>
      </c>
      <c r="S1027">
        <v>3.0571290000000002</v>
      </c>
      <c r="T1027">
        <v>-0.2054754</v>
      </c>
      <c r="U1027">
        <v>-0.29232789999999997</v>
      </c>
      <c r="V1027">
        <v>6.4505880000000002E-2</v>
      </c>
      <c r="W1027">
        <v>0.1693585</v>
      </c>
      <c r="X1027">
        <v>0.98344120000000002</v>
      </c>
      <c r="Y1027">
        <v>0.1031353</v>
      </c>
      <c r="Z1027">
        <v>-4.0060249999999999E-3</v>
      </c>
      <c r="AA1027">
        <v>0.99465919999999997</v>
      </c>
      <c r="AB1027">
        <v>35</v>
      </c>
      <c r="AC1027">
        <v>0.71680000000000599</v>
      </c>
      <c r="AD1027">
        <v>-5.99849999999999E-2</v>
      </c>
      <c r="AE1027">
        <v>-8.6899999999957303E-2</v>
      </c>
      <c r="AF1027">
        <v>9.2165529253920506E-2</v>
      </c>
      <c r="AG1027">
        <v>-5.99849999999999E-2</v>
      </c>
      <c r="AH1027">
        <v>0.71115173176189395</v>
      </c>
      <c r="AI1027">
        <v>94.781632098837605</v>
      </c>
      <c r="AJ1027">
        <v>82.615605468847505</v>
      </c>
      <c r="AK1027">
        <v>0.71960368995412705</v>
      </c>
      <c r="AL1027">
        <v>80.249476531069604</v>
      </c>
      <c r="AM1027">
        <v>86.247230649744907</v>
      </c>
      <c r="AN1027">
        <v>0.99999995196713098</v>
      </c>
    </row>
    <row r="1028" spans="1:40" x14ac:dyDescent="0.25">
      <c r="A1028" t="str">
        <f>"20190312172348573"</f>
        <v>20190312172348573</v>
      </c>
      <c r="B1028" t="str">
        <f>"1552382628570735"</f>
        <v>1552382628570735</v>
      </c>
      <c r="C1028" t="s">
        <v>40</v>
      </c>
      <c r="D1028">
        <v>3.950364</v>
      </c>
      <c r="E1028">
        <v>0.51402130000000001</v>
      </c>
      <c r="F1028" t="s">
        <v>41</v>
      </c>
      <c r="G1028">
        <v>-231.9572</v>
      </c>
      <c r="H1028">
        <v>1.041947</v>
      </c>
      <c r="I1028">
        <v>367.66719999999998</v>
      </c>
      <c r="J1028">
        <v>-232.798</v>
      </c>
      <c r="K1028">
        <v>1.1104259999999999</v>
      </c>
      <c r="L1028">
        <v>367.7672</v>
      </c>
      <c r="M1028">
        <v>0.99985869999999999</v>
      </c>
      <c r="N1028">
        <v>0</v>
      </c>
      <c r="O1028">
        <v>8.2405689999999997E-3</v>
      </c>
      <c r="P1028">
        <v>0.98626899999999995</v>
      </c>
      <c r="Q1028">
        <v>0.15473339999999999</v>
      </c>
      <c r="R1028">
        <v>-5.7719289999999999E-2</v>
      </c>
      <c r="S1028">
        <v>3.0569609999999998</v>
      </c>
      <c r="T1028">
        <v>-0.2051299</v>
      </c>
      <c r="U1028">
        <v>-0.2951355</v>
      </c>
      <c r="V1028">
        <v>6.5847779999999995E-2</v>
      </c>
      <c r="W1028">
        <v>0.16916489999999901</v>
      </c>
      <c r="X1028">
        <v>0.98338559999999997</v>
      </c>
      <c r="Y1028">
        <v>0.1040484</v>
      </c>
      <c r="Z1028">
        <v>-4.0301479999999999E-3</v>
      </c>
      <c r="AA1028">
        <v>0.99456409999999995</v>
      </c>
      <c r="AB1028">
        <v>35</v>
      </c>
      <c r="AC1028">
        <v>0.84080000000000099</v>
      </c>
      <c r="AD1028">
        <v>-6.8478999999999901E-2</v>
      </c>
      <c r="AE1028">
        <v>-0.100000000000022</v>
      </c>
      <c r="AF1028">
        <v>0.106231183847549</v>
      </c>
      <c r="AG1028">
        <v>-6.8478999999999901E-2</v>
      </c>
      <c r="AH1028">
        <v>0.834489094677203</v>
      </c>
      <c r="AI1028">
        <v>94.653846408223103</v>
      </c>
      <c r="AJ1028">
        <v>82.745218900409697</v>
      </c>
      <c r="AK1028">
        <v>0.84400621265357401</v>
      </c>
      <c r="AL1028">
        <v>80.260731526365703</v>
      </c>
      <c r="AM1028">
        <v>86.169176842118503</v>
      </c>
      <c r="AN1028">
        <v>0.99999996590514795</v>
      </c>
    </row>
    <row r="1029" spans="1:40" x14ac:dyDescent="0.25">
      <c r="A1029" t="str">
        <f>"20190312172348594"</f>
        <v>20190312172348594</v>
      </c>
      <c r="B1029" t="str">
        <f>"1552382628591231"</f>
        <v>1552382628591231</v>
      </c>
      <c r="C1029" t="s">
        <v>40</v>
      </c>
      <c r="D1029">
        <v>3.959584</v>
      </c>
      <c r="E1029">
        <v>0.51388519999999904</v>
      </c>
      <c r="F1029" t="s">
        <v>43</v>
      </c>
      <c r="G1029">
        <v>-216.34209999999999</v>
      </c>
      <c r="H1029" s="1">
        <v>-2.1658090000000001E-6</v>
      </c>
      <c r="I1029">
        <v>366.15359999999998</v>
      </c>
      <c r="J1029">
        <v>-232.49590000000001</v>
      </c>
      <c r="K1029">
        <v>1.1104259999999999</v>
      </c>
      <c r="L1029">
        <v>367.7697</v>
      </c>
      <c r="M1029">
        <v>0.99985860000000004</v>
      </c>
      <c r="N1029">
        <v>0</v>
      </c>
      <c r="O1029">
        <v>8.2463989999999997E-3</v>
      </c>
      <c r="P1029">
        <v>0.98606669999999996</v>
      </c>
      <c r="Q1029">
        <v>0.15510009999999999</v>
      </c>
      <c r="R1029">
        <v>-6.013603E-2</v>
      </c>
      <c r="S1029">
        <v>3.0565799999999999</v>
      </c>
      <c r="T1029">
        <v>-0.2062533</v>
      </c>
      <c r="U1029">
        <v>-0.29971310000000001</v>
      </c>
      <c r="V1029">
        <v>6.8269510000000005E-2</v>
      </c>
      <c r="W1029">
        <v>0.16952439999999999</v>
      </c>
      <c r="X1029">
        <v>0.98315859999999999</v>
      </c>
      <c r="Y1029">
        <v>0.1055353</v>
      </c>
      <c r="Z1029">
        <v>-4.1027640000000001E-3</v>
      </c>
      <c r="AA1029">
        <v>0.99440709999999999</v>
      </c>
      <c r="AB1029">
        <v>35</v>
      </c>
      <c r="AC1029">
        <v>16.1538</v>
      </c>
      <c r="AD1029">
        <v>-1.1104281658089901</v>
      </c>
      <c r="AE1029">
        <v>-1.6161000000000101</v>
      </c>
      <c r="AF1029">
        <v>1.74112418138702</v>
      </c>
      <c r="AG1029">
        <v>-1.1104281658089901</v>
      </c>
      <c r="AH1029">
        <v>16.0647632398775</v>
      </c>
      <c r="AI1029">
        <v>93.931159492622299</v>
      </c>
      <c r="AJ1029">
        <v>83.814338433074596</v>
      </c>
      <c r="AK1029">
        <v>16.196949777033701</v>
      </c>
      <c r="AL1029">
        <v>80.239832571237898</v>
      </c>
      <c r="AM1029">
        <v>86.027816827293606</v>
      </c>
      <c r="AN1029">
        <v>1.00000004047247</v>
      </c>
    </row>
    <row r="1030" spans="1:40" x14ac:dyDescent="0.25">
      <c r="A1030" t="str">
        <f>"20190312172348607"</f>
        <v>20190312172348607</v>
      </c>
      <c r="B1030" t="str">
        <f>"1552382628600990"</f>
        <v>1552382628600990</v>
      </c>
      <c r="C1030" t="s">
        <v>40</v>
      </c>
      <c r="D1030">
        <v>4.0096170000000004</v>
      </c>
      <c r="E1030">
        <v>0.51380979999999998</v>
      </c>
      <c r="F1030" t="s">
        <v>43</v>
      </c>
      <c r="G1030">
        <v>-216.1087</v>
      </c>
      <c r="H1030" s="1">
        <v>-2.2710759999999999E-6</v>
      </c>
      <c r="I1030">
        <v>366.12459999999999</v>
      </c>
      <c r="J1030">
        <v>-232.2825</v>
      </c>
      <c r="K1030">
        <v>1.1104240000000001</v>
      </c>
      <c r="L1030">
        <v>367.7715</v>
      </c>
      <c r="M1030">
        <v>0.99985869999999999</v>
      </c>
      <c r="N1030">
        <v>0</v>
      </c>
      <c r="O1030">
        <v>8.2492490000000002E-3</v>
      </c>
      <c r="P1030">
        <v>0.98601919999999998</v>
      </c>
      <c r="Q1030">
        <v>0.1550137</v>
      </c>
      <c r="R1030">
        <v>-6.113296E-2</v>
      </c>
      <c r="S1030">
        <v>3.056244</v>
      </c>
      <c r="T1030">
        <v>-0.20709649999999999</v>
      </c>
      <c r="U1030">
        <v>-0.30682369999999998</v>
      </c>
      <c r="V1030">
        <v>6.9269239999999996E-2</v>
      </c>
      <c r="W1030">
        <v>0.16943459999999999</v>
      </c>
      <c r="X1030">
        <v>0.98310410000000004</v>
      </c>
      <c r="Y1030">
        <v>0.1078322</v>
      </c>
      <c r="Z1030">
        <v>-4.1972099999999998E-3</v>
      </c>
      <c r="AA1030">
        <v>0.99416020000000005</v>
      </c>
      <c r="AB1030">
        <v>35</v>
      </c>
      <c r="AC1030">
        <v>16.1738</v>
      </c>
      <c r="AD1030">
        <v>-1.110426271076</v>
      </c>
      <c r="AE1030">
        <v>-1.64690000000001</v>
      </c>
      <c r="AF1030">
        <v>1.7720130719187199</v>
      </c>
      <c r="AG1030">
        <v>-1.110426271076</v>
      </c>
      <c r="AH1030">
        <v>16.0846235090542</v>
      </c>
      <c r="AI1030">
        <v>93.925559020850699</v>
      </c>
      <c r="AJ1030">
        <v>83.713183085396906</v>
      </c>
      <c r="AK1030">
        <v>16.219993534479801</v>
      </c>
      <c r="AL1030">
        <v>80.245052772197397</v>
      </c>
      <c r="AM1030">
        <v>85.969616299237899</v>
      </c>
      <c r="AN1030">
        <v>0.99999999136207296</v>
      </c>
    </row>
    <row r="1031" spans="1:40" x14ac:dyDescent="0.25">
      <c r="A1031" t="str">
        <f>"20190312172348619"</f>
        <v>20190312172348619</v>
      </c>
      <c r="B1031" t="str">
        <f>"1552382628610751"</f>
        <v>1552382628610751</v>
      </c>
      <c r="C1031" t="s">
        <v>40</v>
      </c>
      <c r="D1031">
        <v>4.0351699999999999</v>
      </c>
      <c r="E1031">
        <v>0.51346599999999998</v>
      </c>
      <c r="F1031" t="s">
        <v>41</v>
      </c>
      <c r="G1031">
        <v>-231.3338</v>
      </c>
      <c r="H1031">
        <v>1.045993</v>
      </c>
      <c r="I1031">
        <v>367.67520000000002</v>
      </c>
      <c r="J1031">
        <v>-232.09280000000001</v>
      </c>
      <c r="K1031">
        <v>1.110422</v>
      </c>
      <c r="L1031">
        <v>367.77300000000002</v>
      </c>
      <c r="M1031">
        <v>0.99985869999999999</v>
      </c>
      <c r="N1031">
        <v>0</v>
      </c>
      <c r="O1031">
        <v>8.2514470000000003E-3</v>
      </c>
      <c r="P1031">
        <v>0.98596629999999996</v>
      </c>
      <c r="Q1031">
        <v>0.15483069999999999</v>
      </c>
      <c r="R1031">
        <v>-6.2434360000000001E-2</v>
      </c>
      <c r="S1031">
        <v>3.056</v>
      </c>
      <c r="T1031">
        <v>-0.2076827</v>
      </c>
      <c r="U1031">
        <v>-0.30981449999999999</v>
      </c>
      <c r="V1031">
        <v>7.0572830000000003E-2</v>
      </c>
      <c r="W1031">
        <v>0.16924900000000001</v>
      </c>
      <c r="X1031">
        <v>0.98304340000000001</v>
      </c>
      <c r="Y1031">
        <v>0.1088016</v>
      </c>
      <c r="Z1031">
        <v>-4.2421610000000004E-3</v>
      </c>
      <c r="AA1031">
        <v>0.9940544</v>
      </c>
      <c r="AB1031">
        <v>35</v>
      </c>
      <c r="AC1031">
        <v>0.759000000000014</v>
      </c>
      <c r="AD1031">
        <v>-6.4429E-2</v>
      </c>
      <c r="AE1031">
        <v>-9.7800000000006507E-2</v>
      </c>
      <c r="AF1031">
        <v>0.10332779567886601</v>
      </c>
      <c r="AG1031">
        <v>-6.4429E-2</v>
      </c>
      <c r="AH1031">
        <v>0.75283096203120503</v>
      </c>
      <c r="AI1031">
        <v>94.846368895225396</v>
      </c>
      <c r="AJ1031">
        <v>82.184851685281899</v>
      </c>
      <c r="AK1031">
        <v>0.762615359662841</v>
      </c>
      <c r="AL1031">
        <v>80.255843155923898</v>
      </c>
      <c r="AM1031">
        <v>85.893772168714605</v>
      </c>
      <c r="AN1031">
        <v>1.00000003730938</v>
      </c>
    </row>
    <row r="1032" spans="1:40" x14ac:dyDescent="0.25">
      <c r="A1032" t="str">
        <f>"20190312172348630"</f>
        <v>20190312172348630</v>
      </c>
      <c r="B1032" t="str">
        <f>"1552382628620511"</f>
        <v>1552382628620511</v>
      </c>
      <c r="C1032" t="s">
        <v>40</v>
      </c>
      <c r="D1032">
        <v>4.001309</v>
      </c>
      <c r="E1032">
        <v>0.51336970000000004</v>
      </c>
      <c r="F1032" t="s">
        <v>43</v>
      </c>
      <c r="G1032">
        <v>-215.78210000000001</v>
      </c>
      <c r="H1032" s="1">
        <v>-2.413688E-6</v>
      </c>
      <c r="I1032">
        <v>366.1105</v>
      </c>
      <c r="J1032">
        <v>-231.92490000000001</v>
      </c>
      <c r="K1032">
        <v>1.110422</v>
      </c>
      <c r="L1032">
        <v>367.77440000000001</v>
      </c>
      <c r="M1032">
        <v>0.99985869999999999</v>
      </c>
      <c r="N1032">
        <v>0</v>
      </c>
      <c r="O1032">
        <v>8.2527550000000005E-3</v>
      </c>
      <c r="P1032">
        <v>0.9859388</v>
      </c>
      <c r="Q1032">
        <v>0.15444929999999901</v>
      </c>
      <c r="R1032">
        <v>-6.3800129999999997E-2</v>
      </c>
      <c r="S1032">
        <v>3.055634</v>
      </c>
      <c r="T1032">
        <v>-0.20802470000000001</v>
      </c>
      <c r="U1032">
        <v>-0.31146239999999997</v>
      </c>
      <c r="V1032">
        <v>7.1939929999999999E-2</v>
      </c>
      <c r="W1032">
        <v>0.1688646</v>
      </c>
      <c r="X1032">
        <v>0.98301039999999995</v>
      </c>
      <c r="Y1032">
        <v>0.1093433</v>
      </c>
      <c r="Z1032">
        <v>-4.2679789999999999E-3</v>
      </c>
      <c r="AA1032">
        <v>0.99399490000000001</v>
      </c>
      <c r="AB1032">
        <v>35</v>
      </c>
      <c r="AC1032">
        <v>16.142799999999902</v>
      </c>
      <c r="AD1032">
        <v>-1.1104244136879999</v>
      </c>
      <c r="AE1032">
        <v>-1.6639000000000099</v>
      </c>
      <c r="AF1032">
        <v>1.7887054834964</v>
      </c>
      <c r="AG1032">
        <v>-1.1104244136879999</v>
      </c>
      <c r="AH1032">
        <v>16.053355249825302</v>
      </c>
      <c r="AI1032">
        <v>93.9326363028092</v>
      </c>
      <c r="AJ1032">
        <v>83.642183372808901</v>
      </c>
      <c r="AK1032">
        <v>16.190822229346399</v>
      </c>
      <c r="AL1032">
        <v>80.278189191017205</v>
      </c>
      <c r="AM1032">
        <v>85.814368470315699</v>
      </c>
      <c r="AN1032">
        <v>1.0000000265848601</v>
      </c>
    </row>
    <row r="1033" spans="1:40" x14ac:dyDescent="0.25">
      <c r="A1033" t="str">
        <f>"20190312172348641"</f>
        <v>20190312172348641</v>
      </c>
      <c r="B1033" t="str">
        <f>"1552382628630271"</f>
        <v>1552382628630271</v>
      </c>
      <c r="C1033" t="s">
        <v>40</v>
      </c>
      <c r="D1033">
        <v>3.974259</v>
      </c>
      <c r="E1033">
        <v>0.51323359999999996</v>
      </c>
      <c r="F1033" t="s">
        <v>41</v>
      </c>
      <c r="G1033">
        <v>-231.0222</v>
      </c>
      <c r="H1033">
        <v>1.0483910000000001</v>
      </c>
      <c r="I1033">
        <v>367.68110000000001</v>
      </c>
      <c r="J1033">
        <v>-231.7474</v>
      </c>
      <c r="K1033">
        <v>1.110422</v>
      </c>
      <c r="L1033">
        <v>367.77589999999998</v>
      </c>
      <c r="M1033">
        <v>0.99985869999999999</v>
      </c>
      <c r="N1033">
        <v>0</v>
      </c>
      <c r="O1033">
        <v>8.2535860000000003E-3</v>
      </c>
      <c r="P1033">
        <v>0.98584559999999999</v>
      </c>
      <c r="Q1033">
        <v>0.1545377</v>
      </c>
      <c r="R1033">
        <v>-6.5014089999999997E-2</v>
      </c>
      <c r="S1033">
        <v>3.0553439999999998</v>
      </c>
      <c r="T1033">
        <v>-0.21022370000000001</v>
      </c>
      <c r="U1033">
        <v>-0.31494139999999998</v>
      </c>
      <c r="V1033">
        <v>7.3154490000000003E-2</v>
      </c>
      <c r="W1033">
        <v>0.16894960000000001</v>
      </c>
      <c r="X1033">
        <v>0.9829061</v>
      </c>
      <c r="Y1033">
        <v>0.1104653</v>
      </c>
      <c r="Z1033">
        <v>-4.3516559999999998E-3</v>
      </c>
      <c r="AA1033">
        <v>0.99387040000000004</v>
      </c>
      <c r="AB1033">
        <v>35</v>
      </c>
      <c r="AC1033">
        <v>0.72520000000000095</v>
      </c>
      <c r="AD1033">
        <v>-6.2030999999999899E-2</v>
      </c>
      <c r="AE1033">
        <v>-9.4799999999963802E-2</v>
      </c>
      <c r="AF1033">
        <v>0.100063103815548</v>
      </c>
      <c r="AG1033">
        <v>-6.2030999999999899E-2</v>
      </c>
      <c r="AH1033">
        <v>0.71921903129056097</v>
      </c>
      <c r="AI1033">
        <v>94.882633471575403</v>
      </c>
      <c r="AJ1033">
        <v>82.079428335201598</v>
      </c>
      <c r="AK1033">
        <v>0.72879111182610801</v>
      </c>
      <c r="AL1033">
        <v>80.273247539892793</v>
      </c>
      <c r="AM1033">
        <v>85.743510112117093</v>
      </c>
      <c r="AN1033">
        <v>0.99999997408226404</v>
      </c>
    </row>
    <row r="1034" spans="1:40" x14ac:dyDescent="0.25">
      <c r="A1034" t="str">
        <f>"20190312172348653"</f>
        <v>20190312172348653</v>
      </c>
      <c r="B1034" t="str">
        <f>"1552382628650767"</f>
        <v>1552382628650767</v>
      </c>
      <c r="C1034" t="s">
        <v>40</v>
      </c>
      <c r="D1034">
        <v>3.9693809999999998</v>
      </c>
      <c r="E1034">
        <v>0.5130941</v>
      </c>
      <c r="F1034" t="s">
        <v>41</v>
      </c>
      <c r="G1034">
        <v>-230.7191</v>
      </c>
      <c r="H1034">
        <v>1.039601</v>
      </c>
      <c r="I1034">
        <v>367.66879999999998</v>
      </c>
      <c r="J1034">
        <v>-231.56319999999999</v>
      </c>
      <c r="K1034">
        <v>1.110425</v>
      </c>
      <c r="L1034">
        <v>367.7774</v>
      </c>
      <c r="M1034">
        <v>0.99985880000000005</v>
      </c>
      <c r="N1034">
        <v>0</v>
      </c>
      <c r="O1034">
        <v>8.2543040000000005E-3</v>
      </c>
      <c r="P1034">
        <v>0.98577969999999904</v>
      </c>
      <c r="Q1034">
        <v>0.15446689999999999</v>
      </c>
      <c r="R1034">
        <v>-6.6171579999999994E-2</v>
      </c>
      <c r="S1034">
        <v>3.055069</v>
      </c>
      <c r="T1034">
        <v>-0.21039749999999999</v>
      </c>
      <c r="U1034">
        <v>-0.31814579999999998</v>
      </c>
      <c r="V1034">
        <v>7.4312260000000005E-2</v>
      </c>
      <c r="W1034">
        <v>0.16887539999999901</v>
      </c>
      <c r="X1034">
        <v>0.98283200000000004</v>
      </c>
      <c r="Y1034">
        <v>0.11150350000000001</v>
      </c>
      <c r="Z1034">
        <v>-4.3910620000000003E-3</v>
      </c>
      <c r="AA1034">
        <v>0.99375429999999998</v>
      </c>
      <c r="AB1034">
        <v>35</v>
      </c>
      <c r="AC1034">
        <v>0.84409999999999696</v>
      </c>
      <c r="AD1034">
        <v>-7.0823999999999998E-2</v>
      </c>
      <c r="AE1034">
        <v>-0.108600000000024</v>
      </c>
      <c r="AF1034">
        <v>0.114769681172122</v>
      </c>
      <c r="AG1034">
        <v>-7.0823999999999998E-2</v>
      </c>
      <c r="AH1034">
        <v>0.837375586054246</v>
      </c>
      <c r="AI1034">
        <v>94.789918117394194</v>
      </c>
      <c r="AJ1034">
        <v>82.195735595203502</v>
      </c>
      <c r="AK1034">
        <v>0.84816625187049399</v>
      </c>
      <c r="AL1034">
        <v>80.2775608882135</v>
      </c>
      <c r="AM1034">
        <v>85.676074055206797</v>
      </c>
      <c r="AN1034">
        <v>0.99999997646773298</v>
      </c>
    </row>
    <row r="1035" spans="1:40" x14ac:dyDescent="0.25">
      <c r="A1035" t="str">
        <f>"20190312172348665"</f>
        <v>20190312172348665</v>
      </c>
      <c r="B1035" t="str">
        <f>"1552382628660527"</f>
        <v>1552382628660527</v>
      </c>
      <c r="C1035" t="s">
        <v>40</v>
      </c>
      <c r="D1035">
        <v>3.9879380000000002</v>
      </c>
      <c r="E1035">
        <v>0.51301059999999998</v>
      </c>
      <c r="F1035" t="s">
        <v>41</v>
      </c>
      <c r="G1035">
        <v>-230.7038</v>
      </c>
      <c r="H1035">
        <v>1.050753</v>
      </c>
      <c r="I1035">
        <v>367.68709999999999</v>
      </c>
      <c r="J1035">
        <v>-231.38800000000001</v>
      </c>
      <c r="K1035">
        <v>1.110428</v>
      </c>
      <c r="L1035">
        <v>367.77890000000002</v>
      </c>
      <c r="M1035">
        <v>0.99985880000000005</v>
      </c>
      <c r="N1035">
        <v>0</v>
      </c>
      <c r="O1035">
        <v>8.2546049999999999E-3</v>
      </c>
      <c r="P1035">
        <v>0.98562919999999998</v>
      </c>
      <c r="Q1035">
        <v>0.15496109999999999</v>
      </c>
      <c r="R1035">
        <v>-6.7248959999999997E-2</v>
      </c>
      <c r="S1035">
        <v>3.0549469999999999</v>
      </c>
      <c r="T1035">
        <v>-0.21207129999999999</v>
      </c>
      <c r="U1035">
        <v>-0.32122800000000001</v>
      </c>
      <c r="V1035">
        <v>7.5389120000000004E-2</v>
      </c>
      <c r="W1035">
        <v>0.16936509999999999</v>
      </c>
      <c r="X1035">
        <v>0.98266569999999998</v>
      </c>
      <c r="Y1035">
        <v>0.1124928</v>
      </c>
      <c r="Z1035">
        <v>-4.4600799999999999E-3</v>
      </c>
      <c r="AA1035">
        <v>0.99364249999999998</v>
      </c>
      <c r="AB1035">
        <v>35</v>
      </c>
      <c r="AC1035">
        <v>0.68420000000000403</v>
      </c>
      <c r="AD1035">
        <v>-5.9674999999999902E-2</v>
      </c>
      <c r="AE1035">
        <v>-9.1800000000034701E-2</v>
      </c>
      <c r="AF1035">
        <v>9.6722511616685505E-2</v>
      </c>
      <c r="AG1035">
        <v>-5.9674999999999902E-2</v>
      </c>
      <c r="AH1035">
        <v>0.67834981264552796</v>
      </c>
      <c r="AI1035">
        <v>94.977330950684703</v>
      </c>
      <c r="AJ1035">
        <v>81.885178715692106</v>
      </c>
      <c r="AK1035">
        <v>0.68780434586782202</v>
      </c>
      <c r="AL1035">
        <v>80.249092986351101</v>
      </c>
      <c r="AM1035">
        <v>85.612919362057298</v>
      </c>
      <c r="AN1035">
        <v>0.99999996723443596</v>
      </c>
    </row>
    <row r="1036" spans="1:40" x14ac:dyDescent="0.25">
      <c r="A1036" t="str">
        <f>"20190312172348678"</f>
        <v>20190312172348678</v>
      </c>
      <c r="B1036" t="str">
        <f>"1552382628670287"</f>
        <v>1552382628670287</v>
      </c>
      <c r="C1036" t="s">
        <v>40</v>
      </c>
      <c r="D1036">
        <v>3.9875349999999998</v>
      </c>
      <c r="E1036">
        <v>0.5129264</v>
      </c>
      <c r="F1036" t="s">
        <v>41</v>
      </c>
      <c r="G1036">
        <v>-230.40790000000001</v>
      </c>
      <c r="H1036">
        <v>1.0428850000000001</v>
      </c>
      <c r="I1036">
        <v>367.67500000000001</v>
      </c>
      <c r="J1036">
        <v>-231.1866</v>
      </c>
      <c r="K1036">
        <v>1.11043</v>
      </c>
      <c r="L1036">
        <v>367.78059999999999</v>
      </c>
      <c r="M1036">
        <v>0.99985889999999999</v>
      </c>
      <c r="N1036">
        <v>0</v>
      </c>
      <c r="O1036">
        <v>8.2547929999999999E-3</v>
      </c>
      <c r="P1036">
        <v>0.98546009999999995</v>
      </c>
      <c r="Q1036">
        <v>0.1554239</v>
      </c>
      <c r="R1036">
        <v>-6.8643839999999998E-2</v>
      </c>
      <c r="S1036">
        <v>3.0547939999999998</v>
      </c>
      <c r="T1036">
        <v>-0.21072440000000001</v>
      </c>
      <c r="U1036">
        <v>-0.32342530000000003</v>
      </c>
      <c r="V1036">
        <v>7.6782870000000003E-2</v>
      </c>
      <c r="W1036">
        <v>0.16982320000000001</v>
      </c>
      <c r="X1036">
        <v>0.98247870000000004</v>
      </c>
      <c r="Y1036">
        <v>0.1132069</v>
      </c>
      <c r="Z1036">
        <v>-4.4564189999999997E-3</v>
      </c>
      <c r="AA1036">
        <v>0.99356140000000004</v>
      </c>
      <c r="AB1036">
        <v>35</v>
      </c>
      <c r="AC1036">
        <v>0.77869999999998596</v>
      </c>
      <c r="AD1036">
        <v>-6.7544999999999897E-2</v>
      </c>
      <c r="AE1036">
        <v>-0.105599999999981</v>
      </c>
      <c r="AF1036">
        <v>0.11120351570142301</v>
      </c>
      <c r="AG1036">
        <v>-6.7544999999999897E-2</v>
      </c>
      <c r="AH1036">
        <v>0.77209734335470004</v>
      </c>
      <c r="AI1036">
        <v>94.948840670300001</v>
      </c>
      <c r="AJ1036">
        <v>81.804173738298005</v>
      </c>
      <c r="AK1036">
        <v>0.78298330540615102</v>
      </c>
      <c r="AL1036">
        <v>80.222459932635701</v>
      </c>
      <c r="AM1036">
        <v>85.531292058674595</v>
      </c>
      <c r="AN1036">
        <v>0.99999996216868203</v>
      </c>
    </row>
    <row r="1037" spans="1:40" x14ac:dyDescent="0.25">
      <c r="A1037" t="str">
        <f>"20190312172348695"</f>
        <v>20190312172348695</v>
      </c>
      <c r="B1037" t="str">
        <f>"1552382628690783"</f>
        <v>1552382628690783</v>
      </c>
      <c r="C1037" t="s">
        <v>40</v>
      </c>
      <c r="D1037">
        <v>3.9489459999999998</v>
      </c>
      <c r="E1037">
        <v>0.51270309999999997</v>
      </c>
      <c r="F1037" t="s">
        <v>43</v>
      </c>
      <c r="G1037">
        <v>-215.01849999999999</v>
      </c>
      <c r="H1037" s="1">
        <v>-2.753008E-6</v>
      </c>
      <c r="I1037">
        <v>366.0444</v>
      </c>
      <c r="J1037">
        <v>-230.9315</v>
      </c>
      <c r="K1037">
        <v>1.1104350000000001</v>
      </c>
      <c r="L1037">
        <v>367.7826</v>
      </c>
      <c r="M1037">
        <v>0.99985889999999999</v>
      </c>
      <c r="N1037">
        <v>0</v>
      </c>
      <c r="O1037">
        <v>8.2544479999999993E-3</v>
      </c>
      <c r="P1037">
        <v>0.98515189999999997</v>
      </c>
      <c r="Q1037">
        <v>0.1558881</v>
      </c>
      <c r="R1037">
        <v>-7.1937909999999994E-2</v>
      </c>
      <c r="S1037">
        <v>3.0545200000000001</v>
      </c>
      <c r="T1037">
        <v>-0.20978440000000001</v>
      </c>
      <c r="U1037">
        <v>-0.32800289999999999</v>
      </c>
      <c r="V1037">
        <v>8.007388E-2</v>
      </c>
      <c r="W1037">
        <v>0.1702795</v>
      </c>
      <c r="X1037">
        <v>0.98213700000000004</v>
      </c>
      <c r="Y1037">
        <v>0.1146871</v>
      </c>
      <c r="Z1037">
        <v>-4.487235E-3</v>
      </c>
      <c r="AA1037">
        <v>0.99339149999999998</v>
      </c>
      <c r="AB1037">
        <v>35</v>
      </c>
      <c r="AC1037">
        <v>15.913</v>
      </c>
      <c r="AD1037">
        <v>-1.1104377530079901</v>
      </c>
      <c r="AE1037">
        <v>-1.7382</v>
      </c>
      <c r="AF1037">
        <v>1.8605547149175099</v>
      </c>
      <c r="AG1037">
        <v>-1.1104377530079901</v>
      </c>
      <c r="AH1037">
        <v>15.821971678470501</v>
      </c>
      <c r="AI1037">
        <v>93.987238494025704</v>
      </c>
      <c r="AJ1037">
        <v>83.293212556670198</v>
      </c>
      <c r="AK1037">
        <v>15.969643817093401</v>
      </c>
      <c r="AL1037">
        <v>80.195929935407193</v>
      </c>
      <c r="AM1037">
        <v>85.338969818783198</v>
      </c>
      <c r="AN1037">
        <v>1.0000000105737501</v>
      </c>
    </row>
    <row r="1038" spans="1:40" x14ac:dyDescent="0.25">
      <c r="A1038" t="str">
        <f>"20190312172348710"</f>
        <v>20190312172348710</v>
      </c>
      <c r="B1038" t="str">
        <f>"1552382628700543"</f>
        <v>1552382628700543</v>
      </c>
      <c r="C1038" t="s">
        <v>40</v>
      </c>
      <c r="D1038">
        <v>3.9910380000000001</v>
      </c>
      <c r="E1038">
        <v>0.51261179999999995</v>
      </c>
      <c r="F1038" t="s">
        <v>43</v>
      </c>
      <c r="G1038">
        <v>-214.70849999999999</v>
      </c>
      <c r="H1038" s="1">
        <v>-2.8950100000000001E-6</v>
      </c>
      <c r="I1038">
        <v>365.99340000000001</v>
      </c>
      <c r="J1038">
        <v>-230.70320000000001</v>
      </c>
      <c r="K1038">
        <v>1.11043799999999</v>
      </c>
      <c r="L1038">
        <v>367.78449999999998</v>
      </c>
      <c r="M1038">
        <v>0.99985900000000005</v>
      </c>
      <c r="N1038">
        <v>0</v>
      </c>
      <c r="O1038">
        <v>8.2541639999999996E-3</v>
      </c>
      <c r="P1038">
        <v>0.98499270000000005</v>
      </c>
      <c r="Q1038">
        <v>0.15611120000000001</v>
      </c>
      <c r="R1038">
        <v>-7.3615009999999995E-2</v>
      </c>
      <c r="S1038">
        <v>3.053696</v>
      </c>
      <c r="T1038">
        <v>-0.2090204</v>
      </c>
      <c r="U1038">
        <v>-0.33679199999999998</v>
      </c>
      <c r="V1038">
        <v>8.1749600000000006E-2</v>
      </c>
      <c r="W1038">
        <v>0.1704976</v>
      </c>
      <c r="X1038">
        <v>0.98196110000000003</v>
      </c>
      <c r="Y1038">
        <v>0.1175359</v>
      </c>
      <c r="Z1038">
        <v>-4.5685099999999996E-3</v>
      </c>
      <c r="AA1038">
        <v>0.99305810000000005</v>
      </c>
      <c r="AB1038">
        <v>35</v>
      </c>
      <c r="AC1038">
        <v>15.9947</v>
      </c>
      <c r="AD1038">
        <v>-1.11044089500999</v>
      </c>
      <c r="AE1038">
        <v>-1.7910999999999699</v>
      </c>
      <c r="AF1038">
        <v>1.9139650800202801</v>
      </c>
      <c r="AG1038">
        <v>-1.11044089500999</v>
      </c>
      <c r="AH1038">
        <v>15.903664517095899</v>
      </c>
      <c r="AI1038">
        <v>93.965556445029804</v>
      </c>
      <c r="AJ1038">
        <v>83.137603959493703</v>
      </c>
      <c r="AK1038">
        <v>16.056864151545401</v>
      </c>
      <c r="AL1038">
        <v>80.183248328550903</v>
      </c>
      <c r="AM1038">
        <v>85.241022504324306</v>
      </c>
      <c r="AN1038">
        <v>1.0000000153095601</v>
      </c>
    </row>
    <row r="1039" spans="1:40" x14ac:dyDescent="0.25">
      <c r="A1039" t="str">
        <f>"20190312172348728"</f>
        <v>20190312172348728</v>
      </c>
      <c r="B1039" t="str">
        <f>"1552382628721039"</f>
        <v>1552382628721039</v>
      </c>
      <c r="C1039" t="s">
        <v>40</v>
      </c>
      <c r="D1039">
        <v>3.9864310000000001</v>
      </c>
      <c r="E1039">
        <v>0.51025120000000002</v>
      </c>
      <c r="F1039" t="s">
        <v>41</v>
      </c>
      <c r="G1039">
        <v>-229.78729999999999</v>
      </c>
      <c r="H1039">
        <v>1.0475829999999999</v>
      </c>
      <c r="I1039">
        <v>367.68189999999998</v>
      </c>
      <c r="J1039">
        <v>-230.4068</v>
      </c>
      <c r="K1039">
        <v>1.110436</v>
      </c>
      <c r="L1039">
        <v>367.78699999999998</v>
      </c>
      <c r="M1039">
        <v>0.99985889999999999</v>
      </c>
      <c r="N1039">
        <v>0</v>
      </c>
      <c r="O1039">
        <v>8.2536480000000006E-3</v>
      </c>
      <c r="P1039">
        <v>0.98475809999999997</v>
      </c>
      <c r="Q1039">
        <v>0.15595690000000001</v>
      </c>
      <c r="R1039">
        <v>-7.7001600000000003E-2</v>
      </c>
      <c r="S1039">
        <v>3.0534059999999998</v>
      </c>
      <c r="T1039">
        <v>-0.2097349</v>
      </c>
      <c r="U1039">
        <v>-0.3416748</v>
      </c>
      <c r="V1039">
        <v>8.5133600000000004E-2</v>
      </c>
      <c r="W1039">
        <v>0.1703364</v>
      </c>
      <c r="X1039">
        <v>0.9817015</v>
      </c>
      <c r="Y1039">
        <v>0.1191086</v>
      </c>
      <c r="Z1039">
        <v>-4.6378670000000004E-3</v>
      </c>
      <c r="AA1039">
        <v>0.99287040000000004</v>
      </c>
      <c r="AB1039">
        <v>35</v>
      </c>
      <c r="AC1039">
        <v>0.61950000000001604</v>
      </c>
      <c r="AD1039">
        <v>-6.2853000000000006E-2</v>
      </c>
      <c r="AE1039">
        <v>-0.105099999999993</v>
      </c>
      <c r="AF1039">
        <v>0.109118300353737</v>
      </c>
      <c r="AG1039">
        <v>-6.2853000000000006E-2</v>
      </c>
      <c r="AH1039">
        <v>0.61248304221977201</v>
      </c>
      <c r="AI1039">
        <v>95.768970717661603</v>
      </c>
      <c r="AJ1039">
        <v>79.898326808899398</v>
      </c>
      <c r="AK1039">
        <v>0.62529415484864004</v>
      </c>
      <c r="AL1039">
        <v>80.192621635139403</v>
      </c>
      <c r="AM1039">
        <v>85.043683711019995</v>
      </c>
      <c r="AN1039">
        <v>1.00000002705808</v>
      </c>
    </row>
    <row r="1040" spans="1:40" x14ac:dyDescent="0.25">
      <c r="A1040" t="str">
        <f>"20190312172348742"</f>
        <v>20190312172348742</v>
      </c>
      <c r="B1040" t="str">
        <f>"1552382628730799"</f>
        <v>1552382628730799</v>
      </c>
      <c r="C1040" t="s">
        <v>40</v>
      </c>
      <c r="D1040">
        <v>3.983924</v>
      </c>
      <c r="E1040">
        <v>0.51042100000000001</v>
      </c>
      <c r="F1040" t="s">
        <v>41</v>
      </c>
      <c r="G1040">
        <v>-229.49019999999999</v>
      </c>
      <c r="H1040">
        <v>1.0329010000000001</v>
      </c>
      <c r="I1040">
        <v>367.68610000000001</v>
      </c>
      <c r="J1040">
        <v>-230.2056</v>
      </c>
      <c r="K1040">
        <v>1.110433</v>
      </c>
      <c r="L1040">
        <v>367.78859999999997</v>
      </c>
      <c r="M1040">
        <v>0.99985889999999999</v>
      </c>
      <c r="N1040">
        <v>0</v>
      </c>
      <c r="O1040">
        <v>8.2533650000000004E-3</v>
      </c>
      <c r="P1040">
        <v>0.98454330000000001</v>
      </c>
      <c r="Q1040">
        <v>0.15629889999999999</v>
      </c>
      <c r="R1040">
        <v>-7.9027319999999998E-2</v>
      </c>
      <c r="S1040">
        <v>3.0611419999999998</v>
      </c>
      <c r="T1040">
        <v>-0.25902029999999998</v>
      </c>
      <c r="U1040">
        <v>-0.33651730000000002</v>
      </c>
      <c r="V1040">
        <v>8.715726E-2</v>
      </c>
      <c r="W1040">
        <v>0.1706723</v>
      </c>
      <c r="X1040">
        <v>0.98146549999999999</v>
      </c>
      <c r="Y1040">
        <v>0.11703230000000001</v>
      </c>
      <c r="Z1040">
        <v>-5.6229640000000003E-3</v>
      </c>
      <c r="AA1040">
        <v>0.9931122</v>
      </c>
      <c r="AB1040">
        <v>34</v>
      </c>
      <c r="AC1040">
        <v>0.71540000000001602</v>
      </c>
      <c r="AD1040">
        <v>-7.7531999999999907E-2</v>
      </c>
      <c r="AE1040">
        <v>-0.102499999999963</v>
      </c>
      <c r="AF1040">
        <v>0.107168194451537</v>
      </c>
      <c r="AG1040">
        <v>-7.7531999999999907E-2</v>
      </c>
      <c r="AH1040">
        <v>0.70639958672382297</v>
      </c>
      <c r="AI1040">
        <v>96.193211595501197</v>
      </c>
      <c r="AJ1040">
        <v>81.373413845600993</v>
      </c>
      <c r="AK1040">
        <v>0.718676985195429</v>
      </c>
      <c r="AL1040">
        <v>80.173089461318995</v>
      </c>
      <c r="AM1040">
        <v>84.925264290425204</v>
      </c>
      <c r="AN1040">
        <v>0.99999997482412295</v>
      </c>
    </row>
    <row r="1041" spans="1:40" x14ac:dyDescent="0.25">
      <c r="A1041" t="str">
        <f>"20190312172348753"</f>
        <v>20190312172348753</v>
      </c>
      <c r="B1041" t="str">
        <f>"1552382628750320"</f>
        <v>1552382628750320</v>
      </c>
      <c r="C1041" t="s">
        <v>40</v>
      </c>
      <c r="D1041">
        <v>3.9848240000000001</v>
      </c>
      <c r="E1041">
        <v>0.51000920000000005</v>
      </c>
      <c r="F1041" t="s">
        <v>41</v>
      </c>
      <c r="G1041">
        <v>-229.18520000000001</v>
      </c>
      <c r="H1041">
        <v>1.0272760000000001</v>
      </c>
      <c r="I1041">
        <v>367.67349999999999</v>
      </c>
      <c r="J1041">
        <v>-230.02250000000001</v>
      </c>
      <c r="K1041">
        <v>1.1104339999999999</v>
      </c>
      <c r="L1041">
        <v>367.7901</v>
      </c>
      <c r="M1041">
        <v>0.99985900000000005</v>
      </c>
      <c r="N1041">
        <v>0</v>
      </c>
      <c r="O1041">
        <v>8.2532000000000005E-3</v>
      </c>
      <c r="P1041">
        <v>0.98443369999999997</v>
      </c>
      <c r="Q1041">
        <v>0.15582799999999999</v>
      </c>
      <c r="R1041">
        <v>-8.1291269999999999E-2</v>
      </c>
      <c r="S1041">
        <v>3.0590359999999999</v>
      </c>
      <c r="T1041">
        <v>-0.2494634</v>
      </c>
      <c r="U1041">
        <v>-0.34451290000000001</v>
      </c>
      <c r="V1041">
        <v>8.9420089999999994E-2</v>
      </c>
      <c r="W1041">
        <v>0.1701973</v>
      </c>
      <c r="X1041">
        <v>0.98134449999999995</v>
      </c>
      <c r="Y1041">
        <v>0.1196928</v>
      </c>
      <c r="Z1041">
        <v>-5.5270569999999897E-3</v>
      </c>
      <c r="AA1041">
        <v>0.9927956</v>
      </c>
      <c r="AB1041">
        <v>34</v>
      </c>
      <c r="AC1041">
        <v>0.83729999999999805</v>
      </c>
      <c r="AD1041">
        <v>-8.3157999999999802E-2</v>
      </c>
      <c r="AE1041">
        <v>-0.11660000000000501</v>
      </c>
      <c r="AF1041">
        <v>0.122323545392215</v>
      </c>
      <c r="AG1041">
        <v>-8.3157999999999802E-2</v>
      </c>
      <c r="AH1041">
        <v>0.828294316859846</v>
      </c>
      <c r="AI1041">
        <v>95.671984306777205</v>
      </c>
      <c r="AJ1041">
        <v>81.599209158010297</v>
      </c>
      <c r="AK1041">
        <v>0.84139751489034098</v>
      </c>
      <c r="AL1041">
        <v>80.200709810564703</v>
      </c>
      <c r="AM1041">
        <v>84.793587377129597</v>
      </c>
      <c r="AN1041">
        <v>1.00000005055157</v>
      </c>
    </row>
    <row r="1042" spans="1:40" x14ac:dyDescent="0.25">
      <c r="A1042" t="str">
        <f>"20190312172348772"</f>
        <v>20190312172348772</v>
      </c>
      <c r="B1042" t="str">
        <f>"1552382628761055"</f>
        <v>1552382628761055</v>
      </c>
      <c r="C1042" t="s">
        <v>40</v>
      </c>
      <c r="D1042">
        <v>3.9966529999999998</v>
      </c>
      <c r="E1042">
        <v>0.50999649999999996</v>
      </c>
      <c r="F1042" t="s">
        <v>41</v>
      </c>
      <c r="G1042">
        <v>-229.17750000000001</v>
      </c>
      <c r="H1042">
        <v>1.042538</v>
      </c>
      <c r="I1042">
        <v>367.6936</v>
      </c>
      <c r="J1042">
        <v>-229.73750000000001</v>
      </c>
      <c r="K1042">
        <v>1.1104320000000001</v>
      </c>
      <c r="L1042">
        <v>367.79239999999999</v>
      </c>
      <c r="M1042">
        <v>0.9998591</v>
      </c>
      <c r="N1042">
        <v>0</v>
      </c>
      <c r="O1042">
        <v>8.2528640000000004E-3</v>
      </c>
      <c r="P1042">
        <v>0.98401459999999996</v>
      </c>
      <c r="Q1042">
        <v>0.15587760000000001</v>
      </c>
      <c r="R1042">
        <v>-8.6125579999999993E-2</v>
      </c>
      <c r="S1042">
        <v>3.0575869999999998</v>
      </c>
      <c r="T1042">
        <v>-0.2458564</v>
      </c>
      <c r="U1042">
        <v>-0.34844969999999997</v>
      </c>
      <c r="V1042">
        <v>9.4250600000000004E-2</v>
      </c>
      <c r="W1042">
        <v>0.17023679999999999</v>
      </c>
      <c r="X1042">
        <v>0.98088540000000002</v>
      </c>
      <c r="Y1042">
        <v>0.12101430000000001</v>
      </c>
      <c r="Z1042">
        <v>-5.5024109999999996E-3</v>
      </c>
      <c r="AA1042">
        <v>0.9926355</v>
      </c>
      <c r="AB1042">
        <v>34</v>
      </c>
      <c r="AC1042">
        <v>0.56000000000000205</v>
      </c>
      <c r="AD1042">
        <v>-6.7893999999999899E-2</v>
      </c>
      <c r="AE1042">
        <v>-9.8799999999982901E-2</v>
      </c>
      <c r="AF1042">
        <v>0.101965193864873</v>
      </c>
      <c r="AG1042">
        <v>-6.7893999999999899E-2</v>
      </c>
      <c r="AH1042">
        <v>0.55130644852442801</v>
      </c>
      <c r="AI1042">
        <v>96.904744797368593</v>
      </c>
      <c r="AJ1042">
        <v>79.521444723541293</v>
      </c>
      <c r="AK1042">
        <v>0.56475242025202399</v>
      </c>
      <c r="AL1042">
        <v>80.198412172874399</v>
      </c>
      <c r="AM1042">
        <v>84.511455070615696</v>
      </c>
      <c r="AN1042">
        <v>0.99999995580387901</v>
      </c>
    </row>
    <row r="1043" spans="1:40" x14ac:dyDescent="0.25">
      <c r="A1043" t="str">
        <f>"20190312172348785"</f>
        <v>20190312172348785</v>
      </c>
      <c r="B1043" t="str">
        <f>"1552382628780575"</f>
        <v>1552382628780575</v>
      </c>
      <c r="C1043" t="s">
        <v>40</v>
      </c>
      <c r="D1043">
        <v>3.9951430000000001</v>
      </c>
      <c r="E1043">
        <v>0.50983140000000005</v>
      </c>
      <c r="F1043" t="s">
        <v>41</v>
      </c>
      <c r="G1043">
        <v>-228.8708</v>
      </c>
      <c r="H1043">
        <v>1.040932</v>
      </c>
      <c r="I1043">
        <v>367.68889999999999</v>
      </c>
      <c r="J1043">
        <v>-229.54060000000001</v>
      </c>
      <c r="K1043">
        <v>1.110433</v>
      </c>
      <c r="L1043">
        <v>367.79399999999998</v>
      </c>
      <c r="M1043">
        <v>0.99985919999999895</v>
      </c>
      <c r="N1043">
        <v>0</v>
      </c>
      <c r="O1043">
        <v>8.2527E-3</v>
      </c>
      <c r="P1043">
        <v>0.98377409999999998</v>
      </c>
      <c r="Q1043">
        <v>0.15584600000000001</v>
      </c>
      <c r="R1043">
        <v>-8.888836E-2</v>
      </c>
      <c r="S1043">
        <v>3.0556640000000002</v>
      </c>
      <c r="T1043">
        <v>-0.24509230000000001</v>
      </c>
      <c r="U1043">
        <v>-0.36465449999999999</v>
      </c>
      <c r="V1043">
        <v>9.701108E-2</v>
      </c>
      <c r="W1043">
        <v>0.17019870000000001</v>
      </c>
      <c r="X1043">
        <v>0.98062289999999996</v>
      </c>
      <c r="Y1043">
        <v>0.12626180000000001</v>
      </c>
      <c r="Z1043">
        <v>-5.6964729999999996E-3</v>
      </c>
      <c r="AA1043">
        <v>0.99198059999999999</v>
      </c>
      <c r="AB1043">
        <v>34</v>
      </c>
      <c r="AC1043">
        <v>0.66980000000000905</v>
      </c>
      <c r="AD1043">
        <v>-6.9500999999999993E-2</v>
      </c>
      <c r="AE1043">
        <v>-0.105100000000049</v>
      </c>
      <c r="AF1043">
        <v>0.10947429093512701</v>
      </c>
      <c r="AG1043">
        <v>-6.9500999999999993E-2</v>
      </c>
      <c r="AH1043">
        <v>0.66195379132705101</v>
      </c>
      <c r="AI1043">
        <v>95.913988341852104</v>
      </c>
      <c r="AJ1043">
        <v>80.6093894259607</v>
      </c>
      <c r="AK1043">
        <v>0.674535270559669</v>
      </c>
      <c r="AL1043">
        <v>80.200628003205793</v>
      </c>
      <c r="AM1043">
        <v>84.350225214145098</v>
      </c>
      <c r="AN1043">
        <v>1.0000000095644299</v>
      </c>
    </row>
    <row r="1044" spans="1:40" x14ac:dyDescent="0.25">
      <c r="A1044" t="str">
        <f>"20190312172348797"</f>
        <v>20190312172348797</v>
      </c>
      <c r="B1044" t="str">
        <f>"1552382628790335"</f>
        <v>1552382628790335</v>
      </c>
      <c r="C1044" t="s">
        <v>40</v>
      </c>
      <c r="D1044">
        <v>4.0095340000000004</v>
      </c>
      <c r="E1044">
        <v>0.50975680000000001</v>
      </c>
      <c r="F1044" t="s">
        <v>41</v>
      </c>
      <c r="G1044">
        <v>-228.5685</v>
      </c>
      <c r="H1044">
        <v>1.032967</v>
      </c>
      <c r="I1044">
        <v>367.67540000000002</v>
      </c>
      <c r="J1044">
        <v>-229.36150000000001</v>
      </c>
      <c r="K1044">
        <v>1.110425</v>
      </c>
      <c r="L1044">
        <v>367.7955</v>
      </c>
      <c r="M1044">
        <v>0.99985919999999895</v>
      </c>
      <c r="N1044">
        <v>0</v>
      </c>
      <c r="O1044">
        <v>8.2528930000000007E-3</v>
      </c>
      <c r="P1044">
        <v>0.98352289999999998</v>
      </c>
      <c r="Q1044">
        <v>0.1556864</v>
      </c>
      <c r="R1044">
        <v>-9.1894920000000005E-2</v>
      </c>
      <c r="S1044">
        <v>3.054443</v>
      </c>
      <c r="T1044">
        <v>-0.24360979999999999</v>
      </c>
      <c r="U1044">
        <v>-0.37231449999999999</v>
      </c>
      <c r="V1044">
        <v>0.10001599999999999</v>
      </c>
      <c r="W1044">
        <v>0.17003279999999901</v>
      </c>
      <c r="X1044">
        <v>0.98034980000000005</v>
      </c>
      <c r="Y1044">
        <v>0.12875739999999999</v>
      </c>
      <c r="Z1044">
        <v>-5.7625330000000002E-3</v>
      </c>
      <c r="AA1044">
        <v>0.99165939999999997</v>
      </c>
      <c r="AB1044">
        <v>34</v>
      </c>
      <c r="AC1044">
        <v>0.79300000000000603</v>
      </c>
      <c r="AD1044">
        <v>-7.7457999999999999E-2</v>
      </c>
      <c r="AE1044">
        <v>-0.120099999999979</v>
      </c>
      <c r="AF1044">
        <v>0.12547089756330301</v>
      </c>
      <c r="AG1044">
        <v>-7.7457999999999999E-2</v>
      </c>
      <c r="AH1044">
        <v>0.78466323582209396</v>
      </c>
      <c r="AI1044">
        <v>95.567410109509296</v>
      </c>
      <c r="AJ1044">
        <v>80.915078604899406</v>
      </c>
      <c r="AK1044">
        <v>0.79839782160909001</v>
      </c>
      <c r="AL1044">
        <v>80.210274290880804</v>
      </c>
      <c r="AM1044">
        <v>84.174797105050502</v>
      </c>
      <c r="AN1044">
        <v>1.0000000418459301</v>
      </c>
    </row>
    <row r="1045" spans="1:40" x14ac:dyDescent="0.25">
      <c r="A1045" t="str">
        <f>"20190312172348808"</f>
        <v>20190312172348808</v>
      </c>
      <c r="B1045" t="str">
        <f>"1552382628801071"</f>
        <v>1552382628801071</v>
      </c>
      <c r="C1045" t="s">
        <v>40</v>
      </c>
      <c r="D1045">
        <v>3.9775369999999999</v>
      </c>
      <c r="E1045">
        <v>0.5096427</v>
      </c>
      <c r="F1045" t="s">
        <v>41</v>
      </c>
      <c r="G1045">
        <v>-228.55950000000001</v>
      </c>
      <c r="H1045">
        <v>1.046702</v>
      </c>
      <c r="I1045">
        <v>367.69510000000002</v>
      </c>
      <c r="J1045">
        <v>-229.1883</v>
      </c>
      <c r="K1045">
        <v>1.1104259999999999</v>
      </c>
      <c r="L1045">
        <v>367.79700000000003</v>
      </c>
      <c r="M1045">
        <v>0.99985919999999895</v>
      </c>
      <c r="N1045">
        <v>0</v>
      </c>
      <c r="O1045">
        <v>8.2529070000000003E-3</v>
      </c>
      <c r="P1045">
        <v>0.98327330000000002</v>
      </c>
      <c r="Q1045">
        <v>0.15573909999999999</v>
      </c>
      <c r="R1045">
        <v>-9.4440330000000003E-2</v>
      </c>
      <c r="S1045">
        <v>3.0530400000000002</v>
      </c>
      <c r="T1045">
        <v>-0.24283270000000001</v>
      </c>
      <c r="U1045">
        <v>-0.38150020000000001</v>
      </c>
      <c r="V1045">
        <v>0.1025591</v>
      </c>
      <c r="W1045">
        <v>0.170079799999999</v>
      </c>
      <c r="X1045">
        <v>0.98007880000000003</v>
      </c>
      <c r="Y1045">
        <v>0.13174359999999999</v>
      </c>
      <c r="Z1045">
        <v>-5.8638910000000004E-3</v>
      </c>
      <c r="AA1045">
        <v>0.99126650000000005</v>
      </c>
      <c r="AB1045">
        <v>34</v>
      </c>
      <c r="AC1045">
        <v>0.62879999999998304</v>
      </c>
      <c r="AD1045">
        <v>-6.3723999999999795E-2</v>
      </c>
      <c r="AE1045">
        <v>-0.10189999999994299</v>
      </c>
      <c r="AF1045">
        <v>0.106025467701127</v>
      </c>
      <c r="AG1045">
        <v>-6.3723999999999795E-2</v>
      </c>
      <c r="AH1045">
        <v>0.62171573912925004</v>
      </c>
      <c r="AI1045">
        <v>95.769487867252295</v>
      </c>
      <c r="AJ1045">
        <v>80.322059926869002</v>
      </c>
      <c r="AK1045">
        <v>0.63390268043152498</v>
      </c>
      <c r="AL1045">
        <v>80.207540981902</v>
      </c>
      <c r="AM1045">
        <v>84.026098044537306</v>
      </c>
      <c r="AN1045">
        <v>0.99999998078514396</v>
      </c>
    </row>
    <row r="1046" spans="1:40" x14ac:dyDescent="0.25">
      <c r="A1046" t="str">
        <f>"20190312172348819"</f>
        <v>20190312172348819</v>
      </c>
      <c r="B1046" t="str">
        <f>"1552382628810832"</f>
        <v>1552382628810832</v>
      </c>
      <c r="C1046" t="s">
        <v>40</v>
      </c>
      <c r="D1046">
        <v>3.994014</v>
      </c>
      <c r="E1046">
        <v>0.50941570000000003</v>
      </c>
      <c r="F1046" t="s">
        <v>41</v>
      </c>
      <c r="G1046">
        <v>-228.2594</v>
      </c>
      <c r="H1046">
        <v>1.036594</v>
      </c>
      <c r="I1046">
        <v>367.67860000000002</v>
      </c>
      <c r="J1046">
        <v>-229.0094</v>
      </c>
      <c r="K1046">
        <v>1.110428</v>
      </c>
      <c r="L1046">
        <v>367.79840000000002</v>
      </c>
      <c r="M1046">
        <v>0.99985919999999895</v>
      </c>
      <c r="N1046">
        <v>0</v>
      </c>
      <c r="O1046">
        <v>8.2529219999999993E-3</v>
      </c>
      <c r="P1046">
        <v>0.98298989999999997</v>
      </c>
      <c r="Q1046">
        <v>0.15586459999999999</v>
      </c>
      <c r="R1046">
        <v>-9.714507E-2</v>
      </c>
      <c r="S1046">
        <v>3.0521240000000001</v>
      </c>
      <c r="T1046">
        <v>-0.2426547</v>
      </c>
      <c r="U1046">
        <v>-0.38882450000000002</v>
      </c>
      <c r="V1046">
        <v>0.1052614</v>
      </c>
      <c r="W1046">
        <v>0.17019870000000001</v>
      </c>
      <c r="X1046">
        <v>0.97977159999999996</v>
      </c>
      <c r="Y1046">
        <v>0.1341145</v>
      </c>
      <c r="Z1046">
        <v>-5.9541969999999996E-3</v>
      </c>
      <c r="AA1046">
        <v>0.99094800000000005</v>
      </c>
      <c r="AB1046">
        <v>34</v>
      </c>
      <c r="AC1046">
        <v>0.75</v>
      </c>
      <c r="AD1046">
        <v>-7.38339999999999E-2</v>
      </c>
      <c r="AE1046">
        <v>-0.11979999999999701</v>
      </c>
      <c r="AF1046">
        <v>0.124806802252187</v>
      </c>
      <c r="AG1046">
        <v>-7.38339999999999E-2</v>
      </c>
      <c r="AH1046">
        <v>0.74197372800636496</v>
      </c>
      <c r="AI1046">
        <v>95.604585567638907</v>
      </c>
      <c r="AJ1046">
        <v>80.4517077498801</v>
      </c>
      <c r="AK1046">
        <v>0.75601138251753797</v>
      </c>
      <c r="AL1046">
        <v>80.200627651150398</v>
      </c>
      <c r="AM1046">
        <v>83.867969283339704</v>
      </c>
      <c r="AN1046">
        <v>0.99999997398910401</v>
      </c>
    </row>
    <row r="1047" spans="1:40" x14ac:dyDescent="0.25">
      <c r="A1047" t="str">
        <f>"20190312172348831"</f>
        <v>20190312172348831</v>
      </c>
      <c r="B1047" t="str">
        <f>"1552382628820592"</f>
        <v>1552382628820592</v>
      </c>
      <c r="C1047" t="s">
        <v>40</v>
      </c>
      <c r="D1047">
        <v>3.9929290000000002</v>
      </c>
      <c r="E1047">
        <v>0.50927069999999997</v>
      </c>
      <c r="F1047" t="s">
        <v>41</v>
      </c>
      <c r="G1047">
        <v>-228.24520000000001</v>
      </c>
      <c r="H1047">
        <v>1.04992</v>
      </c>
      <c r="I1047">
        <v>367.69929999999999</v>
      </c>
      <c r="J1047">
        <v>-228.8451</v>
      </c>
      <c r="K1047">
        <v>1.11043</v>
      </c>
      <c r="L1047">
        <v>367.7998</v>
      </c>
      <c r="M1047">
        <v>0.99985919999999895</v>
      </c>
      <c r="N1047">
        <v>0</v>
      </c>
      <c r="O1047">
        <v>8.252756E-3</v>
      </c>
      <c r="P1047">
        <v>0.98262879999999997</v>
      </c>
      <c r="Q1047">
        <v>0.1563185</v>
      </c>
      <c r="R1047">
        <v>-0.1000269</v>
      </c>
      <c r="S1047">
        <v>3.0511020000000002</v>
      </c>
      <c r="T1047">
        <v>-0.24160889999999999</v>
      </c>
      <c r="U1047">
        <v>-0.39581300000000003</v>
      </c>
      <c r="V1047">
        <v>0.1081401</v>
      </c>
      <c r="W1047">
        <v>0.17064509999999999</v>
      </c>
      <c r="X1047">
        <v>0.97938040000000004</v>
      </c>
      <c r="Y1047">
        <v>0.13638510000000001</v>
      </c>
      <c r="Z1047">
        <v>-6.0190950000000003E-3</v>
      </c>
      <c r="AA1047">
        <v>0.99063760000000001</v>
      </c>
      <c r="AB1047">
        <v>34</v>
      </c>
      <c r="AC1047">
        <v>0.599899999999991</v>
      </c>
      <c r="AD1047">
        <v>-6.0510000000000001E-2</v>
      </c>
      <c r="AE1047">
        <v>-0.10050000000001</v>
      </c>
      <c r="AF1047">
        <v>0.104414608435502</v>
      </c>
      <c r="AG1047">
        <v>-6.0510000000000001E-2</v>
      </c>
      <c r="AH1047">
        <v>0.59317975179911897</v>
      </c>
      <c r="AI1047">
        <v>95.736969322409905</v>
      </c>
      <c r="AJ1047">
        <v>80.016767998195206</v>
      </c>
      <c r="AK1047">
        <v>0.60533138734019398</v>
      </c>
      <c r="AL1047">
        <v>80.174671355286804</v>
      </c>
      <c r="AM1047">
        <v>83.699104299435703</v>
      </c>
      <c r="AN1047">
        <v>0.99999999964309005</v>
      </c>
    </row>
    <row r="1048" spans="1:40" x14ac:dyDescent="0.25">
      <c r="A1048" t="str">
        <f>"20190312172348843"</f>
        <v>20190312172348843</v>
      </c>
      <c r="B1048" t="str">
        <f>"1552382628830351"</f>
        <v>1552382628830351</v>
      </c>
      <c r="C1048" t="s">
        <v>40</v>
      </c>
      <c r="D1048">
        <v>4.0293970000000003</v>
      </c>
      <c r="E1048">
        <v>0.50927069999999997</v>
      </c>
      <c r="F1048" t="s">
        <v>41</v>
      </c>
      <c r="G1048">
        <v>-227.9502</v>
      </c>
      <c r="H1048">
        <v>1.0401469999999999</v>
      </c>
      <c r="I1048">
        <v>367.68090000000001</v>
      </c>
      <c r="J1048">
        <v>-228.6662</v>
      </c>
      <c r="K1048">
        <v>1.110433</v>
      </c>
      <c r="L1048">
        <v>367.80130000000003</v>
      </c>
      <c r="M1048">
        <v>0.99985919999999895</v>
      </c>
      <c r="N1048">
        <v>0</v>
      </c>
      <c r="O1048">
        <v>8.2527709999999904E-3</v>
      </c>
      <c r="P1048">
        <v>0.98230799999999996</v>
      </c>
      <c r="Q1048">
        <v>0.15663079999999999</v>
      </c>
      <c r="R1048">
        <v>-0.102655</v>
      </c>
      <c r="S1048">
        <v>3.0500340000000001</v>
      </c>
      <c r="T1048">
        <v>-0.23979030000000001</v>
      </c>
      <c r="U1048">
        <v>-0.40438839999999998</v>
      </c>
      <c r="V1048">
        <v>0.1107654</v>
      </c>
      <c r="W1048">
        <v>0.17095050000000001</v>
      </c>
      <c r="X1048">
        <v>0.97903370000000001</v>
      </c>
      <c r="Y1048">
        <v>0.13916510000000001</v>
      </c>
      <c r="Z1048">
        <v>-6.0835589999999997E-3</v>
      </c>
      <c r="AA1048">
        <v>0.99025050000000003</v>
      </c>
      <c r="AB1048">
        <v>34</v>
      </c>
      <c r="AC1048">
        <v>0.71600000000000796</v>
      </c>
      <c r="AD1048">
        <v>-7.0286000000000001E-2</v>
      </c>
      <c r="AE1048">
        <v>-0.12040000000001699</v>
      </c>
      <c r="AF1048">
        <v>0.12513285135986699</v>
      </c>
      <c r="AG1048">
        <v>-7.0286000000000001E-2</v>
      </c>
      <c r="AH1048">
        <v>0.70834374232395703</v>
      </c>
      <c r="AI1048">
        <v>95.5808189453778</v>
      </c>
      <c r="AJ1048">
        <v>79.981743214269898</v>
      </c>
      <c r="AK1048">
        <v>0.72273730329557495</v>
      </c>
      <c r="AL1048">
        <v>80.156912441673995</v>
      </c>
      <c r="AM1048">
        <v>83.545147732817497</v>
      </c>
      <c r="AN1048">
        <v>1.0000000165115499</v>
      </c>
    </row>
    <row r="1049" spans="1:40" x14ac:dyDescent="0.25">
      <c r="A1049" t="str">
        <f>"20190312172348861"</f>
        <v>20190312172348861</v>
      </c>
      <c r="B1049" t="str">
        <f>"1552382628850847"</f>
        <v>1552382628850847</v>
      </c>
      <c r="C1049" t="s">
        <v>40</v>
      </c>
      <c r="D1049">
        <v>3.9926689999999998</v>
      </c>
      <c r="E1049">
        <v>0.50525929999999997</v>
      </c>
      <c r="F1049" t="s">
        <v>41</v>
      </c>
      <c r="G1049">
        <v>-227.64930000000001</v>
      </c>
      <c r="H1049">
        <v>1.030824</v>
      </c>
      <c r="I1049">
        <v>367.66340000000002</v>
      </c>
      <c r="J1049">
        <v>-228.37190000000001</v>
      </c>
      <c r="K1049">
        <v>1.1104339999999999</v>
      </c>
      <c r="L1049">
        <v>367.80369999999999</v>
      </c>
      <c r="M1049">
        <v>0.99985919999999895</v>
      </c>
      <c r="N1049">
        <v>0</v>
      </c>
      <c r="O1049">
        <v>8.2529739999999997E-3</v>
      </c>
      <c r="P1049">
        <v>0.98159189999999996</v>
      </c>
      <c r="Q1049">
        <v>0.15767719999999999</v>
      </c>
      <c r="R1049">
        <v>-0.1077732</v>
      </c>
      <c r="S1049">
        <v>3.0489039999999998</v>
      </c>
      <c r="T1049">
        <v>-0.23874899999999999</v>
      </c>
      <c r="U1049">
        <v>-0.41320800000000002</v>
      </c>
      <c r="V1049">
        <v>0.11587790000000001</v>
      </c>
      <c r="W1049">
        <v>0.1719821</v>
      </c>
      <c r="X1049">
        <v>0.97826089999999999</v>
      </c>
      <c r="Y1049">
        <v>0.1420216</v>
      </c>
      <c r="Z1049">
        <v>-6.1694649999999998E-3</v>
      </c>
      <c r="AA1049">
        <v>0.98984430000000001</v>
      </c>
      <c r="AB1049">
        <v>34</v>
      </c>
      <c r="AC1049">
        <v>0.72259999999999902</v>
      </c>
      <c r="AD1049">
        <v>-7.9609999999999903E-2</v>
      </c>
      <c r="AE1049">
        <v>-0.14029999999996701</v>
      </c>
      <c r="AF1049">
        <v>0.14456846324202799</v>
      </c>
      <c r="AG1049">
        <v>-7.9609999999999903E-2</v>
      </c>
      <c r="AH1049">
        <v>0.71307663102919705</v>
      </c>
      <c r="AI1049">
        <v>96.244288663059905</v>
      </c>
      <c r="AJ1049">
        <v>78.539248509951406</v>
      </c>
      <c r="AK1049">
        <v>0.73192627660448895</v>
      </c>
      <c r="AL1049">
        <v>80.096917018170501</v>
      </c>
      <c r="AM1049">
        <v>83.244623053439994</v>
      </c>
      <c r="AN1049">
        <v>0.99999995944881404</v>
      </c>
    </row>
    <row r="1050" spans="1:40" x14ac:dyDescent="0.25">
      <c r="A1050" t="str">
        <f>"20190312172348875"</f>
        <v>20190312172348875</v>
      </c>
      <c r="B1050" t="str">
        <f>"1552382628870367"</f>
        <v>1552382628870367</v>
      </c>
      <c r="C1050" t="s">
        <v>40</v>
      </c>
      <c r="D1050">
        <v>3.9947599999999999</v>
      </c>
      <c r="E1050">
        <v>0.50505270000000002</v>
      </c>
      <c r="F1050" t="s">
        <v>41</v>
      </c>
      <c r="G1050">
        <v>-227.34829999999999</v>
      </c>
      <c r="H1050">
        <v>1.0255350000000001</v>
      </c>
      <c r="I1050">
        <v>367.6696</v>
      </c>
      <c r="J1050">
        <v>-228.16720000000001</v>
      </c>
      <c r="K1050">
        <v>1.1104369999999999</v>
      </c>
      <c r="L1050">
        <v>367.80540000000002</v>
      </c>
      <c r="M1050">
        <v>0.99985939999999995</v>
      </c>
      <c r="N1050">
        <v>0</v>
      </c>
      <c r="O1050">
        <v>8.2528110000000005E-3</v>
      </c>
      <c r="P1050">
        <v>0.98130459999999997</v>
      </c>
      <c r="Q1050">
        <v>0.15775710000000001</v>
      </c>
      <c r="R1050">
        <v>-0.11024539999999999</v>
      </c>
      <c r="S1050">
        <v>3.0531160000000002</v>
      </c>
      <c r="T1050">
        <v>-0.25344029999999901</v>
      </c>
      <c r="U1050">
        <v>-0.39947510000000003</v>
      </c>
      <c r="V1050">
        <v>0.11834749999999999</v>
      </c>
      <c r="W1050">
        <v>0.17205490000000001</v>
      </c>
      <c r="X1050">
        <v>0.9779525</v>
      </c>
      <c r="Y1050">
        <v>0.13742270000000001</v>
      </c>
      <c r="Z1050">
        <v>-6.3510869999999896E-3</v>
      </c>
      <c r="AA1050">
        <v>0.99049209999999999</v>
      </c>
      <c r="AB1050">
        <v>34</v>
      </c>
      <c r="AC1050">
        <v>0.81890000000001295</v>
      </c>
      <c r="AD1050">
        <v>-8.4902000000000005E-2</v>
      </c>
      <c r="AE1050">
        <v>-0.13580000000001699</v>
      </c>
      <c r="AF1050">
        <v>0.14107843553295901</v>
      </c>
      <c r="AG1050">
        <v>-8.4902000000000005E-2</v>
      </c>
      <c r="AH1050">
        <v>0.80928495629333197</v>
      </c>
      <c r="AI1050">
        <v>95.900641889123193</v>
      </c>
      <c r="AJ1050">
        <v>80.111295525110705</v>
      </c>
      <c r="AK1050">
        <v>0.82586537344722699</v>
      </c>
      <c r="AL1050">
        <v>80.092683732673095</v>
      </c>
      <c r="AM1050">
        <v>83.099870433251397</v>
      </c>
      <c r="AN1050">
        <v>1.00000005581325</v>
      </c>
    </row>
    <row r="1051" spans="1:40" x14ac:dyDescent="0.25">
      <c r="A1051" t="str">
        <f>"20190312172348888"</f>
        <v>20190312172348888</v>
      </c>
      <c r="B1051" t="str">
        <f>"1552382628881103"</f>
        <v>1552382628881103</v>
      </c>
      <c r="C1051" t="s">
        <v>40</v>
      </c>
      <c r="D1051">
        <v>4.001023</v>
      </c>
      <c r="E1051">
        <v>0.50480179999999997</v>
      </c>
      <c r="F1051" t="s">
        <v>41</v>
      </c>
      <c r="G1051">
        <v>-227.33750000000001</v>
      </c>
      <c r="H1051">
        <v>1.0434870000000001</v>
      </c>
      <c r="I1051">
        <v>367.69470000000001</v>
      </c>
      <c r="J1051">
        <v>-227.9633</v>
      </c>
      <c r="K1051">
        <v>1.11043799999999</v>
      </c>
      <c r="L1051">
        <v>367.80709999999999</v>
      </c>
      <c r="M1051">
        <v>0.99985939999999995</v>
      </c>
      <c r="N1051">
        <v>0</v>
      </c>
      <c r="O1051">
        <v>8.2527079999999992E-3</v>
      </c>
      <c r="P1051">
        <v>0.98098790000000002</v>
      </c>
      <c r="Q1051">
        <v>0.15797</v>
      </c>
      <c r="R1051">
        <v>-0.1127322</v>
      </c>
      <c r="S1051">
        <v>3.051132</v>
      </c>
      <c r="T1051">
        <v>-0.24645590000000001</v>
      </c>
      <c r="U1051">
        <v>-0.40615839999999998</v>
      </c>
      <c r="V1051">
        <v>0.1208313</v>
      </c>
      <c r="W1051">
        <v>0.17226060000000001</v>
      </c>
      <c r="X1051">
        <v>0.97761240000000005</v>
      </c>
      <c r="Y1051">
        <v>0.1396568</v>
      </c>
      <c r="Z1051">
        <v>-6.269401E-3</v>
      </c>
      <c r="AA1051">
        <v>0.99018010000000001</v>
      </c>
      <c r="AB1051">
        <v>34</v>
      </c>
      <c r="AC1051">
        <v>0.62579999999999802</v>
      </c>
      <c r="AD1051">
        <v>-6.6950999999999705E-2</v>
      </c>
      <c r="AE1051">
        <v>-0.112399999999979</v>
      </c>
      <c r="AF1051">
        <v>0.116272039734461</v>
      </c>
      <c r="AG1051">
        <v>-6.6950999999999705E-2</v>
      </c>
      <c r="AH1051">
        <v>0.61799860016294195</v>
      </c>
      <c r="AI1051">
        <v>96.077229786243706</v>
      </c>
      <c r="AJ1051">
        <v>79.344765245085597</v>
      </c>
      <c r="AK1051">
        <v>0.63239536164362298</v>
      </c>
      <c r="AL1051">
        <v>80.0807184061171</v>
      </c>
      <c r="AM1051">
        <v>82.954069177375402</v>
      </c>
      <c r="AN1051">
        <v>0.999999961002904</v>
      </c>
    </row>
    <row r="1052" spans="1:40" x14ac:dyDescent="0.25">
      <c r="A1052" t="str">
        <f>"20190312172348908"</f>
        <v>20190312172348908</v>
      </c>
      <c r="B1052" t="str">
        <f>"1552382628900623"</f>
        <v>1552382628900623</v>
      </c>
      <c r="C1052" t="s">
        <v>40</v>
      </c>
      <c r="D1052">
        <v>4.0388580000000003</v>
      </c>
      <c r="E1052">
        <v>0.50467019999999996</v>
      </c>
      <c r="F1052" t="s">
        <v>41</v>
      </c>
      <c r="G1052">
        <v>-227.03720000000001</v>
      </c>
      <c r="H1052">
        <v>1.0358609999999999</v>
      </c>
      <c r="I1052">
        <v>367.68180000000001</v>
      </c>
      <c r="J1052">
        <v>-227.66669999999999</v>
      </c>
      <c r="K1052">
        <v>1.1104449999999999</v>
      </c>
      <c r="L1052">
        <v>367.80950000000001</v>
      </c>
      <c r="M1052">
        <v>0.99985930000000001</v>
      </c>
      <c r="N1052">
        <v>0</v>
      </c>
      <c r="O1052">
        <v>8.2528519999999998E-3</v>
      </c>
      <c r="P1052">
        <v>0.98042200000000002</v>
      </c>
      <c r="Q1052">
        <v>0.15822269999999999</v>
      </c>
      <c r="R1052">
        <v>-0.1172116</v>
      </c>
      <c r="S1052">
        <v>3.0503230000000001</v>
      </c>
      <c r="T1052">
        <v>-0.24567459999999999</v>
      </c>
      <c r="U1052">
        <v>-0.41226200000000002</v>
      </c>
      <c r="V1052">
        <v>0.125306</v>
      </c>
      <c r="W1052">
        <v>0.1725016</v>
      </c>
      <c r="X1052">
        <v>0.97700640000000005</v>
      </c>
      <c r="Y1052">
        <v>0.1416338</v>
      </c>
      <c r="Z1052">
        <v>-6.3295479999999999E-3</v>
      </c>
      <c r="AA1052">
        <v>0.98989890000000003</v>
      </c>
      <c r="AB1052">
        <v>34</v>
      </c>
      <c r="AC1052">
        <v>0.62949999999997797</v>
      </c>
      <c r="AD1052">
        <v>-7.45839999999999E-2</v>
      </c>
      <c r="AE1052">
        <v>-0.127700000000004</v>
      </c>
      <c r="AF1052">
        <v>0.13112344041797</v>
      </c>
      <c r="AG1052">
        <v>-7.45839999999999E-2</v>
      </c>
      <c r="AH1052">
        <v>0.62006424466736398</v>
      </c>
      <c r="AI1052">
        <v>96.711800694644396</v>
      </c>
      <c r="AJ1052">
        <v>78.0597140975961</v>
      </c>
      <c r="AK1052">
        <v>0.63815029358134301</v>
      </c>
      <c r="AL1052">
        <v>80.066700171932595</v>
      </c>
      <c r="AM1052">
        <v>82.691426699771995</v>
      </c>
      <c r="AN1052">
        <v>0.999999950639758</v>
      </c>
    </row>
    <row r="1053" spans="1:40" x14ac:dyDescent="0.25">
      <c r="A1053" t="str">
        <f>"20190312172348925"</f>
        <v>20190312172348925</v>
      </c>
      <c r="B1053" t="str">
        <f>"1552382628921120"</f>
        <v>1552382628921120</v>
      </c>
      <c r="C1053" t="s">
        <v>40</v>
      </c>
      <c r="D1053">
        <v>3.9677850000000001</v>
      </c>
      <c r="E1053">
        <v>0.50875360000000003</v>
      </c>
      <c r="F1053" t="s">
        <v>41</v>
      </c>
      <c r="G1053">
        <v>-226.732</v>
      </c>
      <c r="H1053">
        <v>1.0355639999999999</v>
      </c>
      <c r="I1053">
        <v>367.67840000000001</v>
      </c>
      <c r="J1053">
        <v>-227.4144</v>
      </c>
      <c r="K1053">
        <v>1.110447</v>
      </c>
      <c r="L1053">
        <v>367.81150000000002</v>
      </c>
      <c r="M1053">
        <v>0.99985950000000001</v>
      </c>
      <c r="N1053">
        <v>0</v>
      </c>
      <c r="O1053">
        <v>8.2527529999999998E-3</v>
      </c>
      <c r="P1053">
        <v>0.98024230000000001</v>
      </c>
      <c r="Q1053">
        <v>0.15819759999999999</v>
      </c>
      <c r="R1053">
        <v>-0.1187404</v>
      </c>
      <c r="S1053">
        <v>3.0483090000000002</v>
      </c>
      <c r="T1053">
        <v>-0.24441479999999999</v>
      </c>
      <c r="U1053">
        <v>-0.4268188</v>
      </c>
      <c r="V1053">
        <v>0.12683319999999901</v>
      </c>
      <c r="W1053">
        <v>0.1724706</v>
      </c>
      <c r="X1053">
        <v>0.97681490000000004</v>
      </c>
      <c r="Y1053">
        <v>0.14634800000000001</v>
      </c>
      <c r="Z1053">
        <v>-6.4870409999999998E-3</v>
      </c>
      <c r="AA1053">
        <v>0.98921190000000003</v>
      </c>
      <c r="AB1053">
        <v>34</v>
      </c>
      <c r="AC1053">
        <v>0.68240000000000101</v>
      </c>
      <c r="AD1053">
        <v>-7.4883000000000005E-2</v>
      </c>
      <c r="AE1053">
        <v>-0.13310000000001301</v>
      </c>
      <c r="AF1053">
        <v>0.137136901606488</v>
      </c>
      <c r="AG1053">
        <v>-7.4883000000000005E-2</v>
      </c>
      <c r="AH1053">
        <v>0.67346572600532695</v>
      </c>
      <c r="AI1053">
        <v>96.218109528640795</v>
      </c>
      <c r="AJ1053">
        <v>78.490299031251595</v>
      </c>
      <c r="AK1053">
        <v>0.69135380057905904</v>
      </c>
      <c r="AL1053">
        <v>80.068504451392201</v>
      </c>
      <c r="AM1053">
        <v>82.601898056819294</v>
      </c>
      <c r="AN1053">
        <v>1.0000000586743001</v>
      </c>
    </row>
    <row r="1054" spans="1:40" x14ac:dyDescent="0.25">
      <c r="A1054" t="str">
        <f>"20190312172348940"</f>
        <v>20190312172348940</v>
      </c>
      <c r="B1054" t="str">
        <f>"1552382628930880"</f>
        <v>1552382628930880</v>
      </c>
      <c r="C1054" t="s">
        <v>40</v>
      </c>
      <c r="D1054">
        <v>4.0514250000000001</v>
      </c>
      <c r="E1054">
        <v>0.50986169999999997</v>
      </c>
      <c r="F1054" t="s">
        <v>43</v>
      </c>
      <c r="G1054">
        <v>-213.48230000000001</v>
      </c>
      <c r="H1054" s="1">
        <v>-3.476337E-6</v>
      </c>
      <c r="I1054">
        <v>365.68169999999998</v>
      </c>
      <c r="J1054">
        <v>-227.1695</v>
      </c>
      <c r="K1054">
        <v>1.1104480000000001</v>
      </c>
      <c r="L1054">
        <v>367.81349999999998</v>
      </c>
      <c r="M1054">
        <v>0.99985959999999996</v>
      </c>
      <c r="N1054">
        <v>0</v>
      </c>
      <c r="O1054">
        <v>8.2527729999999997E-3</v>
      </c>
      <c r="P1054">
        <v>0.97976510000000006</v>
      </c>
      <c r="Q1054">
        <v>0.15857499999999999</v>
      </c>
      <c r="R1054">
        <v>-0.1221265</v>
      </c>
      <c r="S1054">
        <v>3.043228</v>
      </c>
      <c r="T1054">
        <v>-0.24255860000000001</v>
      </c>
      <c r="U1054">
        <v>-0.46521000000000001</v>
      </c>
      <c r="V1054">
        <v>0.1302152</v>
      </c>
      <c r="W1054">
        <v>0.17283789999999999</v>
      </c>
      <c r="X1054">
        <v>0.97630479999999997</v>
      </c>
      <c r="Y1054">
        <v>0.1587479</v>
      </c>
      <c r="Z1054">
        <v>-6.9332609999999996E-3</v>
      </c>
      <c r="AA1054">
        <v>0.98729480000000003</v>
      </c>
      <c r="AB1054">
        <v>34</v>
      </c>
      <c r="AC1054">
        <v>13.687199999999899</v>
      </c>
      <c r="AD1054">
        <v>-1.1104514763369999</v>
      </c>
      <c r="AE1054">
        <v>-2.1317999999999899</v>
      </c>
      <c r="AF1054">
        <v>2.2303637883806098</v>
      </c>
      <c r="AG1054">
        <v>-1.1104514763369999</v>
      </c>
      <c r="AH1054">
        <v>13.5818576874898</v>
      </c>
      <c r="AI1054">
        <v>94.612593090820695</v>
      </c>
      <c r="AJ1054">
        <v>80.674327389459705</v>
      </c>
      <c r="AK1054">
        <v>13.808493160118701</v>
      </c>
      <c r="AL1054">
        <v>80.047138267244705</v>
      </c>
      <c r="AM1054">
        <v>82.402979462383001</v>
      </c>
      <c r="AN1054">
        <v>1.0000000002452401</v>
      </c>
    </row>
    <row r="1055" spans="1:40" x14ac:dyDescent="0.25">
      <c r="A1055" t="str">
        <f>"20190312172348956"</f>
        <v>20190312172348956</v>
      </c>
      <c r="B1055" t="str">
        <f>"1552382628950399"</f>
        <v>1552382628950399</v>
      </c>
      <c r="C1055" t="s">
        <v>40</v>
      </c>
      <c r="D1055">
        <v>4.0719059999999896</v>
      </c>
      <c r="E1055">
        <v>0.51149750000000005</v>
      </c>
      <c r="F1055" t="s">
        <v>43</v>
      </c>
      <c r="G1055">
        <v>-213.03710000000001</v>
      </c>
      <c r="H1055" s="1">
        <v>-3.6888959999999998E-6</v>
      </c>
      <c r="I1055">
        <v>365.56020000000001</v>
      </c>
      <c r="J1055">
        <v>-226.93459999999999</v>
      </c>
      <c r="K1055">
        <v>1.110449</v>
      </c>
      <c r="L1055">
        <v>367.81549999999999</v>
      </c>
      <c r="M1055">
        <v>0.99985939999999995</v>
      </c>
      <c r="N1055">
        <v>0</v>
      </c>
      <c r="O1055">
        <v>8.2529109999999999E-3</v>
      </c>
      <c r="P1055">
        <v>0.9795393</v>
      </c>
      <c r="Q1055">
        <v>0.15903719999999999</v>
      </c>
      <c r="R1055">
        <v>-0.1233273</v>
      </c>
      <c r="S1055">
        <v>3.0401609999999999</v>
      </c>
      <c r="T1055">
        <v>-0.23887929999999999</v>
      </c>
      <c r="U1055">
        <v>-0.48474119999999998</v>
      </c>
      <c r="V1055">
        <v>0.13141459999999999</v>
      </c>
      <c r="W1055">
        <v>0.17329439999999999</v>
      </c>
      <c r="X1055">
        <v>0.97606309999999996</v>
      </c>
      <c r="Y1055">
        <v>0.16508120000000001</v>
      </c>
      <c r="Z1055">
        <v>-7.0787489999999996E-3</v>
      </c>
      <c r="AA1055">
        <v>0.98625459999999998</v>
      </c>
      <c r="AB1055">
        <v>34</v>
      </c>
      <c r="AC1055">
        <v>13.8974999999999</v>
      </c>
      <c r="AD1055">
        <v>-1.110452688896</v>
      </c>
      <c r="AE1055">
        <v>-2.2552999999999699</v>
      </c>
      <c r="AF1055">
        <v>2.3552788032862102</v>
      </c>
      <c r="AG1055">
        <v>-1.110452688896</v>
      </c>
      <c r="AH1055">
        <v>13.7926124645359</v>
      </c>
      <c r="AI1055">
        <v>94.537591097159805</v>
      </c>
      <c r="AJ1055">
        <v>80.309427211235999</v>
      </c>
      <c r="AK1055">
        <v>14.0362602573605</v>
      </c>
      <c r="AL1055">
        <v>80.020581616242097</v>
      </c>
      <c r="AM1055">
        <v>82.331956690167303</v>
      </c>
      <c r="AN1055">
        <v>0.99999996067306396</v>
      </c>
    </row>
    <row r="1056" spans="1:40" x14ac:dyDescent="0.25">
      <c r="A1056" t="str">
        <f>"20190312172348974"</f>
        <v>20190312172348974</v>
      </c>
      <c r="B1056" t="str">
        <f>"1552382628970896"</f>
        <v>1552382628970896</v>
      </c>
      <c r="C1056" t="s">
        <v>40</v>
      </c>
      <c r="D1056">
        <v>4.0837969999999997</v>
      </c>
      <c r="E1056">
        <v>0.5126174</v>
      </c>
      <c r="F1056" t="s">
        <v>43</v>
      </c>
      <c r="G1056">
        <v>-212.5454</v>
      </c>
      <c r="H1056" s="1">
        <v>-3.9211730000000001E-6</v>
      </c>
      <c r="I1056">
        <v>365.43979999999999</v>
      </c>
      <c r="J1056">
        <v>-226.65969999999999</v>
      </c>
      <c r="K1056">
        <v>1.1104560000000001</v>
      </c>
      <c r="L1056">
        <v>367.8177</v>
      </c>
      <c r="M1056">
        <v>0.99985959999999996</v>
      </c>
      <c r="N1056">
        <v>0</v>
      </c>
      <c r="O1056">
        <v>8.2528140000000007E-3</v>
      </c>
      <c r="P1056">
        <v>0.97909679999999999</v>
      </c>
      <c r="Q1056">
        <v>0.15940219999999999</v>
      </c>
      <c r="R1056">
        <v>-0.1263359</v>
      </c>
      <c r="S1056">
        <v>3.0375670000000001</v>
      </c>
      <c r="T1056">
        <v>-0.23441619999999999</v>
      </c>
      <c r="U1056">
        <v>-0.50149540000000004</v>
      </c>
      <c r="V1056">
        <v>0.13441900000000001</v>
      </c>
      <c r="W1056">
        <v>0.17364889999999999</v>
      </c>
      <c r="X1056">
        <v>0.97559090000000004</v>
      </c>
      <c r="Y1056">
        <v>0.1705129</v>
      </c>
      <c r="Z1056">
        <v>-7.1575559999999998E-3</v>
      </c>
      <c r="AA1056">
        <v>0.98532940000000002</v>
      </c>
      <c r="AB1056">
        <v>34</v>
      </c>
      <c r="AC1056">
        <v>14.114299999999901</v>
      </c>
      <c r="AD1056">
        <v>-1.110459921173</v>
      </c>
      <c r="AE1056">
        <v>-2.3779000000000101</v>
      </c>
      <c r="AF1056">
        <v>2.47939037318107</v>
      </c>
      <c r="AG1056">
        <v>-1.110459921173</v>
      </c>
      <c r="AH1056">
        <v>14.0098659271135</v>
      </c>
      <c r="AI1056">
        <v>94.462880556829901</v>
      </c>
      <c r="AJ1056">
        <v>79.964017195766601</v>
      </c>
      <c r="AK1056">
        <v>14.270838838514299</v>
      </c>
      <c r="AL1056">
        <v>79.999958036507493</v>
      </c>
      <c r="AM1056">
        <v>82.155058733129806</v>
      </c>
      <c r="AN1056">
        <v>1.0000000060975001</v>
      </c>
    </row>
    <row r="1057" spans="1:40" x14ac:dyDescent="0.25">
      <c r="A1057" t="str">
        <f>"20190312172348988"</f>
        <v>20190312172348988</v>
      </c>
      <c r="B1057" t="str">
        <f>"1552382628980655"</f>
        <v>1552382628980655</v>
      </c>
      <c r="C1057" t="s">
        <v>40</v>
      </c>
      <c r="D1057">
        <v>4.0770189999999999</v>
      </c>
      <c r="E1057">
        <v>0.51300199999999996</v>
      </c>
      <c r="F1057" t="s">
        <v>43</v>
      </c>
      <c r="G1057">
        <v>-211.9982</v>
      </c>
      <c r="H1057" s="1">
        <v>-4.1793529999999999E-6</v>
      </c>
      <c r="I1057">
        <v>365.30779999999999</v>
      </c>
      <c r="J1057">
        <v>-226.45009999999999</v>
      </c>
      <c r="K1057">
        <v>1.1104560000000001</v>
      </c>
      <c r="L1057">
        <v>367.81950000000001</v>
      </c>
      <c r="M1057">
        <v>0.99985959999999996</v>
      </c>
      <c r="N1057">
        <v>0</v>
      </c>
      <c r="O1057">
        <v>8.2528319999999999E-3</v>
      </c>
      <c r="P1057">
        <v>0.97893580000000002</v>
      </c>
      <c r="Q1057">
        <v>0.15946399999999999</v>
      </c>
      <c r="R1057">
        <v>-0.12749779999999999</v>
      </c>
      <c r="S1057">
        <v>3.0344389999999999</v>
      </c>
      <c r="T1057">
        <v>-0.2298278</v>
      </c>
      <c r="U1057">
        <v>-0.51947019999999999</v>
      </c>
      <c r="V1057">
        <v>0.13558000000000001</v>
      </c>
      <c r="W1057">
        <v>0.17370579999999999</v>
      </c>
      <c r="X1057">
        <v>0.97542010000000001</v>
      </c>
      <c r="Y1057">
        <v>0.1763526</v>
      </c>
      <c r="Z1057">
        <v>-7.2408029999999996E-3</v>
      </c>
      <c r="AA1057">
        <v>0.98430039999999996</v>
      </c>
      <c r="AB1057">
        <v>34</v>
      </c>
      <c r="AC1057">
        <v>14.451899999999901</v>
      </c>
      <c r="AD1057">
        <v>-1.11046017935299</v>
      </c>
      <c r="AE1057">
        <v>-2.51170000000001</v>
      </c>
      <c r="AF1057">
        <v>2.6159044215613401</v>
      </c>
      <c r="AG1057">
        <v>-1.11046017935299</v>
      </c>
      <c r="AH1057">
        <v>14.348445603497799</v>
      </c>
      <c r="AI1057">
        <v>94.353950709056903</v>
      </c>
      <c r="AJ1057">
        <v>79.667726622284206</v>
      </c>
      <c r="AK1057">
        <v>14.627165446155599</v>
      </c>
      <c r="AL1057">
        <v>79.996647599870201</v>
      </c>
      <c r="AM1057">
        <v>82.086787252197993</v>
      </c>
      <c r="AN1057">
        <v>1.0000000064188199</v>
      </c>
    </row>
    <row r="1058" spans="1:40" x14ac:dyDescent="0.25">
      <c r="A1058" t="str">
        <f>"20190312172349007"</f>
        <v>20190312172349007</v>
      </c>
      <c r="B1058" t="str">
        <f>"1552382629001151"</f>
        <v>1552382629001151</v>
      </c>
      <c r="C1058" t="s">
        <v>40</v>
      </c>
      <c r="D1058">
        <v>4.1533639999999998</v>
      </c>
      <c r="E1058">
        <v>0.51371529999999999</v>
      </c>
      <c r="F1058" t="s">
        <v>43</v>
      </c>
      <c r="G1058">
        <v>-211.76609999999999</v>
      </c>
      <c r="H1058" s="1">
        <v>-4.2848850000000001E-6</v>
      </c>
      <c r="I1058">
        <v>365.27409999999998</v>
      </c>
      <c r="J1058">
        <v>-226.15090000000001</v>
      </c>
      <c r="K1058">
        <v>1.1104510000000001</v>
      </c>
      <c r="L1058">
        <v>367.82190000000003</v>
      </c>
      <c r="M1058">
        <v>0.99985959999999996</v>
      </c>
      <c r="N1058">
        <v>0</v>
      </c>
      <c r="O1058">
        <v>8.2526779999999994E-3</v>
      </c>
      <c r="P1058">
        <v>0.97884490000000002</v>
      </c>
      <c r="Q1058">
        <v>0.1591803</v>
      </c>
      <c r="R1058">
        <v>-0.12854689999999999</v>
      </c>
      <c r="S1058">
        <v>3.0334469999999998</v>
      </c>
      <c r="T1058">
        <v>-0.22940079999999999</v>
      </c>
      <c r="U1058">
        <v>-0.52581789999999995</v>
      </c>
      <c r="V1058">
        <v>0.136628</v>
      </c>
      <c r="W1058">
        <v>0.1734174</v>
      </c>
      <c r="X1058">
        <v>0.9753252</v>
      </c>
      <c r="Y1058">
        <v>0.17840200000000001</v>
      </c>
      <c r="Z1058">
        <v>-7.3052419999999896E-3</v>
      </c>
      <c r="AA1058">
        <v>0.98393059999999999</v>
      </c>
      <c r="AB1058">
        <v>34</v>
      </c>
      <c r="AC1058">
        <v>14.3848</v>
      </c>
      <c r="AD1058">
        <v>-1.110455284885</v>
      </c>
      <c r="AE1058">
        <v>-2.5478000000000498</v>
      </c>
      <c r="AF1058">
        <v>2.65112071380298</v>
      </c>
      <c r="AG1058">
        <v>-1.110455284885</v>
      </c>
      <c r="AH1058">
        <v>14.2807669375056</v>
      </c>
      <c r="AI1058">
        <v>94.371904168630493</v>
      </c>
      <c r="AJ1058">
        <v>79.483178295631902</v>
      </c>
      <c r="AK1058">
        <v>14.5671499031978</v>
      </c>
      <c r="AL1058">
        <v>80.013426544835795</v>
      </c>
      <c r="AM1058">
        <v>82.025637951304802</v>
      </c>
      <c r="AN1058">
        <v>1.0000000253808901</v>
      </c>
    </row>
    <row r="1059" spans="1:40" x14ac:dyDescent="0.25">
      <c r="A1059" t="str">
        <f>"20190312172349019"</f>
        <v>20190312172349019</v>
      </c>
      <c r="B1059" t="str">
        <f>"1552382629010911"</f>
        <v>1552382629010911</v>
      </c>
      <c r="C1059" t="s">
        <v>40</v>
      </c>
      <c r="D1059">
        <v>4.0862669999999897</v>
      </c>
      <c r="E1059">
        <v>0.51397190000000004</v>
      </c>
      <c r="F1059" t="s">
        <v>43</v>
      </c>
      <c r="G1059">
        <v>-211.37309999999999</v>
      </c>
      <c r="H1059" s="1">
        <v>-4.463533E-6</v>
      </c>
      <c r="I1059">
        <v>365.21749999999997</v>
      </c>
      <c r="J1059">
        <v>-225.9631</v>
      </c>
      <c r="K1059">
        <v>1.1104499999999999</v>
      </c>
      <c r="L1059">
        <v>367.82350000000002</v>
      </c>
      <c r="M1059">
        <v>0.99985970000000002</v>
      </c>
      <c r="N1059">
        <v>0</v>
      </c>
      <c r="O1059">
        <v>8.2526919999999903E-3</v>
      </c>
      <c r="P1059">
        <v>0.97884870000000002</v>
      </c>
      <c r="Q1059">
        <v>0.15878490000000001</v>
      </c>
      <c r="R1059">
        <v>-0.1290086</v>
      </c>
      <c r="S1059">
        <v>3.0317539999999998</v>
      </c>
      <c r="T1059">
        <v>-0.22781480000000001</v>
      </c>
      <c r="U1059">
        <v>-0.53430180000000005</v>
      </c>
      <c r="V1059">
        <v>0.1370894</v>
      </c>
      <c r="W1059">
        <v>0.17302010000000001</v>
      </c>
      <c r="X1059">
        <v>0.97533099999999995</v>
      </c>
      <c r="Y1059">
        <v>0.18116479999999999</v>
      </c>
      <c r="Z1059">
        <v>-7.3599989999999999E-3</v>
      </c>
      <c r="AA1059">
        <v>0.9834252</v>
      </c>
      <c r="AB1059">
        <v>34</v>
      </c>
      <c r="AC1059">
        <v>14.59</v>
      </c>
      <c r="AD1059">
        <v>-1.110454463533</v>
      </c>
      <c r="AE1059">
        <v>-2.6060000000000501</v>
      </c>
      <c r="AF1059">
        <v>2.7111113478874</v>
      </c>
      <c r="AG1059">
        <v>-1.110454463533</v>
      </c>
      <c r="AH1059">
        <v>14.486669931735401</v>
      </c>
      <c r="AI1059">
        <v>94.308835785429594</v>
      </c>
      <c r="AJ1059">
        <v>79.399981808100804</v>
      </c>
      <c r="AK1059">
        <v>14.7799472112477</v>
      </c>
      <c r="AL1059">
        <v>80.036539384102994</v>
      </c>
      <c r="AM1059">
        <v>81.999103223376693</v>
      </c>
      <c r="AN1059">
        <v>1.00000000907868</v>
      </c>
    </row>
    <row r="1060" spans="1:40" x14ac:dyDescent="0.25">
      <c r="A1060" t="str">
        <f>"20190312172349031"</f>
        <v>20190312172349031</v>
      </c>
      <c r="B1060" t="str">
        <f>"1552382629020671"</f>
        <v>1552382629020671</v>
      </c>
      <c r="C1060" t="s">
        <v>40</v>
      </c>
      <c r="D1060">
        <v>4.0866369999999996</v>
      </c>
      <c r="E1060">
        <v>0.51416679999999904</v>
      </c>
      <c r="F1060" t="s">
        <v>43</v>
      </c>
      <c r="G1060">
        <v>-211.20249999999999</v>
      </c>
      <c r="H1060" s="1">
        <v>-4.5388819999999998E-6</v>
      </c>
      <c r="I1060">
        <v>365.20519999999999</v>
      </c>
      <c r="J1060">
        <v>-225.79849999999999</v>
      </c>
      <c r="K1060">
        <v>1.1104510000000001</v>
      </c>
      <c r="L1060">
        <v>367.82479999999998</v>
      </c>
      <c r="M1060">
        <v>0.99985970000000002</v>
      </c>
      <c r="N1060">
        <v>0</v>
      </c>
      <c r="O1060">
        <v>8.2527050000000008E-3</v>
      </c>
      <c r="P1060">
        <v>0.97891819999999896</v>
      </c>
      <c r="Q1060">
        <v>0.15826760000000001</v>
      </c>
      <c r="R1060">
        <v>-0.12911420000000001</v>
      </c>
      <c r="S1060">
        <v>3.0309599999999999</v>
      </c>
      <c r="T1060">
        <v>-0.22802149999999999</v>
      </c>
      <c r="U1060">
        <v>-0.537628199999999</v>
      </c>
      <c r="V1060">
        <v>0.13719589999999901</v>
      </c>
      <c r="W1060">
        <v>0.1725025</v>
      </c>
      <c r="X1060">
        <v>0.97540769999999999</v>
      </c>
      <c r="Y1060">
        <v>0.1822512</v>
      </c>
      <c r="Z1060">
        <v>-7.4083530000000003E-3</v>
      </c>
      <c r="AA1060">
        <v>0.98322410000000005</v>
      </c>
      <c r="AB1060">
        <v>34</v>
      </c>
      <c r="AC1060">
        <v>14.596</v>
      </c>
      <c r="AD1060">
        <v>-1.1104555388820001</v>
      </c>
      <c r="AE1060">
        <v>-2.6195999999999899</v>
      </c>
      <c r="AF1060">
        <v>2.7247013986047799</v>
      </c>
      <c r="AG1060">
        <v>-1.1104555388820001</v>
      </c>
      <c r="AH1060">
        <v>14.4926149917328</v>
      </c>
      <c r="AI1060">
        <v>94.306409707325898</v>
      </c>
      <c r="AJ1060">
        <v>79.352329465724594</v>
      </c>
      <c r="AK1060">
        <v>14.788272330261901</v>
      </c>
      <c r="AL1060">
        <v>80.066648359888006</v>
      </c>
      <c r="AM1060">
        <v>81.993589643089805</v>
      </c>
      <c r="AN1060">
        <v>1.0000000043511701</v>
      </c>
    </row>
    <row r="1061" spans="1:40" x14ac:dyDescent="0.25">
      <c r="A1061" t="str">
        <f>"20190312172349043"</f>
        <v>20190312172349043</v>
      </c>
      <c r="B1061" t="str">
        <f>"1552382629030431"</f>
        <v>1552382629030431</v>
      </c>
      <c r="C1061" t="s">
        <v>40</v>
      </c>
      <c r="D1061">
        <v>4.0541419999999997</v>
      </c>
      <c r="E1061">
        <v>0.51433409999999902</v>
      </c>
      <c r="F1061" t="s">
        <v>43</v>
      </c>
      <c r="G1061">
        <v>-211.12029999999999</v>
      </c>
      <c r="H1061" s="1">
        <v>-4.5727960000000004E-6</v>
      </c>
      <c r="I1061">
        <v>365.21289999999999</v>
      </c>
      <c r="J1061">
        <v>-225.62309999999999</v>
      </c>
      <c r="K1061">
        <v>1.1104499999999999</v>
      </c>
      <c r="L1061">
        <v>367.8263</v>
      </c>
      <c r="M1061">
        <v>0.99985970000000002</v>
      </c>
      <c r="N1061">
        <v>0</v>
      </c>
      <c r="O1061">
        <v>8.2521780000000006E-3</v>
      </c>
      <c r="P1061">
        <v>0.97892610000000002</v>
      </c>
      <c r="Q1061">
        <v>0.15832399999999999</v>
      </c>
      <c r="R1061">
        <v>-0.1289873</v>
      </c>
      <c r="S1061">
        <v>3.0305179999999998</v>
      </c>
      <c r="T1061">
        <v>-0.22926840000000001</v>
      </c>
      <c r="U1061">
        <v>-0.53927609999999904</v>
      </c>
      <c r="V1061">
        <v>0.1370683</v>
      </c>
      <c r="W1061">
        <v>0.17255699999999999</v>
      </c>
      <c r="X1061">
        <v>0.97541599999999995</v>
      </c>
      <c r="Y1061">
        <v>0.18278639999999999</v>
      </c>
      <c r="Z1061">
        <v>-7.469491E-3</v>
      </c>
      <c r="AA1061">
        <v>0.98312429999999995</v>
      </c>
      <c r="AB1061">
        <v>34</v>
      </c>
      <c r="AC1061">
        <v>14.502800000000001</v>
      </c>
      <c r="AD1061">
        <v>-1.110454572796</v>
      </c>
      <c r="AE1061">
        <v>-2.6134000000000102</v>
      </c>
      <c r="AF1061">
        <v>2.7175721634136201</v>
      </c>
      <c r="AG1061">
        <v>-1.110454572796</v>
      </c>
      <c r="AH1061">
        <v>14.398975597607</v>
      </c>
      <c r="AI1061">
        <v>94.333733600835799</v>
      </c>
      <c r="AJ1061">
        <v>79.312074003105707</v>
      </c>
      <c r="AK1061">
        <v>14.695196701034201</v>
      </c>
      <c r="AL1061">
        <v>80.063478208557598</v>
      </c>
      <c r="AM1061">
        <v>82.001006819322797</v>
      </c>
      <c r="AN1061">
        <v>1.00000000508494</v>
      </c>
    </row>
    <row r="1062" spans="1:40" x14ac:dyDescent="0.25">
      <c r="A1062" t="str">
        <f>"20190312172349054"</f>
        <v>20190312172349054</v>
      </c>
      <c r="B1062" t="str">
        <f>"1552382629050929"</f>
        <v>1552382629050929</v>
      </c>
      <c r="C1062" t="s">
        <v>40</v>
      </c>
      <c r="D1062">
        <v>4.1020099999999999</v>
      </c>
      <c r="E1062">
        <v>0.51458289999999995</v>
      </c>
      <c r="F1062" t="s">
        <v>43</v>
      </c>
      <c r="G1062">
        <v>-210.90440000000001</v>
      </c>
      <c r="H1062" s="1">
        <v>-4.6672489999999998E-6</v>
      </c>
      <c r="I1062">
        <v>365.20260000000002</v>
      </c>
      <c r="J1062">
        <v>-225.44059999999999</v>
      </c>
      <c r="K1062">
        <v>1.1104480000000001</v>
      </c>
      <c r="L1062">
        <v>367.82780000000002</v>
      </c>
      <c r="M1062">
        <v>0.99985990000000002</v>
      </c>
      <c r="N1062">
        <v>0</v>
      </c>
      <c r="O1062">
        <v>8.2466050000000006E-3</v>
      </c>
      <c r="P1062">
        <v>0.97901959999999999</v>
      </c>
      <c r="Q1062">
        <v>0.1579874</v>
      </c>
      <c r="R1062">
        <v>-0.128688</v>
      </c>
      <c r="S1062">
        <v>3.0303960000000001</v>
      </c>
      <c r="T1062">
        <v>-0.22862660000000001</v>
      </c>
      <c r="U1062">
        <v>-0.54016109999999995</v>
      </c>
      <c r="V1062">
        <v>0.13676579999999999</v>
      </c>
      <c r="W1062">
        <v>0.17221929999999999</v>
      </c>
      <c r="X1062">
        <v>0.97551810000000005</v>
      </c>
      <c r="Y1062">
        <v>0.18306819999999999</v>
      </c>
      <c r="Z1062">
        <v>-7.4588579999999996E-3</v>
      </c>
      <c r="AA1062">
        <v>0.9830719</v>
      </c>
      <c r="AB1062">
        <v>34</v>
      </c>
      <c r="AC1062">
        <v>14.5361999999999</v>
      </c>
      <c r="AD1062">
        <v>-1.1104526672489901</v>
      </c>
      <c r="AE1062">
        <v>-2.6252</v>
      </c>
      <c r="AF1062">
        <v>2.7295717010923299</v>
      </c>
      <c r="AG1062">
        <v>-1.1104526672489901</v>
      </c>
      <c r="AH1062">
        <v>14.432489861879301</v>
      </c>
      <c r="AI1062">
        <v>94.323391971335496</v>
      </c>
      <c r="AJ1062">
        <v>79.290323999826995</v>
      </c>
      <c r="AK1062">
        <v>14.7302556125429</v>
      </c>
      <c r="AL1062">
        <v>80.083120686909297</v>
      </c>
      <c r="AM1062">
        <v>82.019256890130507</v>
      </c>
      <c r="AN1062">
        <v>0.99999996738486896</v>
      </c>
    </row>
    <row r="1063" spans="1:40" x14ac:dyDescent="0.25">
      <c r="A1063" t="str">
        <f>"20190312172349066"</f>
        <v>20190312172349066</v>
      </c>
      <c r="B1063" t="str">
        <f>"1552382629060688"</f>
        <v>1552382629060688</v>
      </c>
      <c r="C1063" t="s">
        <v>40</v>
      </c>
      <c r="D1063">
        <v>4.0871060000000003</v>
      </c>
      <c r="E1063">
        <v>0.51470740000000004</v>
      </c>
      <c r="F1063" t="s">
        <v>43</v>
      </c>
      <c r="G1063">
        <v>-210.7603</v>
      </c>
      <c r="H1063" s="1">
        <v>-4.728126E-6</v>
      </c>
      <c r="I1063">
        <v>365.2079</v>
      </c>
      <c r="J1063">
        <v>-225.26140000000001</v>
      </c>
      <c r="K1063">
        <v>1.110444</v>
      </c>
      <c r="L1063">
        <v>367.82920000000001</v>
      </c>
      <c r="M1063">
        <v>0.99985990000000002</v>
      </c>
      <c r="N1063">
        <v>0</v>
      </c>
      <c r="O1063">
        <v>8.2376719999999997E-3</v>
      </c>
      <c r="P1063">
        <v>0.97907829999999996</v>
      </c>
      <c r="Q1063">
        <v>0.15792039999999999</v>
      </c>
      <c r="R1063">
        <v>-0.12832360000000001</v>
      </c>
      <c r="S1063">
        <v>3.0301819999999999</v>
      </c>
      <c r="T1063">
        <v>-0.22920860000000001</v>
      </c>
      <c r="U1063">
        <v>-0.54077149999999996</v>
      </c>
      <c r="V1063">
        <v>0.1363944</v>
      </c>
      <c r="W1063">
        <v>0.17214979999999999</v>
      </c>
      <c r="X1063">
        <v>0.97558239999999996</v>
      </c>
      <c r="Y1063">
        <v>0.18326000000000001</v>
      </c>
      <c r="Z1063">
        <v>-7.484699E-3</v>
      </c>
      <c r="AA1063">
        <v>0.98303600000000002</v>
      </c>
      <c r="AB1063">
        <v>34</v>
      </c>
      <c r="AC1063">
        <v>14.501099999999999</v>
      </c>
      <c r="AD1063">
        <v>-1.110448728126</v>
      </c>
      <c r="AE1063">
        <v>-2.6213000000000202</v>
      </c>
      <c r="AF1063">
        <v>2.7252040527693899</v>
      </c>
      <c r="AG1063">
        <v>-1.110448728126</v>
      </c>
      <c r="AH1063">
        <v>14.397257842241</v>
      </c>
      <c r="AI1063">
        <v>94.333790564757095</v>
      </c>
      <c r="AJ1063">
        <v>79.281503820533501</v>
      </c>
      <c r="AK1063">
        <v>14.694926569500099</v>
      </c>
      <c r="AL1063">
        <v>80.087163471127198</v>
      </c>
      <c r="AM1063">
        <v>82.041169081054306</v>
      </c>
      <c r="AN1063">
        <v>1.00000000259057</v>
      </c>
    </row>
    <row r="1064" spans="1:40" x14ac:dyDescent="0.25">
      <c r="A1064" t="str">
        <f>"20190312172349080"</f>
        <v>20190312172349080</v>
      </c>
      <c r="B1064" t="str">
        <f>"1552382629070447"</f>
        <v>1552382629070447</v>
      </c>
      <c r="C1064" t="s">
        <v>40</v>
      </c>
      <c r="D1064">
        <v>4.0827289999999996</v>
      </c>
      <c r="E1064">
        <v>0.51486869999999996</v>
      </c>
      <c r="F1064" t="s">
        <v>43</v>
      </c>
      <c r="G1064">
        <v>-210.58519999999999</v>
      </c>
      <c r="H1064" s="1">
        <v>-4.8024790000000002E-6</v>
      </c>
      <c r="I1064">
        <v>365.2122</v>
      </c>
      <c r="J1064">
        <v>-225.05690000000001</v>
      </c>
      <c r="K1064">
        <v>1.1104400000000001</v>
      </c>
      <c r="L1064">
        <v>367.83089999999999</v>
      </c>
      <c r="M1064">
        <v>0.99986019999999998</v>
      </c>
      <c r="N1064">
        <v>0</v>
      </c>
      <c r="O1064">
        <v>8.2219619999999993E-3</v>
      </c>
      <c r="P1064">
        <v>0.9790875</v>
      </c>
      <c r="Q1064">
        <v>0.158013299999999</v>
      </c>
      <c r="R1064">
        <v>-0.12814049999999999</v>
      </c>
      <c r="S1064">
        <v>3.0302730000000002</v>
      </c>
      <c r="T1064">
        <v>-0.22927939999999999</v>
      </c>
      <c r="U1064">
        <v>-0.54034419999999905</v>
      </c>
      <c r="V1064">
        <v>0.13619870000000001</v>
      </c>
      <c r="W1064">
        <v>0.17223849999999999</v>
      </c>
      <c r="X1064">
        <v>0.97559410000000002</v>
      </c>
      <c r="Y1064">
        <v>0.1831053</v>
      </c>
      <c r="Z1064">
        <v>-7.4798950000000003E-3</v>
      </c>
      <c r="AA1064">
        <v>0.98306479999999996</v>
      </c>
      <c r="AB1064">
        <v>34</v>
      </c>
      <c r="AC1064">
        <v>14.4717</v>
      </c>
      <c r="AD1064">
        <v>-1.1104448024789999</v>
      </c>
      <c r="AE1064">
        <v>-2.6186999999999898</v>
      </c>
      <c r="AF1064">
        <v>2.7220908109816899</v>
      </c>
      <c r="AG1064">
        <v>-1.1104448024789999</v>
      </c>
      <c r="AH1064">
        <v>14.3677648830247</v>
      </c>
      <c r="AI1064">
        <v>94.342501398655102</v>
      </c>
      <c r="AJ1064">
        <v>79.271997375947606</v>
      </c>
      <c r="AK1064">
        <v>14.665453752832301</v>
      </c>
      <c r="AL1064">
        <v>80.082004420665996</v>
      </c>
      <c r="AM1064">
        <v>82.052536564395695</v>
      </c>
      <c r="AN1064">
        <v>1.0000000173593699</v>
      </c>
    </row>
    <row r="1065" spans="1:40" x14ac:dyDescent="0.25">
      <c r="A1065" t="str">
        <f>"20190312172349092"</f>
        <v>20190312172349092</v>
      </c>
      <c r="B1065" t="str">
        <f>"1552382629090943"</f>
        <v>1552382629090943</v>
      </c>
      <c r="C1065" t="s">
        <v>40</v>
      </c>
      <c r="D1065">
        <v>4.1023680000000002</v>
      </c>
      <c r="E1065">
        <v>0.51518660000000005</v>
      </c>
      <c r="F1065" t="s">
        <v>43</v>
      </c>
      <c r="G1065">
        <v>-210.3544</v>
      </c>
      <c r="H1065" s="1">
        <v>-4.9017300000000004E-6</v>
      </c>
      <c r="I1065">
        <v>365.21080000000001</v>
      </c>
      <c r="J1065">
        <v>-224.8674</v>
      </c>
      <c r="K1065">
        <v>1.110433</v>
      </c>
      <c r="L1065">
        <v>367.83240000000001</v>
      </c>
      <c r="M1065">
        <v>0.99986019999999998</v>
      </c>
      <c r="N1065">
        <v>0</v>
      </c>
      <c r="O1065">
        <v>8.1944429999999992E-3</v>
      </c>
      <c r="P1065">
        <v>0.97906199999999999</v>
      </c>
      <c r="Q1065">
        <v>0.15823619999999999</v>
      </c>
      <c r="R1065">
        <v>-0.12805810000000001</v>
      </c>
      <c r="S1065">
        <v>3.0303499999999999</v>
      </c>
      <c r="T1065">
        <v>-0.2288734</v>
      </c>
      <c r="U1065">
        <v>-0.5400085</v>
      </c>
      <c r="V1065">
        <v>0.1360934</v>
      </c>
      <c r="W1065">
        <v>0.172456</v>
      </c>
      <c r="X1065">
        <v>0.9755703</v>
      </c>
      <c r="Y1065">
        <v>0.18297069999999999</v>
      </c>
      <c r="Z1065">
        <v>-7.4594800000000001E-3</v>
      </c>
      <c r="AA1065">
        <v>0.98309000000000002</v>
      </c>
      <c r="AB1065">
        <v>34</v>
      </c>
      <c r="AC1065">
        <v>14.513</v>
      </c>
      <c r="AD1065">
        <v>-1.1104379017299999</v>
      </c>
      <c r="AE1065">
        <v>-2.6215999999999999</v>
      </c>
      <c r="AF1065">
        <v>2.72500169607626</v>
      </c>
      <c r="AG1065">
        <v>-1.1104379017299999</v>
      </c>
      <c r="AH1065">
        <v>14.4093369453519</v>
      </c>
      <c r="AI1065">
        <v>94.330265482367295</v>
      </c>
      <c r="AJ1065">
        <v>79.291057884918004</v>
      </c>
      <c r="AK1065">
        <v>14.706722877034901</v>
      </c>
      <c r="AL1065">
        <v>80.069352583130396</v>
      </c>
      <c r="AM1065">
        <v>82.058411339360205</v>
      </c>
      <c r="AN1065">
        <v>0.99999994785082302</v>
      </c>
    </row>
    <row r="1066" spans="1:40" x14ac:dyDescent="0.25">
      <c r="A1066" t="str">
        <f>"20190312172349109"</f>
        <v>20190312172349109</v>
      </c>
      <c r="B1066" t="str">
        <f>"1552382629100703"</f>
        <v>1552382629100703</v>
      </c>
      <c r="C1066" t="s">
        <v>40</v>
      </c>
      <c r="D1066">
        <v>4.1145569999999996</v>
      </c>
      <c r="E1066">
        <v>0.51534829999999998</v>
      </c>
      <c r="F1066" t="s">
        <v>43</v>
      </c>
      <c r="G1066">
        <v>-210.08850000000001</v>
      </c>
      <c r="H1066" s="1">
        <v>-5.0198039999999999E-6</v>
      </c>
      <c r="I1066">
        <v>365.18830000000003</v>
      </c>
      <c r="J1066">
        <v>-224.62870000000001</v>
      </c>
      <c r="K1066">
        <v>1.110412</v>
      </c>
      <c r="L1066">
        <v>367.83440000000002</v>
      </c>
      <c r="M1066">
        <v>0.99986090000000005</v>
      </c>
      <c r="N1066">
        <v>0</v>
      </c>
      <c r="O1066">
        <v>8.1432499999999994E-3</v>
      </c>
      <c r="P1066">
        <v>0.9789407</v>
      </c>
      <c r="Q1066">
        <v>0.15895889999999999</v>
      </c>
      <c r="R1066">
        <v>-0.12809289999999901</v>
      </c>
      <c r="S1066">
        <v>3.0300289999999999</v>
      </c>
      <c r="T1066">
        <v>-0.22766539999999999</v>
      </c>
      <c r="U1066">
        <v>-0.54211430000000005</v>
      </c>
      <c r="V1066">
        <v>0.13608439999999999</v>
      </c>
      <c r="W1066">
        <v>0.17316899999999999</v>
      </c>
      <c r="X1066">
        <v>0.97544529999999996</v>
      </c>
      <c r="Y1066">
        <v>0.1836043</v>
      </c>
      <c r="Z1066">
        <v>-7.4403129999999996E-3</v>
      </c>
      <c r="AA1066">
        <v>0.98297210000000002</v>
      </c>
      <c r="AB1066">
        <v>34</v>
      </c>
      <c r="AC1066">
        <v>14.5402</v>
      </c>
      <c r="AD1066">
        <v>-1.110417019804</v>
      </c>
      <c r="AE1066">
        <v>-2.6460999999999899</v>
      </c>
      <c r="AF1066">
        <v>2.74891105143936</v>
      </c>
      <c r="AG1066">
        <v>-1.110417019804</v>
      </c>
      <c r="AH1066">
        <v>14.436669401784499</v>
      </c>
      <c r="AI1066">
        <v>94.320993627021593</v>
      </c>
      <c r="AJ1066">
        <v>79.219266736062394</v>
      </c>
      <c r="AK1066">
        <v>14.7379429142271</v>
      </c>
      <c r="AL1066">
        <v>80.027877197547795</v>
      </c>
      <c r="AM1066">
        <v>82.057925188138597</v>
      </c>
      <c r="AN1066">
        <v>0.99999999988822497</v>
      </c>
    </row>
    <row r="1067" spans="1:40" x14ac:dyDescent="0.25">
      <c r="A1067" t="str">
        <f>"20190312172349130"</f>
        <v>20190312172349130</v>
      </c>
      <c r="B1067" t="str">
        <f>"1552382629121200"</f>
        <v>1552382629121200</v>
      </c>
      <c r="C1067" t="s">
        <v>40</v>
      </c>
      <c r="D1067">
        <v>4.0936969999999997</v>
      </c>
      <c r="E1067">
        <v>0.51564149999999997</v>
      </c>
      <c r="F1067" t="s">
        <v>45</v>
      </c>
      <c r="G1067">
        <v>-209.7011</v>
      </c>
      <c r="H1067" s="1">
        <v>-5.8801980000000004E-6</v>
      </c>
      <c r="I1067">
        <v>365.16539999999998</v>
      </c>
      <c r="J1067">
        <v>-224.29140000000001</v>
      </c>
      <c r="K1067">
        <v>1.110385</v>
      </c>
      <c r="L1067">
        <v>367.83699999999999</v>
      </c>
      <c r="M1067">
        <v>0.99986189999999997</v>
      </c>
      <c r="N1067">
        <v>0</v>
      </c>
      <c r="O1067">
        <v>8.0251439999999997E-3</v>
      </c>
      <c r="P1067">
        <v>0.97887679999999999</v>
      </c>
      <c r="Q1067">
        <v>0.15896640000000001</v>
      </c>
      <c r="R1067">
        <v>-0.12857009999999999</v>
      </c>
      <c r="S1067">
        <v>3.030243</v>
      </c>
      <c r="T1067">
        <v>-0.22540959999999999</v>
      </c>
      <c r="U1067">
        <v>-0.5417786</v>
      </c>
      <c r="V1067">
        <v>0.1364611</v>
      </c>
      <c r="W1067">
        <v>0.17316010000000001</v>
      </c>
      <c r="X1067">
        <v>0.97539419999999999</v>
      </c>
      <c r="Y1067">
        <v>0.18338199999999999</v>
      </c>
      <c r="Z1067">
        <v>-7.3494509999999999E-3</v>
      </c>
      <c r="AA1067">
        <v>0.98301419999999995</v>
      </c>
      <c r="AB1067">
        <v>34</v>
      </c>
      <c r="AC1067">
        <v>14.590299999999999</v>
      </c>
      <c r="AD1067">
        <v>-1.110390880198</v>
      </c>
      <c r="AE1067">
        <v>-2.67160000000001</v>
      </c>
      <c r="AF1067">
        <v>2.7730751985900102</v>
      </c>
      <c r="AG1067">
        <v>-1.110390880198</v>
      </c>
      <c r="AH1067">
        <v>14.487201032552401</v>
      </c>
      <c r="AI1067">
        <v>94.305084628087101</v>
      </c>
      <c r="AJ1067">
        <v>79.163775466513698</v>
      </c>
      <c r="AK1067">
        <v>14.7919541549266</v>
      </c>
      <c r="AL1067">
        <v>80.028394436296495</v>
      </c>
      <c r="AM1067">
        <v>82.035810271380896</v>
      </c>
      <c r="AN1067">
        <v>0.99999994871942799</v>
      </c>
    </row>
    <row r="1068" spans="1:40" x14ac:dyDescent="0.25">
      <c r="A1068" t="str">
        <f>"20190312172349152"</f>
        <v>20190312172349152</v>
      </c>
      <c r="B1068" t="str">
        <f>"1552382629140720"</f>
        <v>1552382629140720</v>
      </c>
      <c r="C1068" t="s">
        <v>40</v>
      </c>
      <c r="D1068">
        <v>4.0983970000000003</v>
      </c>
      <c r="E1068">
        <v>0.51594039999999997</v>
      </c>
      <c r="F1068" t="s">
        <v>45</v>
      </c>
      <c r="G1068">
        <v>-209.39160000000001</v>
      </c>
      <c r="H1068" s="1">
        <v>-5.7785660000000004E-6</v>
      </c>
      <c r="I1068">
        <v>365.15280000000001</v>
      </c>
      <c r="J1068">
        <v>-223.96879999999999</v>
      </c>
      <c r="K1068">
        <v>1.110347</v>
      </c>
      <c r="L1068">
        <v>367.83940000000001</v>
      </c>
      <c r="M1068">
        <v>0.9998631</v>
      </c>
      <c r="N1068">
        <v>0</v>
      </c>
      <c r="O1068">
        <v>7.8544219999999998E-3</v>
      </c>
      <c r="P1068">
        <v>0.97860329999999995</v>
      </c>
      <c r="Q1068">
        <v>0.15973760000000001</v>
      </c>
      <c r="R1068">
        <v>-0.1296901</v>
      </c>
      <c r="S1068">
        <v>3.0297550000000002</v>
      </c>
      <c r="T1068">
        <v>-0.2257884</v>
      </c>
      <c r="U1068">
        <v>-0.54580689999999998</v>
      </c>
      <c r="V1068">
        <v>0.13743150000000001</v>
      </c>
      <c r="W1068">
        <v>0.1739086</v>
      </c>
      <c r="X1068">
        <v>0.97512480000000001</v>
      </c>
      <c r="Y1068">
        <v>0.18450340000000001</v>
      </c>
      <c r="Z1068">
        <v>-7.3908609999999899E-3</v>
      </c>
      <c r="AA1068">
        <v>0.98280409999999996</v>
      </c>
      <c r="AB1068">
        <v>34</v>
      </c>
      <c r="AC1068">
        <v>14.5771999999999</v>
      </c>
      <c r="AD1068">
        <v>-1.1103527785659999</v>
      </c>
      <c r="AE1068">
        <v>-2.6865999999999901</v>
      </c>
      <c r="AF1068">
        <v>2.7853949197899102</v>
      </c>
      <c r="AG1068">
        <v>-1.1103527785659999</v>
      </c>
      <c r="AH1068">
        <v>14.474425313662</v>
      </c>
      <c r="AI1068">
        <v>94.307912413284399</v>
      </c>
      <c r="AJ1068">
        <v>79.107405140344994</v>
      </c>
      <c r="AK1068">
        <v>14.781755522022401</v>
      </c>
      <c r="AL1068">
        <v>79.984848333213904</v>
      </c>
      <c r="AM1068">
        <v>81.9777229078896</v>
      </c>
      <c r="AN1068">
        <v>0.99999999696062403</v>
      </c>
    </row>
    <row r="1069" spans="1:40" x14ac:dyDescent="0.25">
      <c r="A1069" t="str">
        <f>"20190312172349168"</f>
        <v>20190312172349168</v>
      </c>
      <c r="B1069" t="str">
        <f>"1552382629161215"</f>
        <v>1552382629161215</v>
      </c>
      <c r="C1069" t="s">
        <v>40</v>
      </c>
      <c r="D1069">
        <v>4.1071019999999896</v>
      </c>
      <c r="E1069">
        <v>0.51620089999999996</v>
      </c>
      <c r="F1069" t="s">
        <v>45</v>
      </c>
      <c r="G1069">
        <v>-208.9468</v>
      </c>
      <c r="H1069" s="1">
        <v>-5.6374119999999999E-6</v>
      </c>
      <c r="I1069">
        <v>365.10329999999999</v>
      </c>
      <c r="J1069">
        <v>-223.74529999999999</v>
      </c>
      <c r="K1069">
        <v>1.1103160000000001</v>
      </c>
      <c r="L1069">
        <v>367.84100000000001</v>
      </c>
      <c r="M1069">
        <v>0.99986450000000004</v>
      </c>
      <c r="N1069">
        <v>0</v>
      </c>
      <c r="O1069">
        <v>7.6953940000000004E-3</v>
      </c>
      <c r="P1069">
        <v>0.97835179999999999</v>
      </c>
      <c r="Q1069">
        <v>0.1603523</v>
      </c>
      <c r="R1069">
        <v>-0.1308251</v>
      </c>
      <c r="S1069">
        <v>3.029007</v>
      </c>
      <c r="T1069">
        <v>-0.2238889</v>
      </c>
      <c r="U1069">
        <v>-0.55169679999999999</v>
      </c>
      <c r="V1069">
        <v>0.1384254</v>
      </c>
      <c r="W1069">
        <v>0.17450450000000001</v>
      </c>
      <c r="X1069">
        <v>0.97487769999999996</v>
      </c>
      <c r="Y1069">
        <v>0.18624389999999999</v>
      </c>
      <c r="Z1069">
        <v>-7.3814409999999999E-3</v>
      </c>
      <c r="AA1069">
        <v>0.98247580000000001</v>
      </c>
      <c r="AB1069">
        <v>34</v>
      </c>
      <c r="AC1069">
        <v>14.798499999999899</v>
      </c>
      <c r="AD1069">
        <v>-1.110321637412</v>
      </c>
      <c r="AE1069">
        <v>-2.73770000000001</v>
      </c>
      <c r="AF1069">
        <v>2.8360741927082098</v>
      </c>
      <c r="AG1069">
        <v>-1.110321637412</v>
      </c>
      <c r="AH1069">
        <v>14.696994399073301</v>
      </c>
      <c r="AI1069">
        <v>94.242376078875097</v>
      </c>
      <c r="AJ1069">
        <v>79.077901443932902</v>
      </c>
      <c r="AK1069">
        <v>15.0092563217317</v>
      </c>
      <c r="AL1069">
        <v>79.950175337010705</v>
      </c>
      <c r="AM1069">
        <v>81.918448586463001</v>
      </c>
      <c r="AN1069">
        <v>0.99999997092134896</v>
      </c>
    </row>
    <row r="1070" spans="1:40" x14ac:dyDescent="0.25">
      <c r="A1070" t="str">
        <f>"20190312172349179"</f>
        <v>20190312172349179</v>
      </c>
      <c r="B1070" t="str">
        <f>"1552382629170977"</f>
        <v>1552382629170977</v>
      </c>
      <c r="C1070" t="s">
        <v>40</v>
      </c>
      <c r="D1070">
        <v>4.0828350000000002</v>
      </c>
      <c r="E1070">
        <v>0.51634939999999996</v>
      </c>
      <c r="F1070" t="s">
        <v>45</v>
      </c>
      <c r="G1070">
        <v>-208.6317</v>
      </c>
      <c r="H1070" s="1">
        <v>-5.5388990000000002E-6</v>
      </c>
      <c r="I1070">
        <v>365.05880000000002</v>
      </c>
      <c r="J1070">
        <v>-223.5505</v>
      </c>
      <c r="K1070">
        <v>1.110282</v>
      </c>
      <c r="L1070">
        <v>367.84230000000002</v>
      </c>
      <c r="M1070">
        <v>0.99986580000000003</v>
      </c>
      <c r="N1070">
        <v>0</v>
      </c>
      <c r="O1070">
        <v>7.5293440000000003E-3</v>
      </c>
      <c r="P1070">
        <v>0.97818110000000003</v>
      </c>
      <c r="Q1070">
        <v>0.16059129999999899</v>
      </c>
      <c r="R1070">
        <v>-0.1318047</v>
      </c>
      <c r="S1070">
        <v>3.028305</v>
      </c>
      <c r="T1070">
        <v>-0.2224748</v>
      </c>
      <c r="U1070">
        <v>-0.55746459999999998</v>
      </c>
      <c r="V1070">
        <v>0.13925689999999999</v>
      </c>
      <c r="W1070">
        <v>0.17472650000000001</v>
      </c>
      <c r="X1070">
        <v>0.97471949999999996</v>
      </c>
      <c r="Y1070">
        <v>0.18793360000000001</v>
      </c>
      <c r="Z1070">
        <v>-7.3847490000000003E-3</v>
      </c>
      <c r="AA1070">
        <v>0.98215399999999997</v>
      </c>
      <c r="AB1070">
        <v>34</v>
      </c>
      <c r="AC1070">
        <v>14.918799999999999</v>
      </c>
      <c r="AD1070">
        <v>-1.1102875388989999</v>
      </c>
      <c r="AE1070">
        <v>-2.7835000000000001</v>
      </c>
      <c r="AF1070">
        <v>2.88034521816666</v>
      </c>
      <c r="AG1070">
        <v>-1.1102875388989999</v>
      </c>
      <c r="AH1070">
        <v>14.8181056141654</v>
      </c>
      <c r="AI1070">
        <v>94.206594882463094</v>
      </c>
      <c r="AJ1070">
        <v>79.000010178783796</v>
      </c>
      <c r="AK1070">
        <v>15.136227435771801</v>
      </c>
      <c r="AL1070">
        <v>79.937257187276501</v>
      </c>
      <c r="AM1070">
        <v>81.86924916593</v>
      </c>
      <c r="AN1070">
        <v>0.99999996884005404</v>
      </c>
    </row>
    <row r="1071" spans="1:40" x14ac:dyDescent="0.25">
      <c r="A1071" t="str">
        <f>"20190312172349191"</f>
        <v>20190312172349191</v>
      </c>
      <c r="B1071" t="str">
        <f>"1552382629180735"</f>
        <v>1552382629180735</v>
      </c>
      <c r="C1071" t="s">
        <v>40</v>
      </c>
      <c r="D1071">
        <v>4.1052770000000001</v>
      </c>
      <c r="E1071">
        <v>0.51649609999999901</v>
      </c>
      <c r="F1071" t="s">
        <v>45</v>
      </c>
      <c r="G1071">
        <v>-208.4109</v>
      </c>
      <c r="H1071" s="1">
        <v>-5.469288E-6</v>
      </c>
      <c r="I1071">
        <v>365.03129999999999</v>
      </c>
      <c r="J1071">
        <v>-223.3783</v>
      </c>
      <c r="K1071">
        <v>1.1102449999999999</v>
      </c>
      <c r="L1071">
        <v>367.84350000000001</v>
      </c>
      <c r="M1071">
        <v>0.99986710000000001</v>
      </c>
      <c r="N1071">
        <v>0</v>
      </c>
      <c r="O1071">
        <v>7.3383390000000001E-3</v>
      </c>
      <c r="P1071">
        <v>0.97794829999999999</v>
      </c>
      <c r="Q1071">
        <v>0.16097600000000001</v>
      </c>
      <c r="R1071">
        <v>-0.13305520000000001</v>
      </c>
      <c r="S1071">
        <v>3.0276489999999998</v>
      </c>
      <c r="T1071">
        <v>-0.22203870000000001</v>
      </c>
      <c r="U1071">
        <v>-0.56216429999999995</v>
      </c>
      <c r="V1071">
        <v>0.14033590000000001</v>
      </c>
      <c r="W1071">
        <v>0.17509269999999999</v>
      </c>
      <c r="X1071">
        <v>0.974499</v>
      </c>
      <c r="Y1071">
        <v>0.18925690000000001</v>
      </c>
      <c r="Z1071">
        <v>-7.4050259999999899E-3</v>
      </c>
      <c r="AA1071">
        <v>0.98189970000000004</v>
      </c>
      <c r="AB1071">
        <v>34</v>
      </c>
      <c r="AC1071">
        <v>14.9673999999999</v>
      </c>
      <c r="AD1071">
        <v>-1.110250469288</v>
      </c>
      <c r="AE1071">
        <v>-2.81220000000001</v>
      </c>
      <c r="AF1071">
        <v>2.90652433344682</v>
      </c>
      <c r="AG1071">
        <v>-1.110250469288</v>
      </c>
      <c r="AH1071">
        <v>14.8673417624588</v>
      </c>
      <c r="AI1071">
        <v>94.191697823650998</v>
      </c>
      <c r="AJ1071">
        <v>78.938347251658698</v>
      </c>
      <c r="AK1071">
        <v>15.189417068710201</v>
      </c>
      <c r="AL1071">
        <v>79.915946871190599</v>
      </c>
      <c r="AM1071">
        <v>81.805273325834406</v>
      </c>
      <c r="AN1071">
        <v>0.99999995971154898</v>
      </c>
    </row>
    <row r="1072" spans="1:40" x14ac:dyDescent="0.25">
      <c r="A1072" t="str">
        <f>"20190312172349204"</f>
        <v>20190312172349204</v>
      </c>
      <c r="B1072" t="str">
        <f>"1552382629200414"</f>
        <v>1552382629200414</v>
      </c>
      <c r="C1072" t="s">
        <v>40</v>
      </c>
      <c r="D1072">
        <v>4.1153009999999997</v>
      </c>
      <c r="E1072">
        <v>0.51680649999999995</v>
      </c>
      <c r="F1072" t="s">
        <v>45</v>
      </c>
      <c r="G1072">
        <v>-208.19560000000001</v>
      </c>
      <c r="H1072" s="1">
        <v>-5.4018959999999998E-6</v>
      </c>
      <c r="I1072">
        <v>365.00110000000001</v>
      </c>
      <c r="J1072">
        <v>-223.1978</v>
      </c>
      <c r="K1072">
        <v>1.1102069999999999</v>
      </c>
      <c r="L1072">
        <v>367.84460000000001</v>
      </c>
      <c r="M1072">
        <v>0.99986889999999995</v>
      </c>
      <c r="N1072">
        <v>0</v>
      </c>
      <c r="O1072">
        <v>7.1198869999999897E-3</v>
      </c>
      <c r="P1072">
        <v>0.97777159999999996</v>
      </c>
      <c r="Q1072">
        <v>0.16100529999999999</v>
      </c>
      <c r="R1072">
        <v>-0.13431489999999999</v>
      </c>
      <c r="S1072">
        <v>3.0269780000000002</v>
      </c>
      <c r="T1072">
        <v>-0.22135060000000001</v>
      </c>
      <c r="U1072">
        <v>-0.56668090000000004</v>
      </c>
      <c r="V1072">
        <v>0.1413991</v>
      </c>
      <c r="W1072">
        <v>0.1751026</v>
      </c>
      <c r="X1072">
        <v>0.97434350000000003</v>
      </c>
      <c r="Y1072">
        <v>0.19049769999999999</v>
      </c>
      <c r="Z1072">
        <v>-7.4118369999999897E-3</v>
      </c>
      <c r="AA1072">
        <v>0.98165970000000002</v>
      </c>
      <c r="AB1072">
        <v>34</v>
      </c>
      <c r="AC1072">
        <v>15.002199999999901</v>
      </c>
      <c r="AD1072">
        <v>-1.110212401896</v>
      </c>
      <c r="AE1072">
        <v>-2.8435000000000001</v>
      </c>
      <c r="AF1072">
        <v>2.93473847822536</v>
      </c>
      <c r="AG1072">
        <v>-1.110212401896</v>
      </c>
      <c r="AH1072">
        <v>14.902787502327</v>
      </c>
      <c r="AI1072">
        <v>94.180496318916497</v>
      </c>
      <c r="AJ1072">
        <v>78.859549373499803</v>
      </c>
      <c r="AK1072">
        <v>15.229521885220599</v>
      </c>
      <c r="AL1072">
        <v>79.9153705517041</v>
      </c>
      <c r="AM1072">
        <v>81.742742407031898</v>
      </c>
      <c r="AN1072">
        <v>0.99999994099990797</v>
      </c>
    </row>
    <row r="1073" spans="1:40" x14ac:dyDescent="0.25">
      <c r="A1073" t="str">
        <f>"20190312172349216"</f>
        <v>20190312172349216</v>
      </c>
      <c r="B1073" t="str">
        <f>"1552382629211150"</f>
        <v>1552382629211150</v>
      </c>
      <c r="C1073" t="s">
        <v>40</v>
      </c>
      <c r="D1073">
        <v>4.1082780000000003</v>
      </c>
      <c r="E1073">
        <v>0.51694519999999999</v>
      </c>
      <c r="F1073" t="s">
        <v>45</v>
      </c>
      <c r="G1073">
        <v>-208.07149999999999</v>
      </c>
      <c r="H1073" s="1">
        <v>-5.3634960000000003E-6</v>
      </c>
      <c r="I1073">
        <v>364.98110000000003</v>
      </c>
      <c r="J1073">
        <v>-223.0128</v>
      </c>
      <c r="K1073">
        <v>1.110155</v>
      </c>
      <c r="L1073">
        <v>367.84570000000002</v>
      </c>
      <c r="M1073">
        <v>0.9998707</v>
      </c>
      <c r="N1073">
        <v>0</v>
      </c>
      <c r="O1073">
        <v>6.8428999999999999E-3</v>
      </c>
      <c r="P1073">
        <v>0.97762450000000001</v>
      </c>
      <c r="Q1073">
        <v>0.16083059999999999</v>
      </c>
      <c r="R1073">
        <v>-0.13558819999999999</v>
      </c>
      <c r="S1073">
        <v>3.0260769999999999</v>
      </c>
      <c r="T1073">
        <v>-0.22210189999999999</v>
      </c>
      <c r="U1073">
        <v>-0.57284550000000001</v>
      </c>
      <c r="V1073">
        <v>0.14242289999999999</v>
      </c>
      <c r="W1073">
        <v>0.17490539999999999</v>
      </c>
      <c r="X1073">
        <v>0.97422989999999998</v>
      </c>
      <c r="Y1073">
        <v>0.1922024</v>
      </c>
      <c r="Z1073">
        <v>-7.4795119999999998E-3</v>
      </c>
      <c r="AA1073">
        <v>0.98132680000000005</v>
      </c>
      <c r="AB1073">
        <v>34</v>
      </c>
      <c r="AC1073">
        <v>14.9413</v>
      </c>
      <c r="AD1073">
        <v>-1.110160363496</v>
      </c>
      <c r="AE1073">
        <v>-2.86459999999999</v>
      </c>
      <c r="AF1073">
        <v>2.9510711957521898</v>
      </c>
      <c r="AG1073">
        <v>-1.110160363496</v>
      </c>
      <c r="AH1073">
        <v>14.8423109757197</v>
      </c>
      <c r="AI1073">
        <v>94.195758271336601</v>
      </c>
      <c r="AJ1073">
        <v>78.754634434570207</v>
      </c>
      <c r="AK1073">
        <v>15.1735121951065</v>
      </c>
      <c r="AL1073">
        <v>79.926847383108793</v>
      </c>
      <c r="AM1073">
        <v>81.682832817397795</v>
      </c>
      <c r="AN1073">
        <v>1.00000003972378</v>
      </c>
    </row>
    <row r="1074" spans="1:40" x14ac:dyDescent="0.25">
      <c r="A1074" t="str">
        <f>"20190312172349231"</f>
        <v>20190312172349231</v>
      </c>
      <c r="B1074" t="str">
        <f>"1552382629220910"</f>
        <v>1552382629220910</v>
      </c>
      <c r="C1074" t="s">
        <v>40</v>
      </c>
      <c r="D1074">
        <v>4.0968600000000004</v>
      </c>
      <c r="E1074">
        <v>0.51709499999999997</v>
      </c>
      <c r="F1074" t="s">
        <v>45</v>
      </c>
      <c r="G1074">
        <v>-207.9607</v>
      </c>
      <c r="H1074" s="1">
        <v>-5.3279390000000003E-6</v>
      </c>
      <c r="I1074">
        <v>364.97129999999999</v>
      </c>
      <c r="J1074">
        <v>-222.78809999999999</v>
      </c>
      <c r="K1074">
        <v>1.110087</v>
      </c>
      <c r="L1074">
        <v>367.84679999999997</v>
      </c>
      <c r="M1074">
        <v>0.99987349999999997</v>
      </c>
      <c r="N1074">
        <v>0</v>
      </c>
      <c r="O1074">
        <v>6.4519800000000004E-3</v>
      </c>
      <c r="P1074">
        <v>0.97735729999999998</v>
      </c>
      <c r="Q1074">
        <v>0.160460299999999</v>
      </c>
      <c r="R1074">
        <v>-0.1379321</v>
      </c>
      <c r="S1074">
        <v>3.0252379999999999</v>
      </c>
      <c r="T1074">
        <v>-0.22312589999999999</v>
      </c>
      <c r="U1074">
        <v>-0.57769780000000004</v>
      </c>
      <c r="V1074">
        <v>0.14441289999999901</v>
      </c>
      <c r="W1074">
        <v>0.17450350000000001</v>
      </c>
      <c r="X1074">
        <v>0.97400900000000001</v>
      </c>
      <c r="Y1074">
        <v>0.19338050000000001</v>
      </c>
      <c r="Z1074">
        <v>-7.5292889999999998E-3</v>
      </c>
      <c r="AA1074">
        <v>0.98109500000000005</v>
      </c>
      <c r="AB1074">
        <v>34</v>
      </c>
      <c r="AC1074">
        <v>14.8273999999999</v>
      </c>
      <c r="AD1074">
        <v>-1.110092327939</v>
      </c>
      <c r="AE1074">
        <v>-2.8754999999999802</v>
      </c>
      <c r="AF1074">
        <v>2.9551526120675802</v>
      </c>
      <c r="AG1074">
        <v>-1.110092327939</v>
      </c>
      <c r="AH1074">
        <v>14.728970837770399</v>
      </c>
      <c r="AI1074">
        <v>94.226208233439607</v>
      </c>
      <c r="AJ1074">
        <v>78.655067574339498</v>
      </c>
      <c r="AK1074">
        <v>15.0634595587152</v>
      </c>
      <c r="AL1074">
        <v>79.9502342741565</v>
      </c>
      <c r="AM1074">
        <v>81.566395975054803</v>
      </c>
      <c r="AN1074">
        <v>1.0000000446398201</v>
      </c>
    </row>
    <row r="1075" spans="1:40" x14ac:dyDescent="0.25">
      <c r="A1075" t="str">
        <f>"20190312172349244"</f>
        <v>20190312172349244</v>
      </c>
      <c r="B1075" t="str">
        <f>"1552382629241406"</f>
        <v>1552382629241406</v>
      </c>
      <c r="C1075" t="s">
        <v>40</v>
      </c>
      <c r="D1075">
        <v>4.1077859999999999</v>
      </c>
      <c r="E1075">
        <v>0.51734749999999996</v>
      </c>
      <c r="F1075" t="s">
        <v>45</v>
      </c>
      <c r="G1075">
        <v>-207.8432</v>
      </c>
      <c r="H1075" s="1">
        <v>-5.2925919999999997E-6</v>
      </c>
      <c r="I1075">
        <v>364.94589999999999</v>
      </c>
      <c r="J1075">
        <v>-222.59710000000001</v>
      </c>
      <c r="K1075">
        <v>1.110026</v>
      </c>
      <c r="L1075">
        <v>367.84769999999997</v>
      </c>
      <c r="M1075">
        <v>0.99987570000000003</v>
      </c>
      <c r="N1075">
        <v>0</v>
      </c>
      <c r="O1075">
        <v>6.0785589999999999E-3</v>
      </c>
      <c r="P1075">
        <v>0.97720560000000001</v>
      </c>
      <c r="Q1075">
        <v>0.1602343</v>
      </c>
      <c r="R1075">
        <v>-0.13926369999999999</v>
      </c>
      <c r="S1075">
        <v>3.023514</v>
      </c>
      <c r="T1075">
        <v>-0.2245848</v>
      </c>
      <c r="U1075">
        <v>-0.5868835</v>
      </c>
      <c r="V1075">
        <v>0.1454057</v>
      </c>
      <c r="W1075">
        <v>0.1742514</v>
      </c>
      <c r="X1075">
        <v>0.97390639999999995</v>
      </c>
      <c r="Y1075">
        <v>0.1959776</v>
      </c>
      <c r="Z1075">
        <v>-7.6484550000000002E-3</v>
      </c>
      <c r="AA1075">
        <v>0.98057850000000002</v>
      </c>
      <c r="AB1075">
        <v>33</v>
      </c>
      <c r="AC1075">
        <v>14.7539</v>
      </c>
      <c r="AD1075">
        <v>-1.110031292592</v>
      </c>
      <c r="AE1075">
        <v>-2.90179999999997</v>
      </c>
      <c r="AF1075">
        <v>2.9752242013348398</v>
      </c>
      <c r="AG1075">
        <v>-1.110031292592</v>
      </c>
      <c r="AH1075">
        <v>14.656115105516999</v>
      </c>
      <c r="AI1075">
        <v>94.2449657379846</v>
      </c>
      <c r="AJ1075">
        <v>78.524763710739506</v>
      </c>
      <c r="AK1075">
        <v>14.996194134009601</v>
      </c>
      <c r="AL1075">
        <v>79.964903055395794</v>
      </c>
      <c r="AM1075">
        <v>81.508378053287501</v>
      </c>
      <c r="AN1075">
        <v>1.0000000219777001</v>
      </c>
    </row>
    <row r="1076" spans="1:40" x14ac:dyDescent="0.25">
      <c r="A1076" t="str">
        <f>"20190312172349255"</f>
        <v>20190312172349255</v>
      </c>
      <c r="B1076" t="str">
        <f>"1552382629251166"</f>
        <v>1552382629251166</v>
      </c>
      <c r="C1076" t="s">
        <v>40</v>
      </c>
      <c r="D1076">
        <v>4.3983660000000002</v>
      </c>
      <c r="E1076">
        <v>0.51749140000000005</v>
      </c>
      <c r="F1076" t="s">
        <v>45</v>
      </c>
      <c r="G1076">
        <v>-207.66540000000001</v>
      </c>
      <c r="H1076" s="1">
        <v>-5.2373940000000003E-6</v>
      </c>
      <c r="I1076">
        <v>364.91809999999998</v>
      </c>
      <c r="J1076">
        <v>-222.42099999999999</v>
      </c>
      <c r="K1076">
        <v>1.109961</v>
      </c>
      <c r="L1076">
        <v>367.84840000000003</v>
      </c>
      <c r="M1076">
        <v>0.99987809999999999</v>
      </c>
      <c r="N1076">
        <v>0</v>
      </c>
      <c r="O1076">
        <v>5.6739199999999998E-3</v>
      </c>
      <c r="P1076">
        <v>0.97696099999999997</v>
      </c>
      <c r="Q1076">
        <v>0.1603841</v>
      </c>
      <c r="R1076">
        <v>-0.14079849999999999</v>
      </c>
      <c r="S1076">
        <v>3.0223080000000002</v>
      </c>
      <c r="T1076">
        <v>-0.2246804</v>
      </c>
      <c r="U1076">
        <v>-0.59298709999999999</v>
      </c>
      <c r="V1076">
        <v>0.14657220000000001</v>
      </c>
      <c r="W1076">
        <v>0.174372</v>
      </c>
      <c r="X1076">
        <v>0.97370990000000002</v>
      </c>
      <c r="Y1076">
        <v>0.1975576</v>
      </c>
      <c r="Z1076">
        <v>-7.681556E-3</v>
      </c>
      <c r="AA1076">
        <v>0.98026120000000005</v>
      </c>
      <c r="AB1076">
        <v>33</v>
      </c>
      <c r="AC1076">
        <v>14.7555999999999</v>
      </c>
      <c r="AD1076">
        <v>-1.109966237394</v>
      </c>
      <c r="AE1076">
        <v>-2.9303000000000399</v>
      </c>
      <c r="AF1076">
        <v>2.9976648905027998</v>
      </c>
      <c r="AG1076">
        <v>-1.109966237394</v>
      </c>
      <c r="AH1076">
        <v>14.6589331273778</v>
      </c>
      <c r="AI1076">
        <v>94.242670998194399</v>
      </c>
      <c r="AJ1076">
        <v>78.442695144741705</v>
      </c>
      <c r="AK1076">
        <v>15.003410954741</v>
      </c>
      <c r="AL1076">
        <v>79.957885396182405</v>
      </c>
      <c r="AM1076">
        <v>81.439558366143103</v>
      </c>
      <c r="AN1076">
        <v>0.99999998677742497</v>
      </c>
    </row>
    <row r="1077" spans="1:40" x14ac:dyDescent="0.25">
      <c r="A1077" t="str">
        <f>"20190312172349266"</f>
        <v>20190312172349266</v>
      </c>
      <c r="B1077" t="str">
        <f>"1552382629260926"</f>
        <v>1552382629260926</v>
      </c>
      <c r="C1077" t="s">
        <v>40</v>
      </c>
      <c r="D1077">
        <v>4.1249330000000004</v>
      </c>
      <c r="E1077">
        <v>0.51762609999999998</v>
      </c>
      <c r="F1077" t="s">
        <v>45</v>
      </c>
      <c r="G1077">
        <v>-207.46080000000001</v>
      </c>
      <c r="H1077" s="1">
        <v>-5.1513409999999998E-6</v>
      </c>
      <c r="I1077">
        <v>364.88010000000003</v>
      </c>
      <c r="J1077">
        <v>-222.26130000000001</v>
      </c>
      <c r="K1077">
        <v>1.109901</v>
      </c>
      <c r="L1077">
        <v>367.84899999999999</v>
      </c>
      <c r="M1077">
        <v>0.99988030000000006</v>
      </c>
      <c r="N1077">
        <v>0</v>
      </c>
      <c r="O1077">
        <v>5.2722530000000002E-3</v>
      </c>
      <c r="P1077">
        <v>0.97676870000000005</v>
      </c>
      <c r="Q1077">
        <v>0.16013520000000001</v>
      </c>
      <c r="R1077">
        <v>-0.14240649999999999</v>
      </c>
      <c r="S1077">
        <v>3.0211489999999999</v>
      </c>
      <c r="T1077">
        <v>-0.2241534</v>
      </c>
      <c r="U1077">
        <v>-0.59942629999999997</v>
      </c>
      <c r="V1077">
        <v>0.1478131</v>
      </c>
      <c r="W1077">
        <v>0.174095899999999</v>
      </c>
      <c r="X1077">
        <v>0.97357170000000004</v>
      </c>
      <c r="Y1077">
        <v>0.19924459999999999</v>
      </c>
      <c r="Z1077">
        <v>-7.69731699999999E-3</v>
      </c>
      <c r="AA1077">
        <v>0.9799196</v>
      </c>
      <c r="AB1077">
        <v>33</v>
      </c>
      <c r="AC1077">
        <v>14.8005</v>
      </c>
      <c r="AD1077">
        <v>-1.109906151341</v>
      </c>
      <c r="AE1077">
        <v>-2.9688999999999601</v>
      </c>
      <c r="AF1077">
        <v>3.0305155866160902</v>
      </c>
      <c r="AG1077">
        <v>-1.109906151341</v>
      </c>
      <c r="AH1077">
        <v>14.7051418110462</v>
      </c>
      <c r="AI1077">
        <v>94.227838637082101</v>
      </c>
      <c r="AJ1077">
        <v>78.355203710260199</v>
      </c>
      <c r="AK1077">
        <v>15.055135737298601</v>
      </c>
      <c r="AL1077">
        <v>79.973950368776798</v>
      </c>
      <c r="AM1077">
        <v>81.366964837485696</v>
      </c>
      <c r="AN1077">
        <v>0.99999997498465398</v>
      </c>
    </row>
    <row r="1078" spans="1:40" x14ac:dyDescent="0.25">
      <c r="A1078" t="str">
        <f>"20190312172349277"</f>
        <v>20190312172349277</v>
      </c>
      <c r="B1078" t="str">
        <f>"1552382629270686"</f>
        <v>1552382629270686</v>
      </c>
      <c r="C1078" t="s">
        <v>40</v>
      </c>
      <c r="D1078">
        <v>4.1253479999999998</v>
      </c>
      <c r="E1078">
        <v>0.51776869999999997</v>
      </c>
      <c r="F1078" t="s">
        <v>45</v>
      </c>
      <c r="G1078">
        <v>-207.3673</v>
      </c>
      <c r="H1078" s="1">
        <v>-5.1113929999999999E-6</v>
      </c>
      <c r="I1078">
        <v>364.8639</v>
      </c>
      <c r="J1078">
        <v>-222.09049999999999</v>
      </c>
      <c r="K1078">
        <v>1.1098319999999999</v>
      </c>
      <c r="L1078">
        <v>367.8494</v>
      </c>
      <c r="M1078">
        <v>0.99988279999999996</v>
      </c>
      <c r="N1078">
        <v>0</v>
      </c>
      <c r="O1078">
        <v>4.8014069999999997E-3</v>
      </c>
      <c r="P1078">
        <v>0.97651949999999998</v>
      </c>
      <c r="Q1078">
        <v>0.16018750000000001</v>
      </c>
      <c r="R1078">
        <v>-0.1440486</v>
      </c>
      <c r="S1078">
        <v>3.020035</v>
      </c>
      <c r="T1078">
        <v>-0.22505439999999999</v>
      </c>
      <c r="U1078">
        <v>-0.60528559999999998</v>
      </c>
      <c r="V1078">
        <v>0.1490242</v>
      </c>
      <c r="W1078">
        <v>0.17411760000000001</v>
      </c>
      <c r="X1078">
        <v>0.9733832</v>
      </c>
      <c r="Y1078">
        <v>0.2006734</v>
      </c>
      <c r="Z1078">
        <v>-7.7474509999999998E-3</v>
      </c>
      <c r="AA1078">
        <v>0.97962749999999998</v>
      </c>
      <c r="AB1078">
        <v>33</v>
      </c>
      <c r="AC1078">
        <v>14.723199999999901</v>
      </c>
      <c r="AD1078">
        <v>-1.1098371113929999</v>
      </c>
      <c r="AE1078">
        <v>-2.9855</v>
      </c>
      <c r="AF1078">
        <v>3.03957585943159</v>
      </c>
      <c r="AG1078">
        <v>-1.1098371113929999</v>
      </c>
      <c r="AH1078">
        <v>14.6288534095809</v>
      </c>
      <c r="AI1078">
        <v>94.248119489882299</v>
      </c>
      <c r="AJ1078">
        <v>78.262126714777196</v>
      </c>
      <c r="AK1078">
        <v>14.9824601417148</v>
      </c>
      <c r="AL1078">
        <v>79.972688044365299</v>
      </c>
      <c r="AM1078">
        <v>81.295649573324496</v>
      </c>
      <c r="AN1078">
        <v>1.00000000242881</v>
      </c>
    </row>
    <row r="1079" spans="1:40" x14ac:dyDescent="0.25">
      <c r="A1079" t="str">
        <f>"20190312172349291"</f>
        <v>20190312172349291</v>
      </c>
      <c r="B1079" t="str">
        <f>"1552382629281423"</f>
        <v>1552382629281423</v>
      </c>
      <c r="C1079" t="s">
        <v>40</v>
      </c>
      <c r="D1079">
        <v>4.0987770000000001</v>
      </c>
      <c r="E1079">
        <v>0.51791830000000005</v>
      </c>
      <c r="F1079" t="s">
        <v>45</v>
      </c>
      <c r="G1079">
        <v>-207.2253</v>
      </c>
      <c r="H1079" s="1">
        <v>-5.0507580000000001E-6</v>
      </c>
      <c r="I1079">
        <v>364.83909999999997</v>
      </c>
      <c r="J1079">
        <v>-221.89449999999999</v>
      </c>
      <c r="K1079">
        <v>1.1097440000000001</v>
      </c>
      <c r="L1079">
        <v>367.84980000000002</v>
      </c>
      <c r="M1079">
        <v>0.99988540000000004</v>
      </c>
      <c r="N1079">
        <v>0</v>
      </c>
      <c r="O1079">
        <v>4.1847799999999999E-3</v>
      </c>
      <c r="P1079">
        <v>0.97626860000000004</v>
      </c>
      <c r="Q1079">
        <v>0.16006870000000001</v>
      </c>
      <c r="R1079">
        <v>-0.14586869999999999</v>
      </c>
      <c r="S1079">
        <v>3.0189210000000002</v>
      </c>
      <c r="T1079">
        <v>-0.22539390000000001</v>
      </c>
      <c r="U1079">
        <v>-0.61135859999999997</v>
      </c>
      <c r="V1079">
        <v>0.15027799999999999</v>
      </c>
      <c r="W1079">
        <v>0.17396210000000001</v>
      </c>
      <c r="X1079">
        <v>0.97321820000000003</v>
      </c>
      <c r="Y1079">
        <v>0.20202880000000001</v>
      </c>
      <c r="Z1079">
        <v>-7.7648780000000002E-3</v>
      </c>
      <c r="AA1079">
        <v>0.97934880000000002</v>
      </c>
      <c r="AB1079">
        <v>33</v>
      </c>
      <c r="AC1079">
        <v>14.669199999999901</v>
      </c>
      <c r="AD1079">
        <v>-1.1097490507579999</v>
      </c>
      <c r="AE1079">
        <v>-3.0107000000000399</v>
      </c>
      <c r="AF1079">
        <v>3.0552883603537002</v>
      </c>
      <c r="AG1079">
        <v>-1.1097490507579999</v>
      </c>
      <c r="AH1079">
        <v>14.576419758998901</v>
      </c>
      <c r="AI1079">
        <v>94.261457218108305</v>
      </c>
      <c r="AJ1079">
        <v>78.161906444139603</v>
      </c>
      <c r="AK1079">
        <v>14.934468283508</v>
      </c>
      <c r="AL1079">
        <v>79.981735360890397</v>
      </c>
      <c r="AM1079">
        <v>81.222087144512798</v>
      </c>
      <c r="AN1079">
        <v>0.99999997716582401</v>
      </c>
    </row>
    <row r="1080" spans="1:40" x14ac:dyDescent="0.25">
      <c r="A1080" t="str">
        <f>"20190312172349310"</f>
        <v>20190312172349310</v>
      </c>
      <c r="B1080" t="str">
        <f>"1552382629300942"</f>
        <v>1552382629300942</v>
      </c>
      <c r="C1080" t="s">
        <v>40</v>
      </c>
      <c r="D1080">
        <v>4.1502809999999997</v>
      </c>
      <c r="E1080">
        <v>0.51818929999999996</v>
      </c>
      <c r="F1080" t="s">
        <v>45</v>
      </c>
      <c r="G1080">
        <v>-207.08959999999999</v>
      </c>
      <c r="H1080" s="1">
        <v>-4.9924790000000001E-6</v>
      </c>
      <c r="I1080">
        <v>364.81670000000003</v>
      </c>
      <c r="J1080">
        <v>-221.60679999999999</v>
      </c>
      <c r="K1080">
        <v>1.1096079999999999</v>
      </c>
      <c r="L1080">
        <v>367.85</v>
      </c>
      <c r="M1080">
        <v>0.99988940000000004</v>
      </c>
      <c r="N1080">
        <v>0</v>
      </c>
      <c r="O1080">
        <v>3.1591779999999999E-3</v>
      </c>
      <c r="P1080">
        <v>0.97577119999999995</v>
      </c>
      <c r="Q1080">
        <v>0.16016059999999999</v>
      </c>
      <c r="R1080">
        <v>-0.14905969999999999</v>
      </c>
      <c r="S1080">
        <v>3.0176240000000001</v>
      </c>
      <c r="T1080">
        <v>-0.2261946</v>
      </c>
      <c r="U1080">
        <v>-0.61822509999999997</v>
      </c>
      <c r="V1080">
        <v>0.15252560000000001</v>
      </c>
      <c r="W1080">
        <v>0.1739917</v>
      </c>
      <c r="X1080">
        <v>0.97286320000000004</v>
      </c>
      <c r="Y1080">
        <v>0.20324120000000001</v>
      </c>
      <c r="Z1080">
        <v>-7.7628259999999996E-3</v>
      </c>
      <c r="AA1080">
        <v>0.97909789999999997</v>
      </c>
      <c r="AB1080">
        <v>33</v>
      </c>
      <c r="AC1080">
        <v>14.517200000000001</v>
      </c>
      <c r="AD1080">
        <v>-1.1096129924789999</v>
      </c>
      <c r="AE1080">
        <v>-3.0332999999999899</v>
      </c>
      <c r="AF1080">
        <v>3.0620115271143602</v>
      </c>
      <c r="AG1080">
        <v>-1.1096129924789999</v>
      </c>
      <c r="AH1080">
        <v>14.4267852171443</v>
      </c>
      <c r="AI1080">
        <v>94.302679916173304</v>
      </c>
      <c r="AJ1080">
        <v>78.017086298559605</v>
      </c>
      <c r="AK1080">
        <v>14.7898372975119</v>
      </c>
      <c r="AL1080">
        <v>79.980013252358106</v>
      </c>
      <c r="AM1080">
        <v>81.089694013068296</v>
      </c>
      <c r="AN1080">
        <v>0.99999998811924495</v>
      </c>
    </row>
    <row r="1081" spans="1:40" x14ac:dyDescent="0.25">
      <c r="A1081" t="str">
        <f>"20190312172349326"</f>
        <v>20190312172349326</v>
      </c>
      <c r="B1081" t="str">
        <f>"1552382629321438"</f>
        <v>1552382629321438</v>
      </c>
      <c r="C1081" t="s">
        <v>40</v>
      </c>
      <c r="D1081">
        <v>4.1395549999999997</v>
      </c>
      <c r="E1081">
        <v>0.51842189999999999</v>
      </c>
      <c r="F1081" t="s">
        <v>45</v>
      </c>
      <c r="G1081">
        <v>-206.85910000000001</v>
      </c>
      <c r="H1081" s="1">
        <v>-4.8958050000000001E-6</v>
      </c>
      <c r="I1081">
        <v>364.76859999999999</v>
      </c>
      <c r="J1081">
        <v>-221.3818</v>
      </c>
      <c r="K1081">
        <v>1.1094919999999999</v>
      </c>
      <c r="L1081">
        <v>367.84989999999999</v>
      </c>
      <c r="M1081">
        <v>0.9998918</v>
      </c>
      <c r="N1081">
        <v>0</v>
      </c>
      <c r="O1081">
        <v>2.250372E-3</v>
      </c>
      <c r="P1081">
        <v>0.97550460000000006</v>
      </c>
      <c r="Q1081">
        <v>0.15984119999999999</v>
      </c>
      <c r="R1081">
        <v>-0.15113499999999999</v>
      </c>
      <c r="S1081">
        <v>3.0154879999999999</v>
      </c>
      <c r="T1081">
        <v>-0.22688559999999999</v>
      </c>
      <c r="U1081">
        <v>-0.63006589999999996</v>
      </c>
      <c r="V1081">
        <v>0.1537618</v>
      </c>
      <c r="W1081">
        <v>0.173624</v>
      </c>
      <c r="X1081">
        <v>0.97273430000000005</v>
      </c>
      <c r="Y1081">
        <v>0.2061644</v>
      </c>
      <c r="Z1081">
        <v>-7.8298819999999998E-3</v>
      </c>
      <c r="AA1081">
        <v>0.97848610000000003</v>
      </c>
      <c r="AB1081">
        <v>33</v>
      </c>
      <c r="AC1081">
        <v>14.522699999999899</v>
      </c>
      <c r="AD1081">
        <v>-1.109496895805</v>
      </c>
      <c r="AE1081">
        <v>-3.0812999999999899</v>
      </c>
      <c r="AF1081">
        <v>3.0966817195276799</v>
      </c>
      <c r="AG1081">
        <v>-1.109496895805</v>
      </c>
      <c r="AH1081">
        <v>14.435106293504401</v>
      </c>
      <c r="AI1081">
        <v>94.297768361758102</v>
      </c>
      <c r="AJ1081">
        <v>77.892171298767707</v>
      </c>
      <c r="AK1081">
        <v>14.8051583827607</v>
      </c>
      <c r="AL1081">
        <v>80.001406660085493</v>
      </c>
      <c r="AM1081">
        <v>81.017479000069599</v>
      </c>
      <c r="AN1081">
        <v>1.0000000014558601</v>
      </c>
    </row>
    <row r="1082" spans="1:40" x14ac:dyDescent="0.25">
      <c r="A1082" t="str">
        <f>"20190312172349339"</f>
        <v>20190312172349339</v>
      </c>
      <c r="B1082" t="str">
        <f>"1552382629331198"</f>
        <v>1552382629331198</v>
      </c>
      <c r="C1082" t="s">
        <v>40</v>
      </c>
      <c r="D1082">
        <v>4.1273289999999996</v>
      </c>
      <c r="E1082">
        <v>0.5185303</v>
      </c>
      <c r="F1082" t="s">
        <v>45</v>
      </c>
      <c r="G1082">
        <v>-206.75720000000001</v>
      </c>
      <c r="H1082" s="1">
        <v>-4.8522410000000004E-6</v>
      </c>
      <c r="I1082">
        <v>364.7509</v>
      </c>
      <c r="J1082">
        <v>-221.16309999999999</v>
      </c>
      <c r="K1082">
        <v>1.109369</v>
      </c>
      <c r="L1082">
        <v>367.84949999999998</v>
      </c>
      <c r="M1082">
        <v>0.99989360000000005</v>
      </c>
      <c r="N1082">
        <v>0</v>
      </c>
      <c r="O1082">
        <v>1.272582E-3</v>
      </c>
      <c r="P1082">
        <v>0.97508729999999999</v>
      </c>
      <c r="Q1082">
        <v>0.16003439999999999</v>
      </c>
      <c r="R1082">
        <v>-0.15360379999999901</v>
      </c>
      <c r="S1082">
        <v>3.013855</v>
      </c>
      <c r="T1082">
        <v>-0.22864599999999999</v>
      </c>
      <c r="U1082">
        <v>-0.63864140000000003</v>
      </c>
      <c r="V1082">
        <v>0.15532699999999999</v>
      </c>
      <c r="W1082">
        <v>0.1737649</v>
      </c>
      <c r="X1082">
        <v>0.9724604</v>
      </c>
      <c r="Y1082">
        <v>0.20796819999999999</v>
      </c>
      <c r="Z1082">
        <v>-7.8866630000000004E-3</v>
      </c>
      <c r="AA1082">
        <v>0.97810379999999997</v>
      </c>
      <c r="AB1082">
        <v>33</v>
      </c>
      <c r="AC1082">
        <v>14.4058999999999</v>
      </c>
      <c r="AD1082">
        <v>-1.1093738522409999</v>
      </c>
      <c r="AE1082">
        <v>-3.09859999999997</v>
      </c>
      <c r="AF1082">
        <v>3.09936476935242</v>
      </c>
      <c r="AG1082">
        <v>-1.1093738522409999</v>
      </c>
      <c r="AH1082">
        <v>14.3207738701413</v>
      </c>
      <c r="AI1082">
        <v>94.329783776035001</v>
      </c>
      <c r="AJ1082">
        <v>77.788136906088994</v>
      </c>
      <c r="AK1082">
        <v>14.6942620283313</v>
      </c>
      <c r="AL1082">
        <v>79.993208795390004</v>
      </c>
      <c r="AM1082">
        <v>80.925042969396202</v>
      </c>
      <c r="AN1082">
        <v>0.99999997348458403</v>
      </c>
    </row>
    <row r="1083" spans="1:40" x14ac:dyDescent="0.25">
      <c r="A1083" t="str">
        <f>"20190312172349353"</f>
        <v>20190312172349353</v>
      </c>
      <c r="B1083" t="str">
        <f>"1552382629340958"</f>
        <v>1552382629340958</v>
      </c>
      <c r="C1083" t="s">
        <v>40</v>
      </c>
      <c r="D1083">
        <v>4.1362829999999997</v>
      </c>
      <c r="E1083">
        <v>0.51863820000000005</v>
      </c>
      <c r="F1083" t="s">
        <v>45</v>
      </c>
      <c r="G1083">
        <v>-206.5378</v>
      </c>
      <c r="H1083" s="1">
        <v>-4.7594139999999997E-6</v>
      </c>
      <c r="I1083">
        <v>364.70870000000002</v>
      </c>
      <c r="J1083">
        <v>-220.96799999999999</v>
      </c>
      <c r="K1083">
        <v>1.109251</v>
      </c>
      <c r="L1083">
        <v>367.84879999999998</v>
      </c>
      <c r="M1083">
        <v>0.99989439999999996</v>
      </c>
      <c r="N1083">
        <v>0</v>
      </c>
      <c r="O1083">
        <v>2.9478879999999999E-4</v>
      </c>
      <c r="P1083">
        <v>0.97450950000000003</v>
      </c>
      <c r="Q1083">
        <v>0.15991340000000001</v>
      </c>
      <c r="R1083">
        <v>-0.15735060000000001</v>
      </c>
      <c r="S1083">
        <v>3.0122529999999998</v>
      </c>
      <c r="T1083">
        <v>-0.2284892</v>
      </c>
      <c r="U1083">
        <v>-0.64688109999999999</v>
      </c>
      <c r="V1083">
        <v>0.15816549999999999</v>
      </c>
      <c r="W1083">
        <v>0.17358879999999999</v>
      </c>
      <c r="X1083">
        <v>0.97203430000000002</v>
      </c>
      <c r="Y1083">
        <v>0.20967469999999999</v>
      </c>
      <c r="Z1083">
        <v>-7.8738019999999992E-3</v>
      </c>
      <c r="AA1083">
        <v>0.97773949999999998</v>
      </c>
      <c r="AB1083">
        <v>33</v>
      </c>
      <c r="AC1083">
        <v>14.4301999999999</v>
      </c>
      <c r="AD1083">
        <v>-1.109255759414</v>
      </c>
      <c r="AE1083">
        <v>-3.1400999999999599</v>
      </c>
      <c r="AF1083">
        <v>3.12671355026009</v>
      </c>
      <c r="AG1083">
        <v>-1.109255759414</v>
      </c>
      <c r="AH1083">
        <v>14.348321727563601</v>
      </c>
      <c r="AI1083">
        <v>94.319713645711303</v>
      </c>
      <c r="AJ1083">
        <v>77.706581611445898</v>
      </c>
      <c r="AK1083">
        <v>14.7268843399698</v>
      </c>
      <c r="AL1083">
        <v>80.003454944162598</v>
      </c>
      <c r="AM1083">
        <v>80.758058577727198</v>
      </c>
      <c r="AN1083">
        <v>1.0000000386260799</v>
      </c>
    </row>
    <row r="1084" spans="1:40" x14ac:dyDescent="0.25">
      <c r="A1084" t="str">
        <f>"20190312172349367"</f>
        <v>20190312172349367</v>
      </c>
      <c r="B1084" t="str">
        <f>"1552382629360478"</f>
        <v>1552382629360478</v>
      </c>
      <c r="C1084" t="s">
        <v>40</v>
      </c>
      <c r="D1084">
        <v>4.4764910000000002</v>
      </c>
      <c r="E1084">
        <v>0.52075439999999995</v>
      </c>
      <c r="F1084" t="s">
        <v>45</v>
      </c>
      <c r="G1084">
        <v>-206.41059999999999</v>
      </c>
      <c r="H1084" s="1">
        <v>-4.7107289999999998E-6</v>
      </c>
      <c r="I1084">
        <v>364.661</v>
      </c>
      <c r="J1084">
        <v>-220.76070000000001</v>
      </c>
      <c r="K1084">
        <v>1.1091310000000001</v>
      </c>
      <c r="L1084">
        <v>367.84780000000001</v>
      </c>
      <c r="M1084">
        <v>0.99989399999999995</v>
      </c>
      <c r="N1084">
        <v>0</v>
      </c>
      <c r="O1084">
        <v>-8.1456240000000004E-4</v>
      </c>
      <c r="P1084">
        <v>0.97402739999999999</v>
      </c>
      <c r="Q1084">
        <v>0.15957739999999901</v>
      </c>
      <c r="R1084">
        <v>-0.16064129999999999</v>
      </c>
      <c r="S1084">
        <v>3.0096590000000001</v>
      </c>
      <c r="T1084">
        <v>-0.2293328</v>
      </c>
      <c r="U1084">
        <v>-0.65905760000000002</v>
      </c>
      <c r="V1084">
        <v>0.16042409999999999</v>
      </c>
      <c r="W1084">
        <v>0.17319619999999999</v>
      </c>
      <c r="X1084">
        <v>0.97173410000000005</v>
      </c>
      <c r="Y1084">
        <v>0.21253059999999999</v>
      </c>
      <c r="Z1084">
        <v>-7.9300469999999904E-3</v>
      </c>
      <c r="AA1084">
        <v>0.97712220000000005</v>
      </c>
      <c r="AB1084">
        <v>33</v>
      </c>
      <c r="AC1084">
        <v>14.350099999999999</v>
      </c>
      <c r="AD1084">
        <v>-1.1091357107290001</v>
      </c>
      <c r="AE1084">
        <v>-3.1867999999999999</v>
      </c>
      <c r="AF1084">
        <v>3.1571346127640001</v>
      </c>
      <c r="AG1084">
        <v>-1.1091357107290001</v>
      </c>
      <c r="AH1084">
        <v>14.2714418931106</v>
      </c>
      <c r="AI1084">
        <v>94.339432645000798</v>
      </c>
      <c r="AJ1084">
        <v>77.525900857937202</v>
      </c>
      <c r="AK1084">
        <v>14.6585038355338</v>
      </c>
      <c r="AL1084">
        <v>80.026294726072095</v>
      </c>
      <c r="AM1084">
        <v>80.625565324609099</v>
      </c>
      <c r="AN1084">
        <v>0.99999998832903003</v>
      </c>
    </row>
    <row r="1085" spans="1:40" x14ac:dyDescent="0.25">
      <c r="A1085" t="str">
        <f>"20190312172349379"</f>
        <v>20190312172349379</v>
      </c>
      <c r="B1085" t="str">
        <f>"1552382629371214"</f>
        <v>1552382629371214</v>
      </c>
      <c r="C1085" t="s">
        <v>40</v>
      </c>
      <c r="D1085">
        <v>4.1037499999999998</v>
      </c>
      <c r="E1085">
        <v>0.52216929999999995</v>
      </c>
      <c r="F1085" t="s">
        <v>45</v>
      </c>
      <c r="G1085">
        <v>-209.6867</v>
      </c>
      <c r="H1085" s="1">
        <v>-5.85177E-6</v>
      </c>
      <c r="I1085">
        <v>365.31659999999999</v>
      </c>
      <c r="J1085">
        <v>-220.58109999999999</v>
      </c>
      <c r="K1085">
        <v>1.109016</v>
      </c>
      <c r="L1085">
        <v>367.8467</v>
      </c>
      <c r="M1085">
        <v>0.99989260000000002</v>
      </c>
      <c r="N1085">
        <v>0</v>
      </c>
      <c r="O1085">
        <v>-1.848237E-3</v>
      </c>
      <c r="P1085">
        <v>0.97353619999999996</v>
      </c>
      <c r="Q1085">
        <v>0.159249</v>
      </c>
      <c r="R1085">
        <v>-0.16391249999999999</v>
      </c>
      <c r="S1085">
        <v>3.0157929999999999</v>
      </c>
      <c r="T1085">
        <v>-0.30205290000000001</v>
      </c>
      <c r="U1085">
        <v>-0.68933109999999997</v>
      </c>
      <c r="V1085">
        <v>0.1627325</v>
      </c>
      <c r="W1085">
        <v>0.17281389999999999</v>
      </c>
      <c r="X1085">
        <v>0.97141829999999996</v>
      </c>
      <c r="Y1085">
        <v>0.2199874</v>
      </c>
      <c r="Z1085">
        <v>-1.0667930000000001E-2</v>
      </c>
      <c r="AA1085">
        <v>0.97544439999999999</v>
      </c>
      <c r="AB1085">
        <v>33</v>
      </c>
      <c r="AC1085">
        <v>10.8943999999999</v>
      </c>
      <c r="AD1085">
        <v>-1.1090218517699999</v>
      </c>
      <c r="AE1085">
        <v>-2.5301</v>
      </c>
      <c r="AF1085">
        <v>2.4855194771487801</v>
      </c>
      <c r="AG1085">
        <v>-1.1090218517699999</v>
      </c>
      <c r="AH1085">
        <v>10.792937552961799</v>
      </c>
      <c r="AI1085">
        <v>95.718164067337398</v>
      </c>
      <c r="AJ1085">
        <v>77.031385509894605</v>
      </c>
      <c r="AK1085">
        <v>11.1308237593235</v>
      </c>
      <c r="AL1085">
        <v>80.048534493018494</v>
      </c>
      <c r="AM1085">
        <v>80.490084350407201</v>
      </c>
      <c r="AN1085">
        <v>1.0000000120821699</v>
      </c>
    </row>
    <row r="1086" spans="1:40" x14ac:dyDescent="0.25">
      <c r="A1086" t="str">
        <f>"20190312172349391"</f>
        <v>20190312172349391</v>
      </c>
      <c r="B1086" t="str">
        <f>"1552382629380974"</f>
        <v>1552382629380974</v>
      </c>
      <c r="C1086" t="s">
        <v>40</v>
      </c>
      <c r="D1086">
        <v>4.1506980000000002</v>
      </c>
      <c r="E1086">
        <v>0.52271319999999999</v>
      </c>
      <c r="F1086" t="s">
        <v>45</v>
      </c>
      <c r="G1086">
        <v>-208.92519999999999</v>
      </c>
      <c r="H1086" s="1">
        <v>-5.6309849999999998E-6</v>
      </c>
      <c r="I1086">
        <v>365.09820000000002</v>
      </c>
      <c r="J1086">
        <v>-220.40090000000001</v>
      </c>
      <c r="K1086">
        <v>1.1089039999999999</v>
      </c>
      <c r="L1086">
        <v>367.84530000000001</v>
      </c>
      <c r="M1086">
        <v>0.9998899</v>
      </c>
      <c r="N1086">
        <v>0</v>
      </c>
      <c r="O1086">
        <v>-2.983688E-3</v>
      </c>
      <c r="P1086">
        <v>0.97292940000000006</v>
      </c>
      <c r="Q1086">
        <v>0.15910529999999901</v>
      </c>
      <c r="R1086">
        <v>-0.1676127</v>
      </c>
      <c r="S1086">
        <v>3.0089109999999999</v>
      </c>
      <c r="T1086">
        <v>-0.28628930000000002</v>
      </c>
      <c r="U1086">
        <v>-0.70953369999999905</v>
      </c>
      <c r="V1086">
        <v>0.16537360000000001</v>
      </c>
      <c r="W1086">
        <v>0.17261199999999999</v>
      </c>
      <c r="X1086">
        <v>0.97100810000000004</v>
      </c>
      <c r="Y1086">
        <v>0.22565779999999999</v>
      </c>
      <c r="Z1086">
        <v>-1.028776E-2</v>
      </c>
      <c r="AA1086">
        <v>0.97415229999999997</v>
      </c>
      <c r="AB1086">
        <v>33</v>
      </c>
      <c r="AC1086">
        <v>11.4757</v>
      </c>
      <c r="AD1086">
        <v>-1.1089096309849999</v>
      </c>
      <c r="AE1086">
        <v>-2.7470999999999801</v>
      </c>
      <c r="AF1086">
        <v>2.6890955352506798</v>
      </c>
      <c r="AG1086">
        <v>-1.1089096309849999</v>
      </c>
      <c r="AH1086">
        <v>11.383314685774399</v>
      </c>
      <c r="AI1086">
        <v>95.415792412334596</v>
      </c>
      <c r="AJ1086">
        <v>76.708609532311499</v>
      </c>
      <c r="AK1086">
        <v>11.7490752233</v>
      </c>
      <c r="AL1086">
        <v>80.060279186791107</v>
      </c>
      <c r="AM1086">
        <v>80.334623358429894</v>
      </c>
      <c r="AN1086">
        <v>1.0000000301932801</v>
      </c>
    </row>
    <row r="1087" spans="1:40" x14ac:dyDescent="0.25">
      <c r="A1087" t="str">
        <f>"20190312172349404"</f>
        <v>20190312172349404</v>
      </c>
      <c r="B1087" t="str">
        <f>"1552382629400494"</f>
        <v>1552382629400494</v>
      </c>
      <c r="C1087" t="s">
        <v>40</v>
      </c>
      <c r="D1087">
        <v>4.060765</v>
      </c>
      <c r="E1087">
        <v>0.52314129999999903</v>
      </c>
      <c r="F1087" t="s">
        <v>45</v>
      </c>
      <c r="G1087">
        <v>-208.48869999999999</v>
      </c>
      <c r="H1087" s="1">
        <v>-5.5041639999999996E-6</v>
      </c>
      <c r="I1087">
        <v>364.97460000000001</v>
      </c>
      <c r="J1087">
        <v>-220.2201</v>
      </c>
      <c r="K1087">
        <v>1.1087929999999999</v>
      </c>
      <c r="L1087">
        <v>367.84379999999999</v>
      </c>
      <c r="M1087">
        <v>0.99988560000000004</v>
      </c>
      <c r="N1087">
        <v>0</v>
      </c>
      <c r="O1087">
        <v>-4.1652159999999898E-3</v>
      </c>
      <c r="P1087">
        <v>0.97229469999999996</v>
      </c>
      <c r="Q1087">
        <v>0.15881700000000001</v>
      </c>
      <c r="R1087">
        <v>-0.17152439999999999</v>
      </c>
      <c r="S1087">
        <v>3.004486</v>
      </c>
      <c r="T1087">
        <v>-0.27968860000000001</v>
      </c>
      <c r="U1087">
        <v>-0.72406009999999998</v>
      </c>
      <c r="V1087">
        <v>0.16818239999999901</v>
      </c>
      <c r="W1087">
        <v>0.17226350000000001</v>
      </c>
      <c r="X1087">
        <v>0.97058739999999999</v>
      </c>
      <c r="Y1087">
        <v>0.22931399999999999</v>
      </c>
      <c r="Z1087">
        <v>-1.0119599999999999E-2</v>
      </c>
      <c r="AA1087">
        <v>0.9732999</v>
      </c>
      <c r="AB1087">
        <v>33</v>
      </c>
      <c r="AC1087">
        <v>11.731400000000001</v>
      </c>
      <c r="AD1087">
        <v>-1.1087985041640001</v>
      </c>
      <c r="AE1087">
        <v>-2.86919999999997</v>
      </c>
      <c r="AF1087">
        <v>2.7967325311449298</v>
      </c>
      <c r="AG1087">
        <v>-1.1087985041640001</v>
      </c>
      <c r="AH1087">
        <v>11.645094090155499</v>
      </c>
      <c r="AI1087">
        <v>95.289554307216306</v>
      </c>
      <c r="AJ1087">
        <v>76.495381586733401</v>
      </c>
      <c r="AK1087">
        <v>12.0274420947339</v>
      </c>
      <c r="AL1087">
        <v>80.080549787584104</v>
      </c>
      <c r="AM1087">
        <v>80.169459138943694</v>
      </c>
      <c r="AN1087">
        <v>0.99999996707038397</v>
      </c>
    </row>
    <row r="1088" spans="1:40" x14ac:dyDescent="0.25">
      <c r="A1088" t="str">
        <f>"20190312172349417"</f>
        <v>20190312172349417</v>
      </c>
      <c r="B1088" t="str">
        <f>"1552382629411229"</f>
        <v>1552382629411229</v>
      </c>
      <c r="C1088" t="s">
        <v>40</v>
      </c>
      <c r="D1088">
        <v>4.0513009999999996</v>
      </c>
      <c r="E1088">
        <v>0.52335710000000002</v>
      </c>
      <c r="F1088" t="s">
        <v>45</v>
      </c>
      <c r="G1088">
        <v>-208.8518</v>
      </c>
      <c r="H1088" s="1">
        <v>-5.6150319999999996E-6</v>
      </c>
      <c r="I1088">
        <v>365.04309999999998</v>
      </c>
      <c r="J1088">
        <v>-220.02029999999999</v>
      </c>
      <c r="K1088">
        <v>1.1086780000000001</v>
      </c>
      <c r="L1088">
        <v>367.84160000000003</v>
      </c>
      <c r="M1088">
        <v>0.99987859999999995</v>
      </c>
      <c r="N1088">
        <v>0</v>
      </c>
      <c r="O1088">
        <v>-5.5804940000000001E-3</v>
      </c>
      <c r="P1088">
        <v>0.97157729999999998</v>
      </c>
      <c r="Q1088">
        <v>0.15878200000000001</v>
      </c>
      <c r="R1088">
        <v>-0.17557420000000001</v>
      </c>
      <c r="S1088">
        <v>3.0028380000000001</v>
      </c>
      <c r="T1088">
        <v>-0.2928808</v>
      </c>
      <c r="U1088">
        <v>-0.73977660000000001</v>
      </c>
      <c r="V1088">
        <v>0.17091010000000001</v>
      </c>
      <c r="W1088">
        <v>0.1721606</v>
      </c>
      <c r="X1088">
        <v>0.97012909999999997</v>
      </c>
      <c r="Y1088">
        <v>0.232768</v>
      </c>
      <c r="Z1088">
        <v>-1.062392E-2</v>
      </c>
      <c r="AA1088">
        <v>0.97247430000000001</v>
      </c>
      <c r="AB1088">
        <v>33</v>
      </c>
      <c r="AC1088">
        <v>11.1684999999999</v>
      </c>
      <c r="AD1088">
        <v>-1.1086836150319901</v>
      </c>
      <c r="AE1088">
        <v>-2.7985000000000402</v>
      </c>
      <c r="AF1088">
        <v>2.71098742412951</v>
      </c>
      <c r="AG1088">
        <v>-1.1086836150319901</v>
      </c>
      <c r="AH1088">
        <v>11.0811983319156</v>
      </c>
      <c r="AI1088">
        <v>95.550845223989995</v>
      </c>
      <c r="AJ1088">
        <v>76.252754184658798</v>
      </c>
      <c r="AK1088">
        <v>11.4617445724147</v>
      </c>
      <c r="AL1088">
        <v>80.086535297783598</v>
      </c>
      <c r="AM1088">
        <v>80.008582643022805</v>
      </c>
      <c r="AN1088">
        <v>1.00000000257058</v>
      </c>
    </row>
    <row r="1089" spans="1:40" x14ac:dyDescent="0.25">
      <c r="A1089" t="str">
        <f>"20190312172349431"</f>
        <v>20190312172349431</v>
      </c>
      <c r="B1089" t="str">
        <f>"1552382629420990"</f>
        <v>1552382629420990</v>
      </c>
      <c r="C1089" t="s">
        <v>40</v>
      </c>
      <c r="D1089">
        <v>4.1256909999999998</v>
      </c>
      <c r="E1089">
        <v>0.5234219</v>
      </c>
      <c r="F1089" t="s">
        <v>45</v>
      </c>
      <c r="G1089">
        <v>-208.7824</v>
      </c>
      <c r="H1089" s="1">
        <v>-5.5955449999999998E-6</v>
      </c>
      <c r="I1089">
        <v>365.01900000000001</v>
      </c>
      <c r="J1089">
        <v>-219.80529999999999</v>
      </c>
      <c r="K1089">
        <v>1.1085510000000001</v>
      </c>
      <c r="L1089">
        <v>367.83879999999999</v>
      </c>
      <c r="M1089">
        <v>0.99986850000000005</v>
      </c>
      <c r="N1089">
        <v>0</v>
      </c>
      <c r="O1089">
        <v>-7.193957E-3</v>
      </c>
      <c r="P1089">
        <v>0.97013769999999999</v>
      </c>
      <c r="Q1089">
        <v>0.1595017</v>
      </c>
      <c r="R1089">
        <v>-0.1827357</v>
      </c>
      <c r="S1089">
        <v>2.9999850000000001</v>
      </c>
      <c r="T1089">
        <v>-0.29596479999999997</v>
      </c>
      <c r="U1089">
        <v>-0.75350950000000005</v>
      </c>
      <c r="V1089">
        <v>0.1765697</v>
      </c>
      <c r="W1089">
        <v>0.17278569999999999</v>
      </c>
      <c r="X1089">
        <v>0.96900370000000002</v>
      </c>
      <c r="Y1089">
        <v>0.2355776</v>
      </c>
      <c r="Z1089">
        <v>-1.071916E-2</v>
      </c>
      <c r="AA1089">
        <v>0.9717964</v>
      </c>
      <c r="AB1089">
        <v>33</v>
      </c>
      <c r="AC1089">
        <v>11.0228999999999</v>
      </c>
      <c r="AD1089">
        <v>-1.1085565955450001</v>
      </c>
      <c r="AE1089">
        <v>-2.8197999999999799</v>
      </c>
      <c r="AF1089">
        <v>2.7146507014838201</v>
      </c>
      <c r="AG1089">
        <v>-1.1085565955450001</v>
      </c>
      <c r="AH1089">
        <v>10.939059918085199</v>
      </c>
      <c r="AI1089">
        <v>95.617314183379904</v>
      </c>
      <c r="AJ1089">
        <v>76.062955155444698</v>
      </c>
      <c r="AK1089">
        <v>11.3252486969625</v>
      </c>
      <c r="AL1089">
        <v>80.050174426034701</v>
      </c>
      <c r="AM1089">
        <v>79.672992624011698</v>
      </c>
      <c r="AN1089">
        <v>0.99999996384813405</v>
      </c>
    </row>
    <row r="1090" spans="1:40" x14ac:dyDescent="0.25">
      <c r="A1090" t="str">
        <f>"20190312172349446"</f>
        <v>20190312172349446</v>
      </c>
      <c r="B1090" t="str">
        <f>"1552382629440510"</f>
        <v>1552382629440510</v>
      </c>
      <c r="C1090" t="s">
        <v>40</v>
      </c>
      <c r="D1090">
        <v>4.1058029999999999</v>
      </c>
      <c r="E1090">
        <v>0.52329329999999996</v>
      </c>
      <c r="F1090" t="s">
        <v>45</v>
      </c>
      <c r="G1090">
        <v>-208.3373</v>
      </c>
      <c r="H1090" s="1">
        <v>-5.4701350000000003E-6</v>
      </c>
      <c r="I1090">
        <v>364.86799999999999</v>
      </c>
      <c r="J1090">
        <v>-219.5959</v>
      </c>
      <c r="K1090">
        <v>1.1084320000000001</v>
      </c>
      <c r="L1090">
        <v>367.83580000000001</v>
      </c>
      <c r="M1090">
        <v>0.99985500000000005</v>
      </c>
      <c r="N1090">
        <v>0</v>
      </c>
      <c r="O1090">
        <v>-8.8387769999999904E-3</v>
      </c>
      <c r="P1090">
        <v>0.96927269999999999</v>
      </c>
      <c r="Q1090">
        <v>0.15965579999999999</v>
      </c>
      <c r="R1090">
        <v>-0.18713750000000001</v>
      </c>
      <c r="S1090">
        <v>2.9938660000000001</v>
      </c>
      <c r="T1090">
        <v>-0.28940339999999998</v>
      </c>
      <c r="U1090">
        <v>-0.77557369999999903</v>
      </c>
      <c r="V1090">
        <v>0.1794328</v>
      </c>
      <c r="W1090">
        <v>0.17286699999999999</v>
      </c>
      <c r="X1090">
        <v>0.96846319999999997</v>
      </c>
      <c r="Y1090">
        <v>0.24119470000000001</v>
      </c>
      <c r="Z1090">
        <v>-1.06044E-2</v>
      </c>
      <c r="AA1090">
        <v>0.97041880000000003</v>
      </c>
      <c r="AB1090">
        <v>33</v>
      </c>
      <c r="AC1090">
        <v>11.258599999999999</v>
      </c>
      <c r="AD1090">
        <v>-1.1084374701349999</v>
      </c>
      <c r="AE1090">
        <v>-2.9677999999999498</v>
      </c>
      <c r="AF1090">
        <v>2.8424001991534098</v>
      </c>
      <c r="AG1090">
        <v>-1.1084374701349999</v>
      </c>
      <c r="AH1090">
        <v>11.1830412369013</v>
      </c>
      <c r="AI1090">
        <v>95.487184013886605</v>
      </c>
      <c r="AJ1090">
        <v>75.739077219157096</v>
      </c>
      <c r="AK1090">
        <v>11.591733426178401</v>
      </c>
      <c r="AL1090">
        <v>80.045445975869498</v>
      </c>
      <c r="AM1090">
        <v>79.503503031543104</v>
      </c>
      <c r="AN1090">
        <v>1.00000004957953</v>
      </c>
    </row>
    <row r="1091" spans="1:40" x14ac:dyDescent="0.25">
      <c r="A1091" t="str">
        <f>"20190312172349457"</f>
        <v>20190312172349457</v>
      </c>
      <c r="B1091" t="str">
        <f>"1552382629451246"</f>
        <v>1552382629451246</v>
      </c>
      <c r="C1091" t="s">
        <v>40</v>
      </c>
      <c r="D1091">
        <v>4.0996160000000001</v>
      </c>
      <c r="E1091">
        <v>0.52323679999999995</v>
      </c>
      <c r="F1091" t="s">
        <v>45</v>
      </c>
      <c r="G1091">
        <v>-208.13300000000001</v>
      </c>
      <c r="H1091" s="1">
        <v>-5.4099529999999996E-6</v>
      </c>
      <c r="I1091">
        <v>364.81560000000002</v>
      </c>
      <c r="J1091">
        <v>-219.417</v>
      </c>
      <c r="K1091">
        <v>1.108333</v>
      </c>
      <c r="L1091">
        <v>367.83280000000002</v>
      </c>
      <c r="M1091">
        <v>0.99984090000000003</v>
      </c>
      <c r="N1091">
        <v>0</v>
      </c>
      <c r="O1091">
        <v>-1.0315629999999999E-2</v>
      </c>
      <c r="P1091">
        <v>0.96837359999999995</v>
      </c>
      <c r="Q1091">
        <v>0.15951080000000001</v>
      </c>
      <c r="R1091">
        <v>-0.1918561</v>
      </c>
      <c r="S1091">
        <v>2.9906160000000002</v>
      </c>
      <c r="T1091">
        <v>-0.28918739999999998</v>
      </c>
      <c r="U1091">
        <v>-0.78796390000000005</v>
      </c>
      <c r="V1091">
        <v>0.1827675</v>
      </c>
      <c r="W1091">
        <v>0.17265420000000001</v>
      </c>
      <c r="X1091">
        <v>0.96787730000000005</v>
      </c>
      <c r="Y1091">
        <v>0.24377599999999999</v>
      </c>
      <c r="Z1091">
        <v>-1.058461E-2</v>
      </c>
      <c r="AA1091">
        <v>0.96977380000000002</v>
      </c>
      <c r="AB1091">
        <v>33</v>
      </c>
      <c r="AC1091">
        <v>11.284000000000001</v>
      </c>
      <c r="AD1091">
        <v>-1.108338409953</v>
      </c>
      <c r="AE1091">
        <v>-3.0171999999999999</v>
      </c>
      <c r="AF1091">
        <v>2.8747418012888502</v>
      </c>
      <c r="AG1091">
        <v>-1.108338409953</v>
      </c>
      <c r="AH1091">
        <v>11.213561913764201</v>
      </c>
      <c r="AI1091">
        <v>95.468997156625093</v>
      </c>
      <c r="AJ1091">
        <v>75.621148738930103</v>
      </c>
      <c r="AK1091">
        <v>11.629124010383499</v>
      </c>
      <c r="AL1091">
        <v>80.057823643085896</v>
      </c>
      <c r="AM1091">
        <v>79.306562554908098</v>
      </c>
      <c r="AN1091">
        <v>0.99999994984458795</v>
      </c>
    </row>
    <row r="1092" spans="1:40" x14ac:dyDescent="0.25">
      <c r="A1092" t="str">
        <f>"20190312172349477"</f>
        <v>20190312172349477</v>
      </c>
      <c r="B1092" t="str">
        <f>"1552382629470766"</f>
        <v>1552382629470766</v>
      </c>
      <c r="C1092" t="s">
        <v>40</v>
      </c>
      <c r="D1092">
        <v>4.1144600000000002</v>
      </c>
      <c r="E1092">
        <v>0.52278249999999904</v>
      </c>
      <c r="F1092" t="s">
        <v>45</v>
      </c>
      <c r="G1092">
        <v>-208.08750000000001</v>
      </c>
      <c r="H1092" s="1">
        <v>-5.3985960000000002E-6</v>
      </c>
      <c r="I1092">
        <v>364.79059999999998</v>
      </c>
      <c r="J1092">
        <v>-219.12880000000001</v>
      </c>
      <c r="K1092">
        <v>1.1081840000000001</v>
      </c>
      <c r="L1092">
        <v>367.82740000000001</v>
      </c>
      <c r="M1092">
        <v>0.99981209999999998</v>
      </c>
      <c r="N1092">
        <v>0</v>
      </c>
      <c r="O1092">
        <v>-1.2814849999999999E-2</v>
      </c>
      <c r="P1092">
        <v>0.96679760000000003</v>
      </c>
      <c r="Q1092">
        <v>0.1586226</v>
      </c>
      <c r="R1092">
        <v>-0.2003539</v>
      </c>
      <c r="S1092">
        <v>2.9871979999999998</v>
      </c>
      <c r="T1092">
        <v>-0.29222870000000001</v>
      </c>
      <c r="U1092">
        <v>-0.80212399999999995</v>
      </c>
      <c r="V1092">
        <v>0.18891640000000001</v>
      </c>
      <c r="W1092">
        <v>0.17165229999999901</v>
      </c>
      <c r="X1092">
        <v>0.96687440000000002</v>
      </c>
      <c r="Y1092">
        <v>0.2458977</v>
      </c>
      <c r="Z1092">
        <v>-1.0563060000000001E-2</v>
      </c>
      <c r="AA1092">
        <v>0.96923820000000005</v>
      </c>
      <c r="AB1092">
        <v>33</v>
      </c>
      <c r="AC1092">
        <v>11.0413</v>
      </c>
      <c r="AD1092">
        <v>-1.1081893985959901</v>
      </c>
      <c r="AE1092">
        <v>-3.0368000000000199</v>
      </c>
      <c r="AF1092">
        <v>2.8681818718592802</v>
      </c>
      <c r="AG1092">
        <v>-1.1081893985959901</v>
      </c>
      <c r="AH1092">
        <v>10.976515983701599</v>
      </c>
      <c r="AI1092">
        <v>95.578973067445503</v>
      </c>
      <c r="AJ1092">
        <v>75.355948582970896</v>
      </c>
      <c r="AK1092">
        <v>11.399054966692599</v>
      </c>
      <c r="AL1092">
        <v>80.116098939531994</v>
      </c>
      <c r="AM1092">
        <v>78.944333645850506</v>
      </c>
      <c r="AN1092">
        <v>1.0000000118298</v>
      </c>
    </row>
    <row r="1093" spans="1:40" x14ac:dyDescent="0.25">
      <c r="A1093" t="str">
        <f>"20190312172349492"</f>
        <v>20190312172349492</v>
      </c>
      <c r="B1093" t="str">
        <f>"1552382629480527"</f>
        <v>1552382629480527</v>
      </c>
      <c r="C1093" t="s">
        <v>40</v>
      </c>
      <c r="D1093">
        <v>4.3987819999999997</v>
      </c>
      <c r="E1093">
        <v>0.52277680000000004</v>
      </c>
      <c r="F1093" t="s">
        <v>45</v>
      </c>
      <c r="G1093">
        <v>-207.85720000000001</v>
      </c>
      <c r="H1093" s="1">
        <v>-5.3337789999999997E-6</v>
      </c>
      <c r="I1093">
        <v>364.71210000000002</v>
      </c>
      <c r="J1093">
        <v>-218.90880000000001</v>
      </c>
      <c r="K1093">
        <v>1.1080719999999999</v>
      </c>
      <c r="L1093">
        <v>367.8227</v>
      </c>
      <c r="M1093">
        <v>0.99978440000000002</v>
      </c>
      <c r="N1093">
        <v>0</v>
      </c>
      <c r="O1093">
        <v>-1.4818090000000001E-2</v>
      </c>
      <c r="P1093">
        <v>0.96586749999999999</v>
      </c>
      <c r="Q1093">
        <v>0.15762499999999999</v>
      </c>
      <c r="R1093">
        <v>-0.2055592</v>
      </c>
      <c r="S1093">
        <v>2.9803920000000002</v>
      </c>
      <c r="T1093">
        <v>-0.29302240000000002</v>
      </c>
      <c r="U1093">
        <v>-0.82373050000000003</v>
      </c>
      <c r="V1093">
        <v>0.1922307</v>
      </c>
      <c r="W1093">
        <v>0.1705816</v>
      </c>
      <c r="X1093">
        <v>0.96641049999999995</v>
      </c>
      <c r="Y1093">
        <v>0.25102529999999901</v>
      </c>
      <c r="Z1093">
        <v>-1.0659160000000001E-2</v>
      </c>
      <c r="AA1093">
        <v>0.9679219</v>
      </c>
      <c r="AB1093">
        <v>33</v>
      </c>
      <c r="AC1093">
        <v>11.051600000000001</v>
      </c>
      <c r="AD1093">
        <v>-1.108077333779</v>
      </c>
      <c r="AE1093">
        <v>-3.1105999999999701</v>
      </c>
      <c r="AF1093">
        <v>2.9192845402370402</v>
      </c>
      <c r="AG1093">
        <v>-1.108077333779</v>
      </c>
      <c r="AH1093">
        <v>10.994075327229201</v>
      </c>
      <c r="AI1093">
        <v>95.563793940493198</v>
      </c>
      <c r="AJ1093">
        <v>75.129267540083006</v>
      </c>
      <c r="AK1093">
        <v>11.4288997679256</v>
      </c>
      <c r="AL1093">
        <v>80.178363673699494</v>
      </c>
      <c r="AM1093">
        <v>78.750017132917307</v>
      </c>
      <c r="AN1093">
        <v>0.99999998939564905</v>
      </c>
    </row>
    <row r="1094" spans="1:40" x14ac:dyDescent="0.25">
      <c r="A1094" t="str">
        <f>"20190312172349510"</f>
        <v>20190312172349510</v>
      </c>
      <c r="B1094" t="str">
        <f>"1552382629500552"</f>
        <v>1552382629500552</v>
      </c>
      <c r="C1094" t="s">
        <v>40</v>
      </c>
      <c r="D1094">
        <v>4.1160839999999999</v>
      </c>
      <c r="E1094">
        <v>0.52271000000000001</v>
      </c>
      <c r="F1094" t="s">
        <v>45</v>
      </c>
      <c r="G1094">
        <v>-207.6395</v>
      </c>
      <c r="H1094" s="1">
        <v>-5.2714580000000004E-6</v>
      </c>
      <c r="I1094">
        <v>364.64449999999999</v>
      </c>
      <c r="J1094">
        <v>-218.6371</v>
      </c>
      <c r="K1094">
        <v>1.107944</v>
      </c>
      <c r="L1094">
        <v>367.81610000000001</v>
      </c>
      <c r="M1094">
        <v>0.99974300000000005</v>
      </c>
      <c r="N1094">
        <v>0</v>
      </c>
      <c r="O1094">
        <v>-1.738466E-2</v>
      </c>
      <c r="P1094">
        <v>0.9643214</v>
      </c>
      <c r="Q1094">
        <v>0.15551570000000001</v>
      </c>
      <c r="R1094">
        <v>-0.21424099999999999</v>
      </c>
      <c r="S1094">
        <v>2.9751889999999999</v>
      </c>
      <c r="T1094">
        <v>-0.29254150000000001</v>
      </c>
      <c r="U1094">
        <v>-0.83905030000000003</v>
      </c>
      <c r="V1094">
        <v>0.19848789999999999</v>
      </c>
      <c r="W1094">
        <v>0.16836590000000001</v>
      </c>
      <c r="X1094">
        <v>0.9655338</v>
      </c>
      <c r="Y1094">
        <v>0.25359959999999998</v>
      </c>
      <c r="Z1094">
        <v>-1.052958E-2</v>
      </c>
      <c r="AA1094">
        <v>0.967252</v>
      </c>
      <c r="AB1094">
        <v>33</v>
      </c>
      <c r="AC1094">
        <v>10.9976</v>
      </c>
      <c r="AD1094">
        <v>-1.1079492714579999</v>
      </c>
      <c r="AE1094">
        <v>-3.17160000000001</v>
      </c>
      <c r="AF1094">
        <v>2.9522477338237501</v>
      </c>
      <c r="AG1094">
        <v>-1.1079492714579999</v>
      </c>
      <c r="AH1094">
        <v>10.9484913782681</v>
      </c>
      <c r="AI1094">
        <v>95.580468199787603</v>
      </c>
      <c r="AJ1094">
        <v>74.909180731955601</v>
      </c>
      <c r="AK1094">
        <v>11.3935412286963</v>
      </c>
      <c r="AL1094">
        <v>80.307177597947003</v>
      </c>
      <c r="AM1094">
        <v>78.383358372139895</v>
      </c>
      <c r="AN1094">
        <v>1.00000002083582</v>
      </c>
    </row>
    <row r="1095" spans="1:40" x14ac:dyDescent="0.25">
      <c r="A1095" t="str">
        <f>"20190312172349525"</f>
        <v>20190312172349525</v>
      </c>
      <c r="B1095" t="str">
        <f>"1552382629521048"</f>
        <v>1552382629521048</v>
      </c>
      <c r="C1095" t="s">
        <v>40</v>
      </c>
      <c r="D1095">
        <v>4.1413589999999996</v>
      </c>
      <c r="E1095">
        <v>0.52245180000000002</v>
      </c>
      <c r="F1095" t="s">
        <v>45</v>
      </c>
      <c r="G1095">
        <v>-207.43350000000001</v>
      </c>
      <c r="H1095" s="1">
        <v>-5.2112129999999999E-6</v>
      </c>
      <c r="I1095">
        <v>364.55290000000002</v>
      </c>
      <c r="J1095">
        <v>-218.4211</v>
      </c>
      <c r="K1095">
        <v>1.1078479999999999</v>
      </c>
      <c r="L1095">
        <v>367.81040000000002</v>
      </c>
      <c r="M1095">
        <v>0.99970400000000004</v>
      </c>
      <c r="N1095">
        <v>0</v>
      </c>
      <c r="O1095">
        <v>-1.9489260000000001E-2</v>
      </c>
      <c r="P1095">
        <v>0.9634026</v>
      </c>
      <c r="Q1095">
        <v>0.15443200000000001</v>
      </c>
      <c r="R1095">
        <v>-0.2191032</v>
      </c>
      <c r="S1095">
        <v>2.9663539999999999</v>
      </c>
      <c r="T1095">
        <v>-0.29335060000000002</v>
      </c>
      <c r="U1095">
        <v>-0.864013699999999</v>
      </c>
      <c r="V1095">
        <v>0.2013587</v>
      </c>
      <c r="W1095">
        <v>0.16721659999999999</v>
      </c>
      <c r="X1095">
        <v>0.96513899999999997</v>
      </c>
      <c r="Y1095">
        <v>0.25980399999999998</v>
      </c>
      <c r="Z1095">
        <v>-1.0673459999999999E-2</v>
      </c>
      <c r="AA1095">
        <v>0.96560239999999997</v>
      </c>
      <c r="AB1095">
        <v>33</v>
      </c>
      <c r="AC1095">
        <v>10.987599999999899</v>
      </c>
      <c r="AD1095">
        <v>-1.107853211213</v>
      </c>
      <c r="AE1095">
        <v>-3.2574999999999901</v>
      </c>
      <c r="AF1095">
        <v>3.0145477893272199</v>
      </c>
      <c r="AG1095">
        <v>-1.107853211213</v>
      </c>
      <c r="AH1095">
        <v>10.946710384865799</v>
      </c>
      <c r="AI1095">
        <v>95.572827200535897</v>
      </c>
      <c r="AJ1095">
        <v>74.603301434503194</v>
      </c>
      <c r="AK1095">
        <v>11.4081245330625</v>
      </c>
      <c r="AL1095">
        <v>80.373974482091199</v>
      </c>
      <c r="AM1095">
        <v>78.215321766068698</v>
      </c>
      <c r="AN1095">
        <v>1.00000000335112</v>
      </c>
    </row>
    <row r="1096" spans="1:40" x14ac:dyDescent="0.25">
      <c r="A1096" t="str">
        <f>"20190312172349538"</f>
        <v>20190312172349538</v>
      </c>
      <c r="B1096" t="str">
        <f>"1552382629530808"</f>
        <v>1552382629530808</v>
      </c>
      <c r="C1096" t="s">
        <v>40</v>
      </c>
      <c r="D1096">
        <v>4.3124159999999998</v>
      </c>
      <c r="E1096">
        <v>0.52264719999999998</v>
      </c>
      <c r="F1096" t="s">
        <v>45</v>
      </c>
      <c r="G1096">
        <v>-207.12809999999999</v>
      </c>
      <c r="H1096" s="1">
        <v>-5.0876820000000004E-6</v>
      </c>
      <c r="I1096">
        <v>364.46839999999997</v>
      </c>
      <c r="J1096">
        <v>-218.22190000000001</v>
      </c>
      <c r="K1096">
        <v>1.1077699999999999</v>
      </c>
      <c r="L1096">
        <v>367.80470000000003</v>
      </c>
      <c r="M1096">
        <v>0.99966310000000003</v>
      </c>
      <c r="N1096">
        <v>0</v>
      </c>
      <c r="O1096">
        <v>-2.1483990000000001E-2</v>
      </c>
      <c r="P1096">
        <v>0.96240979999999998</v>
      </c>
      <c r="Q1096">
        <v>0.1539729</v>
      </c>
      <c r="R1096">
        <v>-0.22374079999999999</v>
      </c>
      <c r="S1096">
        <v>2.9612270000000001</v>
      </c>
      <c r="T1096">
        <v>-0.2904986</v>
      </c>
      <c r="U1096">
        <v>-0.87634279999999998</v>
      </c>
      <c r="V1096">
        <v>0.20411370000000001</v>
      </c>
      <c r="W1096">
        <v>0.16669510000000001</v>
      </c>
      <c r="X1096">
        <v>0.96465029999999996</v>
      </c>
      <c r="Y1096">
        <v>0.26204460000000002</v>
      </c>
      <c r="Z1096">
        <v>-1.049812E-2</v>
      </c>
      <c r="AA1096">
        <v>0.96499869999999999</v>
      </c>
      <c r="AB1096">
        <v>33</v>
      </c>
      <c r="AC1096">
        <v>11.0938</v>
      </c>
      <c r="AD1096">
        <v>-1.1077750876820001</v>
      </c>
      <c r="AE1096">
        <v>-3.3363000000000498</v>
      </c>
      <c r="AF1096">
        <v>3.0691013150503199</v>
      </c>
      <c r="AG1096">
        <v>-1.1077750876820001</v>
      </c>
      <c r="AH1096">
        <v>11.0617738209706</v>
      </c>
      <c r="AI1096">
        <v>95.511923233767106</v>
      </c>
      <c r="AJ1096">
        <v>74.493266944567097</v>
      </c>
      <c r="AK1096">
        <v>11.5329696346276</v>
      </c>
      <c r="AL1096">
        <v>80.404278872846206</v>
      </c>
      <c r="AM1096">
        <v>78.052806333123002</v>
      </c>
      <c r="AN1096">
        <v>0.99999993009089205</v>
      </c>
    </row>
    <row r="1097" spans="1:40" x14ac:dyDescent="0.25">
      <c r="A1097" t="str">
        <f>"20190312172349555"</f>
        <v>20190312172349555</v>
      </c>
      <c r="B1097" t="str">
        <f>"1552382629551305"</f>
        <v>1552382629551305</v>
      </c>
      <c r="C1097" t="s">
        <v>40</v>
      </c>
      <c r="D1097">
        <v>4.1474190000000002</v>
      </c>
      <c r="E1097">
        <v>0.52236590000000005</v>
      </c>
      <c r="F1097" t="s">
        <v>45</v>
      </c>
      <c r="G1097">
        <v>-207.00479999999999</v>
      </c>
      <c r="H1097" s="1">
        <v>-5.0408180000000002E-6</v>
      </c>
      <c r="I1097">
        <v>364.42059999999998</v>
      </c>
      <c r="J1097">
        <v>-217.9854</v>
      </c>
      <c r="K1097">
        <v>1.107685</v>
      </c>
      <c r="L1097">
        <v>367.79719999999998</v>
      </c>
      <c r="M1097">
        <v>0.9996081</v>
      </c>
      <c r="N1097">
        <v>0</v>
      </c>
      <c r="O1097">
        <v>-2.391223E-2</v>
      </c>
      <c r="P1097">
        <v>0.96056549999999996</v>
      </c>
      <c r="Q1097">
        <v>0.15419479999999999</v>
      </c>
      <c r="R1097">
        <v>-0.23138249999999999</v>
      </c>
      <c r="S1097">
        <v>2.9564970000000002</v>
      </c>
      <c r="T1097">
        <v>-0.29197600000000001</v>
      </c>
      <c r="U1097">
        <v>-0.89193729999999904</v>
      </c>
      <c r="V1097">
        <v>0.20948330000000001</v>
      </c>
      <c r="W1097">
        <v>0.166824</v>
      </c>
      <c r="X1097">
        <v>0.96347629999999995</v>
      </c>
      <c r="Y1097">
        <v>0.26477899999999999</v>
      </c>
      <c r="Z1097">
        <v>-1.04578E-2</v>
      </c>
      <c r="AA1097">
        <v>0.96425240000000001</v>
      </c>
      <c r="AB1097">
        <v>33</v>
      </c>
      <c r="AC1097">
        <v>10.980600000000001</v>
      </c>
      <c r="AD1097">
        <v>-1.1076900408179999</v>
      </c>
      <c r="AE1097">
        <v>-3.3765999999999901</v>
      </c>
      <c r="AF1097">
        <v>3.0843604160937002</v>
      </c>
      <c r="AG1097">
        <v>-1.1076900408179999</v>
      </c>
      <c r="AH1097">
        <v>10.956348512594399</v>
      </c>
      <c r="AI1097">
        <v>95.558384810247205</v>
      </c>
      <c r="AJ1097">
        <v>74.277370450363804</v>
      </c>
      <c r="AK1097">
        <v>11.435988332117301</v>
      </c>
      <c r="AL1097">
        <v>80.3967896324382</v>
      </c>
      <c r="AM1097">
        <v>77.733413140420396</v>
      </c>
      <c r="AN1097">
        <v>1.00000004030828</v>
      </c>
    </row>
    <row r="1098" spans="1:40" x14ac:dyDescent="0.25">
      <c r="A1098" t="str">
        <f>"20190312172349568"</f>
        <v>20190312172349568</v>
      </c>
      <c r="B1098" t="str">
        <f>"1552382629561065"</f>
        <v>1552382629561065</v>
      </c>
      <c r="C1098" t="s">
        <v>40</v>
      </c>
      <c r="D1098">
        <v>4.1380410000000003</v>
      </c>
      <c r="E1098">
        <v>0.52216850000000004</v>
      </c>
      <c r="F1098" t="s">
        <v>45</v>
      </c>
      <c r="G1098">
        <v>-206.70439999999999</v>
      </c>
      <c r="H1098" s="1">
        <v>-4.9263039999999999E-6</v>
      </c>
      <c r="I1098">
        <v>364.30610000000001</v>
      </c>
      <c r="J1098">
        <v>-217.7739</v>
      </c>
      <c r="K1098">
        <v>1.1076140000000001</v>
      </c>
      <c r="L1098">
        <v>367.79</v>
      </c>
      <c r="M1098">
        <v>0.99955260000000001</v>
      </c>
      <c r="N1098">
        <v>0</v>
      </c>
      <c r="O1098">
        <v>-2.612977E-2</v>
      </c>
      <c r="P1098">
        <v>0.95934770000000003</v>
      </c>
      <c r="Q1098">
        <v>0.15467800000000001</v>
      </c>
      <c r="R1098">
        <v>-0.2360661</v>
      </c>
      <c r="S1098">
        <v>2.9497680000000002</v>
      </c>
      <c r="T1098">
        <v>-0.28964079999999998</v>
      </c>
      <c r="U1098">
        <v>-0.91287229999999997</v>
      </c>
      <c r="V1098">
        <v>0.21208589999999999</v>
      </c>
      <c r="W1098">
        <v>0.1672447</v>
      </c>
      <c r="X1098">
        <v>0.96283370000000001</v>
      </c>
      <c r="Y1098">
        <v>0.26950750000000001</v>
      </c>
      <c r="Z1098">
        <v>-1.040113E-2</v>
      </c>
      <c r="AA1098">
        <v>0.96294210000000002</v>
      </c>
      <c r="AB1098">
        <v>33</v>
      </c>
      <c r="AC1098">
        <v>11.0695</v>
      </c>
      <c r="AD1098">
        <v>-1.1076189263039999</v>
      </c>
      <c r="AE1098">
        <v>-3.4839000000000002</v>
      </c>
      <c r="AF1098">
        <v>3.1646073614147401</v>
      </c>
      <c r="AG1098">
        <v>-1.1076189263039999</v>
      </c>
      <c r="AH1098">
        <v>11.0560452089434</v>
      </c>
      <c r="AI1098">
        <v>95.501437527864098</v>
      </c>
      <c r="AJ1098">
        <v>74.027119388632798</v>
      </c>
      <c r="AK1098">
        <v>11.5532547405494</v>
      </c>
      <c r="AL1098">
        <v>80.372341211008901</v>
      </c>
      <c r="AM1098">
        <v>77.577683552919396</v>
      </c>
      <c r="AN1098">
        <v>0.999999976256294</v>
      </c>
    </row>
    <row r="1099" spans="1:40" x14ac:dyDescent="0.25">
      <c r="A1099" t="str">
        <f>"20190312172349580"</f>
        <v>20190312172349580</v>
      </c>
      <c r="B1099" t="str">
        <f>"1552382629570825"</f>
        <v>1552382629570825</v>
      </c>
      <c r="C1099" t="s">
        <v>40</v>
      </c>
      <c r="D1099">
        <v>4.1106170000000004</v>
      </c>
      <c r="E1099">
        <v>0.52198140000000004</v>
      </c>
      <c r="F1099" t="s">
        <v>45</v>
      </c>
      <c r="G1099">
        <v>-206.44239999999999</v>
      </c>
      <c r="H1099" s="1">
        <v>-4.8208779999999997E-6</v>
      </c>
      <c r="I1099">
        <v>364.23110000000003</v>
      </c>
      <c r="J1099">
        <v>-217.5933</v>
      </c>
      <c r="K1099">
        <v>1.1075539999999999</v>
      </c>
      <c r="L1099">
        <v>367.78359999999998</v>
      </c>
      <c r="M1099">
        <v>0.99950050000000001</v>
      </c>
      <c r="N1099">
        <v>0</v>
      </c>
      <c r="O1099">
        <v>-2.8050909999999998E-2</v>
      </c>
      <c r="P1099">
        <v>0.95833690000000005</v>
      </c>
      <c r="Q1099">
        <v>0.15496579999999999</v>
      </c>
      <c r="R1099">
        <v>-0.23995089999999999</v>
      </c>
      <c r="S1099">
        <v>2.9458920000000002</v>
      </c>
      <c r="T1099">
        <v>-0.28795140000000002</v>
      </c>
      <c r="U1099">
        <v>-0.9252319</v>
      </c>
      <c r="V1099">
        <v>0.2141682</v>
      </c>
      <c r="W1099">
        <v>0.1674803</v>
      </c>
      <c r="X1099">
        <v>0.96233170000000001</v>
      </c>
      <c r="Y1099">
        <v>0.27170620000000001</v>
      </c>
      <c r="Z1099">
        <v>-1.026958E-2</v>
      </c>
      <c r="AA1099">
        <v>0.96232549999999994</v>
      </c>
      <c r="AB1099">
        <v>33</v>
      </c>
      <c r="AC1099">
        <v>11.1509</v>
      </c>
      <c r="AD1099">
        <v>-1.1075588208780001</v>
      </c>
      <c r="AE1099">
        <v>-3.55249999999995</v>
      </c>
      <c r="AF1099">
        <v>3.20953007887675</v>
      </c>
      <c r="AG1099">
        <v>-1.1075588208780001</v>
      </c>
      <c r="AH1099">
        <v>11.1463420590817</v>
      </c>
      <c r="AI1099">
        <v>95.454384455710297</v>
      </c>
      <c r="AJ1099">
        <v>73.936525485110394</v>
      </c>
      <c r="AK1099">
        <v>11.6519831430951</v>
      </c>
      <c r="AL1099">
        <v>80.358649288278102</v>
      </c>
      <c r="AM1099">
        <v>77.453224406119404</v>
      </c>
      <c r="AN1099">
        <v>0.99999998480210905</v>
      </c>
    </row>
    <row r="1100" spans="1:40" x14ac:dyDescent="0.25">
      <c r="A1100" t="str">
        <f>"20190312172349592"</f>
        <v>20190312172349592</v>
      </c>
      <c r="B1100" t="str">
        <f>"1552382629580585"</f>
        <v>1552382629580585</v>
      </c>
      <c r="C1100" t="s">
        <v>40</v>
      </c>
      <c r="D1100">
        <v>4.141038</v>
      </c>
      <c r="E1100">
        <v>0.52182280000000003</v>
      </c>
      <c r="F1100" t="s">
        <v>45</v>
      </c>
      <c r="G1100">
        <v>-206.21979999999999</v>
      </c>
      <c r="H1100" s="1">
        <v>-4.7314250000000002E-6</v>
      </c>
      <c r="I1100">
        <v>364.1669</v>
      </c>
      <c r="J1100">
        <v>-217.43119999999999</v>
      </c>
      <c r="K1100">
        <v>1.1074999999999999</v>
      </c>
      <c r="L1100">
        <v>367.77730000000003</v>
      </c>
      <c r="M1100">
        <v>0.99944900000000003</v>
      </c>
      <c r="N1100">
        <v>0</v>
      </c>
      <c r="O1100">
        <v>-2.9823200000000001E-2</v>
      </c>
      <c r="P1100">
        <v>0.95734589999999997</v>
      </c>
      <c r="Q1100">
        <v>0.15531729999999899</v>
      </c>
      <c r="R1100">
        <v>-0.24365029999999999</v>
      </c>
      <c r="S1100">
        <v>2.9424739999999998</v>
      </c>
      <c r="T1100">
        <v>-0.28654109999999899</v>
      </c>
      <c r="U1100">
        <v>-0.93569950000000002</v>
      </c>
      <c r="V1100">
        <v>0.21620829999999999</v>
      </c>
      <c r="W1100">
        <v>0.16778390000000001</v>
      </c>
      <c r="X1100">
        <v>0.96182250000000002</v>
      </c>
      <c r="Y1100">
        <v>0.2734412</v>
      </c>
      <c r="Z1100">
        <v>-1.0140100000000001E-2</v>
      </c>
      <c r="AA1100">
        <v>0.96183529999999995</v>
      </c>
      <c r="AB1100">
        <v>33</v>
      </c>
      <c r="AC1100">
        <v>11.2113999999999</v>
      </c>
      <c r="AD1100">
        <v>-1.1075047314249999</v>
      </c>
      <c r="AE1100">
        <v>-3.6104000000000198</v>
      </c>
      <c r="AF1100">
        <v>3.2457019627340502</v>
      </c>
      <c r="AG1100">
        <v>-1.1075047314249999</v>
      </c>
      <c r="AH1100">
        <v>11.2149417150579</v>
      </c>
      <c r="AI1100">
        <v>95.4188554041976</v>
      </c>
      <c r="AJ1100">
        <v>73.859095499406493</v>
      </c>
      <c r="AK1100">
        <v>11.7275771424949</v>
      </c>
      <c r="AL1100">
        <v>80.341004698142399</v>
      </c>
      <c r="AM1100">
        <v>77.331056874342806</v>
      </c>
      <c r="AN1100">
        <v>0.99999999379717497</v>
      </c>
    </row>
    <row r="1101" spans="1:40" x14ac:dyDescent="0.25">
      <c r="A1101" t="str">
        <f>"20190312172349604"</f>
        <v>20190312172349604</v>
      </c>
      <c r="B1101" t="str">
        <f>"1552382629601081"</f>
        <v>1552382629601081</v>
      </c>
      <c r="C1101" t="s">
        <v>40</v>
      </c>
      <c r="D1101">
        <v>4.2565920000000004</v>
      </c>
      <c r="E1101">
        <v>0.5219319</v>
      </c>
      <c r="F1101" t="s">
        <v>45</v>
      </c>
      <c r="G1101">
        <v>-206.01159999999999</v>
      </c>
      <c r="H1101" s="1">
        <v>-4.6486930000000001E-6</v>
      </c>
      <c r="I1101">
        <v>364.10250000000002</v>
      </c>
      <c r="J1101">
        <v>-217.24770000000001</v>
      </c>
      <c r="K1101">
        <v>1.1074379999999999</v>
      </c>
      <c r="L1101">
        <v>367.77</v>
      </c>
      <c r="M1101">
        <v>0.99938669999999996</v>
      </c>
      <c r="N1101">
        <v>0</v>
      </c>
      <c r="O1101">
        <v>-3.184567E-2</v>
      </c>
      <c r="P1101">
        <v>0.95635630000000005</v>
      </c>
      <c r="Q1101">
        <v>0.1556661</v>
      </c>
      <c r="R1101">
        <v>-0.24728729999999999</v>
      </c>
      <c r="S1101">
        <v>2.939209</v>
      </c>
      <c r="T1101">
        <v>-0.2850528</v>
      </c>
      <c r="U1101">
        <v>-0.94583130000000004</v>
      </c>
      <c r="V1101">
        <v>0.21795</v>
      </c>
      <c r="W1101">
        <v>0.16808389999999901</v>
      </c>
      <c r="X1101">
        <v>0.96137700000000004</v>
      </c>
      <c r="Y1101">
        <v>0.27482380000000001</v>
      </c>
      <c r="Z1101">
        <v>-9.9680529999999993E-3</v>
      </c>
      <c r="AA1101">
        <v>0.96144289999999999</v>
      </c>
      <c r="AB1101">
        <v>33</v>
      </c>
      <c r="AC1101">
        <v>11.2361</v>
      </c>
      <c r="AD1101">
        <v>-1.107442648693</v>
      </c>
      <c r="AE1101">
        <v>-3.66749999999996</v>
      </c>
      <c r="AF1101">
        <v>3.2789941056263801</v>
      </c>
      <c r="AG1101">
        <v>-1.107442648693</v>
      </c>
      <c r="AH1101">
        <v>11.2484561216957</v>
      </c>
      <c r="AI1101">
        <v>95.399488299088503</v>
      </c>
      <c r="AJ1101">
        <v>73.748271695313505</v>
      </c>
      <c r="AK1101">
        <v>11.768857067981999</v>
      </c>
      <c r="AL1101">
        <v>80.323569062664902</v>
      </c>
      <c r="AM1101">
        <v>77.226610215847899</v>
      </c>
      <c r="AN1101">
        <v>1.0000000680340999</v>
      </c>
    </row>
    <row r="1102" spans="1:40" x14ac:dyDescent="0.25">
      <c r="A1102" t="str">
        <f>"20190312172349617"</f>
        <v>20190312172349617</v>
      </c>
      <c r="B1102" t="str">
        <f>"1552382629610841"</f>
        <v>1552382629610841</v>
      </c>
      <c r="C1102" t="s">
        <v>40</v>
      </c>
      <c r="D1102">
        <v>4.2613370000000002</v>
      </c>
      <c r="E1102">
        <v>0.5535274</v>
      </c>
      <c r="F1102" t="s">
        <v>45</v>
      </c>
      <c r="G1102">
        <v>-205.79499999999999</v>
      </c>
      <c r="H1102" s="1">
        <v>-4.5633089999999996E-6</v>
      </c>
      <c r="I1102">
        <v>364.03250000000003</v>
      </c>
      <c r="J1102">
        <v>-217.05799999999999</v>
      </c>
      <c r="K1102">
        <v>1.1073770000000001</v>
      </c>
      <c r="L1102">
        <v>367.76190000000003</v>
      </c>
      <c r="M1102">
        <v>0.99931630000000005</v>
      </c>
      <c r="N1102">
        <v>0</v>
      </c>
      <c r="O1102">
        <v>-3.3982070000000003E-2</v>
      </c>
      <c r="P1102">
        <v>0.95536270000000001</v>
      </c>
      <c r="Q1102">
        <v>0.15595529999999999</v>
      </c>
      <c r="R1102">
        <v>-0.25091869999999999</v>
      </c>
      <c r="S1102">
        <v>2.9353940000000001</v>
      </c>
      <c r="T1102">
        <v>-0.2838427</v>
      </c>
      <c r="U1102">
        <v>-0.95794679999999999</v>
      </c>
      <c r="V1102">
        <v>0.21957960000000001</v>
      </c>
      <c r="W1102">
        <v>0.16832359999999999</v>
      </c>
      <c r="X1102">
        <v>0.96096409999999999</v>
      </c>
      <c r="Y1102">
        <v>0.27673239999999999</v>
      </c>
      <c r="Z1102">
        <v>-9.8214760000000009E-3</v>
      </c>
      <c r="AA1102">
        <v>0.9608968</v>
      </c>
      <c r="AB1102">
        <v>33</v>
      </c>
      <c r="AC1102">
        <v>11.263</v>
      </c>
      <c r="AD1102">
        <v>-1.1073815633090001</v>
      </c>
      <c r="AE1102">
        <v>-3.7293999999999898</v>
      </c>
      <c r="AF1102">
        <v>3.3155805096151698</v>
      </c>
      <c r="AG1102">
        <v>-1.1073815633090001</v>
      </c>
      <c r="AH1102">
        <v>11.2849285571665</v>
      </c>
      <c r="AI1102">
        <v>95.378528817330803</v>
      </c>
      <c r="AJ1102">
        <v>73.6268917603159</v>
      </c>
      <c r="AK1102">
        <v>11.8139316310384</v>
      </c>
      <c r="AL1102">
        <v>80.309636274420299</v>
      </c>
      <c r="AM1102">
        <v>77.128927344127007</v>
      </c>
      <c r="AN1102">
        <v>1.0000000182709601</v>
      </c>
    </row>
    <row r="1103" spans="1:40" x14ac:dyDescent="0.25">
      <c r="A1103" t="str">
        <f>"20190312172349633"</f>
        <v>20190312172349633</v>
      </c>
      <c r="B1103" t="str">
        <f>"1552382629620601"</f>
        <v>1552382629620601</v>
      </c>
      <c r="C1103" t="s">
        <v>40</v>
      </c>
      <c r="D1103">
        <v>4.1703809999999999</v>
      </c>
      <c r="E1103">
        <v>0.56129530000000005</v>
      </c>
      <c r="F1103" t="s">
        <v>45</v>
      </c>
      <c r="G1103">
        <v>-204.0059</v>
      </c>
      <c r="H1103" s="1">
        <v>-4.0899350000000003E-6</v>
      </c>
      <c r="I1103">
        <v>362.24110000000002</v>
      </c>
      <c r="J1103">
        <v>-216.8391</v>
      </c>
      <c r="K1103">
        <v>1.107305</v>
      </c>
      <c r="L1103">
        <v>367.75209999999998</v>
      </c>
      <c r="M1103">
        <v>0.99922759999999999</v>
      </c>
      <c r="N1103">
        <v>0</v>
      </c>
      <c r="O1103">
        <v>-3.649637E-2</v>
      </c>
      <c r="P1103">
        <v>0.95365889999999998</v>
      </c>
      <c r="Q1103">
        <v>0.1565078</v>
      </c>
      <c r="R1103">
        <v>-0.25698270000000001</v>
      </c>
      <c r="S1103">
        <v>2.861847</v>
      </c>
      <c r="T1103">
        <v>-0.24280850000000001</v>
      </c>
      <c r="U1103">
        <v>-1.21051</v>
      </c>
      <c r="V1103">
        <v>0.22331029999999999</v>
      </c>
      <c r="W1103">
        <v>0.16879829999999901</v>
      </c>
      <c r="X1103">
        <v>0.96002069999999995</v>
      </c>
      <c r="Y1103">
        <v>0.35472340000000002</v>
      </c>
      <c r="Z1103">
        <v>-1.144745E-2</v>
      </c>
      <c r="AA1103">
        <v>0.93490119999999999</v>
      </c>
      <c r="AB1103">
        <v>33</v>
      </c>
      <c r="AC1103">
        <v>12.8332</v>
      </c>
      <c r="AD1103">
        <v>-1.107309089935</v>
      </c>
      <c r="AE1103">
        <v>-5.5109999999999602</v>
      </c>
      <c r="AF1103">
        <v>5.0074367426166297</v>
      </c>
      <c r="AG1103">
        <v>-1.107309089935</v>
      </c>
      <c r="AH1103">
        <v>12.944434452744501</v>
      </c>
      <c r="AI1103">
        <v>94.561497659060095</v>
      </c>
      <c r="AJ1103">
        <v>68.851491017269595</v>
      </c>
      <c r="AK1103">
        <v>13.9233235778444</v>
      </c>
      <c r="AL1103">
        <v>80.282043458697501</v>
      </c>
      <c r="AM1103">
        <v>76.905294551712998</v>
      </c>
      <c r="AN1103">
        <v>1.0000000502987301</v>
      </c>
    </row>
    <row r="1104" spans="1:40" x14ac:dyDescent="0.25">
      <c r="A1104" t="str">
        <f>"20190312172349646"</f>
        <v>20190312172349646</v>
      </c>
      <c r="B1104" t="str">
        <f>"1552382629641097"</f>
        <v>1552382629641097</v>
      </c>
      <c r="C1104" t="s">
        <v>40</v>
      </c>
      <c r="D1104">
        <v>4.1977289999999998</v>
      </c>
      <c r="E1104">
        <v>0.56618610000000003</v>
      </c>
      <c r="F1104" t="s">
        <v>45</v>
      </c>
      <c r="G1104">
        <v>-203.2448</v>
      </c>
      <c r="H1104" s="1">
        <v>-3.8544529999999999E-6</v>
      </c>
      <c r="I1104">
        <v>361.57589999999999</v>
      </c>
      <c r="J1104">
        <v>-216.63489999999999</v>
      </c>
      <c r="K1104">
        <v>1.1072390000000001</v>
      </c>
      <c r="L1104">
        <v>367.74239999999998</v>
      </c>
      <c r="M1104">
        <v>0.99913759999999996</v>
      </c>
      <c r="N1104">
        <v>0</v>
      </c>
      <c r="O1104">
        <v>-3.8883849999999998E-2</v>
      </c>
      <c r="P1104">
        <v>0.95248449999999996</v>
      </c>
      <c r="Q1104">
        <v>0.156646799999999</v>
      </c>
      <c r="R1104">
        <v>-0.26121820000000001</v>
      </c>
      <c r="S1104">
        <v>2.8364560000000001</v>
      </c>
      <c r="T1104">
        <v>-0.2310402</v>
      </c>
      <c r="U1104">
        <v>-1.2886660000000001</v>
      </c>
      <c r="V1104">
        <v>0.22531619999999999</v>
      </c>
      <c r="W1104">
        <v>0.16888059999999999</v>
      </c>
      <c r="X1104">
        <v>0.95953739999999998</v>
      </c>
      <c r="Y1104">
        <v>0.3769921</v>
      </c>
      <c r="Z1104">
        <v>-1.160511E-2</v>
      </c>
      <c r="AA1104">
        <v>0.92614379999999996</v>
      </c>
      <c r="AB1104">
        <v>33</v>
      </c>
      <c r="AC1104">
        <v>13.390099999999901</v>
      </c>
      <c r="AD1104">
        <v>-1.107242854453</v>
      </c>
      <c r="AE1104">
        <v>-6.1664999999999797</v>
      </c>
      <c r="AF1104">
        <v>5.6094764820007796</v>
      </c>
      <c r="AG1104">
        <v>-1.107242854453</v>
      </c>
      <c r="AH1104">
        <v>13.543370856723101</v>
      </c>
      <c r="AI1104">
        <v>94.319509425230194</v>
      </c>
      <c r="AJ1104">
        <v>67.501341161162699</v>
      </c>
      <c r="AK1104">
        <v>14.700853965113501</v>
      </c>
      <c r="AL1104">
        <v>80.277259178393805</v>
      </c>
      <c r="AM1104">
        <v>76.7853569483771</v>
      </c>
      <c r="AN1104">
        <v>1.0000000345187701</v>
      </c>
    </row>
    <row r="1105" spans="1:40" x14ac:dyDescent="0.25">
      <c r="A1105" t="str">
        <f>"20190312172349658"</f>
        <v>20190312172349658</v>
      </c>
      <c r="B1105" t="str">
        <f>"1552382629650856"</f>
        <v>1552382629650856</v>
      </c>
      <c r="C1105" t="s">
        <v>40</v>
      </c>
      <c r="D1105">
        <v>4.2023900000000003</v>
      </c>
      <c r="E1105">
        <v>0.56797419999999899</v>
      </c>
      <c r="F1105" t="s">
        <v>45</v>
      </c>
      <c r="G1105">
        <v>-202.6636</v>
      </c>
      <c r="H1105" s="1">
        <v>-3.6660589999999999E-6</v>
      </c>
      <c r="I1105">
        <v>361.10649999999998</v>
      </c>
      <c r="J1105">
        <v>-216.4599</v>
      </c>
      <c r="K1105">
        <v>1.1071789999999999</v>
      </c>
      <c r="L1105">
        <v>367.73360000000002</v>
      </c>
      <c r="M1105">
        <v>0.99905440000000001</v>
      </c>
      <c r="N1105">
        <v>0</v>
      </c>
      <c r="O1105">
        <v>-4.0964609999999999E-2</v>
      </c>
      <c r="P1105">
        <v>0.95144459999999997</v>
      </c>
      <c r="Q1105">
        <v>0.1567238</v>
      </c>
      <c r="R1105">
        <v>-0.2649359</v>
      </c>
      <c r="S1105">
        <v>2.8191830000000002</v>
      </c>
      <c r="T1105">
        <v>-0.22342490000000001</v>
      </c>
      <c r="U1105">
        <v>-1.3390200000000001</v>
      </c>
      <c r="V1105">
        <v>0.2270932</v>
      </c>
      <c r="W1105">
        <v>0.16890729999999901</v>
      </c>
      <c r="X1105">
        <v>0.95911369999999896</v>
      </c>
      <c r="Y1105">
        <v>0.39077479999999998</v>
      </c>
      <c r="Z1105">
        <v>-1.1608189999999999E-2</v>
      </c>
      <c r="AA1105">
        <v>0.92041309999999998</v>
      </c>
      <c r="AB1105">
        <v>33</v>
      </c>
      <c r="AC1105">
        <v>13.7963</v>
      </c>
      <c r="AD1105">
        <v>-1.1071826660590001</v>
      </c>
      <c r="AE1105">
        <v>-6.6271000000000404</v>
      </c>
      <c r="AF1105">
        <v>6.0247885335490796</v>
      </c>
      <c r="AG1105">
        <v>-1.1071826660590001</v>
      </c>
      <c r="AH1105">
        <v>13.983049575421701</v>
      </c>
      <c r="AI1105">
        <v>94.159098403870601</v>
      </c>
      <c r="AJ1105">
        <v>66.690543919653294</v>
      </c>
      <c r="AK1105">
        <v>15.2659623266503</v>
      </c>
      <c r="AL1105">
        <v>80.275707172324005</v>
      </c>
      <c r="AM1105">
        <v>76.679162953410895</v>
      </c>
      <c r="AN1105">
        <v>1.0000000435036001</v>
      </c>
    </row>
    <row r="1106" spans="1:40" x14ac:dyDescent="0.25">
      <c r="A1106" t="str">
        <f>"20190312172349669"</f>
        <v>20190312172349669</v>
      </c>
      <c r="B1106" t="str">
        <f>"1552382629660617"</f>
        <v>1552382629660617</v>
      </c>
      <c r="C1106" t="s">
        <v>40</v>
      </c>
      <c r="D1106">
        <v>4.3552200000000001</v>
      </c>
      <c r="E1106">
        <v>0.56941629999999999</v>
      </c>
      <c r="F1106" t="s">
        <v>45</v>
      </c>
      <c r="G1106">
        <v>-202.66239999999999</v>
      </c>
      <c r="H1106" s="1">
        <v>-3.681439E-6</v>
      </c>
      <c r="I1106">
        <v>361.03429999999997</v>
      </c>
      <c r="J1106">
        <v>-216.29929999999999</v>
      </c>
      <c r="K1106">
        <v>1.107129</v>
      </c>
      <c r="L1106">
        <v>367.72519999999997</v>
      </c>
      <c r="M1106">
        <v>0.99897250000000004</v>
      </c>
      <c r="N1106">
        <v>0</v>
      </c>
      <c r="O1106">
        <v>-4.2913409999999999E-2</v>
      </c>
      <c r="P1106">
        <v>0.95037470000000002</v>
      </c>
      <c r="Q1106">
        <v>0.15690509999999999</v>
      </c>
      <c r="R1106">
        <v>-0.26864300000000002</v>
      </c>
      <c r="S1106">
        <v>2.8103030000000002</v>
      </c>
      <c r="T1106">
        <v>-0.22551289999999999</v>
      </c>
      <c r="U1106">
        <v>-1.3645320000000001</v>
      </c>
      <c r="V1106">
        <v>0.22898950000000001</v>
      </c>
      <c r="W1106">
        <v>0.16903979999999999</v>
      </c>
      <c r="X1106">
        <v>0.95863929999999997</v>
      </c>
      <c r="Y1106">
        <v>0.39685550000000003</v>
      </c>
      <c r="Z1106">
        <v>-1.181169E-2</v>
      </c>
      <c r="AA1106">
        <v>0.91780510000000004</v>
      </c>
      <c r="AB1106">
        <v>33</v>
      </c>
      <c r="AC1106">
        <v>13.636899999999899</v>
      </c>
      <c r="AD1106">
        <v>-1.1071326814389999</v>
      </c>
      <c r="AE1106">
        <v>-6.6908999999999903</v>
      </c>
      <c r="AF1106">
        <v>6.0672354952976697</v>
      </c>
      <c r="AG1106">
        <v>-1.1071326814389999</v>
      </c>
      <c r="AH1106">
        <v>13.837982139790901</v>
      </c>
      <c r="AI1106">
        <v>94.190760757894395</v>
      </c>
      <c r="AJ1106">
        <v>66.325048326451906</v>
      </c>
      <c r="AK1106">
        <v>15.150143201662599</v>
      </c>
      <c r="AL1106">
        <v>80.268004064801303</v>
      </c>
      <c r="AM1106">
        <v>76.565538327826403</v>
      </c>
      <c r="AN1106">
        <v>0.99999997629938897</v>
      </c>
    </row>
    <row r="1107" spans="1:40" x14ac:dyDescent="0.25">
      <c r="A1107" t="str">
        <f>"20190312172349682"</f>
        <v>20190312172349682</v>
      </c>
      <c r="B1107" t="str">
        <f>"1552382629671353"</f>
        <v>1552382629671353</v>
      </c>
      <c r="C1107" t="s">
        <v>40</v>
      </c>
      <c r="D1107">
        <v>4.2034830000000003</v>
      </c>
      <c r="E1107">
        <v>0.56985520000000001</v>
      </c>
      <c r="F1107" t="s">
        <v>45</v>
      </c>
      <c r="G1107">
        <v>-202.2782</v>
      </c>
      <c r="H1107" s="1">
        <v>-3.5439110000000002E-6</v>
      </c>
      <c r="I1107">
        <v>360.7826</v>
      </c>
      <c r="J1107">
        <v>-216.1206</v>
      </c>
      <c r="K1107">
        <v>1.107075</v>
      </c>
      <c r="L1107">
        <v>367.71559999999999</v>
      </c>
      <c r="M1107">
        <v>0.99887619999999999</v>
      </c>
      <c r="N1107">
        <v>0</v>
      </c>
      <c r="O1107">
        <v>-4.5099720000000003E-2</v>
      </c>
      <c r="P1107">
        <v>0.94928489999999999</v>
      </c>
      <c r="Q1107">
        <v>0.15695190000000001</v>
      </c>
      <c r="R1107">
        <v>-0.2724414</v>
      </c>
      <c r="S1107">
        <v>2.8010860000000002</v>
      </c>
      <c r="T1107">
        <v>-0.22117809999999999</v>
      </c>
      <c r="U1107">
        <v>-1.3869629999999999</v>
      </c>
      <c r="V1107">
        <v>0.2307534</v>
      </c>
      <c r="W1107">
        <v>0.16903570000000001</v>
      </c>
      <c r="X1107">
        <v>0.95821699999999999</v>
      </c>
      <c r="Y1107">
        <v>0.40197460000000002</v>
      </c>
      <c r="Z1107">
        <v>-1.162901E-2</v>
      </c>
      <c r="AA1107">
        <v>0.91557699999999997</v>
      </c>
      <c r="AB1107">
        <v>33</v>
      </c>
      <c r="AC1107">
        <v>13.8423999999999</v>
      </c>
      <c r="AD1107">
        <v>-1.107078543911</v>
      </c>
      <c r="AE1107">
        <v>-6.9329999999999901</v>
      </c>
      <c r="AF1107">
        <v>6.2695295055877196</v>
      </c>
      <c r="AG1107">
        <v>-1.107078543911</v>
      </c>
      <c r="AH1107">
        <v>14.0690779879648</v>
      </c>
      <c r="AI1107">
        <v>94.111075615955301</v>
      </c>
      <c r="AJ1107">
        <v>65.981063643628602</v>
      </c>
      <c r="AK1107">
        <v>15.442525005816201</v>
      </c>
      <c r="AL1107">
        <v>80.268242731508806</v>
      </c>
      <c r="AM1107">
        <v>76.460100947656599</v>
      </c>
      <c r="AN1107">
        <v>1.0000000092875201</v>
      </c>
    </row>
    <row r="1108" spans="1:40" x14ac:dyDescent="0.25">
      <c r="A1108" t="str">
        <f>"20190312172349693"</f>
        <v>20190312172349693</v>
      </c>
      <c r="B1108" t="str">
        <f>"1552382629690873"</f>
        <v>1552382629690873</v>
      </c>
      <c r="C1108" t="s">
        <v>40</v>
      </c>
      <c r="D1108">
        <v>4.2129469999999998</v>
      </c>
      <c r="E1108">
        <v>0.5705209</v>
      </c>
      <c r="F1108" t="s">
        <v>45</v>
      </c>
      <c r="G1108">
        <v>-202.01480000000001</v>
      </c>
      <c r="H1108" s="1">
        <v>-3.4430509999999998E-6</v>
      </c>
      <c r="I1108">
        <v>360.63979999999998</v>
      </c>
      <c r="J1108">
        <v>-215.93379999999999</v>
      </c>
      <c r="K1108">
        <v>1.1070120000000001</v>
      </c>
      <c r="L1108">
        <v>367.70479999999998</v>
      </c>
      <c r="M1108">
        <v>0.99876739999999997</v>
      </c>
      <c r="N1108">
        <v>0</v>
      </c>
      <c r="O1108">
        <v>-4.7447139999999999E-2</v>
      </c>
      <c r="P1108">
        <v>0.94811610000000002</v>
      </c>
      <c r="Q1108">
        <v>0.15688579999999999</v>
      </c>
      <c r="R1108">
        <v>-0.27651949999999997</v>
      </c>
      <c r="S1108">
        <v>2.7942659999999999</v>
      </c>
      <c r="T1108">
        <v>-0.21930540000000001</v>
      </c>
      <c r="U1108">
        <v>-1.401672</v>
      </c>
      <c r="V1108">
        <v>0.23264779999999999</v>
      </c>
      <c r="W1108">
        <v>0.16891579999999901</v>
      </c>
      <c r="X1108">
        <v>0.95777990000000002</v>
      </c>
      <c r="Y1108">
        <v>0.40458230000000001</v>
      </c>
      <c r="Z1108">
        <v>-1.1467140000000001E-2</v>
      </c>
      <c r="AA1108">
        <v>0.91442970000000001</v>
      </c>
      <c r="AB1108">
        <v>33</v>
      </c>
      <c r="AC1108">
        <v>13.918999999999899</v>
      </c>
      <c r="AD1108">
        <v>-1.107015443051</v>
      </c>
      <c r="AE1108">
        <v>-7.0649999999999897</v>
      </c>
      <c r="AF1108">
        <v>6.3645431554321599</v>
      </c>
      <c r="AG1108">
        <v>-1.107015443051</v>
      </c>
      <c r="AH1108">
        <v>14.1673137181591</v>
      </c>
      <c r="AI1108">
        <v>94.076952432197402</v>
      </c>
      <c r="AJ1108">
        <v>65.808412454541497</v>
      </c>
      <c r="AK1108">
        <v>15.570666997828001</v>
      </c>
      <c r="AL1108">
        <v>80.275212057678601</v>
      </c>
      <c r="AM1108">
        <v>76.347089130580599</v>
      </c>
      <c r="AN1108">
        <v>0.99999994158924299</v>
      </c>
    </row>
    <row r="1109" spans="1:40" x14ac:dyDescent="0.25">
      <c r="A1109" t="str">
        <f>"20190312172349708"</f>
        <v>20190312172349708</v>
      </c>
      <c r="B1109" t="str">
        <f>"1552382629700633"</f>
        <v>1552382629700633</v>
      </c>
      <c r="C1109" t="s">
        <v>40</v>
      </c>
      <c r="D1109">
        <v>4.1412760000000004</v>
      </c>
      <c r="E1109">
        <v>0.57080069999999905</v>
      </c>
      <c r="F1109" t="s">
        <v>45</v>
      </c>
      <c r="G1109">
        <v>-201.7764</v>
      </c>
      <c r="H1109" s="1">
        <v>-3.3554090000000001E-6</v>
      </c>
      <c r="I1109">
        <v>360.49400000000003</v>
      </c>
      <c r="J1109">
        <v>-215.73990000000001</v>
      </c>
      <c r="K1109">
        <v>1.106949</v>
      </c>
      <c r="L1109">
        <v>367.69319999999999</v>
      </c>
      <c r="M1109">
        <v>0.99864699999999995</v>
      </c>
      <c r="N1109">
        <v>0</v>
      </c>
      <c r="O1109">
        <v>-4.9915859999999999E-2</v>
      </c>
      <c r="P1109">
        <v>0.94688490000000003</v>
      </c>
      <c r="Q1109">
        <v>0.15673899999999999</v>
      </c>
      <c r="R1109">
        <v>-0.28078920000000002</v>
      </c>
      <c r="S1109">
        <v>2.7863310000000001</v>
      </c>
      <c r="T1109">
        <v>-0.2178726</v>
      </c>
      <c r="U1109">
        <v>-1.4191590000000001</v>
      </c>
      <c r="V1109">
        <v>0.2346232</v>
      </c>
      <c r="W1109">
        <v>0.16871369999999999</v>
      </c>
      <c r="X1109">
        <v>0.95733360000000001</v>
      </c>
      <c r="Y1109">
        <v>0.4079393</v>
      </c>
      <c r="Z1109">
        <v>-1.134931E-2</v>
      </c>
      <c r="AA1109">
        <v>0.91293849999999999</v>
      </c>
      <c r="AB1109">
        <v>33</v>
      </c>
      <c r="AC1109">
        <v>13.9635</v>
      </c>
      <c r="AD1109">
        <v>-1.1069523554089999</v>
      </c>
      <c r="AE1109">
        <v>-7.1991999999999603</v>
      </c>
      <c r="AF1109">
        <v>6.4610718305697503</v>
      </c>
      <c r="AG1109">
        <v>-1.1069523554089999</v>
      </c>
      <c r="AH1109">
        <v>14.234809701091899</v>
      </c>
      <c r="AI1109">
        <v>94.050406769125402</v>
      </c>
      <c r="AJ1109">
        <v>65.587063411081004</v>
      </c>
      <c r="AK1109">
        <v>15.671649560375799</v>
      </c>
      <c r="AL1109">
        <v>80.286960622312094</v>
      </c>
      <c r="AM1109">
        <v>76.229381987615895</v>
      </c>
      <c r="AN1109">
        <v>0.999999990117445</v>
      </c>
    </row>
    <row r="1110" spans="1:40" x14ac:dyDescent="0.25">
      <c r="A1110" t="str">
        <f>"20190312172349722"</f>
        <v>20190312172349722</v>
      </c>
      <c r="B1110" t="str">
        <f>"1552382629711369"</f>
        <v>1552382629711369</v>
      </c>
      <c r="C1110" t="s">
        <v>40</v>
      </c>
      <c r="D1110">
        <v>4.1571759999999998</v>
      </c>
      <c r="E1110">
        <v>0.57098380000000004</v>
      </c>
      <c r="F1110" t="s">
        <v>45</v>
      </c>
      <c r="G1110">
        <v>-201.5309</v>
      </c>
      <c r="H1110" s="1">
        <v>-3.261247E-6</v>
      </c>
      <c r="I1110">
        <v>360.3614</v>
      </c>
      <c r="J1110">
        <v>-215.52799999999999</v>
      </c>
      <c r="K1110">
        <v>1.1068739999999999</v>
      </c>
      <c r="L1110">
        <v>367.68009999999998</v>
      </c>
      <c r="M1110">
        <v>0.99850649999999996</v>
      </c>
      <c r="N1110">
        <v>0</v>
      </c>
      <c r="O1110">
        <v>-5.2653169999999999E-2</v>
      </c>
      <c r="P1110">
        <v>0.94520660000000001</v>
      </c>
      <c r="Q1110">
        <v>0.15647420000000001</v>
      </c>
      <c r="R1110">
        <v>-0.28653210000000001</v>
      </c>
      <c r="S1110">
        <v>2.7788849999999998</v>
      </c>
      <c r="T1110">
        <v>-0.2164894</v>
      </c>
      <c r="U1110">
        <v>-1.433899</v>
      </c>
      <c r="V1110">
        <v>0.23783940000000001</v>
      </c>
      <c r="W1110">
        <v>0.16837530000000001</v>
      </c>
      <c r="X1110">
        <v>0.95659930000000004</v>
      </c>
      <c r="Y1110">
        <v>0.41026829999999997</v>
      </c>
      <c r="Z1110">
        <v>-1.117783E-2</v>
      </c>
      <c r="AA1110">
        <v>0.91189629999999999</v>
      </c>
      <c r="AB1110">
        <v>33</v>
      </c>
      <c r="AC1110">
        <v>13.9970999999999</v>
      </c>
      <c r="AD1110">
        <v>-1.1068772612469999</v>
      </c>
      <c r="AE1110">
        <v>-7.3186999999999696</v>
      </c>
      <c r="AF1110">
        <v>6.5393617796613901</v>
      </c>
      <c r="AG1110">
        <v>-1.1068772612469999</v>
      </c>
      <c r="AH1110">
        <v>14.292882973807499</v>
      </c>
      <c r="AI1110">
        <v>94.028222946020193</v>
      </c>
      <c r="AJ1110">
        <v>65.414686043796806</v>
      </c>
      <c r="AK1110">
        <v>15.756742476150301</v>
      </c>
      <c r="AL1110">
        <v>80.3066312219309</v>
      </c>
      <c r="AM1110">
        <v>76.037651620011104</v>
      </c>
      <c r="AN1110">
        <v>1.0000000213014599</v>
      </c>
    </row>
    <row r="1111" spans="1:40" x14ac:dyDescent="0.25">
      <c r="A1111" t="str">
        <f>"20190312172349745"</f>
        <v>20190312172349745</v>
      </c>
      <c r="B1111" t="str">
        <f>"1552382629741288"</f>
        <v>1552382629741288</v>
      </c>
      <c r="C1111" t="s">
        <v>40</v>
      </c>
      <c r="D1111">
        <v>4.1912539999999998</v>
      </c>
      <c r="E1111">
        <v>0.57148219999999905</v>
      </c>
      <c r="F1111" t="s">
        <v>45</v>
      </c>
      <c r="G1111">
        <v>-201.33600000000001</v>
      </c>
      <c r="H1111" s="1">
        <v>-3.1911759999999998E-6</v>
      </c>
      <c r="I1111">
        <v>360.23500000000001</v>
      </c>
      <c r="J1111">
        <v>-215.1994</v>
      </c>
      <c r="K1111">
        <v>1.106779</v>
      </c>
      <c r="L1111">
        <v>367.6583</v>
      </c>
      <c r="M1111">
        <v>0.99826689999999996</v>
      </c>
      <c r="N1111">
        <v>0</v>
      </c>
      <c r="O1111">
        <v>-5.7014309999999999E-2</v>
      </c>
      <c r="P1111">
        <v>0.94283680000000003</v>
      </c>
      <c r="Q1111">
        <v>0.1564856</v>
      </c>
      <c r="R1111">
        <v>-0.29422989999999999</v>
      </c>
      <c r="S1111">
        <v>2.7692570000000001</v>
      </c>
      <c r="T1111">
        <v>-0.2159827</v>
      </c>
      <c r="U1111">
        <v>-1.4527589999999999</v>
      </c>
      <c r="V1111">
        <v>0.24150859999999999</v>
      </c>
      <c r="W1111">
        <v>0.16828879999999999</v>
      </c>
      <c r="X1111">
        <v>0.95569470000000001</v>
      </c>
      <c r="Y1111">
        <v>0.41246749999999999</v>
      </c>
      <c r="Z1111">
        <v>-1.093361E-2</v>
      </c>
      <c r="AA1111">
        <v>0.91090669999999996</v>
      </c>
      <c r="AB1111">
        <v>33</v>
      </c>
      <c r="AC1111">
        <v>13.8634</v>
      </c>
      <c r="AD1111">
        <v>-1.1067821911759901</v>
      </c>
      <c r="AE1111">
        <v>-7.4232999999999798</v>
      </c>
      <c r="AF1111">
        <v>6.5880928782158197</v>
      </c>
      <c r="AG1111">
        <v>-1.1067821911759901</v>
      </c>
      <c r="AH1111">
        <v>14.193816425878801</v>
      </c>
      <c r="AI1111">
        <v>94.045728036882593</v>
      </c>
      <c r="AJ1111">
        <v>65.101518903988307</v>
      </c>
      <c r="AK1111">
        <v>15.687331172708999</v>
      </c>
      <c r="AL1111">
        <v>80.311658274898605</v>
      </c>
      <c r="AM1111">
        <v>75.817994228610104</v>
      </c>
      <c r="AN1111">
        <v>0.99999994184374297</v>
      </c>
    </row>
    <row r="1112" spans="1:40" x14ac:dyDescent="0.25">
      <c r="A1112" t="str">
        <f>"20190312172349758"</f>
        <v>20190312172349758</v>
      </c>
      <c r="B1112" t="str">
        <f>"1552382629751048"</f>
        <v>1552382629751048</v>
      </c>
      <c r="C1112" t="s">
        <v>40</v>
      </c>
      <c r="D1112">
        <v>4.1942180000000002</v>
      </c>
      <c r="E1112">
        <v>0.571465</v>
      </c>
      <c r="F1112" t="s">
        <v>45</v>
      </c>
      <c r="G1112">
        <v>-201.1645</v>
      </c>
      <c r="H1112" s="1">
        <v>-3.1308449999999999E-6</v>
      </c>
      <c r="I1112">
        <v>360.11810000000003</v>
      </c>
      <c r="J1112">
        <v>-214.99469999999999</v>
      </c>
      <c r="K1112">
        <v>1.1067199999999999</v>
      </c>
      <c r="L1112">
        <v>367.64400000000001</v>
      </c>
      <c r="M1112">
        <v>0.99810480000000001</v>
      </c>
      <c r="N1112">
        <v>0</v>
      </c>
      <c r="O1112">
        <v>-5.9783280000000001E-2</v>
      </c>
      <c r="P1112">
        <v>0.94145140000000005</v>
      </c>
      <c r="Q1112">
        <v>0.1566602</v>
      </c>
      <c r="R1112">
        <v>-0.298541099999999</v>
      </c>
      <c r="S1112">
        <v>2.7559200000000001</v>
      </c>
      <c r="T1112">
        <v>-0.2173311</v>
      </c>
      <c r="U1112">
        <v>-1.480621</v>
      </c>
      <c r="V1112">
        <v>0.2432618</v>
      </c>
      <c r="W1112">
        <v>0.16840820000000001</v>
      </c>
      <c r="X1112">
        <v>0.95522899999999999</v>
      </c>
      <c r="Y1112">
        <v>0.41889799999999999</v>
      </c>
      <c r="Z1112">
        <v>-1.105915E-2</v>
      </c>
      <c r="AA1112">
        <v>0.90796600000000005</v>
      </c>
      <c r="AB1112">
        <v>32</v>
      </c>
      <c r="AC1112">
        <v>13.8301999999999</v>
      </c>
      <c r="AD1112">
        <v>-1.1067231308450001</v>
      </c>
      <c r="AE1112">
        <v>-7.5258999999999698</v>
      </c>
      <c r="AF1112">
        <v>6.6526654639233103</v>
      </c>
      <c r="AG1112">
        <v>-1.1067231308450001</v>
      </c>
      <c r="AH1112">
        <v>14.185344840073199</v>
      </c>
      <c r="AI1112">
        <v>94.040462436333399</v>
      </c>
      <c r="AJ1112">
        <v>64.874287685178899</v>
      </c>
      <c r="AK1112">
        <v>15.7069030077548</v>
      </c>
      <c r="AL1112">
        <v>80.304719005299503</v>
      </c>
      <c r="AM1112">
        <v>75.712561538206501</v>
      </c>
      <c r="AN1112">
        <v>1.00000003380373</v>
      </c>
    </row>
    <row r="1113" spans="1:40" x14ac:dyDescent="0.25">
      <c r="A1113" t="str">
        <f>"20190312172349770"</f>
        <v>20190312172349770</v>
      </c>
      <c r="B1113" t="str">
        <f>"1552382629760808"</f>
        <v>1552382629760808</v>
      </c>
      <c r="C1113" t="s">
        <v>40</v>
      </c>
      <c r="D1113">
        <v>4.213336</v>
      </c>
      <c r="E1113">
        <v>0.57143840000000001</v>
      </c>
      <c r="F1113" t="s">
        <v>45</v>
      </c>
      <c r="G1113">
        <v>-200.9169</v>
      </c>
      <c r="H1113" s="1">
        <v>-3.0333639999999999E-6</v>
      </c>
      <c r="I1113">
        <v>359.99560000000002</v>
      </c>
      <c r="J1113">
        <v>-214.82509999999999</v>
      </c>
      <c r="K1113">
        <v>1.106676</v>
      </c>
      <c r="L1113">
        <v>367.63150000000002</v>
      </c>
      <c r="M1113">
        <v>0.99796220000000002</v>
      </c>
      <c r="N1113">
        <v>0</v>
      </c>
      <c r="O1113">
        <v>-6.2118090000000001E-2</v>
      </c>
      <c r="P1113">
        <v>0.94011270000000002</v>
      </c>
      <c r="Q1113">
        <v>0.156802</v>
      </c>
      <c r="R1113">
        <v>-0.30265750000000002</v>
      </c>
      <c r="S1113">
        <v>2.7489319999999999</v>
      </c>
      <c r="T1113">
        <v>-0.2161061</v>
      </c>
      <c r="U1113">
        <v>-1.4934689999999999</v>
      </c>
      <c r="V1113">
        <v>0.24523229999999999</v>
      </c>
      <c r="W1113">
        <v>0.16849979999999901</v>
      </c>
      <c r="X1113">
        <v>0.95470880000000002</v>
      </c>
      <c r="Y1113">
        <v>0.42102709999999999</v>
      </c>
      <c r="Z1113">
        <v>-1.0918509999999999E-2</v>
      </c>
      <c r="AA1113">
        <v>0.90698239999999997</v>
      </c>
      <c r="AB1113">
        <v>32</v>
      </c>
      <c r="AC1113">
        <v>13.9081999999999</v>
      </c>
      <c r="AD1113">
        <v>-1.106679033364</v>
      </c>
      <c r="AE1113">
        <v>-7.6358999999999897</v>
      </c>
      <c r="AF1113">
        <v>6.7243935552689296</v>
      </c>
      <c r="AG1113">
        <v>-1.106679033364</v>
      </c>
      <c r="AH1113">
        <v>14.286210491044301</v>
      </c>
      <c r="AI1113">
        <v>94.009239208502606</v>
      </c>
      <c r="AJ1113">
        <v>64.794046704286998</v>
      </c>
      <c r="AK1113">
        <v>15.828392759956801</v>
      </c>
      <c r="AL1113">
        <v>80.299394079296306</v>
      </c>
      <c r="AM1113">
        <v>75.594102875268604</v>
      </c>
      <c r="AN1113">
        <v>0.999999978180384</v>
      </c>
    </row>
    <row r="1114" spans="1:40" x14ac:dyDescent="0.25">
      <c r="A1114" t="str">
        <f>"20190312172349790"</f>
        <v>20190312172349790</v>
      </c>
      <c r="B1114" t="str">
        <f>"1552382629781304"</f>
        <v>1552382629781304</v>
      </c>
      <c r="C1114" t="s">
        <v>40</v>
      </c>
      <c r="D1114">
        <v>4.1922169999999896</v>
      </c>
      <c r="E1114">
        <v>0.57125719999999902</v>
      </c>
      <c r="F1114" t="s">
        <v>45</v>
      </c>
      <c r="G1114">
        <v>-200.70670000000001</v>
      </c>
      <c r="H1114" s="1">
        <v>-2.9534579999999999E-6</v>
      </c>
      <c r="I1114">
        <v>359.87889999999999</v>
      </c>
      <c r="J1114">
        <v>-214.5496</v>
      </c>
      <c r="K1114">
        <v>1.106608</v>
      </c>
      <c r="L1114">
        <v>367.6105</v>
      </c>
      <c r="M1114">
        <v>0.99771540000000003</v>
      </c>
      <c r="N1114">
        <v>0</v>
      </c>
      <c r="O1114">
        <v>-6.5961809999999996E-2</v>
      </c>
      <c r="P1114">
        <v>0.93770799999999999</v>
      </c>
      <c r="Q1114">
        <v>0.1570269</v>
      </c>
      <c r="R1114">
        <v>-0.3099132</v>
      </c>
      <c r="S1114">
        <v>2.7421880000000001</v>
      </c>
      <c r="T1114">
        <v>-0.2149479</v>
      </c>
      <c r="U1114">
        <v>-1.505768</v>
      </c>
      <c r="V1114">
        <v>0.24897420000000001</v>
      </c>
      <c r="W1114">
        <v>0.1686347</v>
      </c>
      <c r="X1114">
        <v>0.95371600000000001</v>
      </c>
      <c r="Y1114">
        <v>0.42161670000000001</v>
      </c>
      <c r="Z1114">
        <v>-1.0615940000000001E-2</v>
      </c>
      <c r="AA1114">
        <v>0.90671199999999996</v>
      </c>
      <c r="AB1114">
        <v>32</v>
      </c>
      <c r="AC1114">
        <v>13.842899999999901</v>
      </c>
      <c r="AD1114">
        <v>-1.106610953458</v>
      </c>
      <c r="AE1114">
        <v>-7.73160000000001</v>
      </c>
      <c r="AF1114">
        <v>6.7685882927580998</v>
      </c>
      <c r="AG1114">
        <v>-1.106610953458</v>
      </c>
      <c r="AH1114">
        <v>14.2533622451115</v>
      </c>
      <c r="AI1114">
        <v>94.011730150930404</v>
      </c>
      <c r="AJ1114">
        <v>64.598050597263807</v>
      </c>
      <c r="AK1114">
        <v>15.8176076120741</v>
      </c>
      <c r="AL1114">
        <v>80.291552995543199</v>
      </c>
      <c r="AM1114">
        <v>75.369073645477798</v>
      </c>
      <c r="AN1114">
        <v>1.00000001148286</v>
      </c>
    </row>
    <row r="1115" spans="1:40" x14ac:dyDescent="0.25">
      <c r="A1115" t="str">
        <f>"20190312172349801"</f>
        <v>20190312172349801</v>
      </c>
      <c r="B1115" t="str">
        <f>"1552382629791064"</f>
        <v>1552382629791064</v>
      </c>
      <c r="C1115" t="s">
        <v>40</v>
      </c>
      <c r="D1115">
        <v>4.1884880000000004</v>
      </c>
      <c r="E1115">
        <v>0.57110280000000002</v>
      </c>
      <c r="F1115" t="s">
        <v>45</v>
      </c>
      <c r="G1115">
        <v>-200.69839999999999</v>
      </c>
      <c r="H1115" s="1">
        <v>-2.9509220000000002E-6</v>
      </c>
      <c r="I1115">
        <v>359.87150000000003</v>
      </c>
      <c r="J1115">
        <v>-214.36959999999999</v>
      </c>
      <c r="K1115">
        <v>1.106562</v>
      </c>
      <c r="L1115">
        <v>367.59629999999999</v>
      </c>
      <c r="M1115">
        <v>0.99754390000000004</v>
      </c>
      <c r="N1115">
        <v>0</v>
      </c>
      <c r="O1115">
        <v>-6.8507460000000006E-2</v>
      </c>
      <c r="P1115">
        <v>0.93626640000000005</v>
      </c>
      <c r="Q1115">
        <v>0.15736910000000001</v>
      </c>
      <c r="R1115">
        <v>-0.31407069999999998</v>
      </c>
      <c r="S1115">
        <v>2.7314449999999999</v>
      </c>
      <c r="T1115">
        <v>-0.2182229</v>
      </c>
      <c r="U1115">
        <v>-1.5261229999999999</v>
      </c>
      <c r="V1115">
        <v>0.2508029</v>
      </c>
      <c r="W1115">
        <v>0.16892470000000001</v>
      </c>
      <c r="X1115">
        <v>0.95318539999999996</v>
      </c>
      <c r="Y1115">
        <v>0.42593639999999999</v>
      </c>
      <c r="Z1115">
        <v>-1.07697E-2</v>
      </c>
      <c r="AA1115">
        <v>0.90468899999999997</v>
      </c>
      <c r="AB1115">
        <v>32</v>
      </c>
      <c r="AC1115">
        <v>13.671200000000001</v>
      </c>
      <c r="AD1115">
        <v>-1.1065649509219999</v>
      </c>
      <c r="AE1115">
        <v>-7.7247999999999504</v>
      </c>
      <c r="AF1115">
        <v>6.7365151303566702</v>
      </c>
      <c r="AG1115">
        <v>-1.1065649509219999</v>
      </c>
      <c r="AH1115">
        <v>14.098324677806</v>
      </c>
      <c r="AI1115">
        <v>94.050909747133204</v>
      </c>
      <c r="AJ1115">
        <v>64.460418631158902</v>
      </c>
      <c r="AK1115">
        <v>15.6642229559263</v>
      </c>
      <c r="AL1115">
        <v>80.274695537522007</v>
      </c>
      <c r="AM1115">
        <v>75.258425180802305</v>
      </c>
      <c r="AN1115">
        <v>1.0000000278458201</v>
      </c>
    </row>
    <row r="1116" spans="1:40" x14ac:dyDescent="0.25">
      <c r="A1116" t="str">
        <f>"20190312172349814"</f>
        <v>20190312172349814</v>
      </c>
      <c r="B1116" t="str">
        <f>"1552382629810584"</f>
        <v>1552382629810584</v>
      </c>
      <c r="C1116" t="s">
        <v>40</v>
      </c>
      <c r="D1116">
        <v>4.1963920000000003</v>
      </c>
      <c r="E1116">
        <v>0.57098409999999999</v>
      </c>
      <c r="F1116" t="s">
        <v>45</v>
      </c>
      <c r="G1116">
        <v>-200.52789999999999</v>
      </c>
      <c r="H1116" s="1">
        <v>-2.8837500000000001E-6</v>
      </c>
      <c r="I1116">
        <v>359.78750000000002</v>
      </c>
      <c r="J1116">
        <v>-214.18369999999999</v>
      </c>
      <c r="K1116">
        <v>1.1065160000000001</v>
      </c>
      <c r="L1116">
        <v>367.58089999999999</v>
      </c>
      <c r="M1116">
        <v>0.99735649999999998</v>
      </c>
      <c r="N1116">
        <v>0</v>
      </c>
      <c r="O1116">
        <v>-7.1182560000000006E-2</v>
      </c>
      <c r="P1116">
        <v>0.93476219999999999</v>
      </c>
      <c r="Q1116">
        <v>0.15767639999999999</v>
      </c>
      <c r="R1116">
        <v>-0.31836829999999999</v>
      </c>
      <c r="S1116">
        <v>2.7251129999999999</v>
      </c>
      <c r="T1116">
        <v>-0.21785740000000001</v>
      </c>
      <c r="U1116">
        <v>-1.5373840000000001</v>
      </c>
      <c r="V1116">
        <v>0.25265490000000002</v>
      </c>
      <c r="W1116">
        <v>0.16918039999999901</v>
      </c>
      <c r="X1116">
        <v>0.95265080000000002</v>
      </c>
      <c r="Y1116">
        <v>0.42725109999999999</v>
      </c>
      <c r="Z1116">
        <v>-1.0615690000000001E-2</v>
      </c>
      <c r="AA1116">
        <v>0.9040707</v>
      </c>
      <c r="AB1116">
        <v>32</v>
      </c>
      <c r="AC1116">
        <v>13.655799999999999</v>
      </c>
      <c r="AD1116">
        <v>-1.10651888375</v>
      </c>
      <c r="AE1116">
        <v>-7.7933999999999601</v>
      </c>
      <c r="AF1116">
        <v>6.7679486449018897</v>
      </c>
      <c r="AG1116">
        <v>-1.10651888375</v>
      </c>
      <c r="AH1116">
        <v>14.106102676001401</v>
      </c>
      <c r="AI1116">
        <v>94.045428512994704</v>
      </c>
      <c r="AJ1116">
        <v>64.368834615982095</v>
      </c>
      <c r="AK1116">
        <v>15.6847583853248</v>
      </c>
      <c r="AL1116">
        <v>80.259831049937205</v>
      </c>
      <c r="AM1116">
        <v>75.146397114908694</v>
      </c>
      <c r="AN1116">
        <v>1.0000000264894</v>
      </c>
    </row>
    <row r="1117" spans="1:40" x14ac:dyDescent="0.25">
      <c r="A1117" t="str">
        <f>"20190312172349827"</f>
        <v>20190312172349827</v>
      </c>
      <c r="B1117" t="str">
        <f>"1552382629821321"</f>
        <v>1552382629821321</v>
      </c>
      <c r="C1117" t="s">
        <v>40</v>
      </c>
      <c r="D1117">
        <v>4.2004720000000004</v>
      </c>
      <c r="E1117">
        <v>0.57089009999999996</v>
      </c>
      <c r="F1117" t="s">
        <v>45</v>
      </c>
      <c r="G1117">
        <v>-200.3596</v>
      </c>
      <c r="H1117" s="1">
        <v>-2.8176989999999999E-6</v>
      </c>
      <c r="I1117">
        <v>359.70359999999999</v>
      </c>
      <c r="J1117">
        <v>-214.00749999999999</v>
      </c>
      <c r="K1117">
        <v>1.1064719999999999</v>
      </c>
      <c r="L1117">
        <v>367.5659</v>
      </c>
      <c r="M1117">
        <v>0.99717060000000002</v>
      </c>
      <c r="N1117">
        <v>0</v>
      </c>
      <c r="O1117">
        <v>-7.373905E-2</v>
      </c>
      <c r="P1117">
        <v>0.93312150000000005</v>
      </c>
      <c r="Q1117">
        <v>0.15814510000000001</v>
      </c>
      <c r="R1117">
        <v>-0.32291570000000003</v>
      </c>
      <c r="S1117">
        <v>2.7185060000000001</v>
      </c>
      <c r="T1117">
        <v>-0.2175967</v>
      </c>
      <c r="U1117">
        <v>-1.549072</v>
      </c>
      <c r="V1117">
        <v>0.2548841</v>
      </c>
      <c r="W1117">
        <v>0.16959350000000001</v>
      </c>
      <c r="X1117">
        <v>0.95198329999999998</v>
      </c>
      <c r="Y1117">
        <v>0.42881659999999999</v>
      </c>
      <c r="Z1117">
        <v>-1.048547E-2</v>
      </c>
      <c r="AA1117">
        <v>0.90333070000000004</v>
      </c>
      <c r="AB1117">
        <v>32</v>
      </c>
      <c r="AC1117">
        <v>13.6478999999999</v>
      </c>
      <c r="AD1117">
        <v>-1.10647481769899</v>
      </c>
      <c r="AE1117">
        <v>-7.8623000000000003</v>
      </c>
      <c r="AF1117">
        <v>6.8008379859563597</v>
      </c>
      <c r="AG1117">
        <v>-1.10647481769899</v>
      </c>
      <c r="AH1117">
        <v>14.1208701033376</v>
      </c>
      <c r="AI1117">
        <v>94.038178588003504</v>
      </c>
      <c r="AJ1117">
        <v>64.283786368539396</v>
      </c>
      <c r="AK1117">
        <v>15.7122454254242</v>
      </c>
      <c r="AL1117">
        <v>80.235815174888103</v>
      </c>
      <c r="AM1117">
        <v>75.011178403839807</v>
      </c>
      <c r="AN1117">
        <v>1.0000000315769699</v>
      </c>
    </row>
    <row r="1118" spans="1:40" x14ac:dyDescent="0.25">
      <c r="A1118" t="str">
        <f>"20190312172349838"</f>
        <v>20190312172349838</v>
      </c>
      <c r="B1118" t="str">
        <f>"1552382629830661"</f>
        <v>1552382629830661</v>
      </c>
      <c r="C1118" t="s">
        <v>40</v>
      </c>
      <c r="D1118">
        <v>4.1767500000000002</v>
      </c>
      <c r="E1118">
        <v>0.57071819999999995</v>
      </c>
      <c r="F1118" t="s">
        <v>45</v>
      </c>
      <c r="G1118">
        <v>-200.15979999999999</v>
      </c>
      <c r="H1118" s="1">
        <v>-6.7820560000000003E-6</v>
      </c>
      <c r="I1118">
        <v>359.59039999999999</v>
      </c>
      <c r="J1118">
        <v>-213.83459999999999</v>
      </c>
      <c r="K1118">
        <v>1.106433</v>
      </c>
      <c r="L1118">
        <v>367.55079999999998</v>
      </c>
      <c r="M1118">
        <v>0.99698050000000005</v>
      </c>
      <c r="N1118">
        <v>0</v>
      </c>
      <c r="O1118">
        <v>-7.6268290000000002E-2</v>
      </c>
      <c r="P1118">
        <v>0.93167</v>
      </c>
      <c r="Q1118">
        <v>0.15842909999999999</v>
      </c>
      <c r="R1118">
        <v>-0.32694299999999998</v>
      </c>
      <c r="S1118">
        <v>2.711319</v>
      </c>
      <c r="T1118">
        <v>-0.21664430000000001</v>
      </c>
      <c r="U1118">
        <v>-1.5615840000000001</v>
      </c>
      <c r="V1118">
        <v>0.25660769999999999</v>
      </c>
      <c r="W1118">
        <v>0.16983029999999999</v>
      </c>
      <c r="X1118">
        <v>0.95147789999999999</v>
      </c>
      <c r="Y1118">
        <v>0.43069869999999999</v>
      </c>
      <c r="Z1118">
        <v>-1.033735E-2</v>
      </c>
      <c r="AA1118">
        <v>0.90243660000000003</v>
      </c>
      <c r="AB1118">
        <v>32</v>
      </c>
      <c r="AC1118">
        <v>13.674799999999999</v>
      </c>
      <c r="AD1118">
        <v>-1.1064397820559999</v>
      </c>
      <c r="AE1118">
        <v>-7.9603999999999902</v>
      </c>
      <c r="AF1118">
        <v>6.8605985014427704</v>
      </c>
      <c r="AG1118">
        <v>-1.1064397820559999</v>
      </c>
      <c r="AH1118">
        <v>14.1728520370346</v>
      </c>
      <c r="AI1118">
        <v>94.019444194680801</v>
      </c>
      <c r="AJ1118">
        <v>64.169945282372097</v>
      </c>
      <c r="AK1118">
        <v>15.7848584299319</v>
      </c>
      <c r="AL1118">
        <v>80.222047690942205</v>
      </c>
      <c r="AM1118">
        <v>74.906777515417403</v>
      </c>
      <c r="AN1118">
        <v>1.0000000183428901</v>
      </c>
    </row>
    <row r="1119" spans="1:40" x14ac:dyDescent="0.25">
      <c r="A1119" t="str">
        <f>"20190312172349850"</f>
        <v>20190312172349850</v>
      </c>
      <c r="B1119" t="str">
        <f>"1552382629841398"</f>
        <v>1552382629841398</v>
      </c>
      <c r="C1119" t="s">
        <v>40</v>
      </c>
      <c r="D1119">
        <v>4.1686310000000004</v>
      </c>
      <c r="E1119">
        <v>0.57057369999999996</v>
      </c>
      <c r="F1119" t="s">
        <v>45</v>
      </c>
      <c r="G1119">
        <v>-199.93510000000001</v>
      </c>
      <c r="H1119" s="1">
        <v>-6.7950869999999998E-6</v>
      </c>
      <c r="I1119">
        <v>359.4692</v>
      </c>
      <c r="J1119">
        <v>-213.67070000000001</v>
      </c>
      <c r="K1119">
        <v>1.106401</v>
      </c>
      <c r="L1119">
        <v>367.53590000000003</v>
      </c>
      <c r="M1119">
        <v>0.99679209999999996</v>
      </c>
      <c r="N1119">
        <v>0</v>
      </c>
      <c r="O1119">
        <v>-7.8690380000000004E-2</v>
      </c>
      <c r="P1119">
        <v>0.93021560000000003</v>
      </c>
      <c r="Q1119">
        <v>0.1583463</v>
      </c>
      <c r="R1119">
        <v>-0.33109759999999999</v>
      </c>
      <c r="S1119">
        <v>2.7047880000000002</v>
      </c>
      <c r="T1119">
        <v>-0.21530949999999999</v>
      </c>
      <c r="U1119">
        <v>-1.572662</v>
      </c>
      <c r="V1119">
        <v>0.25855840000000002</v>
      </c>
      <c r="W1119">
        <v>0.16970199999999999</v>
      </c>
      <c r="X1119">
        <v>0.95097259999999995</v>
      </c>
      <c r="Y1119">
        <v>0.43222650000000001</v>
      </c>
      <c r="Z1119">
        <v>-1.016569E-2</v>
      </c>
      <c r="AA1119">
        <v>0.90170779999999995</v>
      </c>
      <c r="AB1119">
        <v>32</v>
      </c>
      <c r="AC1119">
        <v>13.7356</v>
      </c>
      <c r="AD1119">
        <v>-1.1064077950869999</v>
      </c>
      <c r="AE1119">
        <v>-8.0667000000000204</v>
      </c>
      <c r="AF1119">
        <v>6.9272856891219901</v>
      </c>
      <c r="AG1119">
        <v>-1.1064077950869999</v>
      </c>
      <c r="AH1119">
        <v>14.259046138098</v>
      </c>
      <c r="AI1119">
        <v>93.992374743338701</v>
      </c>
      <c r="AJ1119">
        <v>64.088734793456695</v>
      </c>
      <c r="AK1119">
        <v>15.891249856325</v>
      </c>
      <c r="AL1119">
        <v>80.2295073331845</v>
      </c>
      <c r="AM1119">
        <v>74.789628231341595</v>
      </c>
      <c r="AN1119">
        <v>1.0000000504826501</v>
      </c>
    </row>
    <row r="1120" spans="1:40" x14ac:dyDescent="0.25">
      <c r="A1120" t="str">
        <f>"20190312172349862"</f>
        <v>20190312172349862</v>
      </c>
      <c r="B1120" t="str">
        <f>"1552382629851156"</f>
        <v>1552382629851156</v>
      </c>
      <c r="C1120" t="s">
        <v>40</v>
      </c>
      <c r="D1120">
        <v>4.1860520000000001</v>
      </c>
      <c r="E1120">
        <v>0.57049099999999997</v>
      </c>
      <c r="F1120" t="s">
        <v>45</v>
      </c>
      <c r="G1120">
        <v>-199.83860000000001</v>
      </c>
      <c r="H1120" s="1">
        <v>-6.7613260000000003E-6</v>
      </c>
      <c r="I1120">
        <v>359.41329999999999</v>
      </c>
      <c r="J1120">
        <v>-213.49270000000001</v>
      </c>
      <c r="K1120">
        <v>1.1063639999999999</v>
      </c>
      <c r="L1120">
        <v>367.51940000000002</v>
      </c>
      <c r="M1120">
        <v>0.99658009999999997</v>
      </c>
      <c r="N1120">
        <v>0</v>
      </c>
      <c r="O1120">
        <v>-8.1331130000000001E-2</v>
      </c>
      <c r="P1120">
        <v>0.92851309999999998</v>
      </c>
      <c r="Q1120">
        <v>0.15862709999999999</v>
      </c>
      <c r="R1120">
        <v>-0.33570919999999999</v>
      </c>
      <c r="S1120">
        <v>2.6979060000000001</v>
      </c>
      <c r="T1120">
        <v>-0.21580179999999999</v>
      </c>
      <c r="U1120">
        <v>-1.58429</v>
      </c>
      <c r="V1120">
        <v>0.26078319999999999</v>
      </c>
      <c r="W1120">
        <v>0.16993139999999901</v>
      </c>
      <c r="X1120">
        <v>0.9503239</v>
      </c>
      <c r="Y1120">
        <v>0.43372929999999998</v>
      </c>
      <c r="Z1120">
        <v>-1.006405E-2</v>
      </c>
      <c r="AA1120">
        <v>0.90098699999999998</v>
      </c>
      <c r="AB1120">
        <v>32</v>
      </c>
      <c r="AC1120">
        <v>13.6541</v>
      </c>
      <c r="AD1120">
        <v>-1.1063707613260001</v>
      </c>
      <c r="AE1120">
        <v>-8.1061000000000192</v>
      </c>
      <c r="AF1120">
        <v>6.9349515353311197</v>
      </c>
      <c r="AG1120">
        <v>-1.1063707613260001</v>
      </c>
      <c r="AH1120">
        <v>14.1992729016699</v>
      </c>
      <c r="AI1120">
        <v>94.004928035436293</v>
      </c>
      <c r="AJ1120">
        <v>63.969029965549197</v>
      </c>
      <c r="AK1120">
        <v>15.840989867903</v>
      </c>
      <c r="AL1120">
        <v>80.216169827581496</v>
      </c>
      <c r="AM1120">
        <v>74.654911100488704</v>
      </c>
      <c r="AN1120">
        <v>1.0000000365096999</v>
      </c>
    </row>
    <row r="1121" spans="1:40" x14ac:dyDescent="0.25">
      <c r="A1121" t="str">
        <f>"20190312172349874"</f>
        <v>20190312172349874</v>
      </c>
      <c r="B1121" t="str">
        <f>"1552382629870675"</f>
        <v>1552382629870675</v>
      </c>
      <c r="C1121" t="s">
        <v>40</v>
      </c>
      <c r="D1121">
        <v>4.2373940000000001</v>
      </c>
      <c r="E1121">
        <v>0.57033339999999999</v>
      </c>
      <c r="F1121" t="s">
        <v>45</v>
      </c>
      <c r="G1121">
        <v>-199.67789999999999</v>
      </c>
      <c r="H1121" s="1">
        <v>-6.7032499999999997E-6</v>
      </c>
      <c r="I1121">
        <v>359.31479999999999</v>
      </c>
      <c r="J1121">
        <v>-213.32480000000001</v>
      </c>
      <c r="K1121">
        <v>1.1063379999999901</v>
      </c>
      <c r="L1121">
        <v>367.50319999999999</v>
      </c>
      <c r="M1121">
        <v>0.99637169999999997</v>
      </c>
      <c r="N1121">
        <v>0</v>
      </c>
      <c r="O1121">
        <v>-8.38449E-2</v>
      </c>
      <c r="P1121">
        <v>0.9269136</v>
      </c>
      <c r="Q1121">
        <v>0.15903399999999901</v>
      </c>
      <c r="R1121">
        <v>-0.33991130000000003</v>
      </c>
      <c r="S1121">
        <v>2.6901250000000001</v>
      </c>
      <c r="T1121">
        <v>-0.2154411</v>
      </c>
      <c r="U1121">
        <v>-1.597656</v>
      </c>
      <c r="V1121">
        <v>0.26271450000000002</v>
      </c>
      <c r="W1121">
        <v>0.170295</v>
      </c>
      <c r="X1121">
        <v>0.94972659999999998</v>
      </c>
      <c r="Y1121">
        <v>0.43591229999999997</v>
      </c>
      <c r="Z1121">
        <v>-9.9581889999999992E-3</v>
      </c>
      <c r="AA1121">
        <v>0.89993409999999996</v>
      </c>
      <c r="AB1121">
        <v>32</v>
      </c>
      <c r="AC1121">
        <v>13.6469</v>
      </c>
      <c r="AD1121">
        <v>-1.10634470324999</v>
      </c>
      <c r="AE1121">
        <v>-8.1883999999999997</v>
      </c>
      <c r="AF1121">
        <v>6.9814782728684701</v>
      </c>
      <c r="AG1121">
        <v>-1.10634470324999</v>
      </c>
      <c r="AH1121">
        <v>14.216763666606999</v>
      </c>
      <c r="AI1121">
        <v>93.995717463791706</v>
      </c>
      <c r="AJ1121">
        <v>63.845560868017301</v>
      </c>
      <c r="AK1121">
        <v>15.877071727151099</v>
      </c>
      <c r="AL1121">
        <v>80.195028138747702</v>
      </c>
      <c r="AM1121">
        <v>74.537428096927798</v>
      </c>
      <c r="AN1121">
        <v>0.99999995514140305</v>
      </c>
    </row>
    <row r="1122" spans="1:40" x14ac:dyDescent="0.25">
      <c r="A1122" t="str">
        <f>"20190312172349885"</f>
        <v>20190312172349885</v>
      </c>
      <c r="B1122" t="str">
        <f>"1552382629880436"</f>
        <v>1552382629880436</v>
      </c>
      <c r="C1122" t="s">
        <v>40</v>
      </c>
      <c r="D1122">
        <v>4.1921379999999999</v>
      </c>
      <c r="E1122">
        <v>0.57015009999999999</v>
      </c>
      <c r="F1122" t="s">
        <v>45</v>
      </c>
      <c r="G1122">
        <v>-199.49029999999999</v>
      </c>
      <c r="H1122" s="1">
        <v>-6.6380160000000002E-6</v>
      </c>
      <c r="I1122">
        <v>359.20749999999998</v>
      </c>
      <c r="J1122">
        <v>-213.172</v>
      </c>
      <c r="K1122">
        <v>1.1063149999999999</v>
      </c>
      <c r="L1122">
        <v>367.48829999999998</v>
      </c>
      <c r="M1122">
        <v>0.99617619999999896</v>
      </c>
      <c r="N1122">
        <v>0</v>
      </c>
      <c r="O1122">
        <v>-8.6136089999999998E-2</v>
      </c>
      <c r="P1122">
        <v>0.92543039999999999</v>
      </c>
      <c r="Q1122">
        <v>0.158827</v>
      </c>
      <c r="R1122">
        <v>-0.34402460000000001</v>
      </c>
      <c r="S1122">
        <v>2.683319</v>
      </c>
      <c r="T1122">
        <v>-0.2145861</v>
      </c>
      <c r="U1122">
        <v>-1.6090390000000001</v>
      </c>
      <c r="V1122">
        <v>0.2647564</v>
      </c>
      <c r="W1122">
        <v>0.170047</v>
      </c>
      <c r="X1122">
        <v>0.94920400000000005</v>
      </c>
      <c r="Y1122">
        <v>0.43766389999999999</v>
      </c>
      <c r="Z1122">
        <v>-9.8286869999999991E-3</v>
      </c>
      <c r="AA1122">
        <v>0.89908489999999996</v>
      </c>
      <c r="AB1122">
        <v>32</v>
      </c>
      <c r="AC1122">
        <v>13.681699999999999</v>
      </c>
      <c r="AD1122">
        <v>-1.1063216380159999</v>
      </c>
      <c r="AE1122">
        <v>-8.2807999999999993</v>
      </c>
      <c r="AF1122">
        <v>7.03772365790695</v>
      </c>
      <c r="AG1122">
        <v>-1.1063216380159999</v>
      </c>
      <c r="AH1122">
        <v>14.2758738555439</v>
      </c>
      <c r="AI1122">
        <v>93.976149046799605</v>
      </c>
      <c r="AJ1122">
        <v>63.757613728806803</v>
      </c>
      <c r="AK1122">
        <v>15.9547508971844</v>
      </c>
      <c r="AL1122">
        <v>80.209449080092597</v>
      </c>
      <c r="AM1122">
        <v>74.414902847180898</v>
      </c>
      <c r="AN1122">
        <v>1.0000000835829701</v>
      </c>
    </row>
    <row r="1123" spans="1:40" x14ac:dyDescent="0.25">
      <c r="A1123" t="str">
        <f>"20190312172349900"</f>
        <v>20190312172349900</v>
      </c>
      <c r="B1123" t="str">
        <f>"1552382629891172"</f>
        <v>1552382629891172</v>
      </c>
      <c r="C1123" t="s">
        <v>40</v>
      </c>
      <c r="D1123">
        <v>4.1510740000000004</v>
      </c>
      <c r="E1123">
        <v>0.56994609999999901</v>
      </c>
      <c r="F1123" t="s">
        <v>45</v>
      </c>
      <c r="G1123">
        <v>-199.44319999999999</v>
      </c>
      <c r="H1123" s="1">
        <v>-6.6199339999999996E-6</v>
      </c>
      <c r="I1123">
        <v>359.17540000000002</v>
      </c>
      <c r="J1123">
        <v>-212.9384</v>
      </c>
      <c r="K1123">
        <v>1.106282</v>
      </c>
      <c r="L1123">
        <v>367.46469999999999</v>
      </c>
      <c r="M1123">
        <v>0.99586529999999995</v>
      </c>
      <c r="N1123">
        <v>0</v>
      </c>
      <c r="O1123">
        <v>-8.9658450000000001E-2</v>
      </c>
      <c r="P1123">
        <v>0.92281690000000005</v>
      </c>
      <c r="Q1123">
        <v>0.15846060000000001</v>
      </c>
      <c r="R1123">
        <v>-0.35114010000000001</v>
      </c>
      <c r="S1123">
        <v>2.6763150000000002</v>
      </c>
      <c r="T1123">
        <v>-0.215668</v>
      </c>
      <c r="U1123">
        <v>-1.620514</v>
      </c>
      <c r="V1123">
        <v>0.26871689999999998</v>
      </c>
      <c r="W1123">
        <v>0.16960989999999901</v>
      </c>
      <c r="X1123">
        <v>0.94816860000000003</v>
      </c>
      <c r="Y1123">
        <v>0.43834580000000001</v>
      </c>
      <c r="Z1123">
        <v>-9.6582490000000007E-3</v>
      </c>
      <c r="AA1123">
        <v>0.89875450000000001</v>
      </c>
      <c r="AB1123">
        <v>32</v>
      </c>
      <c r="AC1123">
        <v>13.495200000000001</v>
      </c>
      <c r="AD1123">
        <v>-1.1062886199339901</v>
      </c>
      <c r="AE1123">
        <v>-8.2892999999999599</v>
      </c>
      <c r="AF1123">
        <v>7.0116089483018902</v>
      </c>
      <c r="AG1123">
        <v>-1.1062886199339901</v>
      </c>
      <c r="AH1123">
        <v>14.1152508785449</v>
      </c>
      <c r="AI1123">
        <v>94.015142409730004</v>
      </c>
      <c r="AJ1123">
        <v>63.584573500581897</v>
      </c>
      <c r="AK1123">
        <v>15.7995835995372</v>
      </c>
      <c r="AL1123">
        <v>80.234861323457295</v>
      </c>
      <c r="AM1123">
        <v>74.176939179821204</v>
      </c>
      <c r="AN1123">
        <v>0.99999999227478997</v>
      </c>
    </row>
    <row r="1124" spans="1:40" x14ac:dyDescent="0.25">
      <c r="A1124" t="str">
        <f>"20190312172349917"</f>
        <v>20190312172349917</v>
      </c>
      <c r="B1124" t="str">
        <f>"1552382629910691"</f>
        <v>1552382629910691</v>
      </c>
      <c r="C1124" t="s">
        <v>40</v>
      </c>
      <c r="D1124">
        <v>4.1639920000000004</v>
      </c>
      <c r="E1124">
        <v>0.56952879999999995</v>
      </c>
      <c r="F1124" t="s">
        <v>45</v>
      </c>
      <c r="G1124">
        <v>-199.35560000000001</v>
      </c>
      <c r="H1124" s="1">
        <v>-6.581339E-6</v>
      </c>
      <c r="I1124">
        <v>359.101</v>
      </c>
      <c r="J1124">
        <v>-212.71619999999999</v>
      </c>
      <c r="K1124">
        <v>1.1062620000000001</v>
      </c>
      <c r="L1124">
        <v>367.44130000000001</v>
      </c>
      <c r="M1124">
        <v>0.99555649999999996</v>
      </c>
      <c r="N1124">
        <v>0</v>
      </c>
      <c r="O1124">
        <v>-9.3025079999999996E-2</v>
      </c>
      <c r="P1124">
        <v>0.92105049999999999</v>
      </c>
      <c r="Q1124">
        <v>0.1578157</v>
      </c>
      <c r="R1124">
        <v>-0.35603370000000001</v>
      </c>
      <c r="S1124">
        <v>2.6640169999999999</v>
      </c>
      <c r="T1124">
        <v>-0.2169778</v>
      </c>
      <c r="U1124">
        <v>-1.6403810000000001</v>
      </c>
      <c r="V1124">
        <v>0.2705381</v>
      </c>
      <c r="W1124">
        <v>0.16893079999999999</v>
      </c>
      <c r="X1124">
        <v>0.94777180000000005</v>
      </c>
      <c r="Y1124">
        <v>0.44200390000000001</v>
      </c>
      <c r="Z1124">
        <v>-9.6271069999999993E-3</v>
      </c>
      <c r="AA1124">
        <v>0.89696149999999997</v>
      </c>
      <c r="AB1124">
        <v>32</v>
      </c>
      <c r="AC1124">
        <v>13.3605999999999</v>
      </c>
      <c r="AD1124">
        <v>-1.1062685813390001</v>
      </c>
      <c r="AE1124">
        <v>-8.3403000000000098</v>
      </c>
      <c r="AF1124">
        <v>7.02645822405107</v>
      </c>
      <c r="AG1124">
        <v>-1.1062685813390001</v>
      </c>
      <c r="AH1124">
        <v>14.0094773542759</v>
      </c>
      <c r="AI1124">
        <v>94.037541425975107</v>
      </c>
      <c r="AJ1124">
        <v>63.363930242764901</v>
      </c>
      <c r="AK1124">
        <v>15.7117917847826</v>
      </c>
      <c r="AL1124">
        <v>80.274339994005601</v>
      </c>
      <c r="AM1124">
        <v>74.068792541601098</v>
      </c>
      <c r="AN1124">
        <v>0.99999993180774205</v>
      </c>
    </row>
    <row r="1125" spans="1:40" x14ac:dyDescent="0.25">
      <c r="A1125" t="str">
        <f>"20190312172349935"</f>
        <v>20190312172349935</v>
      </c>
      <c r="B1125" t="str">
        <f>"1552382629930810"</f>
        <v>1552382629930810</v>
      </c>
      <c r="C1125" t="s">
        <v>40</v>
      </c>
      <c r="D1125">
        <v>4.1485839999999996</v>
      </c>
      <c r="E1125">
        <v>0.56932369999999899</v>
      </c>
      <c r="F1125" t="s">
        <v>45</v>
      </c>
      <c r="G1125">
        <v>-199.3509</v>
      </c>
      <c r="H1125" s="1">
        <v>-6.59118E-6</v>
      </c>
      <c r="I1125">
        <v>359.13260000000002</v>
      </c>
      <c r="J1125">
        <v>-212.44329999999999</v>
      </c>
      <c r="K1125">
        <v>1.1062379999999901</v>
      </c>
      <c r="L1125">
        <v>367.41160000000002</v>
      </c>
      <c r="M1125">
        <v>0.99516079999999996</v>
      </c>
      <c r="N1125">
        <v>0</v>
      </c>
      <c r="O1125">
        <v>-9.7167890000000007E-2</v>
      </c>
      <c r="P1125">
        <v>0.91823140000000003</v>
      </c>
      <c r="Q1125">
        <v>0.15735639999999901</v>
      </c>
      <c r="R1125">
        <v>-0.36344179999999998</v>
      </c>
      <c r="S1125">
        <v>2.656479</v>
      </c>
      <c r="T1125">
        <v>-0.21988189999999999</v>
      </c>
      <c r="U1125">
        <v>-1.6514279999999999</v>
      </c>
      <c r="V1125">
        <v>0.27422879999999999</v>
      </c>
      <c r="W1125">
        <v>0.16841049999999999</v>
      </c>
      <c r="X1125">
        <v>0.94680330000000001</v>
      </c>
      <c r="Y1125">
        <v>0.44208930000000002</v>
      </c>
      <c r="Z1125">
        <v>-9.4636100000000008E-3</v>
      </c>
      <c r="AA1125">
        <v>0.89692119999999997</v>
      </c>
      <c r="AB1125">
        <v>32</v>
      </c>
      <c r="AC1125">
        <v>13.0923999999999</v>
      </c>
      <c r="AD1125">
        <v>-1.1062445911799901</v>
      </c>
      <c r="AE1125">
        <v>-8.2789999999999893</v>
      </c>
      <c r="AF1125">
        <v>6.9321642404474604</v>
      </c>
      <c r="AG1125">
        <v>-1.1062445911799901</v>
      </c>
      <c r="AH1125">
        <v>13.764771013624101</v>
      </c>
      <c r="AI1125">
        <v>94.105594043653596</v>
      </c>
      <c r="AJ1125">
        <v>63.269425770162798</v>
      </c>
      <c r="AK1125">
        <v>15.4514594524128</v>
      </c>
      <c r="AL1125">
        <v>80.304585083261301</v>
      </c>
      <c r="AM1125">
        <v>73.847053858767396</v>
      </c>
      <c r="AN1125">
        <v>1.0000000100752899</v>
      </c>
    </row>
    <row r="1126" spans="1:40" x14ac:dyDescent="0.25">
      <c r="A1126" t="str">
        <f>"20190312172349951"</f>
        <v>20190312172349951</v>
      </c>
      <c r="B1126" t="str">
        <f>"1552382629940571"</f>
        <v>1552382629940571</v>
      </c>
      <c r="C1126" t="s">
        <v>40</v>
      </c>
      <c r="D1126">
        <v>4.1586449999999999</v>
      </c>
      <c r="E1126">
        <v>0.56907790000000003</v>
      </c>
      <c r="F1126" t="s">
        <v>45</v>
      </c>
      <c r="G1126">
        <v>-199.26249999999999</v>
      </c>
      <c r="H1126" s="1">
        <v>-6.5582489999999899E-6</v>
      </c>
      <c r="I1126">
        <v>359.07549999999998</v>
      </c>
      <c r="J1126">
        <v>-212.23310000000001</v>
      </c>
      <c r="K1126">
        <v>1.1062259999999999</v>
      </c>
      <c r="L1126">
        <v>367.3879</v>
      </c>
      <c r="M1126">
        <v>0.99484340000000004</v>
      </c>
      <c r="N1126">
        <v>0</v>
      </c>
      <c r="O1126">
        <v>-0.10036399999999999</v>
      </c>
      <c r="P1126">
        <v>0.91617910000000002</v>
      </c>
      <c r="Q1126">
        <v>0.1575307</v>
      </c>
      <c r="R1126">
        <v>-0.3685097</v>
      </c>
      <c r="S1126">
        <v>2.6434329999999999</v>
      </c>
      <c r="T1126">
        <v>-0.22185920000000001</v>
      </c>
      <c r="U1126">
        <v>-1.6718139999999999</v>
      </c>
      <c r="V1126">
        <v>0.27643099999999998</v>
      </c>
      <c r="W1126">
        <v>0.1685478</v>
      </c>
      <c r="X1126">
        <v>0.94613820000000004</v>
      </c>
      <c r="Y1126">
        <v>0.4461253</v>
      </c>
      <c r="Z1126">
        <v>-9.4850019999999993E-3</v>
      </c>
      <c r="AA1126">
        <v>0.8949203</v>
      </c>
      <c r="AB1126">
        <v>32</v>
      </c>
      <c r="AC1126">
        <v>12.970599999999999</v>
      </c>
      <c r="AD1126">
        <v>-1.106232558249</v>
      </c>
      <c r="AE1126">
        <v>-8.3124000000000198</v>
      </c>
      <c r="AF1126">
        <v>6.9327523734383396</v>
      </c>
      <c r="AG1126">
        <v>-1.106232558249</v>
      </c>
      <c r="AH1126">
        <v>13.6689685916526</v>
      </c>
      <c r="AI1126">
        <v>94.128303515035498</v>
      </c>
      <c r="AJ1126">
        <v>63.106371577572297</v>
      </c>
      <c r="AK1126">
        <v>15.366440977140099</v>
      </c>
      <c r="AL1126">
        <v>80.296603955959696</v>
      </c>
      <c r="AM1126">
        <v>73.713343612062701</v>
      </c>
      <c r="AN1126">
        <v>0.99999997607253899</v>
      </c>
    </row>
    <row r="1127" spans="1:40" x14ac:dyDescent="0.25">
      <c r="A1127" t="str">
        <f>"20190312172349968"</f>
        <v>20190312172349968</v>
      </c>
      <c r="B1127" t="str">
        <f>"1552382629961066"</f>
        <v>1552382629961066</v>
      </c>
      <c r="C1127" t="s">
        <v>40</v>
      </c>
      <c r="D1127">
        <v>4.1559089999999896</v>
      </c>
      <c r="E1127">
        <v>0.56860379999999999</v>
      </c>
      <c r="F1127" t="s">
        <v>45</v>
      </c>
      <c r="G1127">
        <v>-199.1028</v>
      </c>
      <c r="H1127" s="1">
        <v>-6.50608899999999E-6</v>
      </c>
      <c r="I1127">
        <v>358.99419999999998</v>
      </c>
      <c r="J1127">
        <v>-211.97399999999999</v>
      </c>
      <c r="K1127">
        <v>1.1062179999999999</v>
      </c>
      <c r="L1127">
        <v>367.3578</v>
      </c>
      <c r="M1127">
        <v>0.99443760000000003</v>
      </c>
      <c r="N1127">
        <v>0</v>
      </c>
      <c r="O1127">
        <v>-0.10430830000000001</v>
      </c>
      <c r="P1127">
        <v>0.9129043</v>
      </c>
      <c r="Q1127">
        <v>0.15808559999999999</v>
      </c>
      <c r="R1127">
        <v>-0.37631740000000002</v>
      </c>
      <c r="S1127">
        <v>2.6350859999999998</v>
      </c>
      <c r="T1127">
        <v>-0.22200700000000001</v>
      </c>
      <c r="U1127">
        <v>-1.684509</v>
      </c>
      <c r="V1127">
        <v>0.28078180000000003</v>
      </c>
      <c r="W1127">
        <v>0.16903379999999901</v>
      </c>
      <c r="X1127">
        <v>0.94476939999999998</v>
      </c>
      <c r="Y1127">
        <v>0.44692979999999999</v>
      </c>
      <c r="Z1127">
        <v>-9.2389640000000006E-3</v>
      </c>
      <c r="AA1127">
        <v>0.89452140000000002</v>
      </c>
      <c r="AB1127">
        <v>32</v>
      </c>
      <c r="AC1127">
        <v>12.8712</v>
      </c>
      <c r="AD1127">
        <v>-1.1062245060889999</v>
      </c>
      <c r="AE1127">
        <v>-8.3636000000000195</v>
      </c>
      <c r="AF1127">
        <v>6.9392101111356999</v>
      </c>
      <c r="AG1127">
        <v>-1.1062245060889999</v>
      </c>
      <c r="AH1127">
        <v>13.602809567055999</v>
      </c>
      <c r="AI1127">
        <v>94.143371173337002</v>
      </c>
      <c r="AJ1127">
        <v>62.97247808465</v>
      </c>
      <c r="AK1127">
        <v>15.310545311710801</v>
      </c>
      <c r="AL1127">
        <v>80.268353405710201</v>
      </c>
      <c r="AM1127">
        <v>73.448255036568099</v>
      </c>
      <c r="AN1127">
        <v>1.00000003196501</v>
      </c>
    </row>
    <row r="1128" spans="1:40" x14ac:dyDescent="0.25">
      <c r="A1128" t="str">
        <f>"20190312172349984"</f>
        <v>20190312172349984</v>
      </c>
      <c r="B1128" t="str">
        <f>"1552382629970826"</f>
        <v>1552382629970826</v>
      </c>
      <c r="C1128" t="s">
        <v>40</v>
      </c>
      <c r="D1128">
        <v>4.1484449999999997</v>
      </c>
      <c r="E1128">
        <v>0.56834379999999995</v>
      </c>
      <c r="F1128" t="s">
        <v>45</v>
      </c>
      <c r="G1128">
        <v>-198.87379999999999</v>
      </c>
      <c r="H1128" s="1">
        <v>-6.4199299999999997E-6</v>
      </c>
      <c r="I1128">
        <v>358.84359999999998</v>
      </c>
      <c r="J1128">
        <v>-211.75909999999999</v>
      </c>
      <c r="K1128">
        <v>1.1062149999999999</v>
      </c>
      <c r="L1128">
        <v>367.33210000000003</v>
      </c>
      <c r="M1128">
        <v>0.99408879999999999</v>
      </c>
      <c r="N1128">
        <v>0</v>
      </c>
      <c r="O1128">
        <v>-0.107583399999999</v>
      </c>
      <c r="P1128">
        <v>0.91087390000000001</v>
      </c>
      <c r="Q1128">
        <v>0.15833529999999901</v>
      </c>
      <c r="R1128">
        <v>-0.3811023</v>
      </c>
      <c r="S1128">
        <v>2.6220859999999999</v>
      </c>
      <c r="T1128">
        <v>-0.22141839999999999</v>
      </c>
      <c r="U1128">
        <v>-1.7041630000000001</v>
      </c>
      <c r="V1128">
        <v>0.28264</v>
      </c>
      <c r="W1128">
        <v>0.16925179999999901</v>
      </c>
      <c r="X1128">
        <v>0.94417609999999996</v>
      </c>
      <c r="Y1128">
        <v>0.45072089999999998</v>
      </c>
      <c r="Z1128">
        <v>-9.1354120000000007E-3</v>
      </c>
      <c r="AA1128">
        <v>0.89261819999999903</v>
      </c>
      <c r="AB1128">
        <v>32</v>
      </c>
      <c r="AC1128">
        <v>12.885300000000001</v>
      </c>
      <c r="AD1128">
        <v>-1.10622141992999</v>
      </c>
      <c r="AE1128">
        <v>-8.4885000000000392</v>
      </c>
      <c r="AF1128">
        <v>7.0167653435587498</v>
      </c>
      <c r="AG1128">
        <v>-1.10622141992999</v>
      </c>
      <c r="AH1128">
        <v>13.6536398675127</v>
      </c>
      <c r="AI1128">
        <v>94.121682968867901</v>
      </c>
      <c r="AJ1128">
        <v>62.800837898580802</v>
      </c>
      <c r="AK1128">
        <v>15.390926006846099</v>
      </c>
      <c r="AL1128">
        <v>80.255680254402606</v>
      </c>
      <c r="AM1128">
        <v>73.334879825253097</v>
      </c>
      <c r="AN1128">
        <v>1.00000002460722</v>
      </c>
    </row>
    <row r="1129" spans="1:40" x14ac:dyDescent="0.25">
      <c r="A1129" t="str">
        <f>"20190312172350001"</f>
        <v>20190312172350001</v>
      </c>
      <c r="B1129" t="str">
        <f>"1552382629991322"</f>
        <v>1552382629991322</v>
      </c>
      <c r="C1129" t="s">
        <v>40</v>
      </c>
      <c r="D1129">
        <v>4.1618729999999999</v>
      </c>
      <c r="E1129">
        <v>0.56282799999999999</v>
      </c>
      <c r="F1129" t="s">
        <v>45</v>
      </c>
      <c r="G1129">
        <v>-198.68190000000001</v>
      </c>
      <c r="H1129" s="1">
        <v>-6.357367E-6</v>
      </c>
      <c r="I1129">
        <v>358.74630000000002</v>
      </c>
      <c r="J1129">
        <v>-211.50720000000001</v>
      </c>
      <c r="K1129">
        <v>1.1062050000000001</v>
      </c>
      <c r="L1129">
        <v>367.30099999999999</v>
      </c>
      <c r="M1129">
        <v>0.99366469999999996</v>
      </c>
      <c r="N1129">
        <v>0</v>
      </c>
      <c r="O1129">
        <v>-0.1114314</v>
      </c>
      <c r="P1129">
        <v>0.90784240000000005</v>
      </c>
      <c r="Q1129">
        <v>0.15879509999999999</v>
      </c>
      <c r="R1129">
        <v>-0.38808039999999999</v>
      </c>
      <c r="S1129">
        <v>2.6139220000000001</v>
      </c>
      <c r="T1129">
        <v>-0.22111500000000001</v>
      </c>
      <c r="U1129">
        <v>-1.716156</v>
      </c>
      <c r="V1129">
        <v>0.28625260000000002</v>
      </c>
      <c r="W1129">
        <v>0.16965269999999999</v>
      </c>
      <c r="X1129">
        <v>0.94301500000000005</v>
      </c>
      <c r="Y1129">
        <v>0.45141550000000003</v>
      </c>
      <c r="Z1129">
        <v>-8.8736019999999995E-3</v>
      </c>
      <c r="AA1129">
        <v>0.89226970000000005</v>
      </c>
      <c r="AB1129">
        <v>32</v>
      </c>
      <c r="AC1129">
        <v>12.8253</v>
      </c>
      <c r="AD1129">
        <v>-1.1062113573669901</v>
      </c>
      <c r="AE1129">
        <v>-8.5546999999999596</v>
      </c>
      <c r="AF1129">
        <v>7.0358914227056797</v>
      </c>
      <c r="AG1129">
        <v>-1.1062113573669901</v>
      </c>
      <c r="AH1129">
        <v>13.6286026261809</v>
      </c>
      <c r="AI1129">
        <v>94.125260929208594</v>
      </c>
      <c r="AJ1129">
        <v>62.694539086830098</v>
      </c>
      <c r="AK1129">
        <v>15.377460168103701</v>
      </c>
      <c r="AL1129">
        <v>80.232372485969805</v>
      </c>
      <c r="AM1129">
        <v>73.114310979044802</v>
      </c>
      <c r="AN1129">
        <v>0.99999993992452296</v>
      </c>
    </row>
    <row r="1130" spans="1:40" x14ac:dyDescent="0.25">
      <c r="A1130" t="str">
        <f>"20190312172350014"</f>
        <v>20190312172350014</v>
      </c>
      <c r="B1130" t="str">
        <f>"1552382630010842"</f>
        <v>1552382630010842</v>
      </c>
      <c r="C1130" t="s">
        <v>40</v>
      </c>
      <c r="D1130">
        <v>4.2582319999999996</v>
      </c>
      <c r="E1130">
        <v>0.56252619999999998</v>
      </c>
      <c r="F1130" t="s">
        <v>45</v>
      </c>
      <c r="G1130">
        <v>-202.72499999999999</v>
      </c>
      <c r="H1130" s="1">
        <v>-3.5872140000000001E-6</v>
      </c>
      <c r="I1130">
        <v>361.60140000000001</v>
      </c>
      <c r="J1130">
        <v>-211.3135</v>
      </c>
      <c r="K1130">
        <v>1.106196</v>
      </c>
      <c r="L1130">
        <v>367.27620000000002</v>
      </c>
      <c r="M1130">
        <v>0.99332690000000001</v>
      </c>
      <c r="N1130">
        <v>0</v>
      </c>
      <c r="O1130">
        <v>-0.1144047</v>
      </c>
      <c r="P1130">
        <v>0.90601750000000003</v>
      </c>
      <c r="Q1130">
        <v>0.15864729999999999</v>
      </c>
      <c r="R1130">
        <v>-0.39238190000000001</v>
      </c>
      <c r="S1130">
        <v>2.6322480000000001</v>
      </c>
      <c r="T1130">
        <v>-0.33156089999999999</v>
      </c>
      <c r="U1130">
        <v>-1.708313</v>
      </c>
      <c r="V1130">
        <v>0.2879062</v>
      </c>
      <c r="W1130">
        <v>0.16947409999999999</v>
      </c>
      <c r="X1130">
        <v>0.94254369999999998</v>
      </c>
      <c r="Y1130">
        <v>0.44304490000000002</v>
      </c>
      <c r="Z1130">
        <v>-1.2402E-2</v>
      </c>
      <c r="AA1130">
        <v>0.89641360000000003</v>
      </c>
      <c r="AB1130">
        <v>32</v>
      </c>
      <c r="AC1130">
        <v>8.5884999999999998</v>
      </c>
      <c r="AD1130">
        <v>-1.106199587214</v>
      </c>
      <c r="AE1130">
        <v>-5.6748000000000003</v>
      </c>
      <c r="AF1130">
        <v>4.60172296218221</v>
      </c>
      <c r="AG1130">
        <v>-1.106199587214</v>
      </c>
      <c r="AH1130">
        <v>9.0765757406061205</v>
      </c>
      <c r="AI1130">
        <v>96.203804038900003</v>
      </c>
      <c r="AJ1130">
        <v>63.115498554309603</v>
      </c>
      <c r="AK1130">
        <v>10.236393843653399</v>
      </c>
      <c r="AL1130">
        <v>80.242756842857901</v>
      </c>
      <c r="AM1130">
        <v>73.014362102693198</v>
      </c>
      <c r="AN1130">
        <v>1.0000000384894601</v>
      </c>
    </row>
    <row r="1131" spans="1:40" x14ac:dyDescent="0.25">
      <c r="A1131" t="str">
        <f>"20190312172350026"</f>
        <v>20190312172350026</v>
      </c>
      <c r="B1131" t="str">
        <f>"1552382630020602"</f>
        <v>1552382630020602</v>
      </c>
      <c r="C1131" t="s">
        <v>40</v>
      </c>
      <c r="D1131">
        <v>4.164263</v>
      </c>
      <c r="E1131">
        <v>0.56252619999999998</v>
      </c>
      <c r="F1131" t="s">
        <v>45</v>
      </c>
      <c r="G1131">
        <v>-202.8706</v>
      </c>
      <c r="H1131" s="1">
        <v>-3.6282010000000001E-6</v>
      </c>
      <c r="I1131">
        <v>361.74700000000001</v>
      </c>
      <c r="J1131">
        <v>-211.1463</v>
      </c>
      <c r="K1131">
        <v>1.106187</v>
      </c>
      <c r="L1131">
        <v>367.25450000000001</v>
      </c>
      <c r="M1131">
        <v>0.99302619999999997</v>
      </c>
      <c r="N1131">
        <v>0</v>
      </c>
      <c r="O1131">
        <v>-0.1169861</v>
      </c>
      <c r="P1131">
        <v>0.90424360000000004</v>
      </c>
      <c r="Q1131">
        <v>0.15865399999999999</v>
      </c>
      <c r="R1131">
        <v>-0.39645029999999998</v>
      </c>
      <c r="S1131">
        <v>2.6264949999999998</v>
      </c>
      <c r="T1131">
        <v>-0.34412769999999998</v>
      </c>
      <c r="U1131">
        <v>-1.7200930000000001</v>
      </c>
      <c r="V1131">
        <v>0.28970230000000002</v>
      </c>
      <c r="W1131">
        <v>0.1694445</v>
      </c>
      <c r="X1131">
        <v>0.94199849999999996</v>
      </c>
      <c r="Y1131">
        <v>0.44430069999999999</v>
      </c>
      <c r="Z1131">
        <v>-1.265339E-2</v>
      </c>
      <c r="AA1131">
        <v>0.89578829999999998</v>
      </c>
      <c r="AB1131">
        <v>32</v>
      </c>
      <c r="AC1131">
        <v>8.2757000000000005</v>
      </c>
      <c r="AD1131">
        <v>-1.1061906282009999</v>
      </c>
      <c r="AE1131">
        <v>-5.50750000000005</v>
      </c>
      <c r="AF1131">
        <v>4.4463716639140198</v>
      </c>
      <c r="AG1131">
        <v>-1.1061906282009999</v>
      </c>
      <c r="AH1131">
        <v>8.7548242665496598</v>
      </c>
      <c r="AI1131">
        <v>96.427590410491405</v>
      </c>
      <c r="AJ1131">
        <v>63.075044062361101</v>
      </c>
      <c r="AK1131">
        <v>9.8813372889373703</v>
      </c>
      <c r="AL1131">
        <v>80.244477480357801</v>
      </c>
      <c r="AM1131">
        <v>72.905238709985596</v>
      </c>
      <c r="AN1131">
        <v>1.0000000176038899</v>
      </c>
    </row>
    <row r="1132" spans="1:40" x14ac:dyDescent="0.25">
      <c r="A1132" t="str">
        <f>"20190312172350038"</f>
        <v>20190312172350038</v>
      </c>
      <c r="B1132" t="str">
        <f>"1552382630031202"</f>
        <v>1552382630031202</v>
      </c>
      <c r="C1132" t="s">
        <v>40</v>
      </c>
      <c r="D1132">
        <v>4.179163</v>
      </c>
      <c r="E1132">
        <v>0.55665549999999997</v>
      </c>
      <c r="F1132" t="s">
        <v>45</v>
      </c>
      <c r="G1132">
        <v>-202.71889999999999</v>
      </c>
      <c r="H1132" s="1">
        <v>-3.567232E-6</v>
      </c>
      <c r="I1132">
        <v>361.67770000000002</v>
      </c>
      <c r="J1132">
        <v>-210.97980000000001</v>
      </c>
      <c r="K1132">
        <v>1.106168</v>
      </c>
      <c r="L1132">
        <v>367.23250000000002</v>
      </c>
      <c r="M1132">
        <v>0.99271790000000004</v>
      </c>
      <c r="N1132">
        <v>0</v>
      </c>
      <c r="O1132">
        <v>-0.1195744</v>
      </c>
      <c r="P1132">
        <v>0.90268619999999999</v>
      </c>
      <c r="Q1132">
        <v>0.15891629999999901</v>
      </c>
      <c r="R1132">
        <v>-0.3998797</v>
      </c>
      <c r="S1132">
        <v>2.6183169999999998</v>
      </c>
      <c r="T1132">
        <v>-0.3436863</v>
      </c>
      <c r="U1132">
        <v>-1.732666</v>
      </c>
      <c r="V1132">
        <v>0.29084100000000002</v>
      </c>
      <c r="W1132">
        <v>0.1696762</v>
      </c>
      <c r="X1132">
        <v>0.94160580000000005</v>
      </c>
      <c r="Y1132">
        <v>0.44625169999999997</v>
      </c>
      <c r="Z1132">
        <v>-1.2471019999999999E-2</v>
      </c>
      <c r="AA1132">
        <v>0.89482059999999997</v>
      </c>
      <c r="AB1132">
        <v>32</v>
      </c>
      <c r="AC1132">
        <v>8.2609000000000101</v>
      </c>
      <c r="AD1132">
        <v>-1.1061715672319901</v>
      </c>
      <c r="AE1132">
        <v>-5.5548000000000002</v>
      </c>
      <c r="AF1132">
        <v>4.4718238602752898</v>
      </c>
      <c r="AG1132">
        <v>-1.1061715672319901</v>
      </c>
      <c r="AH1132">
        <v>8.7577635867333399</v>
      </c>
      <c r="AI1132">
        <v>96.418296364473704</v>
      </c>
      <c r="AJ1132">
        <v>62.950573847307297</v>
      </c>
      <c r="AK1132">
        <v>9.8954154644760806</v>
      </c>
      <c r="AL1132">
        <v>80.231006734297594</v>
      </c>
      <c r="AM1132">
        <v>72.835249609809395</v>
      </c>
      <c r="AN1132">
        <v>0.99999999136053996</v>
      </c>
    </row>
    <row r="1133" spans="1:40" x14ac:dyDescent="0.25">
      <c r="A1133" t="str">
        <f>"20190312172350049"</f>
        <v>20190312172350049</v>
      </c>
      <c r="B1133" t="str">
        <f>"1552382630040962"</f>
        <v>1552382630040962</v>
      </c>
      <c r="C1133" t="s">
        <v>40</v>
      </c>
      <c r="D1133">
        <v>4.1211229999999999</v>
      </c>
      <c r="E1133">
        <v>0.55665549999999997</v>
      </c>
      <c r="F1133" t="s">
        <v>45</v>
      </c>
      <c r="G1133">
        <v>-199.80879999999999</v>
      </c>
      <c r="H1133" s="1">
        <v>-1.0230299999999999E-5</v>
      </c>
      <c r="I1133">
        <v>360.01819999999998</v>
      </c>
      <c r="J1133">
        <v>-210.8125</v>
      </c>
      <c r="K1133">
        <v>1.106142</v>
      </c>
      <c r="L1133">
        <v>367.2097</v>
      </c>
      <c r="M1133">
        <v>0.99239719999999998</v>
      </c>
      <c r="N1133">
        <v>0</v>
      </c>
      <c r="O1133">
        <v>-0.1222066</v>
      </c>
      <c r="P1133">
        <v>0.90125390000000005</v>
      </c>
      <c r="Q1133">
        <v>0.15886900000000001</v>
      </c>
      <c r="R1133">
        <v>-0.40311550000000002</v>
      </c>
      <c r="S1133">
        <v>2.619659</v>
      </c>
      <c r="T1133">
        <v>-0.25940410000000003</v>
      </c>
      <c r="U1133">
        <v>-1.6917720000000001</v>
      </c>
      <c r="V1133">
        <v>0.29173359999999998</v>
      </c>
      <c r="W1133">
        <v>0.16959679999999999</v>
      </c>
      <c r="X1133">
        <v>0.94134399999999996</v>
      </c>
      <c r="Y1133">
        <v>0.43470639999999999</v>
      </c>
      <c r="Z1133">
        <v>-8.7035410000000004E-3</v>
      </c>
      <c r="AA1133">
        <v>0.90053019999999995</v>
      </c>
      <c r="AB1133">
        <v>32</v>
      </c>
      <c r="AC1133">
        <v>11.0037</v>
      </c>
      <c r="AD1133">
        <v>-1.1061522303</v>
      </c>
      <c r="AE1133">
        <v>-7.1915000000000102</v>
      </c>
      <c r="AF1133">
        <v>5.7519884090901297</v>
      </c>
      <c r="AG1133">
        <v>-1.1061522303</v>
      </c>
      <c r="AH1133">
        <v>11.717180484638</v>
      </c>
      <c r="AI1133">
        <v>94.8438954176453</v>
      </c>
      <c r="AJ1133">
        <v>63.853481912836799</v>
      </c>
      <c r="AK1133">
        <v>13.099666481421799</v>
      </c>
      <c r="AL1133">
        <v>80.235623472998796</v>
      </c>
      <c r="AM1133">
        <v>72.781175097118805</v>
      </c>
      <c r="AN1133">
        <v>1.0000000471375901</v>
      </c>
    </row>
    <row r="1134" spans="1:40" x14ac:dyDescent="0.25">
      <c r="A1134" t="str">
        <f>"20190312172350061"</f>
        <v>20190312172350061</v>
      </c>
      <c r="B1134" t="str">
        <f>"1552382630050722"</f>
        <v>1552382630050722</v>
      </c>
      <c r="C1134" t="s">
        <v>40</v>
      </c>
      <c r="D1134">
        <v>4.2136290000000001</v>
      </c>
      <c r="E1134">
        <v>0.55537709999999996</v>
      </c>
      <c r="F1134" t="s">
        <v>45</v>
      </c>
      <c r="G1134">
        <v>-199.65379999999999</v>
      </c>
      <c r="H1134" s="1">
        <v>-1.018483E-5</v>
      </c>
      <c r="I1134">
        <v>359.9427</v>
      </c>
      <c r="J1134">
        <v>-210.64920000000001</v>
      </c>
      <c r="K1134">
        <v>1.1061160000000001</v>
      </c>
      <c r="L1134">
        <v>367.18729999999999</v>
      </c>
      <c r="M1134">
        <v>0.99207599999999996</v>
      </c>
      <c r="N1134">
        <v>0</v>
      </c>
      <c r="O1134">
        <v>-0.1247871</v>
      </c>
      <c r="P1134">
        <v>0.8996286</v>
      </c>
      <c r="Q1134">
        <v>0.15886700000000001</v>
      </c>
      <c r="R1134">
        <v>-0.40673120000000001</v>
      </c>
      <c r="S1134">
        <v>2.6131899999999999</v>
      </c>
      <c r="T1134">
        <v>-0.25904199999999999</v>
      </c>
      <c r="U1134">
        <v>-1.701813</v>
      </c>
      <c r="V1134">
        <v>0.29308040000000002</v>
      </c>
      <c r="W1134">
        <v>0.1695545</v>
      </c>
      <c r="X1134">
        <v>0.94093309999999997</v>
      </c>
      <c r="Y1134">
        <v>0.43582109999999902</v>
      </c>
      <c r="Z1134">
        <v>-8.5248059999999994E-3</v>
      </c>
      <c r="AA1134">
        <v>0.89999289999999998</v>
      </c>
      <c r="AB1134">
        <v>32</v>
      </c>
      <c r="AC1134">
        <v>10.9954</v>
      </c>
      <c r="AD1134">
        <v>-1.1061261848299999</v>
      </c>
      <c r="AE1134">
        <v>-7.2445999999999904</v>
      </c>
      <c r="AF1134">
        <v>5.7749778673151004</v>
      </c>
      <c r="AG1134">
        <v>-1.1061261848299999</v>
      </c>
      <c r="AH1134">
        <v>11.730784760619001</v>
      </c>
      <c r="AI1134">
        <v>94.835541139859103</v>
      </c>
      <c r="AJ1134">
        <v>63.789320621770202</v>
      </c>
      <c r="AK1134">
        <v>13.121935665316901</v>
      </c>
      <c r="AL1134">
        <v>80.238081980023097</v>
      </c>
      <c r="AM1134">
        <v>72.699313110795103</v>
      </c>
      <c r="AN1134">
        <v>0.99999997400500895</v>
      </c>
    </row>
    <row r="1135" spans="1:40" x14ac:dyDescent="0.25">
      <c r="A1135" t="str">
        <f>"20190312172350073"</f>
        <v>20190312172350073</v>
      </c>
      <c r="B1135" t="str">
        <f>"1552382630071218"</f>
        <v>1552382630071218</v>
      </c>
      <c r="C1135" t="s">
        <v>40</v>
      </c>
      <c r="D1135">
        <v>4.2614020000000004</v>
      </c>
      <c r="E1135">
        <v>0.55580299999999905</v>
      </c>
      <c r="F1135" t="s">
        <v>45</v>
      </c>
      <c r="G1135">
        <v>-199.59630000000001</v>
      </c>
      <c r="H1135" s="1">
        <v>-1.016011E-5</v>
      </c>
      <c r="I1135">
        <v>359.9717</v>
      </c>
      <c r="J1135">
        <v>-210.47659999999999</v>
      </c>
      <c r="K1135">
        <v>1.106074</v>
      </c>
      <c r="L1135">
        <v>367.16269999999997</v>
      </c>
      <c r="M1135">
        <v>0.99172159999999998</v>
      </c>
      <c r="N1135">
        <v>0</v>
      </c>
      <c r="O1135">
        <v>-0.1275722</v>
      </c>
      <c r="P1135">
        <v>0.89808089999999996</v>
      </c>
      <c r="Q1135">
        <v>0.15935009999999999</v>
      </c>
      <c r="R1135">
        <v>-0.40994920000000001</v>
      </c>
      <c r="S1135">
        <v>2.6103969999999999</v>
      </c>
      <c r="T1135">
        <v>-0.26123560000000001</v>
      </c>
      <c r="U1135">
        <v>-1.704102</v>
      </c>
      <c r="V1135">
        <v>0.29384290000000002</v>
      </c>
      <c r="W1135">
        <v>0.1699957</v>
      </c>
      <c r="X1135">
        <v>0.94061570000000005</v>
      </c>
      <c r="Y1135">
        <v>0.43428440000000001</v>
      </c>
      <c r="Z1135">
        <v>-8.285344E-3</v>
      </c>
      <c r="AA1135">
        <v>0.90073769999999997</v>
      </c>
      <c r="AB1135">
        <v>32</v>
      </c>
      <c r="AC1135">
        <v>10.880299999999901</v>
      </c>
      <c r="AD1135">
        <v>-1.10608416011</v>
      </c>
      <c r="AE1135">
        <v>-7.1909999999999696</v>
      </c>
      <c r="AF1135">
        <v>5.70303928023373</v>
      </c>
      <c r="AG1135">
        <v>-1.10608416011</v>
      </c>
      <c r="AH1135">
        <v>11.625233591121001</v>
      </c>
      <c r="AI1135">
        <v>94.882353683790498</v>
      </c>
      <c r="AJ1135">
        <v>63.868624051091899</v>
      </c>
      <c r="AK1135">
        <v>12.9959276409675</v>
      </c>
      <c r="AL1135">
        <v>80.2124313642978</v>
      </c>
      <c r="AM1135">
        <v>72.651497504756605</v>
      </c>
      <c r="AN1135">
        <v>1.00000004149269</v>
      </c>
    </row>
    <row r="1136" spans="1:40" x14ac:dyDescent="0.25">
      <c r="A1136" t="str">
        <f>"20190312172350084"</f>
        <v>20190312172350084</v>
      </c>
      <c r="B1136" t="str">
        <f>"1552382630080978"</f>
        <v>1552382630080978</v>
      </c>
      <c r="C1136" t="s">
        <v>40</v>
      </c>
      <c r="D1136">
        <v>4.1462580000000004</v>
      </c>
      <c r="E1136">
        <v>0.55531390000000003</v>
      </c>
      <c r="F1136" t="s">
        <v>45</v>
      </c>
      <c r="G1136">
        <v>-200.708</v>
      </c>
      <c r="H1136" s="1">
        <v>-2.7693950000000002E-6</v>
      </c>
      <c r="I1136">
        <v>360.71199999999999</v>
      </c>
      <c r="J1136">
        <v>-210.3151</v>
      </c>
      <c r="K1136">
        <v>1.106034</v>
      </c>
      <c r="L1136">
        <v>367.1395</v>
      </c>
      <c r="M1136">
        <v>0.9913805</v>
      </c>
      <c r="N1136">
        <v>0</v>
      </c>
      <c r="O1136">
        <v>-0.13019720000000001</v>
      </c>
      <c r="P1136">
        <v>0.89658400000000005</v>
      </c>
      <c r="Q1136">
        <v>0.15952429999999901</v>
      </c>
      <c r="R1136">
        <v>-0.41314529999999999</v>
      </c>
      <c r="S1136">
        <v>2.6070099999999998</v>
      </c>
      <c r="T1136">
        <v>-0.29518450000000002</v>
      </c>
      <c r="U1136">
        <v>-1.721527</v>
      </c>
      <c r="V1136">
        <v>0.29472890000000002</v>
      </c>
      <c r="W1136">
        <v>0.17012729999999901</v>
      </c>
      <c r="X1136">
        <v>0.94031469999999995</v>
      </c>
      <c r="Y1136">
        <v>0.43635550000000001</v>
      </c>
      <c r="Z1136">
        <v>-9.1962639999999991E-3</v>
      </c>
      <c r="AA1136">
        <v>0.89972730000000001</v>
      </c>
      <c r="AB1136">
        <v>32</v>
      </c>
      <c r="AC1136">
        <v>9.6071000000000009</v>
      </c>
      <c r="AD1136">
        <v>-1.106036769395</v>
      </c>
      <c r="AE1136">
        <v>-6.4275000000000002</v>
      </c>
      <c r="AF1136">
        <v>5.0753574789666702</v>
      </c>
      <c r="AG1136">
        <v>-1.106036769395</v>
      </c>
      <c r="AH1136">
        <v>10.2682245179265</v>
      </c>
      <c r="AI1136">
        <v>95.515539490079306</v>
      </c>
      <c r="AJ1136">
        <v>63.697825812618802</v>
      </c>
      <c r="AK1136">
        <v>11.5073457245841</v>
      </c>
      <c r="AL1136">
        <v>80.204780152605096</v>
      </c>
      <c r="AM1136">
        <v>72.597107395662405</v>
      </c>
      <c r="AN1136">
        <v>1.0000000788682899</v>
      </c>
    </row>
    <row r="1137" spans="1:40" x14ac:dyDescent="0.25">
      <c r="A1137" t="str">
        <f>"20190312172350096"</f>
        <v>20190312172350096</v>
      </c>
      <c r="B1137" t="str">
        <f>"1552382630090738"</f>
        <v>1552382630090738</v>
      </c>
      <c r="C1137" t="s">
        <v>40</v>
      </c>
      <c r="D1137">
        <v>4.214429</v>
      </c>
      <c r="E1137">
        <v>0.55480499999999999</v>
      </c>
      <c r="F1137" t="s">
        <v>45</v>
      </c>
      <c r="G1137">
        <v>-200.67150000000001</v>
      </c>
      <c r="H1137" s="1">
        <v>-2.74589E-6</v>
      </c>
      <c r="I1137">
        <v>360.7353</v>
      </c>
      <c r="J1137">
        <v>-210.14879999999999</v>
      </c>
      <c r="K1137">
        <v>1.1059840000000001</v>
      </c>
      <c r="L1137">
        <v>367.11489999999998</v>
      </c>
      <c r="M1137">
        <v>0.99101609999999996</v>
      </c>
      <c r="N1137">
        <v>0</v>
      </c>
      <c r="O1137">
        <v>-0.1329418</v>
      </c>
      <c r="P1137">
        <v>0.89499589999999996</v>
      </c>
      <c r="Q1137">
        <v>0.1597577</v>
      </c>
      <c r="R1137">
        <v>-0.41648560000000001</v>
      </c>
      <c r="S1137">
        <v>2.6026919999999998</v>
      </c>
      <c r="T1137">
        <v>-0.29850549999999998</v>
      </c>
      <c r="U1137">
        <v>-1.728424</v>
      </c>
      <c r="V1137">
        <v>0.29566170000000003</v>
      </c>
      <c r="W1137">
        <v>0.1703134</v>
      </c>
      <c r="X1137">
        <v>0.93998800000000005</v>
      </c>
      <c r="Y1137">
        <v>0.43619039999999998</v>
      </c>
      <c r="Z1137">
        <v>-9.0198190000000001E-3</v>
      </c>
      <c r="AA1137">
        <v>0.89980919999999898</v>
      </c>
      <c r="AB1137">
        <v>32</v>
      </c>
      <c r="AC1137">
        <v>9.4772999999999801</v>
      </c>
      <c r="AD1137">
        <v>-1.1059867458899999</v>
      </c>
      <c r="AE1137">
        <v>-6.3795999999999804</v>
      </c>
      <c r="AF1137">
        <v>5.0158892324168098</v>
      </c>
      <c r="AG1137">
        <v>-1.1059867458899999</v>
      </c>
      <c r="AH1137">
        <v>10.146276156402299</v>
      </c>
      <c r="AI1137">
        <v>95.580988464380297</v>
      </c>
      <c r="AJ1137">
        <v>63.694158372539</v>
      </c>
      <c r="AK1137">
        <v>11.372302814994701</v>
      </c>
      <c r="AL1137">
        <v>80.193958390603996</v>
      </c>
      <c r="AM1137">
        <v>72.539670677063199</v>
      </c>
      <c r="AN1137">
        <v>0.99999996760522403</v>
      </c>
    </row>
    <row r="1138" spans="1:40" x14ac:dyDescent="0.25">
      <c r="A1138" t="str">
        <f>"20190312172350108"</f>
        <v>20190312172350108</v>
      </c>
      <c r="B1138" t="str">
        <f>"1552382630100498"</f>
        <v>1552382630100498</v>
      </c>
      <c r="C1138" t="s">
        <v>40</v>
      </c>
      <c r="D1138">
        <v>4.2899370000000001</v>
      </c>
      <c r="E1138">
        <v>0.555288</v>
      </c>
      <c r="F1138" t="s">
        <v>45</v>
      </c>
      <c r="G1138">
        <v>-200.33189999999999</v>
      </c>
      <c r="H1138" s="1">
        <v>-2.6011340000000001E-6</v>
      </c>
      <c r="I1138">
        <v>360.55840000000001</v>
      </c>
      <c r="J1138">
        <v>-209.9898</v>
      </c>
      <c r="K1138">
        <v>1.1059349999999999</v>
      </c>
      <c r="L1138">
        <v>367.09100000000001</v>
      </c>
      <c r="M1138">
        <v>0.99065460000000005</v>
      </c>
      <c r="N1138">
        <v>0</v>
      </c>
      <c r="O1138">
        <v>-0.1356089</v>
      </c>
      <c r="P1138">
        <v>0.8935514</v>
      </c>
      <c r="Q1138">
        <v>0.15988740000000001</v>
      </c>
      <c r="R1138">
        <v>-0.41952610000000001</v>
      </c>
      <c r="S1138">
        <v>2.5970309999999999</v>
      </c>
      <c r="T1138">
        <v>-0.29258420000000002</v>
      </c>
      <c r="U1138">
        <v>-1.734497</v>
      </c>
      <c r="V1138">
        <v>0.29635509999999998</v>
      </c>
      <c r="W1138">
        <v>0.17039789999999999</v>
      </c>
      <c r="X1138">
        <v>0.93975430000000004</v>
      </c>
      <c r="Y1138">
        <v>0.43619229999999998</v>
      </c>
      <c r="Z1138">
        <v>-8.5882919999999904E-3</v>
      </c>
      <c r="AA1138">
        <v>0.89981250000000002</v>
      </c>
      <c r="AB1138">
        <v>32</v>
      </c>
      <c r="AC1138">
        <v>9.6579000000000104</v>
      </c>
      <c r="AD1138">
        <v>-1.1059376011340001</v>
      </c>
      <c r="AE1138">
        <v>-6.5326000000000004</v>
      </c>
      <c r="AF1138">
        <v>5.1163742582715797</v>
      </c>
      <c r="AG1138">
        <v>-1.1059376011340001</v>
      </c>
      <c r="AH1138">
        <v>10.361420440698399</v>
      </c>
      <c r="AI1138">
        <v>95.466795726187399</v>
      </c>
      <c r="AJ1138">
        <v>63.720263110455498</v>
      </c>
      <c r="AK1138">
        <v>11.6085923813884</v>
      </c>
      <c r="AL1138">
        <v>80.189045071366095</v>
      </c>
      <c r="AM1138">
        <v>72.497132569652393</v>
      </c>
      <c r="AN1138">
        <v>0.99999996699445404</v>
      </c>
    </row>
    <row r="1139" spans="1:40" x14ac:dyDescent="0.25">
      <c r="A1139" t="str">
        <f>"20190312172350120"</f>
        <v>20190312172350120</v>
      </c>
      <c r="B1139" t="str">
        <f>"1552382630111234"</f>
        <v>1552382630111234</v>
      </c>
      <c r="C1139" t="s">
        <v>40</v>
      </c>
      <c r="D1139">
        <v>4.2215410000000002</v>
      </c>
      <c r="E1139">
        <v>0.55479529999999999</v>
      </c>
      <c r="F1139" t="s">
        <v>45</v>
      </c>
      <c r="G1139">
        <v>-200.49760000000001</v>
      </c>
      <c r="H1139" s="1">
        <v>-2.666269E-6</v>
      </c>
      <c r="I1139">
        <v>360.68220000000002</v>
      </c>
      <c r="J1139">
        <v>-209.8023</v>
      </c>
      <c r="K1139">
        <v>1.1058709999999901</v>
      </c>
      <c r="L1139">
        <v>367.06240000000003</v>
      </c>
      <c r="M1139">
        <v>0.99021409999999999</v>
      </c>
      <c r="N1139">
        <v>0</v>
      </c>
      <c r="O1139">
        <v>-0.13878879999999999</v>
      </c>
      <c r="P1139">
        <v>0.89176849999999996</v>
      </c>
      <c r="Q1139">
        <v>0.16018499999999999</v>
      </c>
      <c r="R1139">
        <v>-0.42319059999999997</v>
      </c>
      <c r="S1139">
        <v>2.5902859999999999</v>
      </c>
      <c r="T1139">
        <v>-0.30179240000000002</v>
      </c>
      <c r="U1139">
        <v>-1.7488709999999901</v>
      </c>
      <c r="V1139">
        <v>0.29723500000000003</v>
      </c>
      <c r="W1139">
        <v>0.1706376</v>
      </c>
      <c r="X1139">
        <v>0.93943290000000002</v>
      </c>
      <c r="Y1139">
        <v>0.43774930000000001</v>
      </c>
      <c r="Z1139">
        <v>-8.6214199999999994E-3</v>
      </c>
      <c r="AA1139">
        <v>0.89905579999999996</v>
      </c>
      <c r="AB1139">
        <v>32</v>
      </c>
      <c r="AC1139">
        <v>9.3046999999999898</v>
      </c>
      <c r="AD1139">
        <v>-1.1058736662690001</v>
      </c>
      <c r="AE1139">
        <v>-6.3802000000000003</v>
      </c>
      <c r="AF1139">
        <v>4.97907376293597</v>
      </c>
      <c r="AG1139">
        <v>-1.1058736662690001</v>
      </c>
      <c r="AH1139">
        <v>10.0041046560327</v>
      </c>
      <c r="AI1139">
        <v>95.651732453501296</v>
      </c>
      <c r="AJ1139">
        <v>63.540328292141098</v>
      </c>
      <c r="AK1139">
        <v>11.2292583045969</v>
      </c>
      <c r="AL1139">
        <v>80.175107520021598</v>
      </c>
      <c r="AM1139">
        <v>72.442715682560603</v>
      </c>
      <c r="AN1139">
        <v>1.0000000046805799</v>
      </c>
    </row>
    <row r="1140" spans="1:40" x14ac:dyDescent="0.25">
      <c r="A1140" t="str">
        <f>"20190312172350136"</f>
        <v>20190312172350136</v>
      </c>
      <c r="B1140" t="str">
        <f>"1552382630130754"</f>
        <v>1552382630130754</v>
      </c>
      <c r="C1140" t="s">
        <v>40</v>
      </c>
      <c r="D1140">
        <v>4.2386920000000003</v>
      </c>
      <c r="E1140">
        <v>0.55469299999999999</v>
      </c>
      <c r="F1140" t="s">
        <v>45</v>
      </c>
      <c r="G1140">
        <v>-200.16159999999999</v>
      </c>
      <c r="H1140" s="1">
        <v>-2.513135E-6</v>
      </c>
      <c r="I1140">
        <v>360.51029999999997</v>
      </c>
      <c r="J1140">
        <v>-209.59190000000001</v>
      </c>
      <c r="K1140">
        <v>1.1057900000000001</v>
      </c>
      <c r="L1140">
        <v>367.02910000000003</v>
      </c>
      <c r="M1140">
        <v>0.98969099999999999</v>
      </c>
      <c r="N1140">
        <v>0</v>
      </c>
      <c r="O1140">
        <v>-0.14247079999999901</v>
      </c>
      <c r="P1140">
        <v>0.88952260000000005</v>
      </c>
      <c r="Q1140">
        <v>0.16034100000000001</v>
      </c>
      <c r="R1140">
        <v>-0.42783310000000002</v>
      </c>
      <c r="S1140">
        <v>2.5839539999999999</v>
      </c>
      <c r="T1140">
        <v>-0.29640229999999901</v>
      </c>
      <c r="U1140">
        <v>-1.7561340000000001</v>
      </c>
      <c r="V1140">
        <v>0.29868090000000003</v>
      </c>
      <c r="W1140">
        <v>0.17071510000000001</v>
      </c>
      <c r="X1140">
        <v>0.93896009999999996</v>
      </c>
      <c r="Y1140">
        <v>0.4372239</v>
      </c>
      <c r="Z1140">
        <v>-8.0822629999999993E-3</v>
      </c>
      <c r="AA1140">
        <v>0.89931640000000002</v>
      </c>
      <c r="AB1140">
        <v>32</v>
      </c>
      <c r="AC1140">
        <v>9.4303000000000097</v>
      </c>
      <c r="AD1140">
        <v>-1.1057925131349999</v>
      </c>
      <c r="AE1140">
        <v>-6.5188000000000503</v>
      </c>
      <c r="AF1140">
        <v>5.0615093052792002</v>
      </c>
      <c r="AG1140">
        <v>-1.1057925131349999</v>
      </c>
      <c r="AH1140">
        <v>10.168313155911299</v>
      </c>
      <c r="AI1140">
        <v>95.5604800517727</v>
      </c>
      <c r="AJ1140">
        <v>63.537128903048</v>
      </c>
      <c r="AK1140">
        <v>11.4121096194442</v>
      </c>
      <c r="AL1140">
        <v>80.170600900874305</v>
      </c>
      <c r="AM1140">
        <v>72.354260636376793</v>
      </c>
      <c r="AN1140">
        <v>0.99999999739241496</v>
      </c>
    </row>
    <row r="1141" spans="1:40" x14ac:dyDescent="0.25">
      <c r="A1141" t="str">
        <f>"20190312172350150"</f>
        <v>20190312172350150</v>
      </c>
      <c r="B1141" t="str">
        <f>"1552382630140514"</f>
        <v>1552382630140514</v>
      </c>
      <c r="C1141" t="s">
        <v>40</v>
      </c>
      <c r="D1141">
        <v>4.2189069999999997</v>
      </c>
      <c r="E1141">
        <v>0.55435780000000001</v>
      </c>
      <c r="F1141" t="s">
        <v>45</v>
      </c>
      <c r="G1141">
        <v>-200.07210000000001</v>
      </c>
      <c r="H1141" s="1">
        <v>-2.4679729999999998E-6</v>
      </c>
      <c r="I1141">
        <v>360.48090000000002</v>
      </c>
      <c r="J1141">
        <v>-209.40199999999999</v>
      </c>
      <c r="K1141">
        <v>1.1057140000000001</v>
      </c>
      <c r="L1141">
        <v>366.99849999999998</v>
      </c>
      <c r="M1141">
        <v>0.98919670000000004</v>
      </c>
      <c r="N1141">
        <v>0</v>
      </c>
      <c r="O1141">
        <v>-0.1458634</v>
      </c>
      <c r="P1141">
        <v>0.8877408</v>
      </c>
      <c r="Q1141">
        <v>0.1602652</v>
      </c>
      <c r="R1141">
        <v>-0.43154569999999998</v>
      </c>
      <c r="S1141">
        <v>2.5746920000000002</v>
      </c>
      <c r="T1141">
        <v>-0.29906890000000003</v>
      </c>
      <c r="U1141">
        <v>-1.7710269999999999</v>
      </c>
      <c r="V1141">
        <v>0.29941699999999999</v>
      </c>
      <c r="W1141">
        <v>0.17057410000000001</v>
      </c>
      <c r="X1141">
        <v>0.93875129999999996</v>
      </c>
      <c r="Y1141">
        <v>0.43916549999999999</v>
      </c>
      <c r="Z1141">
        <v>-7.9252519999999903E-3</v>
      </c>
      <c r="AA1141">
        <v>0.89837119999999904</v>
      </c>
      <c r="AB1141">
        <v>32</v>
      </c>
      <c r="AC1141">
        <v>9.3299000000000092</v>
      </c>
      <c r="AD1141">
        <v>-1.1057164679729901</v>
      </c>
      <c r="AE1141">
        <v>-6.5175999999999599</v>
      </c>
      <c r="AF1141">
        <v>5.0392750103601003</v>
      </c>
      <c r="AG1141">
        <v>-1.1057164679729901</v>
      </c>
      <c r="AH1141">
        <v>10.085674178453701</v>
      </c>
      <c r="AI1141">
        <v>95.601201724959395</v>
      </c>
      <c r="AJ1141">
        <v>63.451139781547198</v>
      </c>
      <c r="AK1141">
        <v>11.3286241517457</v>
      </c>
      <c r="AL1141">
        <v>80.178800219707696</v>
      </c>
      <c r="AM1141">
        <v>72.3097914425081</v>
      </c>
      <c r="AN1141">
        <v>1.0000000333657399</v>
      </c>
    </row>
    <row r="1142" spans="1:40" x14ac:dyDescent="0.25">
      <c r="A1142" t="str">
        <f>"20190312172350162"</f>
        <v>20190312172350162</v>
      </c>
      <c r="B1142" t="str">
        <f>"1552382630151250"</f>
        <v>1552382630151250</v>
      </c>
      <c r="C1142" t="s">
        <v>40</v>
      </c>
      <c r="D1142">
        <v>4.2137699999999896</v>
      </c>
      <c r="E1142">
        <v>0.55407790000000001</v>
      </c>
      <c r="F1142" t="s">
        <v>45</v>
      </c>
      <c r="G1142">
        <v>-199.81989999999999</v>
      </c>
      <c r="H1142" s="1">
        <v>-1.018606E-5</v>
      </c>
      <c r="I1142">
        <v>360.35430000000002</v>
      </c>
      <c r="J1142">
        <v>-209.22110000000001</v>
      </c>
      <c r="K1142">
        <v>1.105634</v>
      </c>
      <c r="L1142">
        <v>366.96870000000001</v>
      </c>
      <c r="M1142">
        <v>0.98870659999999999</v>
      </c>
      <c r="N1142">
        <v>0</v>
      </c>
      <c r="O1142">
        <v>-0.1491478</v>
      </c>
      <c r="P1142">
        <v>0.88602239999999999</v>
      </c>
      <c r="Q1142">
        <v>0.16021529999999901</v>
      </c>
      <c r="R1142">
        <v>-0.4350813</v>
      </c>
      <c r="S1142">
        <v>2.5674589999999999</v>
      </c>
      <c r="T1142">
        <v>-0.29627009999999998</v>
      </c>
      <c r="U1142">
        <v>-1.780243</v>
      </c>
      <c r="V1142">
        <v>0.30007499999999998</v>
      </c>
      <c r="W1142">
        <v>0.17045950000000001</v>
      </c>
      <c r="X1142">
        <v>0.93856200000000001</v>
      </c>
      <c r="Y1142">
        <v>0.43958059999999899</v>
      </c>
      <c r="Z1142">
        <v>-7.5543210000000001E-3</v>
      </c>
      <c r="AA1142">
        <v>0.89817139999999995</v>
      </c>
      <c r="AB1142">
        <v>32</v>
      </c>
      <c r="AC1142">
        <v>9.40120000000001</v>
      </c>
      <c r="AD1142">
        <v>-1.1056441860599999</v>
      </c>
      <c r="AE1142">
        <v>-6.6143999999999803</v>
      </c>
      <c r="AF1142">
        <v>5.0909828613358803</v>
      </c>
      <c r="AG1142">
        <v>-1.1056441860599999</v>
      </c>
      <c r="AH1142">
        <v>10.188393371868401</v>
      </c>
      <c r="AI1142">
        <v>95.544640865307599</v>
      </c>
      <c r="AJ1142">
        <v>63.449409341807403</v>
      </c>
      <c r="AK1142">
        <v>11.4430727980083</v>
      </c>
      <c r="AL1142">
        <v>80.185463946099205</v>
      </c>
      <c r="AM1142">
        <v>72.269995317966405</v>
      </c>
      <c r="AN1142">
        <v>1.0000000373046201</v>
      </c>
    </row>
    <row r="1143" spans="1:40" x14ac:dyDescent="0.25">
      <c r="A1143" t="str">
        <f>"20190312172350180"</f>
        <v>20190312172350180</v>
      </c>
      <c r="B1143" t="str">
        <f>"1552382630170770"</f>
        <v>1552382630170770</v>
      </c>
      <c r="C1143" t="s">
        <v>40</v>
      </c>
      <c r="D1143">
        <v>4.2435010000000002</v>
      </c>
      <c r="E1143">
        <v>0.55398539999999996</v>
      </c>
      <c r="F1143" t="s">
        <v>45</v>
      </c>
      <c r="G1143">
        <v>-199.58170000000001</v>
      </c>
      <c r="H1143" s="1">
        <v>-1.01172E-5</v>
      </c>
      <c r="I1143">
        <v>360.23090000000002</v>
      </c>
      <c r="J1143">
        <v>-208.96469999999999</v>
      </c>
      <c r="K1143">
        <v>1.105518</v>
      </c>
      <c r="L1143">
        <v>366.92520000000002</v>
      </c>
      <c r="M1143">
        <v>0.98797210000000002</v>
      </c>
      <c r="N1143">
        <v>0</v>
      </c>
      <c r="O1143">
        <v>-0.1539374</v>
      </c>
      <c r="P1143">
        <v>0.88351659999999899</v>
      </c>
      <c r="Q1143">
        <v>0.15984289999999901</v>
      </c>
      <c r="R1143">
        <v>-0.44028220000000001</v>
      </c>
      <c r="S1143">
        <v>2.5602420000000001</v>
      </c>
      <c r="T1143">
        <v>-0.29366239999999999</v>
      </c>
      <c r="U1143">
        <v>-1.7895810000000001</v>
      </c>
      <c r="V1143">
        <v>0.30108190000000001</v>
      </c>
      <c r="W1143">
        <v>0.169991899999999</v>
      </c>
      <c r="X1143">
        <v>0.9383243</v>
      </c>
      <c r="Y1143">
        <v>0.43866460000000002</v>
      </c>
      <c r="Z1143">
        <v>-6.9742529999999997E-3</v>
      </c>
      <c r="AA1143">
        <v>0.89862379999999997</v>
      </c>
      <c r="AB1143">
        <v>32</v>
      </c>
      <c r="AC1143">
        <v>9.3829999999999796</v>
      </c>
      <c r="AD1143">
        <v>-1.1055281172</v>
      </c>
      <c r="AE1143">
        <v>-6.6942999999999904</v>
      </c>
      <c r="AF1143">
        <v>5.1228139840932103</v>
      </c>
      <c r="AG1143">
        <v>-1.1055281172</v>
      </c>
      <c r="AH1143">
        <v>10.2078428255803</v>
      </c>
      <c r="AI1143">
        <v>95.528797322008799</v>
      </c>
      <c r="AJ1143">
        <v>63.350177687152303</v>
      </c>
      <c r="AK1143">
        <v>11.4745575376697</v>
      </c>
      <c r="AL1143">
        <v>80.212652133793796</v>
      </c>
      <c r="AM1143">
        <v>72.210024056141194</v>
      </c>
      <c r="AN1143">
        <v>1.0000000242718501</v>
      </c>
    </row>
    <row r="1144" spans="1:40" x14ac:dyDescent="0.25">
      <c r="A1144" t="str">
        <f>"20190312172350193"</f>
        <v>20190312172350193</v>
      </c>
      <c r="B1144" t="str">
        <f>"1552382630180531"</f>
        <v>1552382630180531</v>
      </c>
      <c r="C1144" t="s">
        <v>40</v>
      </c>
      <c r="D1144">
        <v>4.2059949999999997</v>
      </c>
      <c r="E1144">
        <v>0.55373349999999999</v>
      </c>
      <c r="F1144" t="s">
        <v>45</v>
      </c>
      <c r="G1144">
        <v>-199.46510000000001</v>
      </c>
      <c r="H1144" s="1">
        <v>-1.0079869999999999E-5</v>
      </c>
      <c r="I1144">
        <v>360.19569999999999</v>
      </c>
      <c r="J1144">
        <v>-208.79570000000001</v>
      </c>
      <c r="K1144">
        <v>1.1054299999999999</v>
      </c>
      <c r="L1144">
        <v>366.89550000000003</v>
      </c>
      <c r="M1144">
        <v>0.98746060000000002</v>
      </c>
      <c r="N1144">
        <v>0</v>
      </c>
      <c r="O1144">
        <v>-0.15718499999999999</v>
      </c>
      <c r="P1144">
        <v>0.88168749999999996</v>
      </c>
      <c r="Q1144">
        <v>0.15991859999999999</v>
      </c>
      <c r="R1144">
        <v>-0.44390740000000001</v>
      </c>
      <c r="S1144">
        <v>2.5492710000000001</v>
      </c>
      <c r="T1144">
        <v>-0.29667719999999997</v>
      </c>
      <c r="U1144">
        <v>-1.8059080000000001</v>
      </c>
      <c r="V1144">
        <v>0.30188860000000001</v>
      </c>
      <c r="W1144">
        <v>0.17000179999999901</v>
      </c>
      <c r="X1144">
        <v>0.93806330000000004</v>
      </c>
      <c r="Y1144">
        <v>0.4413417</v>
      </c>
      <c r="Z1144">
        <v>-6.8726059999999999E-3</v>
      </c>
      <c r="AA1144">
        <v>0.89731280000000002</v>
      </c>
      <c r="AB1144">
        <v>32</v>
      </c>
      <c r="AC1144">
        <v>9.3306000000000004</v>
      </c>
      <c r="AD1144">
        <v>-1.1054400798699999</v>
      </c>
      <c r="AE1144">
        <v>-6.6998000000000397</v>
      </c>
      <c r="AF1144">
        <v>5.1024552420937903</v>
      </c>
      <c r="AG1144">
        <v>-1.1054400798699999</v>
      </c>
      <c r="AH1144">
        <v>10.1735887763124</v>
      </c>
      <c r="AI1144">
        <v>95.547545735711793</v>
      </c>
      <c r="AJ1144">
        <v>63.364433040758698</v>
      </c>
      <c r="AK1144">
        <v>11.434988231618901</v>
      </c>
      <c r="AL1144">
        <v>80.212076750186299</v>
      </c>
      <c r="AM1144">
        <v>72.160727164572094</v>
      </c>
      <c r="AN1144">
        <v>1.0000000468100401</v>
      </c>
    </row>
    <row r="1145" spans="1:40" x14ac:dyDescent="0.25">
      <c r="A1145" t="str">
        <f>"20190312172350206"</f>
        <v>20190312172350206</v>
      </c>
      <c r="B1145" t="str">
        <f>"1552382630201028"</f>
        <v>1552382630201028</v>
      </c>
      <c r="C1145" t="s">
        <v>40</v>
      </c>
      <c r="D1145">
        <v>4.1360489999999999</v>
      </c>
      <c r="E1145">
        <v>0.55362889999999998</v>
      </c>
      <c r="F1145" t="s">
        <v>45</v>
      </c>
      <c r="G1145">
        <v>-199.26300000000001</v>
      </c>
      <c r="H1145" s="1">
        <v>-1.002505E-5</v>
      </c>
      <c r="I1145">
        <v>360.08749999999998</v>
      </c>
      <c r="J1145">
        <v>-208.6037</v>
      </c>
      <c r="K1145">
        <v>1.1053379999999999</v>
      </c>
      <c r="L1145">
        <v>366.86130000000003</v>
      </c>
      <c r="M1145">
        <v>0.98685719999999999</v>
      </c>
      <c r="N1145">
        <v>0</v>
      </c>
      <c r="O1145">
        <v>-0.1609284</v>
      </c>
      <c r="P1145">
        <v>0.87955149999999904</v>
      </c>
      <c r="Q1145">
        <v>0.16006409999999999</v>
      </c>
      <c r="R1145">
        <v>-0.44807229999999998</v>
      </c>
      <c r="S1145">
        <v>2.5420379999999998</v>
      </c>
      <c r="T1145">
        <v>-0.29478090000000001</v>
      </c>
      <c r="U1145">
        <v>-1.8154600000000001</v>
      </c>
      <c r="V1145">
        <v>0.30281459999999999</v>
      </c>
      <c r="W1145">
        <v>0.17007039999999901</v>
      </c>
      <c r="X1145">
        <v>0.93775229999999998</v>
      </c>
      <c r="Y1145">
        <v>0.4414111</v>
      </c>
      <c r="Z1145">
        <v>-6.4675740000000002E-3</v>
      </c>
      <c r="AA1145">
        <v>0.89728159999999901</v>
      </c>
      <c r="AB1145">
        <v>32</v>
      </c>
      <c r="AC1145">
        <v>9.3406999999999893</v>
      </c>
      <c r="AD1145">
        <v>-1.1053480250499901</v>
      </c>
      <c r="AE1145">
        <v>-6.7738000000000502</v>
      </c>
      <c r="AF1145">
        <v>5.1350209567831397</v>
      </c>
      <c r="AG1145">
        <v>-1.1053480250499901</v>
      </c>
      <c r="AH1145">
        <v>10.215392570113201</v>
      </c>
      <c r="AI1145">
        <v>95.522027962731499</v>
      </c>
      <c r="AJ1145">
        <v>63.312473828312299</v>
      </c>
      <c r="AK1145">
        <v>11.4867088343271</v>
      </c>
      <c r="AL1145">
        <v>80.208087710244001</v>
      </c>
      <c r="AM1145">
        <v>72.103936064027806</v>
      </c>
      <c r="AN1145">
        <v>0.99999999954230401</v>
      </c>
    </row>
    <row r="1146" spans="1:40" x14ac:dyDescent="0.25">
      <c r="A1146" t="str">
        <f>"20190312172350225"</f>
        <v>20190312172350225</v>
      </c>
      <c r="B1146" t="str">
        <f>"1552382630220546"</f>
        <v>1552382630220546</v>
      </c>
      <c r="C1146" t="s">
        <v>40</v>
      </c>
      <c r="D1146">
        <v>4.2107060000000001</v>
      </c>
      <c r="E1146">
        <v>0.55453920000000001</v>
      </c>
      <c r="F1146" t="s">
        <v>45</v>
      </c>
      <c r="G1146">
        <v>-199.29040000000001</v>
      </c>
      <c r="H1146" s="1">
        <v>-1.002592E-5</v>
      </c>
      <c r="I1146">
        <v>360.14359999999999</v>
      </c>
      <c r="J1146">
        <v>-208.3451</v>
      </c>
      <c r="K1146">
        <v>1.10521</v>
      </c>
      <c r="L1146">
        <v>366.81389999999999</v>
      </c>
      <c r="M1146">
        <v>0.98599829999999999</v>
      </c>
      <c r="N1146">
        <v>0</v>
      </c>
      <c r="O1146">
        <v>-0.16610829999999999</v>
      </c>
      <c r="P1146">
        <v>0.87605029999999995</v>
      </c>
      <c r="Q1146">
        <v>0.16032439999999901</v>
      </c>
      <c r="R1146">
        <v>-0.45478829999999998</v>
      </c>
      <c r="S1146">
        <v>2.5343170000000002</v>
      </c>
      <c r="T1146">
        <v>-0.30078569999999999</v>
      </c>
      <c r="U1146">
        <v>-1.828003</v>
      </c>
      <c r="V1146">
        <v>0.30513420000000002</v>
      </c>
      <c r="W1146">
        <v>0.17020389999999999</v>
      </c>
      <c r="X1146">
        <v>0.93697589999999997</v>
      </c>
      <c r="Y1146">
        <v>0.44089640000000002</v>
      </c>
      <c r="Z1146">
        <v>-6.051084E-3</v>
      </c>
      <c r="AA1146">
        <v>0.89753760000000005</v>
      </c>
      <c r="AB1146">
        <v>32</v>
      </c>
      <c r="AC1146">
        <v>9.0546999999999898</v>
      </c>
      <c r="AD1146">
        <v>-1.10522002592</v>
      </c>
      <c r="AE1146">
        <v>-6.6702999999999903</v>
      </c>
      <c r="AF1146">
        <v>5.0248614028526601</v>
      </c>
      <c r="AG1146">
        <v>-1.10522002592</v>
      </c>
      <c r="AH1146">
        <v>9.9409848681772406</v>
      </c>
      <c r="AI1146">
        <v>95.666495883212804</v>
      </c>
      <c r="AJ1146">
        <v>63.184809201545001</v>
      </c>
      <c r="AK1146">
        <v>11.1934768313023</v>
      </c>
      <c r="AL1146">
        <v>80.200325978451104</v>
      </c>
      <c r="AM1146">
        <v>71.961718294639596</v>
      </c>
      <c r="AN1146">
        <v>1.0000000423828199</v>
      </c>
    </row>
    <row r="1147" spans="1:40" x14ac:dyDescent="0.25">
      <c r="A1147" t="str">
        <f>"20190312172350238"</f>
        <v>20190312172350238</v>
      </c>
      <c r="B1147" t="str">
        <f>"1552382630231283"</f>
        <v>1552382630231283</v>
      </c>
      <c r="C1147" t="s">
        <v>40</v>
      </c>
      <c r="D1147">
        <v>4.1482199999999896</v>
      </c>
      <c r="E1147">
        <v>0.55453920000000001</v>
      </c>
      <c r="F1147" t="s">
        <v>45</v>
      </c>
      <c r="G1147">
        <v>-198.8982</v>
      </c>
      <c r="H1147" s="1">
        <v>-9.9332559999999999E-6</v>
      </c>
      <c r="I1147">
        <v>359.8553</v>
      </c>
      <c r="J1147">
        <v>-208.1694</v>
      </c>
      <c r="K1147">
        <v>1.1051200000000001</v>
      </c>
      <c r="L1147">
        <v>366.7808</v>
      </c>
      <c r="M1147">
        <v>0.98538419999999904</v>
      </c>
      <c r="N1147">
        <v>0</v>
      </c>
      <c r="O1147">
        <v>-0.1697128</v>
      </c>
      <c r="P1147">
        <v>0.87365890000000002</v>
      </c>
      <c r="Q1147">
        <v>0.16074260000000001</v>
      </c>
      <c r="R1147">
        <v>-0.45921869999999998</v>
      </c>
      <c r="S1147">
        <v>2.516159</v>
      </c>
      <c r="T1147">
        <v>-0.294373</v>
      </c>
      <c r="U1147">
        <v>-1.853394</v>
      </c>
      <c r="V1147">
        <v>0.3065118</v>
      </c>
      <c r="W1147">
        <v>0.17053789999999999</v>
      </c>
      <c r="X1147">
        <v>0.93646529999999994</v>
      </c>
      <c r="Y1147">
        <v>0.44661129999999999</v>
      </c>
      <c r="Z1147">
        <v>-5.8813819999999897E-3</v>
      </c>
      <c r="AA1147">
        <v>0.89470879999999997</v>
      </c>
      <c r="AB1147">
        <v>32</v>
      </c>
      <c r="AC1147">
        <v>9.2711999999999897</v>
      </c>
      <c r="AD1147">
        <v>-1.1051299332560001</v>
      </c>
      <c r="AE1147">
        <v>-6.9255000000000004</v>
      </c>
      <c r="AF1147">
        <v>5.2039436544570004</v>
      </c>
      <c r="AG1147">
        <v>-1.1051299332560001</v>
      </c>
      <c r="AH1147">
        <v>10.2189558511163</v>
      </c>
      <c r="AI1147">
        <v>95.504535731032902</v>
      </c>
      <c r="AJ1147">
        <v>63.012796092025901</v>
      </c>
      <c r="AK1147">
        <v>11.5208246412835</v>
      </c>
      <c r="AL1147">
        <v>80.180904426101804</v>
      </c>
      <c r="AM1147">
        <v>71.876357661644207</v>
      </c>
      <c r="AN1147">
        <v>0.999999958489869</v>
      </c>
    </row>
    <row r="1148" spans="1:40" x14ac:dyDescent="0.25">
      <c r="A1148" t="str">
        <f>"20190312172350248"</f>
        <v>20190312172350248</v>
      </c>
      <c r="B1148" t="str">
        <f>"1552382630241042"</f>
        <v>1552382630241042</v>
      </c>
      <c r="C1148" t="s">
        <v>40</v>
      </c>
      <c r="D1148">
        <v>4.1604289999999997</v>
      </c>
      <c r="E1148">
        <v>0.59099999999999997</v>
      </c>
      <c r="F1148" t="s">
        <v>45</v>
      </c>
      <c r="G1148">
        <v>-198.71019999999999</v>
      </c>
      <c r="H1148" s="1">
        <v>-9.8856489999999997E-6</v>
      </c>
      <c r="I1148">
        <v>359.73779999999999</v>
      </c>
      <c r="J1148">
        <v>-208.0181</v>
      </c>
      <c r="K1148">
        <v>1.1050450000000001</v>
      </c>
      <c r="L1148">
        <v>366.7516</v>
      </c>
      <c r="M1148">
        <v>0.98483379999999998</v>
      </c>
      <c r="N1148">
        <v>0</v>
      </c>
      <c r="O1148">
        <v>-0.17287729999999901</v>
      </c>
      <c r="P1148">
        <v>0.87137279999999995</v>
      </c>
      <c r="Q1148">
        <v>0.16091939999999999</v>
      </c>
      <c r="R1148">
        <v>-0.46348070000000002</v>
      </c>
      <c r="S1148">
        <v>2.5066830000000002</v>
      </c>
      <c r="T1148">
        <v>-0.29285919999999999</v>
      </c>
      <c r="U1148">
        <v>-1.8663940000000001</v>
      </c>
      <c r="V1148">
        <v>0.30812070000000003</v>
      </c>
      <c r="W1148">
        <v>0.1706357</v>
      </c>
      <c r="X1148">
        <v>0.93591939999999996</v>
      </c>
      <c r="Y1148">
        <v>0.44835979999999998</v>
      </c>
      <c r="Z1148">
        <v>-5.6379610000000004E-3</v>
      </c>
      <c r="AA1148">
        <v>0.89383539999999995</v>
      </c>
      <c r="AB1148">
        <v>32</v>
      </c>
      <c r="AC1148">
        <v>9.3079000000000107</v>
      </c>
      <c r="AD1148">
        <v>-1.1050548856489999</v>
      </c>
      <c r="AE1148">
        <v>-7.0137999999999998</v>
      </c>
      <c r="AF1148">
        <v>5.2516609001004397</v>
      </c>
      <c r="AG1148">
        <v>-1.1050548856489999</v>
      </c>
      <c r="AH1148">
        <v>10.2878910759154</v>
      </c>
      <c r="AI1148">
        <v>95.464811850760398</v>
      </c>
      <c r="AJ1148">
        <v>62.9570468871554</v>
      </c>
      <c r="AK1148">
        <v>11.603524951489501</v>
      </c>
      <c r="AL1148">
        <v>80.175218110575798</v>
      </c>
      <c r="AM1148">
        <v>71.777569537736696</v>
      </c>
      <c r="AN1148">
        <v>1.00000001558966</v>
      </c>
    </row>
    <row r="1149" spans="1:40" x14ac:dyDescent="0.25">
      <c r="A1149" t="str">
        <f>"20190312172350259"</f>
        <v>20190312172350259</v>
      </c>
      <c r="B1149" t="str">
        <f>"1552382630250802"</f>
        <v>1552382630250802</v>
      </c>
      <c r="C1149" t="s">
        <v>40</v>
      </c>
      <c r="D1149">
        <v>4.1725149999999998</v>
      </c>
      <c r="E1149">
        <v>0.59246560000000004</v>
      </c>
      <c r="F1149" t="s">
        <v>45</v>
      </c>
      <c r="G1149">
        <v>-196.21260000000001</v>
      </c>
      <c r="H1149" s="1">
        <v>-5.02415E-6</v>
      </c>
      <c r="I1149">
        <v>356.07830000000001</v>
      </c>
      <c r="J1149">
        <v>-207.8579</v>
      </c>
      <c r="K1149">
        <v>1.104968</v>
      </c>
      <c r="L1149">
        <v>366.72030000000001</v>
      </c>
      <c r="M1149">
        <v>0.98423479999999997</v>
      </c>
      <c r="N1149">
        <v>0</v>
      </c>
      <c r="O1149">
        <v>-0.17625539999999901</v>
      </c>
      <c r="P1149">
        <v>0.86907109999999999</v>
      </c>
      <c r="Q1149">
        <v>0.16098959999999901</v>
      </c>
      <c r="R1149">
        <v>-0.46775840000000002</v>
      </c>
      <c r="S1149">
        <v>2.3523100000000001</v>
      </c>
      <c r="T1149">
        <v>-0.22018750000000001</v>
      </c>
      <c r="U1149">
        <v>-2.126709</v>
      </c>
      <c r="V1149">
        <v>0.30954969999999998</v>
      </c>
      <c r="W1149">
        <v>0.17062720000000001</v>
      </c>
      <c r="X1149">
        <v>0.93544930000000004</v>
      </c>
      <c r="Y1149">
        <v>0.52856139999999996</v>
      </c>
      <c r="Z1149">
        <v>-7.2922709999999899E-3</v>
      </c>
      <c r="AA1149">
        <v>0.84886379999999995</v>
      </c>
      <c r="AB1149">
        <v>31</v>
      </c>
      <c r="AC1149">
        <v>11.645299999999899</v>
      </c>
      <c r="AD1149">
        <v>-1.10497302415</v>
      </c>
      <c r="AE1149">
        <v>-10.6419999999999</v>
      </c>
      <c r="AF1149">
        <v>8.3814683781543309</v>
      </c>
      <c r="AG1149">
        <v>-1.10497302415</v>
      </c>
      <c r="AH1149">
        <v>13.2737367369197</v>
      </c>
      <c r="AI1149">
        <v>94.0262621947208</v>
      </c>
      <c r="AJ1149">
        <v>57.730355485236302</v>
      </c>
      <c r="AK1149">
        <v>15.737282628178001</v>
      </c>
      <c r="AL1149">
        <v>80.175712471520995</v>
      </c>
      <c r="AM1149">
        <v>71.6900944844256</v>
      </c>
      <c r="AN1149">
        <v>1.0000000255102</v>
      </c>
    </row>
    <row r="1150" spans="1:40" x14ac:dyDescent="0.25">
      <c r="A1150" t="str">
        <f>"20190312172350271"</f>
        <v>20190312172350271</v>
      </c>
      <c r="B1150" t="str">
        <f>"1552382630260563"</f>
        <v>1552382630260563</v>
      </c>
      <c r="C1150" t="s">
        <v>40</v>
      </c>
      <c r="D1150">
        <v>4.1203139999999996</v>
      </c>
      <c r="E1150">
        <v>0.58925879999999997</v>
      </c>
      <c r="F1150" t="s">
        <v>45</v>
      </c>
      <c r="G1150">
        <v>-196.00790000000001</v>
      </c>
      <c r="H1150" s="1">
        <v>-4.8583230000000001E-6</v>
      </c>
      <c r="I1150">
        <v>355.81970000000001</v>
      </c>
      <c r="J1150">
        <v>-207.70609999999999</v>
      </c>
      <c r="K1150">
        <v>1.1048910000000001</v>
      </c>
      <c r="L1150">
        <v>366.68979999999999</v>
      </c>
      <c r="M1150">
        <v>0.98363979999999995</v>
      </c>
      <c r="N1150">
        <v>0</v>
      </c>
      <c r="O1150">
        <v>-0.1795456</v>
      </c>
      <c r="P1150">
        <v>0.86677389999999999</v>
      </c>
      <c r="Q1150">
        <v>0.1609227</v>
      </c>
      <c r="R1150">
        <v>-0.47202440000000001</v>
      </c>
      <c r="S1150">
        <v>2.3358310000000002</v>
      </c>
      <c r="T1150">
        <v>-0.21780849999999999</v>
      </c>
      <c r="U1150">
        <v>-2.148682</v>
      </c>
      <c r="V1150">
        <v>0.31105240000000001</v>
      </c>
      <c r="W1150">
        <v>0.1704811</v>
      </c>
      <c r="X1150">
        <v>0.93497739999999996</v>
      </c>
      <c r="Y1150">
        <v>0.5330454</v>
      </c>
      <c r="Z1150">
        <v>-7.1635730000000003E-3</v>
      </c>
      <c r="AA1150">
        <v>0.84605629999999998</v>
      </c>
      <c r="AB1150">
        <v>31</v>
      </c>
      <c r="AC1150">
        <v>11.6981999999999</v>
      </c>
      <c r="AD1150">
        <v>-1.104895858323</v>
      </c>
      <c r="AE1150">
        <v>-10.8700999999999</v>
      </c>
      <c r="AF1150">
        <v>8.5518907810380593</v>
      </c>
      <c r="AG1150">
        <v>-1.104895858323</v>
      </c>
      <c r="AH1150">
        <v>13.395818500192799</v>
      </c>
      <c r="AI1150">
        <v>93.976892738207198</v>
      </c>
      <c r="AJ1150">
        <v>57.445838355388602</v>
      </c>
      <c r="AK1150">
        <v>15.931214143267599</v>
      </c>
      <c r="AL1150">
        <v>80.184208295102195</v>
      </c>
      <c r="AM1150">
        <v>71.598520458667906</v>
      </c>
      <c r="AN1150">
        <v>1.0000000697568601</v>
      </c>
    </row>
    <row r="1151" spans="1:40" x14ac:dyDescent="0.25">
      <c r="A1151" t="str">
        <f>"20190312172350283"</f>
        <v>20190312172350283</v>
      </c>
      <c r="B1151" t="str">
        <f>"1552382630281058"</f>
        <v>1552382630281058</v>
      </c>
      <c r="C1151" t="s">
        <v>40</v>
      </c>
      <c r="D1151">
        <v>4.1836479999999998</v>
      </c>
      <c r="E1151">
        <v>0.59187440000000002</v>
      </c>
      <c r="F1151" t="s">
        <v>45</v>
      </c>
      <c r="G1151">
        <v>-196.84630000000001</v>
      </c>
      <c r="H1151" s="1">
        <v>-5.4040350000000002E-6</v>
      </c>
      <c r="I1151">
        <v>356.75490000000002</v>
      </c>
      <c r="J1151">
        <v>-207.52930000000001</v>
      </c>
      <c r="K1151">
        <v>1.1047990000000001</v>
      </c>
      <c r="L1151">
        <v>366.65379999999999</v>
      </c>
      <c r="M1151">
        <v>0.98292619999999997</v>
      </c>
      <c r="N1151">
        <v>0</v>
      </c>
      <c r="O1151">
        <v>-0.1834112</v>
      </c>
      <c r="P1151">
        <v>0.86409599999999898</v>
      </c>
      <c r="Q1151">
        <v>0.16091649999999999</v>
      </c>
      <c r="R1151">
        <v>-0.47691090000000003</v>
      </c>
      <c r="S1151">
        <v>2.3396759999999999</v>
      </c>
      <c r="T1151">
        <v>-0.2380419</v>
      </c>
      <c r="U1151">
        <v>-2.1404109999999998</v>
      </c>
      <c r="V1151">
        <v>0.31269770000000002</v>
      </c>
      <c r="W1151">
        <v>0.17038239999999999</v>
      </c>
      <c r="X1151">
        <v>0.93444629999999995</v>
      </c>
      <c r="Y1151">
        <v>0.52726079999999997</v>
      </c>
      <c r="Z1151">
        <v>-7.2568019999999997E-3</v>
      </c>
      <c r="AA1151">
        <v>0.8496726</v>
      </c>
      <c r="AB1151">
        <v>31</v>
      </c>
      <c r="AC1151">
        <v>10.6829999999999</v>
      </c>
      <c r="AD1151">
        <v>-1.104804404035</v>
      </c>
      <c r="AE1151">
        <v>-9.8988999999999692</v>
      </c>
      <c r="AF1151">
        <v>7.7268837078427897</v>
      </c>
      <c r="AG1151">
        <v>-1.104804404035</v>
      </c>
      <c r="AH1151">
        <v>12.2470283600814</v>
      </c>
      <c r="AI1151">
        <v>94.362887802027799</v>
      </c>
      <c r="AJ1151">
        <v>57.7513910957287</v>
      </c>
      <c r="AK1151">
        <v>14.522913903839701</v>
      </c>
      <c r="AL1151">
        <v>80.189946174017706</v>
      </c>
      <c r="AM1151">
        <v>71.497996074666105</v>
      </c>
      <c r="AN1151">
        <v>0.99999995069936798</v>
      </c>
    </row>
    <row r="1152" spans="1:40" x14ac:dyDescent="0.25">
      <c r="A1152" t="str">
        <f>"20190312172350295"</f>
        <v>20190312172350295</v>
      </c>
      <c r="B1152" t="str">
        <f>"1552382630290818"</f>
        <v>1552382630290818</v>
      </c>
      <c r="C1152" t="s">
        <v>40</v>
      </c>
      <c r="D1152">
        <v>4.1694820000000004</v>
      </c>
      <c r="E1152">
        <v>0.59219650000000001</v>
      </c>
      <c r="F1152" t="s">
        <v>45</v>
      </c>
      <c r="G1152">
        <v>-196.46979999999999</v>
      </c>
      <c r="H1152" s="1">
        <v>-5.1775769999999998E-6</v>
      </c>
      <c r="I1152">
        <v>356.28519999999997</v>
      </c>
      <c r="J1152">
        <v>-207.36109999999999</v>
      </c>
      <c r="K1152">
        <v>1.1047039999999999</v>
      </c>
      <c r="L1152">
        <v>366.61869999999999</v>
      </c>
      <c r="M1152">
        <v>0.98221499999999995</v>
      </c>
      <c r="N1152">
        <v>0</v>
      </c>
      <c r="O1152">
        <v>-0.18718209999999999</v>
      </c>
      <c r="P1152">
        <v>0.86133179999999998</v>
      </c>
      <c r="Q1152">
        <v>0.16108449999999999</v>
      </c>
      <c r="R1152">
        <v>-0.48182920000000001</v>
      </c>
      <c r="S1152">
        <v>2.31636</v>
      </c>
      <c r="T1152">
        <v>-0.23139660000000001</v>
      </c>
      <c r="U1152">
        <v>-2.1716609999999998</v>
      </c>
      <c r="V1152">
        <v>0.31448910000000002</v>
      </c>
      <c r="W1152">
        <v>0.1704543</v>
      </c>
      <c r="X1152">
        <v>0.93383190000000005</v>
      </c>
      <c r="Y1152">
        <v>0.53440459999999901</v>
      </c>
      <c r="Z1152">
        <v>-7.0825530000000001E-3</v>
      </c>
      <c r="AA1152">
        <v>0.84519920000000004</v>
      </c>
      <c r="AB1152">
        <v>31</v>
      </c>
      <c r="AC1152">
        <v>10.891299999999999</v>
      </c>
      <c r="AD1152">
        <v>-1.1047091775769999</v>
      </c>
      <c r="AE1152">
        <v>-10.333500000000001</v>
      </c>
      <c r="AF1152">
        <v>8.0682570695769904</v>
      </c>
      <c r="AG1152">
        <v>-1.1047091775769999</v>
      </c>
      <c r="AH1152">
        <v>12.565181308688301</v>
      </c>
      <c r="AI1152">
        <v>94.231035491792298</v>
      </c>
      <c r="AJ1152">
        <v>57.294982238156798</v>
      </c>
      <c r="AK1152">
        <v>14.973340837235099</v>
      </c>
      <c r="AL1152">
        <v>80.185766335230198</v>
      </c>
      <c r="AM1152">
        <v>71.387878941094598</v>
      </c>
      <c r="AN1152">
        <v>1.00000003993245</v>
      </c>
    </row>
    <row r="1153" spans="1:40" x14ac:dyDescent="0.25">
      <c r="A1153" t="str">
        <f>"20190312172350312"</f>
        <v>20190312172350312</v>
      </c>
      <c r="B1153" t="str">
        <f>"1552382630300580"</f>
        <v>1552382630300580</v>
      </c>
      <c r="C1153" t="s">
        <v>40</v>
      </c>
      <c r="D1153">
        <v>4.1648630000000004</v>
      </c>
      <c r="E1153">
        <v>0.59253440000000002</v>
      </c>
      <c r="F1153" t="s">
        <v>45</v>
      </c>
      <c r="G1153">
        <v>-196.2242</v>
      </c>
      <c r="H1153" s="1">
        <v>-5.0067150000000001E-6</v>
      </c>
      <c r="I1153">
        <v>356.03539999999998</v>
      </c>
      <c r="J1153">
        <v>-207.1413</v>
      </c>
      <c r="K1153">
        <v>1.104584</v>
      </c>
      <c r="L1153">
        <v>366.57170000000002</v>
      </c>
      <c r="M1153">
        <v>0.98124520000000004</v>
      </c>
      <c r="N1153">
        <v>0</v>
      </c>
      <c r="O1153">
        <v>-0.1921996</v>
      </c>
      <c r="P1153">
        <v>0.85808519999999899</v>
      </c>
      <c r="Q1153">
        <v>0.16141710000000001</v>
      </c>
      <c r="R1153">
        <v>-0.4874773</v>
      </c>
      <c r="S1153">
        <v>2.301987</v>
      </c>
      <c r="T1153">
        <v>-0.22834209999999999</v>
      </c>
      <c r="U1153">
        <v>-2.1875610000000001</v>
      </c>
      <c r="V1153">
        <v>0.31592160000000002</v>
      </c>
      <c r="W1153">
        <v>0.17067839999999901</v>
      </c>
      <c r="X1153">
        <v>0.9333072</v>
      </c>
      <c r="Y1153">
        <v>0.53582039999999997</v>
      </c>
      <c r="Z1153">
        <v>-6.6716579999999996E-3</v>
      </c>
      <c r="AA1153">
        <v>0.84430559999999999</v>
      </c>
      <c r="AB1153">
        <v>31</v>
      </c>
      <c r="AC1153">
        <v>10.9171</v>
      </c>
      <c r="AD1153">
        <v>-1.1045890067149999</v>
      </c>
      <c r="AE1153">
        <v>-10.536300000000001</v>
      </c>
      <c r="AF1153">
        <v>8.1978750975608197</v>
      </c>
      <c r="AG1153">
        <v>-1.1045890067149999</v>
      </c>
      <c r="AH1153">
        <v>12.6716441345418</v>
      </c>
      <c r="AI1153">
        <v>94.185968656841098</v>
      </c>
      <c r="AJ1153">
        <v>57.099295977238398</v>
      </c>
      <c r="AK1153">
        <v>15.132608435475699</v>
      </c>
      <c r="AL1153">
        <v>80.1727345217584</v>
      </c>
      <c r="AM1153">
        <v>71.299199058093294</v>
      </c>
      <c r="AN1153">
        <v>0.99999995157247801</v>
      </c>
    </row>
    <row r="1154" spans="1:40" x14ac:dyDescent="0.25">
      <c r="A1154" t="str">
        <f>"20190312172350326"</f>
        <v>20190312172350326</v>
      </c>
      <c r="B1154" t="str">
        <f>"1552382630321075"</f>
        <v>1552382630321075</v>
      </c>
      <c r="C1154" t="s">
        <v>40</v>
      </c>
      <c r="D1154">
        <v>4.1540589999999904</v>
      </c>
      <c r="E1154">
        <v>0.59272559999999996</v>
      </c>
      <c r="F1154" t="s">
        <v>45</v>
      </c>
      <c r="G1154">
        <v>-195.9385</v>
      </c>
      <c r="H1154" s="1">
        <v>-4.8165399999999998E-6</v>
      </c>
      <c r="I1154">
        <v>355.76310000000001</v>
      </c>
      <c r="J1154">
        <v>-206.93539999999999</v>
      </c>
      <c r="K1154">
        <v>1.104476</v>
      </c>
      <c r="L1154">
        <v>366.52659999999997</v>
      </c>
      <c r="M1154">
        <v>0.98029440000000001</v>
      </c>
      <c r="N1154">
        <v>0</v>
      </c>
      <c r="O1154">
        <v>-0.19699079999999999</v>
      </c>
      <c r="P1154">
        <v>0.85345919999999897</v>
      </c>
      <c r="Q1154">
        <v>0.16190669999999999</v>
      </c>
      <c r="R1154">
        <v>-0.49537199999999998</v>
      </c>
      <c r="S1154">
        <v>2.2857210000000001</v>
      </c>
      <c r="T1154">
        <v>-0.22537119999999999</v>
      </c>
      <c r="U1154">
        <v>-2.205292</v>
      </c>
      <c r="V1154">
        <v>0.32005169999999999</v>
      </c>
      <c r="W1154">
        <v>0.1710101</v>
      </c>
      <c r="X1154">
        <v>0.93183819999999995</v>
      </c>
      <c r="Y1154">
        <v>0.53811709999999902</v>
      </c>
      <c r="Z1154">
        <v>-6.3273519999999996E-3</v>
      </c>
      <c r="AA1154">
        <v>0.84284629999999905</v>
      </c>
      <c r="AB1154">
        <v>31</v>
      </c>
      <c r="AC1154">
        <v>10.996899999999901</v>
      </c>
      <c r="AD1154">
        <v>-1.10448081654</v>
      </c>
      <c r="AE1154">
        <v>-10.763499999999899</v>
      </c>
      <c r="AF1154">
        <v>8.3430406964414701</v>
      </c>
      <c r="AG1154">
        <v>-1.10448081654</v>
      </c>
      <c r="AH1154">
        <v>12.8357852594796</v>
      </c>
      <c r="AI1154">
        <v>94.126518631269306</v>
      </c>
      <c r="AJ1154">
        <v>56.976821929946503</v>
      </c>
      <c r="AK1154">
        <v>15.3487324937292</v>
      </c>
      <c r="AL1154">
        <v>80.153446292727693</v>
      </c>
      <c r="AM1154">
        <v>71.044313041569794</v>
      </c>
      <c r="AN1154">
        <v>0.99999998797706902</v>
      </c>
    </row>
    <row r="1155" spans="1:40" x14ac:dyDescent="0.25">
      <c r="A1155" t="str">
        <f>"20190312172350340"</f>
        <v>20190312172350340</v>
      </c>
      <c r="B1155" t="str">
        <f>"1552382630330834"</f>
        <v>1552382630330834</v>
      </c>
      <c r="C1155" t="s">
        <v>40</v>
      </c>
      <c r="D1155">
        <v>4.1752789999999997</v>
      </c>
      <c r="E1155">
        <v>0.59287709999999905</v>
      </c>
      <c r="F1155" t="s">
        <v>45</v>
      </c>
      <c r="G1155">
        <v>-195.68450000000001</v>
      </c>
      <c r="H1155" s="1">
        <v>-4.6201169999999999E-6</v>
      </c>
      <c r="I1155">
        <v>355.46230000000003</v>
      </c>
      <c r="J1155">
        <v>-206.73740000000001</v>
      </c>
      <c r="K1155">
        <v>1.104368</v>
      </c>
      <c r="L1155">
        <v>366.48230000000001</v>
      </c>
      <c r="M1155">
        <v>0.97934109999999996</v>
      </c>
      <c r="N1155">
        <v>0</v>
      </c>
      <c r="O1155">
        <v>-0.2016762</v>
      </c>
      <c r="P1155">
        <v>0.85010330000000001</v>
      </c>
      <c r="Q1155">
        <v>0.16231779999999901</v>
      </c>
      <c r="R1155">
        <v>-0.50097630000000004</v>
      </c>
      <c r="S1155">
        <v>2.2646329999999999</v>
      </c>
      <c r="T1155">
        <v>-0.22231590000000001</v>
      </c>
      <c r="U1155">
        <v>-2.2270810000000001</v>
      </c>
      <c r="V1155">
        <v>0.32179809999999998</v>
      </c>
      <c r="W1155">
        <v>0.171311299999999</v>
      </c>
      <c r="X1155">
        <v>0.93118120000000004</v>
      </c>
      <c r="Y1155">
        <v>0.54214949999999995</v>
      </c>
      <c r="Z1155">
        <v>-6.0726360000000002E-3</v>
      </c>
      <c r="AA1155">
        <v>0.84026009999999995</v>
      </c>
      <c r="AB1155">
        <v>31</v>
      </c>
      <c r="AC1155">
        <v>11.0528999999999</v>
      </c>
      <c r="AD1155">
        <v>-1.1043726201170001</v>
      </c>
      <c r="AE1155">
        <v>-11.0199999999999</v>
      </c>
      <c r="AF1155">
        <v>8.5215007886532206</v>
      </c>
      <c r="AG1155">
        <v>-1.1043726201170001</v>
      </c>
      <c r="AH1155">
        <v>12.983448775251899</v>
      </c>
      <c r="AI1155">
        <v>94.067540036620599</v>
      </c>
      <c r="AJ1155">
        <v>56.721680471617098</v>
      </c>
      <c r="AK1155">
        <v>15.5693788146693</v>
      </c>
      <c r="AL1155">
        <v>80.135930471859695</v>
      </c>
      <c r="AM1155">
        <v>70.935846543663203</v>
      </c>
      <c r="AN1155">
        <v>1.0000000029523699</v>
      </c>
    </row>
    <row r="1156" spans="1:40" x14ac:dyDescent="0.25">
      <c r="A1156" t="str">
        <f>"20190312172350356"</f>
        <v>20190312172350356</v>
      </c>
      <c r="B1156" t="str">
        <f>"1552382630351330"</f>
        <v>1552382630351330</v>
      </c>
      <c r="C1156" t="s">
        <v>40</v>
      </c>
      <c r="D1156">
        <v>4.1929860000000003</v>
      </c>
      <c r="E1156">
        <v>0.5929934</v>
      </c>
      <c r="F1156" t="s">
        <v>45</v>
      </c>
      <c r="G1156">
        <v>-195.5232</v>
      </c>
      <c r="H1156" s="1">
        <v>-4.505619E-6</v>
      </c>
      <c r="I1156">
        <v>355.29329999999999</v>
      </c>
      <c r="J1156">
        <v>-206.5403</v>
      </c>
      <c r="K1156">
        <v>1.10426</v>
      </c>
      <c r="L1156">
        <v>366.43669999999997</v>
      </c>
      <c r="M1156">
        <v>0.97834299999999996</v>
      </c>
      <c r="N1156">
        <v>0</v>
      </c>
      <c r="O1156">
        <v>-0.20646349999999999</v>
      </c>
      <c r="P1156">
        <v>0.84653269999999903</v>
      </c>
      <c r="Q1156">
        <v>0.1628328</v>
      </c>
      <c r="R1156">
        <v>-0.50682129999999903</v>
      </c>
      <c r="S1156">
        <v>2.2489469999999998</v>
      </c>
      <c r="T1156">
        <v>-0.22147439999999999</v>
      </c>
      <c r="U1156">
        <v>-2.2438660000000001</v>
      </c>
      <c r="V1156">
        <v>0.323737099999999</v>
      </c>
      <c r="W1156">
        <v>0.17171339999999999</v>
      </c>
      <c r="X1156">
        <v>0.93043480000000001</v>
      </c>
      <c r="Y1156">
        <v>0.54412559999999999</v>
      </c>
      <c r="Z1156">
        <v>-5.78167E-3</v>
      </c>
      <c r="AA1156">
        <v>0.8389839</v>
      </c>
      <c r="AB1156">
        <v>31</v>
      </c>
      <c r="AC1156">
        <v>11.017099999999999</v>
      </c>
      <c r="AD1156">
        <v>-1.1042645056189999</v>
      </c>
      <c r="AE1156">
        <v>-11.1433999999999</v>
      </c>
      <c r="AF1156">
        <v>8.5857416026608995</v>
      </c>
      <c r="AG1156">
        <v>-1.1042645056189999</v>
      </c>
      <c r="AH1156">
        <v>13.015995691074901</v>
      </c>
      <c r="AI1156">
        <v>94.050895171999201</v>
      </c>
      <c r="AJ1156">
        <v>56.5899571634422</v>
      </c>
      <c r="AK1156">
        <v>15.6317146467083</v>
      </c>
      <c r="AL1156">
        <v>80.112545880148701</v>
      </c>
      <c r="AM1156">
        <v>70.815081097496801</v>
      </c>
      <c r="AN1156">
        <v>1.0000000593534999</v>
      </c>
    </row>
    <row r="1157" spans="1:40" x14ac:dyDescent="0.25">
      <c r="A1157" t="str">
        <f>"20190312172350370"</f>
        <v>20190312172350370</v>
      </c>
      <c r="B1157" t="str">
        <f>"1552382630361091"</f>
        <v>1552382630361091</v>
      </c>
      <c r="C1157" t="s">
        <v>40</v>
      </c>
      <c r="D1157">
        <v>4.1879429999999997</v>
      </c>
      <c r="E1157">
        <v>0.5929721</v>
      </c>
      <c r="F1157" t="s">
        <v>45</v>
      </c>
      <c r="G1157">
        <v>-195.3699</v>
      </c>
      <c r="H1157" s="1">
        <v>-4.3953239999999999E-6</v>
      </c>
      <c r="I1157">
        <v>355.12950000000001</v>
      </c>
      <c r="J1157">
        <v>-206.33320000000001</v>
      </c>
      <c r="K1157">
        <v>1.1041479999999999</v>
      </c>
      <c r="L1157">
        <v>366.38780000000003</v>
      </c>
      <c r="M1157">
        <v>0.97724900000000003</v>
      </c>
      <c r="N1157">
        <v>0</v>
      </c>
      <c r="O1157">
        <v>-0.21157980000000001</v>
      </c>
      <c r="P1157">
        <v>0.84199360000000001</v>
      </c>
      <c r="Q1157">
        <v>0.16333510000000001</v>
      </c>
      <c r="R1157">
        <v>-0.51416759999999995</v>
      </c>
      <c r="S1157">
        <v>2.2330320000000001</v>
      </c>
      <c r="T1157">
        <v>-0.2207489</v>
      </c>
      <c r="U1157">
        <v>-2.2603759999999999</v>
      </c>
      <c r="V1157">
        <v>0.32704699999999998</v>
      </c>
      <c r="W1157">
        <v>0.172069</v>
      </c>
      <c r="X1157">
        <v>0.92921069999999995</v>
      </c>
      <c r="Y1157">
        <v>0.54580189999999995</v>
      </c>
      <c r="Z1157">
        <v>-5.4580469999999997E-3</v>
      </c>
      <c r="AA1157">
        <v>0.83789650000000004</v>
      </c>
      <c r="AB1157">
        <v>31</v>
      </c>
      <c r="AC1157">
        <v>10.9633</v>
      </c>
      <c r="AD1157">
        <v>-1.104152395324</v>
      </c>
      <c r="AE1157">
        <v>-11.2583</v>
      </c>
      <c r="AF1157">
        <v>8.6408382046717396</v>
      </c>
      <c r="AG1157">
        <v>-1.104152395324</v>
      </c>
      <c r="AH1157">
        <v>13.032989469718199</v>
      </c>
      <c r="AI1157">
        <v>94.038979632161698</v>
      </c>
      <c r="AJ1157">
        <v>56.455725106280099</v>
      </c>
      <c r="AK1157">
        <v>15.6761618998146</v>
      </c>
      <c r="AL1157">
        <v>80.091863102606595</v>
      </c>
      <c r="AM1157">
        <v>70.6098608447858</v>
      </c>
      <c r="AN1157">
        <v>1.00000000298224</v>
      </c>
    </row>
    <row r="1158" spans="1:40" x14ac:dyDescent="0.25">
      <c r="A1158" t="str">
        <f>"20190312172350382"</f>
        <v>20190312172350382</v>
      </c>
      <c r="B1158" t="str">
        <f>"1552382630370851"</f>
        <v>1552382630370851</v>
      </c>
      <c r="C1158" t="s">
        <v>40</v>
      </c>
      <c r="D1158">
        <v>4.1735449999999998</v>
      </c>
      <c r="E1158">
        <v>0.59291959999999999</v>
      </c>
      <c r="F1158" t="s">
        <v>45</v>
      </c>
      <c r="G1158">
        <v>-195.22980000000001</v>
      </c>
      <c r="H1158" s="1">
        <v>-4.2795469999999997E-6</v>
      </c>
      <c r="I1158">
        <v>354.94760000000002</v>
      </c>
      <c r="J1158">
        <v>-206.1653</v>
      </c>
      <c r="K1158">
        <v>1.104053</v>
      </c>
      <c r="L1158">
        <v>366.34750000000003</v>
      </c>
      <c r="M1158">
        <v>0.97632929999999996</v>
      </c>
      <c r="N1158">
        <v>0</v>
      </c>
      <c r="O1158">
        <v>-0.21578330000000001</v>
      </c>
      <c r="P1158">
        <v>0.83884959999999997</v>
      </c>
      <c r="Q1158">
        <v>0.1634417</v>
      </c>
      <c r="R1158">
        <v>-0.51924749999999997</v>
      </c>
      <c r="S1158">
        <v>2.2131959999999999</v>
      </c>
      <c r="T1158">
        <v>-0.22008649999999999</v>
      </c>
      <c r="U1158">
        <v>-2.2803339999999999</v>
      </c>
      <c r="V1158">
        <v>0.3287137</v>
      </c>
      <c r="W1158">
        <v>0.17207649999999999</v>
      </c>
      <c r="X1158">
        <v>0.92862109999999998</v>
      </c>
      <c r="Y1158">
        <v>0.54961419999999905</v>
      </c>
      <c r="Z1158">
        <v>-5.298886E-3</v>
      </c>
      <c r="AA1158">
        <v>0.83540179999999997</v>
      </c>
      <c r="AB1158">
        <v>31</v>
      </c>
      <c r="AC1158">
        <v>10.9354999999999</v>
      </c>
      <c r="AD1158">
        <v>-1.1040572795470001</v>
      </c>
      <c r="AE1158">
        <v>-11.399900000000001</v>
      </c>
      <c r="AF1158">
        <v>8.7286801572664796</v>
      </c>
      <c r="AG1158">
        <v>-1.1040572795470001</v>
      </c>
      <c r="AH1158">
        <v>13.074130368719899</v>
      </c>
      <c r="AI1158">
        <v>94.017402489194495</v>
      </c>
      <c r="AJ1158">
        <v>56.271742133464599</v>
      </c>
      <c r="AK1158">
        <v>15.758860512824601</v>
      </c>
      <c r="AL1158">
        <v>80.091427677422899</v>
      </c>
      <c r="AM1158">
        <v>70.507033142909705</v>
      </c>
      <c r="AN1158">
        <v>1.0000000828925699</v>
      </c>
    </row>
    <row r="1159" spans="1:40" x14ac:dyDescent="0.25">
      <c r="A1159" t="str">
        <f>"20190312172350397"</f>
        <v>20190312172350397</v>
      </c>
      <c r="B1159" t="str">
        <f>"1552382630391346"</f>
        <v>1552382630391346</v>
      </c>
      <c r="C1159" t="s">
        <v>40</v>
      </c>
      <c r="D1159">
        <v>4.1911129999999996</v>
      </c>
      <c r="E1159">
        <v>0.59277489999999999</v>
      </c>
      <c r="F1159" t="s">
        <v>45</v>
      </c>
      <c r="G1159">
        <v>-195.1636</v>
      </c>
      <c r="H1159" s="1">
        <v>-4.2312539999999996E-6</v>
      </c>
      <c r="I1159">
        <v>354.87549999999999</v>
      </c>
      <c r="J1159">
        <v>-205.9606</v>
      </c>
      <c r="K1159">
        <v>1.103936</v>
      </c>
      <c r="L1159">
        <v>366.29680000000002</v>
      </c>
      <c r="M1159">
        <v>0.9751552</v>
      </c>
      <c r="N1159">
        <v>0</v>
      </c>
      <c r="O1159">
        <v>-0.22102769999999999</v>
      </c>
      <c r="P1159">
        <v>0.83516190000000001</v>
      </c>
      <c r="Q1159">
        <v>0.16337070000000001</v>
      </c>
      <c r="R1159">
        <v>-0.52518050000000005</v>
      </c>
      <c r="S1159">
        <v>2.1995849999999999</v>
      </c>
      <c r="T1159">
        <v>-0.22073519999999999</v>
      </c>
      <c r="U1159">
        <v>-2.2936100000000001</v>
      </c>
      <c r="V1159">
        <v>0.33035229999999999</v>
      </c>
      <c r="W1159">
        <v>0.17189380000000001</v>
      </c>
      <c r="X1159">
        <v>0.92807320000000004</v>
      </c>
      <c r="Y1159">
        <v>0.55012910000000004</v>
      </c>
      <c r="Z1159">
        <v>-4.9486629999999998E-3</v>
      </c>
      <c r="AA1159">
        <v>0.83506499999999995</v>
      </c>
      <c r="AB1159">
        <v>31</v>
      </c>
      <c r="AC1159">
        <v>10.796999999999899</v>
      </c>
      <c r="AD1159">
        <v>-1.1039402312540001</v>
      </c>
      <c r="AE1159">
        <v>-11.4213</v>
      </c>
      <c r="AF1159">
        <v>8.7090963305471494</v>
      </c>
      <c r="AG1159">
        <v>-1.1039402312540001</v>
      </c>
      <c r="AH1159">
        <v>12.9905155788319</v>
      </c>
      <c r="AI1159">
        <v>94.037556467042506</v>
      </c>
      <c r="AJ1159">
        <v>56.161324980780201</v>
      </c>
      <c r="AK1159">
        <v>15.678665055826899</v>
      </c>
      <c r="AL1159">
        <v>80.102053048865599</v>
      </c>
      <c r="AM1159">
        <v>70.406558610314306</v>
      </c>
      <c r="AN1159">
        <v>0.99999999257598404</v>
      </c>
    </row>
    <row r="1160" spans="1:40" x14ac:dyDescent="0.25">
      <c r="A1160" t="str">
        <f>"20190312172350408"</f>
        <v>20190312172350408</v>
      </c>
      <c r="B1160" t="str">
        <f>"1552382630401106"</f>
        <v>1552382630401106</v>
      </c>
      <c r="C1160" t="s">
        <v>40</v>
      </c>
      <c r="D1160">
        <v>4.248348</v>
      </c>
      <c r="E1160">
        <v>0.59248219999999996</v>
      </c>
      <c r="F1160" t="s">
        <v>45</v>
      </c>
      <c r="G1160">
        <v>-195.18520000000001</v>
      </c>
      <c r="H1160" s="1">
        <v>-4.2509250000000003E-6</v>
      </c>
      <c r="I1160">
        <v>354.9074</v>
      </c>
      <c r="J1160">
        <v>-205.80619999999999</v>
      </c>
      <c r="K1160">
        <v>1.103853</v>
      </c>
      <c r="L1160">
        <v>366.25779999999997</v>
      </c>
      <c r="M1160">
        <v>0.97423550000000003</v>
      </c>
      <c r="N1160">
        <v>0</v>
      </c>
      <c r="O1160">
        <v>-0.22504679999999999</v>
      </c>
      <c r="P1160">
        <v>0.83232589999999995</v>
      </c>
      <c r="Q1160">
        <v>0.16324520000000001</v>
      </c>
      <c r="R1160">
        <v>-0.52970249999999997</v>
      </c>
      <c r="S1160">
        <v>2.184158</v>
      </c>
      <c r="T1160">
        <v>-0.22376779999999999</v>
      </c>
      <c r="U1160">
        <v>-2.308624</v>
      </c>
      <c r="V1160">
        <v>0.33158969999999999</v>
      </c>
      <c r="W1160">
        <v>0.1716857</v>
      </c>
      <c r="X1160">
        <v>0.92767040000000001</v>
      </c>
      <c r="Y1160">
        <v>0.55232289999999995</v>
      </c>
      <c r="Z1160">
        <v>-4.8122520000000004E-3</v>
      </c>
      <c r="AA1160">
        <v>0.83361640000000004</v>
      </c>
      <c r="AB1160">
        <v>31</v>
      </c>
      <c r="AC1160">
        <v>10.620999999999899</v>
      </c>
      <c r="AD1160">
        <v>-1.103857250925</v>
      </c>
      <c r="AE1160">
        <v>-11.350399999999899</v>
      </c>
      <c r="AF1160">
        <v>8.6251962230291497</v>
      </c>
      <c r="AG1160">
        <v>-1.103857250925</v>
      </c>
      <c r="AH1160">
        <v>12.838400212045499</v>
      </c>
      <c r="AI1160">
        <v>94.082276120216207</v>
      </c>
      <c r="AJ1160">
        <v>56.105690421129999</v>
      </c>
      <c r="AK1160">
        <v>15.5060320753191</v>
      </c>
      <c r="AL1160">
        <v>80.114156703372899</v>
      </c>
      <c r="AM1160">
        <v>70.330903415062807</v>
      </c>
      <c r="AN1160">
        <v>1.0000000398833599</v>
      </c>
    </row>
    <row r="1161" spans="1:40" x14ac:dyDescent="0.25">
      <c r="A1161" t="str">
        <f>"20190312172350419"</f>
        <v>20190312172350419</v>
      </c>
      <c r="B1161" t="str">
        <f>"1552382630410867"</f>
        <v>1552382630410867</v>
      </c>
      <c r="C1161" t="s">
        <v>40</v>
      </c>
      <c r="D1161">
        <v>4.2220309999999897</v>
      </c>
      <c r="E1161">
        <v>0.59212069999999895</v>
      </c>
      <c r="F1161" t="s">
        <v>45</v>
      </c>
      <c r="G1161">
        <v>-195.2002</v>
      </c>
      <c r="H1161" s="1">
        <v>-4.2691259999999998E-6</v>
      </c>
      <c r="I1161">
        <v>354.93939999999998</v>
      </c>
      <c r="J1161">
        <v>-205.6534</v>
      </c>
      <c r="K1161">
        <v>1.1037729999999999</v>
      </c>
      <c r="L1161">
        <v>366.21879999999999</v>
      </c>
      <c r="M1161">
        <v>0.97330159999999999</v>
      </c>
      <c r="N1161">
        <v>0</v>
      </c>
      <c r="O1161">
        <v>-0.2290508</v>
      </c>
      <c r="P1161">
        <v>0.82932159999999999</v>
      </c>
      <c r="Q1161">
        <v>0.1634371</v>
      </c>
      <c r="R1161">
        <v>-0.53433520000000001</v>
      </c>
      <c r="S1161">
        <v>2.1729430000000001</v>
      </c>
      <c r="T1161">
        <v>-0.22615750000000001</v>
      </c>
      <c r="U1161">
        <v>-2.3189090000000001</v>
      </c>
      <c r="V1161">
        <v>0.33299699999999999</v>
      </c>
      <c r="W1161">
        <v>0.17179040000000001</v>
      </c>
      <c r="X1161">
        <v>0.92714669999999999</v>
      </c>
      <c r="Y1161">
        <v>0.55287799999999998</v>
      </c>
      <c r="Z1161">
        <v>-4.5842979999999997E-3</v>
      </c>
      <c r="AA1161">
        <v>0.83324959999999904</v>
      </c>
      <c r="AB1161">
        <v>31</v>
      </c>
      <c r="AC1161">
        <v>10.453200000000001</v>
      </c>
      <c r="AD1161">
        <v>-1.1037772691259999</v>
      </c>
      <c r="AE1161">
        <v>-11.279400000000001</v>
      </c>
      <c r="AF1161">
        <v>8.5408882035428295</v>
      </c>
      <c r="AG1161">
        <v>-1.1037772691259999</v>
      </c>
      <c r="AH1161">
        <v>12.6936809174891</v>
      </c>
      <c r="AI1161">
        <v>94.126421332907697</v>
      </c>
      <c r="AJ1161">
        <v>56.065532815163102</v>
      </c>
      <c r="AK1161">
        <v>15.339316503687</v>
      </c>
      <c r="AL1161">
        <v>80.108066700107997</v>
      </c>
      <c r="AM1161">
        <v>70.243577950614807</v>
      </c>
      <c r="AN1161">
        <v>0.99999997343102398</v>
      </c>
    </row>
    <row r="1162" spans="1:40" x14ac:dyDescent="0.25">
      <c r="A1162" t="str">
        <f>"20190312172350431"</f>
        <v>20190312172350431</v>
      </c>
      <c r="B1162" t="str">
        <f>"1552382630420627"</f>
        <v>1552382630420627</v>
      </c>
      <c r="C1162" t="s">
        <v>40</v>
      </c>
      <c r="D1162">
        <v>4.2270050000000001</v>
      </c>
      <c r="E1162">
        <v>0.59171870000000004</v>
      </c>
      <c r="F1162" t="s">
        <v>45</v>
      </c>
      <c r="G1162">
        <v>-195.15170000000001</v>
      </c>
      <c r="H1162" s="1">
        <v>-4.239122E-6</v>
      </c>
      <c r="I1162">
        <v>354.89800000000002</v>
      </c>
      <c r="J1162">
        <v>-205.49809999999999</v>
      </c>
      <c r="K1162">
        <v>1.1036809999999999</v>
      </c>
      <c r="L1162">
        <v>366.17790000000002</v>
      </c>
      <c r="M1162">
        <v>0.97231259999999997</v>
      </c>
      <c r="N1162">
        <v>0</v>
      </c>
      <c r="O1162">
        <v>-0.23321249999999999</v>
      </c>
      <c r="P1162">
        <v>0.82645170000000001</v>
      </c>
      <c r="Q1162">
        <v>0.16354639999999901</v>
      </c>
      <c r="R1162">
        <v>-0.53873009999999999</v>
      </c>
      <c r="S1162">
        <v>2.1611479999999998</v>
      </c>
      <c r="T1162">
        <v>-0.2271483</v>
      </c>
      <c r="U1162">
        <v>-2.3297119999999998</v>
      </c>
      <c r="V1162">
        <v>0.33399699999999999</v>
      </c>
      <c r="W1162">
        <v>0.17182049999999999</v>
      </c>
      <c r="X1162">
        <v>0.92678139999999998</v>
      </c>
      <c r="Y1162">
        <v>0.55350880000000002</v>
      </c>
      <c r="Z1162">
        <v>-4.3147059999999997E-3</v>
      </c>
      <c r="AA1162">
        <v>0.83283220000000002</v>
      </c>
      <c r="AB1162">
        <v>31</v>
      </c>
      <c r="AC1162">
        <v>10.3463999999999</v>
      </c>
      <c r="AD1162">
        <v>-1.103685239122</v>
      </c>
      <c r="AE1162">
        <v>-11.2798999999999</v>
      </c>
      <c r="AF1162">
        <v>8.5113674175387697</v>
      </c>
      <c r="AG1162">
        <v>-1.103685239122</v>
      </c>
      <c r="AH1162">
        <v>12.6262975104266</v>
      </c>
      <c r="AI1162">
        <v>94.145623086781299</v>
      </c>
      <c r="AJ1162">
        <v>56.016151839326199</v>
      </c>
      <c r="AK1162">
        <v>15.267117777930499</v>
      </c>
      <c r="AL1162">
        <v>80.106316550189504</v>
      </c>
      <c r="AM1162">
        <v>70.181659000504595</v>
      </c>
      <c r="AN1162">
        <v>1.0000000218075999</v>
      </c>
    </row>
    <row r="1163" spans="1:40" x14ac:dyDescent="0.25">
      <c r="A1163" t="str">
        <f>"20190312172350444"</f>
        <v>20190312172350444</v>
      </c>
      <c r="B1163" t="str">
        <f>"1552382630441123"</f>
        <v>1552382630441123</v>
      </c>
      <c r="C1163" t="s">
        <v>40</v>
      </c>
      <c r="D1163">
        <v>4.2168769999999904</v>
      </c>
      <c r="E1163">
        <v>0.59109449999999997</v>
      </c>
      <c r="F1163" t="s">
        <v>45</v>
      </c>
      <c r="G1163">
        <v>-195.08019999999999</v>
      </c>
      <c r="H1163" s="1">
        <v>-4.1993249999999998E-6</v>
      </c>
      <c r="I1163">
        <v>354.84660000000002</v>
      </c>
      <c r="J1163">
        <v>-205.33789999999999</v>
      </c>
      <c r="K1163">
        <v>1.1035950000000001</v>
      </c>
      <c r="L1163">
        <v>366.13529999999997</v>
      </c>
      <c r="M1163">
        <v>0.97126539999999995</v>
      </c>
      <c r="N1163">
        <v>0</v>
      </c>
      <c r="O1163">
        <v>-0.23753540000000001</v>
      </c>
      <c r="P1163">
        <v>0.82343159999999904</v>
      </c>
      <c r="Q1163">
        <v>0.16397890000000001</v>
      </c>
      <c r="R1163">
        <v>-0.54320480000000004</v>
      </c>
      <c r="S1163">
        <v>2.1504059999999998</v>
      </c>
      <c r="T1163">
        <v>-0.22781609999999999</v>
      </c>
      <c r="U1163">
        <v>-2.3389280000000001</v>
      </c>
      <c r="V1163">
        <v>0.33496740000000003</v>
      </c>
      <c r="W1163">
        <v>0.17217089999999999</v>
      </c>
      <c r="X1163">
        <v>0.92636600000000002</v>
      </c>
      <c r="Y1163">
        <v>0.5535175</v>
      </c>
      <c r="Z1163">
        <v>-3.9961279999999998E-3</v>
      </c>
      <c r="AA1163">
        <v>0.83282800000000001</v>
      </c>
      <c r="AB1163">
        <v>31</v>
      </c>
      <c r="AC1163">
        <v>10.2577</v>
      </c>
      <c r="AD1163">
        <v>-1.1035991993250001</v>
      </c>
      <c r="AE1163">
        <v>-11.288699999999899</v>
      </c>
      <c r="AF1163">
        <v>8.4842824615331693</v>
      </c>
      <c r="AG1163">
        <v>-1.1035991993250001</v>
      </c>
      <c r="AH1163">
        <v>12.579953910365999</v>
      </c>
      <c r="AI1163">
        <v>94.159883772136894</v>
      </c>
      <c r="AJ1163">
        <v>56.003141705524897</v>
      </c>
      <c r="AK1163">
        <v>15.2136853019498</v>
      </c>
      <c r="AL1163">
        <v>80.085935898595096</v>
      </c>
      <c r="AM1163">
        <v>70.120367598147098</v>
      </c>
      <c r="AN1163">
        <v>0.999999971912784</v>
      </c>
    </row>
    <row r="1164" spans="1:40" x14ac:dyDescent="0.25">
      <c r="A1164" t="str">
        <f>"20190312172350458"</f>
        <v>20190312172350458</v>
      </c>
      <c r="B1164" t="str">
        <f>"1552382630450883"</f>
        <v>1552382630450883</v>
      </c>
      <c r="C1164" t="s">
        <v>40</v>
      </c>
      <c r="D1164">
        <v>4.2322899999999999</v>
      </c>
      <c r="E1164">
        <v>0.5907869</v>
      </c>
      <c r="F1164" t="s">
        <v>45</v>
      </c>
      <c r="G1164">
        <v>-195.0633</v>
      </c>
      <c r="H1164" s="1">
        <v>-4.2051690000000002E-6</v>
      </c>
      <c r="I1164">
        <v>354.86720000000003</v>
      </c>
      <c r="J1164">
        <v>-205.1207</v>
      </c>
      <c r="K1164">
        <v>1.103475</v>
      </c>
      <c r="L1164">
        <v>366.07600000000002</v>
      </c>
      <c r="M1164">
        <v>0.96978350000000002</v>
      </c>
      <c r="N1164">
        <v>0</v>
      </c>
      <c r="O1164">
        <v>-0.24351449999999999</v>
      </c>
      <c r="P1164">
        <v>0.81946540000000001</v>
      </c>
      <c r="Q1164">
        <v>0.16433059999999999</v>
      </c>
      <c r="R1164">
        <v>-0.54906499999999903</v>
      </c>
      <c r="S1164">
        <v>2.1405029999999998</v>
      </c>
      <c r="T1164">
        <v>-0.22991230000000001</v>
      </c>
      <c r="U1164">
        <v>-2.3474729999999999</v>
      </c>
      <c r="V1164">
        <v>0.33594499999999999</v>
      </c>
      <c r="W1164">
        <v>0.17241709999999999</v>
      </c>
      <c r="X1164">
        <v>0.92596610000000001</v>
      </c>
      <c r="Y1164">
        <v>0.55181899999999995</v>
      </c>
      <c r="Z1164">
        <v>-3.4907010000000001E-3</v>
      </c>
      <c r="AA1164">
        <v>0.83395659999999905</v>
      </c>
      <c r="AB1164">
        <v>31</v>
      </c>
      <c r="AC1164">
        <v>10.057399999999999</v>
      </c>
      <c r="AD1164">
        <v>-1.1034792051690001</v>
      </c>
      <c r="AE1164">
        <v>-11.208799999999901</v>
      </c>
      <c r="AF1164">
        <v>8.3769385461367598</v>
      </c>
      <c r="AG1164">
        <v>-1.1034792051690001</v>
      </c>
      <c r="AH1164">
        <v>12.417710504991801</v>
      </c>
      <c r="AI1164">
        <v>94.213257943860498</v>
      </c>
      <c r="AJ1164">
        <v>55.996552837490498</v>
      </c>
      <c r="AK1164">
        <v>15.019663776122799</v>
      </c>
      <c r="AL1164">
        <v>80.071615393440695</v>
      </c>
      <c r="AM1164">
        <v>70.058982441002698</v>
      </c>
      <c r="AN1164">
        <v>0.99999995887330895</v>
      </c>
    </row>
    <row r="1165" spans="1:40" x14ac:dyDescent="0.25">
      <c r="A1165" t="str">
        <f>"20190312172350471"</f>
        <v>20190312172350471</v>
      </c>
      <c r="B1165" t="str">
        <f>"1552382630460645"</f>
        <v>1552382630460645</v>
      </c>
      <c r="C1165" t="s">
        <v>40</v>
      </c>
      <c r="D1165">
        <v>4.2194560000000001</v>
      </c>
      <c r="E1165">
        <v>0.59054459999999998</v>
      </c>
      <c r="F1165" t="s">
        <v>45</v>
      </c>
      <c r="G1165">
        <v>-194.93</v>
      </c>
      <c r="H1165" s="1">
        <v>-4.1219159999999999E-6</v>
      </c>
      <c r="I1165">
        <v>354.75199999999899</v>
      </c>
      <c r="J1165">
        <v>-204.96530000000001</v>
      </c>
      <c r="K1165">
        <v>1.103394</v>
      </c>
      <c r="L1165">
        <v>366.03250000000003</v>
      </c>
      <c r="M1165">
        <v>0.96867740000000002</v>
      </c>
      <c r="N1165">
        <v>0</v>
      </c>
      <c r="O1165">
        <v>-0.2478766</v>
      </c>
      <c r="P1165">
        <v>0.81590830000000003</v>
      </c>
      <c r="Q1165">
        <v>0.1650025</v>
      </c>
      <c r="R1165">
        <v>-0.554137199999999</v>
      </c>
      <c r="S1165">
        <v>2.1249389999999999</v>
      </c>
      <c r="T1165">
        <v>-0.2300941</v>
      </c>
      <c r="U1165">
        <v>-2.3612669999999998</v>
      </c>
      <c r="V1165">
        <v>0.33760590000000001</v>
      </c>
      <c r="W1165">
        <v>0.17299149999999999</v>
      </c>
      <c r="X1165">
        <v>0.92525469999999999</v>
      </c>
      <c r="Y1165">
        <v>0.55352869999999998</v>
      </c>
      <c r="Z1165">
        <v>-3.2323970000000001E-3</v>
      </c>
      <c r="AA1165">
        <v>0.83282389999999995</v>
      </c>
      <c r="AB1165">
        <v>31</v>
      </c>
      <c r="AC1165">
        <v>10.035299999999999</v>
      </c>
      <c r="AD1165">
        <v>-1.1033981219159901</v>
      </c>
      <c r="AE1165">
        <v>-11.2805</v>
      </c>
      <c r="AF1165">
        <v>8.3957427716539001</v>
      </c>
      <c r="AG1165">
        <v>-1.1033981219159901</v>
      </c>
      <c r="AH1165">
        <v>12.452020885782201</v>
      </c>
      <c r="AI1165">
        <v>94.202059374330105</v>
      </c>
      <c r="AJ1165">
        <v>56.010283711309199</v>
      </c>
      <c r="AK1165">
        <v>15.058512816449801</v>
      </c>
      <c r="AL1165">
        <v>80.0382033552698</v>
      </c>
      <c r="AM1165">
        <v>69.954041838076407</v>
      </c>
      <c r="AN1165">
        <v>1.00000003132957</v>
      </c>
    </row>
    <row r="1166" spans="1:40" x14ac:dyDescent="0.25">
      <c r="A1166" t="str">
        <f>"20190312172350484"</f>
        <v>20190312172350484</v>
      </c>
      <c r="B1166" t="str">
        <f>"1552382630481139"</f>
        <v>1552382630481139</v>
      </c>
      <c r="C1166" t="s">
        <v>40</v>
      </c>
      <c r="D1166">
        <v>4.2416919999999996</v>
      </c>
      <c r="E1166">
        <v>0.58998189999999995</v>
      </c>
      <c r="F1166" t="s">
        <v>45</v>
      </c>
      <c r="G1166">
        <v>-194.798</v>
      </c>
      <c r="H1166" s="1">
        <v>-4.02227E-6</v>
      </c>
      <c r="I1166">
        <v>354.60090000000002</v>
      </c>
      <c r="J1166">
        <v>-204.79339999999999</v>
      </c>
      <c r="K1166">
        <v>1.1033010000000001</v>
      </c>
      <c r="L1166">
        <v>365.98379999999997</v>
      </c>
      <c r="M1166">
        <v>0.96741999999999995</v>
      </c>
      <c r="N1166">
        <v>0</v>
      </c>
      <c r="O1166">
        <v>-0.2527392</v>
      </c>
      <c r="P1166">
        <v>0.81252650000000004</v>
      </c>
      <c r="Q1166">
        <v>0.1652391</v>
      </c>
      <c r="R1166">
        <v>-0.55901449999999997</v>
      </c>
      <c r="S1166">
        <v>2.1111149999999999</v>
      </c>
      <c r="T1166">
        <v>-0.22910630000000001</v>
      </c>
      <c r="U1166">
        <v>-2.3736269999999999</v>
      </c>
      <c r="V1166">
        <v>0.3385591</v>
      </c>
      <c r="W1166">
        <v>0.173140299999999</v>
      </c>
      <c r="X1166">
        <v>0.92487839999999999</v>
      </c>
      <c r="Y1166">
        <v>0.55422380000000004</v>
      </c>
      <c r="Z1166">
        <v>-2.87259E-3</v>
      </c>
      <c r="AA1166">
        <v>0.83236279999999996</v>
      </c>
      <c r="AB1166">
        <v>31</v>
      </c>
      <c r="AC1166">
        <v>9.9953999999999894</v>
      </c>
      <c r="AD1166">
        <v>-1.10330502227</v>
      </c>
      <c r="AE1166">
        <v>-11.3828999999999</v>
      </c>
      <c r="AF1166">
        <v>8.4419744708563798</v>
      </c>
      <c r="AG1166">
        <v>-1.10330502227</v>
      </c>
      <c r="AH1166">
        <v>12.481833678830901</v>
      </c>
      <c r="AI1166">
        <v>94.187652696835997</v>
      </c>
      <c r="AJ1166">
        <v>55.927903289629903</v>
      </c>
      <c r="AK1166">
        <v>15.1089505566983</v>
      </c>
      <c r="AL1166">
        <v>80.029546215643094</v>
      </c>
      <c r="AM1166">
        <v>69.894445723529898</v>
      </c>
      <c r="AN1166">
        <v>0.99999994123172797</v>
      </c>
    </row>
    <row r="1167" spans="1:40" x14ac:dyDescent="0.25">
      <c r="A1167" t="str">
        <f>"20190312172350495"</f>
        <v>20190312172350495</v>
      </c>
      <c r="B1167" t="str">
        <f>"1552382630490899"</f>
        <v>1552382630490899</v>
      </c>
      <c r="C1167" t="s">
        <v>40</v>
      </c>
      <c r="D1167">
        <v>4.2179589999999996</v>
      </c>
      <c r="E1167">
        <v>0.58972060000000004</v>
      </c>
      <c r="F1167" t="s">
        <v>45</v>
      </c>
      <c r="G1167">
        <v>-194.7748</v>
      </c>
      <c r="H1167" s="1">
        <v>-4.0208039999999998E-6</v>
      </c>
      <c r="I1167">
        <v>354.60879999999997</v>
      </c>
      <c r="J1167">
        <v>-204.63050000000001</v>
      </c>
      <c r="K1167">
        <v>1.1032169999999999</v>
      </c>
      <c r="L1167">
        <v>365.93639999999999</v>
      </c>
      <c r="M1167">
        <v>0.9661807</v>
      </c>
      <c r="N1167">
        <v>0</v>
      </c>
      <c r="O1167">
        <v>-0.25743490000000002</v>
      </c>
      <c r="P1167">
        <v>0.80938929999999998</v>
      </c>
      <c r="Q1167">
        <v>0.16573679999999999</v>
      </c>
      <c r="R1167">
        <v>-0.56340109999999999</v>
      </c>
      <c r="S1167">
        <v>2.0993189999999999</v>
      </c>
      <c r="T1167">
        <v>-0.23118949999999999</v>
      </c>
      <c r="U1167">
        <v>-2.3835449999999998</v>
      </c>
      <c r="V1167">
        <v>0.33914470000000002</v>
      </c>
      <c r="W1167">
        <v>0.1735611</v>
      </c>
      <c r="X1167">
        <v>0.92458499999999999</v>
      </c>
      <c r="Y1167">
        <v>0.55421640000000005</v>
      </c>
      <c r="Z1167">
        <v>-2.5299599999999999E-3</v>
      </c>
      <c r="AA1167">
        <v>0.83236880000000002</v>
      </c>
      <c r="AB1167">
        <v>31</v>
      </c>
      <c r="AC1167">
        <v>9.8557000000000095</v>
      </c>
      <c r="AD1167">
        <v>-1.1032210208040001</v>
      </c>
      <c r="AE1167">
        <v>-11.3276</v>
      </c>
      <c r="AF1167">
        <v>8.3630927891963101</v>
      </c>
      <c r="AG1167">
        <v>-1.1032210208040001</v>
      </c>
      <c r="AH1167">
        <v>12.373091800241101</v>
      </c>
      <c r="AI1167">
        <v>94.224845231451198</v>
      </c>
      <c r="AJ1167">
        <v>55.944857763205903</v>
      </c>
      <c r="AK1167">
        <v>14.9750398436413</v>
      </c>
      <c r="AL1167">
        <v>80.005066135740705</v>
      </c>
      <c r="AM1167">
        <v>69.8565847023646</v>
      </c>
      <c r="AN1167">
        <v>1.0000000025981499</v>
      </c>
    </row>
    <row r="1168" spans="1:40" x14ac:dyDescent="0.25">
      <c r="A1168" t="str">
        <f>"20190312172350507"</f>
        <v>20190312172350507</v>
      </c>
      <c r="B1168" t="str">
        <f>"1552382630500658"</f>
        <v>1552382630500658</v>
      </c>
      <c r="C1168" t="s">
        <v>40</v>
      </c>
      <c r="D1168">
        <v>4.1984629999999896</v>
      </c>
      <c r="E1168">
        <v>0.58949849999999904</v>
      </c>
      <c r="F1168" t="s">
        <v>45</v>
      </c>
      <c r="G1168">
        <v>-194.68719999999999</v>
      </c>
      <c r="H1168" s="1">
        <v>-3.9656260000000001E-6</v>
      </c>
      <c r="I1168">
        <v>354.53710000000001</v>
      </c>
      <c r="J1168">
        <v>-204.4819</v>
      </c>
      <c r="K1168">
        <v>1.103135</v>
      </c>
      <c r="L1168">
        <v>365.89240000000001</v>
      </c>
      <c r="M1168">
        <v>0.96501490000000001</v>
      </c>
      <c r="N1168">
        <v>0</v>
      </c>
      <c r="O1168">
        <v>-0.26177020000000001</v>
      </c>
      <c r="P1168">
        <v>0.8063688</v>
      </c>
      <c r="Q1168">
        <v>0.1662469</v>
      </c>
      <c r="R1168">
        <v>-0.56756600000000001</v>
      </c>
      <c r="S1168">
        <v>2.0878450000000002</v>
      </c>
      <c r="T1168">
        <v>-0.2316473</v>
      </c>
      <c r="U1168">
        <v>-2.3935550000000001</v>
      </c>
      <c r="V1168">
        <v>0.33983390000000002</v>
      </c>
      <c r="W1168">
        <v>0.17399690000000001</v>
      </c>
      <c r="X1168">
        <v>0.92424989999999996</v>
      </c>
      <c r="Y1168">
        <v>0.5544772</v>
      </c>
      <c r="Z1168">
        <v>-2.2054459999999998E-3</v>
      </c>
      <c r="AA1168">
        <v>0.83219609999999899</v>
      </c>
      <c r="AB1168">
        <v>31</v>
      </c>
      <c r="AC1168">
        <v>9.7947000000000006</v>
      </c>
      <c r="AD1168">
        <v>-1.103138965626</v>
      </c>
      <c r="AE1168">
        <v>-11.3553</v>
      </c>
      <c r="AF1168">
        <v>8.3498231195685602</v>
      </c>
      <c r="AG1168">
        <v>-1.103138965626</v>
      </c>
      <c r="AH1168">
        <v>12.359013838155899</v>
      </c>
      <c r="AI1168">
        <v>94.229920660503296</v>
      </c>
      <c r="AJ1168">
        <v>55.956806056251502</v>
      </c>
      <c r="AK1168">
        <v>14.9559916006025</v>
      </c>
      <c r="AL1168">
        <v>79.979710204359804</v>
      </c>
      <c r="AM1168">
        <v>69.812223255141305</v>
      </c>
      <c r="AN1168">
        <v>0.99999993922441299</v>
      </c>
    </row>
    <row r="1169" spans="1:40" x14ac:dyDescent="0.25">
      <c r="A1169" t="str">
        <f>"20190312172350519"</f>
        <v>20190312172350519</v>
      </c>
      <c r="B1169" t="str">
        <f>"1552382630510418"</f>
        <v>1552382630510418</v>
      </c>
      <c r="C1169" t="s">
        <v>40</v>
      </c>
      <c r="D1169">
        <v>4.2254769999999997</v>
      </c>
      <c r="E1169">
        <v>0.5893391</v>
      </c>
      <c r="F1169" t="s">
        <v>45</v>
      </c>
      <c r="G1169">
        <v>-194.58619999999999</v>
      </c>
      <c r="H1169" s="1">
        <v>-3.8962239999999999E-6</v>
      </c>
      <c r="I1169">
        <v>354.44369999999998</v>
      </c>
      <c r="J1169">
        <v>-204.32</v>
      </c>
      <c r="K1169">
        <v>1.1030439999999999</v>
      </c>
      <c r="L1169">
        <v>365.84379999999999</v>
      </c>
      <c r="M1169">
        <v>0.96370769999999994</v>
      </c>
      <c r="N1169">
        <v>0</v>
      </c>
      <c r="O1169">
        <v>-0.2665419</v>
      </c>
      <c r="P1169">
        <v>0.80325849999999999</v>
      </c>
      <c r="Q1169">
        <v>0.16604630000000001</v>
      </c>
      <c r="R1169">
        <v>-0.57201780000000002</v>
      </c>
      <c r="S1169">
        <v>2.0768589999999998</v>
      </c>
      <c r="T1169">
        <v>-0.2315209</v>
      </c>
      <c r="U1169">
        <v>-2.4028019999999999</v>
      </c>
      <c r="V1169">
        <v>0.34039849999999999</v>
      </c>
      <c r="W1169">
        <v>0.17372170000000001</v>
      </c>
      <c r="X1169">
        <v>0.92409399999999997</v>
      </c>
      <c r="Y1169">
        <v>0.5541355</v>
      </c>
      <c r="Z1169">
        <v>-1.8123799999999999E-3</v>
      </c>
      <c r="AA1169">
        <v>0.83242450000000001</v>
      </c>
      <c r="AB1169">
        <v>31</v>
      </c>
      <c r="AC1169">
        <v>9.7338000000000005</v>
      </c>
      <c r="AD1169">
        <v>-1.103047896224</v>
      </c>
      <c r="AE1169">
        <v>-11.4001</v>
      </c>
      <c r="AF1169">
        <v>8.3476347015362293</v>
      </c>
      <c r="AG1169">
        <v>-1.103047896224</v>
      </c>
      <c r="AH1169">
        <v>12.3536363242862</v>
      </c>
      <c r="AI1169">
        <v>94.231178460270797</v>
      </c>
      <c r="AJ1169">
        <v>55.9522058533991</v>
      </c>
      <c r="AK1169">
        <v>14.950319401416801</v>
      </c>
      <c r="AL1169">
        <v>79.9957229157542</v>
      </c>
      <c r="AM1169">
        <v>69.7782624378261</v>
      </c>
      <c r="AN1169">
        <v>1.00000004434456</v>
      </c>
    </row>
    <row r="1170" spans="1:40" x14ac:dyDescent="0.25">
      <c r="A1170" t="str">
        <f>"20190312172350531"</f>
        <v>20190312172350531</v>
      </c>
      <c r="B1170" t="str">
        <f>"1552382630521155"</f>
        <v>1552382630521155</v>
      </c>
      <c r="C1170" t="s">
        <v>40</v>
      </c>
      <c r="D1170">
        <v>4.1967749999999997</v>
      </c>
      <c r="E1170">
        <v>0.58913380000000004</v>
      </c>
      <c r="F1170" t="s">
        <v>45</v>
      </c>
      <c r="G1170">
        <v>-194.58150000000001</v>
      </c>
      <c r="H1170" s="1">
        <v>-3.9049240000000003E-6</v>
      </c>
      <c r="I1170">
        <v>354.46300000000002</v>
      </c>
      <c r="J1170">
        <v>-204.15129999999999</v>
      </c>
      <c r="K1170">
        <v>1.102951</v>
      </c>
      <c r="L1170">
        <v>365.7919</v>
      </c>
      <c r="M1170">
        <v>0.96229209999999998</v>
      </c>
      <c r="N1170">
        <v>0</v>
      </c>
      <c r="O1170">
        <v>-0.2716073</v>
      </c>
      <c r="P1170">
        <v>0.80007950000000005</v>
      </c>
      <c r="Q1170">
        <v>0.1661164</v>
      </c>
      <c r="R1170">
        <v>-0.57643559999999905</v>
      </c>
      <c r="S1170">
        <v>2.0647890000000002</v>
      </c>
      <c r="T1170">
        <v>-0.23387230000000001</v>
      </c>
      <c r="U1170">
        <v>-2.4129939999999999</v>
      </c>
      <c r="V1170">
        <v>0.3406768</v>
      </c>
      <c r="W1170">
        <v>0.17372079999999901</v>
      </c>
      <c r="X1170">
        <v>0.92399160000000002</v>
      </c>
      <c r="Y1170">
        <v>0.55389659999999996</v>
      </c>
      <c r="Z1170">
        <v>-1.4156310000000001E-3</v>
      </c>
      <c r="AA1170">
        <v>0.83258430000000005</v>
      </c>
      <c r="AB1170">
        <v>31</v>
      </c>
      <c r="AC1170">
        <v>9.5697999999999794</v>
      </c>
      <c r="AD1170">
        <v>-1.1029549049239999</v>
      </c>
      <c r="AE1170">
        <v>-11.3288999999999</v>
      </c>
      <c r="AF1170">
        <v>8.2577334965364901</v>
      </c>
      <c r="AG1170">
        <v>-1.1029549049239999</v>
      </c>
      <c r="AH1170">
        <v>12.219734248782901</v>
      </c>
      <c r="AI1170">
        <v>94.276918946815201</v>
      </c>
      <c r="AJ1170">
        <v>55.950340516651401</v>
      </c>
      <c r="AK1170">
        <v>14.7894752149288</v>
      </c>
      <c r="AL1170">
        <v>79.995775210373594</v>
      </c>
      <c r="AM1170">
        <v>69.761009552272</v>
      </c>
      <c r="AN1170">
        <v>1.0000000376407101</v>
      </c>
    </row>
    <row r="1171" spans="1:40" x14ac:dyDescent="0.25">
      <c r="A1171" t="str">
        <f>"20190312172350546"</f>
        <v>20190312172350546</v>
      </c>
      <c r="B1171" t="str">
        <f>"1552382630540675"</f>
        <v>1552382630540675</v>
      </c>
      <c r="C1171" t="s">
        <v>40</v>
      </c>
      <c r="D1171">
        <v>4.1964030000000001</v>
      </c>
      <c r="E1171">
        <v>0.58871319999999905</v>
      </c>
      <c r="F1171" t="s">
        <v>45</v>
      </c>
      <c r="G1171">
        <v>-194.51259999999999</v>
      </c>
      <c r="H1171" s="1">
        <v>-3.8630979999999999E-6</v>
      </c>
      <c r="I1171">
        <v>354.41019999999997</v>
      </c>
      <c r="J1171">
        <v>-203.96090000000001</v>
      </c>
      <c r="K1171">
        <v>1.1028420000000001</v>
      </c>
      <c r="L1171">
        <v>365.73219999999998</v>
      </c>
      <c r="M1171">
        <v>0.96064130000000003</v>
      </c>
      <c r="N1171">
        <v>0</v>
      </c>
      <c r="O1171">
        <v>-0.27738879999999999</v>
      </c>
      <c r="P1171">
        <v>0.79637579999999997</v>
      </c>
      <c r="Q1171">
        <v>0.16654949999999999</v>
      </c>
      <c r="R1171">
        <v>-0.58141799999999999</v>
      </c>
      <c r="S1171">
        <v>2.0523380000000002</v>
      </c>
      <c r="T1171">
        <v>-0.23484949999999999</v>
      </c>
      <c r="U1171">
        <v>-2.4234619999999998</v>
      </c>
      <c r="V1171">
        <v>0.34096779999999999</v>
      </c>
      <c r="W1171">
        <v>0.17407149999999999</v>
      </c>
      <c r="X1171">
        <v>0.92381820000000003</v>
      </c>
      <c r="Y1171">
        <v>0.55316560000000004</v>
      </c>
      <c r="Z1171">
        <v>-9.2364659999999996E-4</v>
      </c>
      <c r="AA1171">
        <v>0.8330708</v>
      </c>
      <c r="AB1171">
        <v>31</v>
      </c>
      <c r="AC1171">
        <v>9.4483000000000104</v>
      </c>
      <c r="AD1171">
        <v>-1.102845863098</v>
      </c>
      <c r="AE1171">
        <v>-11.321999999999999</v>
      </c>
      <c r="AF1171">
        <v>8.2105294506759794</v>
      </c>
      <c r="AG1171">
        <v>-1.102845863098</v>
      </c>
      <c r="AH1171">
        <v>12.1504313549814</v>
      </c>
      <c r="AI1171">
        <v>94.3008591772426</v>
      </c>
      <c r="AJ1171">
        <v>55.951542213947903</v>
      </c>
      <c r="AK1171">
        <v>14.7058507054263</v>
      </c>
      <c r="AL1171">
        <v>79.975370288351996</v>
      </c>
      <c r="AM1171">
        <v>69.741633180607195</v>
      </c>
      <c r="AN1171">
        <v>0.99999999720016497</v>
      </c>
    </row>
    <row r="1172" spans="1:40" x14ac:dyDescent="0.25">
      <c r="A1172" t="str">
        <f>"20190312172350562"</f>
        <v>20190312172350562</v>
      </c>
      <c r="B1172" t="str">
        <f>"1552382630550434"</f>
        <v>1552382630550434</v>
      </c>
      <c r="C1172" t="s">
        <v>40</v>
      </c>
      <c r="D1172">
        <v>4.1762090000000001</v>
      </c>
      <c r="E1172">
        <v>0.58854709999999999</v>
      </c>
      <c r="F1172" t="s">
        <v>45</v>
      </c>
      <c r="G1172">
        <v>-194.40600000000001</v>
      </c>
      <c r="H1172" s="1">
        <v>-3.7956499999999998E-6</v>
      </c>
      <c r="I1172">
        <v>354.32319999999999</v>
      </c>
      <c r="J1172">
        <v>-203.74889999999999</v>
      </c>
      <c r="K1172">
        <v>1.1027100000000001</v>
      </c>
      <c r="L1172">
        <v>365.6644</v>
      </c>
      <c r="M1172">
        <v>0.95872639999999998</v>
      </c>
      <c r="N1172">
        <v>0</v>
      </c>
      <c r="O1172">
        <v>-0.28393570000000001</v>
      </c>
      <c r="P1172">
        <v>0.7919368</v>
      </c>
      <c r="Q1172">
        <v>0.16719479999999901</v>
      </c>
      <c r="R1172">
        <v>-0.58726669999999903</v>
      </c>
      <c r="S1172">
        <v>2.0388790000000001</v>
      </c>
      <c r="T1172">
        <v>-0.23533019999999999</v>
      </c>
      <c r="U1172">
        <v>-2.4345089999999998</v>
      </c>
      <c r="V1172">
        <v>0.34157330000000002</v>
      </c>
      <c r="W1172">
        <v>0.1746171</v>
      </c>
      <c r="X1172">
        <v>0.92349150000000002</v>
      </c>
      <c r="Y1172">
        <v>0.55206669999999902</v>
      </c>
      <c r="Z1172">
        <v>-3.471449E-4</v>
      </c>
      <c r="AA1172">
        <v>0.83379979999999998</v>
      </c>
      <c r="AB1172">
        <v>31</v>
      </c>
      <c r="AC1172">
        <v>9.3429000000000109</v>
      </c>
      <c r="AD1172">
        <v>-1.1027137956499999</v>
      </c>
      <c r="AE1172">
        <v>-11.341200000000001</v>
      </c>
      <c r="AF1172">
        <v>8.17520551746534</v>
      </c>
      <c r="AG1172">
        <v>-1.1027137956499999</v>
      </c>
      <c r="AH1172">
        <v>12.110617177715399</v>
      </c>
      <c r="AI1172">
        <v>94.315816597156498</v>
      </c>
      <c r="AJ1172">
        <v>55.978898453434198</v>
      </c>
      <c r="AK1172">
        <v>14.6532252897813</v>
      </c>
      <c r="AL1172">
        <v>79.943623536517507</v>
      </c>
      <c r="AM1172">
        <v>69.701996307930699</v>
      </c>
      <c r="AN1172">
        <v>1.0000000007287699</v>
      </c>
    </row>
    <row r="1173" spans="1:40" x14ac:dyDescent="0.25">
      <c r="A1173" t="str">
        <f>"20190312172350574"</f>
        <v>20190312172350574</v>
      </c>
      <c r="B1173" t="str">
        <f>"1552382630570931"</f>
        <v>1552382630570931</v>
      </c>
      <c r="C1173" t="s">
        <v>40</v>
      </c>
      <c r="D1173">
        <v>4.175675</v>
      </c>
      <c r="E1173">
        <v>0.58812089999999995</v>
      </c>
      <c r="F1173" t="s">
        <v>45</v>
      </c>
      <c r="G1173">
        <v>-194.19759999999999</v>
      </c>
      <c r="H1173" s="1">
        <v>-3.6320539999999999E-6</v>
      </c>
      <c r="I1173">
        <v>354.0899</v>
      </c>
      <c r="J1173">
        <v>-203.5701</v>
      </c>
      <c r="K1173">
        <v>1.102609</v>
      </c>
      <c r="L1173">
        <v>365.6053</v>
      </c>
      <c r="M1173">
        <v>0.9570379</v>
      </c>
      <c r="N1173">
        <v>0</v>
      </c>
      <c r="O1173">
        <v>-0.28957470000000002</v>
      </c>
      <c r="P1173">
        <v>0.78811409999999904</v>
      </c>
      <c r="Q1173">
        <v>0.16758789999999901</v>
      </c>
      <c r="R1173">
        <v>-0.59227600000000002</v>
      </c>
      <c r="S1173">
        <v>2.0211489999999999</v>
      </c>
      <c r="T1173">
        <v>-0.23334630000000001</v>
      </c>
      <c r="U1173">
        <v>-2.4492799999999999</v>
      </c>
      <c r="V1173">
        <v>0.3420687</v>
      </c>
      <c r="W1173">
        <v>0.1749279</v>
      </c>
      <c r="X1173">
        <v>0.92324919999999999</v>
      </c>
      <c r="Y1173">
        <v>0.55323959999999905</v>
      </c>
      <c r="Z1173" s="1">
        <v>5.3087249999999999E-5</v>
      </c>
      <c r="AA1173">
        <v>0.83302219999999905</v>
      </c>
      <c r="AB1173">
        <v>31</v>
      </c>
      <c r="AC1173">
        <v>9.3725000000000005</v>
      </c>
      <c r="AD1173">
        <v>-1.102612632054</v>
      </c>
      <c r="AE1173">
        <v>-11.5154</v>
      </c>
      <c r="AF1173">
        <v>8.2620054921022401</v>
      </c>
      <c r="AG1173">
        <v>-1.102612632054</v>
      </c>
      <c r="AH1173">
        <v>12.238297140904599</v>
      </c>
      <c r="AI1173">
        <v>94.270469169960904</v>
      </c>
      <c r="AJ1173">
        <v>55.976935634906098</v>
      </c>
      <c r="AK1173">
        <v>14.8071741489376</v>
      </c>
      <c r="AL1173">
        <v>79.925536879680493</v>
      </c>
      <c r="AM1173">
        <v>69.670066318615298</v>
      </c>
      <c r="AN1173">
        <v>0.999999925509367</v>
      </c>
    </row>
    <row r="1174" spans="1:40" x14ac:dyDescent="0.25">
      <c r="A1174" t="str">
        <f>"20190312172350588"</f>
        <v>20190312172350588</v>
      </c>
      <c r="B1174" t="str">
        <f>"1552382630580691"</f>
        <v>1552382630580691</v>
      </c>
      <c r="C1174" t="s">
        <v>40</v>
      </c>
      <c r="D1174">
        <v>4.1971610000000004</v>
      </c>
      <c r="E1174">
        <v>0.58790790000000004</v>
      </c>
      <c r="F1174" t="s">
        <v>45</v>
      </c>
      <c r="G1174">
        <v>-194.09809999999999</v>
      </c>
      <c r="H1174" s="1">
        <v>-3.5632270000000001E-6</v>
      </c>
      <c r="I1174">
        <v>353.99700000000001</v>
      </c>
      <c r="J1174">
        <v>-203.399</v>
      </c>
      <c r="K1174">
        <v>1.1025119999999999</v>
      </c>
      <c r="L1174">
        <v>365.54790000000003</v>
      </c>
      <c r="M1174">
        <v>0.95537079999999996</v>
      </c>
      <c r="N1174">
        <v>0</v>
      </c>
      <c r="O1174">
        <v>-0.29502729999999999</v>
      </c>
      <c r="P1174">
        <v>0.78430580000000005</v>
      </c>
      <c r="Q1174">
        <v>0.16782659999999999</v>
      </c>
      <c r="R1174">
        <v>-0.59724279999999996</v>
      </c>
      <c r="S1174">
        <v>2.0074160000000001</v>
      </c>
      <c r="T1174">
        <v>-0.2336791</v>
      </c>
      <c r="U1174">
        <v>-2.460175</v>
      </c>
      <c r="V1174">
        <v>0.34269889999999997</v>
      </c>
      <c r="W1174">
        <v>0.1750862</v>
      </c>
      <c r="X1174">
        <v>0.92298550000000001</v>
      </c>
      <c r="Y1174">
        <v>0.55309969999999997</v>
      </c>
      <c r="Z1174">
        <v>4.9741189999999999E-4</v>
      </c>
      <c r="AA1174">
        <v>0.83311489999999999</v>
      </c>
      <c r="AB1174">
        <v>31</v>
      </c>
      <c r="AC1174">
        <v>9.3009000000000093</v>
      </c>
      <c r="AD1174">
        <v>-1.1025155632269901</v>
      </c>
      <c r="AE1174">
        <v>-11.5509</v>
      </c>
      <c r="AF1174">
        <v>8.2467290858105997</v>
      </c>
      <c r="AG1174">
        <v>-1.1025155632269901</v>
      </c>
      <c r="AH1174">
        <v>12.227445237360399</v>
      </c>
      <c r="AI1174">
        <v>94.275154173379605</v>
      </c>
      <c r="AJ1174">
        <v>56.002534247792397</v>
      </c>
      <c r="AK1174">
        <v>14.789675392467499</v>
      </c>
      <c r="AL1174">
        <v>79.916325275996002</v>
      </c>
      <c r="AM1174">
        <v>69.630344968415997</v>
      </c>
      <c r="AN1174">
        <v>0.99999997335094903</v>
      </c>
    </row>
    <row r="1175" spans="1:40" x14ac:dyDescent="0.25">
      <c r="A1175" t="str">
        <f>"20190312172350600"</f>
        <v>20190312172350600</v>
      </c>
      <c r="B1175" t="str">
        <f>"1552382630590451"</f>
        <v>1552382630590451</v>
      </c>
      <c r="C1175" t="s">
        <v>40</v>
      </c>
      <c r="D1175">
        <v>4.1918680000000004</v>
      </c>
      <c r="E1175">
        <v>0.58770509999999998</v>
      </c>
      <c r="F1175" t="s">
        <v>45</v>
      </c>
      <c r="G1175">
        <v>-193.99029999999999</v>
      </c>
      <c r="H1175" s="1">
        <v>-3.4791389999999999E-6</v>
      </c>
      <c r="I1175">
        <v>353.87740000000002</v>
      </c>
      <c r="J1175">
        <v>-203.2347</v>
      </c>
      <c r="K1175">
        <v>1.102422</v>
      </c>
      <c r="L1175">
        <v>365.49200000000002</v>
      </c>
      <c r="M1175">
        <v>0.95372369999999995</v>
      </c>
      <c r="N1175">
        <v>0</v>
      </c>
      <c r="O1175">
        <v>-0.30030899999999999</v>
      </c>
      <c r="P1175">
        <v>0.7805396</v>
      </c>
      <c r="Q1175">
        <v>0.16807449999999999</v>
      </c>
      <c r="R1175">
        <v>-0.60208729999999999</v>
      </c>
      <c r="S1175">
        <v>1.992767</v>
      </c>
      <c r="T1175">
        <v>-0.23351430000000001</v>
      </c>
      <c r="U1175">
        <v>-2.471832</v>
      </c>
      <c r="V1175">
        <v>0.34336840000000002</v>
      </c>
      <c r="W1175">
        <v>0.17525560000000001</v>
      </c>
      <c r="X1175">
        <v>0.92270450000000004</v>
      </c>
      <c r="Y1175">
        <v>0.55341530000000005</v>
      </c>
      <c r="Z1175">
        <v>9.0712500000000005E-4</v>
      </c>
      <c r="AA1175">
        <v>0.83290499999999901</v>
      </c>
      <c r="AB1175">
        <v>31</v>
      </c>
      <c r="AC1175">
        <v>9.2444000000000095</v>
      </c>
      <c r="AD1175">
        <v>-1.102425479139</v>
      </c>
      <c r="AE1175">
        <v>-11.6145999999999</v>
      </c>
      <c r="AF1175">
        <v>8.2563430155153696</v>
      </c>
      <c r="AG1175">
        <v>-1.102425479139</v>
      </c>
      <c r="AH1175">
        <v>12.2384616171832</v>
      </c>
      <c r="AI1175">
        <v>94.270620439082194</v>
      </c>
      <c r="AJ1175">
        <v>55.995506985315103</v>
      </c>
      <c r="AK1175">
        <v>14.8041374177009</v>
      </c>
      <c r="AL1175">
        <v>79.906467099947704</v>
      </c>
      <c r="AM1175">
        <v>69.588126726453396</v>
      </c>
      <c r="AN1175">
        <v>0.99999998888508501</v>
      </c>
    </row>
    <row r="1176" spans="1:40" x14ac:dyDescent="0.25">
      <c r="A1176" t="str">
        <f>"20190312172350611"</f>
        <v>20190312172350611</v>
      </c>
      <c r="B1176" t="str">
        <f>"1552382630601187"</f>
        <v>1552382630601187</v>
      </c>
      <c r="C1176" t="s">
        <v>40</v>
      </c>
      <c r="D1176">
        <v>4.1875390000000001</v>
      </c>
      <c r="E1176">
        <v>0.58752609999999905</v>
      </c>
      <c r="F1176" t="s">
        <v>45</v>
      </c>
      <c r="G1176">
        <v>-193.90090000000001</v>
      </c>
      <c r="H1176" s="1">
        <v>-3.407806E-6</v>
      </c>
      <c r="I1176">
        <v>353.77499999999998</v>
      </c>
      <c r="J1176">
        <v>-203.0898</v>
      </c>
      <c r="K1176">
        <v>1.1023419999999999</v>
      </c>
      <c r="L1176">
        <v>365.44119999999998</v>
      </c>
      <c r="M1176">
        <v>0.9522119</v>
      </c>
      <c r="N1176">
        <v>0</v>
      </c>
      <c r="O1176">
        <v>-0.30506739999999999</v>
      </c>
      <c r="P1176">
        <v>0.77707689999999996</v>
      </c>
      <c r="Q1176">
        <v>0.16865620000000001</v>
      </c>
      <c r="R1176">
        <v>-0.60638819999999904</v>
      </c>
      <c r="S1176">
        <v>1.978226</v>
      </c>
      <c r="T1176">
        <v>-0.2336519</v>
      </c>
      <c r="U1176">
        <v>-2.4833370000000001</v>
      </c>
      <c r="V1176">
        <v>0.34394239999999998</v>
      </c>
      <c r="W1176">
        <v>0.1757678</v>
      </c>
      <c r="X1176">
        <v>0.92239329999999997</v>
      </c>
      <c r="Y1176">
        <v>0.55412939999999999</v>
      </c>
      <c r="Z1176">
        <v>1.258271E-3</v>
      </c>
      <c r="AA1176">
        <v>0.83242959999999999</v>
      </c>
      <c r="AB1176">
        <v>31</v>
      </c>
      <c r="AC1176">
        <v>9.1888999999999896</v>
      </c>
      <c r="AD1176">
        <v>-1.102345407806</v>
      </c>
      <c r="AE1176">
        <v>-11.6662</v>
      </c>
      <c r="AF1176">
        <v>8.2608829919094209</v>
      </c>
      <c r="AG1176">
        <v>-1.102345407806</v>
      </c>
      <c r="AH1176">
        <v>12.2426928148159</v>
      </c>
      <c r="AI1176">
        <v>94.268569526022006</v>
      </c>
      <c r="AJ1176">
        <v>55.990086314907202</v>
      </c>
      <c r="AK1176">
        <v>14.8101613955444</v>
      </c>
      <c r="AL1176">
        <v>79.876658070591404</v>
      </c>
      <c r="AM1176">
        <v>69.550499528778005</v>
      </c>
      <c r="AN1176">
        <v>1.0000000469597401</v>
      </c>
    </row>
    <row r="1177" spans="1:40" x14ac:dyDescent="0.25">
      <c r="A1177" t="str">
        <f>"20190312172350627"</f>
        <v>20190312172350627</v>
      </c>
      <c r="B1177" t="str">
        <f>"1552382630620706"</f>
        <v>1552382630620706</v>
      </c>
      <c r="C1177" t="s">
        <v>40</v>
      </c>
      <c r="D1177">
        <v>4.1702839999999997</v>
      </c>
      <c r="E1177">
        <v>0.58716449999999998</v>
      </c>
      <c r="F1177" t="s">
        <v>45</v>
      </c>
      <c r="G1177">
        <v>-193.78399999999999</v>
      </c>
      <c r="H1177" s="1">
        <v>-3.3120089999999998E-6</v>
      </c>
      <c r="I1177">
        <v>353.63619999999997</v>
      </c>
      <c r="J1177">
        <v>-202.87989999999999</v>
      </c>
      <c r="K1177">
        <v>1.102222</v>
      </c>
      <c r="L1177">
        <v>365.36660000000001</v>
      </c>
      <c r="M1177">
        <v>0.94995499999999999</v>
      </c>
      <c r="N1177">
        <v>0</v>
      </c>
      <c r="O1177">
        <v>-0.31202360000000001</v>
      </c>
      <c r="P1177">
        <v>0.77159739999999999</v>
      </c>
      <c r="Q1177">
        <v>0.16885739999999999</v>
      </c>
      <c r="R1177">
        <v>-0.61329009999999995</v>
      </c>
      <c r="S1177">
        <v>1.9654849999999999</v>
      </c>
      <c r="T1177">
        <v>-0.23282739999999999</v>
      </c>
      <c r="U1177">
        <v>-2.493347</v>
      </c>
      <c r="V1177">
        <v>0.34548970000000001</v>
      </c>
      <c r="W1177">
        <v>0.1758499</v>
      </c>
      <c r="X1177">
        <v>0.92179920000000004</v>
      </c>
      <c r="Y1177">
        <v>0.55231479999999999</v>
      </c>
      <c r="Z1177">
        <v>1.896078E-3</v>
      </c>
      <c r="AA1177">
        <v>0.83363349999999903</v>
      </c>
      <c r="AB1177">
        <v>31</v>
      </c>
      <c r="AC1177">
        <v>9.0958999999999701</v>
      </c>
      <c r="AD1177">
        <v>-1.102225312009</v>
      </c>
      <c r="AE1177">
        <v>-11.730399999999999</v>
      </c>
      <c r="AF1177">
        <v>8.2606110604401408</v>
      </c>
      <c r="AG1177">
        <v>-1.102225312009</v>
      </c>
      <c r="AH1177">
        <v>12.234791950549299</v>
      </c>
      <c r="AI1177">
        <v>94.270036392542295</v>
      </c>
      <c r="AJ1177">
        <v>55.973809229619199</v>
      </c>
      <c r="AK1177">
        <v>14.803470194637599</v>
      </c>
      <c r="AL1177">
        <v>79.871879616015207</v>
      </c>
      <c r="AM1177">
        <v>69.454036713248897</v>
      </c>
      <c r="AN1177">
        <v>1.00000004262836</v>
      </c>
    </row>
    <row r="1178" spans="1:40" x14ac:dyDescent="0.25">
      <c r="A1178" t="str">
        <f>"20190312172350640"</f>
        <v>20190312172350640</v>
      </c>
      <c r="B1178" t="str">
        <f>"1552382630630467"</f>
        <v>1552382630630467</v>
      </c>
      <c r="C1178" t="s">
        <v>40</v>
      </c>
      <c r="D1178">
        <v>4.1452839999999904</v>
      </c>
      <c r="E1178">
        <v>0.58715309999999998</v>
      </c>
      <c r="F1178" t="s">
        <v>45</v>
      </c>
      <c r="G1178">
        <v>-193.7174</v>
      </c>
      <c r="H1178" s="1">
        <v>-3.2512089999999999E-6</v>
      </c>
      <c r="I1178">
        <v>353.54469999999998</v>
      </c>
      <c r="J1178">
        <v>-202.71719999999999</v>
      </c>
      <c r="K1178">
        <v>1.102131</v>
      </c>
      <c r="L1178">
        <v>365.30770000000001</v>
      </c>
      <c r="M1178">
        <v>0.94814419999999999</v>
      </c>
      <c r="N1178">
        <v>0</v>
      </c>
      <c r="O1178">
        <v>-0.3174824</v>
      </c>
      <c r="P1178">
        <v>0.76755369999999901</v>
      </c>
      <c r="Q1178">
        <v>0.16888800000000001</v>
      </c>
      <c r="R1178">
        <v>-0.61833479999999996</v>
      </c>
      <c r="S1178">
        <v>1.9447939999999999</v>
      </c>
      <c r="T1178">
        <v>-0.2339551</v>
      </c>
      <c r="U1178">
        <v>-2.509277</v>
      </c>
      <c r="V1178">
        <v>0.34627540000000001</v>
      </c>
      <c r="W1178">
        <v>0.17579690000000001</v>
      </c>
      <c r="X1178">
        <v>0.92151450000000001</v>
      </c>
      <c r="Y1178">
        <v>0.55437639999999999</v>
      </c>
      <c r="Z1178">
        <v>2.2530570000000001E-3</v>
      </c>
      <c r="AA1178">
        <v>0.83226309999999903</v>
      </c>
      <c r="AB1178">
        <v>31</v>
      </c>
      <c r="AC1178">
        <v>8.9997999999999898</v>
      </c>
      <c r="AD1178">
        <v>-1.102134251209</v>
      </c>
      <c r="AE1178">
        <v>-11.763</v>
      </c>
      <c r="AF1178">
        <v>8.2509972135593799</v>
      </c>
      <c r="AG1178">
        <v>-1.102134251209</v>
      </c>
      <c r="AH1178">
        <v>12.2014853575084</v>
      </c>
      <c r="AI1178">
        <v>94.279209438439295</v>
      </c>
      <c r="AJ1178">
        <v>55.9323054399079</v>
      </c>
      <c r="AK1178">
        <v>14.770575474751899</v>
      </c>
      <c r="AL1178">
        <v>79.874964813288301</v>
      </c>
      <c r="AM1178">
        <v>69.405400612921795</v>
      </c>
      <c r="AN1178">
        <v>1.0000000882025</v>
      </c>
    </row>
    <row r="1179" spans="1:40" x14ac:dyDescent="0.25">
      <c r="A1179" t="str">
        <f>"20190312172350651"</f>
        <v>20190312172350651</v>
      </c>
      <c r="B1179" t="str">
        <f>"1552382630641203"</f>
        <v>1552382630641203</v>
      </c>
      <c r="C1179" t="s">
        <v>40</v>
      </c>
      <c r="D1179">
        <v>4.2513639999999997</v>
      </c>
      <c r="E1179">
        <v>0.58715309999999998</v>
      </c>
      <c r="F1179" t="s">
        <v>45</v>
      </c>
      <c r="G1179">
        <v>-193.6627</v>
      </c>
      <c r="H1179" s="1">
        <v>-3.198746E-6</v>
      </c>
      <c r="I1179">
        <v>353.46449999999999</v>
      </c>
      <c r="J1179">
        <v>-202.57050000000001</v>
      </c>
      <c r="K1179">
        <v>1.1020460000000001</v>
      </c>
      <c r="L1179">
        <v>365.25310000000002</v>
      </c>
      <c r="M1179">
        <v>0.94644890000000004</v>
      </c>
      <c r="N1179">
        <v>0</v>
      </c>
      <c r="O1179">
        <v>-0.32250030000000002</v>
      </c>
      <c r="P1179">
        <v>0.76369569999999998</v>
      </c>
      <c r="Q1179">
        <v>0.1689196</v>
      </c>
      <c r="R1179">
        <v>-0.62308549999999996</v>
      </c>
      <c r="S1179">
        <v>1.928299</v>
      </c>
      <c r="T1179">
        <v>-0.23471719999999999</v>
      </c>
      <c r="U1179">
        <v>-2.522186</v>
      </c>
      <c r="V1179">
        <v>0.34715279999999998</v>
      </c>
      <c r="W1179">
        <v>0.1757504</v>
      </c>
      <c r="X1179">
        <v>0.92119309999999999</v>
      </c>
      <c r="Y1179">
        <v>0.55546340000000005</v>
      </c>
      <c r="Z1179">
        <v>2.6188079999999998E-3</v>
      </c>
      <c r="AA1179">
        <v>0.83153679999999996</v>
      </c>
      <c r="AB1179">
        <v>31</v>
      </c>
      <c r="AC1179">
        <v>8.9077999999999999</v>
      </c>
      <c r="AD1179">
        <v>-1.1020491987459999</v>
      </c>
      <c r="AE1179">
        <v>-11.788600000000001</v>
      </c>
      <c r="AF1179">
        <v>8.2396469861010502</v>
      </c>
      <c r="AG1179">
        <v>-1.1020491987459999</v>
      </c>
      <c r="AH1179">
        <v>12.166318388841599</v>
      </c>
      <c r="AI1179">
        <v>94.289175459740605</v>
      </c>
      <c r="AJ1179">
        <v>55.892153342929397</v>
      </c>
      <c r="AK1179">
        <v>14.7351823209177</v>
      </c>
      <c r="AL1179">
        <v>79.8776702867723</v>
      </c>
      <c r="AM1179">
        <v>69.351018023013197</v>
      </c>
      <c r="AN1179">
        <v>0.99999999856780497</v>
      </c>
    </row>
    <row r="1180" spans="1:40" x14ac:dyDescent="0.25">
      <c r="A1180" t="str">
        <f>"20190312172350662"</f>
        <v>20190312172350662</v>
      </c>
      <c r="B1180" t="str">
        <f>"1552382630650963"</f>
        <v>1552382630650963</v>
      </c>
      <c r="C1180" t="s">
        <v>40</v>
      </c>
      <c r="D1180">
        <v>4.2517290000000001</v>
      </c>
      <c r="E1180">
        <v>0.61481509999999995</v>
      </c>
      <c r="F1180" t="s">
        <v>45</v>
      </c>
      <c r="G1180">
        <v>-193.56450000000001</v>
      </c>
      <c r="H1180" s="1">
        <v>-3.1029800000000001E-6</v>
      </c>
      <c r="I1180">
        <v>353.3175</v>
      </c>
      <c r="J1180">
        <v>-202.423</v>
      </c>
      <c r="K1180">
        <v>1.101958</v>
      </c>
      <c r="L1180">
        <v>365.19779999999997</v>
      </c>
      <c r="M1180">
        <v>0.94470949999999998</v>
      </c>
      <c r="N1180">
        <v>0</v>
      </c>
      <c r="O1180">
        <v>-0.32756020000000002</v>
      </c>
      <c r="P1180">
        <v>0.75989530000000005</v>
      </c>
      <c r="Q1180">
        <v>0.16877249999999999</v>
      </c>
      <c r="R1180">
        <v>-0.62775419999999904</v>
      </c>
      <c r="S1180">
        <v>1.9123079999999999</v>
      </c>
      <c r="T1180">
        <v>-0.23400589999999999</v>
      </c>
      <c r="U1180">
        <v>-2.5343629999999999</v>
      </c>
      <c r="V1180">
        <v>0.34789360000000003</v>
      </c>
      <c r="W1180">
        <v>0.1755284</v>
      </c>
      <c r="X1180">
        <v>0.920956</v>
      </c>
      <c r="Y1180">
        <v>0.55629150000000005</v>
      </c>
      <c r="Z1180">
        <v>2.9843690000000002E-3</v>
      </c>
      <c r="AA1180">
        <v>0.83098189999999905</v>
      </c>
      <c r="AB1180">
        <v>31</v>
      </c>
      <c r="AC1180">
        <v>8.8584999999999905</v>
      </c>
      <c r="AD1180">
        <v>-1.1019611029799901</v>
      </c>
      <c r="AE1180">
        <v>-11.880299999999901</v>
      </c>
      <c r="AF1180">
        <v>8.2769244985063999</v>
      </c>
      <c r="AG1180">
        <v>-1.1019611029799901</v>
      </c>
      <c r="AH1180">
        <v>12.194196578964499</v>
      </c>
      <c r="AI1180">
        <v>94.276078863715995</v>
      </c>
      <c r="AJ1180">
        <v>55.832935119513699</v>
      </c>
      <c r="AK1180">
        <v>14.7790469121959</v>
      </c>
      <c r="AL1180">
        <v>79.890591483848993</v>
      </c>
      <c r="AM1180">
        <v>69.305807524376604</v>
      </c>
      <c r="AN1180">
        <v>1.00000006503175</v>
      </c>
    </row>
    <row r="1181" spans="1:40" x14ac:dyDescent="0.25">
      <c r="A1181" t="str">
        <f>"20190312172350674"</f>
        <v>20190312172350674</v>
      </c>
      <c r="B1181" t="str">
        <f>"1552382630670483"</f>
        <v>1552382630670483</v>
      </c>
      <c r="C1181" t="s">
        <v>40</v>
      </c>
      <c r="D1181">
        <v>4.2103400000000004</v>
      </c>
      <c r="E1181">
        <v>0.62571690000000002</v>
      </c>
      <c r="F1181" t="s">
        <v>45</v>
      </c>
      <c r="G1181">
        <v>-193.74969999999999</v>
      </c>
      <c r="H1181" s="1">
        <v>-2.2824579999999999E-6</v>
      </c>
      <c r="I1181">
        <v>351.77319999999997</v>
      </c>
      <c r="J1181">
        <v>-202.2663</v>
      </c>
      <c r="K1181">
        <v>1.1018669999999999</v>
      </c>
      <c r="L1181">
        <v>365.13749999999999</v>
      </c>
      <c r="M1181">
        <v>0.9427915</v>
      </c>
      <c r="N1181">
        <v>0</v>
      </c>
      <c r="O1181">
        <v>-0.33303969999999999</v>
      </c>
      <c r="P1181">
        <v>0.75579540000000001</v>
      </c>
      <c r="Q1181">
        <v>0.1687739</v>
      </c>
      <c r="R1181">
        <v>-0.63268389999999997</v>
      </c>
      <c r="S1181">
        <v>1.7542880000000001</v>
      </c>
      <c r="T1181">
        <v>-0.22288350000000001</v>
      </c>
      <c r="U1181">
        <v>-2.715271</v>
      </c>
      <c r="V1181">
        <v>0.3485781</v>
      </c>
      <c r="W1181">
        <v>0.17545229999999901</v>
      </c>
      <c r="X1181">
        <v>0.92071159999999996</v>
      </c>
      <c r="Y1181">
        <v>0.61061330000000003</v>
      </c>
      <c r="Z1181">
        <v>8.1117449999999996E-4</v>
      </c>
      <c r="AA1181">
        <v>0.79192850000000004</v>
      </c>
      <c r="AB1181">
        <v>31</v>
      </c>
      <c r="AC1181">
        <v>8.5166000000000093</v>
      </c>
      <c r="AD1181">
        <v>-1.1018692824580001</v>
      </c>
      <c r="AE1181">
        <v>-13.3643</v>
      </c>
      <c r="AF1181">
        <v>9.7175202673017296</v>
      </c>
      <c r="AG1181">
        <v>-1.1018692824580001</v>
      </c>
      <c r="AH1181">
        <v>12.4215962780307</v>
      </c>
      <c r="AI1181">
        <v>93.996563691824505</v>
      </c>
      <c r="AJ1181">
        <v>51.963626052588097</v>
      </c>
      <c r="AK1181">
        <v>15.809502527133199</v>
      </c>
      <c r="AL1181">
        <v>79.8950200246028</v>
      </c>
      <c r="AM1181">
        <v>69.263514509871399</v>
      </c>
      <c r="AN1181">
        <v>1.0000000258747199</v>
      </c>
    </row>
    <row r="1182" spans="1:40" x14ac:dyDescent="0.25">
      <c r="A1182" t="str">
        <f>"20190312172350687"</f>
        <v>20190312172350687</v>
      </c>
      <c r="B1182" t="str">
        <f>"1552382630681218"</f>
        <v>1552382630681218</v>
      </c>
      <c r="C1182" t="s">
        <v>40</v>
      </c>
      <c r="D1182">
        <v>4.1939919999999997</v>
      </c>
      <c r="E1182">
        <v>0.62781379999999998</v>
      </c>
      <c r="F1182" t="s">
        <v>43</v>
      </c>
      <c r="G1182">
        <v>-192.5889</v>
      </c>
      <c r="H1182" s="1">
        <v>-4.5647269999999901E-6</v>
      </c>
      <c r="I1182">
        <v>349.05099999999999</v>
      </c>
      <c r="J1182">
        <v>-202.11770000000001</v>
      </c>
      <c r="K1182">
        <v>1.101783</v>
      </c>
      <c r="L1182">
        <v>365.07960000000003</v>
      </c>
      <c r="M1182">
        <v>0.94092580000000003</v>
      </c>
      <c r="N1182">
        <v>0</v>
      </c>
      <c r="O1182">
        <v>-0.33827360000000001</v>
      </c>
      <c r="P1182">
        <v>0.75181149999999997</v>
      </c>
      <c r="Q1182">
        <v>0.1685585</v>
      </c>
      <c r="R1182">
        <v>-0.63746959999999997</v>
      </c>
      <c r="S1182">
        <v>1.677597</v>
      </c>
      <c r="T1182">
        <v>-0.19101070000000001</v>
      </c>
      <c r="U1182">
        <v>-2.788605</v>
      </c>
      <c r="V1182">
        <v>0.34932459999999999</v>
      </c>
      <c r="W1182">
        <v>0.1751617</v>
      </c>
      <c r="X1182">
        <v>0.92048390000000002</v>
      </c>
      <c r="Y1182">
        <v>0.63149500000000003</v>
      </c>
      <c r="Z1182">
        <v>2.106E-4</v>
      </c>
      <c r="AA1182">
        <v>0.77537999999999996</v>
      </c>
      <c r="AB1182">
        <v>31</v>
      </c>
      <c r="AC1182">
        <v>9.5288000000000093</v>
      </c>
      <c r="AD1182">
        <v>-1.1017875647269999</v>
      </c>
      <c r="AE1182">
        <v>-16.028600000000001</v>
      </c>
      <c r="AF1182">
        <v>11.818482866496799</v>
      </c>
      <c r="AG1182">
        <v>-1.1017875647269999</v>
      </c>
      <c r="AH1182">
        <v>14.3395360376296</v>
      </c>
      <c r="AI1182">
        <v>93.393241593554194</v>
      </c>
      <c r="AJ1182">
        <v>50.5050402066191</v>
      </c>
      <c r="AK1182">
        <v>18.614853393941701</v>
      </c>
      <c r="AL1182">
        <v>79.911931345592706</v>
      </c>
      <c r="AM1182">
        <v>69.218194021229195</v>
      </c>
      <c r="AN1182">
        <v>0.999999953735628</v>
      </c>
    </row>
    <row r="1183" spans="1:40" x14ac:dyDescent="0.25">
      <c r="A1183" t="str">
        <f>"20190312172350697"</f>
        <v>20190312172350697</v>
      </c>
      <c r="B1183" t="str">
        <f>"1552382630690979"</f>
        <v>1552382630690979</v>
      </c>
      <c r="C1183" t="s">
        <v>40</v>
      </c>
      <c r="D1183">
        <v>4.1918129999999998</v>
      </c>
      <c r="E1183">
        <v>0.62952030000000003</v>
      </c>
      <c r="F1183" t="s">
        <v>43</v>
      </c>
      <c r="G1183">
        <v>-192.37870000000001</v>
      </c>
      <c r="H1183" s="1">
        <v>-4.3303809999999998E-6</v>
      </c>
      <c r="I1183">
        <v>348.47190000000001</v>
      </c>
      <c r="J1183">
        <v>-201.96729999999999</v>
      </c>
      <c r="K1183">
        <v>1.1016969999999999</v>
      </c>
      <c r="L1183">
        <v>365.01990000000001</v>
      </c>
      <c r="M1183">
        <v>0.93898360000000003</v>
      </c>
      <c r="N1183">
        <v>0</v>
      </c>
      <c r="O1183">
        <v>-0.34362769999999998</v>
      </c>
      <c r="P1183">
        <v>0.74759790000000004</v>
      </c>
      <c r="Q1183">
        <v>0.16889189999999901</v>
      </c>
      <c r="R1183">
        <v>-0.64231890000000003</v>
      </c>
      <c r="S1183">
        <v>1.6485289999999999</v>
      </c>
      <c r="T1183">
        <v>-0.1865</v>
      </c>
      <c r="U1183">
        <v>-2.811188</v>
      </c>
      <c r="V1183">
        <v>0.35010580000000002</v>
      </c>
      <c r="W1183">
        <v>0.17541809999999999</v>
      </c>
      <c r="X1183">
        <v>0.92013829999999996</v>
      </c>
      <c r="Y1183">
        <v>0.63578829999999997</v>
      </c>
      <c r="Z1183">
        <v>3.8304179999999998E-4</v>
      </c>
      <c r="AA1183">
        <v>0.77186350000000004</v>
      </c>
      <c r="AB1183">
        <v>31</v>
      </c>
      <c r="AC1183">
        <v>9.58859999999998</v>
      </c>
      <c r="AD1183">
        <v>-1.1017013303809999</v>
      </c>
      <c r="AE1183">
        <v>-16.547999999999998</v>
      </c>
      <c r="AF1183">
        <v>12.2043019998238</v>
      </c>
      <c r="AG1183">
        <v>-1.1017013303809999</v>
      </c>
      <c r="AH1183">
        <v>14.6429882318536</v>
      </c>
      <c r="AI1183">
        <v>93.307758814762806</v>
      </c>
      <c r="AJ1183">
        <v>50.190245299611398</v>
      </c>
      <c r="AK1183">
        <v>19.0938691071891</v>
      </c>
      <c r="AL1183">
        <v>79.897010513145503</v>
      </c>
      <c r="AM1183">
        <v>69.168551171752895</v>
      </c>
      <c r="AN1183">
        <v>1.00000003606406</v>
      </c>
    </row>
    <row r="1184" spans="1:40" x14ac:dyDescent="0.25">
      <c r="A1184" t="str">
        <f>"20190312172350710"</f>
        <v>20190312172350710</v>
      </c>
      <c r="B1184" t="str">
        <f>"1552382630700738"</f>
        <v>1552382630700738</v>
      </c>
      <c r="C1184" t="s">
        <v>40</v>
      </c>
      <c r="D1184">
        <v>4.195157</v>
      </c>
      <c r="E1184">
        <v>0.63118779999999997</v>
      </c>
      <c r="F1184" t="s">
        <v>43</v>
      </c>
      <c r="G1184">
        <v>-192.11840000000001</v>
      </c>
      <c r="H1184" s="1">
        <v>-4.0598520000000002E-6</v>
      </c>
      <c r="I1184">
        <v>347.81270000000001</v>
      </c>
      <c r="J1184">
        <v>-201.81129999999999</v>
      </c>
      <c r="K1184">
        <v>1.1016109999999999</v>
      </c>
      <c r="L1184">
        <v>364.95659999999998</v>
      </c>
      <c r="M1184">
        <v>0.93690359999999995</v>
      </c>
      <c r="N1184">
        <v>0</v>
      </c>
      <c r="O1184">
        <v>-0.34925810000000002</v>
      </c>
      <c r="P1184">
        <v>0.74350169999999904</v>
      </c>
      <c r="Q1184">
        <v>0.1689966</v>
      </c>
      <c r="R1184">
        <v>-0.6470283</v>
      </c>
      <c r="S1184">
        <v>1.620819</v>
      </c>
      <c r="T1184">
        <v>-0.18130460000000001</v>
      </c>
      <c r="U1184">
        <v>-2.8317570000000001</v>
      </c>
      <c r="V1184">
        <v>0.3504429</v>
      </c>
      <c r="W1184">
        <v>0.17545749999999999</v>
      </c>
      <c r="X1184">
        <v>0.9200024</v>
      </c>
      <c r="Y1184">
        <v>0.63929159999999996</v>
      </c>
      <c r="Z1184">
        <v>5.9243109999999996E-4</v>
      </c>
      <c r="AA1184">
        <v>0.76896419999999999</v>
      </c>
      <c r="AB1184">
        <v>31</v>
      </c>
      <c r="AC1184">
        <v>9.6928999999999803</v>
      </c>
      <c r="AD1184">
        <v>-1.101615059852</v>
      </c>
      <c r="AE1184">
        <v>-17.143899999999899</v>
      </c>
      <c r="AF1184">
        <v>12.6387743128717</v>
      </c>
      <c r="AG1184">
        <v>-1.101615059852</v>
      </c>
      <c r="AH1184">
        <v>15.023689081237499</v>
      </c>
      <c r="AI1184">
        <v>93.211540457765807</v>
      </c>
      <c r="AJ1184">
        <v>49.927561536821102</v>
      </c>
      <c r="AK1184">
        <v>19.663758681429499</v>
      </c>
      <c r="AL1184">
        <v>79.894717007617899</v>
      </c>
      <c r="AM1184">
        <v>69.147402216904098</v>
      </c>
      <c r="AN1184">
        <v>0.99999998823620995</v>
      </c>
    </row>
    <row r="1185" spans="1:40" x14ac:dyDescent="0.25">
      <c r="A1185" t="str">
        <f>"20190312172350723"</f>
        <v>20190312172350723</v>
      </c>
      <c r="B1185" t="str">
        <f>"1552382630710499"</f>
        <v>1552382630710499</v>
      </c>
      <c r="C1185" t="s">
        <v>40</v>
      </c>
      <c r="D1185">
        <v>4.1875390000000001</v>
      </c>
      <c r="E1185">
        <v>0.63200880000000004</v>
      </c>
      <c r="F1185" t="s">
        <v>43</v>
      </c>
      <c r="G1185">
        <v>-191.9786</v>
      </c>
      <c r="H1185" s="1">
        <v>-3.860282E-6</v>
      </c>
      <c r="I1185">
        <v>347.36040000000003</v>
      </c>
      <c r="J1185">
        <v>-201.64680000000001</v>
      </c>
      <c r="K1185">
        <v>1.101521</v>
      </c>
      <c r="L1185">
        <v>364.88909999999998</v>
      </c>
      <c r="M1185">
        <v>0.93465469999999895</v>
      </c>
      <c r="N1185">
        <v>0</v>
      </c>
      <c r="O1185">
        <v>-0.35523169999999998</v>
      </c>
      <c r="P1185">
        <v>0.73863480000000004</v>
      </c>
      <c r="Q1185">
        <v>0.1689397</v>
      </c>
      <c r="R1185">
        <v>-0.6525936</v>
      </c>
      <c r="S1185">
        <v>1.593658</v>
      </c>
      <c r="T1185">
        <v>-0.17854729999999999</v>
      </c>
      <c r="U1185">
        <v>-2.8519589999999999</v>
      </c>
      <c r="V1185">
        <v>0.3515144</v>
      </c>
      <c r="W1185">
        <v>0.17531250000000001</v>
      </c>
      <c r="X1185">
        <v>0.91962120000000003</v>
      </c>
      <c r="Y1185">
        <v>0.64230509999999996</v>
      </c>
      <c r="Z1185">
        <v>8.3999520000000002E-4</v>
      </c>
      <c r="AA1185">
        <v>0.76644860000000004</v>
      </c>
      <c r="AB1185">
        <v>31</v>
      </c>
      <c r="AC1185">
        <v>9.6682000000000095</v>
      </c>
      <c r="AD1185">
        <v>-1.101524860282</v>
      </c>
      <c r="AE1185">
        <v>-17.528699999999901</v>
      </c>
      <c r="AF1185">
        <v>12.9112332183351</v>
      </c>
      <c r="AG1185">
        <v>-1.101524860282</v>
      </c>
      <c r="AH1185">
        <v>15.218861160206799</v>
      </c>
      <c r="AI1185">
        <v>93.159103965659</v>
      </c>
      <c r="AJ1185">
        <v>49.689708534456102</v>
      </c>
      <c r="AK1185">
        <v>19.988172383930198</v>
      </c>
      <c r="AL1185">
        <v>79.903155803601905</v>
      </c>
      <c r="AM1185">
        <v>69.081231540940905</v>
      </c>
      <c r="AN1185">
        <v>0.99999999877652501</v>
      </c>
    </row>
    <row r="1186" spans="1:40" x14ac:dyDescent="0.25">
      <c r="A1186" t="str">
        <f>"20190312172350736"</f>
        <v>20190312172350736</v>
      </c>
      <c r="B1186" t="str">
        <f>"1552382630730995"</f>
        <v>1552382630730995</v>
      </c>
      <c r="C1186" t="s">
        <v>40</v>
      </c>
      <c r="D1186">
        <v>4.1589109999999998</v>
      </c>
      <c r="E1186">
        <v>0.63279619999999903</v>
      </c>
      <c r="F1186" t="s">
        <v>43</v>
      </c>
      <c r="G1186">
        <v>-191.9034</v>
      </c>
      <c r="H1186" s="1">
        <v>-3.7136459999999999E-6</v>
      </c>
      <c r="I1186">
        <v>347.0652</v>
      </c>
      <c r="J1186">
        <v>-201.47130000000001</v>
      </c>
      <c r="K1186">
        <v>1.101424</v>
      </c>
      <c r="L1186">
        <v>364.81529999999998</v>
      </c>
      <c r="M1186">
        <v>0.93216619999999994</v>
      </c>
      <c r="N1186">
        <v>0</v>
      </c>
      <c r="O1186">
        <v>-0.36171029999999998</v>
      </c>
      <c r="P1186">
        <v>0.73367179999999999</v>
      </c>
      <c r="Q1186">
        <v>0.16903850000000001</v>
      </c>
      <c r="R1186">
        <v>-0.65814259999999902</v>
      </c>
      <c r="S1186">
        <v>1.5679320000000001</v>
      </c>
      <c r="T1186">
        <v>-0.17726059999999999</v>
      </c>
      <c r="U1186">
        <v>-2.8682859999999999</v>
      </c>
      <c r="V1186">
        <v>0.35211569999999998</v>
      </c>
      <c r="W1186">
        <v>0.17533309999999999</v>
      </c>
      <c r="X1186">
        <v>0.91938719999999996</v>
      </c>
      <c r="Y1186">
        <v>0.64412840000000005</v>
      </c>
      <c r="Z1186">
        <v>1.1655039999999999E-3</v>
      </c>
      <c r="AA1186">
        <v>0.7649165</v>
      </c>
      <c r="AB1186">
        <v>30</v>
      </c>
      <c r="AC1186">
        <v>9.5678999999999998</v>
      </c>
      <c r="AD1186">
        <v>-1.101427713646</v>
      </c>
      <c r="AE1186">
        <v>-17.7500999999999</v>
      </c>
      <c r="AF1186">
        <v>13.0478235381663</v>
      </c>
      <c r="AG1186">
        <v>-1.101427713646</v>
      </c>
      <c r="AH1186">
        <v>15.2954107724801</v>
      </c>
      <c r="AI1186">
        <v>93.135805215812795</v>
      </c>
      <c r="AJ1186">
        <v>49.534004285738902</v>
      </c>
      <c r="AK1186">
        <v>20.1347568346483</v>
      </c>
      <c r="AL1186">
        <v>79.901956880721798</v>
      </c>
      <c r="AM1186">
        <v>69.043681755686805</v>
      </c>
      <c r="AN1186">
        <v>0.99999999283296903</v>
      </c>
    </row>
    <row r="1187" spans="1:40" x14ac:dyDescent="0.25">
      <c r="A1187" t="str">
        <f>"20190312172350751"</f>
        <v>20190312172350751</v>
      </c>
      <c r="B1187" t="str">
        <f>"1552382630740755"</f>
        <v>1552382630740755</v>
      </c>
      <c r="C1187" t="s">
        <v>40</v>
      </c>
      <c r="D1187">
        <v>4.163278</v>
      </c>
      <c r="E1187">
        <v>0.63300190000000001</v>
      </c>
      <c r="F1187" t="s">
        <v>43</v>
      </c>
      <c r="G1187">
        <v>-191.8381</v>
      </c>
      <c r="H1187" s="1">
        <v>-3.582063E-6</v>
      </c>
      <c r="I1187">
        <v>346.79899999999998</v>
      </c>
      <c r="J1187">
        <v>-201.28569999999999</v>
      </c>
      <c r="K1187">
        <v>1.1013280000000001</v>
      </c>
      <c r="L1187">
        <v>364.7355</v>
      </c>
      <c r="M1187">
        <v>0.92944760000000004</v>
      </c>
      <c r="N1187">
        <v>0</v>
      </c>
      <c r="O1187">
        <v>-0.36863889999999999</v>
      </c>
      <c r="P1187">
        <v>0.72814789999999996</v>
      </c>
      <c r="Q1187">
        <v>0.16953579999999999</v>
      </c>
      <c r="R1187">
        <v>-0.66412199999999999</v>
      </c>
      <c r="S1187">
        <v>1.5422359999999999</v>
      </c>
      <c r="T1187">
        <v>-0.17633399999999999</v>
      </c>
      <c r="U1187">
        <v>-2.8843380000000001</v>
      </c>
      <c r="V1187">
        <v>0.35288969999999997</v>
      </c>
      <c r="W1187">
        <v>0.17574529999999999</v>
      </c>
      <c r="X1187">
        <v>0.91901169999999999</v>
      </c>
      <c r="Y1187">
        <v>0.64551840000000005</v>
      </c>
      <c r="Z1187">
        <v>1.53391799999999E-3</v>
      </c>
      <c r="AA1187">
        <v>0.76374319999999996</v>
      </c>
      <c r="AB1187">
        <v>30</v>
      </c>
      <c r="AC1187">
        <v>9.4475999999999907</v>
      </c>
      <c r="AD1187">
        <v>-1.1013315820630001</v>
      </c>
      <c r="AE1187">
        <v>-17.936499999999899</v>
      </c>
      <c r="AF1187">
        <v>13.151004338978099</v>
      </c>
      <c r="AG1187">
        <v>-1.1013315820630001</v>
      </c>
      <c r="AH1187">
        <v>15.349628582621801</v>
      </c>
      <c r="AI1187">
        <v>93.1187716029917</v>
      </c>
      <c r="AJ1187">
        <v>49.411231523177101</v>
      </c>
      <c r="AK1187">
        <v>20.242849206618899</v>
      </c>
      <c r="AL1187">
        <v>79.877967414199503</v>
      </c>
      <c r="AM1187">
        <v>68.993796979254</v>
      </c>
      <c r="AN1187">
        <v>1.0000000277875301</v>
      </c>
    </row>
    <row r="1188" spans="1:40" x14ac:dyDescent="0.25">
      <c r="A1188" t="str">
        <f>"20190312172350772"</f>
        <v>20190312172350772</v>
      </c>
      <c r="B1188" t="str">
        <f>"1552382630761250"</f>
        <v>1552382630761250</v>
      </c>
      <c r="C1188" t="s">
        <v>40</v>
      </c>
      <c r="D1188">
        <v>4.1589769999999904</v>
      </c>
      <c r="E1188">
        <v>0.63330140000000001</v>
      </c>
      <c r="F1188" t="s">
        <v>43</v>
      </c>
      <c r="G1188">
        <v>-191.739</v>
      </c>
      <c r="H1188" s="1">
        <v>-3.4266380000000001E-6</v>
      </c>
      <c r="I1188">
        <v>346.49810000000002</v>
      </c>
      <c r="J1188">
        <v>-201.01990000000001</v>
      </c>
      <c r="K1188">
        <v>1.101194</v>
      </c>
      <c r="L1188">
        <v>364.61849999999998</v>
      </c>
      <c r="M1188">
        <v>0.92539470000000001</v>
      </c>
      <c r="N1188">
        <v>0</v>
      </c>
      <c r="O1188">
        <v>-0.37869700000000001</v>
      </c>
      <c r="P1188">
        <v>0.72005039999999998</v>
      </c>
      <c r="Q1188">
        <v>0.16971710000000001</v>
      </c>
      <c r="R1188">
        <v>-0.67284759999999999</v>
      </c>
      <c r="S1188">
        <v>1.5172270000000001</v>
      </c>
      <c r="T1188">
        <v>-0.175032299999999</v>
      </c>
      <c r="U1188">
        <v>-2.8984380000000001</v>
      </c>
      <c r="V1188">
        <v>0.35407729999999998</v>
      </c>
      <c r="W1188">
        <v>0.17580670000000001</v>
      </c>
      <c r="X1188">
        <v>0.918543</v>
      </c>
      <c r="Y1188">
        <v>0.64395550000000001</v>
      </c>
      <c r="Z1188">
        <v>2.1967290000000001E-3</v>
      </c>
      <c r="AA1188">
        <v>0.76505979999999996</v>
      </c>
      <c r="AB1188">
        <v>30</v>
      </c>
      <c r="AC1188">
        <v>9.2809000000000008</v>
      </c>
      <c r="AD1188">
        <v>-1.101197426638</v>
      </c>
      <c r="AE1188">
        <v>-18.120399999999901</v>
      </c>
      <c r="AF1188">
        <v>13.2167514050743</v>
      </c>
      <c r="AG1188">
        <v>-1.101197426638</v>
      </c>
      <c r="AH1188">
        <v>15.407362318199301</v>
      </c>
      <c r="AI1188">
        <v>93.105111522260799</v>
      </c>
      <c r="AJ1188">
        <v>49.376330419605601</v>
      </c>
      <c r="AK1188">
        <v>20.329337595707301</v>
      </c>
      <c r="AL1188">
        <v>79.874393390622103</v>
      </c>
      <c r="AM1188">
        <v>68.919490755978103</v>
      </c>
      <c r="AN1188">
        <v>0.99999998649458999</v>
      </c>
    </row>
    <row r="1189" spans="1:40" x14ac:dyDescent="0.25">
      <c r="A1189" t="str">
        <f>"20190312172350786"</f>
        <v>20190312172350786</v>
      </c>
      <c r="B1189" t="str">
        <f>"1552382630780771"</f>
        <v>1552382630780771</v>
      </c>
      <c r="C1189" t="s">
        <v>40</v>
      </c>
      <c r="D1189">
        <v>4.1690379999999996</v>
      </c>
      <c r="E1189">
        <v>0.63338700000000003</v>
      </c>
      <c r="F1189" t="s">
        <v>43</v>
      </c>
      <c r="G1189">
        <v>-191.6797</v>
      </c>
      <c r="H1189" s="1">
        <v>-3.2821010000000001E-6</v>
      </c>
      <c r="I1189">
        <v>346.19799999999998</v>
      </c>
      <c r="J1189">
        <v>-200.84569999999999</v>
      </c>
      <c r="K1189">
        <v>1.1011059999999999</v>
      </c>
      <c r="L1189">
        <v>364.53989999999999</v>
      </c>
      <c r="M1189">
        <v>0.92263209999999996</v>
      </c>
      <c r="N1189">
        <v>0</v>
      </c>
      <c r="O1189">
        <v>-0.38537769999999999</v>
      </c>
      <c r="P1189">
        <v>0.71478120000000001</v>
      </c>
      <c r="Q1189">
        <v>0.1701078</v>
      </c>
      <c r="R1189">
        <v>-0.67834459999999996</v>
      </c>
      <c r="S1189">
        <v>1.480011</v>
      </c>
      <c r="T1189">
        <v>-0.1744906</v>
      </c>
      <c r="U1189">
        <v>-2.9188230000000002</v>
      </c>
      <c r="V1189">
        <v>0.35455690000000001</v>
      </c>
      <c r="W1189">
        <v>0.176127799999999</v>
      </c>
      <c r="X1189">
        <v>0.91829649999999996</v>
      </c>
      <c r="Y1189">
        <v>0.64833580000000002</v>
      </c>
      <c r="Z1189">
        <v>2.438894E-3</v>
      </c>
      <c r="AA1189">
        <v>0.76135059999999999</v>
      </c>
      <c r="AB1189">
        <v>30</v>
      </c>
      <c r="AC1189">
        <v>9.1659999999999897</v>
      </c>
      <c r="AD1189">
        <v>-1.101109282101</v>
      </c>
      <c r="AE1189">
        <v>-18.3418999999999</v>
      </c>
      <c r="AF1189">
        <v>13.3535128737087</v>
      </c>
      <c r="AG1189">
        <v>-1.101109282101</v>
      </c>
      <c r="AH1189">
        <v>15.4825744354567</v>
      </c>
      <c r="AI1189">
        <v>93.082704126228194</v>
      </c>
      <c r="AJ1189">
        <v>49.222670698285199</v>
      </c>
      <c r="AK1189">
        <v>20.475323168851101</v>
      </c>
      <c r="AL1189">
        <v>79.855704529808705</v>
      </c>
      <c r="AM1189">
        <v>68.888282947630401</v>
      </c>
      <c r="AN1189">
        <v>1.00000002959134</v>
      </c>
    </row>
    <row r="1190" spans="1:40" x14ac:dyDescent="0.25">
      <c r="A1190" t="str">
        <f>"20190312172350798"</f>
        <v>20190312172350798</v>
      </c>
      <c r="B1190" t="str">
        <f>"1552382630790531"</f>
        <v>1552382630790531</v>
      </c>
      <c r="C1190" t="s">
        <v>40</v>
      </c>
      <c r="D1190">
        <v>4.1697850000000001</v>
      </c>
      <c r="E1190">
        <v>0.63342849999999995</v>
      </c>
      <c r="F1190" t="s">
        <v>43</v>
      </c>
      <c r="G1190">
        <v>-191.6277</v>
      </c>
      <c r="H1190" s="1">
        <v>-3.183107E-6</v>
      </c>
      <c r="I1190">
        <v>345.99950000000001</v>
      </c>
      <c r="J1190">
        <v>-200.68809999999999</v>
      </c>
      <c r="K1190">
        <v>1.1010249999999999</v>
      </c>
      <c r="L1190">
        <v>364.4674</v>
      </c>
      <c r="M1190">
        <v>0.92005990000000004</v>
      </c>
      <c r="N1190">
        <v>0</v>
      </c>
      <c r="O1190">
        <v>-0.3914782</v>
      </c>
      <c r="P1190">
        <v>0.70997829999999995</v>
      </c>
      <c r="Q1190">
        <v>0.16996989999999901</v>
      </c>
      <c r="R1190">
        <v>-0.68340389999999995</v>
      </c>
      <c r="S1190">
        <v>1.4571379999999901</v>
      </c>
      <c r="T1190">
        <v>-0.17405870000000001</v>
      </c>
      <c r="U1190">
        <v>-2.9307859999999999</v>
      </c>
      <c r="V1190">
        <v>0.35501680000000002</v>
      </c>
      <c r="W1190">
        <v>0.1759279</v>
      </c>
      <c r="X1190">
        <v>0.91815709999999995</v>
      </c>
      <c r="Y1190">
        <v>0.64930580000000004</v>
      </c>
      <c r="Z1190">
        <v>2.7717050000000002E-3</v>
      </c>
      <c r="AA1190">
        <v>0.76052240000000004</v>
      </c>
      <c r="AB1190">
        <v>30</v>
      </c>
      <c r="AC1190">
        <v>9.06039999999998</v>
      </c>
      <c r="AD1190">
        <v>-1.1010281831069999</v>
      </c>
      <c r="AE1190">
        <v>-18.467899999999901</v>
      </c>
      <c r="AF1190">
        <v>13.4077914829319</v>
      </c>
      <c r="AG1190">
        <v>-1.1010281831069999</v>
      </c>
      <c r="AH1190">
        <v>15.5232457660404</v>
      </c>
      <c r="AI1190">
        <v>93.072540136611195</v>
      </c>
      <c r="AJ1190">
        <v>49.182058053219599</v>
      </c>
      <c r="AK1190">
        <v>20.541477420640199</v>
      </c>
      <c r="AL1190">
        <v>79.867339407357207</v>
      </c>
      <c r="AM1190">
        <v>68.860389370295493</v>
      </c>
      <c r="AN1190">
        <v>1.00000000728052</v>
      </c>
    </row>
    <row r="1191" spans="1:40" x14ac:dyDescent="0.25">
      <c r="A1191" t="str">
        <f>"20190312172350810"</f>
        <v>20190312172350810</v>
      </c>
      <c r="B1191" t="str">
        <f>"1552382630801267"</f>
        <v>1552382630801267</v>
      </c>
      <c r="C1191" t="s">
        <v>40</v>
      </c>
      <c r="D1191">
        <v>4.191427</v>
      </c>
      <c r="E1191">
        <v>0.63334840000000003</v>
      </c>
      <c r="F1191" t="s">
        <v>43</v>
      </c>
      <c r="G1191">
        <v>-191.69730000000001</v>
      </c>
      <c r="H1191" s="1">
        <v>-3.2243779999999998E-6</v>
      </c>
      <c r="I1191">
        <v>346.05250000000001</v>
      </c>
      <c r="J1191">
        <v>-200.5523</v>
      </c>
      <c r="K1191">
        <v>1.1009610000000001</v>
      </c>
      <c r="L1191">
        <v>364.40359999999998</v>
      </c>
      <c r="M1191">
        <v>0.91777679999999995</v>
      </c>
      <c r="N1191">
        <v>0</v>
      </c>
      <c r="O1191">
        <v>-0.3968005</v>
      </c>
      <c r="P1191">
        <v>0.70563580000000004</v>
      </c>
      <c r="Q1191">
        <v>0.17045959999999999</v>
      </c>
      <c r="R1191">
        <v>-0.68776569999999904</v>
      </c>
      <c r="S1191">
        <v>1.436142</v>
      </c>
      <c r="T1191">
        <v>-0.175873799999999</v>
      </c>
      <c r="U1191">
        <v>-2.9415279999999999</v>
      </c>
      <c r="V1191">
        <v>0.35544340000000002</v>
      </c>
      <c r="W1191">
        <v>0.1763634</v>
      </c>
      <c r="X1191">
        <v>0.91790850000000002</v>
      </c>
      <c r="Y1191">
        <v>0.65037719999999999</v>
      </c>
      <c r="Z1191">
        <v>3.091795E-3</v>
      </c>
      <c r="AA1191">
        <v>0.75960509999999903</v>
      </c>
      <c r="AB1191">
        <v>30</v>
      </c>
      <c r="AC1191">
        <v>8.8549999999999898</v>
      </c>
      <c r="AD1191">
        <v>-1.100964224378</v>
      </c>
      <c r="AE1191">
        <v>-18.351099999999899</v>
      </c>
      <c r="AF1191">
        <v>13.2913078324276</v>
      </c>
      <c r="AG1191">
        <v>-1.100964224378</v>
      </c>
      <c r="AH1191">
        <v>15.365590234520599</v>
      </c>
      <c r="AI1191">
        <v>93.101861038786097</v>
      </c>
      <c r="AJ1191">
        <v>49.140040401594298</v>
      </c>
      <c r="AK1191">
        <v>20.346310460987901</v>
      </c>
      <c r="AL1191">
        <v>79.8419910508361</v>
      </c>
      <c r="AM1191">
        <v>68.832010130035897</v>
      </c>
      <c r="AN1191">
        <v>1.00000003691768</v>
      </c>
    </row>
    <row r="1192" spans="1:40" x14ac:dyDescent="0.25">
      <c r="A1192" t="str">
        <f>"20190312172350819"</f>
        <v>20190312172350819</v>
      </c>
      <c r="B1192" t="str">
        <f>"1552382630811027"</f>
        <v>1552382630811027</v>
      </c>
      <c r="C1192" t="s">
        <v>40</v>
      </c>
      <c r="D1192">
        <v>4.1597160000000004</v>
      </c>
      <c r="E1192">
        <v>0.63323580000000002</v>
      </c>
      <c r="F1192" t="s">
        <v>43</v>
      </c>
      <c r="G1192">
        <v>-191.6285</v>
      </c>
      <c r="H1192" s="1">
        <v>-3.1100770000000001E-6</v>
      </c>
      <c r="I1192">
        <v>345.82870000000003</v>
      </c>
      <c r="J1192">
        <v>-200.41720000000001</v>
      </c>
      <c r="K1192">
        <v>1.1008990000000001</v>
      </c>
      <c r="L1192">
        <v>364.33969999999999</v>
      </c>
      <c r="M1192">
        <v>0.91546539999999998</v>
      </c>
      <c r="N1192">
        <v>0</v>
      </c>
      <c r="O1192">
        <v>-0.40210380000000001</v>
      </c>
      <c r="P1192">
        <v>0.70133140000000005</v>
      </c>
      <c r="Q1192">
        <v>0.1710188</v>
      </c>
      <c r="R1192">
        <v>-0.69201630000000003</v>
      </c>
      <c r="S1192">
        <v>1.417648</v>
      </c>
      <c r="T1192">
        <v>-0.17490120000000001</v>
      </c>
      <c r="U1192">
        <v>-2.9508359999999998</v>
      </c>
      <c r="V1192">
        <v>0.35577419999999998</v>
      </c>
      <c r="W1192">
        <v>0.17687169999999999</v>
      </c>
      <c r="X1192">
        <v>0.91768249999999996</v>
      </c>
      <c r="Y1192">
        <v>0.65079529999999997</v>
      </c>
      <c r="Z1192">
        <v>3.3879019999999999E-3</v>
      </c>
      <c r="AA1192">
        <v>0.75924559999999996</v>
      </c>
      <c r="AB1192">
        <v>30</v>
      </c>
      <c r="AC1192">
        <v>8.7887000000000004</v>
      </c>
      <c r="AD1192">
        <v>-1.100902110077</v>
      </c>
      <c r="AE1192">
        <v>-18.5109999999999</v>
      </c>
      <c r="AF1192">
        <v>13.375184986583299</v>
      </c>
      <c r="AG1192">
        <v>-1.100902110077</v>
      </c>
      <c r="AH1192">
        <v>15.4463354506406</v>
      </c>
      <c r="AI1192">
        <v>93.084119813565593</v>
      </c>
      <c r="AJ1192">
        <v>49.110280792751396</v>
      </c>
      <c r="AK1192">
        <v>20.4620829275764</v>
      </c>
      <c r="AL1192">
        <v>79.8124023406682</v>
      </c>
      <c r="AM1192">
        <v>68.809301657558095</v>
      </c>
      <c r="AN1192">
        <v>1.0000000252263801</v>
      </c>
    </row>
    <row r="1193" spans="1:40" x14ac:dyDescent="0.25">
      <c r="A1193" t="str">
        <f>"20190312172350831"</f>
        <v>20190312172350831</v>
      </c>
      <c r="B1193" t="str">
        <f>"1552382630820787"</f>
        <v>1552382630820787</v>
      </c>
      <c r="C1193" t="s">
        <v>40</v>
      </c>
      <c r="D1193">
        <v>4.1575660000000001</v>
      </c>
      <c r="E1193">
        <v>0.63325209999999998</v>
      </c>
      <c r="F1193" t="s">
        <v>43</v>
      </c>
      <c r="G1193">
        <v>-191.571</v>
      </c>
      <c r="H1193" s="1">
        <v>-3.0161269999999999E-6</v>
      </c>
      <c r="I1193">
        <v>345.6454</v>
      </c>
      <c r="J1193">
        <v>-200.28100000000001</v>
      </c>
      <c r="K1193">
        <v>1.1008420000000001</v>
      </c>
      <c r="L1193">
        <v>364.27350000000001</v>
      </c>
      <c r="M1193">
        <v>0.91306030000000005</v>
      </c>
      <c r="N1193">
        <v>0</v>
      </c>
      <c r="O1193">
        <v>-0.40753539999999999</v>
      </c>
      <c r="P1193">
        <v>0.69676380000000004</v>
      </c>
      <c r="Q1193">
        <v>0.1712484</v>
      </c>
      <c r="R1193">
        <v>-0.69655880000000003</v>
      </c>
      <c r="S1193">
        <v>1.400269</v>
      </c>
      <c r="T1193">
        <v>-0.17426129999999901</v>
      </c>
      <c r="U1193">
        <v>-2.9591059999999998</v>
      </c>
      <c r="V1193">
        <v>0.35634260000000001</v>
      </c>
      <c r="W1193">
        <v>0.17704400000000001</v>
      </c>
      <c r="X1193">
        <v>0.91742869999999999</v>
      </c>
      <c r="Y1193">
        <v>0.65075740000000004</v>
      </c>
      <c r="Z1193">
        <v>3.7131999999999998E-3</v>
      </c>
      <c r="AA1193">
        <v>0.75927659999999997</v>
      </c>
      <c r="AB1193">
        <v>30</v>
      </c>
      <c r="AC1193">
        <v>8.7099999999999795</v>
      </c>
      <c r="AD1193">
        <v>-1.100845016127</v>
      </c>
      <c r="AE1193">
        <v>-18.6281</v>
      </c>
      <c r="AF1193">
        <v>13.4220673319113</v>
      </c>
      <c r="AG1193">
        <v>-1.100845016127</v>
      </c>
      <c r="AH1193">
        <v>15.501773376234601</v>
      </c>
      <c r="AI1193">
        <v>93.073062261787896</v>
      </c>
      <c r="AJ1193">
        <v>49.112651031895197</v>
      </c>
      <c r="AK1193">
        <v>20.534573991685999</v>
      </c>
      <c r="AL1193">
        <v>79.802371960861805</v>
      </c>
      <c r="AM1193">
        <v>68.773108662161803</v>
      </c>
      <c r="AN1193">
        <v>1.0000000230472199</v>
      </c>
    </row>
    <row r="1194" spans="1:40" x14ac:dyDescent="0.25">
      <c r="A1194" t="str">
        <f>"20190312172350844"</f>
        <v>20190312172350844</v>
      </c>
      <c r="B1194" t="str">
        <f>"1552382630841283"</f>
        <v>1552382630841283</v>
      </c>
      <c r="C1194" t="s">
        <v>40</v>
      </c>
      <c r="D1194">
        <v>4.1701519999999999</v>
      </c>
      <c r="E1194">
        <v>0.63303909999999997</v>
      </c>
      <c r="F1194" t="s">
        <v>43</v>
      </c>
      <c r="G1194">
        <v>-191.55090000000001</v>
      </c>
      <c r="H1194" s="1">
        <v>-2.9522170000000001E-6</v>
      </c>
      <c r="I1194">
        <v>345.50889999999998</v>
      </c>
      <c r="J1194">
        <v>-200.13310000000001</v>
      </c>
      <c r="K1194">
        <v>1.100776</v>
      </c>
      <c r="L1194">
        <v>364.2011</v>
      </c>
      <c r="M1194">
        <v>0.91039899999999996</v>
      </c>
      <c r="N1194">
        <v>0</v>
      </c>
      <c r="O1194">
        <v>-0.41344579999999997</v>
      </c>
      <c r="P1194">
        <v>0.69172210000000001</v>
      </c>
      <c r="Q1194">
        <v>0.17170820000000001</v>
      </c>
      <c r="R1194">
        <v>-0.70145360000000001</v>
      </c>
      <c r="S1194">
        <v>1.3809659999999999</v>
      </c>
      <c r="T1194">
        <v>-0.17413629999999999</v>
      </c>
      <c r="U1194">
        <v>-2.9682620000000002</v>
      </c>
      <c r="V1194">
        <v>0.356952299999999</v>
      </c>
      <c r="W1194">
        <v>0.17744099999999999</v>
      </c>
      <c r="X1194">
        <v>0.91711489999999996</v>
      </c>
      <c r="Y1194">
        <v>0.65079750000000003</v>
      </c>
      <c r="Z1194">
        <v>4.0754959999999996E-3</v>
      </c>
      <c r="AA1194">
        <v>0.75924040000000004</v>
      </c>
      <c r="AB1194">
        <v>30</v>
      </c>
      <c r="AC1194">
        <v>8.5822000000000003</v>
      </c>
      <c r="AD1194">
        <v>-1.100778952217</v>
      </c>
      <c r="AE1194">
        <v>-18.6922</v>
      </c>
      <c r="AF1194">
        <v>13.4322040825947</v>
      </c>
      <c r="AG1194">
        <v>-1.100778952217</v>
      </c>
      <c r="AH1194">
        <v>15.4988817267282</v>
      </c>
      <c r="AI1194">
        <v>93.072212532453904</v>
      </c>
      <c r="AJ1194">
        <v>49.085954727605497</v>
      </c>
      <c r="AK1194">
        <v>20.5390154485853</v>
      </c>
      <c r="AL1194">
        <v>79.779259328160904</v>
      </c>
      <c r="AM1194">
        <v>68.733405811246001</v>
      </c>
      <c r="AN1194">
        <v>0.99999999637914905</v>
      </c>
    </row>
    <row r="1195" spans="1:40" x14ac:dyDescent="0.25">
      <c r="A1195" t="str">
        <f>"20190312172350855"</f>
        <v>20190312172350855</v>
      </c>
      <c r="B1195" t="str">
        <f>"1552382630851043"</f>
        <v>1552382630851043</v>
      </c>
      <c r="C1195" t="s">
        <v>40</v>
      </c>
      <c r="D1195">
        <v>4.1705620000000003</v>
      </c>
      <c r="E1195">
        <v>0.63294349999999999</v>
      </c>
      <c r="F1195" t="s">
        <v>43</v>
      </c>
      <c r="G1195">
        <v>-191.57230000000001</v>
      </c>
      <c r="H1195" s="1">
        <v>-2.9401220000000002E-6</v>
      </c>
      <c r="I1195">
        <v>345.4674</v>
      </c>
      <c r="J1195">
        <v>-199.98050000000001</v>
      </c>
      <c r="K1195">
        <v>1.100706</v>
      </c>
      <c r="L1195">
        <v>364.12470000000002</v>
      </c>
      <c r="M1195">
        <v>0.90756700000000001</v>
      </c>
      <c r="N1195">
        <v>0</v>
      </c>
      <c r="O1195">
        <v>-0.41962549999999998</v>
      </c>
      <c r="P1195">
        <v>0.68645019999999901</v>
      </c>
      <c r="Q1195">
        <v>0.17214409999999999</v>
      </c>
      <c r="R1195">
        <v>-0.70650760000000001</v>
      </c>
      <c r="S1195">
        <v>1.360779</v>
      </c>
      <c r="T1195">
        <v>-0.17497279999999901</v>
      </c>
      <c r="U1195">
        <v>-2.9777830000000001</v>
      </c>
      <c r="V1195">
        <v>0.35753170000000001</v>
      </c>
      <c r="W1195">
        <v>0.1778141</v>
      </c>
      <c r="X1195">
        <v>0.91681690000000005</v>
      </c>
      <c r="Y1195">
        <v>0.65081599999999995</v>
      </c>
      <c r="Z1195">
        <v>4.4801349999999997E-3</v>
      </c>
      <c r="AA1195">
        <v>0.75922230000000002</v>
      </c>
      <c r="AB1195">
        <v>30</v>
      </c>
      <c r="AC1195">
        <v>8.4081999999999901</v>
      </c>
      <c r="AD1195">
        <v>-1.100708940122</v>
      </c>
      <c r="AE1195">
        <v>-18.657299999999999</v>
      </c>
      <c r="AF1195">
        <v>13.3673689818532</v>
      </c>
      <c r="AG1195">
        <v>-1.100708940122</v>
      </c>
      <c r="AH1195">
        <v>15.4173107689793</v>
      </c>
      <c r="AI1195">
        <v>93.087660089350805</v>
      </c>
      <c r="AJ1195">
        <v>49.073522808724498</v>
      </c>
      <c r="AK1195">
        <v>20.435057744355898</v>
      </c>
      <c r="AL1195">
        <v>79.757536868130899</v>
      </c>
      <c r="AM1195">
        <v>68.695675065805005</v>
      </c>
      <c r="AN1195">
        <v>0.999999999394655</v>
      </c>
    </row>
    <row r="1196" spans="1:40" x14ac:dyDescent="0.25">
      <c r="A1196" t="str">
        <f>"20190312172350868"</f>
        <v>20190312172350868</v>
      </c>
      <c r="B1196" t="str">
        <f>"1552382630860803"</f>
        <v>1552382630860803</v>
      </c>
      <c r="C1196" t="s">
        <v>40</v>
      </c>
      <c r="D1196">
        <v>4.1678350000000002</v>
      </c>
      <c r="E1196">
        <v>0.63283029999999996</v>
      </c>
      <c r="F1196" t="s">
        <v>43</v>
      </c>
      <c r="G1196">
        <v>-191.54400000000001</v>
      </c>
      <c r="H1196" s="1">
        <v>-2.8618229999999999E-6</v>
      </c>
      <c r="I1196">
        <v>345.30250000000001</v>
      </c>
      <c r="J1196">
        <v>-199.82640000000001</v>
      </c>
      <c r="K1196">
        <v>1.100638</v>
      </c>
      <c r="L1196">
        <v>364.0462</v>
      </c>
      <c r="M1196">
        <v>0.90463519999999997</v>
      </c>
      <c r="N1196">
        <v>0</v>
      </c>
      <c r="O1196">
        <v>-0.42590800000000001</v>
      </c>
      <c r="P1196">
        <v>0.68121419999999999</v>
      </c>
      <c r="Q1196">
        <v>0.17266389999999901</v>
      </c>
      <c r="R1196">
        <v>-0.71143149999999999</v>
      </c>
      <c r="S1196">
        <v>1.3391420000000001</v>
      </c>
      <c r="T1196">
        <v>-0.1747186</v>
      </c>
      <c r="U1196">
        <v>-2.9877009999999999</v>
      </c>
      <c r="V1196">
        <v>0.35787550000000001</v>
      </c>
      <c r="W1196">
        <v>0.1782791</v>
      </c>
      <c r="X1196">
        <v>0.91659250000000003</v>
      </c>
      <c r="Y1196">
        <v>0.65107890000000002</v>
      </c>
      <c r="Z1196">
        <v>4.8568639999999998E-3</v>
      </c>
      <c r="AA1196">
        <v>0.75899450000000002</v>
      </c>
      <c r="AB1196">
        <v>30</v>
      </c>
      <c r="AC1196">
        <v>8.2823999999999902</v>
      </c>
      <c r="AD1196">
        <v>-1.1006408618229999</v>
      </c>
      <c r="AE1196">
        <v>-18.743699999999901</v>
      </c>
      <c r="AF1196">
        <v>13.3916329478575</v>
      </c>
      <c r="AG1196">
        <v>-1.1006408618229999</v>
      </c>
      <c r="AH1196">
        <v>15.4329592036142</v>
      </c>
      <c r="AI1196">
        <v>93.083289067986996</v>
      </c>
      <c r="AJ1196">
        <v>49.0508616819887</v>
      </c>
      <c r="AK1196">
        <v>20.462733764022801</v>
      </c>
      <c r="AL1196">
        <v>79.730462365071403</v>
      </c>
      <c r="AM1196">
        <v>68.6722767537577</v>
      </c>
      <c r="AN1196">
        <v>1.00000006102665</v>
      </c>
    </row>
    <row r="1197" spans="1:40" x14ac:dyDescent="0.25">
      <c r="A1197" t="str">
        <f>"20190312172350885"</f>
        <v>20190312172350885</v>
      </c>
      <c r="B1197" t="str">
        <f>"1552382630881299"</f>
        <v>1552382630881299</v>
      </c>
      <c r="C1197" t="s">
        <v>40</v>
      </c>
      <c r="D1197">
        <v>4.1622190000000003</v>
      </c>
      <c r="E1197">
        <v>0.63250090000000003</v>
      </c>
      <c r="F1197" t="s">
        <v>43</v>
      </c>
      <c r="G1197">
        <v>-191.47460000000001</v>
      </c>
      <c r="H1197" s="1">
        <v>-2.7355650000000002E-6</v>
      </c>
      <c r="I1197">
        <v>345.05119999999999</v>
      </c>
      <c r="J1197">
        <v>-199.62909999999999</v>
      </c>
      <c r="K1197">
        <v>1.100554</v>
      </c>
      <c r="L1197">
        <v>363.94380000000001</v>
      </c>
      <c r="M1197">
        <v>0.90077169999999895</v>
      </c>
      <c r="N1197">
        <v>0</v>
      </c>
      <c r="O1197">
        <v>-0.43401899999999899</v>
      </c>
      <c r="P1197">
        <v>0.67376429999999998</v>
      </c>
      <c r="Q1197">
        <v>0.1736915</v>
      </c>
      <c r="R1197">
        <v>-0.71824350000000003</v>
      </c>
      <c r="S1197">
        <v>1.317841</v>
      </c>
      <c r="T1197">
        <v>-0.17367050000000001</v>
      </c>
      <c r="U1197">
        <v>-2.997223</v>
      </c>
      <c r="V1197">
        <v>0.35903380000000001</v>
      </c>
      <c r="W1197">
        <v>0.1792155</v>
      </c>
      <c r="X1197">
        <v>0.91595660000000001</v>
      </c>
      <c r="Y1197">
        <v>0.64968139999999996</v>
      </c>
      <c r="Z1197">
        <v>5.383344E-3</v>
      </c>
      <c r="AA1197">
        <v>0.76018750000000002</v>
      </c>
      <c r="AB1197">
        <v>30</v>
      </c>
      <c r="AC1197">
        <v>8.1544999999999792</v>
      </c>
      <c r="AD1197">
        <v>-1.1005567355650001</v>
      </c>
      <c r="AE1197">
        <v>-18.892600000000002</v>
      </c>
      <c r="AF1197">
        <v>13.441863829165801</v>
      </c>
      <c r="AG1197">
        <v>-1.1005567355650001</v>
      </c>
      <c r="AH1197">
        <v>15.5025935346794</v>
      </c>
      <c r="AI1197">
        <v>93.070229103861394</v>
      </c>
      <c r="AJ1197">
        <v>49.072359075667599</v>
      </c>
      <c r="AK1197">
        <v>20.5481224113426</v>
      </c>
      <c r="AL1197">
        <v>79.675931538198</v>
      </c>
      <c r="AM1197">
        <v>68.595969372389206</v>
      </c>
      <c r="AN1197">
        <v>0.99999997903312399</v>
      </c>
    </row>
    <row r="1198" spans="1:40" x14ac:dyDescent="0.25">
      <c r="A1198" t="str">
        <f>"20190312172350897"</f>
        <v>20190312172350897</v>
      </c>
      <c r="B1198" t="str">
        <f>"1552382630891059"</f>
        <v>1552382630891059</v>
      </c>
      <c r="C1198" t="s">
        <v>40</v>
      </c>
      <c r="D1198">
        <v>4.1197080000000001</v>
      </c>
      <c r="E1198">
        <v>0.63228680000000004</v>
      </c>
      <c r="F1198" t="s">
        <v>43</v>
      </c>
      <c r="G1198">
        <v>-191.39760000000001</v>
      </c>
      <c r="H1198" s="1">
        <v>-2.5733500000000001E-6</v>
      </c>
      <c r="I1198">
        <v>344.7208</v>
      </c>
      <c r="J1198">
        <v>-199.4691</v>
      </c>
      <c r="K1198">
        <v>1.1004849999999999</v>
      </c>
      <c r="L1198">
        <v>363.85899999999998</v>
      </c>
      <c r="M1198">
        <v>0.89753809999999901</v>
      </c>
      <c r="N1198">
        <v>0</v>
      </c>
      <c r="O1198">
        <v>-0.44066610000000001</v>
      </c>
      <c r="P1198">
        <v>0.66830610000000001</v>
      </c>
      <c r="Q1198">
        <v>0.17384910000000001</v>
      </c>
      <c r="R1198">
        <v>-0.72328689999999995</v>
      </c>
      <c r="S1198">
        <v>1.2887569999999999</v>
      </c>
      <c r="T1198">
        <v>-0.17230780000000001</v>
      </c>
      <c r="U1198">
        <v>-3.0096440000000002</v>
      </c>
      <c r="V1198">
        <v>0.3591992</v>
      </c>
      <c r="W1198">
        <v>0.17932529999999999</v>
      </c>
      <c r="X1198">
        <v>0.91587019999999997</v>
      </c>
      <c r="Y1198">
        <v>0.65141179999999999</v>
      </c>
      <c r="Z1198">
        <v>5.6927069999999896E-3</v>
      </c>
      <c r="AA1198">
        <v>0.75870309999999996</v>
      </c>
      <c r="AB1198">
        <v>30</v>
      </c>
      <c r="AC1198">
        <v>8.0714999999999808</v>
      </c>
      <c r="AD1198">
        <v>-1.1004875733499999</v>
      </c>
      <c r="AE1198">
        <v>-19.138200000000001</v>
      </c>
      <c r="AF1198">
        <v>13.5839209450531</v>
      </c>
      <c r="AG1198">
        <v>-1.1004875733499999</v>
      </c>
      <c r="AH1198">
        <v>15.636013510708</v>
      </c>
      <c r="AI1198">
        <v>93.041354195767994</v>
      </c>
      <c r="AJ1198">
        <v>49.017240782772298</v>
      </c>
      <c r="AK1198">
        <v>20.7417188209558</v>
      </c>
      <c r="AL1198">
        <v>79.669536311578796</v>
      </c>
      <c r="AM1198">
        <v>68.5851645152092</v>
      </c>
      <c r="AN1198">
        <v>0.99999992587438202</v>
      </c>
    </row>
    <row r="1199" spans="1:40" x14ac:dyDescent="0.25">
      <c r="A1199" t="str">
        <f>"20190312172350910"</f>
        <v>20190312172350910</v>
      </c>
      <c r="B1199" t="str">
        <f>"1552382630900820"</f>
        <v>1552382630900820</v>
      </c>
      <c r="C1199" t="s">
        <v>40</v>
      </c>
      <c r="D1199">
        <v>4.1484300000000003</v>
      </c>
      <c r="E1199">
        <v>0.63199130000000003</v>
      </c>
      <c r="F1199" t="s">
        <v>43</v>
      </c>
      <c r="G1199">
        <v>-191.42619999999999</v>
      </c>
      <c r="H1199" s="1">
        <v>-2.5715689999999999E-6</v>
      </c>
      <c r="I1199">
        <v>344.69889999999998</v>
      </c>
      <c r="J1199">
        <v>-199.32220000000001</v>
      </c>
      <c r="K1199">
        <v>1.1004240000000001</v>
      </c>
      <c r="L1199">
        <v>363.77949999999998</v>
      </c>
      <c r="M1199">
        <v>0.8944858</v>
      </c>
      <c r="N1199">
        <v>0</v>
      </c>
      <c r="O1199">
        <v>-0.44682850000000002</v>
      </c>
      <c r="P1199">
        <v>0.66286409999999996</v>
      </c>
      <c r="Q1199">
        <v>0.17438580000000001</v>
      </c>
      <c r="R1199">
        <v>-0.72814919999999905</v>
      </c>
      <c r="S1199">
        <v>1.26712</v>
      </c>
      <c r="T1199">
        <v>-0.1733769</v>
      </c>
      <c r="U1199">
        <v>-3.0185849999999999</v>
      </c>
      <c r="V1199">
        <v>0.35969410000000002</v>
      </c>
      <c r="W1199">
        <v>0.17980889999999999</v>
      </c>
      <c r="X1199">
        <v>0.91558119999999998</v>
      </c>
      <c r="Y1199">
        <v>0.65162180000000003</v>
      </c>
      <c r="Z1199">
        <v>6.1068629999999997E-3</v>
      </c>
      <c r="AA1199">
        <v>0.75851950000000001</v>
      </c>
      <c r="AB1199">
        <v>30</v>
      </c>
      <c r="AC1199">
        <v>7.8960000000000097</v>
      </c>
      <c r="AD1199">
        <v>-1.100426571569</v>
      </c>
      <c r="AE1199">
        <v>-19.0806</v>
      </c>
      <c r="AF1199">
        <v>13.5024448435497</v>
      </c>
      <c r="AG1199">
        <v>-1.100426571569</v>
      </c>
      <c r="AH1199">
        <v>15.5463338409063</v>
      </c>
      <c r="AI1199">
        <v>93.059042637199994</v>
      </c>
      <c r="AJ1199">
        <v>49.0247315552947</v>
      </c>
      <c r="AK1199">
        <v>20.620752927219399</v>
      </c>
      <c r="AL1199">
        <v>79.641371131819199</v>
      </c>
      <c r="AM1199">
        <v>68.552183129800596</v>
      </c>
      <c r="AN1199">
        <v>1.0000000099437301</v>
      </c>
    </row>
    <row r="1200" spans="1:40" x14ac:dyDescent="0.25">
      <c r="A1200" t="str">
        <f>"20190312172350924"</f>
        <v>20190312172350924</v>
      </c>
      <c r="B1200" t="str">
        <f>"1552382630921315"</f>
        <v>1552382630921315</v>
      </c>
      <c r="C1200" t="s">
        <v>40</v>
      </c>
      <c r="D1200">
        <v>4.1484120000000004</v>
      </c>
      <c r="E1200">
        <v>0.63142339999999997</v>
      </c>
      <c r="F1200" t="s">
        <v>43</v>
      </c>
      <c r="G1200">
        <v>-191.40450000000001</v>
      </c>
      <c r="H1200" s="1">
        <v>-2.5091650000000001E-6</v>
      </c>
      <c r="I1200">
        <v>344.56699999999898</v>
      </c>
      <c r="J1200">
        <v>-199.15989999999999</v>
      </c>
      <c r="K1200">
        <v>1.100357</v>
      </c>
      <c r="L1200">
        <v>363.69060000000002</v>
      </c>
      <c r="M1200">
        <v>0.89103729999999903</v>
      </c>
      <c r="N1200">
        <v>0</v>
      </c>
      <c r="O1200">
        <v>-0.45366570000000001</v>
      </c>
      <c r="P1200">
        <v>0.65696019999999999</v>
      </c>
      <c r="Q1200">
        <v>0.174369</v>
      </c>
      <c r="R1200">
        <v>-0.73348409999999997</v>
      </c>
      <c r="S1200">
        <v>1.247131</v>
      </c>
      <c r="T1200">
        <v>-0.1733307</v>
      </c>
      <c r="U1200">
        <v>-3.0262150000000001</v>
      </c>
      <c r="V1200">
        <v>0.36011199999999999</v>
      </c>
      <c r="W1200">
        <v>0.17973900000000001</v>
      </c>
      <c r="X1200">
        <v>0.91543070000000004</v>
      </c>
      <c r="Y1200">
        <v>0.65077640000000003</v>
      </c>
      <c r="Z1200">
        <v>6.565703E-3</v>
      </c>
      <c r="AA1200">
        <v>0.75924099999999894</v>
      </c>
      <c r="AB1200">
        <v>30</v>
      </c>
      <c r="AC1200">
        <v>7.7553999999999803</v>
      </c>
      <c r="AD1200">
        <v>-1.100359509165</v>
      </c>
      <c r="AE1200">
        <v>-19.1236</v>
      </c>
      <c r="AF1200">
        <v>13.484764968165999</v>
      </c>
      <c r="AG1200">
        <v>-1.100359509165</v>
      </c>
      <c r="AH1200">
        <v>15.5437487835718</v>
      </c>
      <c r="AI1200">
        <v>93.060865686216601</v>
      </c>
      <c r="AJ1200">
        <v>49.057177724737201</v>
      </c>
      <c r="AK1200">
        <v>20.607226973634202</v>
      </c>
      <c r="AL1200">
        <v>79.645442998222805</v>
      </c>
      <c r="AM1200">
        <v>68.526323132025595</v>
      </c>
      <c r="AN1200">
        <v>1.0000000635837401</v>
      </c>
    </row>
    <row r="1201" spans="1:40" x14ac:dyDescent="0.25">
      <c r="A1201" t="str">
        <f>"20190312172350945"</f>
        <v>20190312172350945</v>
      </c>
      <c r="B1201" t="str">
        <f>"1552382630940835"</f>
        <v>1552382630940835</v>
      </c>
      <c r="C1201" t="s">
        <v>40</v>
      </c>
      <c r="D1201">
        <v>4.1474419999999999</v>
      </c>
      <c r="E1201">
        <v>0.63087680000000002</v>
      </c>
      <c r="F1201" t="s">
        <v>43</v>
      </c>
      <c r="G1201">
        <v>-191.52430000000001</v>
      </c>
      <c r="H1201" s="1">
        <v>-2.6413949999999999E-6</v>
      </c>
      <c r="I1201">
        <v>344.80079999999998</v>
      </c>
      <c r="J1201">
        <v>-198.9042</v>
      </c>
      <c r="K1201">
        <v>1.1002559999999999</v>
      </c>
      <c r="L1201">
        <v>363.54649999999998</v>
      </c>
      <c r="M1201">
        <v>0.88539650000000003</v>
      </c>
      <c r="N1201">
        <v>0</v>
      </c>
      <c r="O1201">
        <v>-0.46457749999999998</v>
      </c>
      <c r="P1201">
        <v>0.64777819999999997</v>
      </c>
      <c r="Q1201">
        <v>0.17447499999999999</v>
      </c>
      <c r="R1201">
        <v>-0.74158069999999998</v>
      </c>
      <c r="S1201">
        <v>1.2262729999999999</v>
      </c>
      <c r="T1201">
        <v>-0.17671789999999901</v>
      </c>
      <c r="U1201">
        <v>-3.0336910000000001</v>
      </c>
      <c r="V1201">
        <v>0.36028840000000001</v>
      </c>
      <c r="W1201">
        <v>0.17977799999999999</v>
      </c>
      <c r="X1201">
        <v>0.91535350000000004</v>
      </c>
      <c r="Y1201">
        <v>0.64658179999999998</v>
      </c>
      <c r="Z1201">
        <v>7.5467599999999996E-3</v>
      </c>
      <c r="AA1201">
        <v>0.76280740000000002</v>
      </c>
      <c r="AB1201">
        <v>30</v>
      </c>
      <c r="AC1201">
        <v>7.3798999999999904</v>
      </c>
      <c r="AD1201">
        <v>-1.100258641395</v>
      </c>
      <c r="AE1201">
        <v>-18.745699999999999</v>
      </c>
      <c r="AF1201">
        <v>13.1312608437817</v>
      </c>
      <c r="AG1201">
        <v>-1.100258641395</v>
      </c>
      <c r="AH1201">
        <v>15.1994681601807</v>
      </c>
      <c r="AI1201">
        <v>93.135354753418397</v>
      </c>
      <c r="AJ1201">
        <v>49.1753148388498</v>
      </c>
      <c r="AK1201">
        <v>20.116272338028899</v>
      </c>
      <c r="AL1201">
        <v>79.643170221883594</v>
      </c>
      <c r="AM1201">
        <v>68.515115895935693</v>
      </c>
      <c r="AN1201">
        <v>0.99999994521040303</v>
      </c>
    </row>
    <row r="1202" spans="1:40" x14ac:dyDescent="0.25">
      <c r="A1202" t="str">
        <f>"20190312172350965"</f>
        <v>20190312172350965</v>
      </c>
      <c r="B1202" t="str">
        <f>"1552382630961332"</f>
        <v>1552382630961332</v>
      </c>
      <c r="C1202" t="s">
        <v>40</v>
      </c>
      <c r="D1202">
        <v>4.158531</v>
      </c>
      <c r="E1202">
        <v>0.62106939999999999</v>
      </c>
      <c r="F1202" t="s">
        <v>43</v>
      </c>
      <c r="G1202">
        <v>-191.60290000000001</v>
      </c>
      <c r="H1202" s="1">
        <v>-2.6982120000000002E-6</v>
      </c>
      <c r="I1202">
        <v>344.88459999999998</v>
      </c>
      <c r="J1202">
        <v>-198.67429999999999</v>
      </c>
      <c r="K1202">
        <v>1.1001669999999999</v>
      </c>
      <c r="L1202">
        <v>363.4135</v>
      </c>
      <c r="M1202">
        <v>0.88012019999999902</v>
      </c>
      <c r="N1202">
        <v>0</v>
      </c>
      <c r="O1202">
        <v>-0.47449619999999998</v>
      </c>
      <c r="P1202">
        <v>0.63908989999999999</v>
      </c>
      <c r="Q1202">
        <v>0.17521389999999901</v>
      </c>
      <c r="R1202">
        <v>-0.74890849999999998</v>
      </c>
      <c r="S1202">
        <v>1.19194</v>
      </c>
      <c r="T1202">
        <v>-0.17961740000000001</v>
      </c>
      <c r="U1202">
        <v>-3.04657</v>
      </c>
      <c r="V1202">
        <v>0.36057980000000001</v>
      </c>
      <c r="W1202">
        <v>0.1804538</v>
      </c>
      <c r="X1202">
        <v>0.91510579999999997</v>
      </c>
      <c r="Y1202">
        <v>0.64656009999999997</v>
      </c>
      <c r="Z1202">
        <v>8.3231569999999994E-3</v>
      </c>
      <c r="AA1202">
        <v>0.76281759999999998</v>
      </c>
      <c r="AB1202">
        <v>30</v>
      </c>
      <c r="AC1202">
        <v>7.0713999999999801</v>
      </c>
      <c r="AD1202">
        <v>-1.1001696982119999</v>
      </c>
      <c r="AE1202">
        <v>-18.5289</v>
      </c>
      <c r="AF1202">
        <v>12.914132405789401</v>
      </c>
      <c r="AG1202">
        <v>-1.1001696982119999</v>
      </c>
      <c r="AH1202">
        <v>14.971319212835899</v>
      </c>
      <c r="AI1202">
        <v>93.184882363526796</v>
      </c>
      <c r="AJ1202">
        <v>49.219224761866201</v>
      </c>
      <c r="AK1202">
        <v>19.802161198509499</v>
      </c>
      <c r="AL1202">
        <v>79.603806474019507</v>
      </c>
      <c r="AM1202">
        <v>68.494036018521797</v>
      </c>
      <c r="AN1202">
        <v>0.99999999564805897</v>
      </c>
    </row>
    <row r="1203" spans="1:40" x14ac:dyDescent="0.25">
      <c r="A1203" t="str">
        <f>"20190312172350979"</f>
        <v>20190312172350979</v>
      </c>
      <c r="B1203" t="str">
        <f>"1552382630971092"</f>
        <v>1552382630971092</v>
      </c>
      <c r="C1203" t="s">
        <v>40</v>
      </c>
      <c r="D1203">
        <v>4.1564829999999997</v>
      </c>
      <c r="E1203">
        <v>0.62060939999999998</v>
      </c>
      <c r="F1203" t="s">
        <v>43</v>
      </c>
      <c r="G1203">
        <v>-192.97049999999999</v>
      </c>
      <c r="H1203" s="1">
        <v>-4.712032E-6</v>
      </c>
      <c r="I1203">
        <v>349.28489999999999</v>
      </c>
      <c r="J1203">
        <v>-198.49279999999999</v>
      </c>
      <c r="K1203">
        <v>1.100106</v>
      </c>
      <c r="L1203">
        <v>363.30599999999998</v>
      </c>
      <c r="M1203">
        <v>0.8758165</v>
      </c>
      <c r="N1203">
        <v>0</v>
      </c>
      <c r="O1203">
        <v>-0.48239320000000002</v>
      </c>
      <c r="P1203">
        <v>0.63228269999999998</v>
      </c>
      <c r="Q1203">
        <v>0.175392299999999</v>
      </c>
      <c r="R1203">
        <v>-0.75462320000000005</v>
      </c>
      <c r="S1203">
        <v>1.21933</v>
      </c>
      <c r="T1203">
        <v>-0.23518919999999999</v>
      </c>
      <c r="U1203">
        <v>-3.0203250000000001</v>
      </c>
      <c r="V1203">
        <v>0.36063250000000002</v>
      </c>
      <c r="W1203">
        <v>0.18059120000000001</v>
      </c>
      <c r="X1203">
        <v>0.91505800000000004</v>
      </c>
      <c r="Y1203">
        <v>0.63121959999999999</v>
      </c>
      <c r="Z1203">
        <v>1.2334309999999999E-2</v>
      </c>
      <c r="AA1203">
        <v>0.77550600000000003</v>
      </c>
      <c r="AB1203">
        <v>30</v>
      </c>
      <c r="AC1203">
        <v>5.5223000000000004</v>
      </c>
      <c r="AD1203">
        <v>-1.1001107120319999</v>
      </c>
      <c r="AE1203">
        <v>-14.021099999999899</v>
      </c>
      <c r="AF1203">
        <v>9.5661735376838593</v>
      </c>
      <c r="AG1203">
        <v>-1.1001107120319999</v>
      </c>
      <c r="AH1203">
        <v>11.540107985331399</v>
      </c>
      <c r="AI1203">
        <v>94.197525069274107</v>
      </c>
      <c r="AJ1203">
        <v>50.342963379035098</v>
      </c>
      <c r="AK1203">
        <v>15.029837392497599</v>
      </c>
      <c r="AL1203">
        <v>79.595803238974796</v>
      </c>
      <c r="AM1203">
        <v>68.490158988326399</v>
      </c>
      <c r="AN1203">
        <v>1.0000000624688401</v>
      </c>
    </row>
    <row r="1204" spans="1:40" x14ac:dyDescent="0.25">
      <c r="A1204" t="str">
        <f>"20190312172350999"</f>
        <v>20190312172350999</v>
      </c>
      <c r="B1204" t="str">
        <f>"1552382630990611"</f>
        <v>1552382630990611</v>
      </c>
      <c r="C1204" t="s">
        <v>40</v>
      </c>
      <c r="D1204">
        <v>4.1506629999999998</v>
      </c>
      <c r="E1204">
        <v>0.6194752</v>
      </c>
      <c r="F1204" t="s">
        <v>43</v>
      </c>
      <c r="G1204">
        <v>-192.9282</v>
      </c>
      <c r="H1204" s="1">
        <v>-4.6782899999999999E-6</v>
      </c>
      <c r="I1204">
        <v>349.2079</v>
      </c>
      <c r="J1204">
        <v>-198.2698</v>
      </c>
      <c r="K1204">
        <v>1.100031</v>
      </c>
      <c r="L1204">
        <v>363.1705</v>
      </c>
      <c r="M1204">
        <v>0.87034290000000003</v>
      </c>
      <c r="N1204">
        <v>0</v>
      </c>
      <c r="O1204">
        <v>-0.4921992</v>
      </c>
      <c r="P1204">
        <v>0.62344960000000005</v>
      </c>
      <c r="Q1204">
        <v>0.17629810000000001</v>
      </c>
      <c r="R1204">
        <v>-0.76172799999999996</v>
      </c>
      <c r="S1204">
        <v>1.1954959999999999</v>
      </c>
      <c r="T1204">
        <v>-0.2363451</v>
      </c>
      <c r="U1204">
        <v>-3.0288089999999999</v>
      </c>
      <c r="V1204">
        <v>0.36089070000000001</v>
      </c>
      <c r="W1204">
        <v>0.18144189999999999</v>
      </c>
      <c r="X1204">
        <v>0.91478780000000004</v>
      </c>
      <c r="Y1204">
        <v>0.62854529999999997</v>
      </c>
      <c r="Z1204">
        <v>1.3372169999999999E-2</v>
      </c>
      <c r="AA1204">
        <v>0.77765799999999996</v>
      </c>
      <c r="AB1204">
        <v>30</v>
      </c>
      <c r="AC1204">
        <v>5.3415999999999997</v>
      </c>
      <c r="AD1204">
        <v>-1.10003567829</v>
      </c>
      <c r="AE1204">
        <v>-13.9626</v>
      </c>
      <c r="AF1204">
        <v>9.4729848283456501</v>
      </c>
      <c r="AG1204">
        <v>-1.10003567829</v>
      </c>
      <c r="AH1204">
        <v>11.4607506681005</v>
      </c>
      <c r="AI1204">
        <v>94.231146536358494</v>
      </c>
      <c r="AJ1204">
        <v>50.424265337623297</v>
      </c>
      <c r="AK1204">
        <v>14.9096051566748</v>
      </c>
      <c r="AL1204">
        <v>79.546242218951406</v>
      </c>
      <c r="AM1204">
        <v>68.470391023594601</v>
      </c>
      <c r="AN1204">
        <v>0.99999998972547</v>
      </c>
    </row>
    <row r="1205" spans="1:40" x14ac:dyDescent="0.25">
      <c r="A1205" t="str">
        <f>"20190312172351019"</f>
        <v>20190312172351019</v>
      </c>
      <c r="B1205" t="str">
        <f>"1552382631011107"</f>
        <v>1552382631011107</v>
      </c>
      <c r="C1205" t="s">
        <v>40</v>
      </c>
      <c r="D1205">
        <v>4.1971850000000002</v>
      </c>
      <c r="E1205">
        <v>0.61874589999999996</v>
      </c>
      <c r="F1205" t="s">
        <v>43</v>
      </c>
      <c r="G1205">
        <v>-192.7627</v>
      </c>
      <c r="H1205" s="1">
        <v>-4.5248780000000003E-6</v>
      </c>
      <c r="I1205">
        <v>348.8433</v>
      </c>
      <c r="J1205">
        <v>-198.03579999999999</v>
      </c>
      <c r="K1205">
        <v>1.099953</v>
      </c>
      <c r="L1205">
        <v>363.02449999999999</v>
      </c>
      <c r="M1205">
        <v>0.86437779999999997</v>
      </c>
      <c r="N1205">
        <v>0</v>
      </c>
      <c r="O1205">
        <v>-0.50260050000000001</v>
      </c>
      <c r="P1205">
        <v>0.61378180000000004</v>
      </c>
      <c r="Q1205">
        <v>0.17724879999999901</v>
      </c>
      <c r="R1205">
        <v>-0.76932129999999999</v>
      </c>
      <c r="S1205">
        <v>1.1673579999999999</v>
      </c>
      <c r="T1205">
        <v>-0.23317860000000001</v>
      </c>
      <c r="U1205">
        <v>-3.0369869999999999</v>
      </c>
      <c r="V1205">
        <v>0.3613459</v>
      </c>
      <c r="W1205">
        <v>0.18232760000000001</v>
      </c>
      <c r="X1205">
        <v>0.91443189999999996</v>
      </c>
      <c r="Y1205">
        <v>0.62622239999999996</v>
      </c>
      <c r="Z1205">
        <v>1.420281E-2</v>
      </c>
      <c r="AA1205">
        <v>0.77951510000000002</v>
      </c>
      <c r="AB1205">
        <v>30</v>
      </c>
      <c r="AC1205">
        <v>5.2731000000000003</v>
      </c>
      <c r="AD1205">
        <v>-1.099957524878</v>
      </c>
      <c r="AE1205">
        <v>-14.181199999999899</v>
      </c>
      <c r="AF1205">
        <v>9.5583028581000207</v>
      </c>
      <c r="AG1205">
        <v>-1.099957524878</v>
      </c>
      <c r="AH1205">
        <v>11.6254075565021</v>
      </c>
      <c r="AI1205">
        <v>94.180056766874699</v>
      </c>
      <c r="AJ1205">
        <v>50.573272816408299</v>
      </c>
      <c r="AK1205">
        <v>15.090432761802299</v>
      </c>
      <c r="AL1205">
        <v>79.494634167220099</v>
      </c>
      <c r="AM1205">
        <v>68.438105188056596</v>
      </c>
      <c r="AN1205">
        <v>0.99999995645308903</v>
      </c>
    </row>
    <row r="1206" spans="1:40" x14ac:dyDescent="0.25">
      <c r="A1206" t="str">
        <f>"20190312172351033"</f>
        <v>20190312172351033</v>
      </c>
      <c r="B1206" t="str">
        <f>"1552382631020867"</f>
        <v>1552382631020867</v>
      </c>
      <c r="C1206" t="s">
        <v>40</v>
      </c>
      <c r="D1206">
        <v>4.2172179999999999</v>
      </c>
      <c r="E1206">
        <v>0.63773329999999995</v>
      </c>
      <c r="F1206" t="s">
        <v>43</v>
      </c>
      <c r="G1206">
        <v>-192.6395</v>
      </c>
      <c r="H1206" s="1">
        <v>-4.3956249999999999E-6</v>
      </c>
      <c r="I1206">
        <v>348.52769999999998</v>
      </c>
      <c r="J1206">
        <v>-197.88720000000001</v>
      </c>
      <c r="K1206">
        <v>1.099901</v>
      </c>
      <c r="L1206">
        <v>362.92939999999999</v>
      </c>
      <c r="M1206">
        <v>0.86045910000000003</v>
      </c>
      <c r="N1206">
        <v>0</v>
      </c>
      <c r="O1206">
        <v>-0.50927959999999906</v>
      </c>
      <c r="P1206">
        <v>0.60751940000000004</v>
      </c>
      <c r="Q1206">
        <v>0.17763609999999999</v>
      </c>
      <c r="R1206">
        <v>-0.77418679999999995</v>
      </c>
      <c r="S1206">
        <v>1.1344909999999999</v>
      </c>
      <c r="T1206">
        <v>-0.23125200000000001</v>
      </c>
      <c r="U1206">
        <v>-3.0477599999999998</v>
      </c>
      <c r="V1206">
        <v>0.36164170000000001</v>
      </c>
      <c r="W1206">
        <v>0.18267320000000001</v>
      </c>
      <c r="X1206">
        <v>0.91424609999999995</v>
      </c>
      <c r="Y1206">
        <v>0.62847439999999999</v>
      </c>
      <c r="Z1206">
        <v>1.456524E-2</v>
      </c>
      <c r="AA1206">
        <v>0.77769390000000005</v>
      </c>
      <c r="AB1206">
        <v>30</v>
      </c>
      <c r="AC1206">
        <v>5.2477</v>
      </c>
      <c r="AD1206">
        <v>-1.099905395625</v>
      </c>
      <c r="AE1206">
        <v>-14.4017</v>
      </c>
      <c r="AF1206">
        <v>9.6709177979547292</v>
      </c>
      <c r="AG1206">
        <v>-1.099905395625</v>
      </c>
      <c r="AH1206">
        <v>11.7906591961143</v>
      </c>
      <c r="AI1206">
        <v>94.125454717602807</v>
      </c>
      <c r="AJ1206">
        <v>50.640759550331801</v>
      </c>
      <c r="AK1206">
        <v>15.289083923278</v>
      </c>
      <c r="AL1206">
        <v>79.474495769283493</v>
      </c>
      <c r="AM1206">
        <v>68.418094086425796</v>
      </c>
      <c r="AN1206">
        <v>1.0000000742711601</v>
      </c>
    </row>
    <row r="1207" spans="1:40" x14ac:dyDescent="0.25">
      <c r="A1207" t="str">
        <f>"20190312172351045"</f>
        <v>20190312172351045</v>
      </c>
      <c r="B1207" t="str">
        <f>"1552382631040402"</f>
        <v>1552382631040402</v>
      </c>
      <c r="C1207" t="s">
        <v>40</v>
      </c>
      <c r="D1207">
        <v>4.4866320000000002</v>
      </c>
      <c r="E1207">
        <v>0.6442215</v>
      </c>
      <c r="F1207" t="s">
        <v>43</v>
      </c>
      <c r="G1207">
        <v>-190.94710000000001</v>
      </c>
      <c r="H1207" s="1">
        <v>-8.0453819999999996E-7</v>
      </c>
      <c r="I1207">
        <v>340.87709999999998</v>
      </c>
      <c r="J1207">
        <v>-197.75069999999999</v>
      </c>
      <c r="K1207">
        <v>1.0998520000000001</v>
      </c>
      <c r="L1207">
        <v>362.84100000000001</v>
      </c>
      <c r="M1207">
        <v>0.85678840000000001</v>
      </c>
      <c r="N1207">
        <v>0</v>
      </c>
      <c r="O1207">
        <v>-0.51543070000000002</v>
      </c>
      <c r="P1207">
        <v>0.60159779999999996</v>
      </c>
      <c r="Q1207">
        <v>0.17788419999999999</v>
      </c>
      <c r="R1207">
        <v>-0.77874089999999996</v>
      </c>
      <c r="S1207">
        <v>0.98701479999999997</v>
      </c>
      <c r="T1207">
        <v>-0.15642879999999901</v>
      </c>
      <c r="U1207">
        <v>-3.1362920000000001</v>
      </c>
      <c r="V1207">
        <v>0.36204520000000001</v>
      </c>
      <c r="W1207">
        <v>0.18287900000000001</v>
      </c>
      <c r="X1207">
        <v>0.9140452</v>
      </c>
      <c r="Y1207">
        <v>0.66244650000000005</v>
      </c>
      <c r="Z1207">
        <v>9.0793799999999997E-3</v>
      </c>
      <c r="AA1207">
        <v>0.749054199999999</v>
      </c>
      <c r="AB1207">
        <v>30</v>
      </c>
      <c r="AC1207">
        <v>6.8035999999999799</v>
      </c>
      <c r="AD1207">
        <v>-1.0998528045381999</v>
      </c>
      <c r="AE1207">
        <v>-21.963899999999999</v>
      </c>
      <c r="AF1207">
        <v>15.278547655262001</v>
      </c>
      <c r="AG1207">
        <v>-1.0998528045381999</v>
      </c>
      <c r="AH1207">
        <v>17.113058853835401</v>
      </c>
      <c r="AI1207">
        <v>92.744807545849397</v>
      </c>
      <c r="AJ1207">
        <v>48.241505873283202</v>
      </c>
      <c r="AK1207">
        <v>22.967378561355201</v>
      </c>
      <c r="AL1207">
        <v>79.462501914305406</v>
      </c>
      <c r="AM1207">
        <v>68.391920636297201</v>
      </c>
      <c r="AN1207">
        <v>1.00000004156353</v>
      </c>
    </row>
    <row r="1208" spans="1:40" x14ac:dyDescent="0.25">
      <c r="A1208" t="str">
        <f>"20190312172351058"</f>
        <v>20190312172351058</v>
      </c>
      <c r="B1208" t="str">
        <f>"1552382631051137"</f>
        <v>1552382631051137</v>
      </c>
      <c r="C1208" t="s">
        <v>40</v>
      </c>
      <c r="D1208">
        <v>4.4742800000000003</v>
      </c>
      <c r="E1208">
        <v>0.64694010000000002</v>
      </c>
      <c r="F1208" t="s">
        <v>43</v>
      </c>
      <c r="G1208">
        <v>-192.00890000000001</v>
      </c>
      <c r="H1208" s="1">
        <v>-2.0227239999999999E-6</v>
      </c>
      <c r="I1208">
        <v>343.0582</v>
      </c>
      <c r="J1208">
        <v>-197.60079999999999</v>
      </c>
      <c r="K1208">
        <v>1.099799</v>
      </c>
      <c r="L1208">
        <v>362.74200000000002</v>
      </c>
      <c r="M1208">
        <v>0.8526511</v>
      </c>
      <c r="N1208">
        <v>0</v>
      </c>
      <c r="O1208">
        <v>-0.52224559999999998</v>
      </c>
      <c r="P1208">
        <v>0.59493419999999997</v>
      </c>
      <c r="Q1208">
        <v>0.17801429999999999</v>
      </c>
      <c r="R1208">
        <v>-0.7838138</v>
      </c>
      <c r="S1208">
        <v>0.92292790000000002</v>
      </c>
      <c r="T1208">
        <v>-0.1767862</v>
      </c>
      <c r="U1208">
        <v>-3.1798099999999998</v>
      </c>
      <c r="V1208">
        <v>0.36255670000000001</v>
      </c>
      <c r="W1208">
        <v>0.1829615</v>
      </c>
      <c r="X1208">
        <v>0.91382589999999997</v>
      </c>
      <c r="Y1208">
        <v>0.67313829999999997</v>
      </c>
      <c r="Z1208">
        <v>1.026022E-2</v>
      </c>
      <c r="AA1208">
        <v>0.73944540000000003</v>
      </c>
      <c r="AB1208">
        <v>30</v>
      </c>
      <c r="AC1208">
        <v>5.5918999999999803</v>
      </c>
      <c r="AD1208">
        <v>-1.099801022724</v>
      </c>
      <c r="AE1208">
        <v>-19.683799999999898</v>
      </c>
      <c r="AF1208">
        <v>13.8248356239984</v>
      </c>
      <c r="AG1208">
        <v>-1.099801022724</v>
      </c>
      <c r="AH1208">
        <v>15.0062175586388</v>
      </c>
      <c r="AI1208">
        <v>93.085367329306607</v>
      </c>
      <c r="AJ1208">
        <v>47.346440587164302</v>
      </c>
      <c r="AK1208">
        <v>20.433360167563301</v>
      </c>
      <c r="AL1208">
        <v>79.457693696374207</v>
      </c>
      <c r="AM1208">
        <v>68.359498997637104</v>
      </c>
      <c r="AN1208">
        <v>1.0000000233539701</v>
      </c>
    </row>
    <row r="1209" spans="1:40" x14ac:dyDescent="0.25">
      <c r="A1209" t="str">
        <f>"20190312172351070"</f>
        <v>20190312172351070</v>
      </c>
      <c r="B1209" t="str">
        <f>"1552382631061172"</f>
        <v>1552382631061172</v>
      </c>
      <c r="C1209" t="s">
        <v>40</v>
      </c>
      <c r="D1209">
        <v>4.1112479999999998</v>
      </c>
      <c r="E1209">
        <v>0.65331139999999999</v>
      </c>
      <c r="F1209" t="s">
        <v>43</v>
      </c>
      <c r="G1209">
        <v>-192.5607</v>
      </c>
      <c r="H1209" s="1">
        <v>-2.7348559999999999E-6</v>
      </c>
      <c r="I1209">
        <v>344.3759</v>
      </c>
      <c r="J1209">
        <v>-197.4571</v>
      </c>
      <c r="K1209">
        <v>1.0997459999999999</v>
      </c>
      <c r="L1209">
        <v>362.64530000000002</v>
      </c>
      <c r="M1209">
        <v>0.84858519999999904</v>
      </c>
      <c r="N1209">
        <v>0</v>
      </c>
      <c r="O1209">
        <v>-0.52882649999999998</v>
      </c>
      <c r="P1209">
        <v>0.58844790000000002</v>
      </c>
      <c r="Q1209">
        <v>0.178072799999999</v>
      </c>
      <c r="R1209">
        <v>-0.78868229999999995</v>
      </c>
      <c r="S1209">
        <v>0.8791504</v>
      </c>
      <c r="T1209">
        <v>-0.1918426</v>
      </c>
      <c r="U1209">
        <v>-3.2036739999999999</v>
      </c>
      <c r="V1209">
        <v>0.36303980000000002</v>
      </c>
      <c r="W1209">
        <v>0.182976</v>
      </c>
      <c r="X1209">
        <v>0.91363110000000003</v>
      </c>
      <c r="Y1209">
        <v>0.6782009</v>
      </c>
      <c r="Z1209">
        <v>1.137229E-2</v>
      </c>
      <c r="AA1209">
        <v>0.73478849999999996</v>
      </c>
      <c r="AB1209">
        <v>30</v>
      </c>
      <c r="AC1209">
        <v>4.8963999999999999</v>
      </c>
      <c r="AD1209">
        <v>-1.099748734856</v>
      </c>
      <c r="AE1209">
        <v>-18.269400000000001</v>
      </c>
      <c r="AF1209">
        <v>12.8718665660261</v>
      </c>
      <c r="AG1209">
        <v>-1.099748734856</v>
      </c>
      <c r="AH1209">
        <v>13.7714951006585</v>
      </c>
      <c r="AI1209">
        <v>93.338894116947799</v>
      </c>
      <c r="AJ1209">
        <v>46.9338904438806</v>
      </c>
      <c r="AK1209">
        <v>18.882491188422701</v>
      </c>
      <c r="AL1209">
        <v>79.456847858954504</v>
      </c>
      <c r="AM1209">
        <v>68.329141809204401</v>
      </c>
      <c r="AN1209">
        <v>0.99999994992362295</v>
      </c>
    </row>
    <row r="1210" spans="1:40" x14ac:dyDescent="0.25">
      <c r="A1210" t="str">
        <f>"20190312172351090"</f>
        <v>20190312172351090</v>
      </c>
      <c r="B1210" t="str">
        <f>"1552382631080692"</f>
        <v>1552382631080692</v>
      </c>
      <c r="C1210" t="s">
        <v>40</v>
      </c>
      <c r="D1210">
        <v>4.1253570000000002</v>
      </c>
      <c r="E1210">
        <v>0.66082969999999996</v>
      </c>
      <c r="F1210" t="s">
        <v>43</v>
      </c>
      <c r="G1210">
        <v>-192.60820000000001</v>
      </c>
      <c r="H1210" s="1">
        <v>-2.2771720000000001E-6</v>
      </c>
      <c r="I1210">
        <v>343.27960000000002</v>
      </c>
      <c r="J1210">
        <v>-197.239</v>
      </c>
      <c r="K1210">
        <v>1.099672</v>
      </c>
      <c r="L1210">
        <v>362.49560000000002</v>
      </c>
      <c r="M1210">
        <v>0.84223570000000003</v>
      </c>
      <c r="N1210">
        <v>0</v>
      </c>
      <c r="O1210">
        <v>-0.5388809</v>
      </c>
      <c r="P1210">
        <v>0.57841899999999902</v>
      </c>
      <c r="Q1210">
        <v>0.178417299999999</v>
      </c>
      <c r="R1210">
        <v>-0.79598939999999996</v>
      </c>
      <c r="S1210">
        <v>0.81126399999999999</v>
      </c>
      <c r="T1210">
        <v>-0.18399779999999999</v>
      </c>
      <c r="U1210">
        <v>-3.2400509999999998</v>
      </c>
      <c r="V1210">
        <v>0.3637166</v>
      </c>
      <c r="W1210">
        <v>0.1832559</v>
      </c>
      <c r="X1210">
        <v>0.91330579999999995</v>
      </c>
      <c r="Y1210">
        <v>0.68596789999999996</v>
      </c>
      <c r="Z1210">
        <v>1.1255100000000001E-2</v>
      </c>
      <c r="AA1210">
        <v>0.72754469999999904</v>
      </c>
      <c r="AB1210">
        <v>30</v>
      </c>
      <c r="AC1210">
        <v>4.63079999999999</v>
      </c>
      <c r="AD1210">
        <v>-1.0996742771720001</v>
      </c>
      <c r="AE1210">
        <v>-19.216000000000001</v>
      </c>
      <c r="AF1210">
        <v>13.648394105883799</v>
      </c>
      <c r="AG1210">
        <v>-1.0996742771720001</v>
      </c>
      <c r="AH1210">
        <v>14.213124871977399</v>
      </c>
      <c r="AI1210">
        <v>93.194165894800406</v>
      </c>
      <c r="AJ1210">
        <v>46.161180746433303</v>
      </c>
      <c r="AK1210">
        <v>19.735776240417302</v>
      </c>
      <c r="AL1210">
        <v>79.440535337164903</v>
      </c>
      <c r="AM1210">
        <v>68.285482811960506</v>
      </c>
      <c r="AN1210">
        <v>0.999999987157004</v>
      </c>
    </row>
    <row r="1211" spans="1:40" x14ac:dyDescent="0.25">
      <c r="A1211" t="str">
        <f>"20190312172351103"</f>
        <v>20190312172351103</v>
      </c>
      <c r="B1211" t="str">
        <f>"1552382631090453"</f>
        <v>1552382631090453</v>
      </c>
      <c r="C1211" t="s">
        <v>40</v>
      </c>
      <c r="D1211">
        <v>4.1135910000000004</v>
      </c>
      <c r="E1211">
        <v>0.66291709999999904</v>
      </c>
      <c r="F1211" t="s">
        <v>43</v>
      </c>
      <c r="G1211">
        <v>-192.68199999999999</v>
      </c>
      <c r="H1211" s="1">
        <v>-1.63921E-6</v>
      </c>
      <c r="I1211">
        <v>341.74669999999998</v>
      </c>
      <c r="J1211">
        <v>-197.10499999999999</v>
      </c>
      <c r="K1211">
        <v>1.0996239999999999</v>
      </c>
      <c r="L1211">
        <v>362.40190000000001</v>
      </c>
      <c r="M1211">
        <v>0.83822830000000004</v>
      </c>
      <c r="N1211">
        <v>0</v>
      </c>
      <c r="O1211">
        <v>-0.54509289999999999</v>
      </c>
      <c r="P1211">
        <v>0.57229049999999904</v>
      </c>
      <c r="Q1211">
        <v>0.1784665</v>
      </c>
      <c r="R1211">
        <v>-0.80039550000000004</v>
      </c>
      <c r="S1211">
        <v>0.72122189999999997</v>
      </c>
      <c r="T1211">
        <v>-0.17403959999999999</v>
      </c>
      <c r="U1211">
        <v>-3.2838129999999999</v>
      </c>
      <c r="V1211">
        <v>0.36398900000000001</v>
      </c>
      <c r="W1211">
        <v>0.1832704</v>
      </c>
      <c r="X1211">
        <v>0.91319439999999996</v>
      </c>
      <c r="Y1211">
        <v>0.70164530000000003</v>
      </c>
      <c r="Z1211">
        <v>1.0432210000000001E-2</v>
      </c>
      <c r="AA1211">
        <v>0.71245009999999998</v>
      </c>
      <c r="AB1211">
        <v>30</v>
      </c>
      <c r="AC1211">
        <v>4.4229999999999698</v>
      </c>
      <c r="AD1211">
        <v>-1.0996256392099999</v>
      </c>
      <c r="AE1211">
        <v>-20.655200000000001</v>
      </c>
      <c r="AF1211">
        <v>14.8643868584033</v>
      </c>
      <c r="AG1211">
        <v>-1.0996256392099999</v>
      </c>
      <c r="AH1211">
        <v>14.9278820086691</v>
      </c>
      <c r="AI1211">
        <v>92.988023124515394</v>
      </c>
      <c r="AJ1211">
        <v>45.1221121707027</v>
      </c>
      <c r="AK1211">
        <v>21.095042888968699</v>
      </c>
      <c r="AL1211">
        <v>79.439690606881797</v>
      </c>
      <c r="AM1211">
        <v>68.268330945970405</v>
      </c>
      <c r="AN1211">
        <v>1.00000002191425</v>
      </c>
    </row>
    <row r="1212" spans="1:40" x14ac:dyDescent="0.25">
      <c r="A1212" t="str">
        <f>"20190312172351114"</f>
        <v>20190312172351114</v>
      </c>
      <c r="B1212" t="str">
        <f>"1552382631110948"</f>
        <v>1552382631110948</v>
      </c>
      <c r="C1212" t="s">
        <v>40</v>
      </c>
      <c r="D1212">
        <v>4.0906510000000003</v>
      </c>
      <c r="E1212">
        <v>0.66547299999999998</v>
      </c>
      <c r="F1212" t="s">
        <v>43</v>
      </c>
      <c r="G1212">
        <v>-192.7106</v>
      </c>
      <c r="H1212" s="1">
        <v>-1.398529E-6</v>
      </c>
      <c r="I1212">
        <v>341.16789999999997</v>
      </c>
      <c r="J1212">
        <v>-196.96510000000001</v>
      </c>
      <c r="K1212">
        <v>1.0995820000000001</v>
      </c>
      <c r="L1212">
        <v>362.30189999999999</v>
      </c>
      <c r="M1212">
        <v>0.83393220000000001</v>
      </c>
      <c r="N1212">
        <v>0</v>
      </c>
      <c r="O1212">
        <v>-0.55164269999999904</v>
      </c>
      <c r="P1212">
        <v>0.56588559999999999</v>
      </c>
      <c r="Q1212">
        <v>0.17849379999999901</v>
      </c>
      <c r="R1212">
        <v>-0.8049309</v>
      </c>
      <c r="S1212">
        <v>0.68255619999999995</v>
      </c>
      <c r="T1212">
        <v>-0.17080010000000001</v>
      </c>
      <c r="U1212">
        <v>-3.298187</v>
      </c>
      <c r="V1212">
        <v>0.36413760000000001</v>
      </c>
      <c r="W1212">
        <v>0.18326899999999999</v>
      </c>
      <c r="X1212">
        <v>0.91313540000000004</v>
      </c>
      <c r="Y1212">
        <v>0.70470880000000002</v>
      </c>
      <c r="Z1212">
        <v>1.053479E-2</v>
      </c>
      <c r="AA1212">
        <v>0.70941849999999995</v>
      </c>
      <c r="AB1212">
        <v>30</v>
      </c>
      <c r="AC1212">
        <v>4.2545000000000002</v>
      </c>
      <c r="AD1212">
        <v>-1.099583398529</v>
      </c>
      <c r="AE1212">
        <v>-21.134</v>
      </c>
      <c r="AF1212">
        <v>15.2396022380155</v>
      </c>
      <c r="AG1212">
        <v>-1.099583398529</v>
      </c>
      <c r="AH1212">
        <v>15.1687997743278</v>
      </c>
      <c r="AI1212">
        <v>92.927472846477698</v>
      </c>
      <c r="AJ1212">
        <v>44.866593613966401</v>
      </c>
      <c r="AK1212">
        <v>21.530142744926099</v>
      </c>
      <c r="AL1212">
        <v>79.439771845159399</v>
      </c>
      <c r="AM1212">
        <v>68.259012434210504</v>
      </c>
      <c r="AN1212">
        <v>0.99999998841395998</v>
      </c>
    </row>
    <row r="1213" spans="1:40" x14ac:dyDescent="0.25">
      <c r="A1213" t="str">
        <f>"20190312172351132"</f>
        <v>20190312172351132</v>
      </c>
      <c r="B1213" t="str">
        <f>"1552382631120708"</f>
        <v>1552382631120708</v>
      </c>
      <c r="C1213" t="s">
        <v>40</v>
      </c>
      <c r="D1213">
        <v>4.1249560000000001</v>
      </c>
      <c r="E1213">
        <v>0.66630429999999996</v>
      </c>
      <c r="F1213" t="s">
        <v>43</v>
      </c>
      <c r="G1213">
        <v>-192.69890000000001</v>
      </c>
      <c r="H1213" s="1">
        <v>-9.7948109999999995E-7</v>
      </c>
      <c r="I1213">
        <v>340.19839999999999</v>
      </c>
      <c r="J1213">
        <v>-196.7782</v>
      </c>
      <c r="K1213">
        <v>1.0995269999999999</v>
      </c>
      <c r="L1213">
        <v>362.16579999999999</v>
      </c>
      <c r="M1213">
        <v>0.82804349999999904</v>
      </c>
      <c r="N1213">
        <v>0</v>
      </c>
      <c r="O1213">
        <v>-0.56044289999999997</v>
      </c>
      <c r="P1213">
        <v>0.55710780000000004</v>
      </c>
      <c r="Q1213">
        <v>0.17887549999999999</v>
      </c>
      <c r="R1213">
        <v>-0.81094709999999903</v>
      </c>
      <c r="S1213">
        <v>0.63960269999999997</v>
      </c>
      <c r="T1213">
        <v>-0.1648549</v>
      </c>
      <c r="U1213">
        <v>-3.3138730000000001</v>
      </c>
      <c r="V1213">
        <v>0.36435440000000002</v>
      </c>
      <c r="W1213">
        <v>0.1836112</v>
      </c>
      <c r="X1213">
        <v>0.91298020000000002</v>
      </c>
      <c r="Y1213">
        <v>0.70672199999999996</v>
      </c>
      <c r="Z1213">
        <v>1.0628449999999999E-2</v>
      </c>
      <c r="AA1213">
        <v>0.70741149999999997</v>
      </c>
      <c r="AB1213">
        <v>30</v>
      </c>
      <c r="AC1213">
        <v>4.0792999999999804</v>
      </c>
      <c r="AD1213">
        <v>-1.0995279794810999</v>
      </c>
      <c r="AE1213">
        <v>-21.967400000000001</v>
      </c>
      <c r="AF1213">
        <v>15.867291432239901</v>
      </c>
      <c r="AG1213">
        <v>-1.0995279794810999</v>
      </c>
      <c r="AH1213">
        <v>15.653346143192101</v>
      </c>
      <c r="AI1213">
        <v>92.824145078971199</v>
      </c>
      <c r="AJ1213">
        <v>44.611112756152401</v>
      </c>
      <c r="AK1213">
        <v>22.3160736836005</v>
      </c>
      <c r="AL1213">
        <v>79.419827155367997</v>
      </c>
      <c r="AM1213">
        <v>68.243923963203699</v>
      </c>
      <c r="AN1213">
        <v>1.0000000235784099</v>
      </c>
    </row>
    <row r="1214" spans="1:40" x14ac:dyDescent="0.25">
      <c r="A1214" t="str">
        <f>"20190312172351154"</f>
        <v>20190312172351154</v>
      </c>
      <c r="B1214" t="str">
        <f>"1552382631150966"</f>
        <v>1552382631150966</v>
      </c>
      <c r="C1214" t="s">
        <v>40</v>
      </c>
      <c r="D1214">
        <v>4.136571</v>
      </c>
      <c r="E1214">
        <v>0.66762489999999997</v>
      </c>
      <c r="F1214" t="s">
        <v>43</v>
      </c>
      <c r="G1214">
        <v>-192.72329999999999</v>
      </c>
      <c r="H1214" s="1">
        <v>-7.4383259999999997E-7</v>
      </c>
      <c r="I1214">
        <v>339.63389999999998</v>
      </c>
      <c r="J1214">
        <v>-196.54329999999999</v>
      </c>
      <c r="K1214">
        <v>1.099461</v>
      </c>
      <c r="L1214">
        <v>361.9905</v>
      </c>
      <c r="M1214">
        <v>0.82038899999999904</v>
      </c>
      <c r="N1214">
        <v>0</v>
      </c>
      <c r="O1214">
        <v>-0.57158809999999904</v>
      </c>
      <c r="P1214">
        <v>0.54570869999999905</v>
      </c>
      <c r="Q1214">
        <v>0.17949300000000001</v>
      </c>
      <c r="R1214">
        <v>-0.81852569999999902</v>
      </c>
      <c r="S1214">
        <v>0.59823609999999905</v>
      </c>
      <c r="T1214">
        <v>-0.16221940000000001</v>
      </c>
      <c r="U1214">
        <v>-3.324249</v>
      </c>
      <c r="V1214">
        <v>0.36471809999999899</v>
      </c>
      <c r="W1214">
        <v>0.18417829999999999</v>
      </c>
      <c r="X1214">
        <v>0.91272070000000005</v>
      </c>
      <c r="Y1214">
        <v>0.706088099999999</v>
      </c>
      <c r="Z1214">
        <v>1.115822E-2</v>
      </c>
      <c r="AA1214">
        <v>0.708036</v>
      </c>
      <c r="AB1214">
        <v>30</v>
      </c>
      <c r="AC1214">
        <v>3.8199999999999901</v>
      </c>
      <c r="AD1214">
        <v>-1.0994617438326</v>
      </c>
      <c r="AE1214">
        <v>-22.3566</v>
      </c>
      <c r="AF1214">
        <v>16.1217689580007</v>
      </c>
      <c r="AG1214">
        <v>-1.0994617438326</v>
      </c>
      <c r="AH1214">
        <v>15.8773232054528</v>
      </c>
      <c r="AI1214">
        <v>92.781800548159197</v>
      </c>
      <c r="AJ1214">
        <v>44.562317660850702</v>
      </c>
      <c r="AK1214">
        <v>22.654130807243899</v>
      </c>
      <c r="AL1214">
        <v>79.386770803715194</v>
      </c>
      <c r="AM1214">
        <v>68.218626024429994</v>
      </c>
      <c r="AN1214">
        <v>1.00000000743349</v>
      </c>
    </row>
    <row r="1215" spans="1:40" x14ac:dyDescent="0.25">
      <c r="A1215" t="str">
        <f>"20190312172351177"</f>
        <v>20190312172351177</v>
      </c>
      <c r="B1215" t="str">
        <f>"1552382631170485"</f>
        <v>1552382631170485</v>
      </c>
      <c r="C1215" t="s">
        <v>40</v>
      </c>
      <c r="D1215">
        <v>4.1504219999999998</v>
      </c>
      <c r="E1215">
        <v>0.66732539999999996</v>
      </c>
      <c r="F1215" t="s">
        <v>43</v>
      </c>
      <c r="G1215">
        <v>-192.74039999999999</v>
      </c>
      <c r="H1215" s="1">
        <v>-4.4495119999999998E-6</v>
      </c>
      <c r="I1215">
        <v>338.63350000000003</v>
      </c>
      <c r="J1215">
        <v>-196.3015</v>
      </c>
      <c r="K1215">
        <v>1.0993930000000001</v>
      </c>
      <c r="L1215">
        <v>361.8048</v>
      </c>
      <c r="M1215">
        <v>0.81219669999999999</v>
      </c>
      <c r="N1215">
        <v>0</v>
      </c>
      <c r="O1215">
        <v>-0.58316990000000002</v>
      </c>
      <c r="P1215">
        <v>0.5338311</v>
      </c>
      <c r="Q1215">
        <v>0.17961359999999901</v>
      </c>
      <c r="R1215">
        <v>-0.82629509999999995</v>
      </c>
      <c r="S1215">
        <v>0.54336549999999995</v>
      </c>
      <c r="T1215">
        <v>-0.15709389999999901</v>
      </c>
      <c r="U1215">
        <v>-3.3373110000000001</v>
      </c>
      <c r="V1215">
        <v>0.36496260000000003</v>
      </c>
      <c r="W1215">
        <v>0.18425469999999999</v>
      </c>
      <c r="X1215">
        <v>0.91260750000000002</v>
      </c>
      <c r="Y1215">
        <v>0.70784969999999903</v>
      </c>
      <c r="Z1215">
        <v>1.143451E-2</v>
      </c>
      <c r="AA1215">
        <v>0.70627059999999997</v>
      </c>
      <c r="AB1215">
        <v>30</v>
      </c>
      <c r="AC1215">
        <v>3.5611000000000099</v>
      </c>
      <c r="AD1215">
        <v>-1.099397449512</v>
      </c>
      <c r="AE1215">
        <v>-23.171299999999899</v>
      </c>
      <c r="AF1215">
        <v>16.7082699110492</v>
      </c>
      <c r="AG1215">
        <v>-1.099397449512</v>
      </c>
      <c r="AH1215">
        <v>16.371160469211301</v>
      </c>
      <c r="AI1215">
        <v>92.690867511871303</v>
      </c>
      <c r="AJ1215">
        <v>44.416124176802903</v>
      </c>
      <c r="AK1215">
        <v>23.417725194414899</v>
      </c>
      <c r="AL1215">
        <v>79.382316799244904</v>
      </c>
      <c r="AM1215">
        <v>68.202942122496594</v>
      </c>
      <c r="AN1215">
        <v>0.99999997146354902</v>
      </c>
    </row>
    <row r="1216" spans="1:40" x14ac:dyDescent="0.25">
      <c r="A1216" t="str">
        <f>"20190312172351190"</f>
        <v>20190312172351190</v>
      </c>
      <c r="B1216" t="str">
        <f>"1552382631181221"</f>
        <v>1552382631181221</v>
      </c>
      <c r="C1216" t="s">
        <v>40</v>
      </c>
      <c r="D1216">
        <v>4.1628379999999998</v>
      </c>
      <c r="E1216">
        <v>0.6669446</v>
      </c>
      <c r="F1216" t="s">
        <v>43</v>
      </c>
      <c r="G1216">
        <v>-192.84690000000001</v>
      </c>
      <c r="H1216" s="1">
        <v>-4.4507020000000001E-6</v>
      </c>
      <c r="I1216">
        <v>338.58150000000001</v>
      </c>
      <c r="J1216">
        <v>-196.16650000000001</v>
      </c>
      <c r="K1216">
        <v>1.099356</v>
      </c>
      <c r="L1216">
        <v>361.69830000000002</v>
      </c>
      <c r="M1216">
        <v>0.80746879999999999</v>
      </c>
      <c r="N1216">
        <v>0</v>
      </c>
      <c r="O1216">
        <v>-0.58969830000000001</v>
      </c>
      <c r="P1216">
        <v>0.52683519999999995</v>
      </c>
      <c r="Q1216">
        <v>0.17982490000000001</v>
      </c>
      <c r="R1216">
        <v>-0.83072710000000005</v>
      </c>
      <c r="S1216">
        <v>0.49740600000000001</v>
      </c>
      <c r="T1216">
        <v>-0.158292299999999</v>
      </c>
      <c r="U1216">
        <v>-3.3437190000000001</v>
      </c>
      <c r="V1216">
        <v>0.36529729999999999</v>
      </c>
      <c r="W1216">
        <v>0.18443509999999999</v>
      </c>
      <c r="X1216">
        <v>0.9124371</v>
      </c>
      <c r="Y1216">
        <v>0.71183459999999998</v>
      </c>
      <c r="Z1216">
        <v>1.1795949999999999E-2</v>
      </c>
      <c r="AA1216">
        <v>0.70224799999999998</v>
      </c>
      <c r="AB1216">
        <v>30</v>
      </c>
      <c r="AC1216">
        <v>3.3195999999999999</v>
      </c>
      <c r="AD1216">
        <v>-1.0993604507020001</v>
      </c>
      <c r="AE1216">
        <v>-23.116800000000001</v>
      </c>
      <c r="AF1216">
        <v>16.673673627747501</v>
      </c>
      <c r="AG1216">
        <v>-1.0993604507020001</v>
      </c>
      <c r="AH1216">
        <v>16.278378857622101</v>
      </c>
      <c r="AI1216">
        <v>92.701109047905405</v>
      </c>
      <c r="AJ1216">
        <v>44.312709407982901</v>
      </c>
      <c r="AK1216">
        <v>23.328214759760101</v>
      </c>
      <c r="AL1216">
        <v>79.3718000946795</v>
      </c>
      <c r="AM1216">
        <v>68.181136929575899</v>
      </c>
      <c r="AN1216">
        <v>0.99999994247785295</v>
      </c>
    </row>
    <row r="1217" spans="1:40" x14ac:dyDescent="0.25">
      <c r="A1217" t="str">
        <f>"20190312172351202"</f>
        <v>20190312172351202</v>
      </c>
      <c r="B1217" t="str">
        <f>"1552382631190981"</f>
        <v>1552382631190981</v>
      </c>
      <c r="C1217" t="s">
        <v>40</v>
      </c>
      <c r="D1217">
        <v>4.1794929999999999</v>
      </c>
      <c r="E1217">
        <v>0.66667829999999995</v>
      </c>
      <c r="F1217" t="s">
        <v>43</v>
      </c>
      <c r="G1217">
        <v>-192.9084</v>
      </c>
      <c r="H1217" s="1">
        <v>-4.4655330000000001E-6</v>
      </c>
      <c r="I1217">
        <v>338.59300000000002</v>
      </c>
      <c r="J1217">
        <v>-196.03</v>
      </c>
      <c r="K1217">
        <v>1.099321</v>
      </c>
      <c r="L1217">
        <v>361.58940000000001</v>
      </c>
      <c r="M1217">
        <v>0.80259759999999902</v>
      </c>
      <c r="N1217">
        <v>0</v>
      </c>
      <c r="O1217">
        <v>-0.59631069999999997</v>
      </c>
      <c r="P1217">
        <v>0.51989249999999998</v>
      </c>
      <c r="Q1217">
        <v>0.17997939999999901</v>
      </c>
      <c r="R1217">
        <v>-0.83505640000000003</v>
      </c>
      <c r="S1217">
        <v>0.47189330000000002</v>
      </c>
      <c r="T1217">
        <v>-0.1592277</v>
      </c>
      <c r="U1217">
        <v>-3.3464969999999998</v>
      </c>
      <c r="V1217">
        <v>0.36540210000000001</v>
      </c>
      <c r="W1217">
        <v>0.18456729999999999</v>
      </c>
      <c r="X1217">
        <v>0.91236839999999997</v>
      </c>
      <c r="Y1217">
        <v>0.71139629999999998</v>
      </c>
      <c r="Z1217">
        <v>1.228978E-2</v>
      </c>
      <c r="AA1217">
        <v>0.70268369999999902</v>
      </c>
      <c r="AB1217">
        <v>29</v>
      </c>
      <c r="AC1217">
        <v>3.1215999999999999</v>
      </c>
      <c r="AD1217">
        <v>-1.099325465533</v>
      </c>
      <c r="AE1217">
        <v>-22.996399999999898</v>
      </c>
      <c r="AF1217">
        <v>16.560332393539799</v>
      </c>
      <c r="AG1217">
        <v>-1.099325465533</v>
      </c>
      <c r="AH1217">
        <v>16.184105433183099</v>
      </c>
      <c r="AI1217">
        <v>92.718139465395794</v>
      </c>
      <c r="AJ1217">
        <v>44.341712061995601</v>
      </c>
      <c r="AK1217">
        <v>23.181423470875998</v>
      </c>
      <c r="AL1217">
        <v>79.364093258453806</v>
      </c>
      <c r="AM1217">
        <v>68.1739764735363</v>
      </c>
      <c r="AN1217">
        <v>0.99999994011612803</v>
      </c>
    </row>
    <row r="1218" spans="1:40" x14ac:dyDescent="0.25">
      <c r="A1218" t="str">
        <f>"20190312172351215"</f>
        <v>20190312172351215</v>
      </c>
      <c r="B1218" t="str">
        <f>"1552382631210501"</f>
        <v>1552382631210501</v>
      </c>
      <c r="C1218" t="s">
        <v>40</v>
      </c>
      <c r="D1218">
        <v>4.1572800000000001</v>
      </c>
      <c r="E1218">
        <v>0.66563149999999904</v>
      </c>
      <c r="F1218" t="s">
        <v>43</v>
      </c>
      <c r="G1218">
        <v>-192.99850000000001</v>
      </c>
      <c r="H1218" s="1">
        <v>-4.5593340000000002E-6</v>
      </c>
      <c r="I1218">
        <v>338.82170000000002</v>
      </c>
      <c r="J1218">
        <v>-195.89500000000001</v>
      </c>
      <c r="K1218">
        <v>1.0992879999999901</v>
      </c>
      <c r="L1218">
        <v>361.47910000000002</v>
      </c>
      <c r="M1218">
        <v>0.79765090000000005</v>
      </c>
      <c r="N1218">
        <v>0</v>
      </c>
      <c r="O1218">
        <v>-0.60291119999999898</v>
      </c>
      <c r="P1218">
        <v>0.51279620000000004</v>
      </c>
      <c r="Q1218">
        <v>0.1800706</v>
      </c>
      <c r="R1218">
        <v>-0.83941319999999997</v>
      </c>
      <c r="S1218">
        <v>0.44601439999999998</v>
      </c>
      <c r="T1218">
        <v>-0.16174140000000001</v>
      </c>
      <c r="U1218">
        <v>-3.3497620000000001</v>
      </c>
      <c r="V1218">
        <v>0.36561199999999999</v>
      </c>
      <c r="W1218">
        <v>0.1846325</v>
      </c>
      <c r="X1218">
        <v>0.91227119999999995</v>
      </c>
      <c r="Y1218">
        <v>0.71102089999999996</v>
      </c>
      <c r="Z1218">
        <v>1.2910990000000001E-2</v>
      </c>
      <c r="AA1218">
        <v>0.70305240000000002</v>
      </c>
      <c r="AB1218">
        <v>29</v>
      </c>
      <c r="AC1218">
        <v>2.8965000000000001</v>
      </c>
      <c r="AD1218">
        <v>-1.0992925593339899</v>
      </c>
      <c r="AE1218">
        <v>-22.657399999999999</v>
      </c>
      <c r="AF1218">
        <v>16.290681967341499</v>
      </c>
      <c r="AG1218">
        <v>-1.0992925593339899</v>
      </c>
      <c r="AH1218">
        <v>15.9358919027243</v>
      </c>
      <c r="AI1218">
        <v>92.761683799483706</v>
      </c>
      <c r="AJ1218">
        <v>44.3692425330538</v>
      </c>
      <c r="AK1218">
        <v>22.815508186919399</v>
      </c>
      <c r="AL1218">
        <v>79.360293091736395</v>
      </c>
      <c r="AM1218">
        <v>68.160510105919002</v>
      </c>
      <c r="AN1218">
        <v>1.0000000184748401</v>
      </c>
    </row>
    <row r="1219" spans="1:40" x14ac:dyDescent="0.25">
      <c r="A1219" t="str">
        <f>"20190312172351232"</f>
        <v>20190312172351232</v>
      </c>
      <c r="B1219" t="str">
        <f>"1552382631221237"</f>
        <v>1552382631221237</v>
      </c>
      <c r="C1219" t="s">
        <v>40</v>
      </c>
      <c r="D1219">
        <v>4.1739600000000001</v>
      </c>
      <c r="E1219">
        <v>0.66516869999999995</v>
      </c>
      <c r="F1219" t="s">
        <v>43</v>
      </c>
      <c r="G1219">
        <v>-193.0643</v>
      </c>
      <c r="H1219" s="1">
        <v>-4.6899599999999997E-6</v>
      </c>
      <c r="I1219">
        <v>339.1712</v>
      </c>
      <c r="J1219">
        <v>-195.71629999999999</v>
      </c>
      <c r="K1219">
        <v>1.0992379999999999</v>
      </c>
      <c r="L1219">
        <v>361.33049999999997</v>
      </c>
      <c r="M1219">
        <v>0.79093970000000002</v>
      </c>
      <c r="N1219">
        <v>0</v>
      </c>
      <c r="O1219">
        <v>-0.61168869999999997</v>
      </c>
      <c r="P1219">
        <v>0.50327709999999903</v>
      </c>
      <c r="Q1219">
        <v>0.1807753</v>
      </c>
      <c r="R1219">
        <v>-0.84500450000000005</v>
      </c>
      <c r="S1219">
        <v>0.42503360000000001</v>
      </c>
      <c r="T1219">
        <v>-0.1650624</v>
      </c>
      <c r="U1219">
        <v>-3.3496090000000001</v>
      </c>
      <c r="V1219">
        <v>0.36576209999999998</v>
      </c>
      <c r="W1219">
        <v>0.18530720000000001</v>
      </c>
      <c r="X1219">
        <v>0.9120741</v>
      </c>
      <c r="Y1219">
        <v>0.70756919999999901</v>
      </c>
      <c r="Z1219">
        <v>1.386332E-2</v>
      </c>
      <c r="AA1219">
        <v>0.70650800000000002</v>
      </c>
      <c r="AB1219">
        <v>29</v>
      </c>
      <c r="AC1219">
        <v>2.6519999999999802</v>
      </c>
      <c r="AD1219">
        <v>-1.0992426899600001</v>
      </c>
      <c r="AE1219">
        <v>-22.159299999999899</v>
      </c>
      <c r="AF1219">
        <v>15.867974220449801</v>
      </c>
      <c r="AG1219">
        <v>-1.0992426899600001</v>
      </c>
      <c r="AH1219">
        <v>15.616247042918699</v>
      </c>
      <c r="AI1219">
        <v>92.826648718597298</v>
      </c>
      <c r="AJ1219">
        <v>44.541910297801898</v>
      </c>
      <c r="AK1219">
        <v>22.290538621974999</v>
      </c>
      <c r="AL1219">
        <v>79.320955765473897</v>
      </c>
      <c r="AM1219">
        <v>68.148111420837097</v>
      </c>
      <c r="AN1219">
        <v>0.99999991802952604</v>
      </c>
    </row>
    <row r="1220" spans="1:40" x14ac:dyDescent="0.25">
      <c r="A1220" t="str">
        <f>"20190312172351254"</f>
        <v>20190312172351254</v>
      </c>
      <c r="B1220" t="str">
        <f>"1552382631250516"</f>
        <v>1552382631250516</v>
      </c>
      <c r="C1220" t="s">
        <v>40</v>
      </c>
      <c r="D1220">
        <v>4.140714</v>
      </c>
      <c r="E1220">
        <v>0.66366709999999995</v>
      </c>
      <c r="F1220" t="s">
        <v>43</v>
      </c>
      <c r="G1220">
        <v>-193.0985</v>
      </c>
      <c r="H1220" s="1">
        <v>-4.5876510000000003E-6</v>
      </c>
      <c r="I1220">
        <v>338.85270000000003</v>
      </c>
      <c r="J1220">
        <v>-195.50069999999999</v>
      </c>
      <c r="K1220">
        <v>1.0991899999999999</v>
      </c>
      <c r="L1220">
        <v>361.14659999999998</v>
      </c>
      <c r="M1220">
        <v>0.78257500000000002</v>
      </c>
      <c r="N1220">
        <v>0</v>
      </c>
      <c r="O1220">
        <v>-0.62235390000000002</v>
      </c>
      <c r="P1220">
        <v>0.49124820000000002</v>
      </c>
      <c r="Q1220">
        <v>0.1818371</v>
      </c>
      <c r="R1220">
        <v>-0.85182760000000002</v>
      </c>
      <c r="S1220">
        <v>0.3904724</v>
      </c>
      <c r="T1220">
        <v>-0.16396140000000001</v>
      </c>
      <c r="U1220">
        <v>-3.3527529999999999</v>
      </c>
      <c r="V1220">
        <v>0.3662049</v>
      </c>
      <c r="W1220">
        <v>0.1863254</v>
      </c>
      <c r="X1220">
        <v>0.91168899999999997</v>
      </c>
      <c r="Y1220">
        <v>0.70525599999999999</v>
      </c>
      <c r="Z1220">
        <v>1.4533859999999999E-2</v>
      </c>
      <c r="AA1220">
        <v>0.70880379999999998</v>
      </c>
      <c r="AB1220">
        <v>29</v>
      </c>
      <c r="AC1220">
        <v>2.4021999999999899</v>
      </c>
      <c r="AD1220">
        <v>-1.0991945876510001</v>
      </c>
      <c r="AE1220">
        <v>-22.293899999999901</v>
      </c>
      <c r="AF1220">
        <v>15.915394903366</v>
      </c>
      <c r="AG1220">
        <v>-1.0991945876510001</v>
      </c>
      <c r="AH1220">
        <v>15.7188095011642</v>
      </c>
      <c r="AI1220">
        <v>92.813181305876</v>
      </c>
      <c r="AJ1220">
        <v>44.643949671429297</v>
      </c>
      <c r="AK1220">
        <v>22.396182616810002</v>
      </c>
      <c r="AL1220">
        <v>79.261584170614796</v>
      </c>
      <c r="AM1220">
        <v>68.115785014427004</v>
      </c>
      <c r="AN1220">
        <v>1.0000000080950799</v>
      </c>
    </row>
    <row r="1221" spans="1:40" x14ac:dyDescent="0.25">
      <c r="A1221" t="str">
        <f>"20190312172351268"</f>
        <v>20190312172351268</v>
      </c>
      <c r="B1221" t="str">
        <f>"1552382631261253"</f>
        <v>1552382631261253</v>
      </c>
      <c r="C1221" t="s">
        <v>40</v>
      </c>
      <c r="D1221">
        <v>4.1293189999999997</v>
      </c>
      <c r="E1221">
        <v>0.66315930000000001</v>
      </c>
      <c r="F1221" t="s">
        <v>43</v>
      </c>
      <c r="G1221">
        <v>-193.1523</v>
      </c>
      <c r="H1221" s="1">
        <v>-4.6089260000000003E-6</v>
      </c>
      <c r="I1221">
        <v>338.88720000000001</v>
      </c>
      <c r="J1221">
        <v>-195.3638</v>
      </c>
      <c r="K1221">
        <v>1.0991660000000001</v>
      </c>
      <c r="L1221">
        <v>361.02719999999999</v>
      </c>
      <c r="M1221">
        <v>0.77710500000000005</v>
      </c>
      <c r="N1221">
        <v>0</v>
      </c>
      <c r="O1221">
        <v>-0.62917040000000002</v>
      </c>
      <c r="P1221">
        <v>0.48371419999999998</v>
      </c>
      <c r="Q1221">
        <v>0.18225849999999999</v>
      </c>
      <c r="R1221">
        <v>-0.85603899999999999</v>
      </c>
      <c r="S1221">
        <v>0.35375980000000001</v>
      </c>
      <c r="T1221">
        <v>-0.16558210000000001</v>
      </c>
      <c r="U1221">
        <v>-3.3531490000000002</v>
      </c>
      <c r="V1221">
        <v>0.36623529999999999</v>
      </c>
      <c r="W1221">
        <v>0.18672920000000001</v>
      </c>
      <c r="X1221">
        <v>0.91159420000000002</v>
      </c>
      <c r="Y1221">
        <v>0.70673229999999998</v>
      </c>
      <c r="Z1221">
        <v>1.5091810000000001E-2</v>
      </c>
      <c r="AA1221">
        <v>0.70732010000000001</v>
      </c>
      <c r="AB1221">
        <v>29</v>
      </c>
      <c r="AC1221">
        <v>2.2115</v>
      </c>
      <c r="AD1221">
        <v>-1.099170608926</v>
      </c>
      <c r="AE1221">
        <v>-22.139999999999901</v>
      </c>
      <c r="AF1221">
        <v>15.777187785321299</v>
      </c>
      <c r="AG1221">
        <v>-1.099170608926</v>
      </c>
      <c r="AH1221">
        <v>15.612275376529</v>
      </c>
      <c r="AI1221">
        <v>92.835033661744802</v>
      </c>
      <c r="AJ1221">
        <v>44.6989850373973</v>
      </c>
      <c r="AK1221">
        <v>22.223207978898898</v>
      </c>
      <c r="AL1221">
        <v>79.238035156762507</v>
      </c>
      <c r="AM1221">
        <v>68.112079007970806</v>
      </c>
      <c r="AN1221">
        <v>1.0000000372861799</v>
      </c>
    </row>
    <row r="1222" spans="1:40" x14ac:dyDescent="0.25">
      <c r="A1222" t="str">
        <f>"20190312172351280"</f>
        <v>20190312172351280</v>
      </c>
      <c r="B1222" t="str">
        <f>"1552382631271013"</f>
        <v>1552382631271013</v>
      </c>
      <c r="C1222" t="s">
        <v>40</v>
      </c>
      <c r="D1222">
        <v>4.1326850000000004</v>
      </c>
      <c r="E1222">
        <v>0.66315930000000001</v>
      </c>
      <c r="F1222" t="s">
        <v>43</v>
      </c>
      <c r="G1222">
        <v>-193.185</v>
      </c>
      <c r="H1222" s="1">
        <v>-4.5661100000000001E-6</v>
      </c>
      <c r="I1222">
        <v>338.74439999999998</v>
      </c>
      <c r="J1222">
        <v>-195.23140000000001</v>
      </c>
      <c r="K1222">
        <v>1.099137</v>
      </c>
      <c r="L1222">
        <v>360.91</v>
      </c>
      <c r="M1222">
        <v>0.77171239999999997</v>
      </c>
      <c r="N1222">
        <v>0</v>
      </c>
      <c r="O1222">
        <v>-0.63577289999999997</v>
      </c>
      <c r="P1222">
        <v>0.47636119999999998</v>
      </c>
      <c r="Q1222">
        <v>0.1825871</v>
      </c>
      <c r="R1222">
        <v>-0.86008259999999903</v>
      </c>
      <c r="S1222">
        <v>0.32798769999999999</v>
      </c>
      <c r="T1222">
        <v>-0.1654651</v>
      </c>
      <c r="U1222">
        <v>-3.3543699999999999</v>
      </c>
      <c r="V1222">
        <v>0.36624309999999899</v>
      </c>
      <c r="W1222">
        <v>0.18704209999999999</v>
      </c>
      <c r="X1222">
        <v>0.91152690000000003</v>
      </c>
      <c r="Y1222">
        <v>0.70611020000000002</v>
      </c>
      <c r="Z1222">
        <v>1.5540170000000001E-2</v>
      </c>
      <c r="AA1222">
        <v>0.70793149999999905</v>
      </c>
      <c r="AB1222">
        <v>29</v>
      </c>
      <c r="AC1222">
        <v>2.0464000000000002</v>
      </c>
      <c r="AD1222">
        <v>-1.0991415661099999</v>
      </c>
      <c r="AE1222">
        <v>-22.165600000000001</v>
      </c>
      <c r="AF1222">
        <v>15.767975850191201</v>
      </c>
      <c r="AG1222">
        <v>-1.0991415661099999</v>
      </c>
      <c r="AH1222">
        <v>15.63537967611</v>
      </c>
      <c r="AI1222">
        <v>92.833720602330501</v>
      </c>
      <c r="AJ1222">
        <v>44.758078209184703</v>
      </c>
      <c r="AK1222">
        <v>22.2329096658687</v>
      </c>
      <c r="AL1222">
        <v>79.219785622690495</v>
      </c>
      <c r="AM1222">
        <v>68.110193552758403</v>
      </c>
      <c r="AN1222">
        <v>1.00000002244681</v>
      </c>
    </row>
    <row r="1223" spans="1:40" x14ac:dyDescent="0.25">
      <c r="A1223" t="str">
        <f>"20190312172351300"</f>
        <v>20190312172351300</v>
      </c>
      <c r="B1223" t="str">
        <f>"1552382631290536"</f>
        <v>1552382631290536</v>
      </c>
      <c r="C1223" t="s">
        <v>40</v>
      </c>
      <c r="D1223">
        <v>4.1575470000000001</v>
      </c>
      <c r="E1223">
        <v>0.64834219999999998</v>
      </c>
      <c r="F1223" t="s">
        <v>43</v>
      </c>
      <c r="G1223">
        <v>-193.22890000000001</v>
      </c>
      <c r="H1223" s="1">
        <v>-4.4807589999999999E-6</v>
      </c>
      <c r="I1223">
        <v>338.47070000000002</v>
      </c>
      <c r="J1223">
        <v>-195.04150000000001</v>
      </c>
      <c r="K1223">
        <v>1.0991010000000001</v>
      </c>
      <c r="L1223">
        <v>360.73750000000001</v>
      </c>
      <c r="M1223">
        <v>0.76373639999999998</v>
      </c>
      <c r="N1223">
        <v>0</v>
      </c>
      <c r="O1223">
        <v>-0.64533189999999996</v>
      </c>
      <c r="P1223">
        <v>0.4661537</v>
      </c>
      <c r="Q1223">
        <v>0.18256520000000001</v>
      </c>
      <c r="R1223">
        <v>-0.8656623</v>
      </c>
      <c r="S1223">
        <v>0.299591099999999</v>
      </c>
      <c r="T1223">
        <v>-0.1644378</v>
      </c>
      <c r="U1223">
        <v>-3.357056</v>
      </c>
      <c r="V1223">
        <v>0.3656952</v>
      </c>
      <c r="W1223">
        <v>0.18702099999999999</v>
      </c>
      <c r="X1223">
        <v>0.91175119999999998</v>
      </c>
      <c r="Y1223">
        <v>0.70328840000000004</v>
      </c>
      <c r="Z1223">
        <v>1.6156920000000002E-2</v>
      </c>
      <c r="AA1223">
        <v>0.710721099999999</v>
      </c>
      <c r="AB1223">
        <v>29</v>
      </c>
      <c r="AC1223">
        <v>1.8126</v>
      </c>
      <c r="AD1223">
        <v>-1.0991054807589999</v>
      </c>
      <c r="AE1223">
        <v>-22.2667999999999</v>
      </c>
      <c r="AF1223">
        <v>15.8000013071587</v>
      </c>
      <c r="AG1223">
        <v>-1.0991054807589999</v>
      </c>
      <c r="AH1223">
        <v>15.7177777588296</v>
      </c>
      <c r="AI1223">
        <v>92.8233726042873</v>
      </c>
      <c r="AJ1223">
        <v>44.850527170760898</v>
      </c>
      <c r="AK1223">
        <v>22.313597017065799</v>
      </c>
      <c r="AL1223">
        <v>79.221016495616496</v>
      </c>
      <c r="AM1223">
        <v>68.144723156588796</v>
      </c>
      <c r="AN1223">
        <v>1.00000004222273</v>
      </c>
    </row>
    <row r="1224" spans="1:40" x14ac:dyDescent="0.25">
      <c r="A1224" t="str">
        <f>"20190312172351313"</f>
        <v>20190312172351313</v>
      </c>
      <c r="B1224" t="str">
        <f>"1552382631311028"</f>
        <v>1552382631311028</v>
      </c>
      <c r="C1224" t="s">
        <v>40</v>
      </c>
      <c r="D1224">
        <v>4.1471299999999998</v>
      </c>
      <c r="E1224">
        <v>0.64755240000000003</v>
      </c>
      <c r="F1224" t="s">
        <v>43</v>
      </c>
      <c r="G1224">
        <v>-192.98</v>
      </c>
      <c r="H1224" s="1">
        <v>-1.8291049999999999E-6</v>
      </c>
      <c r="I1224">
        <v>342.00450000000001</v>
      </c>
      <c r="J1224">
        <v>-194.91399999999999</v>
      </c>
      <c r="K1224">
        <v>1.099081</v>
      </c>
      <c r="L1224">
        <v>360.6189</v>
      </c>
      <c r="M1224">
        <v>0.75822840000000002</v>
      </c>
      <c r="N1224">
        <v>0</v>
      </c>
      <c r="O1224">
        <v>-0.6517944</v>
      </c>
      <c r="P1224">
        <v>0.45870640000000001</v>
      </c>
      <c r="Q1224">
        <v>0.1831045</v>
      </c>
      <c r="R1224">
        <v>-0.86951819999999902</v>
      </c>
      <c r="S1224">
        <v>0.36428830000000001</v>
      </c>
      <c r="T1224">
        <v>-0.19422590000000001</v>
      </c>
      <c r="U1224">
        <v>-3.3103639999999999</v>
      </c>
      <c r="V1224">
        <v>0.36571799999999999</v>
      </c>
      <c r="W1224">
        <v>0.18754799999999999</v>
      </c>
      <c r="X1224">
        <v>0.91163380000000005</v>
      </c>
      <c r="Y1224">
        <v>0.6822802</v>
      </c>
      <c r="Z1224">
        <v>2.056231E-2</v>
      </c>
      <c r="AA1224">
        <v>0.73080159999999905</v>
      </c>
      <c r="AB1224">
        <v>29</v>
      </c>
      <c r="AC1224">
        <v>1.9340000000000199</v>
      </c>
      <c r="AD1224">
        <v>-1.0990828291050001</v>
      </c>
      <c r="AE1224">
        <v>-18.6143999999999</v>
      </c>
      <c r="AF1224">
        <v>12.810842204604899</v>
      </c>
      <c r="AG1224">
        <v>-1.0990828291050001</v>
      </c>
      <c r="AH1224">
        <v>13.5541521754147</v>
      </c>
      <c r="AI1224">
        <v>93.372607821192702</v>
      </c>
      <c r="AJ1224">
        <v>46.614915791326197</v>
      </c>
      <c r="AK1224">
        <v>18.6826310312766</v>
      </c>
      <c r="AL1224">
        <v>79.190277767557404</v>
      </c>
      <c r="AM1224">
        <v>68.140939525726395</v>
      </c>
      <c r="AN1224">
        <v>1.0000000465652099</v>
      </c>
    </row>
    <row r="1225" spans="1:40" x14ac:dyDescent="0.25">
      <c r="A1225" t="str">
        <f>"20190312172351334"</f>
        <v>20190312172351334</v>
      </c>
      <c r="B1225" t="str">
        <f>"1552382631330549"</f>
        <v>1552382631330549</v>
      </c>
      <c r="C1225" t="s">
        <v>40</v>
      </c>
      <c r="D1225">
        <v>4.0959949999999896</v>
      </c>
      <c r="E1225">
        <v>0.64072850000000003</v>
      </c>
      <c r="F1225" t="s">
        <v>43</v>
      </c>
      <c r="G1225">
        <v>-192.97819999999999</v>
      </c>
      <c r="H1225" s="1">
        <v>-1.7685699999999999E-6</v>
      </c>
      <c r="I1225">
        <v>341.8646</v>
      </c>
      <c r="J1225">
        <v>-194.7141</v>
      </c>
      <c r="K1225">
        <v>1.099046</v>
      </c>
      <c r="L1225">
        <v>360.42930000000001</v>
      </c>
      <c r="M1225">
        <v>0.74937379999999998</v>
      </c>
      <c r="N1225">
        <v>0</v>
      </c>
      <c r="O1225">
        <v>-0.66195539999999997</v>
      </c>
      <c r="P1225">
        <v>0.44716260000000002</v>
      </c>
      <c r="Q1225">
        <v>0.18423900000000001</v>
      </c>
      <c r="R1225">
        <v>-0.87527250000000001</v>
      </c>
      <c r="S1225">
        <v>0.34173579999999998</v>
      </c>
      <c r="T1225">
        <v>-0.19402440000000001</v>
      </c>
      <c r="U1225">
        <v>-3.3107600000000001</v>
      </c>
      <c r="V1225">
        <v>0.36535840000000003</v>
      </c>
      <c r="W1225">
        <v>0.1886775</v>
      </c>
      <c r="X1225">
        <v>0.91154489999999999</v>
      </c>
      <c r="Y1225">
        <v>0.67735449999999997</v>
      </c>
      <c r="Z1225">
        <v>2.1516899999999999E-2</v>
      </c>
      <c r="AA1225">
        <v>0.735342099999999</v>
      </c>
      <c r="AB1225">
        <v>29</v>
      </c>
      <c r="AC1225">
        <v>1.73590000000001</v>
      </c>
      <c r="AD1225">
        <v>-1.09904776857</v>
      </c>
      <c r="AE1225">
        <v>-18.564699999999998</v>
      </c>
      <c r="AF1225">
        <v>12.720237445172</v>
      </c>
      <c r="AG1225">
        <v>-1.09904776857</v>
      </c>
      <c r="AH1225">
        <v>13.5445086409486</v>
      </c>
      <c r="AI1225">
        <v>93.385022240442893</v>
      </c>
      <c r="AJ1225">
        <v>46.797533656831099</v>
      </c>
      <c r="AK1225">
        <v>18.613598818710098</v>
      </c>
      <c r="AL1225">
        <v>79.124385684842593</v>
      </c>
      <c r="AM1225">
        <v>68.158480320827906</v>
      </c>
      <c r="AN1225">
        <v>1.0000000320864</v>
      </c>
    </row>
    <row r="1226" spans="1:40" x14ac:dyDescent="0.25">
      <c r="A1226" t="str">
        <f>"20190312172351356"</f>
        <v>20190312172351356</v>
      </c>
      <c r="B1226" t="str">
        <f>"1552382631351046"</f>
        <v>1552382631351046</v>
      </c>
      <c r="C1226" t="s">
        <v>40</v>
      </c>
      <c r="D1226">
        <v>4.0775199999999998</v>
      </c>
      <c r="E1226">
        <v>0.63929530000000001</v>
      </c>
      <c r="F1226" t="s">
        <v>43</v>
      </c>
      <c r="G1226">
        <v>-192.71950000000001</v>
      </c>
      <c r="H1226" s="1">
        <v>-1.5657840000000001E-6</v>
      </c>
      <c r="I1226">
        <v>341.5523</v>
      </c>
      <c r="J1226">
        <v>-194.4984</v>
      </c>
      <c r="K1226">
        <v>1.0990230000000001</v>
      </c>
      <c r="L1226">
        <v>360.21890000000002</v>
      </c>
      <c r="M1226">
        <v>0.73948400000000003</v>
      </c>
      <c r="N1226">
        <v>0</v>
      </c>
      <c r="O1226">
        <v>-0.6729849</v>
      </c>
      <c r="P1226">
        <v>0.43433329999999998</v>
      </c>
      <c r="Q1226">
        <v>0.18509610000000001</v>
      </c>
      <c r="R1226">
        <v>-0.88152940000000002</v>
      </c>
      <c r="S1226">
        <v>0.34765629999999997</v>
      </c>
      <c r="T1226">
        <v>-0.1915615</v>
      </c>
      <c r="U1226">
        <v>-3.290222</v>
      </c>
      <c r="V1226">
        <v>0.36506909999999998</v>
      </c>
      <c r="W1226">
        <v>0.18953120000000001</v>
      </c>
      <c r="X1226">
        <v>0.91148370000000001</v>
      </c>
      <c r="Y1226">
        <v>0.66459990000000002</v>
      </c>
      <c r="Z1226">
        <v>2.265443E-2</v>
      </c>
      <c r="AA1226">
        <v>0.74685599999999996</v>
      </c>
      <c r="AB1226">
        <v>29</v>
      </c>
      <c r="AC1226">
        <v>1.7788999999999899</v>
      </c>
      <c r="AD1226">
        <v>-1.0990245657840001</v>
      </c>
      <c r="AE1226">
        <v>-18.666599999999999</v>
      </c>
      <c r="AF1226">
        <v>12.564921567977001</v>
      </c>
      <c r="AG1226">
        <v>-1.0990245657840001</v>
      </c>
      <c r="AH1226">
        <v>13.8320594214245</v>
      </c>
      <c r="AI1226">
        <v>93.365820854965406</v>
      </c>
      <c r="AJ1226">
        <v>47.748267414129401</v>
      </c>
      <c r="AK1226">
        <v>18.719267529565101</v>
      </c>
      <c r="AL1226">
        <v>79.074573487629706</v>
      </c>
      <c r="AM1226">
        <v>68.172821506939798</v>
      </c>
      <c r="AN1226">
        <v>1.00000002945696</v>
      </c>
    </row>
    <row r="1227" spans="1:40" x14ac:dyDescent="0.25">
      <c r="A1227" t="str">
        <f>"20190312172351379"</f>
        <v>20190312172351379</v>
      </c>
      <c r="B1227" t="str">
        <f>"1552382631371541"</f>
        <v>1552382631371541</v>
      </c>
      <c r="C1227" t="s">
        <v>40</v>
      </c>
      <c r="D1227">
        <v>4.0541929999999997</v>
      </c>
      <c r="E1227">
        <v>0.63873849999999999</v>
      </c>
      <c r="F1227" t="s">
        <v>43</v>
      </c>
      <c r="G1227">
        <v>-192.72389999999999</v>
      </c>
      <c r="H1227" s="1">
        <v>-1.5111259999999999E-6</v>
      </c>
      <c r="I1227">
        <v>341.4221</v>
      </c>
      <c r="J1227">
        <v>-194.28620000000001</v>
      </c>
      <c r="K1227">
        <v>1.099013</v>
      </c>
      <c r="L1227">
        <v>360.00569999999999</v>
      </c>
      <c r="M1227">
        <v>0.72940490000000002</v>
      </c>
      <c r="N1227">
        <v>0</v>
      </c>
      <c r="O1227">
        <v>-0.6838957</v>
      </c>
      <c r="P1227">
        <v>0.4215855</v>
      </c>
      <c r="Q1227">
        <v>0.185807</v>
      </c>
      <c r="R1227">
        <v>-0.88754789999999995</v>
      </c>
      <c r="S1227">
        <v>0.31063839999999998</v>
      </c>
      <c r="T1227">
        <v>-0.19239329999999999</v>
      </c>
      <c r="U1227">
        <v>-3.2905269999999902</v>
      </c>
      <c r="V1227">
        <v>0.36458410000000002</v>
      </c>
      <c r="W1227">
        <v>0.19025020000000001</v>
      </c>
      <c r="X1227">
        <v>0.911528</v>
      </c>
      <c r="Y1227">
        <v>0.66182919999999901</v>
      </c>
      <c r="Z1227">
        <v>2.3722440000000001E-2</v>
      </c>
      <c r="AA1227">
        <v>0.74927919999999903</v>
      </c>
      <c r="AB1227">
        <v>29</v>
      </c>
      <c r="AC1227">
        <v>1.56230000000002</v>
      </c>
      <c r="AD1227">
        <v>-1.0990145111259999</v>
      </c>
      <c r="AE1227">
        <v>-18.583599999999901</v>
      </c>
      <c r="AF1227">
        <v>12.444892507292501</v>
      </c>
      <c r="AG1227">
        <v>-1.0990145111259999</v>
      </c>
      <c r="AH1227">
        <v>13.802625868408199</v>
      </c>
      <c r="AI1227">
        <v>93.384286032781404</v>
      </c>
      <c r="AJ1227">
        <v>47.961160591541898</v>
      </c>
      <c r="AK1227">
        <v>18.617079880501699</v>
      </c>
      <c r="AL1227">
        <v>79.0326140558237</v>
      </c>
      <c r="AM1227">
        <v>68.200058994786204</v>
      </c>
      <c r="AN1227">
        <v>0.99999999967842501</v>
      </c>
    </row>
    <row r="1228" spans="1:40" x14ac:dyDescent="0.25">
      <c r="A1228" t="str">
        <f>"20190312172351400"</f>
        <v>20190312172351400</v>
      </c>
      <c r="B1228" t="str">
        <f>"1552382631391060"</f>
        <v>1552382631391060</v>
      </c>
      <c r="C1228" t="s">
        <v>40</v>
      </c>
      <c r="D1228">
        <v>4.0960700000000001</v>
      </c>
      <c r="E1228">
        <v>0.63383489999999998</v>
      </c>
      <c r="F1228" t="s">
        <v>43</v>
      </c>
      <c r="G1228">
        <v>-192.7535</v>
      </c>
      <c r="H1228" s="1">
        <v>-1.390299E-6</v>
      </c>
      <c r="I1228">
        <v>341.12220000000002</v>
      </c>
      <c r="J1228">
        <v>-194.08699999999999</v>
      </c>
      <c r="K1228">
        <v>1.099005</v>
      </c>
      <c r="L1228">
        <v>359.79939999999999</v>
      </c>
      <c r="M1228">
        <v>0.71960709999999894</v>
      </c>
      <c r="N1228">
        <v>0</v>
      </c>
      <c r="O1228">
        <v>-0.69419739999999996</v>
      </c>
      <c r="P1228">
        <v>0.40927839999999999</v>
      </c>
      <c r="Q1228">
        <v>0.1865839</v>
      </c>
      <c r="R1228">
        <v>-0.89312800000000003</v>
      </c>
      <c r="S1228">
        <v>0.26730350000000003</v>
      </c>
      <c r="T1228">
        <v>-0.1916639</v>
      </c>
      <c r="U1228">
        <v>-3.2932130000000002</v>
      </c>
      <c r="V1228">
        <v>0.36413390000000001</v>
      </c>
      <c r="W1228">
        <v>0.19103709999999999</v>
      </c>
      <c r="X1228">
        <v>0.9115434</v>
      </c>
      <c r="Y1228">
        <v>0.66101940000000003</v>
      </c>
      <c r="Z1228">
        <v>2.4477619999999999E-2</v>
      </c>
      <c r="AA1228">
        <v>0.74996940000000001</v>
      </c>
      <c r="AB1228">
        <v>29</v>
      </c>
      <c r="AC1228">
        <v>1.3335000000000099</v>
      </c>
      <c r="AD1228">
        <v>-1.0990063902989999</v>
      </c>
      <c r="AE1228">
        <v>-18.6771999999999</v>
      </c>
      <c r="AF1228">
        <v>12.473165085222099</v>
      </c>
      <c r="AG1228">
        <v>-1.0990063902989999</v>
      </c>
      <c r="AH1228">
        <v>13.8792279989416</v>
      </c>
      <c r="AI1228">
        <v>93.370536960910997</v>
      </c>
      <c r="AJ1228">
        <v>48.054187568352297</v>
      </c>
      <c r="AK1228">
        <v>18.692796263152498</v>
      </c>
      <c r="AL1228">
        <v>78.986685877808398</v>
      </c>
      <c r="AM1228">
        <v>68.224792079373799</v>
      </c>
      <c r="AN1228">
        <v>1.00000002039458</v>
      </c>
    </row>
    <row r="1229" spans="1:40" x14ac:dyDescent="0.25">
      <c r="A1229" t="str">
        <f>"20190312172351414"</f>
        <v>20190312172351414</v>
      </c>
      <c r="B1229" t="str">
        <f>"1552382631410581"</f>
        <v>1552382631410581</v>
      </c>
      <c r="C1229" t="s">
        <v>40</v>
      </c>
      <c r="D1229">
        <v>4.1023909999999999</v>
      </c>
      <c r="E1229">
        <v>0.6337121</v>
      </c>
      <c r="F1229" t="s">
        <v>43</v>
      </c>
      <c r="G1229">
        <v>-192.7107</v>
      </c>
      <c r="H1229" s="1">
        <v>-1.8663419999999999E-6</v>
      </c>
      <c r="I1229">
        <v>342.25830000000002</v>
      </c>
      <c r="J1229">
        <v>-193.96879999999999</v>
      </c>
      <c r="K1229">
        <v>1.098997</v>
      </c>
      <c r="L1229">
        <v>359.67360000000002</v>
      </c>
      <c r="M1229">
        <v>0.71361140000000001</v>
      </c>
      <c r="N1229">
        <v>0</v>
      </c>
      <c r="O1229">
        <v>-0.70035909999999901</v>
      </c>
      <c r="P1229">
        <v>0.40168369999999998</v>
      </c>
      <c r="Q1229">
        <v>0.18692819999999999</v>
      </c>
      <c r="R1229">
        <v>-0.89649769999999895</v>
      </c>
      <c r="S1229">
        <v>0.2576599</v>
      </c>
      <c r="T1229">
        <v>-0.20574719999999999</v>
      </c>
      <c r="U1229">
        <v>-3.2839049999999999</v>
      </c>
      <c r="V1229">
        <v>0.36399429999999999</v>
      </c>
      <c r="W1229">
        <v>0.1913839</v>
      </c>
      <c r="X1229">
        <v>0.91152639999999996</v>
      </c>
      <c r="Y1229">
        <v>0.65655730000000001</v>
      </c>
      <c r="Z1229">
        <v>2.7026970000000001E-2</v>
      </c>
      <c r="AA1229">
        <v>0.75379169999999995</v>
      </c>
      <c r="AB1229">
        <v>29</v>
      </c>
      <c r="AC1229">
        <v>1.25809999999998</v>
      </c>
      <c r="AD1229">
        <v>-1.0989988663420001</v>
      </c>
      <c r="AE1229">
        <v>-17.415299999999998</v>
      </c>
      <c r="AF1229">
        <v>11.502543891032101</v>
      </c>
      <c r="AG1229">
        <v>-1.0989988663420001</v>
      </c>
      <c r="AH1229">
        <v>13.044755871923</v>
      </c>
      <c r="AI1229">
        <v>93.615752302495594</v>
      </c>
      <c r="AJ1229">
        <v>48.594947474808698</v>
      </c>
      <c r="AK1229">
        <v>17.426473258563</v>
      </c>
      <c r="AL1229">
        <v>78.966442101159501</v>
      </c>
      <c r="AM1229">
        <v>68.231991599116597</v>
      </c>
      <c r="AN1229">
        <v>1.00000001275432</v>
      </c>
    </row>
    <row r="1230" spans="1:40" x14ac:dyDescent="0.25">
      <c r="A1230" t="str">
        <f>"20190312172351434"</f>
        <v>20190312172351434</v>
      </c>
      <c r="B1230" t="str">
        <f>"1552382631431077"</f>
        <v>1552382631431077</v>
      </c>
      <c r="C1230" t="s">
        <v>40</v>
      </c>
      <c r="D1230">
        <v>4.1005640000000003</v>
      </c>
      <c r="E1230">
        <v>0.63332069999999996</v>
      </c>
      <c r="F1230" t="s">
        <v>43</v>
      </c>
      <c r="G1230">
        <v>-192.75</v>
      </c>
      <c r="H1230" s="1">
        <v>-1.895435E-6</v>
      </c>
      <c r="I1230">
        <v>342.30180000000001</v>
      </c>
      <c r="J1230">
        <v>-193.7878</v>
      </c>
      <c r="K1230">
        <v>1.0989869999999999</v>
      </c>
      <c r="L1230">
        <v>359.47730000000001</v>
      </c>
      <c r="M1230">
        <v>0.70421789999999995</v>
      </c>
      <c r="N1230">
        <v>0</v>
      </c>
      <c r="O1230">
        <v>-0.70980359999999998</v>
      </c>
      <c r="P1230">
        <v>0.38982080000000002</v>
      </c>
      <c r="Q1230">
        <v>0.18740200000000001</v>
      </c>
      <c r="R1230">
        <v>-0.90162100000000001</v>
      </c>
      <c r="S1230">
        <v>0.23059080000000001</v>
      </c>
      <c r="T1230">
        <v>-0.20791219999999999</v>
      </c>
      <c r="U1230">
        <v>-3.2864379999999902</v>
      </c>
      <c r="V1230">
        <v>0.3638265</v>
      </c>
      <c r="W1230">
        <v>0.19186130000000001</v>
      </c>
      <c r="X1230">
        <v>0.91149309999999995</v>
      </c>
      <c r="Y1230">
        <v>0.65272699999999995</v>
      </c>
      <c r="Z1230">
        <v>2.8250480000000001E-2</v>
      </c>
      <c r="AA1230">
        <v>0.75706629999999997</v>
      </c>
      <c r="AB1230">
        <v>29</v>
      </c>
      <c r="AC1230">
        <v>1.0378000000000001</v>
      </c>
      <c r="AD1230">
        <v>-1.098988895435</v>
      </c>
      <c r="AE1230">
        <v>-17.1755</v>
      </c>
      <c r="AF1230">
        <v>11.313961558316301</v>
      </c>
      <c r="AG1230">
        <v>-1.098988895435</v>
      </c>
      <c r="AH1230">
        <v>12.8712179069763</v>
      </c>
      <c r="AI1230">
        <v>93.669347955023099</v>
      </c>
      <c r="AJ1230">
        <v>48.684124679386599</v>
      </c>
      <c r="AK1230">
        <v>17.172121393241401</v>
      </c>
      <c r="AL1230">
        <v>78.938573346060195</v>
      </c>
      <c r="AM1230">
        <v>68.240368329297496</v>
      </c>
      <c r="AN1230">
        <v>1.0000000759437699</v>
      </c>
    </row>
    <row r="1231" spans="1:40" x14ac:dyDescent="0.25">
      <c r="A1231" t="str">
        <f>"20190312172351448"</f>
        <v>20190312172351448</v>
      </c>
      <c r="B1231" t="str">
        <f>"1552382631440837"</f>
        <v>1552382631440837</v>
      </c>
      <c r="C1231" t="s">
        <v>40</v>
      </c>
      <c r="D1231">
        <v>4.1137949999999996</v>
      </c>
      <c r="E1231">
        <v>0.62897119999999995</v>
      </c>
      <c r="F1231" t="s">
        <v>43</v>
      </c>
      <c r="G1231">
        <v>-192.78149999999999</v>
      </c>
      <c r="H1231" s="1">
        <v>-1.811562E-6</v>
      </c>
      <c r="I1231">
        <v>342.08679999999998</v>
      </c>
      <c r="J1231">
        <v>-193.6635</v>
      </c>
      <c r="K1231">
        <v>1.098983</v>
      </c>
      <c r="L1231">
        <v>359.33929999999998</v>
      </c>
      <c r="M1231">
        <v>0.69759479999999996</v>
      </c>
      <c r="N1231">
        <v>0</v>
      </c>
      <c r="O1231">
        <v>-0.7163138</v>
      </c>
      <c r="P1231">
        <v>0.38166620000000001</v>
      </c>
      <c r="Q1231">
        <v>0.1872346</v>
      </c>
      <c r="R1231">
        <v>-0.90513809999999995</v>
      </c>
      <c r="S1231">
        <v>0.1902771</v>
      </c>
      <c r="T1231">
        <v>-0.20780319999999999</v>
      </c>
      <c r="U1231">
        <v>-3.2883</v>
      </c>
      <c r="V1231">
        <v>0.3636103</v>
      </c>
      <c r="W1231">
        <v>0.19170119999999999</v>
      </c>
      <c r="X1231">
        <v>0.91161300000000001</v>
      </c>
      <c r="Y1231">
        <v>0.65496330000000003</v>
      </c>
      <c r="Z1231">
        <v>2.8732629999999999E-2</v>
      </c>
      <c r="AA1231">
        <v>0.75511430000000002</v>
      </c>
      <c r="AB1231">
        <v>29</v>
      </c>
      <c r="AC1231">
        <v>0.882000000000005</v>
      </c>
      <c r="AD1231">
        <v>-1.098984811562</v>
      </c>
      <c r="AE1231">
        <v>-17.252499999999898</v>
      </c>
      <c r="AF1231">
        <v>11.358954623098301</v>
      </c>
      <c r="AG1231">
        <v>-1.098984811562</v>
      </c>
      <c r="AH1231">
        <v>12.9228433437641</v>
      </c>
      <c r="AI1231">
        <v>93.6547695829764</v>
      </c>
      <c r="AJ1231">
        <v>48.685090984931698</v>
      </c>
      <c r="AK1231">
        <v>17.240461067881</v>
      </c>
      <c r="AL1231">
        <v>78.947919390766799</v>
      </c>
      <c r="AM1231">
        <v>68.254685290506401</v>
      </c>
      <c r="AN1231">
        <v>1.00000003105826</v>
      </c>
    </row>
    <row r="1232" spans="1:40" x14ac:dyDescent="0.25">
      <c r="A1232" t="str">
        <f>"20190312172351468"</f>
        <v>20190312172351468</v>
      </c>
      <c r="B1232" t="str">
        <f>"1552382631461334"</f>
        <v>1552382631461334</v>
      </c>
      <c r="C1232" t="s">
        <v>40</v>
      </c>
      <c r="D1232">
        <v>4.138503</v>
      </c>
      <c r="E1232">
        <v>0.62745609999999996</v>
      </c>
      <c r="F1232" t="s">
        <v>43</v>
      </c>
      <c r="G1232">
        <v>-192.7159</v>
      </c>
      <c r="H1232" s="1">
        <v>-2.2716739999999999E-6</v>
      </c>
      <c r="I1232">
        <v>343.2</v>
      </c>
      <c r="J1232">
        <v>-193.49279999999999</v>
      </c>
      <c r="K1232">
        <v>1.0989789999999999</v>
      </c>
      <c r="L1232">
        <v>359.1456</v>
      </c>
      <c r="M1232">
        <v>0.68825959999999997</v>
      </c>
      <c r="N1232">
        <v>0</v>
      </c>
      <c r="O1232">
        <v>-0.72528760000000003</v>
      </c>
      <c r="P1232">
        <v>0.37020189999999997</v>
      </c>
      <c r="Q1232">
        <v>0.18812490000000001</v>
      </c>
      <c r="R1232">
        <v>-0.90970329999999999</v>
      </c>
      <c r="S1232">
        <v>0.19255069999999999</v>
      </c>
      <c r="T1232">
        <v>-0.22330920000000001</v>
      </c>
      <c r="U1232">
        <v>-3.2794490000000001</v>
      </c>
      <c r="V1232">
        <v>0.36322149999999997</v>
      </c>
      <c r="W1232">
        <v>0.19260350000000001</v>
      </c>
      <c r="X1232">
        <v>0.91157779999999999</v>
      </c>
      <c r="Y1232">
        <v>0.64446610000000004</v>
      </c>
      <c r="Z1232">
        <v>3.2161790000000003E-2</v>
      </c>
      <c r="AA1232">
        <v>0.76395619999999997</v>
      </c>
      <c r="AB1232">
        <v>29</v>
      </c>
      <c r="AC1232">
        <v>0.77689999999998305</v>
      </c>
      <c r="AD1232">
        <v>-1.0989812716739999</v>
      </c>
      <c r="AE1232">
        <v>-15.945600000000001</v>
      </c>
      <c r="AF1232">
        <v>10.3634620065971</v>
      </c>
      <c r="AG1232">
        <v>-1.0989812716739999</v>
      </c>
      <c r="AH1232">
        <v>12.044331891612901</v>
      </c>
      <c r="AI1232">
        <v>93.956573871501206</v>
      </c>
      <c r="AJ1232">
        <v>49.289878856100501</v>
      </c>
      <c r="AK1232">
        <v>15.927179138598101</v>
      </c>
      <c r="AL1232">
        <v>78.895239670296206</v>
      </c>
      <c r="AM1232">
        <v>68.275010039167</v>
      </c>
      <c r="AN1232">
        <v>1.0000000258636601</v>
      </c>
    </row>
    <row r="1233" spans="1:40" x14ac:dyDescent="0.25">
      <c r="A1233" t="str">
        <f>"20190312172351481"</f>
        <v>20190312172351481</v>
      </c>
      <c r="B1233" t="str">
        <f>"1552382631471093"</f>
        <v>1552382631471093</v>
      </c>
      <c r="C1233" t="s">
        <v>40</v>
      </c>
      <c r="D1233">
        <v>4.1140059999999998</v>
      </c>
      <c r="E1233">
        <v>0.62693909999999997</v>
      </c>
      <c r="F1233" t="s">
        <v>43</v>
      </c>
      <c r="G1233">
        <v>-192.69110000000001</v>
      </c>
      <c r="H1233" s="1">
        <v>-2.1735500000000001E-6</v>
      </c>
      <c r="I1233">
        <v>342.98660000000001</v>
      </c>
      <c r="J1233">
        <v>-193.37639999999999</v>
      </c>
      <c r="K1233">
        <v>1.0989770000000001</v>
      </c>
      <c r="L1233">
        <v>359.0111</v>
      </c>
      <c r="M1233">
        <v>0.68174749999999995</v>
      </c>
      <c r="N1233">
        <v>0</v>
      </c>
      <c r="O1233">
        <v>-0.73141230000000002</v>
      </c>
      <c r="P1233">
        <v>0.36217719999999998</v>
      </c>
      <c r="Q1233">
        <v>0.18845919999999999</v>
      </c>
      <c r="R1233">
        <v>-0.91285890000000003</v>
      </c>
      <c r="S1233">
        <v>0.1626282</v>
      </c>
      <c r="T1233">
        <v>-0.22292100000000001</v>
      </c>
      <c r="U1233">
        <v>-3.2777400000000001</v>
      </c>
      <c r="V1233">
        <v>0.3630622</v>
      </c>
      <c r="W1233">
        <v>0.19294410000000001</v>
      </c>
      <c r="X1233">
        <v>0.91156919999999997</v>
      </c>
      <c r="Y1233">
        <v>0.64456469999999999</v>
      </c>
      <c r="Z1233">
        <v>3.2711240000000003E-2</v>
      </c>
      <c r="AA1233">
        <v>0.76384969999999996</v>
      </c>
      <c r="AB1233">
        <v>29</v>
      </c>
      <c r="AC1233">
        <v>0.68529999999998303</v>
      </c>
      <c r="AD1233">
        <v>-1.0989791735500001</v>
      </c>
      <c r="AE1233">
        <v>-16.0244999999999</v>
      </c>
      <c r="AF1233">
        <v>10.376049075746501</v>
      </c>
      <c r="AG1233">
        <v>-1.0989791735500001</v>
      </c>
      <c r="AH1233">
        <v>12.1323219579102</v>
      </c>
      <c r="AI1233">
        <v>93.938042018333306</v>
      </c>
      <c r="AJ1233">
        <v>49.461609002626403</v>
      </c>
      <c r="AK1233">
        <v>16.001980681671501</v>
      </c>
      <c r="AL1233">
        <v>78.875351364062098</v>
      </c>
      <c r="AM1233">
        <v>68.283465450971093</v>
      </c>
      <c r="AN1233">
        <v>0.99999999659114502</v>
      </c>
    </row>
    <row r="1234" spans="1:40" x14ac:dyDescent="0.25">
      <c r="A1234" t="str">
        <f>"20190312172351500"</f>
        <v>20190312172351500</v>
      </c>
      <c r="B1234" t="str">
        <f>"1552382631490616"</f>
        <v>1552382631490616</v>
      </c>
      <c r="C1234" t="s">
        <v>40</v>
      </c>
      <c r="D1234">
        <v>4.2396050000000001</v>
      </c>
      <c r="E1234">
        <v>0.627436199999999</v>
      </c>
      <c r="F1234" t="s">
        <v>43</v>
      </c>
      <c r="G1234">
        <v>-192.69489999999999</v>
      </c>
      <c r="H1234" s="1">
        <v>-2.09074E-6</v>
      </c>
      <c r="I1234">
        <v>342.7912</v>
      </c>
      <c r="J1234">
        <v>-193.20959999999999</v>
      </c>
      <c r="K1234">
        <v>1.098976</v>
      </c>
      <c r="L1234">
        <v>358.81290000000001</v>
      </c>
      <c r="M1234">
        <v>0.67214750000000001</v>
      </c>
      <c r="N1234">
        <v>0</v>
      </c>
      <c r="O1234">
        <v>-0.74024380000000001</v>
      </c>
      <c r="P1234">
        <v>0.35044039999999999</v>
      </c>
      <c r="Q1234">
        <v>0.1896863</v>
      </c>
      <c r="R1234">
        <v>-0.91717550000000003</v>
      </c>
      <c r="S1234">
        <v>0.13771059999999999</v>
      </c>
      <c r="T1234">
        <v>-0.22207740000000001</v>
      </c>
      <c r="U1234">
        <v>-3.2776489999999998</v>
      </c>
      <c r="V1234">
        <v>0.36272599999999999</v>
      </c>
      <c r="W1234">
        <v>0.19418240000000001</v>
      </c>
      <c r="X1234">
        <v>0.91144009999999998</v>
      </c>
      <c r="Y1234">
        <v>0.64038609999999996</v>
      </c>
      <c r="Z1234">
        <v>3.3573430000000001E-2</v>
      </c>
      <c r="AA1234">
        <v>0.76731899999999997</v>
      </c>
      <c r="AB1234">
        <v>29</v>
      </c>
      <c r="AC1234">
        <v>0.51470000000000404</v>
      </c>
      <c r="AD1234">
        <v>-1.09897809074</v>
      </c>
      <c r="AE1234">
        <v>-16.021699999999999</v>
      </c>
      <c r="AF1234">
        <v>10.3406736204086</v>
      </c>
      <c r="AG1234">
        <v>-1.09897809074</v>
      </c>
      <c r="AH1234">
        <v>12.150377532099199</v>
      </c>
      <c r="AI1234">
        <v>93.940307689603202</v>
      </c>
      <c r="AJ1234">
        <v>49.600295892717199</v>
      </c>
      <c r="AK1234">
        <v>15.992778305856699</v>
      </c>
      <c r="AL1234">
        <v>78.803034423773596</v>
      </c>
      <c r="AM1234">
        <v>68.298918308815999</v>
      </c>
      <c r="AN1234">
        <v>1.0000000057168801</v>
      </c>
    </row>
    <row r="1235" spans="1:40" x14ac:dyDescent="0.25">
      <c r="A1235" t="str">
        <f>"20190312172351514"</f>
        <v>20190312172351514</v>
      </c>
      <c r="B1235" t="str">
        <f>"1552382631501349"</f>
        <v>1552382631501349</v>
      </c>
      <c r="C1235" t="s">
        <v>40</v>
      </c>
      <c r="D1235">
        <v>4.1379929999999998</v>
      </c>
      <c r="E1235">
        <v>0.66354630000000003</v>
      </c>
      <c r="F1235" t="s">
        <v>43</v>
      </c>
      <c r="G1235">
        <v>-192.74359999999999</v>
      </c>
      <c r="H1235" s="1">
        <v>-1.8481219999999999E-6</v>
      </c>
      <c r="I1235">
        <v>342.19549999999998</v>
      </c>
      <c r="J1235">
        <v>-193.10830000000001</v>
      </c>
      <c r="K1235">
        <v>1.098981</v>
      </c>
      <c r="L1235">
        <v>358.68939999999998</v>
      </c>
      <c r="M1235">
        <v>0.66615150000000001</v>
      </c>
      <c r="N1235">
        <v>0</v>
      </c>
      <c r="O1235">
        <v>-0.74564410000000003</v>
      </c>
      <c r="P1235">
        <v>0.3433524</v>
      </c>
      <c r="Q1235">
        <v>0.19035489999999999</v>
      </c>
      <c r="R1235">
        <v>-0.91971420000000004</v>
      </c>
      <c r="S1235">
        <v>9.1995240000000006E-2</v>
      </c>
      <c r="T1235">
        <v>-0.2169615</v>
      </c>
      <c r="U1235">
        <v>-3.28064</v>
      </c>
      <c r="V1235">
        <v>0.36232940000000002</v>
      </c>
      <c r="W1235">
        <v>0.19486619999999999</v>
      </c>
      <c r="X1235">
        <v>0.91145189999999998</v>
      </c>
      <c r="Y1235">
        <v>0.6448933</v>
      </c>
      <c r="Z1235">
        <v>3.3141839999999999E-2</v>
      </c>
      <c r="AA1235">
        <v>0.763553699999999</v>
      </c>
      <c r="AB1235">
        <v>29</v>
      </c>
      <c r="AC1235">
        <v>0.364700000000027</v>
      </c>
      <c r="AD1235">
        <v>-1.0989828481219901</v>
      </c>
      <c r="AE1235">
        <v>-16.493899999999901</v>
      </c>
      <c r="AF1235">
        <v>10.669532965874</v>
      </c>
      <c r="AG1235">
        <v>-1.0989828481219901</v>
      </c>
      <c r="AH1235">
        <v>12.4877246191867</v>
      </c>
      <c r="AI1235">
        <v>93.827895474900899</v>
      </c>
      <c r="AJ1235">
        <v>49.489367136369999</v>
      </c>
      <c r="AK1235">
        <v>16.461772783481699</v>
      </c>
      <c r="AL1235">
        <v>78.763092500411105</v>
      </c>
      <c r="AM1235">
        <v>68.320698830686396</v>
      </c>
      <c r="AN1235">
        <v>0.999999998010205</v>
      </c>
    </row>
    <row r="1236" spans="1:40" x14ac:dyDescent="0.25">
      <c r="A1236" t="str">
        <f>"20190312172351527"</f>
        <v>20190312172351527</v>
      </c>
      <c r="B1236" t="str">
        <f>"1552382631520869"</f>
        <v>1552382631520869</v>
      </c>
      <c r="C1236" t="s">
        <v>40</v>
      </c>
      <c r="D1236">
        <v>4.0857130000000002</v>
      </c>
      <c r="E1236">
        <v>0.66786849999999998</v>
      </c>
      <c r="F1236" t="s">
        <v>43</v>
      </c>
      <c r="G1236">
        <v>-194.4195</v>
      </c>
      <c r="H1236" s="1">
        <v>-4.1774780000000001E-6</v>
      </c>
      <c r="I1236">
        <v>336.95890000000003</v>
      </c>
      <c r="J1236">
        <v>-192.9906</v>
      </c>
      <c r="K1236">
        <v>1.0989850000000001</v>
      </c>
      <c r="L1236">
        <v>358.54410000000001</v>
      </c>
      <c r="M1236">
        <v>0.65907660000000001</v>
      </c>
      <c r="N1236">
        <v>0</v>
      </c>
      <c r="O1236">
        <v>-0.75190480000000004</v>
      </c>
      <c r="P1236">
        <v>0.334818</v>
      </c>
      <c r="Q1236">
        <v>0.1911349</v>
      </c>
      <c r="R1236">
        <v>-0.92269400000000001</v>
      </c>
      <c r="S1236">
        <v>-0.203537</v>
      </c>
      <c r="T1236">
        <v>-0.17059250000000001</v>
      </c>
      <c r="U1236">
        <v>-3.3731689999999999</v>
      </c>
      <c r="V1236">
        <v>0.36207529999999999</v>
      </c>
      <c r="W1236">
        <v>0.195657</v>
      </c>
      <c r="X1236">
        <v>0.91138350000000001</v>
      </c>
      <c r="Y1236">
        <v>0.70310059999999996</v>
      </c>
      <c r="Z1236">
        <v>2.4264020000000001E-2</v>
      </c>
      <c r="AA1236">
        <v>0.71067639999999999</v>
      </c>
      <c r="AB1236">
        <v>29</v>
      </c>
      <c r="AC1236">
        <v>-1.4288999999999901</v>
      </c>
      <c r="AD1236">
        <v>-1.0989891774779901</v>
      </c>
      <c r="AE1236">
        <v>-21.585199999999901</v>
      </c>
      <c r="AF1236">
        <v>15.263271712718099</v>
      </c>
      <c r="AG1236">
        <v>-1.0989891774779901</v>
      </c>
      <c r="AH1236">
        <v>15.2508660713195</v>
      </c>
      <c r="AI1236">
        <v>92.915780116678206</v>
      </c>
      <c r="AJ1236">
        <v>44.9767061792747</v>
      </c>
      <c r="AK1236">
        <v>21.6047253283581</v>
      </c>
      <c r="AL1236">
        <v>78.716894140105794</v>
      </c>
      <c r="AM1236">
        <v>68.333018254396507</v>
      </c>
      <c r="AN1236">
        <v>1.0000000342956601</v>
      </c>
    </row>
    <row r="1237" spans="1:40" x14ac:dyDescent="0.25">
      <c r="A1237" t="str">
        <f>"20190312172351546"</f>
        <v>20190312172351546</v>
      </c>
      <c r="B1237" t="str">
        <f>"1552382631540910"</f>
        <v>1552382631540910</v>
      </c>
      <c r="C1237" t="s">
        <v>40</v>
      </c>
      <c r="D1237">
        <v>4.095472</v>
      </c>
      <c r="E1237">
        <v>0.66973289999999996</v>
      </c>
      <c r="F1237" t="s">
        <v>43</v>
      </c>
      <c r="G1237">
        <v>-195.0642</v>
      </c>
      <c r="H1237" s="1">
        <v>-2.5134029999999998E-6</v>
      </c>
      <c r="I1237">
        <v>332.30689999999998</v>
      </c>
      <c r="J1237">
        <v>-192.8364</v>
      </c>
      <c r="K1237">
        <v>1.098992</v>
      </c>
      <c r="L1237">
        <v>358.3492</v>
      </c>
      <c r="M1237">
        <v>0.64956369999999997</v>
      </c>
      <c r="N1237">
        <v>0</v>
      </c>
      <c r="O1237">
        <v>-0.76013809999999904</v>
      </c>
      <c r="P1237">
        <v>0.32385180000000002</v>
      </c>
      <c r="Q1237">
        <v>0.19211690000000001</v>
      </c>
      <c r="R1237">
        <v>-0.92639700000000003</v>
      </c>
      <c r="S1237">
        <v>-0.26693729999999999</v>
      </c>
      <c r="T1237">
        <v>-0.14147390000000001</v>
      </c>
      <c r="U1237">
        <v>-3.3775330000000001</v>
      </c>
      <c r="V1237">
        <v>0.36130849999999998</v>
      </c>
      <c r="W1237">
        <v>0.19666929999999999</v>
      </c>
      <c r="X1237">
        <v>0.91146990000000006</v>
      </c>
      <c r="Y1237">
        <v>0.70741269999999901</v>
      </c>
      <c r="Z1237">
        <v>2.048693E-2</v>
      </c>
      <c r="AA1237">
        <v>0.70650380000000002</v>
      </c>
      <c r="AB1237">
        <v>29</v>
      </c>
      <c r="AC1237">
        <v>-2.2277999999999998</v>
      </c>
      <c r="AD1237">
        <v>-1.0989945134029999</v>
      </c>
      <c r="AE1237">
        <v>-26.042300000000001</v>
      </c>
      <c r="AF1237">
        <v>18.5791142059227</v>
      </c>
      <c r="AG1237">
        <v>-1.0989945134029999</v>
      </c>
      <c r="AH1237">
        <v>18.318619226750901</v>
      </c>
      <c r="AI1237">
        <v>92.411937221275906</v>
      </c>
      <c r="AJ1237">
        <v>44.595503204688399</v>
      </c>
      <c r="AK1237">
        <v>26.114422911331999</v>
      </c>
      <c r="AL1237">
        <v>78.657744163514707</v>
      </c>
      <c r="AM1237">
        <v>68.376525935224393</v>
      </c>
      <c r="AN1237">
        <v>1.00000001217037</v>
      </c>
    </row>
    <row r="1238" spans="1:40" x14ac:dyDescent="0.25">
      <c r="A1238" t="str">
        <f>"20190312172351570"</f>
        <v>20190312172351570</v>
      </c>
      <c r="B1238" t="str">
        <f>"1552382631561406"</f>
        <v>1552382631561406</v>
      </c>
      <c r="C1238" t="s">
        <v>40</v>
      </c>
      <c r="D1238">
        <v>4.0867610000000001</v>
      </c>
      <c r="E1238">
        <v>0.66979709999999903</v>
      </c>
      <c r="F1238" t="s">
        <v>43</v>
      </c>
      <c r="G1238">
        <v>-195.58029999999999</v>
      </c>
      <c r="H1238" s="1">
        <v>-5.2343349999999999E-6</v>
      </c>
      <c r="I1238">
        <v>329.45940000000002</v>
      </c>
      <c r="J1238">
        <v>-192.6507</v>
      </c>
      <c r="K1238">
        <v>1.0990089999999999</v>
      </c>
      <c r="L1238">
        <v>358.10730000000001</v>
      </c>
      <c r="M1238">
        <v>0.6377235</v>
      </c>
      <c r="N1238">
        <v>0</v>
      </c>
      <c r="O1238">
        <v>-0.77009839999999996</v>
      </c>
      <c r="P1238">
        <v>0.31007839999999998</v>
      </c>
      <c r="Q1238">
        <v>0.19297819999999999</v>
      </c>
      <c r="R1238">
        <v>-0.93091950000000001</v>
      </c>
      <c r="S1238">
        <v>-0.32075500000000001</v>
      </c>
      <c r="T1238">
        <v>-0.128470899999999</v>
      </c>
      <c r="U1238">
        <v>-3.377167</v>
      </c>
      <c r="V1238">
        <v>0.36062569999999999</v>
      </c>
      <c r="W1238">
        <v>0.19756219999999999</v>
      </c>
      <c r="X1238">
        <v>0.9115472</v>
      </c>
      <c r="Y1238">
        <v>0.70767740000000001</v>
      </c>
      <c r="Z1238">
        <v>1.914006E-2</v>
      </c>
      <c r="AA1238">
        <v>0.70627649999999997</v>
      </c>
      <c r="AB1238">
        <v>29</v>
      </c>
      <c r="AC1238">
        <v>-2.92959999999999</v>
      </c>
      <c r="AD1238">
        <v>-1.099014234335</v>
      </c>
      <c r="AE1238">
        <v>-28.6479</v>
      </c>
      <c r="AF1238">
        <v>20.498304073130701</v>
      </c>
      <c r="AG1238">
        <v>-1.099014234335</v>
      </c>
      <c r="AH1238">
        <v>20.1666522611593</v>
      </c>
      <c r="AI1238">
        <v>92.188743487701501</v>
      </c>
      <c r="AJ1238">
        <v>44.532722287010401</v>
      </c>
      <c r="AK1238">
        <v>28.776416830180999</v>
      </c>
      <c r="AL1238">
        <v>78.605560890360906</v>
      </c>
      <c r="AM1238">
        <v>68.415290471973094</v>
      </c>
      <c r="AN1238">
        <v>1.00000000809858</v>
      </c>
    </row>
    <row r="1239" spans="1:40" x14ac:dyDescent="0.25">
      <c r="A1239" t="str">
        <f>"20190312172351591"</f>
        <v>20190312172351591</v>
      </c>
      <c r="B1239" t="str">
        <f>"1552382631580926"</f>
        <v>1552382631580926</v>
      </c>
      <c r="C1239" t="s">
        <v>40</v>
      </c>
      <c r="D1239">
        <v>4.1801279999999998</v>
      </c>
      <c r="E1239">
        <v>0.66779129999999998</v>
      </c>
      <c r="F1239" t="s">
        <v>43</v>
      </c>
      <c r="G1239">
        <v>-195.9666</v>
      </c>
      <c r="H1239" s="1">
        <v>-4.7885599999999999E-6</v>
      </c>
      <c r="I1239">
        <v>327.94810000000001</v>
      </c>
      <c r="J1239">
        <v>-192.4795</v>
      </c>
      <c r="K1239">
        <v>1.0990249999999999</v>
      </c>
      <c r="L1239">
        <v>357.87729999999999</v>
      </c>
      <c r="M1239">
        <v>0.62643380000000004</v>
      </c>
      <c r="N1239">
        <v>0</v>
      </c>
      <c r="O1239">
        <v>-0.77930940000000004</v>
      </c>
      <c r="P1239">
        <v>0.29745129999999997</v>
      </c>
      <c r="Q1239">
        <v>0.19382050000000001</v>
      </c>
      <c r="R1239">
        <v>-0.93485609999999997</v>
      </c>
      <c r="S1239">
        <v>-0.370697</v>
      </c>
      <c r="T1239">
        <v>-0.1228619</v>
      </c>
      <c r="U1239">
        <v>-3.3715820000000001</v>
      </c>
      <c r="V1239">
        <v>0.3595853</v>
      </c>
      <c r="W1239">
        <v>0.19844980000000001</v>
      </c>
      <c r="X1239">
        <v>0.9117653</v>
      </c>
      <c r="Y1239">
        <v>0.70785369999999903</v>
      </c>
      <c r="Z1239">
        <v>1.880741E-2</v>
      </c>
      <c r="AA1239">
        <v>0.70610859999999998</v>
      </c>
      <c r="AB1239">
        <v>29</v>
      </c>
      <c r="AC1239">
        <v>-3.4870999999999901</v>
      </c>
      <c r="AD1239">
        <v>-1.09902978856</v>
      </c>
      <c r="AE1239">
        <v>-29.929199999999899</v>
      </c>
      <c r="AF1239">
        <v>21.440433438647901</v>
      </c>
      <c r="AG1239">
        <v>-1.09902978856</v>
      </c>
      <c r="AH1239">
        <v>21.114302551967501</v>
      </c>
      <c r="AI1239">
        <v>92.091671350355995</v>
      </c>
      <c r="AJ1239">
        <v>44.560905334698099</v>
      </c>
      <c r="AK1239">
        <v>30.111689171636499</v>
      </c>
      <c r="AL1239">
        <v>78.553677085515801</v>
      </c>
      <c r="AM1239">
        <v>68.476535979099694</v>
      </c>
      <c r="AN1239">
        <v>0.999999936690108</v>
      </c>
    </row>
    <row r="1240" spans="1:40" x14ac:dyDescent="0.25">
      <c r="A1240" t="str">
        <f>"20190312172351605"</f>
        <v>20190312172351605</v>
      </c>
      <c r="B1240" t="str">
        <f>"1552382631601422"</f>
        <v>1552382631601422</v>
      </c>
      <c r="C1240" t="s">
        <v>40</v>
      </c>
      <c r="D1240">
        <v>4.160196</v>
      </c>
      <c r="E1240">
        <v>0.66601569999999899</v>
      </c>
      <c r="F1240" t="s">
        <v>43</v>
      </c>
      <c r="G1240">
        <v>-195.91640000000001</v>
      </c>
      <c r="H1240" s="1">
        <v>-5.1482470000000003E-6</v>
      </c>
      <c r="I1240">
        <v>329.03129999999999</v>
      </c>
      <c r="J1240">
        <v>-192.3759</v>
      </c>
      <c r="K1240">
        <v>1.099032</v>
      </c>
      <c r="L1240">
        <v>357.73489999999998</v>
      </c>
      <c r="M1240">
        <v>0.61942200000000003</v>
      </c>
      <c r="N1240">
        <v>0</v>
      </c>
      <c r="O1240">
        <v>-0.78489449999999905</v>
      </c>
      <c r="P1240">
        <v>0.2898403</v>
      </c>
      <c r="Q1240">
        <v>0.19426550000000001</v>
      </c>
      <c r="R1240">
        <v>-0.93715210000000004</v>
      </c>
      <c r="S1240">
        <v>-0.40069579999999999</v>
      </c>
      <c r="T1240">
        <v>-0.12813339999999901</v>
      </c>
      <c r="U1240">
        <v>-3.3630979999999999</v>
      </c>
      <c r="V1240">
        <v>0.35877399999999998</v>
      </c>
      <c r="W1240">
        <v>0.19892879999999999</v>
      </c>
      <c r="X1240">
        <v>0.91198060000000003</v>
      </c>
      <c r="Y1240">
        <v>0.70792349999999904</v>
      </c>
      <c r="Z1240">
        <v>1.9962170000000001E-2</v>
      </c>
      <c r="AA1240">
        <v>0.70600699999999905</v>
      </c>
      <c r="AB1240">
        <v>29</v>
      </c>
      <c r="AC1240">
        <v>-3.5405000000000002</v>
      </c>
      <c r="AD1240">
        <v>-1.0990371482470001</v>
      </c>
      <c r="AE1240">
        <v>-28.703599999999899</v>
      </c>
      <c r="AF1240">
        <v>20.5315532739357</v>
      </c>
      <c r="AG1240">
        <v>-1.0990371482470001</v>
      </c>
      <c r="AH1240">
        <v>20.309519218307098</v>
      </c>
      <c r="AI1240">
        <v>92.179399867249302</v>
      </c>
      <c r="AJ1240">
        <v>44.688512367857001</v>
      </c>
      <c r="AK1240">
        <v>28.900331025309601</v>
      </c>
      <c r="AL1240">
        <v>78.525675212407293</v>
      </c>
      <c r="AM1240">
        <v>68.5252785448168</v>
      </c>
      <c r="AN1240">
        <v>1.00000003266089</v>
      </c>
    </row>
    <row r="1241" spans="1:40" x14ac:dyDescent="0.25">
      <c r="A1241" t="str">
        <f>"20190312172351623"</f>
        <v>20190312172351623</v>
      </c>
      <c r="B1241" t="str">
        <f>"1552382631620941"</f>
        <v>1552382631620941</v>
      </c>
      <c r="C1241" t="s">
        <v>40</v>
      </c>
      <c r="D1241">
        <v>4.1549459999999998</v>
      </c>
      <c r="E1241">
        <v>0.66401330000000003</v>
      </c>
      <c r="F1241" t="s">
        <v>43</v>
      </c>
      <c r="G1241">
        <v>-195.80799999999999</v>
      </c>
      <c r="H1241" s="1">
        <v>-1.6931440000000001E-6</v>
      </c>
      <c r="I1241">
        <v>329.93360000000001</v>
      </c>
      <c r="J1241">
        <v>-192.2347</v>
      </c>
      <c r="K1241">
        <v>1.099046</v>
      </c>
      <c r="L1241">
        <v>357.53609999999998</v>
      </c>
      <c r="M1241">
        <v>0.60961779999999999</v>
      </c>
      <c r="N1241">
        <v>0</v>
      </c>
      <c r="O1241">
        <v>-0.79253309999999999</v>
      </c>
      <c r="P1241">
        <v>0.27930450000000001</v>
      </c>
      <c r="Q1241">
        <v>0.19477649999999999</v>
      </c>
      <c r="R1241">
        <v>-0.94023999999999996</v>
      </c>
      <c r="S1241">
        <v>-0.41439819999999999</v>
      </c>
      <c r="T1241">
        <v>-0.13270190000000001</v>
      </c>
      <c r="U1241">
        <v>-3.3568419999999999</v>
      </c>
      <c r="V1241">
        <v>0.35761379999999998</v>
      </c>
      <c r="W1241">
        <v>0.19948859999999999</v>
      </c>
      <c r="X1241">
        <v>0.91231390000000001</v>
      </c>
      <c r="Y1241">
        <v>0.70210980000000001</v>
      </c>
      <c r="Z1241">
        <v>2.1274379999999999E-2</v>
      </c>
      <c r="AA1241">
        <v>0.71175080000000002</v>
      </c>
      <c r="AB1241">
        <v>29</v>
      </c>
      <c r="AC1241">
        <v>-3.5732999999999802</v>
      </c>
      <c r="AD1241">
        <v>-1.0990476931440001</v>
      </c>
      <c r="AE1241">
        <v>-27.6024999999999</v>
      </c>
      <c r="AF1241">
        <v>19.630855082122402</v>
      </c>
      <c r="AG1241">
        <v>-1.0990476931440001</v>
      </c>
      <c r="AH1241">
        <v>19.669413687542999</v>
      </c>
      <c r="AI1241">
        <v>92.264812027511198</v>
      </c>
      <c r="AJ1241">
        <v>45.056214492032503</v>
      </c>
      <c r="AK1241">
        <v>27.8112245666889</v>
      </c>
      <c r="AL1241">
        <v>78.492944550876402</v>
      </c>
      <c r="AM1241">
        <v>68.595541806364594</v>
      </c>
      <c r="AN1241">
        <v>0.99999999180680499</v>
      </c>
    </row>
    <row r="1242" spans="1:40" x14ac:dyDescent="0.25">
      <c r="A1242" t="str">
        <f>"20190312172351647"</f>
        <v>20190312172351647</v>
      </c>
      <c r="B1242" t="str">
        <f>"1552382631641215"</f>
        <v>1552382631641215</v>
      </c>
      <c r="C1242" t="s">
        <v>40</v>
      </c>
      <c r="D1242">
        <v>4.1561320000000004</v>
      </c>
      <c r="E1242">
        <v>0.64839069999999899</v>
      </c>
      <c r="F1242" t="s">
        <v>43</v>
      </c>
      <c r="G1242">
        <v>-195.74700000000001</v>
      </c>
      <c r="H1242" s="1">
        <v>-1.9470449999999999E-6</v>
      </c>
      <c r="I1242">
        <v>330.56330000000003</v>
      </c>
      <c r="J1242">
        <v>-192.06659999999999</v>
      </c>
      <c r="K1242">
        <v>1.0990549999999999</v>
      </c>
      <c r="L1242">
        <v>357.29169999999999</v>
      </c>
      <c r="M1242">
        <v>0.59754160000000001</v>
      </c>
      <c r="N1242">
        <v>0</v>
      </c>
      <c r="O1242">
        <v>-0.80167749999999904</v>
      </c>
      <c r="P1242">
        <v>0.26641599999999999</v>
      </c>
      <c r="Q1242">
        <v>0.1951408</v>
      </c>
      <c r="R1242">
        <v>-0.94389769999999995</v>
      </c>
      <c r="S1242">
        <v>-0.43603520000000001</v>
      </c>
      <c r="T1242">
        <v>-0.13644120000000001</v>
      </c>
      <c r="U1242">
        <v>-3.348541</v>
      </c>
      <c r="V1242">
        <v>0.35622779999999998</v>
      </c>
      <c r="W1242">
        <v>0.19991149999999999</v>
      </c>
      <c r="X1242">
        <v>0.91276349999999995</v>
      </c>
      <c r="Y1242">
        <v>0.69603340000000002</v>
      </c>
      <c r="Z1242">
        <v>2.2597320000000001E-2</v>
      </c>
      <c r="AA1242">
        <v>0.71765369999999995</v>
      </c>
      <c r="AB1242">
        <v>29</v>
      </c>
      <c r="AC1242">
        <v>-3.6804000000000201</v>
      </c>
      <c r="AD1242">
        <v>-1.09905694704499</v>
      </c>
      <c r="AE1242">
        <v>-26.728399999999901</v>
      </c>
      <c r="AF1242">
        <v>18.892908906915</v>
      </c>
      <c r="AG1242">
        <v>-1.09905694704499</v>
      </c>
      <c r="AH1242">
        <v>19.198980473952801</v>
      </c>
      <c r="AI1242">
        <v>92.336525112697501</v>
      </c>
      <c r="AJ1242">
        <v>45.460366548283503</v>
      </c>
      <c r="AK1242">
        <v>26.958315681382199</v>
      </c>
      <c r="AL1242">
        <v>78.468216509207295</v>
      </c>
      <c r="AM1242">
        <v>68.680594575309499</v>
      </c>
      <c r="AN1242">
        <v>1.00000003012866</v>
      </c>
    </row>
    <row r="1243" spans="1:40" x14ac:dyDescent="0.25">
      <c r="A1243" t="str">
        <f>"20190312172351670"</f>
        <v>20190312172351670</v>
      </c>
      <c r="B1243" t="str">
        <f>"1552382631660734"</f>
        <v>1552382631660734</v>
      </c>
      <c r="C1243" t="s">
        <v>40</v>
      </c>
      <c r="D1243">
        <v>4.1771349999999998</v>
      </c>
      <c r="E1243">
        <v>0.64645079999999999</v>
      </c>
      <c r="F1243" t="s">
        <v>43</v>
      </c>
      <c r="G1243">
        <v>-194.40090000000001</v>
      </c>
      <c r="H1243" s="1">
        <v>-3.8260670000000002E-6</v>
      </c>
      <c r="I1243">
        <v>335.9359</v>
      </c>
      <c r="J1243">
        <v>-191.899</v>
      </c>
      <c r="K1243">
        <v>1.0990709999999999</v>
      </c>
      <c r="L1243">
        <v>357.04</v>
      </c>
      <c r="M1243">
        <v>0.58506259999999999</v>
      </c>
      <c r="N1243">
        <v>0</v>
      </c>
      <c r="O1243">
        <v>-0.81082940000000003</v>
      </c>
      <c r="P1243">
        <v>0.25338329999999998</v>
      </c>
      <c r="Q1243">
        <v>0.19539219999999999</v>
      </c>
      <c r="R1243">
        <v>-0.94742769999999998</v>
      </c>
      <c r="S1243">
        <v>-0.36244199999999999</v>
      </c>
      <c r="T1243">
        <v>-0.1706492</v>
      </c>
      <c r="U1243">
        <v>-3.315887</v>
      </c>
      <c r="V1243">
        <v>0.35464499999999999</v>
      </c>
      <c r="W1243">
        <v>0.20022770000000001</v>
      </c>
      <c r="X1243">
        <v>0.91331030000000002</v>
      </c>
      <c r="Y1243">
        <v>0.66962409999999895</v>
      </c>
      <c r="Z1243">
        <v>2.9950069999999999E-2</v>
      </c>
      <c r="AA1243">
        <v>0.74209609999999904</v>
      </c>
      <c r="AB1243">
        <v>28</v>
      </c>
      <c r="AC1243">
        <v>-2.5019</v>
      </c>
      <c r="AD1243">
        <v>-1.09907482606699</v>
      </c>
      <c r="AE1243">
        <v>-21.104099999999999</v>
      </c>
      <c r="AF1243">
        <v>14.3393324414139</v>
      </c>
      <c r="AG1243">
        <v>-1.09907482606699</v>
      </c>
      <c r="AH1243">
        <v>15.608325107151201</v>
      </c>
      <c r="AI1243">
        <v>92.968408578800805</v>
      </c>
      <c r="AJ1243">
        <v>47.426381905803296</v>
      </c>
      <c r="AK1243">
        <v>21.223671524719901</v>
      </c>
      <c r="AL1243">
        <v>78.449724863650999</v>
      </c>
      <c r="AM1243">
        <v>68.778448357134707</v>
      </c>
      <c r="AN1243">
        <v>0.999999955979189</v>
      </c>
    </row>
    <row r="1244" spans="1:40" x14ac:dyDescent="0.25">
      <c r="A1244" t="str">
        <f>"20190312172351691"</f>
        <v>20190312172351691</v>
      </c>
      <c r="B1244" t="str">
        <f>"1552382631681247"</f>
        <v>1552382631681247</v>
      </c>
      <c r="C1244" t="s">
        <v>40</v>
      </c>
      <c r="D1244">
        <v>4.0968090000000004</v>
      </c>
      <c r="E1244">
        <v>0.64455549999999995</v>
      </c>
      <c r="F1244" t="s">
        <v>43</v>
      </c>
      <c r="G1244">
        <v>-194.43719999999999</v>
      </c>
      <c r="H1244" s="1">
        <v>-3.74406E-6</v>
      </c>
      <c r="I1244">
        <v>335.67599999999999</v>
      </c>
      <c r="J1244">
        <v>-191.74760000000001</v>
      </c>
      <c r="K1244">
        <v>1.099086</v>
      </c>
      <c r="L1244">
        <v>356.80529999999999</v>
      </c>
      <c r="M1244">
        <v>0.57338829999999996</v>
      </c>
      <c r="N1244">
        <v>0</v>
      </c>
      <c r="O1244">
        <v>-0.81912669999999999</v>
      </c>
      <c r="P1244">
        <v>0.24179310000000001</v>
      </c>
      <c r="Q1244">
        <v>0.1952245</v>
      </c>
      <c r="R1244">
        <v>-0.95048619999999995</v>
      </c>
      <c r="S1244">
        <v>-0.3928528</v>
      </c>
      <c r="T1244">
        <v>-0.1701058</v>
      </c>
      <c r="U1244">
        <v>-3.306549</v>
      </c>
      <c r="V1244">
        <v>0.35272039999999999</v>
      </c>
      <c r="W1244">
        <v>0.20013619999999999</v>
      </c>
      <c r="X1244">
        <v>0.91407539999999998</v>
      </c>
      <c r="Y1244">
        <v>0.66594399999999998</v>
      </c>
      <c r="Z1244">
        <v>3.0642059999999999E-2</v>
      </c>
      <c r="AA1244">
        <v>0.74537209999999998</v>
      </c>
      <c r="AB1244">
        <v>28</v>
      </c>
      <c r="AC1244">
        <v>-2.68959999999998</v>
      </c>
      <c r="AD1244">
        <v>-1.09908974406</v>
      </c>
      <c r="AE1244">
        <v>-21.129300000000001</v>
      </c>
      <c r="AF1244">
        <v>14.282230346295099</v>
      </c>
      <c r="AG1244">
        <v>-1.09908974406</v>
      </c>
      <c r="AH1244">
        <v>15.725545515842301</v>
      </c>
      <c r="AI1244">
        <v>92.961748243042805</v>
      </c>
      <c r="AJ1244">
        <v>47.753692454374402</v>
      </c>
      <c r="AK1244">
        <v>21.271645063345701</v>
      </c>
      <c r="AL1244">
        <v>78.455076345031998</v>
      </c>
      <c r="AM1244">
        <v>68.899560378640501</v>
      </c>
      <c r="AN1244">
        <v>1.00000000800588</v>
      </c>
    </row>
    <row r="1245" spans="1:40" x14ac:dyDescent="0.25">
      <c r="A1245" t="str">
        <f>"20190312172351704"</f>
        <v>20190312172351704</v>
      </c>
      <c r="B1245" t="str">
        <f>"1552382631700751"</f>
        <v>1552382631700751</v>
      </c>
      <c r="C1245" t="s">
        <v>40</v>
      </c>
      <c r="D1245">
        <v>4.0458949999999998</v>
      </c>
      <c r="E1245">
        <v>0.64350589999999996</v>
      </c>
      <c r="F1245" t="s">
        <v>43</v>
      </c>
      <c r="G1245">
        <v>-194.55009999999999</v>
      </c>
      <c r="H1245" s="1">
        <v>-3.4132370000000002E-6</v>
      </c>
      <c r="I1245">
        <v>334.72340000000003</v>
      </c>
      <c r="J1245">
        <v>-191.65629999999999</v>
      </c>
      <c r="K1245">
        <v>1.0991</v>
      </c>
      <c r="L1245">
        <v>356.66019999999997</v>
      </c>
      <c r="M1245">
        <v>0.56615899999999997</v>
      </c>
      <c r="N1245">
        <v>0</v>
      </c>
      <c r="O1245">
        <v>-0.82413979999999998</v>
      </c>
      <c r="P1245">
        <v>0.23447100000000001</v>
      </c>
      <c r="Q1245">
        <v>0.19505639999999999</v>
      </c>
      <c r="R1245">
        <v>-0.95235320000000001</v>
      </c>
      <c r="S1245">
        <v>-0.4183655</v>
      </c>
      <c r="T1245">
        <v>-0.16407189999999999</v>
      </c>
      <c r="U1245">
        <v>-3.2963870000000002</v>
      </c>
      <c r="V1245">
        <v>0.35172049999999999</v>
      </c>
      <c r="W1245">
        <v>0.20000960000000001</v>
      </c>
      <c r="X1245">
        <v>0.91448830000000003</v>
      </c>
      <c r="Y1245">
        <v>0.66534439999999995</v>
      </c>
      <c r="Z1245">
        <v>3.0015400000000001E-2</v>
      </c>
      <c r="AA1245">
        <v>0.74593299999999996</v>
      </c>
      <c r="AB1245">
        <v>28</v>
      </c>
      <c r="AC1245">
        <v>-2.8937999999999899</v>
      </c>
      <c r="AD1245">
        <v>-1.0991034132369999</v>
      </c>
      <c r="AE1245">
        <v>-21.936799999999899</v>
      </c>
      <c r="AF1245">
        <v>14.7700759701753</v>
      </c>
      <c r="AG1245">
        <v>-1.0991034132369999</v>
      </c>
      <c r="AH1245">
        <v>16.402285956515499</v>
      </c>
      <c r="AI1245">
        <v>92.850712221118201</v>
      </c>
      <c r="AJ1245">
        <v>47.997315977733699</v>
      </c>
      <c r="AK1245">
        <v>22.099732058942301</v>
      </c>
      <c r="AL1245">
        <v>78.462479591062504</v>
      </c>
      <c r="AM1245">
        <v>68.962803856902596</v>
      </c>
      <c r="AN1245">
        <v>1.0000000005246401</v>
      </c>
    </row>
    <row r="1246" spans="1:40" x14ac:dyDescent="0.25">
      <c r="A1246" t="str">
        <f>"20190312172351726"</f>
        <v>20190312172351726</v>
      </c>
      <c r="B1246" t="str">
        <f>"1552382631721247"</f>
        <v>1552382631721247</v>
      </c>
      <c r="C1246" t="s">
        <v>40</v>
      </c>
      <c r="D1246">
        <v>4.0772139999999997</v>
      </c>
      <c r="E1246">
        <v>0.63432690000000003</v>
      </c>
      <c r="F1246" t="s">
        <v>43</v>
      </c>
      <c r="G1246">
        <v>-194.57169999999999</v>
      </c>
      <c r="H1246" s="1">
        <v>-3.3732379999999999E-6</v>
      </c>
      <c r="I1246">
        <v>334.61680000000001</v>
      </c>
      <c r="J1246">
        <v>-191.51669999999999</v>
      </c>
      <c r="K1246">
        <v>1.099126</v>
      </c>
      <c r="L1246">
        <v>356.43239999999997</v>
      </c>
      <c r="M1246">
        <v>0.55478169999999905</v>
      </c>
      <c r="N1246">
        <v>0</v>
      </c>
      <c r="O1246">
        <v>-0.8318411</v>
      </c>
      <c r="P1246">
        <v>0.22336420000000001</v>
      </c>
      <c r="Q1246">
        <v>0.19555620000000001</v>
      </c>
      <c r="R1246">
        <v>-0.95491709999999996</v>
      </c>
      <c r="S1246">
        <v>-0.43524170000000001</v>
      </c>
      <c r="T1246">
        <v>-0.16408619999999999</v>
      </c>
      <c r="U1246">
        <v>-3.2908940000000002</v>
      </c>
      <c r="V1246">
        <v>0.3497497</v>
      </c>
      <c r="W1246">
        <v>0.2005856</v>
      </c>
      <c r="X1246">
        <v>0.91511779999999998</v>
      </c>
      <c r="Y1246">
        <v>0.65898269999999903</v>
      </c>
      <c r="Z1246">
        <v>3.0774610000000001E-2</v>
      </c>
      <c r="AA1246">
        <v>0.75152830000000004</v>
      </c>
      <c r="AB1246">
        <v>28</v>
      </c>
      <c r="AC1246">
        <v>-3.0550000000000002</v>
      </c>
      <c r="AD1246">
        <v>-1.0991293732380001</v>
      </c>
      <c r="AE1246">
        <v>-21.8155999999999</v>
      </c>
      <c r="AF1246">
        <v>14.6096848880018</v>
      </c>
      <c r="AG1246">
        <v>-1.0991293732380001</v>
      </c>
      <c r="AH1246">
        <v>16.413511451031699</v>
      </c>
      <c r="AI1246">
        <v>92.863552858046305</v>
      </c>
      <c r="AJ1246">
        <v>48.327684677637897</v>
      </c>
      <c r="AK1246">
        <v>22.0012348757739</v>
      </c>
      <c r="AL1246">
        <v>78.428794730051393</v>
      </c>
      <c r="AM1246">
        <v>69.083598544319401</v>
      </c>
      <c r="AN1246">
        <v>1.0000000117271399</v>
      </c>
    </row>
    <row r="1247" spans="1:40" x14ac:dyDescent="0.25">
      <c r="A1247" t="str">
        <f>"20190312172351739"</f>
        <v>20190312172351739</v>
      </c>
      <c r="B1247" t="str">
        <f>"1552382631731007"</f>
        <v>1552382631731007</v>
      </c>
      <c r="C1247" t="s">
        <v>40</v>
      </c>
      <c r="D1247">
        <v>4.082999</v>
      </c>
      <c r="E1247">
        <v>0.6333955</v>
      </c>
      <c r="F1247" t="s">
        <v>43</v>
      </c>
      <c r="G1247">
        <v>-194.21510000000001</v>
      </c>
      <c r="H1247" s="1">
        <v>-3.2227640000000002E-6</v>
      </c>
      <c r="I1247">
        <v>334.48719999999997</v>
      </c>
      <c r="J1247">
        <v>-191.42259999999999</v>
      </c>
      <c r="K1247">
        <v>1.09914</v>
      </c>
      <c r="L1247">
        <v>356.27480000000003</v>
      </c>
      <c r="M1247">
        <v>0.54689650000000001</v>
      </c>
      <c r="N1247">
        <v>0</v>
      </c>
      <c r="O1247">
        <v>-0.83704639999999997</v>
      </c>
      <c r="P1247">
        <v>0.21592169999999999</v>
      </c>
      <c r="Q1247">
        <v>0.1962325</v>
      </c>
      <c r="R1247">
        <v>-0.95648889999999998</v>
      </c>
      <c r="S1247">
        <v>-0.40196229999999999</v>
      </c>
      <c r="T1247">
        <v>-0.1637352</v>
      </c>
      <c r="U1247">
        <v>-3.2691349999999999</v>
      </c>
      <c r="V1247">
        <v>0.34816130000000001</v>
      </c>
      <c r="W1247">
        <v>0.2013218</v>
      </c>
      <c r="X1247">
        <v>0.91556170000000003</v>
      </c>
      <c r="Y1247">
        <v>0.64488760000000001</v>
      </c>
      <c r="Z1247">
        <v>3.1641679999999998E-2</v>
      </c>
      <c r="AA1247">
        <v>0.76362220000000003</v>
      </c>
      <c r="AB1247">
        <v>28</v>
      </c>
      <c r="AC1247">
        <v>-2.7925000000000102</v>
      </c>
      <c r="AD1247">
        <v>-1.0991432227639999</v>
      </c>
      <c r="AE1247">
        <v>-21.787600000000001</v>
      </c>
      <c r="AF1247">
        <v>14.2192467068996</v>
      </c>
      <c r="AG1247">
        <v>-1.0991432227639999</v>
      </c>
      <c r="AH1247">
        <v>16.6704350926295</v>
      </c>
      <c r="AI1247">
        <v>92.871782343773901</v>
      </c>
      <c r="AJ1247">
        <v>49.537083758223197</v>
      </c>
      <c r="AK1247">
        <v>21.938516333457802</v>
      </c>
      <c r="AL1247">
        <v>78.385734964430796</v>
      </c>
      <c r="AM1247">
        <v>69.179656654634599</v>
      </c>
      <c r="AN1247">
        <v>0.99999999223990998</v>
      </c>
    </row>
    <row r="1248" spans="1:40" x14ac:dyDescent="0.25">
      <c r="A1248" t="str">
        <f>"20190312172351772"</f>
        <v>20190312172351772</v>
      </c>
      <c r="B1248" t="str">
        <f>"1552382631760793"</f>
        <v>1552382631760793</v>
      </c>
      <c r="C1248" t="s">
        <v>40</v>
      </c>
      <c r="D1248">
        <v>4.069636</v>
      </c>
      <c r="E1248">
        <v>0.63175890000000001</v>
      </c>
      <c r="F1248" t="s">
        <v>43</v>
      </c>
      <c r="G1248">
        <v>-194.22989999999999</v>
      </c>
      <c r="H1248" s="1">
        <v>-3.2053419999999999E-6</v>
      </c>
      <c r="I1248">
        <v>334.43729999999999</v>
      </c>
      <c r="J1248">
        <v>-191.21360000000001</v>
      </c>
      <c r="K1248">
        <v>1.0991770000000001</v>
      </c>
      <c r="L1248">
        <v>355.91120000000001</v>
      </c>
      <c r="M1248">
        <v>0.52866269999999904</v>
      </c>
      <c r="N1248">
        <v>0</v>
      </c>
      <c r="O1248">
        <v>-0.8486802</v>
      </c>
      <c r="P1248">
        <v>0.19749630000000001</v>
      </c>
      <c r="Q1248">
        <v>0.19763040000000001</v>
      </c>
      <c r="R1248">
        <v>-0.96017589999999997</v>
      </c>
      <c r="S1248">
        <v>-0.41972350000000003</v>
      </c>
      <c r="T1248">
        <v>-0.1643329</v>
      </c>
      <c r="U1248">
        <v>-3.264923</v>
      </c>
      <c r="V1248">
        <v>0.34582180000000001</v>
      </c>
      <c r="W1248">
        <v>0.2028153</v>
      </c>
      <c r="X1248">
        <v>0.91611860000000001</v>
      </c>
      <c r="Y1248">
        <v>0.63248329999999997</v>
      </c>
      <c r="Z1248">
        <v>3.2928190000000003E-2</v>
      </c>
      <c r="AA1248">
        <v>0.773873699999999</v>
      </c>
      <c r="AB1248">
        <v>28</v>
      </c>
      <c r="AC1248">
        <v>-3.01629999999997</v>
      </c>
      <c r="AD1248">
        <v>-1.0991802053419999</v>
      </c>
      <c r="AE1248">
        <v>-21.4739</v>
      </c>
      <c r="AF1248">
        <v>13.8784575370602</v>
      </c>
      <c r="AG1248">
        <v>-1.0991802053419999</v>
      </c>
      <c r="AH1248">
        <v>16.589386674789701</v>
      </c>
      <c r="AI1248">
        <v>92.909236274563597</v>
      </c>
      <c r="AJ1248">
        <v>50.084601272286299</v>
      </c>
      <c r="AK1248">
        <v>21.657043449591399</v>
      </c>
      <c r="AL1248">
        <v>78.298361713627301</v>
      </c>
      <c r="AM1248">
        <v>69.319188397381893</v>
      </c>
      <c r="AN1248">
        <v>1.0000000262676401</v>
      </c>
    </row>
    <row r="1249" spans="1:40" x14ac:dyDescent="0.25">
      <c r="A1249" t="str">
        <f>"20190312172351793"</f>
        <v>20190312172351793</v>
      </c>
      <c r="B1249" t="str">
        <f>"1552382631781289"</f>
        <v>1552382631781289</v>
      </c>
      <c r="C1249" t="s">
        <v>40</v>
      </c>
      <c r="D1249">
        <v>4.0996379999999997</v>
      </c>
      <c r="E1249">
        <v>0.62362280000000003</v>
      </c>
      <c r="F1249" t="s">
        <v>43</v>
      </c>
      <c r="G1249">
        <v>-194.32499999999999</v>
      </c>
      <c r="H1249" s="1">
        <v>-3.1726669999999999E-6</v>
      </c>
      <c r="I1249">
        <v>334.30220000000003</v>
      </c>
      <c r="J1249">
        <v>-191.08369999999999</v>
      </c>
      <c r="K1249">
        <v>1.0992090000000001</v>
      </c>
      <c r="L1249">
        <v>355.67579999999998</v>
      </c>
      <c r="M1249">
        <v>0.51682700000000004</v>
      </c>
      <c r="N1249">
        <v>0</v>
      </c>
      <c r="O1249">
        <v>-0.85593960000000002</v>
      </c>
      <c r="P1249">
        <v>0.1863891</v>
      </c>
      <c r="Q1249">
        <v>0.19893659999999999</v>
      </c>
      <c r="R1249">
        <v>-0.9621246</v>
      </c>
      <c r="S1249">
        <v>-0.46865839999999998</v>
      </c>
      <c r="T1249">
        <v>-0.1655672</v>
      </c>
      <c r="U1249">
        <v>-3.2549130000000002</v>
      </c>
      <c r="V1249">
        <v>0.34356449999999999</v>
      </c>
      <c r="W1249">
        <v>0.20420930000000001</v>
      </c>
      <c r="X1249">
        <v>0.91665799999999997</v>
      </c>
      <c r="Y1249">
        <v>0.63344709999999904</v>
      </c>
      <c r="Z1249">
        <v>3.3766989999999997E-2</v>
      </c>
      <c r="AA1249">
        <v>0.77304890000000004</v>
      </c>
      <c r="AB1249">
        <v>28</v>
      </c>
      <c r="AC1249">
        <v>-3.2412999999999901</v>
      </c>
      <c r="AD1249">
        <v>-1.0992121726669899</v>
      </c>
      <c r="AE1249">
        <v>-21.3735999999999</v>
      </c>
      <c r="AF1249">
        <v>13.786943458633401</v>
      </c>
      <c r="AG1249">
        <v>-1.0992121726669899</v>
      </c>
      <c r="AH1249">
        <v>16.578594554233</v>
      </c>
      <c r="AI1249">
        <v>92.918332457414493</v>
      </c>
      <c r="AJ1249">
        <v>50.252713266456901</v>
      </c>
      <c r="AK1249">
        <v>21.590226370414499</v>
      </c>
      <c r="AL1249">
        <v>78.216783214047396</v>
      </c>
      <c r="AM1249">
        <v>69.453942545859306</v>
      </c>
      <c r="AN1249">
        <v>0.99999994641536805</v>
      </c>
    </row>
    <row r="1250" spans="1:40" x14ac:dyDescent="0.25">
      <c r="A1250" t="str">
        <f>"20190312172351815"</f>
        <v>20190312172351815</v>
      </c>
      <c r="B1250" t="str">
        <f>"1552382631810569"</f>
        <v>1552382631810569</v>
      </c>
      <c r="C1250" t="s">
        <v>40</v>
      </c>
      <c r="D1250">
        <v>4.100314</v>
      </c>
      <c r="E1250">
        <v>0.59824290000000002</v>
      </c>
      <c r="F1250" t="s">
        <v>43</v>
      </c>
      <c r="G1250">
        <v>-193.7876</v>
      </c>
      <c r="H1250" s="1">
        <v>-3.7020240000000001E-6</v>
      </c>
      <c r="I1250">
        <v>335.89109999999999</v>
      </c>
      <c r="J1250">
        <v>-190.95419999999999</v>
      </c>
      <c r="K1250">
        <v>1.0992470000000001</v>
      </c>
      <c r="L1250">
        <v>355.43310000000002</v>
      </c>
      <c r="M1250">
        <v>0.50460190000000005</v>
      </c>
      <c r="N1250">
        <v>0</v>
      </c>
      <c r="O1250">
        <v>-0.86320319999999995</v>
      </c>
      <c r="P1250">
        <v>0.17613909999999999</v>
      </c>
      <c r="Q1250">
        <v>0.19947319999999999</v>
      </c>
      <c r="R1250">
        <v>-0.96394279999999999</v>
      </c>
      <c r="S1250">
        <v>-0.44294739999999999</v>
      </c>
      <c r="T1250">
        <v>-0.18007419999999999</v>
      </c>
      <c r="U1250">
        <v>-3.2411500000000002</v>
      </c>
      <c r="V1250">
        <v>0.34021810000000002</v>
      </c>
      <c r="W1250">
        <v>0.2048739</v>
      </c>
      <c r="X1250">
        <v>0.91775720000000005</v>
      </c>
      <c r="Y1250">
        <v>0.61672059999999995</v>
      </c>
      <c r="Z1250">
        <v>3.7883359999999998E-2</v>
      </c>
      <c r="AA1250">
        <v>0.78627000000000002</v>
      </c>
      <c r="AB1250">
        <v>28</v>
      </c>
      <c r="AC1250">
        <v>-2.8334000000000099</v>
      </c>
      <c r="AD1250">
        <v>-1.0992507020240001</v>
      </c>
      <c r="AE1250">
        <v>-19.542000000000002</v>
      </c>
      <c r="AF1250">
        <v>12.2702874593198</v>
      </c>
      <c r="AG1250">
        <v>-1.0992507020240001</v>
      </c>
      <c r="AH1250">
        <v>15.393259849392599</v>
      </c>
      <c r="AI1250">
        <v>93.196139889053796</v>
      </c>
      <c r="AJ1250">
        <v>51.440922479675102</v>
      </c>
      <c r="AK1250">
        <v>19.716002516513502</v>
      </c>
      <c r="AL1250">
        <v>78.177882315726194</v>
      </c>
      <c r="AM1250">
        <v>69.659954571600096</v>
      </c>
      <c r="AN1250">
        <v>0.99999997431032905</v>
      </c>
    </row>
    <row r="1251" spans="1:40" x14ac:dyDescent="0.25">
      <c r="A1251" t="str">
        <f>"20190312172351837"</f>
        <v>20190312172351837</v>
      </c>
      <c r="B1251" t="str">
        <f>"1552382631831065"</f>
        <v>1552382631831065</v>
      </c>
      <c r="C1251" t="s">
        <v>40</v>
      </c>
      <c r="D1251">
        <v>4.0258039999999999</v>
      </c>
      <c r="E1251">
        <v>0.5869299</v>
      </c>
      <c r="F1251" t="s">
        <v>43</v>
      </c>
      <c r="G1251">
        <v>-192.816</v>
      </c>
      <c r="H1251" s="1">
        <v>-2.6004309999999999E-6</v>
      </c>
      <c r="I1251">
        <v>333.9042</v>
      </c>
      <c r="J1251">
        <v>-190.8185</v>
      </c>
      <c r="K1251">
        <v>1.0992770000000001</v>
      </c>
      <c r="L1251">
        <v>355.16950000000003</v>
      </c>
      <c r="M1251">
        <v>0.49130509999999999</v>
      </c>
      <c r="N1251">
        <v>0</v>
      </c>
      <c r="O1251">
        <v>-0.87083980000000005</v>
      </c>
      <c r="P1251">
        <v>0.1657604</v>
      </c>
      <c r="Q1251">
        <v>0.19959379999999999</v>
      </c>
      <c r="R1251">
        <v>-0.96575679999999997</v>
      </c>
      <c r="S1251">
        <v>-0.27642820000000001</v>
      </c>
      <c r="T1251">
        <v>-0.16321160000000001</v>
      </c>
      <c r="U1251">
        <v>-3.1965029999999999</v>
      </c>
      <c r="V1251">
        <v>0.3359762</v>
      </c>
      <c r="W1251">
        <v>0.2051549</v>
      </c>
      <c r="X1251">
        <v>0.91925599999999996</v>
      </c>
      <c r="Y1251">
        <v>0.56445599999999996</v>
      </c>
      <c r="Z1251">
        <v>3.6532139999999998E-2</v>
      </c>
      <c r="AA1251">
        <v>0.82465429999999995</v>
      </c>
      <c r="AB1251">
        <v>28</v>
      </c>
      <c r="AC1251">
        <v>-1.9974999999999701</v>
      </c>
      <c r="AD1251">
        <v>-1.0992796004309999</v>
      </c>
      <c r="AE1251">
        <v>-21.2653</v>
      </c>
      <c r="AF1251">
        <v>12.1566201630023</v>
      </c>
      <c r="AG1251">
        <v>-1.0992796004309999</v>
      </c>
      <c r="AH1251">
        <v>17.4932076596453</v>
      </c>
      <c r="AI1251">
        <v>92.954034400447</v>
      </c>
      <c r="AJ1251">
        <v>55.203259618509001</v>
      </c>
      <c r="AK1251">
        <v>21.330826136155899</v>
      </c>
      <c r="AL1251">
        <v>78.161433906412995</v>
      </c>
      <c r="AM1251">
        <v>69.923294503242204</v>
      </c>
      <c r="AN1251">
        <v>1.0000000667482201</v>
      </c>
    </row>
    <row r="1252" spans="1:40" x14ac:dyDescent="0.25">
      <c r="A1252" t="str">
        <f>"20190312172351860"</f>
        <v>20190312172351860</v>
      </c>
      <c r="B1252" t="str">
        <f>"1552382631850588"</f>
        <v>1552382631850588</v>
      </c>
      <c r="C1252" t="s">
        <v>40</v>
      </c>
      <c r="D1252">
        <v>3.9980639999999998</v>
      </c>
      <c r="E1252">
        <v>0.5822465</v>
      </c>
      <c r="F1252" t="s">
        <v>43</v>
      </c>
      <c r="G1252">
        <v>-192.62899999999999</v>
      </c>
      <c r="H1252" s="1">
        <v>-4.5239680000000002E-6</v>
      </c>
      <c r="I1252">
        <v>328.91030000000001</v>
      </c>
      <c r="J1252">
        <v>-190.68950000000001</v>
      </c>
      <c r="K1252">
        <v>1.0993059999999999</v>
      </c>
      <c r="L1252">
        <v>354.90960000000001</v>
      </c>
      <c r="M1252">
        <v>0.47817229999999999</v>
      </c>
      <c r="N1252">
        <v>0</v>
      </c>
      <c r="O1252">
        <v>-0.87811969999999995</v>
      </c>
      <c r="P1252">
        <v>0.1557125</v>
      </c>
      <c r="Q1252">
        <v>0.1983936</v>
      </c>
      <c r="R1252">
        <v>-0.96767460000000005</v>
      </c>
      <c r="S1252">
        <v>-0.2186584</v>
      </c>
      <c r="T1252">
        <v>-0.13276180000000001</v>
      </c>
      <c r="U1252">
        <v>-3.1713559999999998</v>
      </c>
      <c r="V1252">
        <v>0.33178059999999998</v>
      </c>
      <c r="W1252">
        <v>0.2041173</v>
      </c>
      <c r="X1252">
        <v>0.92100910000000002</v>
      </c>
      <c r="Y1252">
        <v>0.53743879999999999</v>
      </c>
      <c r="Z1252">
        <v>3.0829829999999999E-2</v>
      </c>
      <c r="AA1252">
        <v>0.84273899999999902</v>
      </c>
      <c r="AB1252">
        <v>28</v>
      </c>
      <c r="AC1252">
        <v>-1.9395</v>
      </c>
      <c r="AD1252">
        <v>-1.0993105239680001</v>
      </c>
      <c r="AE1252">
        <v>-25.999300000000002</v>
      </c>
      <c r="AF1252">
        <v>14.1119855784258</v>
      </c>
      <c r="AG1252">
        <v>-1.0993105239680001</v>
      </c>
      <c r="AH1252">
        <v>21.8670205323413</v>
      </c>
      <c r="AI1252">
        <v>92.418742667246605</v>
      </c>
      <c r="AJ1252">
        <v>57.163632186717599</v>
      </c>
      <c r="AK1252">
        <v>26.048478027624601</v>
      </c>
      <c r="AL1252">
        <v>78.222168489337307</v>
      </c>
      <c r="AM1252">
        <v>70.189155990693394</v>
      </c>
      <c r="AN1252">
        <v>1.00000000048923</v>
      </c>
    </row>
    <row r="1253" spans="1:40" x14ac:dyDescent="0.25">
      <c r="A1253" t="str">
        <f>"20190312172351882"</f>
        <v>20190312172351882</v>
      </c>
      <c r="B1253" t="str">
        <f>"1552382631871081"</f>
        <v>1552382631871081</v>
      </c>
      <c r="C1253" t="s">
        <v>40</v>
      </c>
      <c r="D1253">
        <v>4.0185529999999998</v>
      </c>
      <c r="E1253">
        <v>0.57895869999999905</v>
      </c>
      <c r="F1253" t="s">
        <v>43</v>
      </c>
      <c r="G1253">
        <v>-192.4744</v>
      </c>
      <c r="H1253" s="1">
        <v>-4.3349569999999999E-6</v>
      </c>
      <c r="I1253">
        <v>328.43549999999999</v>
      </c>
      <c r="J1253">
        <v>-190.56729999999999</v>
      </c>
      <c r="K1253">
        <v>1.099332</v>
      </c>
      <c r="L1253">
        <v>354.65339999999998</v>
      </c>
      <c r="M1253">
        <v>0.46520850000000002</v>
      </c>
      <c r="N1253">
        <v>0</v>
      </c>
      <c r="O1253">
        <v>-0.88505599999999995</v>
      </c>
      <c r="P1253">
        <v>0.1459638</v>
      </c>
      <c r="Q1253">
        <v>0.19669819999999999</v>
      </c>
      <c r="R1253">
        <v>-0.96953820000000002</v>
      </c>
      <c r="S1253">
        <v>-0.21313480000000001</v>
      </c>
      <c r="T1253">
        <v>-0.1312741</v>
      </c>
      <c r="U1253">
        <v>-3.1614070000000001</v>
      </c>
      <c r="V1253">
        <v>0.32759139999999998</v>
      </c>
      <c r="W1253">
        <v>0.20258499999999999</v>
      </c>
      <c r="X1253">
        <v>0.92284509999999997</v>
      </c>
      <c r="Y1253">
        <v>0.52368769999999998</v>
      </c>
      <c r="Z1253">
        <v>3.119651E-2</v>
      </c>
      <c r="AA1253">
        <v>0.85133890000000001</v>
      </c>
      <c r="AB1253">
        <v>28</v>
      </c>
      <c r="AC1253">
        <v>-1.90710000000001</v>
      </c>
      <c r="AD1253">
        <v>-1.099336334957</v>
      </c>
      <c r="AE1253">
        <v>-26.217899999999901</v>
      </c>
      <c r="AF1253">
        <v>13.862220145558201</v>
      </c>
      <c r="AG1253">
        <v>-1.099336334957</v>
      </c>
      <c r="AH1253">
        <v>22.281010051615102</v>
      </c>
      <c r="AI1253">
        <v>92.398912410807</v>
      </c>
      <c r="AJ1253">
        <v>58.112025014226496</v>
      </c>
      <c r="AK1253">
        <v>26.2642931879282</v>
      </c>
      <c r="AL1253">
        <v>78.311835673751702</v>
      </c>
      <c r="AM1253">
        <v>70.456163813310297</v>
      </c>
      <c r="AN1253">
        <v>0.99999994308648299</v>
      </c>
    </row>
    <row r="1254" spans="1:40" x14ac:dyDescent="0.25">
      <c r="A1254" t="str">
        <f>"20190312172351905"</f>
        <v>20190312172351905</v>
      </c>
      <c r="B1254" t="str">
        <f>"1552382631901337"</f>
        <v>1552382631901337</v>
      </c>
      <c r="C1254" t="s">
        <v>40</v>
      </c>
      <c r="D1254">
        <v>3.999387</v>
      </c>
      <c r="E1254">
        <v>0.57560069999999997</v>
      </c>
      <c r="F1254" t="s">
        <v>43</v>
      </c>
      <c r="G1254">
        <v>-192.3373</v>
      </c>
      <c r="H1254" s="1">
        <v>-4.5238050000000001E-6</v>
      </c>
      <c r="I1254">
        <v>329.06189999999998</v>
      </c>
      <c r="J1254">
        <v>-190.44640000000001</v>
      </c>
      <c r="K1254">
        <v>1.099361</v>
      </c>
      <c r="L1254">
        <v>354.38940000000002</v>
      </c>
      <c r="M1254">
        <v>0.45184059999999998</v>
      </c>
      <c r="N1254">
        <v>0</v>
      </c>
      <c r="O1254">
        <v>-0.8919551</v>
      </c>
      <c r="P1254">
        <v>0.1363056</v>
      </c>
      <c r="Q1254">
        <v>0.19541720000000001</v>
      </c>
      <c r="R1254">
        <v>-0.97120209999999996</v>
      </c>
      <c r="S1254">
        <v>-0.2181854</v>
      </c>
      <c r="T1254">
        <v>-0.13551369999999999</v>
      </c>
      <c r="U1254">
        <v>-3.154633</v>
      </c>
      <c r="V1254">
        <v>0.32294149999999999</v>
      </c>
      <c r="W1254">
        <v>0.20148060000000001</v>
      </c>
      <c r="X1254">
        <v>0.92472399999999999</v>
      </c>
      <c r="Y1254">
        <v>0.51230100000000001</v>
      </c>
      <c r="Z1254">
        <v>3.286352E-2</v>
      </c>
      <c r="AA1254">
        <v>0.85817699999999997</v>
      </c>
      <c r="AB1254">
        <v>28</v>
      </c>
      <c r="AC1254">
        <v>-1.89089999999998</v>
      </c>
      <c r="AD1254">
        <v>-1.099365523805</v>
      </c>
      <c r="AE1254">
        <v>-25.327500000000001</v>
      </c>
      <c r="AF1254">
        <v>13.1077137546212</v>
      </c>
      <c r="AG1254">
        <v>-1.099365523805</v>
      </c>
      <c r="AH1254">
        <v>21.698736520974599</v>
      </c>
      <c r="AI1254">
        <v>92.483169473061295</v>
      </c>
      <c r="AJ1254">
        <v>58.864779628783801</v>
      </c>
      <c r="AK1254">
        <v>25.374316365858899</v>
      </c>
      <c r="AL1254">
        <v>78.376446857119902</v>
      </c>
      <c r="AM1254">
        <v>70.749258739121998</v>
      </c>
      <c r="AN1254">
        <v>1.0000000603873</v>
      </c>
    </row>
    <row r="1255" spans="1:40" x14ac:dyDescent="0.25">
      <c r="A1255" t="str">
        <f>"20190312172351928"</f>
        <v>20190312172351928</v>
      </c>
      <c r="B1255" t="str">
        <f>"1552382631920858"</f>
        <v>1552382631920858</v>
      </c>
      <c r="C1255" t="s">
        <v>40</v>
      </c>
      <c r="D1255">
        <v>3.9751219999999998</v>
      </c>
      <c r="E1255">
        <v>0.57373640000000004</v>
      </c>
      <c r="F1255" t="s">
        <v>43</v>
      </c>
      <c r="G1255">
        <v>-192.18620000000001</v>
      </c>
      <c r="H1255" s="1">
        <v>-6.6253139999999999E-7</v>
      </c>
      <c r="I1255">
        <v>329.77749999999997</v>
      </c>
      <c r="J1255">
        <v>-190.32830000000001</v>
      </c>
      <c r="K1255">
        <v>1.099397</v>
      </c>
      <c r="L1255">
        <v>354.1207</v>
      </c>
      <c r="M1255">
        <v>0.43821779999999999</v>
      </c>
      <c r="N1255">
        <v>0</v>
      </c>
      <c r="O1255">
        <v>-0.89872619999999903</v>
      </c>
      <c r="P1255">
        <v>0.12725989999999901</v>
      </c>
      <c r="Q1255">
        <v>0.19466120000000001</v>
      </c>
      <c r="R1255">
        <v>-0.97258029999999995</v>
      </c>
      <c r="S1255">
        <v>-0.2225647</v>
      </c>
      <c r="T1255">
        <v>-0.14063689999999901</v>
      </c>
      <c r="U1255">
        <v>-3.1484990000000002</v>
      </c>
      <c r="V1255">
        <v>0.31748710000000002</v>
      </c>
      <c r="W1255">
        <v>0.2009252</v>
      </c>
      <c r="X1255">
        <v>0.92673139999999998</v>
      </c>
      <c r="Y1255">
        <v>0.50048570000000003</v>
      </c>
      <c r="Z1255">
        <v>3.4778400000000001E-2</v>
      </c>
      <c r="AA1255">
        <v>0.86504599999999898</v>
      </c>
      <c r="AB1255">
        <v>28</v>
      </c>
      <c r="AC1255">
        <v>-1.8579000000000001</v>
      </c>
      <c r="AD1255">
        <v>-1.0993976625313999</v>
      </c>
      <c r="AE1255">
        <v>-24.3432</v>
      </c>
      <c r="AF1255">
        <v>12.3139780954029</v>
      </c>
      <c r="AG1255">
        <v>-1.0993976625313999</v>
      </c>
      <c r="AH1255">
        <v>21.023774751796001</v>
      </c>
      <c r="AI1255">
        <v>92.583591661756103</v>
      </c>
      <c r="AJ1255">
        <v>59.6417772320317</v>
      </c>
      <c r="AK1255">
        <v>24.3893795855634</v>
      </c>
      <c r="AL1255">
        <v>78.408933067124394</v>
      </c>
      <c r="AM1255">
        <v>71.089153035013098</v>
      </c>
      <c r="AN1255">
        <v>1.0000000412037</v>
      </c>
    </row>
    <row r="1256" spans="1:40" x14ac:dyDescent="0.25">
      <c r="A1256" t="str">
        <f>"20190312172351951"</f>
        <v>20190312172351951</v>
      </c>
      <c r="B1256" t="str">
        <f>"1552382631940883"</f>
        <v>1552382631940883</v>
      </c>
      <c r="C1256" t="s">
        <v>40</v>
      </c>
      <c r="D1256">
        <v>3.9719000000000002</v>
      </c>
      <c r="E1256">
        <v>0.55790779999999995</v>
      </c>
      <c r="F1256" t="s">
        <v>43</v>
      </c>
      <c r="G1256">
        <v>-192.1311</v>
      </c>
      <c r="H1256" s="1">
        <v>-8.1410749999999996E-7</v>
      </c>
      <c r="I1256">
        <v>330.1651</v>
      </c>
      <c r="J1256">
        <v>-190.21369999999999</v>
      </c>
      <c r="K1256">
        <v>1.0994349999999999</v>
      </c>
      <c r="L1256">
        <v>353.8492</v>
      </c>
      <c r="M1256">
        <v>0.42443629999999999</v>
      </c>
      <c r="N1256">
        <v>0</v>
      </c>
      <c r="O1256">
        <v>-0.90531620000000002</v>
      </c>
      <c r="P1256">
        <v>0.1179955</v>
      </c>
      <c r="Q1256">
        <v>0.19470460000000001</v>
      </c>
      <c r="R1256">
        <v>-0.97373900000000002</v>
      </c>
      <c r="S1256">
        <v>-0.23663329999999999</v>
      </c>
      <c r="T1256">
        <v>-0.14430509999999999</v>
      </c>
      <c r="U1256">
        <v>-3.1443789999999998</v>
      </c>
      <c r="V1256">
        <v>0.31211070000000002</v>
      </c>
      <c r="W1256">
        <v>0.20116249999999999</v>
      </c>
      <c r="X1256">
        <v>0.92850449999999995</v>
      </c>
      <c r="Y1256">
        <v>0.4911567</v>
      </c>
      <c r="Z1256">
        <v>3.630034E-2</v>
      </c>
      <c r="AA1256">
        <v>0.87031449999999999</v>
      </c>
      <c r="AB1256">
        <v>28</v>
      </c>
      <c r="AC1256">
        <v>-1.91740000000001</v>
      </c>
      <c r="AD1256">
        <v>-1.0994358141075</v>
      </c>
      <c r="AE1256">
        <v>-23.684100000000001</v>
      </c>
      <c r="AF1256">
        <v>11.7645702962625</v>
      </c>
      <c r="AG1256">
        <v>-1.0994358141075</v>
      </c>
      <c r="AH1256">
        <v>20.586357724408</v>
      </c>
      <c r="AI1256">
        <v>92.654818775409495</v>
      </c>
      <c r="AJ1256">
        <v>60.253152171211198</v>
      </c>
      <c r="AK1256">
        <v>23.736301264568102</v>
      </c>
      <c r="AL1256">
        <v>78.395053178839802</v>
      </c>
      <c r="AM1256">
        <v>71.420266832643307</v>
      </c>
      <c r="AN1256">
        <v>1.00000002349049</v>
      </c>
    </row>
    <row r="1257" spans="1:40" x14ac:dyDescent="0.25">
      <c r="A1257" t="str">
        <f>"20190312172351975"</f>
        <v>20190312172351975</v>
      </c>
      <c r="B1257" t="str">
        <f>"1552382631971139"</f>
        <v>1552382631971139</v>
      </c>
      <c r="C1257" t="s">
        <v>40</v>
      </c>
      <c r="D1257">
        <v>4.0577249999999996</v>
      </c>
      <c r="E1257">
        <v>0.55632809999999999</v>
      </c>
      <c r="F1257" t="s">
        <v>43</v>
      </c>
      <c r="G1257">
        <v>-191.23519999999999</v>
      </c>
      <c r="H1257" s="1">
        <v>-1.022109E-6</v>
      </c>
      <c r="I1257">
        <v>331.2056</v>
      </c>
      <c r="J1257">
        <v>-190.10390000000001</v>
      </c>
      <c r="K1257">
        <v>1.099472</v>
      </c>
      <c r="L1257">
        <v>353.57760000000002</v>
      </c>
      <c r="M1257">
        <v>0.41063480000000002</v>
      </c>
      <c r="N1257">
        <v>0</v>
      </c>
      <c r="O1257">
        <v>-0.91165929999999995</v>
      </c>
      <c r="P1257">
        <v>0.1093573</v>
      </c>
      <c r="Q1257">
        <v>0.1944061</v>
      </c>
      <c r="R1257">
        <v>-0.97480639999999996</v>
      </c>
      <c r="S1257">
        <v>-0.14112849999999999</v>
      </c>
      <c r="T1257">
        <v>-0.1518967</v>
      </c>
      <c r="U1257">
        <v>-3.1284179999999999</v>
      </c>
      <c r="V1257">
        <v>0.30621340000000002</v>
      </c>
      <c r="W1257">
        <v>0.20107610000000001</v>
      </c>
      <c r="X1257">
        <v>0.93048470000000005</v>
      </c>
      <c r="Y1257">
        <v>0.451295</v>
      </c>
      <c r="Z1257">
        <v>3.94305E-2</v>
      </c>
      <c r="AA1257">
        <v>0.8915033</v>
      </c>
      <c r="AB1257">
        <v>28</v>
      </c>
      <c r="AC1257">
        <v>-1.13129999999998</v>
      </c>
      <c r="AD1257">
        <v>-1.0994730221089899</v>
      </c>
      <c r="AE1257">
        <v>-22.372</v>
      </c>
      <c r="AF1257">
        <v>10.1948319081287</v>
      </c>
      <c r="AG1257">
        <v>-1.0994730221089899</v>
      </c>
      <c r="AH1257">
        <v>19.885739935723301</v>
      </c>
      <c r="AI1257">
        <v>92.816714103282393</v>
      </c>
      <c r="AJ1257">
        <v>62.857124851639803</v>
      </c>
      <c r="AK1257">
        <v>22.373781337819601</v>
      </c>
      <c r="AL1257">
        <v>78.400106644642094</v>
      </c>
      <c r="AM1257">
        <v>71.784131034134205</v>
      </c>
      <c r="AN1257">
        <v>1.00000001063243</v>
      </c>
    </row>
    <row r="1258" spans="1:40" x14ac:dyDescent="0.25">
      <c r="A1258" t="str">
        <f>"20190312172351996"</f>
        <v>20190312172351996</v>
      </c>
      <c r="B1258" t="str">
        <f>"1552382631990659"</f>
        <v>1552382631990659</v>
      </c>
      <c r="C1258" t="s">
        <v>40</v>
      </c>
      <c r="D1258">
        <v>4.0853619999999999</v>
      </c>
      <c r="E1258">
        <v>0.55551740000000005</v>
      </c>
      <c r="F1258" t="s">
        <v>43</v>
      </c>
      <c r="G1258">
        <v>-191.22550000000001</v>
      </c>
      <c r="H1258" s="1">
        <v>-1.0504510000000001E-6</v>
      </c>
      <c r="I1258">
        <v>331.27769999999998</v>
      </c>
      <c r="J1258">
        <v>-190.0016</v>
      </c>
      <c r="K1258">
        <v>1.0995189999999999</v>
      </c>
      <c r="L1258">
        <v>353.3134</v>
      </c>
      <c r="M1258">
        <v>0.39720850000000002</v>
      </c>
      <c r="N1258">
        <v>0</v>
      </c>
      <c r="O1258">
        <v>-0.91758910000000005</v>
      </c>
      <c r="P1258">
        <v>0.1023718</v>
      </c>
      <c r="Q1258">
        <v>0.1930375</v>
      </c>
      <c r="R1258">
        <v>-0.9758367</v>
      </c>
      <c r="S1258">
        <v>-0.15722659999999999</v>
      </c>
      <c r="T1258">
        <v>-0.1541197</v>
      </c>
      <c r="U1258">
        <v>-3.1259160000000001</v>
      </c>
      <c r="V1258">
        <v>0.29924279999999998</v>
      </c>
      <c r="W1258">
        <v>0.1999563</v>
      </c>
      <c r="X1258">
        <v>0.93299049999999994</v>
      </c>
      <c r="Y1258">
        <v>0.44278729999999999</v>
      </c>
      <c r="Z1258">
        <v>4.0575420000000001E-2</v>
      </c>
      <c r="AA1258">
        <v>0.89570810000000001</v>
      </c>
      <c r="AB1258">
        <v>28</v>
      </c>
      <c r="AC1258">
        <v>-1.22390000000001</v>
      </c>
      <c r="AD1258">
        <v>-1.0995200504510001</v>
      </c>
      <c r="AE1258">
        <v>-22.035699999999999</v>
      </c>
      <c r="AF1258">
        <v>9.8526123412150497</v>
      </c>
      <c r="AG1258">
        <v>-1.0995200504510001</v>
      </c>
      <c r="AH1258">
        <v>19.687232396745099</v>
      </c>
      <c r="AI1258">
        <v>92.859209613375398</v>
      </c>
      <c r="AJ1258">
        <v>63.414007462035997</v>
      </c>
      <c r="AK1258">
        <v>22.042459793114201</v>
      </c>
      <c r="AL1258">
        <v>78.465596694502395</v>
      </c>
      <c r="AM1258">
        <v>72.217130755980193</v>
      </c>
      <c r="AN1258">
        <v>1.00000002417588</v>
      </c>
    </row>
    <row r="1259" spans="1:40" x14ac:dyDescent="0.25">
      <c r="A1259" t="str">
        <f>"20190312172352017"</f>
        <v>20190312172352017</v>
      </c>
      <c r="B1259" t="str">
        <f>"1552382632011155"</f>
        <v>1552382632011155</v>
      </c>
      <c r="C1259" t="s">
        <v>40</v>
      </c>
      <c r="D1259">
        <v>4.0438809999999998</v>
      </c>
      <c r="E1259">
        <v>0.55365690000000001</v>
      </c>
      <c r="F1259" t="s">
        <v>43</v>
      </c>
      <c r="G1259">
        <v>-191.2002</v>
      </c>
      <c r="H1259" s="1">
        <v>-1.244318E-6</v>
      </c>
      <c r="I1259">
        <v>331.74520000000001</v>
      </c>
      <c r="J1259">
        <v>-189.9128</v>
      </c>
      <c r="K1259">
        <v>1.0995680000000001</v>
      </c>
      <c r="L1259">
        <v>353.07420000000002</v>
      </c>
      <c r="M1259">
        <v>0.38505329999999999</v>
      </c>
      <c r="N1259">
        <v>0</v>
      </c>
      <c r="O1259">
        <v>-0.92275580000000001</v>
      </c>
      <c r="P1259">
        <v>9.8081169999999995E-2</v>
      </c>
      <c r="Q1259">
        <v>0.19166140000000001</v>
      </c>
      <c r="R1259">
        <v>-0.97654799999999997</v>
      </c>
      <c r="S1259">
        <v>-0.1736145</v>
      </c>
      <c r="T1259">
        <v>-0.15925739999999999</v>
      </c>
      <c r="U1259">
        <v>-3.123993</v>
      </c>
      <c r="V1259">
        <v>0.2910316</v>
      </c>
      <c r="W1259">
        <v>0.19886760000000001</v>
      </c>
      <c r="X1259">
        <v>0.93581630000000005</v>
      </c>
      <c r="Y1259">
        <v>0.43563879999999999</v>
      </c>
      <c r="Z1259">
        <v>4.2427649999999997E-2</v>
      </c>
      <c r="AA1259">
        <v>0.89912109999999901</v>
      </c>
      <c r="AB1259">
        <v>28</v>
      </c>
      <c r="AC1259">
        <v>-1.2873999999999901</v>
      </c>
      <c r="AD1259">
        <v>-1.0995692443179901</v>
      </c>
      <c r="AE1259">
        <v>-21.329000000000001</v>
      </c>
      <c r="AF1259">
        <v>9.3771286937952301</v>
      </c>
      <c r="AG1259">
        <v>-1.0995692443179901</v>
      </c>
      <c r="AH1259">
        <v>19.137517164936099</v>
      </c>
      <c r="AI1259">
        <v>92.953579199621402</v>
      </c>
      <c r="AJ1259">
        <v>63.895760942006397</v>
      </c>
      <c r="AK1259">
        <v>21.339731917277501</v>
      </c>
      <c r="AL1259">
        <v>78.529252018969601</v>
      </c>
      <c r="AM1259">
        <v>72.724712017432594</v>
      </c>
      <c r="AN1259">
        <v>0.99999993093700201</v>
      </c>
    </row>
    <row r="1260" spans="1:40" x14ac:dyDescent="0.25">
      <c r="A1260" t="str">
        <f>"20190312172352039"</f>
        <v>20190312172352039</v>
      </c>
      <c r="B1260" t="str">
        <f>"1552382632030675"</f>
        <v>1552382632030675</v>
      </c>
      <c r="C1260" t="s">
        <v>40</v>
      </c>
      <c r="D1260">
        <v>4.0301049999999998</v>
      </c>
      <c r="E1260">
        <v>0.55222590000000005</v>
      </c>
      <c r="F1260" t="s">
        <v>43</v>
      </c>
      <c r="G1260">
        <v>-191.072</v>
      </c>
      <c r="H1260" s="1">
        <v>-1.3482669999999901E-6</v>
      </c>
      <c r="I1260">
        <v>332.06709999999998</v>
      </c>
      <c r="J1260">
        <v>-189.81880000000001</v>
      </c>
      <c r="K1260">
        <v>1.0996410000000001</v>
      </c>
      <c r="L1260">
        <v>352.80970000000002</v>
      </c>
      <c r="M1260">
        <v>0.3716371</v>
      </c>
      <c r="N1260">
        <v>0</v>
      </c>
      <c r="O1260">
        <v>-0.92824039999999997</v>
      </c>
      <c r="P1260">
        <v>9.2771019999999996E-2</v>
      </c>
      <c r="Q1260">
        <v>0.19286349999999999</v>
      </c>
      <c r="R1260">
        <v>-0.97683019999999998</v>
      </c>
      <c r="S1260">
        <v>-0.17224120000000001</v>
      </c>
      <c r="T1260">
        <v>-0.16338459999999999</v>
      </c>
      <c r="U1260">
        <v>-3.121429</v>
      </c>
      <c r="V1260">
        <v>0.28243479999999999</v>
      </c>
      <c r="W1260">
        <v>0.20036599999999999</v>
      </c>
      <c r="X1260">
        <v>0.93812790000000001</v>
      </c>
      <c r="Y1260">
        <v>0.42218709999999998</v>
      </c>
      <c r="Z1260">
        <v>4.4159370000000003E-2</v>
      </c>
      <c r="AA1260">
        <v>0.90543249999999997</v>
      </c>
      <c r="AB1260">
        <v>28</v>
      </c>
      <c r="AC1260">
        <v>-1.2531999999999901</v>
      </c>
      <c r="AD1260">
        <v>-1.0996423482669999</v>
      </c>
      <c r="AE1260">
        <v>-20.742599999999999</v>
      </c>
      <c r="AF1260">
        <v>8.84834731796232</v>
      </c>
      <c r="AG1260">
        <v>-1.0996423482669999</v>
      </c>
      <c r="AH1260">
        <v>18.7383139207959</v>
      </c>
      <c r="AI1260">
        <v>93.037574840035106</v>
      </c>
      <c r="AJ1260">
        <v>64.723030123387801</v>
      </c>
      <c r="AK1260">
        <v>20.751551078116702</v>
      </c>
      <c r="AL1260">
        <v>78.441636928375701</v>
      </c>
      <c r="AM1260">
        <v>73.244940397164001</v>
      </c>
      <c r="AN1260">
        <v>0.99999995348272297</v>
      </c>
    </row>
    <row r="1261" spans="1:40" x14ac:dyDescent="0.25">
      <c r="A1261" t="str">
        <f>"20190312172352062"</f>
        <v>20190312172352062</v>
      </c>
      <c r="B1261" t="str">
        <f>"1552382632050701"</f>
        <v>1552382632050701</v>
      </c>
      <c r="C1261" t="s">
        <v>40</v>
      </c>
      <c r="D1261">
        <v>4.0595699999999999</v>
      </c>
      <c r="E1261">
        <v>0.54308829999999997</v>
      </c>
      <c r="F1261" t="s">
        <v>43</v>
      </c>
      <c r="G1261">
        <v>-191.0274</v>
      </c>
      <c r="H1261" s="1">
        <v>-1.07663E-6</v>
      </c>
      <c r="I1261">
        <v>331.4615</v>
      </c>
      <c r="J1261">
        <v>-189.72620000000001</v>
      </c>
      <c r="K1261">
        <v>1.099737</v>
      </c>
      <c r="L1261">
        <v>352.53719999999998</v>
      </c>
      <c r="M1261">
        <v>0.3578499</v>
      </c>
      <c r="N1261">
        <v>0</v>
      </c>
      <c r="O1261">
        <v>-0.93364259999999999</v>
      </c>
      <c r="P1261">
        <v>8.6065589999999997E-2</v>
      </c>
      <c r="Q1261">
        <v>0.19507640000000001</v>
      </c>
      <c r="R1261">
        <v>-0.97700480000000001</v>
      </c>
      <c r="S1261">
        <v>-0.17662050000000001</v>
      </c>
      <c r="T1261">
        <v>-0.16069169999999999</v>
      </c>
      <c r="U1261">
        <v>-3.1196290000000002</v>
      </c>
      <c r="V1261">
        <v>0.2748158</v>
      </c>
      <c r="W1261">
        <v>0.2028451</v>
      </c>
      <c r="X1261">
        <v>0.93985649999999998</v>
      </c>
      <c r="Y1261">
        <v>0.41002460000000002</v>
      </c>
      <c r="Z1261">
        <v>4.4017859999999999E-2</v>
      </c>
      <c r="AA1261">
        <v>0.91101160000000003</v>
      </c>
      <c r="AB1261">
        <v>28</v>
      </c>
      <c r="AC1261">
        <v>-1.3011999999999899</v>
      </c>
      <c r="AD1261">
        <v>-1.09973807663</v>
      </c>
      <c r="AE1261">
        <v>-21.075699999999902</v>
      </c>
      <c r="AF1261">
        <v>8.7342181932492693</v>
      </c>
      <c r="AG1261">
        <v>-1.09973807663</v>
      </c>
      <c r="AH1261">
        <v>19.1620104073655</v>
      </c>
      <c r="AI1261">
        <v>92.989412341412603</v>
      </c>
      <c r="AJ1261">
        <v>65.496071065295396</v>
      </c>
      <c r="AK1261">
        <v>21.087404632539801</v>
      </c>
      <c r="AL1261">
        <v>78.296618332068505</v>
      </c>
      <c r="AM1261">
        <v>73.700981340480396</v>
      </c>
      <c r="AN1261">
        <v>1.00000004955794</v>
      </c>
    </row>
    <row r="1262" spans="1:40" x14ac:dyDescent="0.25">
      <c r="A1262" t="str">
        <f>"20190312172352083"</f>
        <v>20190312172352083</v>
      </c>
      <c r="B1262" t="str">
        <f>"1552382632080958"</f>
        <v>1552382632080958</v>
      </c>
      <c r="C1262" t="s">
        <v>40</v>
      </c>
      <c r="D1262">
        <v>4.0783709999999997</v>
      </c>
      <c r="E1262">
        <v>0.54196809999999995</v>
      </c>
      <c r="F1262" t="s">
        <v>43</v>
      </c>
      <c r="G1262">
        <v>-190.6516</v>
      </c>
      <c r="H1262" s="1">
        <v>-4.3459920000000002E-6</v>
      </c>
      <c r="I1262">
        <v>329.41800000000001</v>
      </c>
      <c r="J1262">
        <v>-189.64089999999999</v>
      </c>
      <c r="K1262">
        <v>1.099839</v>
      </c>
      <c r="L1262">
        <v>352.27260000000001</v>
      </c>
      <c r="M1262">
        <v>0.34453509999999998</v>
      </c>
      <c r="N1262">
        <v>0</v>
      </c>
      <c r="O1262">
        <v>-0.93863790000000003</v>
      </c>
      <c r="P1262">
        <v>7.9607899999999995E-2</v>
      </c>
      <c r="Q1262">
        <v>0.19660269999999999</v>
      </c>
      <c r="R1262">
        <v>-0.9772459</v>
      </c>
      <c r="S1262">
        <v>-0.124527</v>
      </c>
      <c r="T1262">
        <v>-0.1479905</v>
      </c>
      <c r="U1262">
        <v>-3.1111149999999999</v>
      </c>
      <c r="V1262">
        <v>0.26752150000000002</v>
      </c>
      <c r="W1262">
        <v>0.20463219999999999</v>
      </c>
      <c r="X1262">
        <v>0.94157210000000002</v>
      </c>
      <c r="Y1262">
        <v>0.38179689999999999</v>
      </c>
      <c r="Z1262">
        <v>4.1324550000000002E-2</v>
      </c>
      <c r="AA1262">
        <v>0.92332199999999998</v>
      </c>
      <c r="AB1262">
        <v>28</v>
      </c>
      <c r="AC1262">
        <v>-1.0107000000000099</v>
      </c>
      <c r="AD1262">
        <v>-1.0998433459919901</v>
      </c>
      <c r="AE1262">
        <v>-22.854600000000001</v>
      </c>
      <c r="AF1262">
        <v>8.8036675962031605</v>
      </c>
      <c r="AG1262">
        <v>-1.0998433459919901</v>
      </c>
      <c r="AH1262">
        <v>21.057985273372999</v>
      </c>
      <c r="AI1262">
        <v>92.7588139902861</v>
      </c>
      <c r="AJ1262">
        <v>67.311760983795693</v>
      </c>
      <c r="AK1262">
        <v>22.850666561476</v>
      </c>
      <c r="AL1262">
        <v>78.192031418174196</v>
      </c>
      <c r="AM1262">
        <v>74.138976855503799</v>
      </c>
      <c r="AN1262">
        <v>1.00000005486874</v>
      </c>
    </row>
    <row r="1263" spans="1:40" x14ac:dyDescent="0.25">
      <c r="A1263" t="str">
        <f>"20190312172352105"</f>
        <v>20190312172352105</v>
      </c>
      <c r="B1263" t="str">
        <f>"1552382632101453"</f>
        <v>1552382632101453</v>
      </c>
      <c r="C1263" t="s">
        <v>40</v>
      </c>
      <c r="D1263">
        <v>4.033309</v>
      </c>
      <c r="E1263">
        <v>0.54205909999999902</v>
      </c>
      <c r="F1263" t="s">
        <v>43</v>
      </c>
      <c r="G1263">
        <v>-190.6525</v>
      </c>
      <c r="H1263" s="1">
        <v>-4.2577699999999997E-6</v>
      </c>
      <c r="I1263">
        <v>329.1583</v>
      </c>
      <c r="J1263">
        <v>-189.56190000000001</v>
      </c>
      <c r="K1263">
        <v>1.099936</v>
      </c>
      <c r="L1263">
        <v>352.01549999999997</v>
      </c>
      <c r="M1263">
        <v>0.33165260000000002</v>
      </c>
      <c r="N1263">
        <v>0</v>
      </c>
      <c r="O1263">
        <v>-0.94326699999999997</v>
      </c>
      <c r="P1263">
        <v>7.3864609999999997E-2</v>
      </c>
      <c r="Q1263">
        <v>0.1962583</v>
      </c>
      <c r="R1263">
        <v>-0.97776609999999997</v>
      </c>
      <c r="S1263">
        <v>-0.13613889999999901</v>
      </c>
      <c r="T1263">
        <v>-0.14801500000000001</v>
      </c>
      <c r="U1263">
        <v>-3.110687</v>
      </c>
      <c r="V1263">
        <v>0.26010070000000002</v>
      </c>
      <c r="W1263">
        <v>0.20455470000000001</v>
      </c>
      <c r="X1263">
        <v>0.94366570000000005</v>
      </c>
      <c r="Y1263">
        <v>0.37257109999999999</v>
      </c>
      <c r="Z1263">
        <v>4.1753150000000003E-2</v>
      </c>
      <c r="AA1263">
        <v>0.92706390000000005</v>
      </c>
      <c r="AB1263">
        <v>28</v>
      </c>
      <c r="AC1263">
        <v>-1.09059999999999</v>
      </c>
      <c r="AD1263">
        <v>-1.0999402577699999</v>
      </c>
      <c r="AE1263">
        <v>-22.857199999999899</v>
      </c>
      <c r="AF1263">
        <v>8.5906214860115302</v>
      </c>
      <c r="AG1263">
        <v>-1.0999402577699999</v>
      </c>
      <c r="AH1263">
        <v>21.152561215105202</v>
      </c>
      <c r="AI1263">
        <v>92.758299983300802</v>
      </c>
      <c r="AJ1263">
        <v>67.896611994216698</v>
      </c>
      <c r="AK1263">
        <v>22.856935316121401</v>
      </c>
      <c r="AL1263">
        <v>78.196566859132403</v>
      </c>
      <c r="AM1263">
        <v>74.590301589828897</v>
      </c>
      <c r="AN1263">
        <v>0.99999997639453397</v>
      </c>
    </row>
    <row r="1264" spans="1:40" x14ac:dyDescent="0.25">
      <c r="A1264" t="str">
        <f>"20190312172352128"</f>
        <v>20190312172352128</v>
      </c>
      <c r="B1264" t="str">
        <f>"1552382632120973"</f>
        <v>1552382632120973</v>
      </c>
      <c r="C1264" t="s">
        <v>40</v>
      </c>
      <c r="D1264">
        <v>4.0290189999999999</v>
      </c>
      <c r="E1264">
        <v>0.54127250000000005</v>
      </c>
      <c r="F1264" t="s">
        <v>43</v>
      </c>
      <c r="G1264">
        <v>-190.71289999999999</v>
      </c>
      <c r="H1264" s="1">
        <v>-4.187241E-6</v>
      </c>
      <c r="I1264">
        <v>328.9196</v>
      </c>
      <c r="J1264">
        <v>-189.48009999999999</v>
      </c>
      <c r="K1264">
        <v>1.100052</v>
      </c>
      <c r="L1264">
        <v>351.7355</v>
      </c>
      <c r="M1264">
        <v>0.31772030000000001</v>
      </c>
      <c r="N1264">
        <v>0</v>
      </c>
      <c r="O1264">
        <v>-0.94805099999999998</v>
      </c>
      <c r="P1264">
        <v>6.7844520000000005E-2</v>
      </c>
      <c r="Q1264">
        <v>0.19423370000000001</v>
      </c>
      <c r="R1264">
        <v>-0.97860630000000004</v>
      </c>
      <c r="S1264">
        <v>-0.1549683</v>
      </c>
      <c r="T1264">
        <v>-0.1480969</v>
      </c>
      <c r="U1264">
        <v>-3.1096499999999998</v>
      </c>
      <c r="V1264">
        <v>0.25199260000000001</v>
      </c>
      <c r="W1264">
        <v>0.20282729999999999</v>
      </c>
      <c r="X1264">
        <v>0.9462351</v>
      </c>
      <c r="Y1264">
        <v>0.36450050000000001</v>
      </c>
      <c r="Z1264">
        <v>4.220132E-2</v>
      </c>
      <c r="AA1264">
        <v>0.93024640000000003</v>
      </c>
      <c r="AB1264">
        <v>28</v>
      </c>
      <c r="AC1264">
        <v>-1.2327999999999899</v>
      </c>
      <c r="AD1264">
        <v>-1.100056187241</v>
      </c>
      <c r="AE1264">
        <v>-22.815899999999999</v>
      </c>
      <c r="AF1264">
        <v>8.3994286410021406</v>
      </c>
      <c r="AG1264">
        <v>-1.100056187241</v>
      </c>
      <c r="AH1264">
        <v>21.192518224826301</v>
      </c>
      <c r="AI1264">
        <v>92.762711684130494</v>
      </c>
      <c r="AJ1264">
        <v>68.379629204097796</v>
      </c>
      <c r="AK1264">
        <v>22.822869097025698</v>
      </c>
      <c r="AL1264">
        <v>78.2976595471563</v>
      </c>
      <c r="AM1264">
        <v>75.087621992273299</v>
      </c>
      <c r="AN1264">
        <v>1.0000000242760201</v>
      </c>
    </row>
    <row r="1265" spans="1:40" x14ac:dyDescent="0.25">
      <c r="A1265" t="str">
        <f>"20190312172352152"</f>
        <v>20190312172352152</v>
      </c>
      <c r="B1265" t="str">
        <f>"1552382632141469"</f>
        <v>1552382632141469</v>
      </c>
      <c r="C1265" t="s">
        <v>40</v>
      </c>
      <c r="D1265">
        <v>4.0998140000000003</v>
      </c>
      <c r="E1265">
        <v>0.54055439999999999</v>
      </c>
      <c r="F1265" t="s">
        <v>43</v>
      </c>
      <c r="G1265">
        <v>-190.68289999999999</v>
      </c>
      <c r="H1265" s="1">
        <v>-4.3635510000000002E-6</v>
      </c>
      <c r="I1265">
        <v>329.45330000000001</v>
      </c>
      <c r="J1265">
        <v>-189.40180000000001</v>
      </c>
      <c r="K1265">
        <v>1.1001890000000001</v>
      </c>
      <c r="L1265">
        <v>351.45260000000002</v>
      </c>
      <c r="M1265">
        <v>0.30377389999999999</v>
      </c>
      <c r="N1265">
        <v>0</v>
      </c>
      <c r="O1265">
        <v>-0.95261180000000001</v>
      </c>
      <c r="P1265">
        <v>6.2555349999999996E-2</v>
      </c>
      <c r="Q1265">
        <v>0.1935759</v>
      </c>
      <c r="R1265">
        <v>-0.97908910000000005</v>
      </c>
      <c r="S1265">
        <v>-0.16775509999999999</v>
      </c>
      <c r="T1265">
        <v>-0.15342059999999999</v>
      </c>
      <c r="U1265">
        <v>-3.107605</v>
      </c>
      <c r="V1265">
        <v>0.24314040000000001</v>
      </c>
      <c r="W1265">
        <v>0.202486</v>
      </c>
      <c r="X1265">
        <v>0.94862120000000005</v>
      </c>
      <c r="Y1265">
        <v>0.3546589</v>
      </c>
      <c r="Z1265">
        <v>4.4169809999999997E-2</v>
      </c>
      <c r="AA1265">
        <v>0.93395189999999995</v>
      </c>
      <c r="AB1265">
        <v>27</v>
      </c>
      <c r="AC1265">
        <v>-1.2810999999999799</v>
      </c>
      <c r="AD1265">
        <v>-1.1001933635509999</v>
      </c>
      <c r="AE1265">
        <v>-21.999300000000002</v>
      </c>
      <c r="AF1265">
        <v>7.8845479146553297</v>
      </c>
      <c r="AG1265">
        <v>-1.1001933635509999</v>
      </c>
      <c r="AH1265">
        <v>20.519076301955099</v>
      </c>
      <c r="AI1265">
        <v>92.865276766711702</v>
      </c>
      <c r="AJ1265">
        <v>68.980502494082302</v>
      </c>
      <c r="AK1265">
        <v>22.009293799237501</v>
      </c>
      <c r="AL1265">
        <v>78.317628768199896</v>
      </c>
      <c r="AM1265">
        <v>75.624035102390494</v>
      </c>
      <c r="AN1265">
        <v>1.0000000076988</v>
      </c>
    </row>
    <row r="1266" spans="1:40" x14ac:dyDescent="0.25">
      <c r="A1266" t="str">
        <f>"20190312172352174"</f>
        <v>20190312172352174</v>
      </c>
      <c r="B1266" t="str">
        <f>"1552382632170750"</f>
        <v>1552382632170750</v>
      </c>
      <c r="C1266" t="s">
        <v>40</v>
      </c>
      <c r="D1266">
        <v>4.1106910000000001</v>
      </c>
      <c r="E1266">
        <v>0.53921409999999903</v>
      </c>
      <c r="F1266" t="s">
        <v>43</v>
      </c>
      <c r="G1266">
        <v>-190.6284</v>
      </c>
      <c r="H1266" s="1">
        <v>-4.2080790000000003E-7</v>
      </c>
      <c r="I1266">
        <v>330.18029999999999</v>
      </c>
      <c r="J1266">
        <v>-189.33</v>
      </c>
      <c r="K1266">
        <v>1.1003480000000001</v>
      </c>
      <c r="L1266">
        <v>351.17869999999999</v>
      </c>
      <c r="M1266">
        <v>0.290429299999999</v>
      </c>
      <c r="N1266">
        <v>0</v>
      </c>
      <c r="O1266">
        <v>-0.95676530000000004</v>
      </c>
      <c r="P1266">
        <v>5.7822169999999999E-2</v>
      </c>
      <c r="Q1266">
        <v>0.19457869999999999</v>
      </c>
      <c r="R1266">
        <v>-0.97918130000000003</v>
      </c>
      <c r="S1266">
        <v>-0.17918399999999901</v>
      </c>
      <c r="T1266">
        <v>-0.1607085</v>
      </c>
      <c r="U1266">
        <v>-3.1073300000000001</v>
      </c>
      <c r="V1266">
        <v>0.23432320000000001</v>
      </c>
      <c r="W1266">
        <v>0.20379890000000001</v>
      </c>
      <c r="X1266">
        <v>0.95055699999999999</v>
      </c>
      <c r="Y1266">
        <v>0.34499370000000001</v>
      </c>
      <c r="Z1266">
        <v>4.667727E-2</v>
      </c>
      <c r="AA1266">
        <v>0.93744369999999999</v>
      </c>
      <c r="AB1266">
        <v>27</v>
      </c>
      <c r="AC1266">
        <v>-1.29839999999998</v>
      </c>
      <c r="AD1266">
        <v>-1.10034842080789</v>
      </c>
      <c r="AE1266">
        <v>-20.9984</v>
      </c>
      <c r="AF1266">
        <v>7.3217078036208898</v>
      </c>
      <c r="AG1266">
        <v>-1.10034842080789</v>
      </c>
      <c r="AH1266">
        <v>19.662136368357299</v>
      </c>
      <c r="AI1266">
        <v>93.002110576791296</v>
      </c>
      <c r="AJ1266">
        <v>69.5758766181753</v>
      </c>
      <c r="AK1266">
        <v>21.009944749490799</v>
      </c>
      <c r="AL1266">
        <v>78.240802952961204</v>
      </c>
      <c r="AM1266">
        <v>76.152031102508104</v>
      </c>
      <c r="AN1266">
        <v>0.99999998197422402</v>
      </c>
    </row>
    <row r="1267" spans="1:40" x14ac:dyDescent="0.25">
      <c r="A1267" t="str">
        <f>"20190312172352197"</f>
        <v>20190312172352197</v>
      </c>
      <c r="B1267" t="str">
        <f>"1552382632191244"</f>
        <v>1552382632191244</v>
      </c>
      <c r="C1267" t="s">
        <v>40</v>
      </c>
      <c r="D1267">
        <v>4.1119479999999999</v>
      </c>
      <c r="E1267">
        <v>0.53835929999999999</v>
      </c>
      <c r="F1267" t="s">
        <v>43</v>
      </c>
      <c r="G1267">
        <v>-190.62639999999999</v>
      </c>
      <c r="H1267" s="1">
        <v>-4.2292600000000001E-6</v>
      </c>
      <c r="I1267">
        <v>329.08819999999997</v>
      </c>
      <c r="J1267">
        <v>-189.26159999999999</v>
      </c>
      <c r="K1267">
        <v>1.10053</v>
      </c>
      <c r="L1267">
        <v>350.90309999999999</v>
      </c>
      <c r="M1267">
        <v>0.27719139999999998</v>
      </c>
      <c r="N1267">
        <v>0</v>
      </c>
      <c r="O1267">
        <v>-0.96068480000000001</v>
      </c>
      <c r="P1267">
        <v>5.3612670000000001E-2</v>
      </c>
      <c r="Q1267">
        <v>0.19528400000000001</v>
      </c>
      <c r="R1267">
        <v>-0.9792805</v>
      </c>
      <c r="S1267">
        <v>-0.1822357</v>
      </c>
      <c r="T1267">
        <v>-0.15467739999999999</v>
      </c>
      <c r="U1267">
        <v>-3.105286</v>
      </c>
      <c r="V1267">
        <v>0.22513659999999999</v>
      </c>
      <c r="W1267">
        <v>0.20482539999999999</v>
      </c>
      <c r="X1267">
        <v>0.95255449999999997</v>
      </c>
      <c r="Y1267">
        <v>0.33296579999999998</v>
      </c>
      <c r="Z1267">
        <v>4.5358969999999998E-2</v>
      </c>
      <c r="AA1267">
        <v>0.94184730000000005</v>
      </c>
      <c r="AB1267">
        <v>27</v>
      </c>
      <c r="AC1267">
        <v>-1.3648</v>
      </c>
      <c r="AD1267">
        <v>-1.10053422926</v>
      </c>
      <c r="AE1267">
        <v>-21.814900000000002</v>
      </c>
      <c r="AF1267">
        <v>7.3403549805577004</v>
      </c>
      <c r="AG1267">
        <v>-1.10053422926</v>
      </c>
      <c r="AH1267">
        <v>20.529455889918701</v>
      </c>
      <c r="AI1267">
        <v>92.889720483246805</v>
      </c>
      <c r="AJ1267">
        <v>70.3253710626105</v>
      </c>
      <c r="AK1267">
        <v>21.830037699612099</v>
      </c>
      <c r="AL1267">
        <v>78.180721727259296</v>
      </c>
      <c r="AM1267">
        <v>76.702150045118401</v>
      </c>
      <c r="AN1267">
        <v>1.0000000043074799</v>
      </c>
    </row>
    <row r="1268" spans="1:40" x14ac:dyDescent="0.25">
      <c r="A1268" t="str">
        <f>"20190312172352217"</f>
        <v>20190312172352217</v>
      </c>
      <c r="B1268" t="str">
        <f>"1552382632210765"</f>
        <v>1552382632210765</v>
      </c>
      <c r="C1268" t="s">
        <v>40</v>
      </c>
      <c r="D1268">
        <v>3.9875530000000001</v>
      </c>
      <c r="E1268">
        <v>0.53743790000000002</v>
      </c>
      <c r="F1268" t="s">
        <v>43</v>
      </c>
      <c r="G1268">
        <v>-190.62889999999999</v>
      </c>
      <c r="H1268" s="1">
        <v>-3.9080620000000001E-6</v>
      </c>
      <c r="I1268">
        <v>328.30889999999999</v>
      </c>
      <c r="J1268">
        <v>-189.203</v>
      </c>
      <c r="K1268">
        <v>1.1007129999999901</v>
      </c>
      <c r="L1268">
        <v>350.65370000000001</v>
      </c>
      <c r="M1268">
        <v>0.26541530000000002</v>
      </c>
      <c r="N1268">
        <v>0</v>
      </c>
      <c r="O1268">
        <v>-0.96400549999999996</v>
      </c>
      <c r="P1268">
        <v>5.1317920000000003E-2</v>
      </c>
      <c r="Q1268">
        <v>0.19525509999999999</v>
      </c>
      <c r="R1268">
        <v>-0.97940899999999997</v>
      </c>
      <c r="S1268">
        <v>-0.18783569999999999</v>
      </c>
      <c r="T1268">
        <v>-0.1511874</v>
      </c>
      <c r="U1268">
        <v>-3.1039119999999998</v>
      </c>
      <c r="V1268">
        <v>0.21558169999999999</v>
      </c>
      <c r="W1268">
        <v>0.20512320000000001</v>
      </c>
      <c r="X1268">
        <v>0.95469839999999995</v>
      </c>
      <c r="Y1268">
        <v>0.3231308</v>
      </c>
      <c r="Z1268">
        <v>4.4680879999999999E-2</v>
      </c>
      <c r="AA1268">
        <v>0.945299</v>
      </c>
      <c r="AB1268">
        <v>27</v>
      </c>
      <c r="AC1268">
        <v>-1.42589999999998</v>
      </c>
      <c r="AD1268">
        <v>-1.1007169080619901</v>
      </c>
      <c r="AE1268">
        <v>-22.344799999999999</v>
      </c>
      <c r="AF1268">
        <v>7.2885190764364296</v>
      </c>
      <c r="AG1268">
        <v>-1.1007169080619901</v>
      </c>
      <c r="AH1268">
        <v>21.113653595566099</v>
      </c>
      <c r="AI1268">
        <v>92.821216845462502</v>
      </c>
      <c r="AJ1268">
        <v>70.955117796183401</v>
      </c>
      <c r="AK1268">
        <v>22.363373095149001</v>
      </c>
      <c r="AL1268">
        <v>78.1632890365767</v>
      </c>
      <c r="AM1268">
        <v>77.275379246701604</v>
      </c>
      <c r="AN1268">
        <v>1.0000000157578399</v>
      </c>
    </row>
    <row r="1269" spans="1:40" x14ac:dyDescent="0.25">
      <c r="A1269" t="str">
        <f>"20190312172352241"</f>
        <v>20190312172352241</v>
      </c>
      <c r="B1269" t="str">
        <f>"1552382632231261"</f>
        <v>1552382632231261</v>
      </c>
      <c r="C1269" t="s">
        <v>40</v>
      </c>
      <c r="D1269">
        <v>3.9905759999999999</v>
      </c>
      <c r="E1269">
        <v>0.4988879</v>
      </c>
      <c r="F1269" t="s">
        <v>43</v>
      </c>
      <c r="G1269">
        <v>-190.55340000000001</v>
      </c>
      <c r="H1269" s="1">
        <v>-3.8644739999999997E-6</v>
      </c>
      <c r="I1269">
        <v>328.25409999999999</v>
      </c>
      <c r="J1269">
        <v>-189.1403</v>
      </c>
      <c r="K1269">
        <v>1.1009450000000001</v>
      </c>
      <c r="L1269">
        <v>350.37180000000001</v>
      </c>
      <c r="M1269">
        <v>0.25235000000000002</v>
      </c>
      <c r="N1269">
        <v>0</v>
      </c>
      <c r="O1269">
        <v>-0.96750849999999999</v>
      </c>
      <c r="P1269">
        <v>4.8110920000000001E-2</v>
      </c>
      <c r="Q1269">
        <v>0.19472529999999999</v>
      </c>
      <c r="R1269">
        <v>-0.97967729999999997</v>
      </c>
      <c r="S1269">
        <v>-0.187088</v>
      </c>
      <c r="T1269">
        <v>-0.1524962</v>
      </c>
      <c r="U1269">
        <v>-3.1033019999999998</v>
      </c>
      <c r="V1269">
        <v>0.20564869999999999</v>
      </c>
      <c r="W1269">
        <v>0.20493500000000001</v>
      </c>
      <c r="X1269">
        <v>0.95692750000000004</v>
      </c>
      <c r="Y1269">
        <v>0.31008140000000001</v>
      </c>
      <c r="Z1269">
        <v>4.544132E-2</v>
      </c>
      <c r="AA1269">
        <v>0.94962340000000001</v>
      </c>
      <c r="AB1269">
        <v>27</v>
      </c>
      <c r="AC1269">
        <v>-1.41310000000001</v>
      </c>
      <c r="AD1269">
        <v>-1.100948864474</v>
      </c>
      <c r="AE1269">
        <v>-22.117699999999999</v>
      </c>
      <c r="AF1269">
        <v>6.9323387501499703</v>
      </c>
      <c r="AG1269">
        <v>-1.100948864474</v>
      </c>
      <c r="AH1269">
        <v>20.993259660670802</v>
      </c>
      <c r="AI1269">
        <v>92.850867291718203</v>
      </c>
      <c r="AJ1269">
        <v>71.725880086236202</v>
      </c>
      <c r="AK1269">
        <v>22.1356355257617</v>
      </c>
      <c r="AL1269">
        <v>78.174305855798593</v>
      </c>
      <c r="AM1269">
        <v>77.871311344194694</v>
      </c>
      <c r="AN1269">
        <v>0.99999999114646898</v>
      </c>
    </row>
    <row r="1270" spans="1:40" x14ac:dyDescent="0.25">
      <c r="A1270" t="str">
        <f>"20190312172352263"</f>
        <v>20190312172352263</v>
      </c>
      <c r="B1270" t="str">
        <f>"1552382632250784"</f>
        <v>1552382632250784</v>
      </c>
      <c r="C1270" t="s">
        <v>40</v>
      </c>
      <c r="D1270">
        <v>4.121308</v>
      </c>
      <c r="E1270">
        <v>0.4965425</v>
      </c>
      <c r="F1270" t="s">
        <v>43</v>
      </c>
      <c r="G1270">
        <v>-188.25489999999999</v>
      </c>
      <c r="H1270" s="1">
        <v>-3.0193710000000001E-6</v>
      </c>
      <c r="I1270">
        <v>325.94940000000003</v>
      </c>
      <c r="J1270">
        <v>-189.0847</v>
      </c>
      <c r="K1270">
        <v>1.1011820000000001</v>
      </c>
      <c r="L1270">
        <v>350.1062</v>
      </c>
      <c r="M1270">
        <v>0.24032390000000001</v>
      </c>
      <c r="N1270">
        <v>0</v>
      </c>
      <c r="O1270">
        <v>-0.9705665</v>
      </c>
      <c r="P1270">
        <v>4.0780009999999998E-2</v>
      </c>
      <c r="Q1270">
        <v>0.19468730000000001</v>
      </c>
      <c r="R1270">
        <v>-0.98001740000000004</v>
      </c>
      <c r="S1270">
        <v>0.1118164</v>
      </c>
      <c r="T1270">
        <v>-0.13904229999999901</v>
      </c>
      <c r="U1270">
        <v>-3.084381</v>
      </c>
      <c r="V1270">
        <v>0.20079720000000001</v>
      </c>
      <c r="W1270">
        <v>0.20508999999999999</v>
      </c>
      <c r="X1270">
        <v>0.95792409999999995</v>
      </c>
      <c r="Y1270">
        <v>0.2050601</v>
      </c>
      <c r="Z1270">
        <v>4.2564730000000002E-2</v>
      </c>
      <c r="AA1270">
        <v>0.97782340000000001</v>
      </c>
      <c r="AB1270">
        <v>27</v>
      </c>
      <c r="AC1270">
        <v>0.82980000000000498</v>
      </c>
      <c r="AD1270">
        <v>-1.10118501937099</v>
      </c>
      <c r="AE1270">
        <v>-24.156799999999901</v>
      </c>
      <c r="AF1270">
        <v>4.9903355528514002</v>
      </c>
      <c r="AG1270">
        <v>-1.10118501937099</v>
      </c>
      <c r="AH1270">
        <v>23.5991190098642</v>
      </c>
      <c r="AI1270">
        <v>92.613884940425905</v>
      </c>
      <c r="AJ1270">
        <v>78.059972817805999</v>
      </c>
      <c r="AK1270">
        <v>24.146106837721799</v>
      </c>
      <c r="AL1270">
        <v>78.165232417548395</v>
      </c>
      <c r="AM1270">
        <v>78.161238541708798</v>
      </c>
      <c r="AN1270">
        <v>1.0000000024943201</v>
      </c>
    </row>
    <row r="1271" spans="1:40" x14ac:dyDescent="0.25">
      <c r="A1271" t="str">
        <f>"20190312172352284"</f>
        <v>20190312172352284</v>
      </c>
      <c r="B1271" t="str">
        <f>"1552382632281037"</f>
        <v>1552382632281037</v>
      </c>
      <c r="C1271" t="s">
        <v>40</v>
      </c>
      <c r="D1271">
        <v>4.0092970000000001</v>
      </c>
      <c r="E1271">
        <v>0.49538080000000001</v>
      </c>
      <c r="F1271" t="s">
        <v>43</v>
      </c>
      <c r="G1271">
        <v>-188.29409999999999</v>
      </c>
      <c r="H1271" s="1">
        <v>-3.6946749999999999E-6</v>
      </c>
      <c r="I1271">
        <v>327.53980000000001</v>
      </c>
      <c r="J1271">
        <v>-189.03270000000001</v>
      </c>
      <c r="K1271">
        <v>1.101426</v>
      </c>
      <c r="L1271">
        <v>349.84210000000002</v>
      </c>
      <c r="M1271">
        <v>0.2286514</v>
      </c>
      <c r="N1271">
        <v>0</v>
      </c>
      <c r="O1271">
        <v>-0.97338340000000001</v>
      </c>
      <c r="P1271">
        <v>4.0851579999999998E-2</v>
      </c>
      <c r="Q1271">
        <v>0.1934292</v>
      </c>
      <c r="R1271">
        <v>-0.98026340000000001</v>
      </c>
      <c r="S1271">
        <v>0.108139</v>
      </c>
      <c r="T1271">
        <v>-0.150619</v>
      </c>
      <c r="U1271">
        <v>-3.0866090000000002</v>
      </c>
      <c r="V1271">
        <v>0.18907979999999999</v>
      </c>
      <c r="W1271">
        <v>0.2042013</v>
      </c>
      <c r="X1271">
        <v>0.96049499999999999</v>
      </c>
      <c r="Y1271">
        <v>0.19448940000000001</v>
      </c>
      <c r="Z1271">
        <v>4.6326270000000003E-2</v>
      </c>
      <c r="AA1271">
        <v>0.97981010000000002</v>
      </c>
      <c r="AB1271">
        <v>27</v>
      </c>
      <c r="AC1271">
        <v>0.73860000000001902</v>
      </c>
      <c r="AD1271">
        <v>-1.101429694675</v>
      </c>
      <c r="AE1271">
        <v>-22.302299999999999</v>
      </c>
      <c r="AF1271">
        <v>4.3703963333744902</v>
      </c>
      <c r="AG1271">
        <v>-1.101429694675</v>
      </c>
      <c r="AH1271">
        <v>21.827054189759298</v>
      </c>
      <c r="AI1271">
        <v>92.832660253971795</v>
      </c>
      <c r="AJ1271">
        <v>78.677484548902697</v>
      </c>
      <c r="AK1271">
        <v>22.287525795515599</v>
      </c>
      <c r="AL1271">
        <v>78.217252007908499</v>
      </c>
      <c r="AM1271">
        <v>78.863347092200698</v>
      </c>
      <c r="AN1271">
        <v>0.999999993357365</v>
      </c>
    </row>
    <row r="1272" spans="1:40" x14ac:dyDescent="0.25">
      <c r="A1272" t="str">
        <f>"20190312172352307"</f>
        <v>20190312172352307</v>
      </c>
      <c r="B1272" t="str">
        <f>"1552382632300557"</f>
        <v>1552382632300557</v>
      </c>
      <c r="C1272" t="s">
        <v>40</v>
      </c>
      <c r="D1272">
        <v>4.0321170000000004</v>
      </c>
      <c r="E1272">
        <v>0.49506319999999998</v>
      </c>
      <c r="F1272" t="s">
        <v>43</v>
      </c>
      <c r="G1272">
        <v>-188.27250000000001</v>
      </c>
      <c r="H1272" s="1">
        <v>-5.7626530000000001E-7</v>
      </c>
      <c r="I1272">
        <v>329.99079999999998</v>
      </c>
      <c r="J1272">
        <v>-188.98079999999999</v>
      </c>
      <c r="K1272">
        <v>1.1016709999999901</v>
      </c>
      <c r="L1272">
        <v>349.56229999999999</v>
      </c>
      <c r="M1272">
        <v>0.2165484</v>
      </c>
      <c r="N1272">
        <v>0</v>
      </c>
      <c r="O1272">
        <v>-0.97614820000000002</v>
      </c>
      <c r="P1272">
        <v>3.8447740000000001E-2</v>
      </c>
      <c r="Q1272">
        <v>0.19228780000000001</v>
      </c>
      <c r="R1272">
        <v>-0.98058540000000005</v>
      </c>
      <c r="S1272">
        <v>0.1183014</v>
      </c>
      <c r="T1272">
        <v>-0.171403799999999</v>
      </c>
      <c r="U1272">
        <v>-3.089264</v>
      </c>
      <c r="V1272">
        <v>0.17937339999999999</v>
      </c>
      <c r="W1272">
        <v>0.20335780000000001</v>
      </c>
      <c r="X1272">
        <v>0.96253350000000004</v>
      </c>
      <c r="Y1272">
        <v>0.17911009999999999</v>
      </c>
      <c r="Z1272">
        <v>5.29629E-2</v>
      </c>
      <c r="AA1272">
        <v>0.98240240000000001</v>
      </c>
      <c r="AB1272">
        <v>27</v>
      </c>
      <c r="AC1272">
        <v>0.70829999999997995</v>
      </c>
      <c r="AD1272">
        <v>-1.10167157626529</v>
      </c>
      <c r="AE1272">
        <v>-19.5715</v>
      </c>
      <c r="AF1272">
        <v>3.53601030468106</v>
      </c>
      <c r="AG1272">
        <v>-1.10167157626529</v>
      </c>
      <c r="AH1272">
        <v>19.1996365833099</v>
      </c>
      <c r="AI1272">
        <v>93.229818998409101</v>
      </c>
      <c r="AJ1272">
        <v>79.564732244027297</v>
      </c>
      <c r="AK1272">
        <v>19.553595425597202</v>
      </c>
      <c r="AL1272">
        <v>78.266616613882903</v>
      </c>
      <c r="AM1272">
        <v>79.443706447375106</v>
      </c>
      <c r="AN1272">
        <v>0.99999997503532401</v>
      </c>
    </row>
    <row r="1273" spans="1:40" x14ac:dyDescent="0.25">
      <c r="A1273" t="str">
        <f>"20190312172352329"</f>
        <v>20190312172352329</v>
      </c>
      <c r="B1273" t="str">
        <f>"1552382632321015"</f>
        <v>1552382632321015</v>
      </c>
      <c r="C1273" t="s">
        <v>40</v>
      </c>
      <c r="D1273">
        <v>4.0371589999999999</v>
      </c>
      <c r="E1273">
        <v>0.49488110000000002</v>
      </c>
      <c r="F1273" t="s">
        <v>43</v>
      </c>
      <c r="G1273">
        <v>-188.2604</v>
      </c>
      <c r="H1273" s="1">
        <v>-6.1001250000000001E-7</v>
      </c>
      <c r="I1273">
        <v>330.08049999999997</v>
      </c>
      <c r="J1273">
        <v>-188.93289999999999</v>
      </c>
      <c r="K1273">
        <v>1.1018889999999999</v>
      </c>
      <c r="L1273">
        <v>349.2867</v>
      </c>
      <c r="M1273">
        <v>0.2049019</v>
      </c>
      <c r="N1273">
        <v>0</v>
      </c>
      <c r="O1273">
        <v>-0.97865990000000003</v>
      </c>
      <c r="P1273">
        <v>3.5676380000000001E-2</v>
      </c>
      <c r="Q1273">
        <v>0.1908039</v>
      </c>
      <c r="R1273">
        <v>-0.98097970000000001</v>
      </c>
      <c r="S1273">
        <v>0.1142273</v>
      </c>
      <c r="T1273">
        <v>-0.1746905</v>
      </c>
      <c r="U1273">
        <v>-3.0892029999999999</v>
      </c>
      <c r="V1273">
        <v>0.17050499999999999</v>
      </c>
      <c r="W1273">
        <v>0.20213529999999999</v>
      </c>
      <c r="X1273">
        <v>0.96440099999999995</v>
      </c>
      <c r="Y1273">
        <v>0.16867289999999999</v>
      </c>
      <c r="Z1273">
        <v>5.424168E-2</v>
      </c>
      <c r="AA1273">
        <v>0.98417849999999996</v>
      </c>
      <c r="AB1273">
        <v>27</v>
      </c>
      <c r="AC1273">
        <v>0.672499999999985</v>
      </c>
      <c r="AD1273">
        <v>-1.1018896100125</v>
      </c>
      <c r="AE1273">
        <v>-19.206199999999999</v>
      </c>
      <c r="AF1273">
        <v>3.26689165500642</v>
      </c>
      <c r="AG1273">
        <v>-1.1018896100125</v>
      </c>
      <c r="AH1273">
        <v>18.874358119921101</v>
      </c>
      <c r="AI1273">
        <v>93.292306317785901</v>
      </c>
      <c r="AJ1273">
        <v>80.180181139386605</v>
      </c>
      <c r="AK1273">
        <v>19.186665584130001</v>
      </c>
      <c r="AL1273">
        <v>78.338146135393302</v>
      </c>
      <c r="AM1273">
        <v>79.973780531023294</v>
      </c>
      <c r="AN1273">
        <v>0.99999996166604399</v>
      </c>
    </row>
    <row r="1274" spans="1:40" x14ac:dyDescent="0.25">
      <c r="A1274" t="str">
        <f>"20190312172352352"</f>
        <v>20190312172352352</v>
      </c>
      <c r="B1274" t="str">
        <f>"1552382632340538"</f>
        <v>1552382632340538</v>
      </c>
      <c r="C1274" t="s">
        <v>40</v>
      </c>
      <c r="D1274">
        <v>4.1226229999999999</v>
      </c>
      <c r="E1274">
        <v>0.49460999999999999</v>
      </c>
      <c r="F1274" t="s">
        <v>43</v>
      </c>
      <c r="G1274">
        <v>-188.27029999999999</v>
      </c>
      <c r="H1274" s="1">
        <v>-6.8979310000000001E-7</v>
      </c>
      <c r="I1274">
        <v>330.3227</v>
      </c>
      <c r="J1274">
        <v>-188.8887</v>
      </c>
      <c r="K1274">
        <v>1.102112</v>
      </c>
      <c r="L1274">
        <v>349.01530000000002</v>
      </c>
      <c r="M1274">
        <v>0.193716</v>
      </c>
      <c r="N1274">
        <v>0</v>
      </c>
      <c r="O1274">
        <v>-0.98093640000000004</v>
      </c>
      <c r="P1274">
        <v>3.2845239999999998E-2</v>
      </c>
      <c r="Q1274">
        <v>0.18989839999999999</v>
      </c>
      <c r="R1274">
        <v>-0.98125439999999997</v>
      </c>
      <c r="S1274">
        <v>0.1079254</v>
      </c>
      <c r="T1274">
        <v>-0.17949000000000001</v>
      </c>
      <c r="U1274">
        <v>-3.0891109999999999</v>
      </c>
      <c r="V1274">
        <v>0.16215009999999999</v>
      </c>
      <c r="W1274">
        <v>0.2014666</v>
      </c>
      <c r="X1274">
        <v>0.96598059999999997</v>
      </c>
      <c r="Y1274">
        <v>0.15942010000000001</v>
      </c>
      <c r="Z1274">
        <v>5.59727E-2</v>
      </c>
      <c r="AA1274">
        <v>0.98562280000000002</v>
      </c>
      <c r="AB1274">
        <v>27</v>
      </c>
      <c r="AC1274">
        <v>0.61840000000000805</v>
      </c>
      <c r="AD1274">
        <v>-1.1021126897931</v>
      </c>
      <c r="AE1274">
        <v>-18.692599999999999</v>
      </c>
      <c r="AF1274">
        <v>3.0043706861479502</v>
      </c>
      <c r="AG1274">
        <v>-1.1021126897931</v>
      </c>
      <c r="AH1274">
        <v>18.394367630056902</v>
      </c>
      <c r="AI1274">
        <v>93.384086305117705</v>
      </c>
      <c r="AJ1274">
        <v>80.7237313173041</v>
      </c>
      <c r="AK1274">
        <v>18.670662979939198</v>
      </c>
      <c r="AL1274">
        <v>78.3772648756851</v>
      </c>
      <c r="AM1274">
        <v>80.471131237203096</v>
      </c>
      <c r="AN1274">
        <v>0.99999998271096402</v>
      </c>
    </row>
    <row r="1275" spans="1:40" x14ac:dyDescent="0.25">
      <c r="A1275" t="str">
        <f>"20190312172352375"</f>
        <v>20190312172352375</v>
      </c>
      <c r="B1275" t="str">
        <f>"1552382632370791"</f>
        <v>1552382632370791</v>
      </c>
      <c r="C1275" t="s">
        <v>40</v>
      </c>
      <c r="D1275">
        <v>4.0633650000000001</v>
      </c>
      <c r="E1275">
        <v>0.49438710000000002</v>
      </c>
      <c r="F1275" t="s">
        <v>43</v>
      </c>
      <c r="G1275">
        <v>-188.2749</v>
      </c>
      <c r="H1275" s="1">
        <v>-7.2804699999999998E-7</v>
      </c>
      <c r="I1275">
        <v>330.43869999999998</v>
      </c>
      <c r="J1275">
        <v>-188.8459</v>
      </c>
      <c r="K1275">
        <v>1.1023689999999999</v>
      </c>
      <c r="L1275">
        <v>348.73410000000001</v>
      </c>
      <c r="M1275">
        <v>0.18244779999999999</v>
      </c>
      <c r="N1275">
        <v>0</v>
      </c>
      <c r="O1275">
        <v>-0.98309550000000001</v>
      </c>
      <c r="P1275">
        <v>2.970035E-2</v>
      </c>
      <c r="Q1275">
        <v>0.18952260000000001</v>
      </c>
      <c r="R1275">
        <v>-0.98142720000000006</v>
      </c>
      <c r="S1275">
        <v>0.102066</v>
      </c>
      <c r="T1275">
        <v>-0.1832839</v>
      </c>
      <c r="U1275">
        <v>-3.0893250000000001</v>
      </c>
      <c r="V1275">
        <v>0.15401409999999999</v>
      </c>
      <c r="W1275">
        <v>0.20131479999999999</v>
      </c>
      <c r="X1275">
        <v>0.96734279999999995</v>
      </c>
      <c r="Y1275">
        <v>0.14995739999999999</v>
      </c>
      <c r="Z1275">
        <v>5.738468E-2</v>
      </c>
      <c r="AA1275">
        <v>0.98702570000000001</v>
      </c>
      <c r="AB1275">
        <v>27</v>
      </c>
      <c r="AC1275">
        <v>0.57099999999999795</v>
      </c>
      <c r="AD1275">
        <v>-1.102369728047</v>
      </c>
      <c r="AE1275">
        <v>-18.295400000000001</v>
      </c>
      <c r="AF1275">
        <v>2.76690014525296</v>
      </c>
      <c r="AG1275">
        <v>-1.102369728047</v>
      </c>
      <c r="AH1275">
        <v>18.0270543035654</v>
      </c>
      <c r="AI1275">
        <v>93.458922919529201</v>
      </c>
      <c r="AJ1275">
        <v>81.273997974002995</v>
      </c>
      <c r="AK1275">
        <v>18.2714433555428</v>
      </c>
      <c r="AL1275">
        <v>78.386145006461405</v>
      </c>
      <c r="AM1275">
        <v>80.953662895472604</v>
      </c>
      <c r="AN1275">
        <v>1.0000000422048401</v>
      </c>
    </row>
    <row r="1276" spans="1:40" x14ac:dyDescent="0.25">
      <c r="A1276" t="str">
        <f>"20190312172352401"</f>
        <v>20190312172352401</v>
      </c>
      <c r="B1276" t="str">
        <f>"1552382632391287"</f>
        <v>1552382632391287</v>
      </c>
      <c r="C1276" t="s">
        <v>40</v>
      </c>
      <c r="D1276">
        <v>4.0871930000000001</v>
      </c>
      <c r="E1276">
        <v>0.49436069999999999</v>
      </c>
      <c r="F1276" t="s">
        <v>43</v>
      </c>
      <c r="G1276">
        <v>-188.2861</v>
      </c>
      <c r="H1276" s="1">
        <v>-6.9936439999999996E-7</v>
      </c>
      <c r="I1276">
        <v>330.36309999999997</v>
      </c>
      <c r="J1276">
        <v>-188.8021</v>
      </c>
      <c r="K1276">
        <v>1.102676</v>
      </c>
      <c r="L1276">
        <v>348.42469999999997</v>
      </c>
      <c r="M1276">
        <v>0.17042579999999999</v>
      </c>
      <c r="N1276">
        <v>0</v>
      </c>
      <c r="O1276">
        <v>-0.98525189999999996</v>
      </c>
      <c r="P1276">
        <v>2.5503209999999998E-2</v>
      </c>
      <c r="Q1276">
        <v>0.1900955</v>
      </c>
      <c r="R1276">
        <v>-0.98143449999999999</v>
      </c>
      <c r="S1276">
        <v>9.4146729999999998E-2</v>
      </c>
      <c r="T1276">
        <v>-0.1853987</v>
      </c>
      <c r="U1276">
        <v>-3.089661</v>
      </c>
      <c r="V1276">
        <v>0.14615110000000001</v>
      </c>
      <c r="W1276">
        <v>0.20209940000000001</v>
      </c>
      <c r="X1276">
        <v>0.96839850000000005</v>
      </c>
      <c r="Y1276">
        <v>0.1404059</v>
      </c>
      <c r="Z1276">
        <v>5.8275599999999997E-2</v>
      </c>
      <c r="AA1276">
        <v>0.98837750000000002</v>
      </c>
      <c r="AB1276">
        <v>27</v>
      </c>
      <c r="AC1276">
        <v>0.51599999999999102</v>
      </c>
      <c r="AD1276">
        <v>-1.1026766993643999</v>
      </c>
      <c r="AE1276">
        <v>-18.061599999999999</v>
      </c>
      <c r="AF1276">
        <v>2.56053715247472</v>
      </c>
      <c r="AG1276">
        <v>-1.1026766993643999</v>
      </c>
      <c r="AH1276">
        <v>17.818895187834499</v>
      </c>
      <c r="AI1276">
        <v>93.505173844843</v>
      </c>
      <c r="AJ1276">
        <v>81.822696912644801</v>
      </c>
      <c r="AK1276">
        <v>18.035666667122602</v>
      </c>
      <c r="AL1276">
        <v>78.340246654778497</v>
      </c>
      <c r="AM1276">
        <v>81.417666122413394</v>
      </c>
      <c r="AN1276">
        <v>0.99999998315690997</v>
      </c>
    </row>
    <row r="1277" spans="1:40" x14ac:dyDescent="0.25">
      <c r="A1277" t="str">
        <f>"20190312172352419"</f>
        <v>20190312172352419</v>
      </c>
      <c r="B1277" t="str">
        <f>"1552382632410807"</f>
        <v>1552382632410807</v>
      </c>
      <c r="C1277" t="s">
        <v>40</v>
      </c>
      <c r="D1277">
        <v>4.0375040000000002</v>
      </c>
      <c r="E1277">
        <v>0.49435709999999999</v>
      </c>
      <c r="F1277" t="s">
        <v>43</v>
      </c>
      <c r="G1277">
        <v>-188.30889999999999</v>
      </c>
      <c r="H1277" s="1">
        <v>-4.7147480000000002E-7</v>
      </c>
      <c r="I1277">
        <v>329.71129999999999</v>
      </c>
      <c r="J1277">
        <v>-188.7724</v>
      </c>
      <c r="K1277">
        <v>1.10293</v>
      </c>
      <c r="L1277">
        <v>348.19839999999999</v>
      </c>
      <c r="M1277">
        <v>0.1619273</v>
      </c>
      <c r="N1277">
        <v>0</v>
      </c>
      <c r="O1277">
        <v>-0.98668500000000003</v>
      </c>
      <c r="P1277">
        <v>2.3031429999999999E-2</v>
      </c>
      <c r="Q1277">
        <v>0.19156309999999999</v>
      </c>
      <c r="R1277">
        <v>-0.98121040000000004</v>
      </c>
      <c r="S1277">
        <v>8.1436159999999994E-2</v>
      </c>
      <c r="T1277">
        <v>-0.18207290000000001</v>
      </c>
      <c r="U1277">
        <v>-3.0899350000000001</v>
      </c>
      <c r="V1277">
        <v>0.14008699999999999</v>
      </c>
      <c r="W1277">
        <v>0.2037214</v>
      </c>
      <c r="X1277">
        <v>0.96895469999999895</v>
      </c>
      <c r="Y1277">
        <v>0.13593420000000001</v>
      </c>
      <c r="Z1277">
        <v>5.7376419999999997E-2</v>
      </c>
      <c r="AA1277">
        <v>0.98905500000000002</v>
      </c>
      <c r="AB1277">
        <v>27</v>
      </c>
      <c r="AC1277">
        <v>0.46350000000001002</v>
      </c>
      <c r="AD1277">
        <v>-1.1029304714748001</v>
      </c>
      <c r="AE1277">
        <v>-18.487100000000002</v>
      </c>
      <c r="AF1277">
        <v>2.5275417694547899</v>
      </c>
      <c r="AG1277">
        <v>-1.1029304714748001</v>
      </c>
      <c r="AH1277">
        <v>18.253198064384801</v>
      </c>
      <c r="AI1277">
        <v>93.425230319553606</v>
      </c>
      <c r="AJ1277">
        <v>82.116318980354393</v>
      </c>
      <c r="AK1277">
        <v>18.460340262273299</v>
      </c>
      <c r="AL1277">
        <v>78.2453386661807</v>
      </c>
      <c r="AM1277">
        <v>81.7734418077887</v>
      </c>
      <c r="AN1277">
        <v>0.99999999351952396</v>
      </c>
    </row>
    <row r="1278" spans="1:40" x14ac:dyDescent="0.25">
      <c r="A1278" t="str">
        <f>"20190312172352442"</f>
        <v>20190312172352442</v>
      </c>
      <c r="B1278" t="str">
        <f>"1552382632431306"</f>
        <v>1552382632431306</v>
      </c>
      <c r="C1278" t="s">
        <v>40</v>
      </c>
      <c r="D1278">
        <v>4.178839</v>
      </c>
      <c r="E1278">
        <v>0.49426999999999999</v>
      </c>
      <c r="F1278" t="s">
        <v>43</v>
      </c>
      <c r="G1278">
        <v>-188.30520000000001</v>
      </c>
      <c r="H1278" s="1">
        <v>-4.266632E-6</v>
      </c>
      <c r="I1278">
        <v>328.87759999999997</v>
      </c>
      <c r="J1278">
        <v>-188.7389</v>
      </c>
      <c r="K1278">
        <v>1.103243</v>
      </c>
      <c r="L1278">
        <v>347.92619999999999</v>
      </c>
      <c r="M1278">
        <v>0.1520022</v>
      </c>
      <c r="N1278">
        <v>0</v>
      </c>
      <c r="O1278">
        <v>-0.98826369999999997</v>
      </c>
      <c r="P1278">
        <v>1.8144489999999999E-2</v>
      </c>
      <c r="Q1278">
        <v>0.19295780000000001</v>
      </c>
      <c r="R1278">
        <v>-0.98103929999999995</v>
      </c>
      <c r="S1278">
        <v>7.473755E-2</v>
      </c>
      <c r="T1278">
        <v>-0.17640220000000001</v>
      </c>
      <c r="U1278">
        <v>-3.0901489999999998</v>
      </c>
      <c r="V1278">
        <v>0.13499220000000001</v>
      </c>
      <c r="W1278">
        <v>0.2052533</v>
      </c>
      <c r="X1278">
        <v>0.96935450000000001</v>
      </c>
      <c r="Y1278">
        <v>0.1281146</v>
      </c>
      <c r="Z1278">
        <v>5.575724E-2</v>
      </c>
      <c r="AA1278">
        <v>0.99019080000000004</v>
      </c>
      <c r="AB1278">
        <v>27</v>
      </c>
      <c r="AC1278">
        <v>0.43369999999998698</v>
      </c>
      <c r="AD1278">
        <v>-1.1032472666319999</v>
      </c>
      <c r="AE1278">
        <v>-19.0486</v>
      </c>
      <c r="AF1278">
        <v>2.4588592940812002</v>
      </c>
      <c r="AG1278">
        <v>-1.1032472666319999</v>
      </c>
      <c r="AH1278">
        <v>18.830006567144</v>
      </c>
      <c r="AI1278">
        <v>93.324953814361805</v>
      </c>
      <c r="AJ1278">
        <v>82.560300220431401</v>
      </c>
      <c r="AK1278">
        <v>19.0218897819882</v>
      </c>
      <c r="AL1278">
        <v>78.155672359201503</v>
      </c>
      <c r="AM1278">
        <v>82.071983900767506</v>
      </c>
      <c r="AN1278">
        <v>0.99999997894598902</v>
      </c>
    </row>
    <row r="1279" spans="1:40" x14ac:dyDescent="0.25">
      <c r="A1279" t="str">
        <f>"20190312172352463"</f>
        <v>20190312172352463</v>
      </c>
      <c r="B1279" t="str">
        <f>"1552382632450826"</f>
        <v>1552382632450826</v>
      </c>
      <c r="C1279" t="s">
        <v>40</v>
      </c>
      <c r="D1279">
        <v>4.0198460000000003</v>
      </c>
      <c r="E1279">
        <v>0.49425570000000002</v>
      </c>
      <c r="F1279" t="s">
        <v>43</v>
      </c>
      <c r="G1279">
        <v>-188.34309999999999</v>
      </c>
      <c r="H1279" s="1">
        <v>-3.9362179999999998E-6</v>
      </c>
      <c r="I1279">
        <v>328.12310000000002</v>
      </c>
      <c r="J1279">
        <v>-188.7089</v>
      </c>
      <c r="K1279">
        <v>1.1035410000000001</v>
      </c>
      <c r="L1279">
        <v>347.66359999999997</v>
      </c>
      <c r="M1279">
        <v>0.14278669999999999</v>
      </c>
      <c r="N1279">
        <v>0</v>
      </c>
      <c r="O1279">
        <v>-0.98963809999999997</v>
      </c>
      <c r="P1279">
        <v>1.399186E-2</v>
      </c>
      <c r="Q1279">
        <v>0.1934044</v>
      </c>
      <c r="R1279">
        <v>-0.98101919999999998</v>
      </c>
      <c r="S1279">
        <v>6.1767580000000002E-2</v>
      </c>
      <c r="T1279">
        <v>-0.17218720000000001</v>
      </c>
      <c r="U1279">
        <v>-3.0907290000000001</v>
      </c>
      <c r="V1279">
        <v>0.1298948</v>
      </c>
      <c r="W1279">
        <v>0.20583109999999999</v>
      </c>
      <c r="X1279">
        <v>0.96992829999999997</v>
      </c>
      <c r="Y1279">
        <v>0.1230277</v>
      </c>
      <c r="Z1279">
        <v>5.455368E-2</v>
      </c>
      <c r="AA1279">
        <v>0.99090270000000003</v>
      </c>
      <c r="AB1279">
        <v>27</v>
      </c>
      <c r="AC1279">
        <v>0.36580000000000701</v>
      </c>
      <c r="AD1279">
        <v>-1.1035449362180001</v>
      </c>
      <c r="AE1279">
        <v>-19.540499999999899</v>
      </c>
      <c r="AF1279">
        <v>2.42067343346686</v>
      </c>
      <c r="AG1279">
        <v>-1.1035449362180001</v>
      </c>
      <c r="AH1279">
        <v>19.330837178436798</v>
      </c>
      <c r="AI1279">
        <v>93.242048401098799</v>
      </c>
      <c r="AJ1279">
        <v>82.862380233119296</v>
      </c>
      <c r="AK1279">
        <v>19.513040186423499</v>
      </c>
      <c r="AL1279">
        <v>78.121844875779004</v>
      </c>
      <c r="AM1279">
        <v>82.372216602382395</v>
      </c>
      <c r="AN1279">
        <v>1.0000000039675601</v>
      </c>
    </row>
    <row r="1280" spans="1:40" x14ac:dyDescent="0.25">
      <c r="A1280" t="str">
        <f>"20190312172352485"</f>
        <v>20190312172352485</v>
      </c>
      <c r="B1280" t="str">
        <f>"1552382632481078"</f>
        <v>1552382632481078</v>
      </c>
      <c r="C1280" t="s">
        <v>40</v>
      </c>
      <c r="D1280">
        <v>4.2488239999999999</v>
      </c>
      <c r="E1280">
        <v>0.49415029999999999</v>
      </c>
      <c r="F1280" t="s">
        <v>43</v>
      </c>
      <c r="G1280">
        <v>-188.38990000000001</v>
      </c>
      <c r="H1280" s="1">
        <v>-3.713643E-6</v>
      </c>
      <c r="I1280">
        <v>327.62360000000001</v>
      </c>
      <c r="J1280">
        <v>-188.68</v>
      </c>
      <c r="K1280">
        <v>1.103823</v>
      </c>
      <c r="L1280">
        <v>347.38929999999999</v>
      </c>
      <c r="M1280">
        <v>0.1334552</v>
      </c>
      <c r="N1280">
        <v>0</v>
      </c>
      <c r="O1280">
        <v>-0.9909405</v>
      </c>
      <c r="P1280">
        <v>8.8561209999999998E-3</v>
      </c>
      <c r="Q1280">
        <v>0.19318340000000001</v>
      </c>
      <c r="R1280">
        <v>-0.98112259999999996</v>
      </c>
      <c r="S1280">
        <v>4.9209589999999998E-2</v>
      </c>
      <c r="T1280">
        <v>-0.1702079</v>
      </c>
      <c r="U1280">
        <v>-3.0909119999999999</v>
      </c>
      <c r="V1280">
        <v>0.12568370000000001</v>
      </c>
      <c r="W1280">
        <v>0.20571300000000001</v>
      </c>
      <c r="X1280">
        <v>0.97050800000000004</v>
      </c>
      <c r="Y1280">
        <v>0.1176999</v>
      </c>
      <c r="Z1280">
        <v>5.4052139999999999E-2</v>
      </c>
      <c r="AA1280">
        <v>0.99157709999999999</v>
      </c>
      <c r="AB1280">
        <v>27</v>
      </c>
      <c r="AC1280">
        <v>0.29009999999999497</v>
      </c>
      <c r="AD1280">
        <v>-1.103826713643</v>
      </c>
      <c r="AE1280">
        <v>-19.765699999999899</v>
      </c>
      <c r="AF1280">
        <v>2.3433233776124598</v>
      </c>
      <c r="AG1280">
        <v>-1.103826713643</v>
      </c>
      <c r="AH1280">
        <v>19.566562637575199</v>
      </c>
      <c r="AI1280">
        <v>93.205996336933694</v>
      </c>
      <c r="AJ1280">
        <v>83.170690849809205</v>
      </c>
      <c r="AK1280">
        <v>19.7372736545849</v>
      </c>
      <c r="AL1280">
        <v>78.1287594858738</v>
      </c>
      <c r="AM1280">
        <v>82.621092260657406</v>
      </c>
      <c r="AN1280">
        <v>1.00000000443934</v>
      </c>
    </row>
    <row r="1281" spans="1:40" x14ac:dyDescent="0.25">
      <c r="A1281" t="str">
        <f>"20190312172352508"</f>
        <v>20190312172352508</v>
      </c>
      <c r="B1281" t="str">
        <f>"1552382632500599"</f>
        <v>1552382632500599</v>
      </c>
      <c r="C1281" t="s">
        <v>40</v>
      </c>
      <c r="D1281">
        <v>4.2050470000000004</v>
      </c>
      <c r="E1281">
        <v>0.52460769999999901</v>
      </c>
      <c r="F1281" t="s">
        <v>43</v>
      </c>
      <c r="G1281">
        <v>-188.46299999999999</v>
      </c>
      <c r="H1281" s="1">
        <v>-3.6380609999999999E-6</v>
      </c>
      <c r="I1281">
        <v>327.47770000000003</v>
      </c>
      <c r="J1281">
        <v>-188.65309999999999</v>
      </c>
      <c r="K1281">
        <v>1.1040859999999999</v>
      </c>
      <c r="L1281">
        <v>347.11290000000002</v>
      </c>
      <c r="M1281">
        <v>0.1243587</v>
      </c>
      <c r="N1281">
        <v>0</v>
      </c>
      <c r="O1281">
        <v>-0.99212400000000001</v>
      </c>
      <c r="P1281">
        <v>2.7769370000000002E-3</v>
      </c>
      <c r="Q1281">
        <v>0.19347549999999999</v>
      </c>
      <c r="R1281">
        <v>-0.98110120000000001</v>
      </c>
      <c r="S1281">
        <v>3.3691409999999998E-2</v>
      </c>
      <c r="T1281">
        <v>-0.17136219999999999</v>
      </c>
      <c r="U1281">
        <v>-3.0911559999999998</v>
      </c>
      <c r="V1281">
        <v>0.12265669999999999</v>
      </c>
      <c r="W1281">
        <v>0.20607610000000001</v>
      </c>
      <c r="X1281">
        <v>0.97081819999999996</v>
      </c>
      <c r="Y1281">
        <v>0.113567</v>
      </c>
      <c r="Z1281">
        <v>5.452647E-2</v>
      </c>
      <c r="AA1281">
        <v>0.9920329</v>
      </c>
      <c r="AB1281">
        <v>27</v>
      </c>
      <c r="AC1281">
        <v>0.19010000000000099</v>
      </c>
      <c r="AD1281">
        <v>-1.1040896380609999</v>
      </c>
      <c r="AE1281">
        <v>-19.635200000000001</v>
      </c>
      <c r="AF1281">
        <v>2.2463566457584498</v>
      </c>
      <c r="AG1281">
        <v>-1.1040896380609999</v>
      </c>
      <c r="AH1281">
        <v>19.444911527541301</v>
      </c>
      <c r="AI1281">
        <v>93.228361877580099</v>
      </c>
      <c r="AJ1281">
        <v>83.410166435725102</v>
      </c>
      <c r="AK1281">
        <v>19.605349178801301</v>
      </c>
      <c r="AL1281">
        <v>78.107499845483403</v>
      </c>
      <c r="AM1281">
        <v>82.7991960104615</v>
      </c>
      <c r="AN1281">
        <v>1.0000000012486601</v>
      </c>
    </row>
    <row r="1282" spans="1:40" x14ac:dyDescent="0.25">
      <c r="A1282" t="str">
        <f>"20190312172352530"</f>
        <v>20190312172352530</v>
      </c>
      <c r="B1282" t="str">
        <f>"1552382632521095"</f>
        <v>1552382632521095</v>
      </c>
      <c r="C1282" t="s">
        <v>40</v>
      </c>
      <c r="D1282">
        <v>4.2239890000000004</v>
      </c>
      <c r="E1282">
        <v>0.52975699999999903</v>
      </c>
      <c r="F1282" t="s">
        <v>43</v>
      </c>
      <c r="G1282">
        <v>-190.11709999999999</v>
      </c>
      <c r="H1282" s="1">
        <v>-3.346344E-6</v>
      </c>
      <c r="I1282">
        <v>327.31689999999998</v>
      </c>
      <c r="J1282">
        <v>-188.62909999999999</v>
      </c>
      <c r="K1282">
        <v>1.104336</v>
      </c>
      <c r="L1282">
        <v>346.84429999999998</v>
      </c>
      <c r="M1282">
        <v>0.11582389999999999</v>
      </c>
      <c r="N1282">
        <v>0</v>
      </c>
      <c r="O1282">
        <v>-0.99315750000000003</v>
      </c>
      <c r="P1282">
        <v>-3.8224700000000001E-3</v>
      </c>
      <c r="Q1282">
        <v>0.1946813</v>
      </c>
      <c r="R1282">
        <v>-0.98085919999999904</v>
      </c>
      <c r="S1282">
        <v>-0.2286987</v>
      </c>
      <c r="T1282">
        <v>-0.172477399999999</v>
      </c>
      <c r="U1282">
        <v>-3.0924680000000002</v>
      </c>
      <c r="V1282">
        <v>0.1207083</v>
      </c>
      <c r="W1282">
        <v>0.20732590000000001</v>
      </c>
      <c r="X1282">
        <v>0.97079629999999995</v>
      </c>
      <c r="Y1282">
        <v>0.18866469999999999</v>
      </c>
      <c r="Z1282">
        <v>5.4549550000000002E-2</v>
      </c>
      <c r="AA1282">
        <v>0.98052539999999999</v>
      </c>
      <c r="AB1282">
        <v>27</v>
      </c>
      <c r="AC1282">
        <v>-1.48799999999999</v>
      </c>
      <c r="AD1282">
        <v>-1.1043393463440001</v>
      </c>
      <c r="AE1282">
        <v>-19.5274</v>
      </c>
      <c r="AF1282">
        <v>3.7281202923254</v>
      </c>
      <c r="AG1282">
        <v>-1.1043393463440001</v>
      </c>
      <c r="AH1282">
        <v>19.162647726963399</v>
      </c>
      <c r="AI1282">
        <v>93.237723056709896</v>
      </c>
      <c r="AJ1282">
        <v>78.990553412522701</v>
      </c>
      <c r="AK1282">
        <v>19.5531458904603</v>
      </c>
      <c r="AL1282">
        <v>78.034310854957695</v>
      </c>
      <c r="AM1282">
        <v>82.912249867026304</v>
      </c>
      <c r="AN1282">
        <v>0.99999998929669398</v>
      </c>
    </row>
    <row r="1283" spans="1:40" x14ac:dyDescent="0.25">
      <c r="A1283" t="str">
        <f>"20190312172352553"</f>
        <v>20190312172352553</v>
      </c>
      <c r="B1283" t="str">
        <f>"1552382632540618"</f>
        <v>1552382632540618</v>
      </c>
      <c r="C1283" t="s">
        <v>40</v>
      </c>
      <c r="D1283">
        <v>4.2576919999999996</v>
      </c>
      <c r="E1283">
        <v>0.53153189999999995</v>
      </c>
      <c r="F1283" t="s">
        <v>43</v>
      </c>
      <c r="G1283">
        <v>-190.4144</v>
      </c>
      <c r="H1283" s="1">
        <v>-3.6522189999999998E-6</v>
      </c>
      <c r="I1283">
        <v>327.84550000000002</v>
      </c>
      <c r="J1283">
        <v>-188.607</v>
      </c>
      <c r="K1283">
        <v>1.1045879999999999</v>
      </c>
      <c r="L1283">
        <v>346.57470000000001</v>
      </c>
      <c r="M1283">
        <v>0.1075629</v>
      </c>
      <c r="N1283">
        <v>0</v>
      </c>
      <c r="O1283">
        <v>-0.99408700000000005</v>
      </c>
      <c r="P1283">
        <v>-9.8704469999999992E-3</v>
      </c>
      <c r="Q1283">
        <v>0.1952024</v>
      </c>
      <c r="R1283">
        <v>-0.98071359999999996</v>
      </c>
      <c r="S1283">
        <v>-0.2906647</v>
      </c>
      <c r="T1283">
        <v>-0.17979200000000001</v>
      </c>
      <c r="U1283">
        <v>-3.0931090000000001</v>
      </c>
      <c r="V1283">
        <v>0.11849179999999999</v>
      </c>
      <c r="W1283">
        <v>0.20789730000000001</v>
      </c>
      <c r="X1283">
        <v>0.97094709999999995</v>
      </c>
      <c r="Y1283">
        <v>0.1999658</v>
      </c>
      <c r="Z1283">
        <v>5.6812040000000001E-2</v>
      </c>
      <c r="AA1283">
        <v>0.97815439999999998</v>
      </c>
      <c r="AB1283">
        <v>27</v>
      </c>
      <c r="AC1283">
        <v>-1.8073999999999999</v>
      </c>
      <c r="AD1283">
        <v>-1.10459165221899</v>
      </c>
      <c r="AE1283">
        <v>-18.729199999999899</v>
      </c>
      <c r="AF1283">
        <v>3.7986108809298198</v>
      </c>
      <c r="AG1283">
        <v>-1.10459165221899</v>
      </c>
      <c r="AH1283">
        <v>18.362801909141901</v>
      </c>
      <c r="AI1283">
        <v>93.371202413773204</v>
      </c>
      <c r="AJ1283">
        <v>78.312394737000204</v>
      </c>
      <c r="AK1283">
        <v>18.784090643341099</v>
      </c>
      <c r="AL1283">
        <v>78.000842130446799</v>
      </c>
      <c r="AM1283">
        <v>83.0421806296455</v>
      </c>
      <c r="AN1283">
        <v>0.99999993250646702</v>
      </c>
    </row>
    <row r="1284" spans="1:40" x14ac:dyDescent="0.25">
      <c r="A1284" t="str">
        <f>"20190312172352575"</f>
        <v>20190312172352575</v>
      </c>
      <c r="B1284" t="str">
        <f>"1552382632570871"</f>
        <v>1552382632570871</v>
      </c>
      <c r="C1284" t="s">
        <v>40</v>
      </c>
      <c r="D1284">
        <v>4.2649800000000004</v>
      </c>
      <c r="E1284">
        <v>0.53277799999999997</v>
      </c>
      <c r="F1284" t="s">
        <v>43</v>
      </c>
      <c r="G1284">
        <v>-190.69720000000001</v>
      </c>
      <c r="H1284" s="1">
        <v>-3.196467E-6</v>
      </c>
      <c r="I1284">
        <v>326.60770000000002</v>
      </c>
      <c r="J1284">
        <v>-188.58690000000001</v>
      </c>
      <c r="K1284">
        <v>1.1048389999999999</v>
      </c>
      <c r="L1284">
        <v>346.30540000000002</v>
      </c>
      <c r="M1284">
        <v>9.9619899999999997E-2</v>
      </c>
      <c r="N1284">
        <v>0</v>
      </c>
      <c r="O1284">
        <v>-0.99491510000000005</v>
      </c>
      <c r="P1284">
        <v>-1.521322E-2</v>
      </c>
      <c r="Q1284">
        <v>0.19484280000000001</v>
      </c>
      <c r="R1284">
        <v>-0.98071660000000005</v>
      </c>
      <c r="S1284">
        <v>-0.32344060000000002</v>
      </c>
      <c r="T1284">
        <v>-0.17092650000000001</v>
      </c>
      <c r="U1284">
        <v>-3.0897220000000001</v>
      </c>
      <c r="V1284">
        <v>0.11589090000000001</v>
      </c>
      <c r="W1284">
        <v>0.20759830000000001</v>
      </c>
      <c r="X1284">
        <v>0.97132499999999999</v>
      </c>
      <c r="Y1284">
        <v>0.2025304</v>
      </c>
      <c r="Z1284">
        <v>5.4103829999999999E-2</v>
      </c>
      <c r="AA1284">
        <v>0.97778019999999999</v>
      </c>
      <c r="AB1284">
        <v>27</v>
      </c>
      <c r="AC1284">
        <v>-2.1102999999999899</v>
      </c>
      <c r="AD1284">
        <v>-1.1048421964670001</v>
      </c>
      <c r="AE1284">
        <v>-19.697700000000001</v>
      </c>
      <c r="AF1284">
        <v>4.0497026454388099</v>
      </c>
      <c r="AG1284">
        <v>-1.1048421964670001</v>
      </c>
      <c r="AH1284">
        <v>19.329321005756899</v>
      </c>
      <c r="AI1284">
        <v>93.202030423522402</v>
      </c>
      <c r="AJ1284">
        <v>78.167065508219807</v>
      </c>
      <c r="AK1284">
        <v>19.779874072884301</v>
      </c>
      <c r="AL1284">
        <v>78.018356557337299</v>
      </c>
      <c r="AM1284">
        <v>83.196079677808399</v>
      </c>
      <c r="AN1284">
        <v>1.0000000052453499</v>
      </c>
    </row>
    <row r="1285" spans="1:40" x14ac:dyDescent="0.25">
      <c r="A1285" t="str">
        <f>"20190312172352599"</f>
        <v>20190312172352599</v>
      </c>
      <c r="B1285" t="str">
        <f>"1552382632591367"</f>
        <v>1552382632591367</v>
      </c>
      <c r="C1285" t="s">
        <v>40</v>
      </c>
      <c r="D1285">
        <v>4.2348290000000004</v>
      </c>
      <c r="E1285">
        <v>0.53309019999999996</v>
      </c>
      <c r="F1285" t="s">
        <v>43</v>
      </c>
      <c r="G1285">
        <v>-190.86240000000001</v>
      </c>
      <c r="H1285" s="1">
        <v>-3.071554E-6</v>
      </c>
      <c r="I1285">
        <v>326.21409999999997</v>
      </c>
      <c r="J1285">
        <v>-188.56780000000001</v>
      </c>
      <c r="K1285">
        <v>1.1051120000000001</v>
      </c>
      <c r="L1285">
        <v>346.02420000000001</v>
      </c>
      <c r="M1285">
        <v>9.1661419999999993E-2</v>
      </c>
      <c r="N1285">
        <v>0</v>
      </c>
      <c r="O1285">
        <v>-0.99568080000000003</v>
      </c>
      <c r="P1285">
        <v>-2.1505320000000001E-2</v>
      </c>
      <c r="Q1285">
        <v>0.19452140000000001</v>
      </c>
      <c r="R1285">
        <v>-0.9806627</v>
      </c>
      <c r="S1285">
        <v>-0.3496552</v>
      </c>
      <c r="T1285">
        <v>-0.16977329999999999</v>
      </c>
      <c r="U1285">
        <v>-3.0872799999999998</v>
      </c>
      <c r="V1285">
        <v>0.1142087</v>
      </c>
      <c r="W1285">
        <v>0.20732500000000001</v>
      </c>
      <c r="X1285">
        <v>0.97158259999999996</v>
      </c>
      <c r="Y1285">
        <v>0.20298720000000001</v>
      </c>
      <c r="Z1285">
        <v>5.3817749999999998E-2</v>
      </c>
      <c r="AA1285">
        <v>0.9777013</v>
      </c>
      <c r="AB1285">
        <v>27</v>
      </c>
      <c r="AC1285">
        <v>-2.2946</v>
      </c>
      <c r="AD1285">
        <v>-1.1051150715539999</v>
      </c>
      <c r="AE1285">
        <v>-19.810099999999998</v>
      </c>
      <c r="AF1285">
        <v>4.0884032117381501</v>
      </c>
      <c r="AG1285">
        <v>-1.1051150715539999</v>
      </c>
      <c r="AH1285">
        <v>19.4565890326312</v>
      </c>
      <c r="AI1285">
        <v>93.181517991125602</v>
      </c>
      <c r="AJ1285">
        <v>78.133114973248595</v>
      </c>
      <c r="AK1285">
        <v>19.912186643556499</v>
      </c>
      <c r="AL1285">
        <v>78.034363887102202</v>
      </c>
      <c r="AM1285">
        <v>83.295696944662495</v>
      </c>
      <c r="AN1285">
        <v>1.0000000157017199</v>
      </c>
    </row>
    <row r="1286" spans="1:40" x14ac:dyDescent="0.25">
      <c r="A1286" t="str">
        <f>"20190312172352622"</f>
        <v>20190312172352622</v>
      </c>
      <c r="B1286" t="str">
        <f>"1552382632610896"</f>
        <v>1552382632610896</v>
      </c>
      <c r="C1286" t="s">
        <v>40</v>
      </c>
      <c r="D1286">
        <v>4.1244639999999997</v>
      </c>
      <c r="E1286">
        <v>0.53307869999999902</v>
      </c>
      <c r="F1286" t="s">
        <v>43</v>
      </c>
      <c r="G1286">
        <v>-190.87639999999999</v>
      </c>
      <c r="H1286" s="1">
        <v>-3.3047720000000002E-6</v>
      </c>
      <c r="I1286">
        <v>326.7491</v>
      </c>
      <c r="J1286">
        <v>-188.55099999999999</v>
      </c>
      <c r="K1286">
        <v>1.105389</v>
      </c>
      <c r="L1286">
        <v>345.75110000000001</v>
      </c>
      <c r="M1286">
        <v>8.4273410000000007E-2</v>
      </c>
      <c r="N1286">
        <v>0</v>
      </c>
      <c r="O1286">
        <v>-0.9963341</v>
      </c>
      <c r="P1286">
        <v>-2.6705380000000001E-2</v>
      </c>
      <c r="Q1286">
        <v>0.19335089999999999</v>
      </c>
      <c r="R1286">
        <v>-0.98076609999999997</v>
      </c>
      <c r="S1286">
        <v>-0.36962889999999998</v>
      </c>
      <c r="T1286">
        <v>-0.17693889999999901</v>
      </c>
      <c r="U1286">
        <v>-3.0861209999999999</v>
      </c>
      <c r="V1286">
        <v>0.1120063</v>
      </c>
      <c r="W1286">
        <v>0.20621510000000001</v>
      </c>
      <c r="X1286">
        <v>0.97207500000000002</v>
      </c>
      <c r="Y1286">
        <v>0.20199310000000001</v>
      </c>
      <c r="Z1286">
        <v>5.6143760000000001E-2</v>
      </c>
      <c r="AA1286">
        <v>0.97777639999999999</v>
      </c>
      <c r="AB1286">
        <v>27</v>
      </c>
      <c r="AC1286">
        <v>-2.3254000000000001</v>
      </c>
      <c r="AD1286">
        <v>-1.105392304772</v>
      </c>
      <c r="AE1286">
        <v>-19.001999999999999</v>
      </c>
      <c r="AF1286">
        <v>3.9056407920312499</v>
      </c>
      <c r="AG1286">
        <v>-1.105392304772</v>
      </c>
      <c r="AH1286">
        <v>18.676130286820101</v>
      </c>
      <c r="AI1286">
        <v>93.315677299117695</v>
      </c>
      <c r="AJ1286">
        <v>78.188260170324298</v>
      </c>
      <c r="AK1286">
        <v>19.1121365795168</v>
      </c>
      <c r="AL1286">
        <v>78.099360205400501</v>
      </c>
      <c r="AM1286">
        <v>83.427141244875799</v>
      </c>
      <c r="AN1286">
        <v>0.99999994216634802</v>
      </c>
    </row>
    <row r="1287" spans="1:40" x14ac:dyDescent="0.25">
      <c r="A1287" t="str">
        <f>"20190312172352643"</f>
        <v>20190312172352643</v>
      </c>
      <c r="B1287" t="str">
        <f>"1552382632631383"</f>
        <v>1552382632631383</v>
      </c>
      <c r="C1287" t="s">
        <v>40</v>
      </c>
      <c r="D1287">
        <v>4.2075529999999999</v>
      </c>
      <c r="E1287">
        <v>0.53291390000000005</v>
      </c>
      <c r="F1287" t="s">
        <v>43</v>
      </c>
      <c r="G1287">
        <v>-190.81950000000001</v>
      </c>
      <c r="H1287" s="1">
        <v>-3.6328519999999999E-6</v>
      </c>
      <c r="I1287">
        <v>327.54910000000001</v>
      </c>
      <c r="J1287">
        <v>-188.53659999999999</v>
      </c>
      <c r="K1287">
        <v>1.1056629999999901</v>
      </c>
      <c r="L1287">
        <v>345.49079999999998</v>
      </c>
      <c r="M1287">
        <v>7.7591469999999996E-2</v>
      </c>
      <c r="N1287">
        <v>0</v>
      </c>
      <c r="O1287">
        <v>-0.99687729999999997</v>
      </c>
      <c r="P1287">
        <v>-2.9774780000000001E-2</v>
      </c>
      <c r="Q1287">
        <v>0.19175590000000001</v>
      </c>
      <c r="R1287">
        <v>-0.98099080000000005</v>
      </c>
      <c r="S1287">
        <v>-0.38452150000000002</v>
      </c>
      <c r="T1287">
        <v>-0.18736820000000001</v>
      </c>
      <c r="U1287">
        <v>-3.0852970000000002</v>
      </c>
      <c r="V1287">
        <v>0.108386</v>
      </c>
      <c r="W1287">
        <v>0.2046994</v>
      </c>
      <c r="X1287">
        <v>0.97280560000000005</v>
      </c>
      <c r="Y1287">
        <v>0.2000835</v>
      </c>
      <c r="Z1287">
        <v>5.9500789999999998E-2</v>
      </c>
      <c r="AA1287">
        <v>0.97797049999999996</v>
      </c>
      <c r="AB1287">
        <v>27</v>
      </c>
      <c r="AC1287">
        <v>-2.2829000000000099</v>
      </c>
      <c r="AD1287">
        <v>-1.10566663285199</v>
      </c>
      <c r="AE1287">
        <v>-17.941699999999901</v>
      </c>
      <c r="AF1287">
        <v>3.6546307324465199</v>
      </c>
      <c r="AG1287">
        <v>-1.10566663285199</v>
      </c>
      <c r="AH1287">
        <v>17.644504705141699</v>
      </c>
      <c r="AI1287">
        <v>93.511329860044597</v>
      </c>
      <c r="AJ1287">
        <v>78.298040038333994</v>
      </c>
      <c r="AK1287">
        <v>18.052904774116399</v>
      </c>
      <c r="AL1287">
        <v>78.188097846555806</v>
      </c>
      <c r="AM1287">
        <v>83.642559345568301</v>
      </c>
      <c r="AN1287">
        <v>1.0000000523738499</v>
      </c>
    </row>
    <row r="1288" spans="1:40" x14ac:dyDescent="0.25">
      <c r="A1288" t="str">
        <f>"20190312172352664"</f>
        <v>20190312172352664</v>
      </c>
      <c r="B1288" t="str">
        <f>"1552382632660664"</f>
        <v>1552382632660664</v>
      </c>
      <c r="C1288" t="s">
        <v>40</v>
      </c>
      <c r="D1288">
        <v>4.2137739999999999</v>
      </c>
      <c r="E1288">
        <v>0.53263050000000001</v>
      </c>
      <c r="F1288" t="s">
        <v>43</v>
      </c>
      <c r="G1288">
        <v>-190.80779999999999</v>
      </c>
      <c r="H1288" s="1">
        <v>-3.6857900000000001E-6</v>
      </c>
      <c r="I1288">
        <v>327.67970000000003</v>
      </c>
      <c r="J1288">
        <v>-188.52369999999999</v>
      </c>
      <c r="K1288">
        <v>1.1059139999999901</v>
      </c>
      <c r="L1288">
        <v>345.23129999999998</v>
      </c>
      <c r="M1288">
        <v>7.1200589999999994E-2</v>
      </c>
      <c r="N1288">
        <v>0</v>
      </c>
      <c r="O1288">
        <v>-0.99735510000000005</v>
      </c>
      <c r="P1288">
        <v>-3.3331159999999999E-2</v>
      </c>
      <c r="Q1288">
        <v>0.19189800000000001</v>
      </c>
      <c r="R1288">
        <v>-0.98084890000000002</v>
      </c>
      <c r="S1288">
        <v>-0.39321899999999999</v>
      </c>
      <c r="T1288">
        <v>-0.19142339999999999</v>
      </c>
      <c r="U1288">
        <v>-3.083618</v>
      </c>
      <c r="V1288">
        <v>0.1055465</v>
      </c>
      <c r="W1288">
        <v>0.20489540000000001</v>
      </c>
      <c r="X1288">
        <v>0.97307650000000001</v>
      </c>
      <c r="Y1288">
        <v>0.196573</v>
      </c>
      <c r="Z1288">
        <v>6.0871920000000003E-2</v>
      </c>
      <c r="AA1288">
        <v>0.97859779999999996</v>
      </c>
      <c r="AB1288">
        <v>27</v>
      </c>
      <c r="AC1288">
        <v>-2.2840999999999898</v>
      </c>
      <c r="AD1288">
        <v>-1.1059176857899999</v>
      </c>
      <c r="AE1288">
        <v>-17.551599999999901</v>
      </c>
      <c r="AF1288">
        <v>3.5143988220912301</v>
      </c>
      <c r="AG1288">
        <v>-1.1059176857899999</v>
      </c>
      <c r="AH1288">
        <v>17.276947616217299</v>
      </c>
      <c r="AI1288">
        <v>93.589265811593407</v>
      </c>
      <c r="AJ1288">
        <v>78.502025028949006</v>
      </c>
      <c r="AK1288">
        <v>17.665417400728899</v>
      </c>
      <c r="AL1288">
        <v>78.176624446210496</v>
      </c>
      <c r="AM1288">
        <v>83.809511228521004</v>
      </c>
      <c r="AN1288">
        <v>1.0000000317278199</v>
      </c>
    </row>
    <row r="1289" spans="1:40" x14ac:dyDescent="0.25">
      <c r="A1289" t="str">
        <f>"20190312172352687"</f>
        <v>20190312172352687</v>
      </c>
      <c r="B1289" t="str">
        <f>"1552382632681159"</f>
        <v>1552382632681159</v>
      </c>
      <c r="C1289" t="s">
        <v>40</v>
      </c>
      <c r="D1289">
        <v>4.2132250000000004</v>
      </c>
      <c r="E1289">
        <v>0.53233189999999997</v>
      </c>
      <c r="F1289" t="s">
        <v>43</v>
      </c>
      <c r="G1289">
        <v>-190.83670000000001</v>
      </c>
      <c r="H1289" s="1">
        <v>-3.624602E-6</v>
      </c>
      <c r="I1289">
        <v>327.51920000000001</v>
      </c>
      <c r="J1289">
        <v>-188.51159999999999</v>
      </c>
      <c r="K1289">
        <v>1.106163</v>
      </c>
      <c r="L1289">
        <v>344.9599</v>
      </c>
      <c r="M1289">
        <v>6.4819950000000001E-2</v>
      </c>
      <c r="N1289">
        <v>0</v>
      </c>
      <c r="O1289">
        <v>-0.99779070000000003</v>
      </c>
      <c r="P1289">
        <v>-3.7746330000000002E-2</v>
      </c>
      <c r="Q1289">
        <v>0.19417490000000001</v>
      </c>
      <c r="R1289">
        <v>-0.98024049999999996</v>
      </c>
      <c r="S1289">
        <v>-0.40255740000000001</v>
      </c>
      <c r="T1289">
        <v>-0.19246769999999999</v>
      </c>
      <c r="U1289">
        <v>-3.0825200000000001</v>
      </c>
      <c r="V1289">
        <v>0.1035766</v>
      </c>
      <c r="W1289">
        <v>0.20720369999999999</v>
      </c>
      <c r="X1289">
        <v>0.97279930000000003</v>
      </c>
      <c r="Y1289">
        <v>0.1932577</v>
      </c>
      <c r="Z1289">
        <v>6.1273510000000003E-2</v>
      </c>
      <c r="AA1289">
        <v>0.97923289999999996</v>
      </c>
      <c r="AB1289">
        <v>27</v>
      </c>
      <c r="AC1289">
        <v>-2.3251000000000199</v>
      </c>
      <c r="AD1289">
        <v>-1.1061666246019899</v>
      </c>
      <c r="AE1289">
        <v>-17.4406999999999</v>
      </c>
      <c r="AF1289">
        <v>3.4372489954371601</v>
      </c>
      <c r="AG1289">
        <v>-1.1061666246019899</v>
      </c>
      <c r="AH1289">
        <v>17.1853614781425</v>
      </c>
      <c r="AI1289">
        <v>93.611530392059507</v>
      </c>
      <c r="AJ1289">
        <v>78.689501070422196</v>
      </c>
      <c r="AK1289">
        <v>17.560607460803901</v>
      </c>
      <c r="AL1289">
        <v>78.041467721590905</v>
      </c>
      <c r="AM1289">
        <v>83.922458655811795</v>
      </c>
      <c r="AN1289">
        <v>0.99999998172086901</v>
      </c>
    </row>
    <row r="1290" spans="1:40" x14ac:dyDescent="0.25">
      <c r="A1290" t="str">
        <f>"20190312172352710"</f>
        <v>20190312172352710</v>
      </c>
      <c r="B1290" t="str">
        <f>"1552382632700679"</f>
        <v>1552382632700679</v>
      </c>
      <c r="C1290" t="s">
        <v>40</v>
      </c>
      <c r="D1290">
        <v>4.1272989999999998</v>
      </c>
      <c r="E1290">
        <v>0.53200539999999996</v>
      </c>
      <c r="F1290" t="s">
        <v>43</v>
      </c>
      <c r="G1290">
        <v>-190.96549999999999</v>
      </c>
      <c r="H1290" s="1">
        <v>-3.2558600000000002E-6</v>
      </c>
      <c r="I1290">
        <v>326.57979999999998</v>
      </c>
      <c r="J1290">
        <v>-188.5008</v>
      </c>
      <c r="K1290">
        <v>1.1064149999999999</v>
      </c>
      <c r="L1290">
        <v>344.68360000000001</v>
      </c>
      <c r="M1290">
        <v>5.8664670000000002E-2</v>
      </c>
      <c r="N1290">
        <v>0</v>
      </c>
      <c r="O1290">
        <v>-0.99817199999999995</v>
      </c>
      <c r="P1290">
        <v>-4.12772E-2</v>
      </c>
      <c r="Q1290">
        <v>0.19573760000000001</v>
      </c>
      <c r="R1290">
        <v>-0.97978730000000003</v>
      </c>
      <c r="S1290">
        <v>-0.41137699999999999</v>
      </c>
      <c r="T1290">
        <v>-0.18544340000000001</v>
      </c>
      <c r="U1290">
        <v>-3.0813290000000002</v>
      </c>
      <c r="V1290">
        <v>0.100952</v>
      </c>
      <c r="W1290">
        <v>0.2088072</v>
      </c>
      <c r="X1290">
        <v>0.97273240000000005</v>
      </c>
      <c r="Y1290">
        <v>0.19002640000000001</v>
      </c>
      <c r="Z1290">
        <v>5.9110089999999997E-2</v>
      </c>
      <c r="AA1290">
        <v>0.97999789999999998</v>
      </c>
      <c r="AB1290">
        <v>27</v>
      </c>
      <c r="AC1290">
        <v>-2.4646999999999899</v>
      </c>
      <c r="AD1290">
        <v>-1.10641825586</v>
      </c>
      <c r="AE1290">
        <v>-18.1038</v>
      </c>
      <c r="AF1290">
        <v>3.5097492221489501</v>
      </c>
      <c r="AG1290">
        <v>-1.10641825586</v>
      </c>
      <c r="AH1290">
        <v>17.862504305081501</v>
      </c>
      <c r="AI1290">
        <v>93.478083911700594</v>
      </c>
      <c r="AJ1290">
        <v>78.883738201257202</v>
      </c>
      <c r="AK1290">
        <v>18.2376413225047</v>
      </c>
      <c r="AL1290">
        <v>77.947540179165699</v>
      </c>
      <c r="AM1290">
        <v>84.0749476455467</v>
      </c>
      <c r="AN1290">
        <v>1.00000003754279</v>
      </c>
    </row>
    <row r="1291" spans="1:40" x14ac:dyDescent="0.25">
      <c r="A1291" t="str">
        <f>"20190312172352731"</f>
        <v>20190312172352731</v>
      </c>
      <c r="B1291" t="str">
        <f>"1552382632721178"</f>
        <v>1552382632721178</v>
      </c>
      <c r="C1291" t="s">
        <v>40</v>
      </c>
      <c r="D1291">
        <v>4.1649520000000004</v>
      </c>
      <c r="E1291">
        <v>0.53163119999999997</v>
      </c>
      <c r="F1291" t="s">
        <v>43</v>
      </c>
      <c r="G1291">
        <v>-191.03559999999999</v>
      </c>
      <c r="H1291" s="1">
        <v>-3.0285549999999999E-6</v>
      </c>
      <c r="I1291">
        <v>326.00639999999999</v>
      </c>
      <c r="J1291">
        <v>-188.49180000000001</v>
      </c>
      <c r="K1291">
        <v>1.1066579999999999</v>
      </c>
      <c r="L1291">
        <v>344.42410000000001</v>
      </c>
      <c r="M1291">
        <v>5.3201980000000003E-2</v>
      </c>
      <c r="N1291">
        <v>0</v>
      </c>
      <c r="O1291">
        <v>-0.9984788</v>
      </c>
      <c r="P1291">
        <v>-4.209276E-2</v>
      </c>
      <c r="Q1291">
        <v>0.1949563</v>
      </c>
      <c r="R1291">
        <v>-0.97990840000000001</v>
      </c>
      <c r="S1291">
        <v>-0.41812129999999997</v>
      </c>
      <c r="T1291">
        <v>-0.182503</v>
      </c>
      <c r="U1291">
        <v>-3.0807799999999999</v>
      </c>
      <c r="V1291">
        <v>9.630445E-2</v>
      </c>
      <c r="W1291">
        <v>0.20809649999999999</v>
      </c>
      <c r="X1291">
        <v>0.97335570000000005</v>
      </c>
      <c r="Y1291">
        <v>0.18679080000000001</v>
      </c>
      <c r="Z1291">
        <v>5.8223259999999999E-2</v>
      </c>
      <c r="AA1291">
        <v>0.98067280000000001</v>
      </c>
      <c r="AB1291">
        <v>27</v>
      </c>
      <c r="AC1291">
        <v>-2.5437999999999699</v>
      </c>
      <c r="AD1291">
        <v>-1.10666102855499</v>
      </c>
      <c r="AE1291">
        <v>-18.4177</v>
      </c>
      <c r="AF1291">
        <v>3.5077301404990302</v>
      </c>
      <c r="AG1291">
        <v>-1.10666102855499</v>
      </c>
      <c r="AH1291">
        <v>18.1918107743411</v>
      </c>
      <c r="AI1291">
        <v>93.418367013220802</v>
      </c>
      <c r="AJ1291">
        <v>79.086214378236704</v>
      </c>
      <c r="AK1291">
        <v>18.5599258786268</v>
      </c>
      <c r="AL1291">
        <v>77.989174553177804</v>
      </c>
      <c r="AM1291">
        <v>84.349508220798498</v>
      </c>
      <c r="AN1291">
        <v>1.0000000095622701</v>
      </c>
    </row>
    <row r="1292" spans="1:40" x14ac:dyDescent="0.25">
      <c r="A1292" t="str">
        <f>"20190312172352754"</f>
        <v>20190312172352754</v>
      </c>
      <c r="B1292" t="str">
        <f>"1552382632751431"</f>
        <v>1552382632751431</v>
      </c>
      <c r="C1292" t="s">
        <v>40</v>
      </c>
      <c r="D1292">
        <v>4.1401199999999996</v>
      </c>
      <c r="E1292">
        <v>0.53101449999999994</v>
      </c>
      <c r="F1292" t="s">
        <v>43</v>
      </c>
      <c r="G1292">
        <v>-191.00479999999999</v>
      </c>
      <c r="H1292" s="1">
        <v>-2.9936250000000001E-6</v>
      </c>
      <c r="I1292">
        <v>325.94409999999999</v>
      </c>
      <c r="J1292">
        <v>-188.4838</v>
      </c>
      <c r="K1292">
        <v>1.1069329999999999</v>
      </c>
      <c r="L1292">
        <v>344.15960000000001</v>
      </c>
      <c r="M1292">
        <v>4.7965630000000002E-2</v>
      </c>
      <c r="N1292">
        <v>0</v>
      </c>
      <c r="O1292">
        <v>-0.99874459999999998</v>
      </c>
      <c r="P1292">
        <v>-4.2578820000000003E-2</v>
      </c>
      <c r="Q1292">
        <v>0.19484090000000001</v>
      </c>
      <c r="R1292">
        <v>-0.97991030000000001</v>
      </c>
      <c r="S1292">
        <v>-0.41886899999999999</v>
      </c>
      <c r="T1292">
        <v>-0.1844615</v>
      </c>
      <c r="U1292">
        <v>-3.080292</v>
      </c>
      <c r="V1292">
        <v>9.1534599999999994E-2</v>
      </c>
      <c r="W1292">
        <v>0.20805170000000001</v>
      </c>
      <c r="X1292">
        <v>0.97382539999999995</v>
      </c>
      <c r="Y1292">
        <v>0.18188650000000001</v>
      </c>
      <c r="Z1292">
        <v>5.8905220000000001E-2</v>
      </c>
      <c r="AA1292">
        <v>0.98155360000000003</v>
      </c>
      <c r="AB1292">
        <v>27</v>
      </c>
      <c r="AC1292">
        <v>-2.5209999999999799</v>
      </c>
      <c r="AD1292">
        <v>-1.1069359936249901</v>
      </c>
      <c r="AE1292">
        <v>-18.215499999999999</v>
      </c>
      <c r="AF1292">
        <v>3.3796606822044999</v>
      </c>
      <c r="AG1292">
        <v>-1.1069359936249901</v>
      </c>
      <c r="AH1292">
        <v>18.008342950270201</v>
      </c>
      <c r="AI1292">
        <v>93.457222890585101</v>
      </c>
      <c r="AJ1292">
        <v>79.370828085641406</v>
      </c>
      <c r="AK1292">
        <v>18.356138739815801</v>
      </c>
      <c r="AL1292">
        <v>77.9917987407391</v>
      </c>
      <c r="AM1292">
        <v>84.630267018919</v>
      </c>
      <c r="AN1292">
        <v>1.0000000012776</v>
      </c>
    </row>
    <row r="1293" spans="1:40" x14ac:dyDescent="0.25">
      <c r="A1293" t="str">
        <f>"20190312172352776"</f>
        <v>20190312172352776</v>
      </c>
      <c r="B1293" t="str">
        <f>"1552382632770951"</f>
        <v>1552382632770951</v>
      </c>
      <c r="C1293" t="s">
        <v>40</v>
      </c>
      <c r="D1293">
        <v>4.2102219999999999</v>
      </c>
      <c r="E1293">
        <v>0.53062559999999903</v>
      </c>
      <c r="F1293" t="s">
        <v>43</v>
      </c>
      <c r="G1293">
        <v>-191.00559999999999</v>
      </c>
      <c r="H1293" s="1">
        <v>-2.796032E-6</v>
      </c>
      <c r="I1293">
        <v>325.483</v>
      </c>
      <c r="J1293">
        <v>-188.4768</v>
      </c>
      <c r="K1293">
        <v>1.1072360000000001</v>
      </c>
      <c r="L1293">
        <v>343.89479999999998</v>
      </c>
      <c r="M1293">
        <v>4.3065199999999998E-2</v>
      </c>
      <c r="N1293">
        <v>0</v>
      </c>
      <c r="O1293">
        <v>-0.99896859999999998</v>
      </c>
      <c r="P1293">
        <v>-4.1942489999999999E-2</v>
      </c>
      <c r="Q1293">
        <v>0.1968346</v>
      </c>
      <c r="R1293">
        <v>-0.9795391</v>
      </c>
      <c r="S1293">
        <v>-0.41584779999999999</v>
      </c>
      <c r="T1293">
        <v>-0.18253369999999999</v>
      </c>
      <c r="U1293">
        <v>-3.0797729999999999</v>
      </c>
      <c r="V1293">
        <v>8.5963789999999998E-2</v>
      </c>
      <c r="W1293">
        <v>0.21011650000000001</v>
      </c>
      <c r="X1293">
        <v>0.97388980000000003</v>
      </c>
      <c r="Y1293">
        <v>0.17614050000000001</v>
      </c>
      <c r="Z1293">
        <v>5.8355829999999997E-2</v>
      </c>
      <c r="AA1293">
        <v>0.9826338</v>
      </c>
      <c r="AB1293">
        <v>27</v>
      </c>
      <c r="AC1293">
        <v>-2.52879999999998</v>
      </c>
      <c r="AD1293">
        <v>-1.107238796032</v>
      </c>
      <c r="AE1293">
        <v>-18.4117999999999</v>
      </c>
      <c r="AF1293">
        <v>3.30770256245036</v>
      </c>
      <c r="AG1293">
        <v>-1.107238796032</v>
      </c>
      <c r="AH1293">
        <v>18.221123742684998</v>
      </c>
      <c r="AI1293">
        <v>93.421619103302305</v>
      </c>
      <c r="AJ1293">
        <v>79.711070693799797</v>
      </c>
      <c r="AK1293">
        <v>18.551987075225099</v>
      </c>
      <c r="AL1293">
        <v>77.870820837665505</v>
      </c>
      <c r="AM1293">
        <v>84.955661183007393</v>
      </c>
      <c r="AN1293">
        <v>1.0000000296537199</v>
      </c>
    </row>
    <row r="1294" spans="1:40" x14ac:dyDescent="0.25">
      <c r="A1294" t="str">
        <f>"20190312172352812"</f>
        <v>20190312172352812</v>
      </c>
      <c r="B1294" t="str">
        <f>"1552382632801207"</f>
        <v>1552382632801207</v>
      </c>
      <c r="C1294" t="s">
        <v>40</v>
      </c>
      <c r="D1294">
        <v>4.1345660000000004</v>
      </c>
      <c r="E1294">
        <v>0.52998020000000001</v>
      </c>
      <c r="F1294" t="s">
        <v>43</v>
      </c>
      <c r="G1294">
        <v>-191.0421</v>
      </c>
      <c r="H1294" s="1">
        <v>-2.3762249999999999E-6</v>
      </c>
      <c r="I1294">
        <v>324.48180000000002</v>
      </c>
      <c r="J1294">
        <v>-188.4674</v>
      </c>
      <c r="K1294">
        <v>1.1077090000000001</v>
      </c>
      <c r="L1294">
        <v>343.47379999999998</v>
      </c>
      <c r="M1294">
        <v>3.6049779999999997E-2</v>
      </c>
      <c r="N1294">
        <v>0</v>
      </c>
      <c r="O1294">
        <v>-0.99924740000000001</v>
      </c>
      <c r="P1294">
        <v>-4.4601019999999998E-2</v>
      </c>
      <c r="Q1294">
        <v>0.1966289</v>
      </c>
      <c r="R1294">
        <v>-0.97946310000000003</v>
      </c>
      <c r="S1294">
        <v>-0.40707399999999999</v>
      </c>
      <c r="T1294">
        <v>-0.17570150000000001</v>
      </c>
      <c r="U1294">
        <v>-3.0805359999999999</v>
      </c>
      <c r="V1294">
        <v>8.1517119999999998E-2</v>
      </c>
      <c r="W1294">
        <v>0.209985</v>
      </c>
      <c r="X1294">
        <v>0.97430039999999996</v>
      </c>
      <c r="Y1294">
        <v>0.16645470000000001</v>
      </c>
      <c r="Z1294">
        <v>5.6246919999999999E-2</v>
      </c>
      <c r="AA1294">
        <v>0.98444350000000003</v>
      </c>
      <c r="AB1294">
        <v>26</v>
      </c>
      <c r="AC1294">
        <v>-2.5747</v>
      </c>
      <c r="AD1294">
        <v>-1.1077113762249999</v>
      </c>
      <c r="AE1294">
        <v>-18.991999999999901</v>
      </c>
      <c r="AF1294">
        <v>3.24690764323717</v>
      </c>
      <c r="AG1294">
        <v>-1.1077113762249999</v>
      </c>
      <c r="AH1294">
        <v>18.823945593180099</v>
      </c>
      <c r="AI1294">
        <v>93.318838563007503</v>
      </c>
      <c r="AJ1294">
        <v>80.213455399848598</v>
      </c>
      <c r="AK1294">
        <v>19.134010594533802</v>
      </c>
      <c r="AL1294">
        <v>77.878526856501594</v>
      </c>
      <c r="AM1294">
        <v>85.217353808671106</v>
      </c>
      <c r="AN1294">
        <v>1.00000000525912</v>
      </c>
    </row>
    <row r="1295" spans="1:40" x14ac:dyDescent="0.25">
      <c r="A1295" t="str">
        <f>"20190312172352833"</f>
        <v>20190312172352833</v>
      </c>
      <c r="B1295" t="str">
        <f>"1552382632820727"</f>
        <v>1552382632820727</v>
      </c>
      <c r="C1295" t="s">
        <v>40</v>
      </c>
      <c r="D1295">
        <v>4.1908620000000001</v>
      </c>
      <c r="E1295">
        <v>0.52959899999999904</v>
      </c>
      <c r="F1295" t="s">
        <v>43</v>
      </c>
      <c r="G1295">
        <v>-190.93260000000001</v>
      </c>
      <c r="H1295" s="1">
        <v>-2.4523860000000001E-6</v>
      </c>
      <c r="I1295">
        <v>324.72730000000001</v>
      </c>
      <c r="J1295">
        <v>-188.46279999999999</v>
      </c>
      <c r="K1295">
        <v>1.107952</v>
      </c>
      <c r="L1295">
        <v>343.22329999999999</v>
      </c>
      <c r="M1295">
        <v>3.2289650000000003E-2</v>
      </c>
      <c r="N1295">
        <v>0</v>
      </c>
      <c r="O1295">
        <v>-0.9993765</v>
      </c>
      <c r="P1295">
        <v>-4.505613E-2</v>
      </c>
      <c r="Q1295">
        <v>0.19543830000000001</v>
      </c>
      <c r="R1295">
        <v>-0.97968089999999997</v>
      </c>
      <c r="S1295">
        <v>-0.40515139999999999</v>
      </c>
      <c r="T1295">
        <v>-0.18205299999999999</v>
      </c>
      <c r="U1295">
        <v>-3.080994</v>
      </c>
      <c r="V1295">
        <v>7.8161690000000006E-2</v>
      </c>
      <c r="W1295">
        <v>0.20884130000000001</v>
      </c>
      <c r="X1295">
        <v>0.97482100000000005</v>
      </c>
      <c r="Y1295">
        <v>0.1621049</v>
      </c>
      <c r="Z1295">
        <v>5.8299730000000001E-2</v>
      </c>
      <c r="AA1295">
        <v>0.98504979999999998</v>
      </c>
      <c r="AB1295">
        <v>26</v>
      </c>
      <c r="AC1295">
        <v>-2.4698000000000202</v>
      </c>
      <c r="AD1295">
        <v>-1.1079544523860001</v>
      </c>
      <c r="AE1295">
        <v>-18.495999999999899</v>
      </c>
      <c r="AF1295">
        <v>3.0550318436856601</v>
      </c>
      <c r="AG1295">
        <v>-1.1079544523860001</v>
      </c>
      <c r="AH1295">
        <v>18.341932958554398</v>
      </c>
      <c r="AI1295">
        <v>93.409919788311697</v>
      </c>
      <c r="AJ1295">
        <v>80.543625817386399</v>
      </c>
      <c r="AK1295">
        <v>18.627594780072901</v>
      </c>
      <c r="AL1295">
        <v>77.945541401066293</v>
      </c>
      <c r="AM1295">
        <v>85.415799565735099</v>
      </c>
      <c r="AN1295">
        <v>0.99999996020517201</v>
      </c>
    </row>
    <row r="1296" spans="1:40" x14ac:dyDescent="0.25">
      <c r="A1296" t="str">
        <f>"20190312172352854"</f>
        <v>20190312172352854</v>
      </c>
      <c r="B1296" t="str">
        <f>"1552382632850983"</f>
        <v>1552382632850983</v>
      </c>
      <c r="C1296" t="s">
        <v>40</v>
      </c>
      <c r="D1296">
        <v>4.1900629999999897</v>
      </c>
      <c r="E1296">
        <v>0.52911739999999996</v>
      </c>
      <c r="F1296" t="s">
        <v>43</v>
      </c>
      <c r="G1296">
        <v>-190.85679999999999</v>
      </c>
      <c r="H1296" s="1">
        <v>-2.5197869999999999E-6</v>
      </c>
      <c r="I1296">
        <v>324.9314</v>
      </c>
      <c r="J1296">
        <v>-188.45859999999999</v>
      </c>
      <c r="K1296">
        <v>1.1081840000000001</v>
      </c>
      <c r="L1296">
        <v>342.964</v>
      </c>
      <c r="M1296">
        <v>2.871025E-2</v>
      </c>
      <c r="N1296">
        <v>0</v>
      </c>
      <c r="O1296">
        <v>-0.99948610000000004</v>
      </c>
      <c r="P1296">
        <v>-4.6581450000000003E-2</v>
      </c>
      <c r="Q1296">
        <v>0.19452839999999999</v>
      </c>
      <c r="R1296">
        <v>-0.97979059999999996</v>
      </c>
      <c r="S1296">
        <v>-0.4032288</v>
      </c>
      <c r="T1296">
        <v>-0.18661259999999999</v>
      </c>
      <c r="U1296">
        <v>-3.080902</v>
      </c>
      <c r="V1296">
        <v>7.6058680000000004E-2</v>
      </c>
      <c r="W1296">
        <v>0.2079617</v>
      </c>
      <c r="X1296">
        <v>0.97517540000000003</v>
      </c>
      <c r="Y1296">
        <v>0.1579576</v>
      </c>
      <c r="Z1296">
        <v>5.9788939999999999E-2</v>
      </c>
      <c r="AA1296">
        <v>0.98563409999999996</v>
      </c>
      <c r="AB1296">
        <v>26</v>
      </c>
      <c r="AC1296">
        <v>-2.3982000000000001</v>
      </c>
      <c r="AD1296">
        <v>-1.108186519787</v>
      </c>
      <c r="AE1296">
        <v>-18.032599999999999</v>
      </c>
      <c r="AF1296">
        <v>2.90420667391232</v>
      </c>
      <c r="AG1296">
        <v>-1.108186519787</v>
      </c>
      <c r="AH1296">
        <v>17.889915031592299</v>
      </c>
      <c r="AI1296">
        <v>93.498955220502296</v>
      </c>
      <c r="AJ1296">
        <v>80.779176932118304</v>
      </c>
      <c r="AK1296">
        <v>18.157961163220499</v>
      </c>
      <c r="AL1296">
        <v>77.997070974315804</v>
      </c>
      <c r="AM1296">
        <v>85.540251597441895</v>
      </c>
      <c r="AN1296">
        <v>1.00000002611769</v>
      </c>
    </row>
    <row r="1297" spans="1:40" x14ac:dyDescent="0.25">
      <c r="A1297" t="str">
        <f>"20190312172352877"</f>
        <v>20190312172352877</v>
      </c>
      <c r="B1297" t="str">
        <f>"1552382632871479"</f>
        <v>1552382632871479</v>
      </c>
      <c r="C1297" t="s">
        <v>40</v>
      </c>
      <c r="D1297">
        <v>4.215579</v>
      </c>
      <c r="E1297">
        <v>0.52873499999999996</v>
      </c>
      <c r="F1297" t="s">
        <v>43</v>
      </c>
      <c r="G1297">
        <v>-190.81440000000001</v>
      </c>
      <c r="H1297" s="1">
        <v>-2.5607860000000002E-6</v>
      </c>
      <c r="I1297">
        <v>325.05329999999998</v>
      </c>
      <c r="J1297">
        <v>-188.45500000000001</v>
      </c>
      <c r="K1297">
        <v>1.1084259999999999</v>
      </c>
      <c r="L1297">
        <v>342.70339999999999</v>
      </c>
      <c r="M1297">
        <v>2.5457859999999999E-2</v>
      </c>
      <c r="N1297">
        <v>0</v>
      </c>
      <c r="O1297">
        <v>-0.99957470000000004</v>
      </c>
      <c r="P1297">
        <v>-4.8608270000000002E-2</v>
      </c>
      <c r="Q1297">
        <v>0.19511780000000001</v>
      </c>
      <c r="R1297">
        <v>-0.97957490000000003</v>
      </c>
      <c r="S1297">
        <v>-0.40518189999999998</v>
      </c>
      <c r="T1297">
        <v>-0.19059690000000001</v>
      </c>
      <c r="U1297">
        <v>-3.0804749999999999</v>
      </c>
      <c r="V1297">
        <v>7.4778849999999994E-2</v>
      </c>
      <c r="W1297">
        <v>0.2085707</v>
      </c>
      <c r="X1297">
        <v>0.97514429999999996</v>
      </c>
      <c r="Y1297">
        <v>0.1553659</v>
      </c>
      <c r="Z1297">
        <v>6.1087349999999999E-2</v>
      </c>
      <c r="AA1297">
        <v>0.98596640000000002</v>
      </c>
      <c r="AB1297">
        <v>26</v>
      </c>
      <c r="AC1297">
        <v>-2.3593999999999902</v>
      </c>
      <c r="AD1297">
        <v>-1.1084285607859901</v>
      </c>
      <c r="AE1297">
        <v>-17.650099999999998</v>
      </c>
      <c r="AF1297">
        <v>2.7971763965010799</v>
      </c>
      <c r="AG1297">
        <v>-1.1084285607859901</v>
      </c>
      <c r="AH1297">
        <v>17.516437498468299</v>
      </c>
      <c r="AI1297">
        <v>93.575627884810402</v>
      </c>
      <c r="AJ1297">
        <v>80.927117239071904</v>
      </c>
      <c r="AK1297">
        <v>17.7729680218374</v>
      </c>
      <c r="AL1297">
        <v>77.961395358605103</v>
      </c>
      <c r="AM1297">
        <v>85.614860749361398</v>
      </c>
      <c r="AN1297">
        <v>1.0000000095641499</v>
      </c>
    </row>
    <row r="1298" spans="1:40" x14ac:dyDescent="0.25">
      <c r="A1298" t="str">
        <f>"20190312172352899"</f>
        <v>20190312172352899</v>
      </c>
      <c r="B1298" t="str">
        <f>"1552382632891000"</f>
        <v>1552382632891000</v>
      </c>
      <c r="C1298" t="s">
        <v>40</v>
      </c>
      <c r="D1298">
        <v>4.1807119999999998</v>
      </c>
      <c r="E1298">
        <v>0.52838019999999997</v>
      </c>
      <c r="F1298" t="s">
        <v>43</v>
      </c>
      <c r="G1298">
        <v>-190.8366</v>
      </c>
      <c r="H1298" s="1">
        <v>-2.3889519999999999E-6</v>
      </c>
      <c r="I1298">
        <v>324.63889999999998</v>
      </c>
      <c r="J1298">
        <v>-188.45169999999999</v>
      </c>
      <c r="K1298">
        <v>1.1086879999999999</v>
      </c>
      <c r="L1298">
        <v>342.43509999999998</v>
      </c>
      <c r="M1298">
        <v>2.2467399999999998E-2</v>
      </c>
      <c r="N1298">
        <v>0</v>
      </c>
      <c r="O1298">
        <v>-0.99964679999999995</v>
      </c>
      <c r="P1298">
        <v>-5.1075929999999999E-2</v>
      </c>
      <c r="Q1298">
        <v>0.19587589999999999</v>
      </c>
      <c r="R1298">
        <v>-0.9792978</v>
      </c>
      <c r="S1298">
        <v>-0.4060822</v>
      </c>
      <c r="T1298">
        <v>-0.18899289999999999</v>
      </c>
      <c r="U1298">
        <v>-3.0800779999999999</v>
      </c>
      <c r="V1298">
        <v>7.4187929999999999E-2</v>
      </c>
      <c r="W1298">
        <v>0.20934530000000001</v>
      </c>
      <c r="X1298">
        <v>0.97502339999999998</v>
      </c>
      <c r="Y1298">
        <v>0.15271370000000001</v>
      </c>
      <c r="Z1298">
        <v>6.0600889999999998E-2</v>
      </c>
      <c r="AA1298">
        <v>0.98641069999999997</v>
      </c>
      <c r="AB1298">
        <v>26</v>
      </c>
      <c r="AC1298">
        <v>-2.3849000000000098</v>
      </c>
      <c r="AD1298">
        <v>-1.1086903889519999</v>
      </c>
      <c r="AE1298">
        <v>-17.796199999999999</v>
      </c>
      <c r="AF1298">
        <v>2.7735975354692299</v>
      </c>
      <c r="AG1298">
        <v>-1.1086903889519999</v>
      </c>
      <c r="AH1298">
        <v>17.670745287472599</v>
      </c>
      <c r="AI1298">
        <v>93.546809945229498</v>
      </c>
      <c r="AJ1298">
        <v>81.079643016648205</v>
      </c>
      <c r="AK1298">
        <v>17.9214194940594</v>
      </c>
      <c r="AL1298">
        <v>77.9160116749064</v>
      </c>
      <c r="AM1298">
        <v>85.648842183651496</v>
      </c>
      <c r="AN1298">
        <v>0.99999996706866601</v>
      </c>
    </row>
    <row r="1299" spans="1:40" x14ac:dyDescent="0.25">
      <c r="A1299" t="str">
        <f>"20190312172352923"</f>
        <v>20190312172352923</v>
      </c>
      <c r="B1299" t="str">
        <f>"1552382632910519"</f>
        <v>1552382632910519</v>
      </c>
      <c r="C1299" t="s">
        <v>40</v>
      </c>
      <c r="D1299">
        <v>4.1569079999999996</v>
      </c>
      <c r="E1299">
        <v>0.52802709999999997</v>
      </c>
      <c r="F1299" t="s">
        <v>43</v>
      </c>
      <c r="G1299">
        <v>-190.85679999999999</v>
      </c>
      <c r="H1299" s="1">
        <v>-2.2656660000000001E-6</v>
      </c>
      <c r="I1299">
        <v>324.33909999999997</v>
      </c>
      <c r="J1299">
        <v>-188.44890000000001</v>
      </c>
      <c r="K1299">
        <v>1.1089639999999901</v>
      </c>
      <c r="L1299">
        <v>342.16090000000003</v>
      </c>
      <c r="M1299">
        <v>1.978425E-2</v>
      </c>
      <c r="N1299">
        <v>0</v>
      </c>
      <c r="O1299">
        <v>-0.99970409999999998</v>
      </c>
      <c r="P1299">
        <v>-5.3718250000000002E-2</v>
      </c>
      <c r="Q1299">
        <v>0.19658990000000001</v>
      </c>
      <c r="R1299">
        <v>-0.97901329999999998</v>
      </c>
      <c r="S1299">
        <v>-0.40931699999999999</v>
      </c>
      <c r="T1299">
        <v>-0.18868799999999999</v>
      </c>
      <c r="U1299">
        <v>-3.0797729999999999</v>
      </c>
      <c r="V1299">
        <v>7.4063610000000002E-2</v>
      </c>
      <c r="W1299">
        <v>0.21007629999999999</v>
      </c>
      <c r="X1299">
        <v>0.97487559999999995</v>
      </c>
      <c r="Y1299">
        <v>0.1510927</v>
      </c>
      <c r="Z1299">
        <v>6.051807E-2</v>
      </c>
      <c r="AA1299">
        <v>0.98666540000000003</v>
      </c>
      <c r="AB1299">
        <v>26</v>
      </c>
      <c r="AC1299">
        <v>-2.4078999999999802</v>
      </c>
      <c r="AD1299">
        <v>-1.10896626566599</v>
      </c>
      <c r="AE1299">
        <v>-17.8218</v>
      </c>
      <c r="AF1299">
        <v>2.74959933481182</v>
      </c>
      <c r="AG1299">
        <v>-1.10896626566599</v>
      </c>
      <c r="AH1299">
        <v>17.7033496058684</v>
      </c>
      <c r="AI1299">
        <v>93.542058648221797</v>
      </c>
      <c r="AJ1299">
        <v>81.171631771024494</v>
      </c>
      <c r="AK1299">
        <v>17.949893870103601</v>
      </c>
      <c r="AL1299">
        <v>77.873175763377901</v>
      </c>
      <c r="AM1299">
        <v>85.655449627262598</v>
      </c>
      <c r="AN1299">
        <v>0.999999952811639</v>
      </c>
    </row>
    <row r="1300" spans="1:40" x14ac:dyDescent="0.25">
      <c r="A1300" t="str">
        <f>"20190312172352946"</f>
        <v>20190312172352946</v>
      </c>
      <c r="B1300" t="str">
        <f>"1552382632940776"</f>
        <v>1552382632940776</v>
      </c>
      <c r="C1300" t="s">
        <v>40</v>
      </c>
      <c r="D1300">
        <v>4.2161109999999997</v>
      </c>
      <c r="E1300">
        <v>0.52749820000000003</v>
      </c>
      <c r="F1300" t="s">
        <v>43</v>
      </c>
      <c r="G1300">
        <v>-190.87620000000001</v>
      </c>
      <c r="H1300" s="1">
        <v>-2.1680269999999999E-6</v>
      </c>
      <c r="I1300">
        <v>324.0994</v>
      </c>
      <c r="J1300">
        <v>-188.44649999999999</v>
      </c>
      <c r="K1300">
        <v>1.109226</v>
      </c>
      <c r="L1300">
        <v>341.89389999999997</v>
      </c>
      <c r="M1300">
        <v>1.7515989999999999E-2</v>
      </c>
      <c r="N1300">
        <v>0</v>
      </c>
      <c r="O1300">
        <v>-0.99974669999999999</v>
      </c>
      <c r="P1300">
        <v>-5.6435930000000002E-2</v>
      </c>
      <c r="Q1300">
        <v>0.1974186</v>
      </c>
      <c r="R1300">
        <v>-0.9786937</v>
      </c>
      <c r="S1300">
        <v>-0.41386410000000001</v>
      </c>
      <c r="T1300">
        <v>-0.1890829</v>
      </c>
      <c r="U1300">
        <v>-3.0795590000000002</v>
      </c>
      <c r="V1300">
        <v>7.4425859999999996E-2</v>
      </c>
      <c r="W1300">
        <v>0.210921</v>
      </c>
      <c r="X1300">
        <v>0.97466560000000002</v>
      </c>
      <c r="Y1300">
        <v>0.15028910000000001</v>
      </c>
      <c r="Z1300">
        <v>6.065011E-2</v>
      </c>
      <c r="AA1300">
        <v>0.98677999999999999</v>
      </c>
      <c r="AB1300">
        <v>26</v>
      </c>
      <c r="AC1300">
        <v>-2.42970000000002</v>
      </c>
      <c r="AD1300">
        <v>-1.109228168027</v>
      </c>
      <c r="AE1300">
        <v>-17.7944999999999</v>
      </c>
      <c r="AF1300">
        <v>2.73063034850867</v>
      </c>
      <c r="AG1300">
        <v>-1.109228168027</v>
      </c>
      <c r="AH1300">
        <v>17.681757971865999</v>
      </c>
      <c r="AI1300">
        <v>93.547680940625099</v>
      </c>
      <c r="AJ1300">
        <v>81.221046734285196</v>
      </c>
      <c r="AK1300">
        <v>17.9257160025643</v>
      </c>
      <c r="AL1300">
        <v>77.823668786934206</v>
      </c>
      <c r="AM1300">
        <v>85.633345105002903</v>
      </c>
      <c r="AN1300">
        <v>0.999999954350548</v>
      </c>
    </row>
    <row r="1301" spans="1:40" x14ac:dyDescent="0.25">
      <c r="A1301" t="str">
        <f>"20190312172352967"</f>
        <v>20190312172352967</v>
      </c>
      <c r="B1301" t="str">
        <f>"1552382632961272"</f>
        <v>1552382632961272</v>
      </c>
      <c r="C1301" t="s">
        <v>40</v>
      </c>
      <c r="D1301">
        <v>4.193695</v>
      </c>
      <c r="E1301">
        <v>0.52715610000000002</v>
      </c>
      <c r="F1301" t="s">
        <v>43</v>
      </c>
      <c r="G1301">
        <v>-190.91040000000001</v>
      </c>
      <c r="H1301" s="1">
        <v>-1.9978120000000001E-6</v>
      </c>
      <c r="I1301">
        <v>323.6814</v>
      </c>
      <c r="J1301">
        <v>-188.4444</v>
      </c>
      <c r="K1301">
        <v>1.109437</v>
      </c>
      <c r="L1301">
        <v>341.6472</v>
      </c>
      <c r="M1301">
        <v>1.5656070000000001E-2</v>
      </c>
      <c r="N1301">
        <v>0</v>
      </c>
      <c r="O1301">
        <v>-0.99977800000000006</v>
      </c>
      <c r="P1301">
        <v>-5.8572310000000002E-2</v>
      </c>
      <c r="Q1301">
        <v>0.19669130000000001</v>
      </c>
      <c r="R1301">
        <v>-0.97871459999999999</v>
      </c>
      <c r="S1301">
        <v>-0.41656490000000002</v>
      </c>
      <c r="T1301">
        <v>-0.1875346</v>
      </c>
      <c r="U1301">
        <v>-3.079132</v>
      </c>
      <c r="V1301">
        <v>7.4632729999999994E-2</v>
      </c>
      <c r="W1301">
        <v>0.2102106</v>
      </c>
      <c r="X1301">
        <v>0.97480330000000004</v>
      </c>
      <c r="Y1301">
        <v>0.14932200000000001</v>
      </c>
      <c r="Z1301">
        <v>6.01673E-2</v>
      </c>
      <c r="AA1301">
        <v>0.98695639999999996</v>
      </c>
      <c r="AB1301">
        <v>26</v>
      </c>
      <c r="AC1301">
        <v>-2.4660000000000002</v>
      </c>
      <c r="AD1301">
        <v>-1.1094389978120001</v>
      </c>
      <c r="AE1301">
        <v>-17.965800000000002</v>
      </c>
      <c r="AF1301">
        <v>2.7367561003228</v>
      </c>
      <c r="AG1301">
        <v>-1.1094389978120001</v>
      </c>
      <c r="AH1301">
        <v>17.8581447562003</v>
      </c>
      <c r="AI1301">
        <v>93.514017049472002</v>
      </c>
      <c r="AJ1301">
        <v>81.287222431687496</v>
      </c>
      <c r="AK1301">
        <v>18.100663605954502</v>
      </c>
      <c r="AL1301">
        <v>77.865305864654005</v>
      </c>
      <c r="AM1301">
        <v>85.6218710649418</v>
      </c>
      <c r="AN1301">
        <v>1.00000000721525</v>
      </c>
    </row>
    <row r="1302" spans="1:40" x14ac:dyDescent="0.25">
      <c r="A1302" t="str">
        <f>"20190312172352991"</f>
        <v>20190312172352991</v>
      </c>
      <c r="B1302" t="str">
        <f>"1552382632980792"</f>
        <v>1552382632980792</v>
      </c>
      <c r="C1302" t="s">
        <v>40</v>
      </c>
      <c r="D1302">
        <v>4.3111470000000001</v>
      </c>
      <c r="E1302">
        <v>0.51685239999999999</v>
      </c>
      <c r="F1302" t="s">
        <v>43</v>
      </c>
      <c r="G1302">
        <v>-190.89089999999999</v>
      </c>
      <c r="H1302" s="1">
        <v>-2.0103640000000001E-6</v>
      </c>
      <c r="I1302">
        <v>323.72280000000001</v>
      </c>
      <c r="J1302">
        <v>-188.44229999999999</v>
      </c>
      <c r="K1302">
        <v>1.109642</v>
      </c>
      <c r="L1302">
        <v>341.36</v>
      </c>
      <c r="M1302">
        <v>1.379155E-2</v>
      </c>
      <c r="N1302">
        <v>0</v>
      </c>
      <c r="O1302">
        <v>-0.99980570000000002</v>
      </c>
      <c r="P1302">
        <v>-5.936044E-2</v>
      </c>
      <c r="Q1302">
        <v>0.19337760000000001</v>
      </c>
      <c r="R1302">
        <v>-0.97932710000000001</v>
      </c>
      <c r="S1302">
        <v>-0.42016599999999998</v>
      </c>
      <c r="T1302">
        <v>-0.1905384</v>
      </c>
      <c r="U1302">
        <v>-3.0783999999999998</v>
      </c>
      <c r="V1302">
        <v>7.3487780000000003E-2</v>
      </c>
      <c r="W1302">
        <v>0.2069261</v>
      </c>
      <c r="X1302">
        <v>0.97559269999999998</v>
      </c>
      <c r="Y1302">
        <v>0.14863479999999901</v>
      </c>
      <c r="Z1302">
        <v>6.1142719999999998E-2</v>
      </c>
      <c r="AA1302">
        <v>0.98700019999999999</v>
      </c>
      <c r="AB1302">
        <v>26</v>
      </c>
      <c r="AC1302">
        <v>-2.4485999999999901</v>
      </c>
      <c r="AD1302">
        <v>-1.109644010364</v>
      </c>
      <c r="AE1302">
        <v>-17.6372</v>
      </c>
      <c r="AF1302">
        <v>2.6812231464852001</v>
      </c>
      <c r="AG1302">
        <v>-1.109644010364</v>
      </c>
      <c r="AH1302">
        <v>17.533657913506701</v>
      </c>
      <c r="AI1302">
        <v>93.579718195430999</v>
      </c>
      <c r="AJ1302">
        <v>81.305758781270598</v>
      </c>
      <c r="AK1302">
        <v>17.772153139641301</v>
      </c>
      <c r="AL1302">
        <v>78.057725485337301</v>
      </c>
      <c r="AM1302">
        <v>85.692256576407502</v>
      </c>
      <c r="AN1302">
        <v>0.99999999048191401</v>
      </c>
    </row>
    <row r="1303" spans="1:40" x14ac:dyDescent="0.25">
      <c r="A1303" t="str">
        <f>"20190312172353013"</f>
        <v>20190312172353013</v>
      </c>
      <c r="B1303" t="str">
        <f>"1552382633001287"</f>
        <v>1552382633001287</v>
      </c>
      <c r="C1303" t="s">
        <v>40</v>
      </c>
      <c r="D1303">
        <v>4.2770910000000004</v>
      </c>
      <c r="E1303">
        <v>0.51660109999999904</v>
      </c>
      <c r="F1303" t="s">
        <v>41</v>
      </c>
      <c r="G1303">
        <v>-188.53710000000001</v>
      </c>
      <c r="H1303">
        <v>1.0381659999999999</v>
      </c>
      <c r="I1303">
        <v>340.51139999999998</v>
      </c>
      <c r="J1303">
        <v>-188.44049999999999</v>
      </c>
      <c r="K1303">
        <v>1.109807</v>
      </c>
      <c r="L1303">
        <v>341.10129999999998</v>
      </c>
      <c r="M1303">
        <v>1.238275E-2</v>
      </c>
      <c r="N1303">
        <v>0</v>
      </c>
      <c r="O1303">
        <v>-0.9998245</v>
      </c>
      <c r="P1303">
        <v>-6.0913799999999997E-2</v>
      </c>
      <c r="Q1303">
        <v>0.1917914</v>
      </c>
      <c r="R1303">
        <v>-0.97954419999999998</v>
      </c>
      <c r="S1303">
        <v>-0.34483340000000001</v>
      </c>
      <c r="T1303">
        <v>-0.26083020000000001</v>
      </c>
      <c r="U1303">
        <v>-3.0939030000000001</v>
      </c>
      <c r="V1303">
        <v>7.3572819999999997E-2</v>
      </c>
      <c r="W1303">
        <v>0.2053556</v>
      </c>
      <c r="X1303">
        <v>0.97591810000000001</v>
      </c>
      <c r="Y1303">
        <v>0.1226829</v>
      </c>
      <c r="Z1303">
        <v>8.3423079999999997E-2</v>
      </c>
      <c r="AA1303">
        <v>0.98893350000000002</v>
      </c>
      <c r="AB1303">
        <v>26</v>
      </c>
      <c r="AC1303">
        <v>-9.66000000000235E-2</v>
      </c>
      <c r="AD1303">
        <v>-7.1640999999999996E-2</v>
      </c>
      <c r="AE1303">
        <v>-0.58989999999999998</v>
      </c>
      <c r="AF1303">
        <v>0.102426647600094</v>
      </c>
      <c r="AG1303">
        <v>-7.1640999999999996E-2</v>
      </c>
      <c r="AH1303">
        <v>0.58032274733698497</v>
      </c>
      <c r="AI1303">
        <v>96.931501815332794</v>
      </c>
      <c r="AJ1303">
        <v>79.990416312543303</v>
      </c>
      <c r="AK1303">
        <v>0.593631318325053</v>
      </c>
      <c r="AL1303">
        <v>78.149683800052102</v>
      </c>
      <c r="AM1303">
        <v>85.688723018284605</v>
      </c>
      <c r="AN1303">
        <v>1.0000000101008599</v>
      </c>
    </row>
    <row r="1304" spans="1:40" x14ac:dyDescent="0.25">
      <c r="A1304" t="str">
        <f>"20190312172353037"</f>
        <v>20190312172353037</v>
      </c>
      <c r="B1304" t="str">
        <f>"1552382633030568"</f>
        <v>1552382633030568</v>
      </c>
      <c r="C1304" t="s">
        <v>40</v>
      </c>
      <c r="D1304">
        <v>4.2262320000000004</v>
      </c>
      <c r="E1304">
        <v>0.5163335</v>
      </c>
      <c r="F1304" t="s">
        <v>41</v>
      </c>
      <c r="G1304">
        <v>-188.53360000000001</v>
      </c>
      <c r="H1304">
        <v>1.0423169999999999</v>
      </c>
      <c r="I1304">
        <v>340.27510000000001</v>
      </c>
      <c r="J1304">
        <v>-188.43889999999999</v>
      </c>
      <c r="K1304">
        <v>1.1099840000000001</v>
      </c>
      <c r="L1304">
        <v>340.84390000000002</v>
      </c>
      <c r="M1304">
        <v>1.122956E-2</v>
      </c>
      <c r="N1304">
        <v>0</v>
      </c>
      <c r="O1304">
        <v>-0.99983849999999996</v>
      </c>
      <c r="P1304">
        <v>-6.1822009999999997E-2</v>
      </c>
      <c r="Q1304">
        <v>0.1921341</v>
      </c>
      <c r="R1304">
        <v>-0.97941990000000001</v>
      </c>
      <c r="S1304">
        <v>-0.34767150000000002</v>
      </c>
      <c r="T1304">
        <v>-0.25257099999999999</v>
      </c>
      <c r="U1304">
        <v>-3.0905149999999999</v>
      </c>
      <c r="V1304">
        <v>7.3263880000000003E-2</v>
      </c>
      <c r="W1304">
        <v>0.20571159999999999</v>
      </c>
      <c r="X1304">
        <v>0.97586640000000002</v>
      </c>
      <c r="Y1304">
        <v>0.1225779</v>
      </c>
      <c r="Z1304">
        <v>8.0884689999999995E-2</v>
      </c>
      <c r="AA1304">
        <v>0.98915739999999996</v>
      </c>
      <c r="AB1304">
        <v>26</v>
      </c>
      <c r="AC1304">
        <v>-9.4700000000017298E-2</v>
      </c>
      <c r="AD1304">
        <v>-6.7667000000000102E-2</v>
      </c>
      <c r="AE1304">
        <v>-0.56880000000000996</v>
      </c>
      <c r="AF1304">
        <v>9.9708954902195002E-2</v>
      </c>
      <c r="AG1304">
        <v>-6.7667000000000102E-2</v>
      </c>
      <c r="AH1304">
        <v>0.55998906839586704</v>
      </c>
      <c r="AI1304">
        <v>96.784317503408602</v>
      </c>
      <c r="AJ1304">
        <v>79.903995658600806</v>
      </c>
      <c r="AK1304">
        <v>0.572807520288935</v>
      </c>
      <c r="AL1304">
        <v>78.128841936346802</v>
      </c>
      <c r="AM1304">
        <v>85.706532094512497</v>
      </c>
      <c r="AN1304">
        <v>1.0000000445680799</v>
      </c>
    </row>
    <row r="1305" spans="1:40" x14ac:dyDescent="0.25">
      <c r="A1305" t="str">
        <f>"20190312172353055"</f>
        <v>20190312172353055</v>
      </c>
      <c r="B1305" t="str">
        <f>"1552382633051064"</f>
        <v>1552382633051064</v>
      </c>
      <c r="C1305" t="s">
        <v>40</v>
      </c>
      <c r="D1305">
        <v>4.1715669999999996</v>
      </c>
      <c r="E1305">
        <v>0.5159243</v>
      </c>
      <c r="F1305" t="s">
        <v>41</v>
      </c>
      <c r="G1305">
        <v>-188.52950000000001</v>
      </c>
      <c r="H1305">
        <v>1.049998</v>
      </c>
      <c r="I1305">
        <v>340.03530000000001</v>
      </c>
      <c r="J1305">
        <v>-188.43729999999999</v>
      </c>
      <c r="K1305">
        <v>1.110155</v>
      </c>
      <c r="L1305">
        <v>340.60570000000001</v>
      </c>
      <c r="M1305">
        <v>1.038122E-2</v>
      </c>
      <c r="N1305">
        <v>0</v>
      </c>
      <c r="O1305">
        <v>-0.99984770000000001</v>
      </c>
      <c r="P1305">
        <v>-6.0976330000000002E-2</v>
      </c>
      <c r="Q1305">
        <v>0.1918676</v>
      </c>
      <c r="R1305">
        <v>-0.97952490000000003</v>
      </c>
      <c r="S1305">
        <v>-0.34507749999999998</v>
      </c>
      <c r="T1305">
        <v>-0.2292178</v>
      </c>
      <c r="U1305">
        <v>-3.0862120000000002</v>
      </c>
      <c r="V1305">
        <v>7.1502860000000001E-2</v>
      </c>
      <c r="W1305">
        <v>0.20546619999999999</v>
      </c>
      <c r="X1305">
        <v>0.97604860000000004</v>
      </c>
      <c r="Y1305">
        <v>0.121131</v>
      </c>
      <c r="Z1305">
        <v>7.356087E-2</v>
      </c>
      <c r="AA1305">
        <v>0.98990710000000004</v>
      </c>
      <c r="AB1305">
        <v>26</v>
      </c>
      <c r="AC1305">
        <v>-9.22000000000196E-2</v>
      </c>
      <c r="AD1305">
        <v>-6.0157000000000002E-2</v>
      </c>
      <c r="AE1305">
        <v>-0.57040000000000601</v>
      </c>
      <c r="AF1305">
        <v>9.7064919861959004E-2</v>
      </c>
      <c r="AG1305">
        <v>-6.0157000000000002E-2</v>
      </c>
      <c r="AH1305">
        <v>0.56330602227207005</v>
      </c>
      <c r="AI1305">
        <v>96.007794159042604</v>
      </c>
      <c r="AJ1305">
        <v>80.223204404789698</v>
      </c>
      <c r="AK1305">
        <v>0.57476441960579905</v>
      </c>
      <c r="AL1305">
        <v>78.143208017346097</v>
      </c>
      <c r="AM1305">
        <v>85.810140110501493</v>
      </c>
      <c r="AN1305">
        <v>0.99999994394628799</v>
      </c>
    </row>
    <row r="1306" spans="1:40" x14ac:dyDescent="0.25">
      <c r="A1306" t="str">
        <f>"20190312172353079"</f>
        <v>20190312172353079</v>
      </c>
      <c r="B1306" t="str">
        <f>"1552382633070583"</f>
        <v>1552382633070583</v>
      </c>
      <c r="C1306" t="s">
        <v>40</v>
      </c>
      <c r="D1306">
        <v>4.2178089999999999</v>
      </c>
      <c r="E1306">
        <v>0.51552039999999999</v>
      </c>
      <c r="F1306" t="s">
        <v>41</v>
      </c>
      <c r="G1306">
        <v>-188.52590000000001</v>
      </c>
      <c r="H1306">
        <v>1.050492</v>
      </c>
      <c r="I1306">
        <v>339.80259999999998</v>
      </c>
      <c r="J1306">
        <v>-188.43559999999999</v>
      </c>
      <c r="K1306">
        <v>1.110341</v>
      </c>
      <c r="L1306">
        <v>340.33960000000002</v>
      </c>
      <c r="M1306">
        <v>9.6694880000000004E-3</v>
      </c>
      <c r="N1306">
        <v>0</v>
      </c>
      <c r="O1306">
        <v>-0.99985500000000005</v>
      </c>
      <c r="P1306">
        <v>-5.8767180000000002E-2</v>
      </c>
      <c r="Q1306">
        <v>0.1887305</v>
      </c>
      <c r="R1306">
        <v>-0.98026919999999995</v>
      </c>
      <c r="S1306">
        <v>-0.34036250000000001</v>
      </c>
      <c r="T1306">
        <v>-0.2292536</v>
      </c>
      <c r="U1306">
        <v>-3.086395</v>
      </c>
      <c r="V1306">
        <v>6.8500530000000004E-2</v>
      </c>
      <c r="W1306">
        <v>0.20236409999999999</v>
      </c>
      <c r="X1306">
        <v>0.97691170000000005</v>
      </c>
      <c r="Y1306">
        <v>0.1189236</v>
      </c>
      <c r="Z1306">
        <v>7.3584800000000006E-2</v>
      </c>
      <c r="AA1306">
        <v>0.99017290000000002</v>
      </c>
      <c r="AB1306">
        <v>26</v>
      </c>
      <c r="AC1306">
        <v>-9.03000000000133E-2</v>
      </c>
      <c r="AD1306">
        <v>-5.9848999999999999E-2</v>
      </c>
      <c r="AE1306">
        <v>-0.53700000000003401</v>
      </c>
      <c r="AF1306">
        <v>9.4349096337848895E-2</v>
      </c>
      <c r="AG1306">
        <v>-5.9848999999999999E-2</v>
      </c>
      <c r="AH1306">
        <v>0.5297030088122</v>
      </c>
      <c r="AI1306">
        <v>96.347216213243897</v>
      </c>
      <c r="AJ1306">
        <v>79.900564085516805</v>
      </c>
      <c r="AK1306">
        <v>0.54135841392322104</v>
      </c>
      <c r="AL1306">
        <v>78.324760806348806</v>
      </c>
      <c r="AM1306">
        <v>85.989015404201993</v>
      </c>
      <c r="AN1306">
        <v>1.00000001058799</v>
      </c>
    </row>
    <row r="1307" spans="1:40" x14ac:dyDescent="0.25">
      <c r="A1307" t="str">
        <f>"20190312172353100"</f>
        <v>20190312172353100</v>
      </c>
      <c r="B1307" t="str">
        <f>"1552382633091079"</f>
        <v>1552382633091079</v>
      </c>
      <c r="C1307" t="s">
        <v>40</v>
      </c>
      <c r="D1307">
        <v>4.2308680000000001</v>
      </c>
      <c r="E1307">
        <v>0.51537129999999998</v>
      </c>
      <c r="F1307" t="s">
        <v>41</v>
      </c>
      <c r="G1307">
        <v>-188.518</v>
      </c>
      <c r="H1307">
        <v>1.0507690000000001</v>
      </c>
      <c r="I1307">
        <v>339.57049999999998</v>
      </c>
      <c r="J1307">
        <v>-188.43379999999999</v>
      </c>
      <c r="K1307">
        <v>1.1105039999999999</v>
      </c>
      <c r="L1307">
        <v>340.0813</v>
      </c>
      <c r="M1307">
        <v>9.2238130000000008E-3</v>
      </c>
      <c r="N1307">
        <v>0</v>
      </c>
      <c r="O1307">
        <v>-0.99985950000000001</v>
      </c>
      <c r="P1307">
        <v>-5.6330360000000003E-2</v>
      </c>
      <c r="Q1307">
        <v>0.18355930000000001</v>
      </c>
      <c r="R1307">
        <v>-0.98139350000000003</v>
      </c>
      <c r="S1307">
        <v>-0.33044430000000002</v>
      </c>
      <c r="T1307">
        <v>-0.2391896</v>
      </c>
      <c r="U1307">
        <v>-3.0866389999999999</v>
      </c>
      <c r="V1307">
        <v>6.5538360000000004E-2</v>
      </c>
      <c r="W1307">
        <v>0.19723170000000001</v>
      </c>
      <c r="X1307">
        <v>0.97816380000000003</v>
      </c>
      <c r="Y1307">
        <v>0.1153015</v>
      </c>
      <c r="Z1307">
        <v>7.6779609999999998E-2</v>
      </c>
      <c r="AA1307">
        <v>0.99035879999999998</v>
      </c>
      <c r="AB1307">
        <v>26</v>
      </c>
      <c r="AC1307">
        <v>-8.4200000000009795E-2</v>
      </c>
      <c r="AD1307">
        <v>-5.9735000000000101E-2</v>
      </c>
      <c r="AE1307">
        <v>-0.51080000000001702</v>
      </c>
      <c r="AF1307">
        <v>8.7740218058271494E-2</v>
      </c>
      <c r="AG1307">
        <v>-5.9735000000000101E-2</v>
      </c>
      <c r="AH1307">
        <v>0.50330053668774699</v>
      </c>
      <c r="AI1307">
        <v>96.668922298216401</v>
      </c>
      <c r="AJ1307">
        <v>80.111024369260093</v>
      </c>
      <c r="AK1307">
        <v>0.51437150613159699</v>
      </c>
      <c r="AL1307">
        <v>78.624877356174494</v>
      </c>
      <c r="AM1307">
        <v>86.166830714031207</v>
      </c>
      <c r="AN1307">
        <v>1.0000000198734</v>
      </c>
    </row>
    <row r="1308" spans="1:40" x14ac:dyDescent="0.25">
      <c r="A1308" t="str">
        <f>"20190312172353124"</f>
        <v>20190312172353124</v>
      </c>
      <c r="B1308" t="str">
        <f>"1552382633121335"</f>
        <v>1552382633121335</v>
      </c>
      <c r="C1308" t="s">
        <v>40</v>
      </c>
      <c r="D1308">
        <v>4.1925879999999998</v>
      </c>
      <c r="E1308">
        <v>0.5146809</v>
      </c>
      <c r="F1308" t="s">
        <v>41</v>
      </c>
      <c r="G1308">
        <v>-188.51130000000001</v>
      </c>
      <c r="H1308">
        <v>1.050451</v>
      </c>
      <c r="I1308">
        <v>339.33909999999997</v>
      </c>
      <c r="J1308">
        <v>-188.43180000000001</v>
      </c>
      <c r="K1308">
        <v>1.110663</v>
      </c>
      <c r="L1308">
        <v>339.8218</v>
      </c>
      <c r="M1308">
        <v>9.0177790000000001E-3</v>
      </c>
      <c r="N1308">
        <v>0</v>
      </c>
      <c r="O1308">
        <v>-0.99986140000000001</v>
      </c>
      <c r="P1308">
        <v>-5.5035290000000001E-2</v>
      </c>
      <c r="Q1308">
        <v>0.18189820000000001</v>
      </c>
      <c r="R1308">
        <v>-0.98177610000000004</v>
      </c>
      <c r="S1308">
        <v>-0.32232670000000002</v>
      </c>
      <c r="T1308">
        <v>-0.2496382</v>
      </c>
      <c r="U1308">
        <v>-3.085083</v>
      </c>
      <c r="V1308">
        <v>6.3960980000000001E-2</v>
      </c>
      <c r="W1308">
        <v>0.1955934</v>
      </c>
      <c r="X1308">
        <v>0.97859700000000005</v>
      </c>
      <c r="Y1308">
        <v>0.11254450000000001</v>
      </c>
      <c r="Z1308">
        <v>8.0176239999999996E-2</v>
      </c>
      <c r="AA1308">
        <v>0.99040680000000003</v>
      </c>
      <c r="AB1308">
        <v>26</v>
      </c>
      <c r="AC1308">
        <v>-7.9499999999995893E-2</v>
      </c>
      <c r="AD1308">
        <v>-6.0211999999999898E-2</v>
      </c>
      <c r="AE1308">
        <v>-0.482700000000022</v>
      </c>
      <c r="AF1308">
        <v>8.2598774773287795E-2</v>
      </c>
      <c r="AG1308">
        <v>-6.0211999999999898E-2</v>
      </c>
      <c r="AH1308">
        <v>0.47477101343363398</v>
      </c>
      <c r="AI1308">
        <v>97.121993759119405</v>
      </c>
      <c r="AJ1308">
        <v>80.130690333165205</v>
      </c>
      <c r="AK1308">
        <v>0.48564962445661197</v>
      </c>
      <c r="AL1308">
        <v>78.720608830895898</v>
      </c>
      <c r="AM1308">
        <v>86.260473797244799</v>
      </c>
      <c r="AN1308">
        <v>0.99999993674755805</v>
      </c>
    </row>
    <row r="1309" spans="1:40" x14ac:dyDescent="0.25">
      <c r="A1309" t="str">
        <f>"20190312172353144"</f>
        <v>20190312172353144</v>
      </c>
      <c r="B1309" t="str">
        <f>"1552382633140858"</f>
        <v>1552382633140858</v>
      </c>
      <c r="C1309" t="s">
        <v>40</v>
      </c>
      <c r="D1309">
        <v>4.2505850000000001</v>
      </c>
      <c r="E1309">
        <v>0.49271860000000001</v>
      </c>
      <c r="F1309" t="s">
        <v>41</v>
      </c>
      <c r="G1309">
        <v>-188.52600000000001</v>
      </c>
      <c r="H1309">
        <v>1.0343469999999999</v>
      </c>
      <c r="I1309">
        <v>338.88679999999999</v>
      </c>
      <c r="J1309">
        <v>-188.4297</v>
      </c>
      <c r="K1309">
        <v>1.110825</v>
      </c>
      <c r="L1309">
        <v>339.57909999999998</v>
      </c>
      <c r="M1309">
        <v>9.020073E-3</v>
      </c>
      <c r="N1309">
        <v>0</v>
      </c>
      <c r="O1309">
        <v>-0.99986149999999996</v>
      </c>
      <c r="P1309">
        <v>-5.3832159999999997E-2</v>
      </c>
      <c r="Q1309">
        <v>0.185137</v>
      </c>
      <c r="R1309">
        <v>-0.98123709999999997</v>
      </c>
      <c r="S1309">
        <v>-0.3107452</v>
      </c>
      <c r="T1309">
        <v>-0.2518495</v>
      </c>
      <c r="U1309">
        <v>-3.0849299999999999</v>
      </c>
      <c r="V1309">
        <v>6.2687900000000005E-2</v>
      </c>
      <c r="W1309">
        <v>0.19883719999999999</v>
      </c>
      <c r="X1309">
        <v>0.97802560000000005</v>
      </c>
      <c r="Y1309">
        <v>0.10886560000000001</v>
      </c>
      <c r="Z1309">
        <v>8.0917719999999999E-2</v>
      </c>
      <c r="AA1309">
        <v>0.99075760000000002</v>
      </c>
      <c r="AB1309">
        <v>26</v>
      </c>
      <c r="AC1309">
        <v>-9.6299999999985106E-2</v>
      </c>
      <c r="AD1309">
        <v>-7.6478000000000004E-2</v>
      </c>
      <c r="AE1309">
        <v>-0.69229999999998804</v>
      </c>
      <c r="AF1309">
        <v>0.101328202643864</v>
      </c>
      <c r="AG1309">
        <v>-7.6478000000000004E-2</v>
      </c>
      <c r="AH1309">
        <v>0.68322365930532403</v>
      </c>
      <c r="AI1309">
        <v>96.318387611731595</v>
      </c>
      <c r="AJ1309">
        <v>81.564014221450705</v>
      </c>
      <c r="AK1309">
        <v>0.69491787843571395</v>
      </c>
      <c r="AL1309">
        <v>78.531030567123807</v>
      </c>
      <c r="AM1309">
        <v>86.332564847180095</v>
      </c>
      <c r="AN1309">
        <v>1.0000000395827999</v>
      </c>
    </row>
    <row r="1310" spans="1:40" x14ac:dyDescent="0.25">
      <c r="A1310" t="str">
        <f>"20190312172353167"</f>
        <v>20190312172353167</v>
      </c>
      <c r="B1310" t="str">
        <f>"1552382633161351"</f>
        <v>1552382633161351</v>
      </c>
      <c r="C1310" t="s">
        <v>40</v>
      </c>
      <c r="D1310">
        <v>4.1641000000000004</v>
      </c>
      <c r="E1310">
        <v>0.493481</v>
      </c>
      <c r="F1310" t="s">
        <v>41</v>
      </c>
      <c r="G1310">
        <v>-188.46950000000001</v>
      </c>
      <c r="H1310">
        <v>1.0388189999999999</v>
      </c>
      <c r="I1310">
        <v>338.6542</v>
      </c>
      <c r="J1310">
        <v>-188.4273</v>
      </c>
      <c r="K1310">
        <v>1.110975</v>
      </c>
      <c r="L1310">
        <v>339.3141</v>
      </c>
      <c r="M1310">
        <v>9.2012459999999997E-3</v>
      </c>
      <c r="N1310">
        <v>0</v>
      </c>
      <c r="O1310">
        <v>-0.99985999999999997</v>
      </c>
      <c r="P1310">
        <v>-5.2643049999999997E-2</v>
      </c>
      <c r="Q1310">
        <v>0.1881922</v>
      </c>
      <c r="R1310">
        <v>-0.98072060000000005</v>
      </c>
      <c r="S1310">
        <v>-0.13262939999999901</v>
      </c>
      <c r="T1310">
        <v>-0.24124090000000001</v>
      </c>
      <c r="U1310">
        <v>-3.095612</v>
      </c>
      <c r="V1310">
        <v>6.1610970000000001E-2</v>
      </c>
      <c r="W1310">
        <v>0.20189389999999999</v>
      </c>
      <c r="X1310">
        <v>0.97746759999999999</v>
      </c>
      <c r="Y1310">
        <v>5.186785E-2</v>
      </c>
      <c r="Z1310">
        <v>7.760177E-2</v>
      </c>
      <c r="AA1310">
        <v>0.99563429999999997</v>
      </c>
      <c r="AB1310">
        <v>26</v>
      </c>
      <c r="AC1310">
        <v>-4.2200000000008203E-2</v>
      </c>
      <c r="AD1310">
        <v>-7.2155999999999804E-2</v>
      </c>
      <c r="AE1310">
        <v>-0.65989999999999305</v>
      </c>
      <c r="AF1310">
        <v>4.7702694399180103E-2</v>
      </c>
      <c r="AG1310">
        <v>-7.2155999999999804E-2</v>
      </c>
      <c r="AH1310">
        <v>0.651723410422966</v>
      </c>
      <c r="AI1310">
        <v>96.301090234030198</v>
      </c>
      <c r="AJ1310">
        <v>85.813718355410103</v>
      </c>
      <c r="AK1310">
        <v>0.65743854395850798</v>
      </c>
      <c r="AL1310">
        <v>78.352268765985997</v>
      </c>
      <c r="AM1310">
        <v>86.393348708776202</v>
      </c>
      <c r="AN1310">
        <v>0.99999998376565502</v>
      </c>
    </row>
    <row r="1311" spans="1:40" x14ac:dyDescent="0.25">
      <c r="A1311" t="str">
        <f>"20190312172353192"</f>
        <v>20190312172353192</v>
      </c>
      <c r="B1311" t="str">
        <f>"1552382633180872"</f>
        <v>1552382633180872</v>
      </c>
      <c r="C1311" t="s">
        <v>40</v>
      </c>
      <c r="D1311">
        <v>4.164847</v>
      </c>
      <c r="E1311">
        <v>0.49361699999999997</v>
      </c>
      <c r="F1311" t="s">
        <v>41</v>
      </c>
      <c r="G1311">
        <v>-188.4665</v>
      </c>
      <c r="H1311">
        <v>1.050235</v>
      </c>
      <c r="I1311">
        <v>338.41489999999999</v>
      </c>
      <c r="J1311">
        <v>-188.42449999999999</v>
      </c>
      <c r="K1311">
        <v>1.111089</v>
      </c>
      <c r="L1311">
        <v>339.03660000000002</v>
      </c>
      <c r="M1311">
        <v>9.5670270000000005E-3</v>
      </c>
      <c r="N1311">
        <v>0</v>
      </c>
      <c r="O1311">
        <v>-0.99985659999999998</v>
      </c>
      <c r="P1311">
        <v>-5.1662859999999998E-2</v>
      </c>
      <c r="Q1311">
        <v>0.1898706</v>
      </c>
      <c r="R1311">
        <v>-0.98044920000000002</v>
      </c>
      <c r="S1311">
        <v>-0.13442989999999999</v>
      </c>
      <c r="T1311">
        <v>-0.20885690000000001</v>
      </c>
      <c r="U1311">
        <v>-3.0917970000000001</v>
      </c>
      <c r="V1311">
        <v>6.0930850000000002E-2</v>
      </c>
      <c r="W1311">
        <v>0.20357629999999999</v>
      </c>
      <c r="X1311">
        <v>0.97716130000000001</v>
      </c>
      <c r="Y1311">
        <v>5.2896909999999998E-2</v>
      </c>
      <c r="Z1311">
        <v>6.7314890000000002E-2</v>
      </c>
      <c r="AA1311">
        <v>0.99632860000000001</v>
      </c>
      <c r="AB1311">
        <v>26</v>
      </c>
      <c r="AC1311">
        <v>-4.2000000000001501E-2</v>
      </c>
      <c r="AD1311">
        <v>-6.0853999999999901E-2</v>
      </c>
      <c r="AE1311">
        <v>-0.621700000000032</v>
      </c>
      <c r="AF1311">
        <v>4.7493505026117599E-2</v>
      </c>
      <c r="AG1311">
        <v>-6.0853999999999901E-2</v>
      </c>
      <c r="AH1311">
        <v>0.61540024855465603</v>
      </c>
      <c r="AI1311">
        <v>95.630712174111196</v>
      </c>
      <c r="AJ1311">
        <v>85.586946546719204</v>
      </c>
      <c r="AK1311">
        <v>0.62022278921110197</v>
      </c>
      <c r="AL1311">
        <v>78.253830814439397</v>
      </c>
      <c r="AM1311">
        <v>86.431943764715101</v>
      </c>
      <c r="AN1311">
        <v>1.00000004231055</v>
      </c>
    </row>
    <row r="1312" spans="1:40" x14ac:dyDescent="0.25">
      <c r="A1312" t="str">
        <f>"20190312172353214"</f>
        <v>20190312172353214</v>
      </c>
      <c r="B1312" t="str">
        <f>"1552382633201367"</f>
        <v>1552382633201367</v>
      </c>
      <c r="C1312" t="s">
        <v>40</v>
      </c>
      <c r="D1312">
        <v>4.1352419999999999</v>
      </c>
      <c r="E1312">
        <v>0.49434329999999999</v>
      </c>
      <c r="F1312" t="s">
        <v>43</v>
      </c>
      <c r="G1312">
        <v>-189.17850000000001</v>
      </c>
      <c r="H1312" s="1">
        <v>-8.4139840000000002E-7</v>
      </c>
      <c r="I1312">
        <v>321.25439999999998</v>
      </c>
      <c r="J1312">
        <v>-188.42169999999999</v>
      </c>
      <c r="K1312">
        <v>1.1112059999999999</v>
      </c>
      <c r="L1312">
        <v>338.78179999999998</v>
      </c>
      <c r="M1312">
        <v>1.0055990000000001E-2</v>
      </c>
      <c r="N1312">
        <v>0</v>
      </c>
      <c r="O1312">
        <v>-0.99985190000000002</v>
      </c>
      <c r="P1312">
        <v>-5.0435960000000002E-2</v>
      </c>
      <c r="Q1312">
        <v>0.19242960000000001</v>
      </c>
      <c r="R1312">
        <v>-0.98001389999999999</v>
      </c>
      <c r="S1312">
        <v>-0.13102719999999901</v>
      </c>
      <c r="T1312">
        <v>-0.19309460000000001</v>
      </c>
      <c r="U1312">
        <v>-3.0903320000000001</v>
      </c>
      <c r="V1312">
        <v>6.0124990000000003E-2</v>
      </c>
      <c r="W1312">
        <v>0.20613619999999999</v>
      </c>
      <c r="X1312">
        <v>0.97667440000000005</v>
      </c>
      <c r="Y1312">
        <v>5.2324559999999999E-2</v>
      </c>
      <c r="Z1312">
        <v>6.2286519999999998E-2</v>
      </c>
      <c r="AA1312">
        <v>0.99668579999999996</v>
      </c>
      <c r="AB1312">
        <v>26</v>
      </c>
      <c r="AC1312">
        <v>-0.75680000000002601</v>
      </c>
      <c r="AD1312">
        <v>-1.1112068413984</v>
      </c>
      <c r="AE1312">
        <v>-17.5274</v>
      </c>
      <c r="AF1312">
        <v>0.92930603127630396</v>
      </c>
      <c r="AG1312">
        <v>-1.1112068413984</v>
      </c>
      <c r="AH1312">
        <v>17.448899914276002</v>
      </c>
      <c r="AI1312">
        <v>93.638731419622104</v>
      </c>
      <c r="AJ1312">
        <v>86.951380548269199</v>
      </c>
      <c r="AK1312">
        <v>17.508926253844301</v>
      </c>
      <c r="AL1312">
        <v>78.103980986211297</v>
      </c>
      <c r="AM1312">
        <v>86.4772638046352</v>
      </c>
      <c r="AN1312">
        <v>1.00000001549415</v>
      </c>
    </row>
    <row r="1313" spans="1:40" x14ac:dyDescent="0.25">
      <c r="A1313" t="str">
        <f>"20190312172353236"</f>
        <v>20190312172353236</v>
      </c>
      <c r="B1313" t="str">
        <f>"1552382633230647"</f>
        <v>1552382633230647</v>
      </c>
      <c r="C1313" t="s">
        <v>40</v>
      </c>
      <c r="D1313">
        <v>4.1203200000000004</v>
      </c>
      <c r="E1313">
        <v>0.49478719999999998</v>
      </c>
      <c r="F1313" t="s">
        <v>43</v>
      </c>
      <c r="G1313">
        <v>-189.2303</v>
      </c>
      <c r="H1313" s="1">
        <v>-2.5992740000000002E-7</v>
      </c>
      <c r="I1313">
        <v>319.81009999999998</v>
      </c>
      <c r="J1313">
        <v>-188.41849999999999</v>
      </c>
      <c r="K1313">
        <v>1.111335</v>
      </c>
      <c r="L1313">
        <v>338.52159999999998</v>
      </c>
      <c r="M1313">
        <v>1.071224E-2</v>
      </c>
      <c r="N1313">
        <v>0</v>
      </c>
      <c r="O1313">
        <v>-0.99984530000000005</v>
      </c>
      <c r="P1313">
        <v>-4.8562330000000001E-2</v>
      </c>
      <c r="Q1313">
        <v>0.1940479</v>
      </c>
      <c r="R1313">
        <v>-0.97978949999999998</v>
      </c>
      <c r="S1313">
        <v>-0.1316986</v>
      </c>
      <c r="T1313">
        <v>-0.1809828</v>
      </c>
      <c r="U1313">
        <v>-3.0899350000000001</v>
      </c>
      <c r="V1313">
        <v>5.8830319999999998E-2</v>
      </c>
      <c r="W1313">
        <v>0.20776059999999999</v>
      </c>
      <c r="X1313">
        <v>0.97640899999999997</v>
      </c>
      <c r="Y1313">
        <v>5.321157E-2</v>
      </c>
      <c r="Z1313">
        <v>5.839863E-2</v>
      </c>
      <c r="AA1313">
        <v>0.99687420000000004</v>
      </c>
      <c r="AB1313">
        <v>26</v>
      </c>
      <c r="AC1313">
        <v>-0.81180000000000496</v>
      </c>
      <c r="AD1313">
        <v>-1.1113352599274</v>
      </c>
      <c r="AE1313">
        <v>-18.711500000000001</v>
      </c>
      <c r="AF1313">
        <v>1.0086635739129799</v>
      </c>
      <c r="AG1313">
        <v>-1.1113352599274</v>
      </c>
      <c r="AH1313">
        <v>18.6361128430698</v>
      </c>
      <c r="AI1313">
        <v>93.407726208198795</v>
      </c>
      <c r="AJ1313">
        <v>86.901938046573406</v>
      </c>
      <c r="AK1313">
        <v>18.696448062798598</v>
      </c>
      <c r="AL1313">
        <v>78.008850173679704</v>
      </c>
      <c r="AM1313">
        <v>86.551999193071197</v>
      </c>
      <c r="AN1313">
        <v>1.0000000043723301</v>
      </c>
    </row>
    <row r="1314" spans="1:40" x14ac:dyDescent="0.25">
      <c r="A1314" t="str">
        <f>"20190312172353257"</f>
        <v>20190312172353257</v>
      </c>
      <c r="B1314" t="str">
        <f>"1552382633251144"</f>
        <v>1552382633251144</v>
      </c>
      <c r="C1314" t="s">
        <v>40</v>
      </c>
      <c r="D1314">
        <v>4.1753799999999996</v>
      </c>
      <c r="E1314">
        <v>0.49501469999999997</v>
      </c>
      <c r="F1314" t="s">
        <v>43</v>
      </c>
      <c r="G1314">
        <v>-189.1961</v>
      </c>
      <c r="H1314" s="1">
        <v>-3.0665000000000001E-7</v>
      </c>
      <c r="I1314">
        <v>319.92070000000001</v>
      </c>
      <c r="J1314">
        <v>-188.4151</v>
      </c>
      <c r="K1314">
        <v>1.1114310000000001</v>
      </c>
      <c r="L1314">
        <v>338.27890000000002</v>
      </c>
      <c r="M1314">
        <v>1.147657E-2</v>
      </c>
      <c r="N1314">
        <v>0</v>
      </c>
      <c r="O1314">
        <v>-0.99983699999999998</v>
      </c>
      <c r="P1314">
        <v>-4.8352039999999999E-2</v>
      </c>
      <c r="Q1314">
        <v>0.18960389999999999</v>
      </c>
      <c r="R1314">
        <v>-0.98066960000000003</v>
      </c>
      <c r="S1314">
        <v>-0.12927249999999901</v>
      </c>
      <c r="T1314">
        <v>-0.18473980000000001</v>
      </c>
      <c r="U1314">
        <v>-3.0920719999999999</v>
      </c>
      <c r="V1314">
        <v>5.932349E-2</v>
      </c>
      <c r="W1314">
        <v>0.20334240000000001</v>
      </c>
      <c r="X1314">
        <v>0.97730890000000004</v>
      </c>
      <c r="Y1314">
        <v>5.3161960000000001E-2</v>
      </c>
      <c r="Z1314">
        <v>5.9565949999999999E-2</v>
      </c>
      <c r="AA1314">
        <v>0.99680780000000002</v>
      </c>
      <c r="AB1314">
        <v>26</v>
      </c>
      <c r="AC1314">
        <v>-0.78100000000000502</v>
      </c>
      <c r="AD1314">
        <v>-1.1114313066499999</v>
      </c>
      <c r="AE1314">
        <v>-18.3582</v>
      </c>
      <c r="AF1314">
        <v>0.98804329427870596</v>
      </c>
      <c r="AG1314">
        <v>-1.1114313066499999</v>
      </c>
      <c r="AH1314">
        <v>18.281142526740801</v>
      </c>
      <c r="AI1314">
        <v>93.474048411333399</v>
      </c>
      <c r="AJ1314">
        <v>86.906337480821094</v>
      </c>
      <c r="AK1314">
        <v>18.341528867130499</v>
      </c>
      <c r="AL1314">
        <v>78.267518655230205</v>
      </c>
      <c r="AM1314">
        <v>86.526359086492903</v>
      </c>
      <c r="AN1314">
        <v>1.0000000470613699</v>
      </c>
    </row>
    <row r="1315" spans="1:40" x14ac:dyDescent="0.25">
      <c r="A1315" t="str">
        <f>"20190312172353280"</f>
        <v>20190312172353280</v>
      </c>
      <c r="B1315" t="str">
        <f>"1552382633270665"</f>
        <v>1552382633270665</v>
      </c>
      <c r="C1315" t="s">
        <v>40</v>
      </c>
      <c r="D1315">
        <v>4.1814669999999996</v>
      </c>
      <c r="E1315">
        <v>0.4954288</v>
      </c>
      <c r="F1315" t="s">
        <v>43</v>
      </c>
      <c r="G1315">
        <v>-189.1438</v>
      </c>
      <c r="H1315" s="1">
        <v>-6.8851999999999997E-7</v>
      </c>
      <c r="I1315">
        <v>320.88369999999998</v>
      </c>
      <c r="J1315">
        <v>-188.4111</v>
      </c>
      <c r="K1315">
        <v>1.1115429999999999</v>
      </c>
      <c r="L1315">
        <v>338.01519999999999</v>
      </c>
      <c r="M1315">
        <v>1.247243E-2</v>
      </c>
      <c r="N1315">
        <v>0</v>
      </c>
      <c r="O1315">
        <v>-0.99982510000000002</v>
      </c>
      <c r="P1315">
        <v>-4.8165529999999998E-2</v>
      </c>
      <c r="Q1315">
        <v>0.18655720000000001</v>
      </c>
      <c r="R1315">
        <v>-0.981263</v>
      </c>
      <c r="S1315">
        <v>-0.12948609999999999</v>
      </c>
      <c r="T1315">
        <v>-0.19748830000000001</v>
      </c>
      <c r="U1315">
        <v>-3.0909119999999999</v>
      </c>
      <c r="V1315">
        <v>6.0059719999999997E-2</v>
      </c>
      <c r="W1315">
        <v>0.20031930000000001</v>
      </c>
      <c r="X1315">
        <v>0.97788799999999998</v>
      </c>
      <c r="Y1315">
        <v>5.4230279999999999E-2</v>
      </c>
      <c r="Z1315">
        <v>6.3681020000000005E-2</v>
      </c>
      <c r="AA1315">
        <v>0.99649580000000004</v>
      </c>
      <c r="AB1315">
        <v>26</v>
      </c>
      <c r="AC1315">
        <v>-0.73269999999999402</v>
      </c>
      <c r="AD1315">
        <v>-1.1115436885200001</v>
      </c>
      <c r="AE1315">
        <v>-17.131499999999999</v>
      </c>
      <c r="AF1315">
        <v>0.94237520753197801</v>
      </c>
      <c r="AG1315">
        <v>-1.1115436885200001</v>
      </c>
      <c r="AH1315">
        <v>17.049384167409901</v>
      </c>
      <c r="AI1315">
        <v>93.724480896607801</v>
      </c>
      <c r="AJ1315">
        <v>86.836294160376696</v>
      </c>
      <c r="AK1315">
        <v>17.111548757818198</v>
      </c>
      <c r="AL1315">
        <v>78.444368161038696</v>
      </c>
      <c r="AM1315">
        <v>86.485434549494002</v>
      </c>
      <c r="AN1315">
        <v>0.99999996623148302</v>
      </c>
    </row>
    <row r="1316" spans="1:40" x14ac:dyDescent="0.25">
      <c r="A1316" t="str">
        <f>"20190312172353302"</f>
        <v>20190312172353302</v>
      </c>
      <c r="B1316" t="str">
        <f>"1552382633291159"</f>
        <v>1552382633291159</v>
      </c>
      <c r="C1316" t="s">
        <v>40</v>
      </c>
      <c r="D1316">
        <v>4.1833260000000001</v>
      </c>
      <c r="E1316">
        <v>0.49575229999999998</v>
      </c>
      <c r="F1316" t="s">
        <v>43</v>
      </c>
      <c r="G1316">
        <v>-189.101</v>
      </c>
      <c r="H1316" s="1">
        <v>-9.6737399999999996E-7</v>
      </c>
      <c r="I1316">
        <v>321.51600000000002</v>
      </c>
      <c r="J1316">
        <v>-188.4068</v>
      </c>
      <c r="K1316">
        <v>1.1116779999999999</v>
      </c>
      <c r="L1316">
        <v>337.7697</v>
      </c>
      <c r="M1316">
        <v>1.356771E-2</v>
      </c>
      <c r="N1316">
        <v>0</v>
      </c>
      <c r="O1316">
        <v>-0.99981109999999895</v>
      </c>
      <c r="P1316">
        <v>-4.8439129999999997E-2</v>
      </c>
      <c r="Q1316">
        <v>0.19058829999999999</v>
      </c>
      <c r="R1316">
        <v>-0.98047479999999998</v>
      </c>
      <c r="S1316">
        <v>-0.1292267</v>
      </c>
      <c r="T1316">
        <v>-0.20820739999999999</v>
      </c>
      <c r="U1316">
        <v>-3.0905149999999999</v>
      </c>
      <c r="V1316">
        <v>6.1332490000000003E-2</v>
      </c>
      <c r="W1316">
        <v>0.20435439999999999</v>
      </c>
      <c r="X1316">
        <v>0.97697369999999994</v>
      </c>
      <c r="Y1316">
        <v>5.5236529999999999E-2</v>
      </c>
      <c r="Z1316">
        <v>6.7127629999999994E-2</v>
      </c>
      <c r="AA1316">
        <v>0.99621420000000005</v>
      </c>
      <c r="AB1316">
        <v>26</v>
      </c>
      <c r="AC1316">
        <v>-0.69419999999999404</v>
      </c>
      <c r="AD1316">
        <v>-1.111678967374</v>
      </c>
      <c r="AE1316">
        <v>-16.253699999999998</v>
      </c>
      <c r="AF1316">
        <v>0.91043174973977903</v>
      </c>
      <c r="AG1316">
        <v>-1.111678967374</v>
      </c>
      <c r="AH1316">
        <v>16.167292159606902</v>
      </c>
      <c r="AI1316">
        <v>93.927320160253103</v>
      </c>
      <c r="AJ1316">
        <v>86.776896175543797</v>
      </c>
      <c r="AK1316">
        <v>16.231021282455501</v>
      </c>
      <c r="AL1316">
        <v>78.208291177174701</v>
      </c>
      <c r="AM1316">
        <v>86.407797602692597</v>
      </c>
      <c r="AN1316">
        <v>1.00000000281032</v>
      </c>
    </row>
    <row r="1317" spans="1:40" x14ac:dyDescent="0.25">
      <c r="A1317" t="str">
        <f>"20190312172353324"</f>
        <v>20190312172353324</v>
      </c>
      <c r="B1317" t="str">
        <f>"1552382633321416"</f>
        <v>1552382633321416</v>
      </c>
      <c r="C1317" t="s">
        <v>40</v>
      </c>
      <c r="D1317">
        <v>4.1657070000000003</v>
      </c>
      <c r="E1317">
        <v>0.49595159999999999</v>
      </c>
      <c r="F1317" t="s">
        <v>41</v>
      </c>
      <c r="G1317">
        <v>-188.44800000000001</v>
      </c>
      <c r="H1317">
        <v>1.051458</v>
      </c>
      <c r="I1317">
        <v>336.80889999999999</v>
      </c>
      <c r="J1317">
        <v>-188.40209999999999</v>
      </c>
      <c r="K1317">
        <v>1.111785</v>
      </c>
      <c r="L1317">
        <v>337.51889999999997</v>
      </c>
      <c r="M1317">
        <v>1.484735E-2</v>
      </c>
      <c r="N1317">
        <v>0</v>
      </c>
      <c r="O1317">
        <v>-0.99979289999999998</v>
      </c>
      <c r="P1317">
        <v>-4.9082130000000002E-2</v>
      </c>
      <c r="Q1317">
        <v>0.19183649999999999</v>
      </c>
      <c r="R1317">
        <v>-0.9801993</v>
      </c>
      <c r="S1317">
        <v>-0.13206479999999901</v>
      </c>
      <c r="T1317">
        <v>-0.1939726</v>
      </c>
      <c r="U1317">
        <v>-3.0909420000000001</v>
      </c>
      <c r="V1317">
        <v>6.3172389999999995E-2</v>
      </c>
      <c r="W1317">
        <v>0.20561409999999999</v>
      </c>
      <c r="X1317">
        <v>0.97659209999999996</v>
      </c>
      <c r="Y1317">
        <v>5.7434399999999997E-2</v>
      </c>
      <c r="Z1317">
        <v>6.2541470000000002E-2</v>
      </c>
      <c r="AA1317">
        <v>0.99638839999999995</v>
      </c>
      <c r="AB1317">
        <v>26</v>
      </c>
      <c r="AC1317">
        <v>-4.5899999999988901E-2</v>
      </c>
      <c r="AD1317">
        <v>-6.0326999999999999E-2</v>
      </c>
      <c r="AE1317">
        <v>-0.70999999999997898</v>
      </c>
      <c r="AF1317">
        <v>5.6034720587340103E-2</v>
      </c>
      <c r="AG1317">
        <v>-6.0326999999999999E-2</v>
      </c>
      <c r="AH1317">
        <v>0.70417751679806395</v>
      </c>
      <c r="AI1317">
        <v>94.881227619601503</v>
      </c>
      <c r="AJ1317">
        <v>85.450292009145102</v>
      </c>
      <c r="AK1317">
        <v>0.70897476118983904</v>
      </c>
      <c r="AL1317">
        <v>78.134549999662099</v>
      </c>
      <c r="AM1317">
        <v>86.298889240169103</v>
      </c>
      <c r="AN1317">
        <v>1.00000001937976</v>
      </c>
    </row>
    <row r="1318" spans="1:40" x14ac:dyDescent="0.25">
      <c r="A1318" t="str">
        <f>"20190312172353346"</f>
        <v>20190312172353346</v>
      </c>
      <c r="B1318" t="str">
        <f>"1552382633340936"</f>
        <v>1552382633340936</v>
      </c>
      <c r="C1318" t="s">
        <v>40</v>
      </c>
      <c r="D1318">
        <v>4.174277</v>
      </c>
      <c r="E1318">
        <v>0.4961798</v>
      </c>
      <c r="F1318" t="s">
        <v>41</v>
      </c>
      <c r="G1318">
        <v>-188.4435</v>
      </c>
      <c r="H1318">
        <v>1.052419</v>
      </c>
      <c r="I1318">
        <v>336.58010000000002</v>
      </c>
      <c r="J1318">
        <v>-188.39670000000001</v>
      </c>
      <c r="K1318">
        <v>1.1118629999999901</v>
      </c>
      <c r="L1318">
        <v>337.26280000000003</v>
      </c>
      <c r="M1318">
        <v>1.6275299999999999E-2</v>
      </c>
      <c r="N1318">
        <v>0</v>
      </c>
      <c r="O1318">
        <v>-0.99977070000000001</v>
      </c>
      <c r="P1318">
        <v>-5.0222700000000002E-2</v>
      </c>
      <c r="Q1318">
        <v>0.19022710000000001</v>
      </c>
      <c r="R1318">
        <v>-0.98045519999999997</v>
      </c>
      <c r="S1318">
        <v>-0.1362457</v>
      </c>
      <c r="T1318">
        <v>-0.1956292</v>
      </c>
      <c r="U1318">
        <v>-3.0921020000000001</v>
      </c>
      <c r="V1318">
        <v>6.5681020000000007E-2</v>
      </c>
      <c r="W1318">
        <v>0.2040226</v>
      </c>
      <c r="X1318">
        <v>0.97676039999999997</v>
      </c>
      <c r="Y1318">
        <v>6.0187459999999998E-2</v>
      </c>
      <c r="Z1318">
        <v>6.3040910000000006E-2</v>
      </c>
      <c r="AA1318">
        <v>0.99619440000000004</v>
      </c>
      <c r="AB1318">
        <v>26</v>
      </c>
      <c r="AC1318">
        <v>-4.6799999999990398E-2</v>
      </c>
      <c r="AD1318">
        <v>-5.9443999999999803E-2</v>
      </c>
      <c r="AE1318">
        <v>-0.68270000000001096</v>
      </c>
      <c r="AF1318">
        <v>5.7472333863185898E-2</v>
      </c>
      <c r="AG1318">
        <v>-5.9443999999999803E-2</v>
      </c>
      <c r="AH1318">
        <v>0.67674107252882498</v>
      </c>
      <c r="AI1318">
        <v>95.001984340296701</v>
      </c>
      <c r="AJ1318">
        <v>85.145795205870797</v>
      </c>
      <c r="AK1318">
        <v>0.68177352364487298</v>
      </c>
      <c r="AL1318">
        <v>78.227711606817707</v>
      </c>
      <c r="AM1318">
        <v>86.153009002867606</v>
      </c>
      <c r="AN1318">
        <v>1.00000004835357</v>
      </c>
    </row>
    <row r="1319" spans="1:40" x14ac:dyDescent="0.25">
      <c r="A1319" t="str">
        <f>"20190312172353369"</f>
        <v>20190312172353369</v>
      </c>
      <c r="B1319" t="str">
        <f>"1552382633361432"</f>
        <v>1552382633361432</v>
      </c>
      <c r="C1319" t="s">
        <v>40</v>
      </c>
      <c r="D1319">
        <v>4.1716749999999996</v>
      </c>
      <c r="E1319">
        <v>0.4963824</v>
      </c>
      <c r="F1319" t="s">
        <v>41</v>
      </c>
      <c r="G1319">
        <v>-188.43870000000001</v>
      </c>
      <c r="H1319">
        <v>1.052405</v>
      </c>
      <c r="I1319">
        <v>336.35239999999999</v>
      </c>
      <c r="J1319">
        <v>-188.39089999999999</v>
      </c>
      <c r="K1319">
        <v>1.11191</v>
      </c>
      <c r="L1319">
        <v>337.00850000000003</v>
      </c>
      <c r="M1319">
        <v>1.7787069999999999E-2</v>
      </c>
      <c r="N1319">
        <v>0</v>
      </c>
      <c r="O1319">
        <v>-0.99974470000000004</v>
      </c>
      <c r="P1319">
        <v>-5.1533679999999998E-2</v>
      </c>
      <c r="Q1319">
        <v>0.1894923</v>
      </c>
      <c r="R1319">
        <v>-0.98052879999999998</v>
      </c>
      <c r="S1319">
        <v>-0.1422882</v>
      </c>
      <c r="T1319">
        <v>-0.20203850000000001</v>
      </c>
      <c r="U1319">
        <v>-3.091736</v>
      </c>
      <c r="V1319">
        <v>6.8449389999999999E-2</v>
      </c>
      <c r="W1319">
        <v>0.20329990000000001</v>
      </c>
      <c r="X1319">
        <v>0.97672099999999995</v>
      </c>
      <c r="Y1319">
        <v>6.3638609999999998E-2</v>
      </c>
      <c r="Z1319">
        <v>6.5092960000000005E-2</v>
      </c>
      <c r="AA1319">
        <v>0.99584790000000001</v>
      </c>
      <c r="AB1319">
        <v>26</v>
      </c>
      <c r="AC1319">
        <v>-4.7800000000023601E-2</v>
      </c>
      <c r="AD1319">
        <v>-5.9504999999999898E-2</v>
      </c>
      <c r="AE1319">
        <v>-0.65610000000003699</v>
      </c>
      <c r="AF1319">
        <v>5.8981073770488203E-2</v>
      </c>
      <c r="AG1319">
        <v>-5.9504999999999898E-2</v>
      </c>
      <c r="AH1319">
        <v>0.64982887711312098</v>
      </c>
      <c r="AI1319">
        <v>95.210697932006696</v>
      </c>
      <c r="AJ1319">
        <v>84.813815669730104</v>
      </c>
      <c r="AK1319">
        <v>0.65520773928443399</v>
      </c>
      <c r="AL1319">
        <v>78.2700055913581</v>
      </c>
      <c r="AM1319">
        <v>85.991220105119197</v>
      </c>
      <c r="AN1319">
        <v>1.0000000400861899</v>
      </c>
    </row>
    <row r="1320" spans="1:40" x14ac:dyDescent="0.25">
      <c r="A1320" t="str">
        <f>"20190312172353391"</f>
        <v>20190312172353391</v>
      </c>
      <c r="B1320" t="str">
        <f>"1552382633380955"</f>
        <v>1552382633380955</v>
      </c>
      <c r="C1320" t="s">
        <v>40</v>
      </c>
      <c r="D1320">
        <v>4.1922519999999999</v>
      </c>
      <c r="E1320">
        <v>0.49631019999999998</v>
      </c>
      <c r="F1320" t="s">
        <v>41</v>
      </c>
      <c r="G1320">
        <v>-188.43389999999999</v>
      </c>
      <c r="H1320">
        <v>1.0538190000000001</v>
      </c>
      <c r="I1320">
        <v>336.11579999999998</v>
      </c>
      <c r="J1320">
        <v>-188.38460000000001</v>
      </c>
      <c r="K1320">
        <v>1.1119490000000001</v>
      </c>
      <c r="L1320">
        <v>336.7543</v>
      </c>
      <c r="M1320">
        <v>1.936415E-2</v>
      </c>
      <c r="N1320">
        <v>0</v>
      </c>
      <c r="O1320">
        <v>-0.99971560000000004</v>
      </c>
      <c r="P1320">
        <v>-5.2823759999999997E-2</v>
      </c>
      <c r="Q1320">
        <v>0.18985469999999999</v>
      </c>
      <c r="R1320">
        <v>-0.98039050000000005</v>
      </c>
      <c r="S1320">
        <v>-0.14816279999999901</v>
      </c>
      <c r="T1320">
        <v>-0.20144960000000001</v>
      </c>
      <c r="U1320">
        <v>-3.0906980000000002</v>
      </c>
      <c r="V1320">
        <v>7.1262580000000006E-2</v>
      </c>
      <c r="W1320">
        <v>0.20366870000000001</v>
      </c>
      <c r="X1320">
        <v>0.9764429</v>
      </c>
      <c r="Y1320">
        <v>6.7117090000000004E-2</v>
      </c>
      <c r="Z1320">
        <v>6.4912559999999994E-2</v>
      </c>
      <c r="AA1320">
        <v>0.9956313</v>
      </c>
      <c r="AB1320">
        <v>26</v>
      </c>
      <c r="AC1320">
        <v>-4.9299999999988103E-2</v>
      </c>
      <c r="AD1320">
        <v>-5.8130000000000001E-2</v>
      </c>
      <c r="AE1320">
        <v>-0.63850000000002105</v>
      </c>
      <c r="AF1320">
        <v>6.1152103302989702E-2</v>
      </c>
      <c r="AG1320">
        <v>-5.8130000000000001E-2</v>
      </c>
      <c r="AH1320">
        <v>0.63221640579341298</v>
      </c>
      <c r="AI1320">
        <v>95.229099021548095</v>
      </c>
      <c r="AJ1320">
        <v>84.475165068780896</v>
      </c>
      <c r="AK1320">
        <v>0.63782149571233504</v>
      </c>
      <c r="AL1320">
        <v>78.2484230805903</v>
      </c>
      <c r="AM1320">
        <v>85.825850222679904</v>
      </c>
      <c r="AN1320">
        <v>1.00000001581417</v>
      </c>
    </row>
    <row r="1321" spans="1:40" x14ac:dyDescent="0.25">
      <c r="A1321" t="str">
        <f>"20190312172353415"</f>
        <v>20190312172353415</v>
      </c>
      <c r="B1321" t="str">
        <f>"1552382633411207"</f>
        <v>1552382633411207</v>
      </c>
      <c r="C1321" t="s">
        <v>40</v>
      </c>
      <c r="D1321">
        <v>4.2024410000000003</v>
      </c>
      <c r="E1321">
        <v>0.49638090000000001</v>
      </c>
      <c r="F1321" t="s">
        <v>43</v>
      </c>
      <c r="G1321">
        <v>-189.22149999999999</v>
      </c>
      <c r="H1321" s="1">
        <v>-2.5119249999999998E-7</v>
      </c>
      <c r="I1321">
        <v>319.77749999999997</v>
      </c>
      <c r="J1321">
        <v>-188.3777</v>
      </c>
      <c r="K1321">
        <v>1.1119779999999999</v>
      </c>
      <c r="L1321">
        <v>336.49079999999998</v>
      </c>
      <c r="M1321">
        <v>2.103787E-2</v>
      </c>
      <c r="N1321">
        <v>0</v>
      </c>
      <c r="O1321">
        <v>-0.99968190000000001</v>
      </c>
      <c r="P1321">
        <v>-5.3470089999999998E-2</v>
      </c>
      <c r="Q1321">
        <v>0.1898089</v>
      </c>
      <c r="R1321">
        <v>-0.98036409999999996</v>
      </c>
      <c r="S1321">
        <v>-0.15235899999999999</v>
      </c>
      <c r="T1321">
        <v>-0.20245469999999999</v>
      </c>
      <c r="U1321">
        <v>-3.0910030000000002</v>
      </c>
      <c r="V1321">
        <v>7.3535959999999997E-2</v>
      </c>
      <c r="W1321">
        <v>0.20362759999999999</v>
      </c>
      <c r="X1321">
        <v>0.97628289999999995</v>
      </c>
      <c r="Y1321">
        <v>7.0129949999999996E-2</v>
      </c>
      <c r="Z1321">
        <v>6.5216399999999994E-2</v>
      </c>
      <c r="AA1321">
        <v>0.99540379999999995</v>
      </c>
      <c r="AB1321">
        <v>25</v>
      </c>
      <c r="AC1321">
        <v>-0.843799999999987</v>
      </c>
      <c r="AD1321">
        <v>-1.1119782511925</v>
      </c>
      <c r="AE1321">
        <v>-16.7133</v>
      </c>
      <c r="AF1321">
        <v>1.19000521209555</v>
      </c>
      <c r="AG1321">
        <v>-1.1119782511925</v>
      </c>
      <c r="AH1321">
        <v>16.618470879032401</v>
      </c>
      <c r="AI1321">
        <v>93.818331786793294</v>
      </c>
      <c r="AJ1321">
        <v>85.904190196874296</v>
      </c>
      <c r="AK1321">
        <v>16.698089183891302</v>
      </c>
      <c r="AL1321">
        <v>78.250828377734194</v>
      </c>
      <c r="AM1321">
        <v>85.692478927017703</v>
      </c>
      <c r="AN1321">
        <v>1.00000001886364</v>
      </c>
    </row>
    <row r="1322" spans="1:40" x14ac:dyDescent="0.25">
      <c r="A1322" t="str">
        <f>"20190312172353437"</f>
        <v>20190312172353437</v>
      </c>
      <c r="B1322" t="str">
        <f>"1552382633430729"</f>
        <v>1552382633430729</v>
      </c>
      <c r="C1322" t="s">
        <v>40</v>
      </c>
      <c r="D1322">
        <v>4.2644500000000001</v>
      </c>
      <c r="E1322">
        <v>0.49633349999999998</v>
      </c>
      <c r="F1322" t="s">
        <v>43</v>
      </c>
      <c r="G1322">
        <v>-189.2422</v>
      </c>
      <c r="H1322" s="1">
        <v>-4.7731580000000004E-6</v>
      </c>
      <c r="I1322">
        <v>319.44439999999997</v>
      </c>
      <c r="J1322">
        <v>-188.37039999999999</v>
      </c>
      <c r="K1322">
        <v>1.1119870000000001</v>
      </c>
      <c r="L1322">
        <v>336.23239999999998</v>
      </c>
      <c r="M1322">
        <v>2.269121E-2</v>
      </c>
      <c r="N1322">
        <v>0</v>
      </c>
      <c r="O1322">
        <v>-0.99964569999999997</v>
      </c>
      <c r="P1322">
        <v>-5.3964419999999999E-2</v>
      </c>
      <c r="Q1322">
        <v>0.189747</v>
      </c>
      <c r="R1322">
        <v>-0.98034920000000003</v>
      </c>
      <c r="S1322">
        <v>-0.156738299999999</v>
      </c>
      <c r="T1322">
        <v>-0.20160520000000001</v>
      </c>
      <c r="U1322">
        <v>-3.0905459999999998</v>
      </c>
      <c r="V1322">
        <v>7.5643680000000005E-2</v>
      </c>
      <c r="W1322">
        <v>0.20356879999999999</v>
      </c>
      <c r="X1322">
        <v>0.9761341</v>
      </c>
      <c r="Y1322">
        <v>7.3194540000000002E-2</v>
      </c>
      <c r="Z1322">
        <v>6.4940499999999998E-2</v>
      </c>
      <c r="AA1322">
        <v>0.99520109999999995</v>
      </c>
      <c r="AB1322">
        <v>25</v>
      </c>
      <c r="AC1322">
        <v>-0.87180000000000701</v>
      </c>
      <c r="AD1322">
        <v>-1.111991773158</v>
      </c>
      <c r="AE1322">
        <v>-16.788</v>
      </c>
      <c r="AF1322">
        <v>1.2470956305643299</v>
      </c>
      <c r="AG1322">
        <v>-1.111991773158</v>
      </c>
      <c r="AH1322">
        <v>16.690860304109599</v>
      </c>
      <c r="AI1322">
        <v>93.801008382461205</v>
      </c>
      <c r="AJ1322">
        <v>85.726955243642394</v>
      </c>
      <c r="AK1322">
        <v>16.7742836182844</v>
      </c>
      <c r="AL1322">
        <v>78.254269242409094</v>
      </c>
      <c r="AM1322">
        <v>85.568826947128798</v>
      </c>
      <c r="AN1322">
        <v>1.0000000019200901</v>
      </c>
    </row>
    <row r="1323" spans="1:40" x14ac:dyDescent="0.25">
      <c r="A1323" t="str">
        <f>"20190312172353458"</f>
        <v>20190312172353458</v>
      </c>
      <c r="B1323" t="str">
        <f>"1552382633451225"</f>
        <v>1552382633451225</v>
      </c>
      <c r="C1323" t="s">
        <v>40</v>
      </c>
      <c r="D1323">
        <v>4.21495</v>
      </c>
      <c r="E1323">
        <v>0.49630000000000002</v>
      </c>
      <c r="F1323" t="s">
        <v>43</v>
      </c>
      <c r="G1323">
        <v>-189.2432</v>
      </c>
      <c r="H1323" s="1">
        <v>-4.7001619999999997E-6</v>
      </c>
      <c r="I1323">
        <v>319.2903</v>
      </c>
      <c r="J1323">
        <v>-188.36330000000001</v>
      </c>
      <c r="K1323">
        <v>1.1119730000000001</v>
      </c>
      <c r="L1323">
        <v>335.99180000000001</v>
      </c>
      <c r="M1323">
        <v>2.423022E-2</v>
      </c>
      <c r="N1323">
        <v>0</v>
      </c>
      <c r="O1323">
        <v>-0.99960959999999999</v>
      </c>
      <c r="P1323">
        <v>-5.4173880000000001E-2</v>
      </c>
      <c r="Q1323">
        <v>0.18754999999999999</v>
      </c>
      <c r="R1323">
        <v>-0.98076019999999997</v>
      </c>
      <c r="S1323">
        <v>-0.1592102</v>
      </c>
      <c r="T1323">
        <v>-0.2028537</v>
      </c>
      <c r="U1323">
        <v>-3.0906370000000001</v>
      </c>
      <c r="V1323">
        <v>7.7375559999999996E-2</v>
      </c>
      <c r="W1323">
        <v>0.20137830000000001</v>
      </c>
      <c r="X1323">
        <v>0.9764526</v>
      </c>
      <c r="Y1323">
        <v>7.5520879999999999E-2</v>
      </c>
      <c r="Z1323">
        <v>6.5328460000000005E-2</v>
      </c>
      <c r="AA1323">
        <v>0.99500189999999999</v>
      </c>
      <c r="AB1323">
        <v>25</v>
      </c>
      <c r="AC1323">
        <v>-0.87989999999999202</v>
      </c>
      <c r="AD1323">
        <v>-1.1119777001619999</v>
      </c>
      <c r="AE1323">
        <v>-16.701499999999999</v>
      </c>
      <c r="AF1323">
        <v>1.2787091899375</v>
      </c>
      <c r="AG1323">
        <v>-1.1119777001619999</v>
      </c>
      <c r="AH1323">
        <v>16.601883692381399</v>
      </c>
      <c r="AI1323">
        <v>93.820608889682305</v>
      </c>
      <c r="AJ1323">
        <v>85.595663912820399</v>
      </c>
      <c r="AK1323">
        <v>16.688143507695699</v>
      </c>
      <c r="AL1323">
        <v>78.382429433629</v>
      </c>
      <c r="AM1323">
        <v>85.469264324088599</v>
      </c>
      <c r="AN1323">
        <v>0.99999993852147995</v>
      </c>
    </row>
    <row r="1324" spans="1:40" x14ac:dyDescent="0.25">
      <c r="A1324" t="str">
        <f>"20190312172353480"</f>
        <v>20190312172353480</v>
      </c>
      <c r="B1324" t="str">
        <f>"1552382633470744"</f>
        <v>1552382633470744</v>
      </c>
      <c r="C1324" t="s">
        <v>40</v>
      </c>
      <c r="D1324">
        <v>4.1634500000000001</v>
      </c>
      <c r="E1324">
        <v>0.49627080000000001</v>
      </c>
      <c r="F1324" t="s">
        <v>43</v>
      </c>
      <c r="G1324">
        <v>-189.214</v>
      </c>
      <c r="H1324" s="1">
        <v>-4.8366950000000003E-6</v>
      </c>
      <c r="I1324">
        <v>319.56819999999999</v>
      </c>
      <c r="J1324">
        <v>-188.3553</v>
      </c>
      <c r="K1324">
        <v>1.1119460000000001</v>
      </c>
      <c r="L1324">
        <v>335.73970000000003</v>
      </c>
      <c r="M1324">
        <v>2.5835830000000001E-2</v>
      </c>
      <c r="N1324">
        <v>0</v>
      </c>
      <c r="O1324">
        <v>-0.9995695</v>
      </c>
      <c r="P1324">
        <v>-5.4409520000000003E-2</v>
      </c>
      <c r="Q1324">
        <v>0.1827637</v>
      </c>
      <c r="R1324">
        <v>-0.98165060000000004</v>
      </c>
      <c r="S1324">
        <v>-0.1600647</v>
      </c>
      <c r="T1324">
        <v>-0.2092165</v>
      </c>
      <c r="U1324">
        <v>-3.0900569999999998</v>
      </c>
      <c r="V1324">
        <v>7.9222630000000002E-2</v>
      </c>
      <c r="W1324">
        <v>0.19660340000000001</v>
      </c>
      <c r="X1324">
        <v>0.97727730000000002</v>
      </c>
      <c r="Y1324">
        <v>7.7399369999999995E-2</v>
      </c>
      <c r="Z1324">
        <v>6.7371559999999997E-2</v>
      </c>
      <c r="AA1324">
        <v>0.99472130000000003</v>
      </c>
      <c r="AB1324">
        <v>25</v>
      </c>
      <c r="AC1324">
        <v>-0.858700000000027</v>
      </c>
      <c r="AD1324">
        <v>-1.1119508366949999</v>
      </c>
      <c r="AE1324">
        <v>-16.171500000000002</v>
      </c>
      <c r="AF1324">
        <v>1.27026897619292</v>
      </c>
      <c r="AG1324">
        <v>-1.1119508366949999</v>
      </c>
      <c r="AH1324">
        <v>16.068158079103</v>
      </c>
      <c r="AI1324">
        <v>93.946405373640701</v>
      </c>
      <c r="AJ1324">
        <v>85.479880336796697</v>
      </c>
      <c r="AK1324">
        <v>16.156599951417601</v>
      </c>
      <c r="AL1324">
        <v>78.661595247625499</v>
      </c>
      <c r="AM1324">
        <v>85.365472572353795</v>
      </c>
      <c r="AN1324">
        <v>1.0000000215454801</v>
      </c>
    </row>
    <row r="1325" spans="1:40" x14ac:dyDescent="0.25">
      <c r="A1325" t="str">
        <f>"20190312172353503"</f>
        <v>20190312172353503</v>
      </c>
      <c r="B1325" t="str">
        <f>"1552382633491241"</f>
        <v>1552382633491241</v>
      </c>
      <c r="C1325" t="s">
        <v>40</v>
      </c>
      <c r="D1325">
        <v>4.6435339999999998</v>
      </c>
      <c r="E1325">
        <v>0.49628660000000002</v>
      </c>
      <c r="F1325" t="s">
        <v>43</v>
      </c>
      <c r="G1325">
        <v>-189.1491</v>
      </c>
      <c r="H1325" s="1">
        <v>-4.8814830000000001E-7</v>
      </c>
      <c r="I1325">
        <v>320.41719999999998</v>
      </c>
      <c r="J1325">
        <v>-188.3468</v>
      </c>
      <c r="K1325">
        <v>1.1119239999999999</v>
      </c>
      <c r="L1325">
        <v>335.48320000000001</v>
      </c>
      <c r="M1325">
        <v>2.7461010000000001E-2</v>
      </c>
      <c r="N1325">
        <v>0</v>
      </c>
      <c r="O1325">
        <v>-0.99952629999999998</v>
      </c>
      <c r="P1325">
        <v>-5.365487E-2</v>
      </c>
      <c r="Q1325">
        <v>0.18162420000000001</v>
      </c>
      <c r="R1325">
        <v>-0.98190370000000005</v>
      </c>
      <c r="S1325">
        <v>-0.16001889999999999</v>
      </c>
      <c r="T1325">
        <v>-0.22416469999999999</v>
      </c>
      <c r="U1325">
        <v>-3.088959</v>
      </c>
      <c r="V1325">
        <v>8.0076289999999994E-2</v>
      </c>
      <c r="W1325">
        <v>0.19546289999999999</v>
      </c>
      <c r="X1325">
        <v>0.97743650000000004</v>
      </c>
      <c r="Y1325">
        <v>7.9006439999999997E-2</v>
      </c>
      <c r="Z1325">
        <v>7.2177080000000005E-2</v>
      </c>
      <c r="AA1325">
        <v>0.99425770000000002</v>
      </c>
      <c r="AB1325">
        <v>25</v>
      </c>
      <c r="AC1325">
        <v>-0.80230000000000201</v>
      </c>
      <c r="AD1325">
        <v>-1.1119244881482999</v>
      </c>
      <c r="AE1325">
        <v>-15.066000000000001</v>
      </c>
      <c r="AF1325">
        <v>1.20919706564047</v>
      </c>
      <c r="AG1325">
        <v>-1.1119244881482999</v>
      </c>
      <c r="AH1325">
        <v>14.9570429249271</v>
      </c>
      <c r="AI1325">
        <v>94.237840255939105</v>
      </c>
      <c r="AJ1325">
        <v>85.377994228016505</v>
      </c>
      <c r="AK1325">
        <v>15.046981978756</v>
      </c>
      <c r="AL1325">
        <v>78.728234209900094</v>
      </c>
      <c r="AM1325">
        <v>85.316514030297895</v>
      </c>
      <c r="AN1325">
        <v>1.00000003451441</v>
      </c>
    </row>
    <row r="1326" spans="1:40" x14ac:dyDescent="0.25">
      <c r="A1326" t="str">
        <f>"20190312172353525"</f>
        <v>20190312172353525</v>
      </c>
      <c r="B1326" t="str">
        <f>"1552382633521497"</f>
        <v>1552382633521497</v>
      </c>
      <c r="C1326" t="s">
        <v>40</v>
      </c>
      <c r="D1326">
        <v>4.193187</v>
      </c>
      <c r="E1326">
        <v>0.4961488</v>
      </c>
      <c r="F1326" t="s">
        <v>41</v>
      </c>
      <c r="G1326">
        <v>-188.39429999999999</v>
      </c>
      <c r="H1326">
        <v>1.0428710000000001</v>
      </c>
      <c r="I1326">
        <v>334.54910000000001</v>
      </c>
      <c r="J1326">
        <v>-188.33850000000001</v>
      </c>
      <c r="K1326">
        <v>1.1119220000000001</v>
      </c>
      <c r="L1326">
        <v>335.245</v>
      </c>
      <c r="M1326">
        <v>2.8960779999999998E-2</v>
      </c>
      <c r="N1326">
        <v>0</v>
      </c>
      <c r="O1326">
        <v>-0.99948380000000003</v>
      </c>
      <c r="P1326">
        <v>-5.3818959999999999E-2</v>
      </c>
      <c r="Q1326">
        <v>0.18285409999999999</v>
      </c>
      <c r="R1326">
        <v>-0.98166600000000004</v>
      </c>
      <c r="S1326">
        <v>-0.1565704</v>
      </c>
      <c r="T1326">
        <v>-0.22858629999999999</v>
      </c>
      <c r="U1326">
        <v>-3.0890499999999999</v>
      </c>
      <c r="V1326">
        <v>8.1705650000000005E-2</v>
      </c>
      <c r="W1326">
        <v>0.19668759999999999</v>
      </c>
      <c r="X1326">
        <v>0.97705589999999998</v>
      </c>
      <c r="Y1326">
        <v>7.9388440000000005E-2</v>
      </c>
      <c r="Z1326">
        <v>7.3587219999999995E-2</v>
      </c>
      <c r="AA1326">
        <v>0.99412389999999995</v>
      </c>
      <c r="AB1326">
        <v>25</v>
      </c>
      <c r="AC1326">
        <v>-5.57999999999765E-2</v>
      </c>
      <c r="AD1326">
        <v>-6.9050999999999904E-2</v>
      </c>
      <c r="AE1326">
        <v>-0.69589999999999397</v>
      </c>
      <c r="AF1326">
        <v>7.5196712131635202E-2</v>
      </c>
      <c r="AG1326">
        <v>-6.9050999999999904E-2</v>
      </c>
      <c r="AH1326">
        <v>0.687268473278841</v>
      </c>
      <c r="AI1326">
        <v>95.703536417146395</v>
      </c>
      <c r="AJ1326">
        <v>83.755884182216505</v>
      </c>
      <c r="AK1326">
        <v>0.69480971530300095</v>
      </c>
      <c r="AL1326">
        <v>78.656674950749604</v>
      </c>
      <c r="AM1326">
        <v>85.219800522428102</v>
      </c>
      <c r="AN1326">
        <v>1.0000000284802399</v>
      </c>
    </row>
    <row r="1327" spans="1:40" x14ac:dyDescent="0.25">
      <c r="A1327" t="str">
        <f>"20190312172353546"</f>
        <v>20190312172353546</v>
      </c>
      <c r="B1327" t="str">
        <f>"1552382633541016"</f>
        <v>1552382633541016</v>
      </c>
      <c r="C1327" t="s">
        <v>40</v>
      </c>
      <c r="D1327">
        <v>4.447781</v>
      </c>
      <c r="E1327">
        <v>0.49599470000000001</v>
      </c>
      <c r="F1327" t="s">
        <v>41</v>
      </c>
      <c r="G1327">
        <v>-188.3852</v>
      </c>
      <c r="H1327">
        <v>1.0447200000000001</v>
      </c>
      <c r="I1327">
        <v>334.32310000000001</v>
      </c>
      <c r="J1327">
        <v>-188.3296</v>
      </c>
      <c r="K1327">
        <v>1.111923</v>
      </c>
      <c r="L1327">
        <v>334.99680000000001</v>
      </c>
      <c r="M1327">
        <v>3.05162E-2</v>
      </c>
      <c r="N1327">
        <v>0</v>
      </c>
      <c r="O1327">
        <v>-0.99943760000000004</v>
      </c>
      <c r="P1327">
        <v>-5.3926910000000002E-2</v>
      </c>
      <c r="Q1327">
        <v>0.1842105</v>
      </c>
      <c r="R1327">
        <v>-0.98140660000000002</v>
      </c>
      <c r="S1327">
        <v>-0.15599060000000001</v>
      </c>
      <c r="T1327">
        <v>-0.2252586</v>
      </c>
      <c r="U1327">
        <v>-3.0894170000000001</v>
      </c>
      <c r="V1327">
        <v>8.3331580000000002E-2</v>
      </c>
      <c r="W1327">
        <v>0.19803760000000001</v>
      </c>
      <c r="X1327">
        <v>0.97664580000000001</v>
      </c>
      <c r="Y1327">
        <v>8.0751610000000001E-2</v>
      </c>
      <c r="Z1327">
        <v>7.2504410000000005E-2</v>
      </c>
      <c r="AA1327">
        <v>0.99409369999999997</v>
      </c>
      <c r="AB1327">
        <v>25</v>
      </c>
      <c r="AC1327">
        <v>-5.5599999999998297E-2</v>
      </c>
      <c r="AD1327">
        <v>-6.7202999999999902E-2</v>
      </c>
      <c r="AE1327">
        <v>-0.67369999999999597</v>
      </c>
      <c r="AF1327">
        <v>7.5389761425087506E-2</v>
      </c>
      <c r="AG1327">
        <v>-6.7202999999999902E-2</v>
      </c>
      <c r="AH1327">
        <v>0.66511586122569699</v>
      </c>
      <c r="AI1327">
        <v>95.733094019227806</v>
      </c>
      <c r="AJ1327">
        <v>83.533220463515306</v>
      </c>
      <c r="AK1327">
        <v>0.67273989638695497</v>
      </c>
      <c r="AL1327">
        <v>78.577773728893106</v>
      </c>
      <c r="AM1327">
        <v>85.123092135061398</v>
      </c>
      <c r="AN1327">
        <v>1.0000000309483399</v>
      </c>
    </row>
    <row r="1328" spans="1:40" x14ac:dyDescent="0.25">
      <c r="A1328" t="str">
        <f>"20190312172353569"</f>
        <v>20190312172353569</v>
      </c>
      <c r="B1328" t="str">
        <f>"1552382633561512"</f>
        <v>1552382633561512</v>
      </c>
      <c r="C1328" t="s">
        <v>40</v>
      </c>
      <c r="D1328">
        <v>4.2172499999999999</v>
      </c>
      <c r="E1328">
        <v>0.49599739999999998</v>
      </c>
      <c r="F1328" t="s">
        <v>41</v>
      </c>
      <c r="G1328">
        <v>-188.37479999999999</v>
      </c>
      <c r="H1328">
        <v>1.04738</v>
      </c>
      <c r="I1328">
        <v>334.096</v>
      </c>
      <c r="J1328">
        <v>-188.31989999999999</v>
      </c>
      <c r="K1328">
        <v>1.1119159999999999</v>
      </c>
      <c r="L1328">
        <v>334.74169999999998</v>
      </c>
      <c r="M1328">
        <v>3.2108930000000001E-2</v>
      </c>
      <c r="N1328">
        <v>0</v>
      </c>
      <c r="O1328">
        <v>-0.99938769999999999</v>
      </c>
      <c r="P1328">
        <v>-5.4073019999999999E-2</v>
      </c>
      <c r="Q1328">
        <v>0.18490110000000001</v>
      </c>
      <c r="R1328">
        <v>-0.98126880000000005</v>
      </c>
      <c r="S1328">
        <v>-0.15476989999999999</v>
      </c>
      <c r="T1328">
        <v>-0.22157840000000001</v>
      </c>
      <c r="U1328">
        <v>-3.089966</v>
      </c>
      <c r="V1328">
        <v>8.5036479999999998E-2</v>
      </c>
      <c r="W1328">
        <v>0.1987237</v>
      </c>
      <c r="X1328">
        <v>0.97635939999999999</v>
      </c>
      <c r="Y1328">
        <v>8.1943680000000005E-2</v>
      </c>
      <c r="Z1328">
        <v>7.1305220000000002E-2</v>
      </c>
      <c r="AA1328">
        <v>0.99408289999999999</v>
      </c>
      <c r="AB1328">
        <v>25</v>
      </c>
      <c r="AC1328">
        <v>-5.4900000000003502E-2</v>
      </c>
      <c r="AD1328">
        <v>-6.4535999999999899E-2</v>
      </c>
      <c r="AE1328">
        <v>-0.64569999999997596</v>
      </c>
      <c r="AF1328">
        <v>7.4863942590879695E-2</v>
      </c>
      <c r="AG1328">
        <v>-6.4535999999999899E-2</v>
      </c>
      <c r="AH1328">
        <v>0.63728361064360095</v>
      </c>
      <c r="AI1328">
        <v>95.743250936917306</v>
      </c>
      <c r="AJ1328">
        <v>83.299971257283801</v>
      </c>
      <c r="AK1328">
        <v>0.644903020299328</v>
      </c>
      <c r="AL1328">
        <v>78.537665536454099</v>
      </c>
      <c r="AM1328">
        <v>85.022358012182096</v>
      </c>
      <c r="AN1328">
        <v>0.99999999492042002</v>
      </c>
    </row>
    <row r="1329" spans="1:40" x14ac:dyDescent="0.25">
      <c r="A1329" t="str">
        <f>"20190312172353592"</f>
        <v>20190312172353592</v>
      </c>
      <c r="B1329" t="str">
        <f>"1552382633581032"</f>
        <v>1552382633581032</v>
      </c>
      <c r="C1329" t="s">
        <v>40</v>
      </c>
      <c r="D1329">
        <v>4.1416979999999999</v>
      </c>
      <c r="E1329">
        <v>0.49602449999999998</v>
      </c>
      <c r="F1329" t="s">
        <v>41</v>
      </c>
      <c r="G1329">
        <v>-188.3638</v>
      </c>
      <c r="H1329">
        <v>1.049809</v>
      </c>
      <c r="I1329">
        <v>333.86930000000001</v>
      </c>
      <c r="J1329">
        <v>-188.3098</v>
      </c>
      <c r="K1329">
        <v>1.1119159999999999</v>
      </c>
      <c r="L1329">
        <v>334.48469999999998</v>
      </c>
      <c r="M1329">
        <v>3.3710299999999999E-2</v>
      </c>
      <c r="N1329">
        <v>0</v>
      </c>
      <c r="O1329">
        <v>-0.99933499999999997</v>
      </c>
      <c r="P1329">
        <v>-5.376997E-2</v>
      </c>
      <c r="Q1329">
        <v>0.18540309999999999</v>
      </c>
      <c r="R1329">
        <v>-0.98119060000000002</v>
      </c>
      <c r="S1329">
        <v>-0.1550446</v>
      </c>
      <c r="T1329">
        <v>-0.22017249999999999</v>
      </c>
      <c r="U1329">
        <v>-3.0902099999999999</v>
      </c>
      <c r="V1329">
        <v>8.6302299999999998E-2</v>
      </c>
      <c r="W1329">
        <v>0.19922129999999999</v>
      </c>
      <c r="X1329">
        <v>0.97614690000000004</v>
      </c>
      <c r="Y1329">
        <v>8.3626409999999998E-2</v>
      </c>
      <c r="Z1329">
        <v>7.0838819999999997E-2</v>
      </c>
      <c r="AA1329">
        <v>0.99397610000000003</v>
      </c>
      <c r="AB1329">
        <v>25</v>
      </c>
      <c r="AC1329">
        <v>-5.4000000000001998E-2</v>
      </c>
      <c r="AD1329">
        <v>-6.2106999999999898E-2</v>
      </c>
      <c r="AE1329">
        <v>-0.61539999999996498</v>
      </c>
      <c r="AF1329">
        <v>7.39689990082356E-2</v>
      </c>
      <c r="AG1329">
        <v>-6.2106999999999898E-2</v>
      </c>
      <c r="AH1329">
        <v>0.60709356096345302</v>
      </c>
      <c r="AI1329">
        <v>95.798576113145799</v>
      </c>
      <c r="AJ1329">
        <v>83.053254727219297</v>
      </c>
      <c r="AK1329">
        <v>0.61472862632755798</v>
      </c>
      <c r="AL1329">
        <v>78.508573426649605</v>
      </c>
      <c r="AM1329">
        <v>84.947549376462007</v>
      </c>
      <c r="AN1329">
        <v>0.999999991869295</v>
      </c>
    </row>
    <row r="1330" spans="1:40" x14ac:dyDescent="0.25">
      <c r="A1330" t="str">
        <f>"20190312172353616"</f>
        <v>20190312172353616</v>
      </c>
      <c r="B1330" t="str">
        <f>"1552382633611288"</f>
        <v>1552382633611288</v>
      </c>
      <c r="C1330" t="s">
        <v>40</v>
      </c>
      <c r="D1330">
        <v>4.5993870000000001</v>
      </c>
      <c r="E1330">
        <v>0.49603849999999999</v>
      </c>
      <c r="F1330" t="s">
        <v>41</v>
      </c>
      <c r="G1330">
        <v>-188.352</v>
      </c>
      <c r="H1330">
        <v>1.052729</v>
      </c>
      <c r="I1330">
        <v>333.64249999999998</v>
      </c>
      <c r="J1330">
        <v>-188.29910000000001</v>
      </c>
      <c r="K1330">
        <v>1.111917</v>
      </c>
      <c r="L1330">
        <v>334.22379999999998</v>
      </c>
      <c r="M1330">
        <v>3.5334459999999998E-2</v>
      </c>
      <c r="N1330">
        <v>0</v>
      </c>
      <c r="O1330">
        <v>-0.99927880000000002</v>
      </c>
      <c r="P1330">
        <v>-5.3036550000000002E-2</v>
      </c>
      <c r="Q1330">
        <v>0.18652679999999999</v>
      </c>
      <c r="R1330">
        <v>-0.98101709999999998</v>
      </c>
      <c r="S1330">
        <v>-0.15396119999999999</v>
      </c>
      <c r="T1330">
        <v>-0.21761440000000001</v>
      </c>
      <c r="U1330">
        <v>-3.0902099999999999</v>
      </c>
      <c r="V1330">
        <v>8.7154560000000006E-2</v>
      </c>
      <c r="W1330">
        <v>0.2003385</v>
      </c>
      <c r="X1330">
        <v>0.97584249999999995</v>
      </c>
      <c r="Y1330">
        <v>8.4901199999999996E-2</v>
      </c>
      <c r="Z1330">
        <v>7.0010740000000002E-2</v>
      </c>
      <c r="AA1330">
        <v>0.99392670000000005</v>
      </c>
      <c r="AB1330">
        <v>25</v>
      </c>
      <c r="AC1330">
        <v>-5.2899999999993903E-2</v>
      </c>
      <c r="AD1330">
        <v>-5.9187999999999998E-2</v>
      </c>
      <c r="AE1330">
        <v>-0.58129999999999804</v>
      </c>
      <c r="AF1330">
        <v>7.2661746884836495E-2</v>
      </c>
      <c r="AG1330">
        <v>-5.9187999999999998E-2</v>
      </c>
      <c r="AH1330">
        <v>0.57317408462837804</v>
      </c>
      <c r="AI1330">
        <v>95.849185010929503</v>
      </c>
      <c r="AJ1330">
        <v>82.775106118692506</v>
      </c>
      <c r="AK1330">
        <v>0.58078522716571801</v>
      </c>
      <c r="AL1330">
        <v>78.443245814166403</v>
      </c>
      <c r="AM1330">
        <v>84.896333924170904</v>
      </c>
      <c r="AN1330">
        <v>1.00000000835864</v>
      </c>
    </row>
    <row r="1331" spans="1:40" x14ac:dyDescent="0.25">
      <c r="A1331" t="str">
        <f>"20190312172353638"</f>
        <v>20190312172353638</v>
      </c>
      <c r="B1331" t="str">
        <f>"1552382633630808"</f>
        <v>1552382633630808</v>
      </c>
      <c r="C1331" t="s">
        <v>40</v>
      </c>
      <c r="D1331">
        <v>4.2562410000000002</v>
      </c>
      <c r="E1331">
        <v>0.496004</v>
      </c>
      <c r="F1331" t="s">
        <v>43</v>
      </c>
      <c r="G1331">
        <v>-189.0951</v>
      </c>
      <c r="H1331" s="1">
        <v>-4.1415409999999997E-6</v>
      </c>
      <c r="I1331">
        <v>318.053</v>
      </c>
      <c r="J1331">
        <v>-188.2884</v>
      </c>
      <c r="K1331">
        <v>1.1119019999999999</v>
      </c>
      <c r="L1331">
        <v>333.97149999999999</v>
      </c>
      <c r="M1331">
        <v>3.6906939999999999E-2</v>
      </c>
      <c r="N1331">
        <v>0</v>
      </c>
      <c r="O1331">
        <v>-0.99922219999999995</v>
      </c>
      <c r="P1331">
        <v>-5.2605190000000003E-2</v>
      </c>
      <c r="Q1331">
        <v>0.1859285</v>
      </c>
      <c r="R1331">
        <v>-0.98115419999999998</v>
      </c>
      <c r="S1331">
        <v>-0.1521149</v>
      </c>
      <c r="T1331">
        <v>-0.21249019999999999</v>
      </c>
      <c r="U1331">
        <v>-3.090271</v>
      </c>
      <c r="V1331">
        <v>8.8272690000000001E-2</v>
      </c>
      <c r="W1331">
        <v>0.19973949999999999</v>
      </c>
      <c r="X1331">
        <v>0.97586479999999998</v>
      </c>
      <c r="Y1331">
        <v>8.5881390000000002E-2</v>
      </c>
      <c r="Z1331">
        <v>6.8360980000000002E-2</v>
      </c>
      <c r="AA1331">
        <v>0.99395730000000004</v>
      </c>
      <c r="AB1331">
        <v>25</v>
      </c>
      <c r="AC1331">
        <v>-0.80670000000000597</v>
      </c>
      <c r="AD1331">
        <v>-1.1119061415410001</v>
      </c>
      <c r="AE1331">
        <v>-15.9184999999999</v>
      </c>
      <c r="AF1331">
        <v>1.38696042021713</v>
      </c>
      <c r="AG1331">
        <v>-1.1119061415410001</v>
      </c>
      <c r="AH1331">
        <v>15.8009813276943</v>
      </c>
      <c r="AI1331">
        <v>94.009868952489896</v>
      </c>
      <c r="AJ1331">
        <v>84.9836137795442</v>
      </c>
      <c r="AK1331">
        <v>15.9006605332291</v>
      </c>
      <c r="AL1331">
        <v>78.478274134537301</v>
      </c>
      <c r="AM1331">
        <v>84.831327491200099</v>
      </c>
      <c r="AN1331">
        <v>1.0000000217695599</v>
      </c>
    </row>
    <row r="1332" spans="1:40" x14ac:dyDescent="0.25">
      <c r="A1332" t="str">
        <f>"20190312172353660"</f>
        <v>20190312172353660</v>
      </c>
      <c r="B1332" t="str">
        <f>"1552382633651346"</f>
        <v>1552382633651346</v>
      </c>
      <c r="C1332" t="s">
        <v>40</v>
      </c>
      <c r="D1332">
        <v>4.9004669999999999</v>
      </c>
      <c r="E1332">
        <v>0.49604549999999997</v>
      </c>
      <c r="F1332" t="s">
        <v>43</v>
      </c>
      <c r="G1332">
        <v>-189.06989999999999</v>
      </c>
      <c r="H1332" s="1">
        <v>-4.1103040000000004E-6</v>
      </c>
      <c r="I1332">
        <v>317.97750000000002</v>
      </c>
      <c r="J1332">
        <v>-188.27760000000001</v>
      </c>
      <c r="K1332">
        <v>1.1118980000000001</v>
      </c>
      <c r="L1332">
        <v>333.72559999999999</v>
      </c>
      <c r="M1332">
        <v>3.8439939999999999E-2</v>
      </c>
      <c r="N1332">
        <v>0</v>
      </c>
      <c r="O1332">
        <v>-0.99916450000000001</v>
      </c>
      <c r="P1332">
        <v>-5.3168380000000001E-2</v>
      </c>
      <c r="Q1332">
        <v>0.18535940000000001</v>
      </c>
      <c r="R1332">
        <v>-0.98123170000000004</v>
      </c>
      <c r="S1332">
        <v>-0.1509857</v>
      </c>
      <c r="T1332">
        <v>-0.2148322</v>
      </c>
      <c r="U1332">
        <v>-3.0902099999999999</v>
      </c>
      <c r="V1332">
        <v>9.0343389999999996E-2</v>
      </c>
      <c r="W1332">
        <v>0.19917090000000001</v>
      </c>
      <c r="X1332">
        <v>0.97579150000000003</v>
      </c>
      <c r="Y1332">
        <v>8.7045999999999998E-2</v>
      </c>
      <c r="Z1332">
        <v>6.9103280000000003E-2</v>
      </c>
      <c r="AA1332">
        <v>0.99380469999999999</v>
      </c>
      <c r="AB1332">
        <v>25</v>
      </c>
      <c r="AC1332">
        <v>-0.79229999999998302</v>
      </c>
      <c r="AD1332">
        <v>-1.1119021103039901</v>
      </c>
      <c r="AE1332">
        <v>-15.7480999999999</v>
      </c>
      <c r="AF1332">
        <v>1.3902157403539801</v>
      </c>
      <c r="AG1332">
        <v>-1.1119021103039901</v>
      </c>
      <c r="AH1332">
        <v>15.6282872394279</v>
      </c>
      <c r="AI1332">
        <v>94.053599405923194</v>
      </c>
      <c r="AJ1332">
        <v>84.916628698172602</v>
      </c>
      <c r="AK1332">
        <v>15.729347988575</v>
      </c>
      <c r="AL1332">
        <v>78.511520439959398</v>
      </c>
      <c r="AM1332">
        <v>84.710365608158796</v>
      </c>
      <c r="AN1332">
        <v>1.0000000134978699</v>
      </c>
    </row>
    <row r="1333" spans="1:40" x14ac:dyDescent="0.25">
      <c r="A1333" t="str">
        <f>"20190312172353681"</f>
        <v>20190312172353681</v>
      </c>
      <c r="B1333" t="str">
        <f>"1552382633670865"</f>
        <v>1552382633670865</v>
      </c>
      <c r="C1333" t="s">
        <v>40</v>
      </c>
      <c r="D1333">
        <v>4.2185090000000001</v>
      </c>
      <c r="E1333">
        <v>0.49609520000000001</v>
      </c>
      <c r="F1333" t="s">
        <v>43</v>
      </c>
      <c r="G1333">
        <v>-189.0702</v>
      </c>
      <c r="H1333" s="1">
        <v>-4.0268280000000001E-6</v>
      </c>
      <c r="I1333">
        <v>317.80099999999999</v>
      </c>
      <c r="J1333">
        <v>-188.26669999999999</v>
      </c>
      <c r="K1333">
        <v>1.111904</v>
      </c>
      <c r="L1333">
        <v>333.48660000000001</v>
      </c>
      <c r="M1333">
        <v>3.9927820000000003E-2</v>
      </c>
      <c r="N1333">
        <v>0</v>
      </c>
      <c r="O1333">
        <v>-0.99910620000000006</v>
      </c>
      <c r="P1333">
        <v>-5.3612020000000003E-2</v>
      </c>
      <c r="Q1333">
        <v>0.18559819999999999</v>
      </c>
      <c r="R1333">
        <v>-0.98116230000000004</v>
      </c>
      <c r="S1333">
        <v>-0.15379329999999999</v>
      </c>
      <c r="T1333">
        <v>-0.21574009999999999</v>
      </c>
      <c r="U1333">
        <v>-3.0898129999999999</v>
      </c>
      <c r="V1333">
        <v>9.2242840000000006E-2</v>
      </c>
      <c r="W1333">
        <v>0.1994078</v>
      </c>
      <c r="X1333">
        <v>0.97556540000000003</v>
      </c>
      <c r="Y1333">
        <v>8.9435310000000004E-2</v>
      </c>
      <c r="Z1333">
        <v>6.9387760000000007E-2</v>
      </c>
      <c r="AA1333">
        <v>0.99357269999999998</v>
      </c>
      <c r="AB1333">
        <v>25</v>
      </c>
      <c r="AC1333">
        <v>-0.80350000000001298</v>
      </c>
      <c r="AD1333">
        <v>-1.1119080268279999</v>
      </c>
      <c r="AE1333">
        <v>-15.685600000000001</v>
      </c>
      <c r="AF1333">
        <v>1.4220840035895601</v>
      </c>
      <c r="AG1333">
        <v>-1.1119080268279999</v>
      </c>
      <c r="AH1333">
        <v>15.5630049586479</v>
      </c>
      <c r="AI1333">
        <v>94.069689341964704</v>
      </c>
      <c r="AJ1333">
        <v>84.779043721920601</v>
      </c>
      <c r="AK1333">
        <v>15.667347756282499</v>
      </c>
      <c r="AL1333">
        <v>78.497669427642094</v>
      </c>
      <c r="AM1333">
        <v>84.598558790013797</v>
      </c>
      <c r="AN1333">
        <v>1.00000003095463</v>
      </c>
    </row>
    <row r="1334" spans="1:40" x14ac:dyDescent="0.25">
      <c r="A1334" t="str">
        <f>"20190312172353704"</f>
        <v>20190312172353704</v>
      </c>
      <c r="B1334" t="str">
        <f>"1552382633701122"</f>
        <v>1552382633701122</v>
      </c>
      <c r="C1334" t="s">
        <v>40</v>
      </c>
      <c r="D1334">
        <v>4.1936720000000003</v>
      </c>
      <c r="E1334">
        <v>0.49607879999999899</v>
      </c>
      <c r="F1334" t="s">
        <v>41</v>
      </c>
      <c r="G1334">
        <v>-188.31489999999999</v>
      </c>
      <c r="H1334">
        <v>1.04566</v>
      </c>
      <c r="I1334">
        <v>332.53120000000001</v>
      </c>
      <c r="J1334">
        <v>-188.255</v>
      </c>
      <c r="K1334">
        <v>1.1119110000000001</v>
      </c>
      <c r="L1334">
        <v>333.23930000000001</v>
      </c>
      <c r="M1334">
        <v>4.1458780000000001E-2</v>
      </c>
      <c r="N1334">
        <v>0</v>
      </c>
      <c r="O1334">
        <v>-0.99904389999999998</v>
      </c>
      <c r="P1334">
        <v>-5.4172270000000002E-2</v>
      </c>
      <c r="Q1334">
        <v>0.18643609999999999</v>
      </c>
      <c r="R1334">
        <v>-0.98097290000000004</v>
      </c>
      <c r="S1334">
        <v>-0.15557860000000001</v>
      </c>
      <c r="T1334">
        <v>-0.21439</v>
      </c>
      <c r="U1334">
        <v>-3.089661</v>
      </c>
      <c r="V1334">
        <v>9.4295760000000006E-2</v>
      </c>
      <c r="W1334">
        <v>0.20024030000000001</v>
      </c>
      <c r="X1334">
        <v>0.97519849999999997</v>
      </c>
      <c r="Y1334">
        <v>9.1537950000000007E-2</v>
      </c>
      <c r="Z1334">
        <v>6.8944950000000005E-2</v>
      </c>
      <c r="AA1334">
        <v>0.99341199999999996</v>
      </c>
      <c r="AB1334">
        <v>25</v>
      </c>
      <c r="AC1334">
        <v>-5.9899999999998899E-2</v>
      </c>
      <c r="AD1334">
        <v>-6.6251000000000004E-2</v>
      </c>
      <c r="AE1334">
        <v>-0.70810000000000095</v>
      </c>
      <c r="AF1334">
        <v>8.8439596177330604E-2</v>
      </c>
      <c r="AG1334">
        <v>-6.6251000000000004E-2</v>
      </c>
      <c r="AH1334">
        <v>0.69893261690136299</v>
      </c>
      <c r="AI1334">
        <v>95.372237436509096</v>
      </c>
      <c r="AJ1334">
        <v>82.788391406611893</v>
      </c>
      <c r="AK1334">
        <v>0.70761399091707899</v>
      </c>
      <c r="AL1334">
        <v>78.448988427223</v>
      </c>
      <c r="AM1334">
        <v>84.477016878985594</v>
      </c>
      <c r="AN1334">
        <v>0.99999999125015804</v>
      </c>
    </row>
    <row r="1335" spans="1:40" x14ac:dyDescent="0.25">
      <c r="A1335" t="str">
        <f>"20190312172353725"</f>
        <v>20190312172353725</v>
      </c>
      <c r="B1335" t="str">
        <f>"1552382633721617"</f>
        <v>1552382633721617</v>
      </c>
      <c r="C1335" t="s">
        <v>40</v>
      </c>
      <c r="D1335">
        <v>4.2351739999999998</v>
      </c>
      <c r="E1335">
        <v>0.49604239999999999</v>
      </c>
      <c r="F1335" t="s">
        <v>41</v>
      </c>
      <c r="G1335">
        <v>-188.30250000000001</v>
      </c>
      <c r="H1335">
        <v>1.0480240000000001</v>
      </c>
      <c r="I1335">
        <v>332.3066</v>
      </c>
      <c r="J1335">
        <v>-188.2432</v>
      </c>
      <c r="K1335">
        <v>1.111918</v>
      </c>
      <c r="L1335">
        <v>332.99630000000002</v>
      </c>
      <c r="M1335">
        <v>4.2952209999999998E-2</v>
      </c>
      <c r="N1335">
        <v>0</v>
      </c>
      <c r="O1335">
        <v>-0.99898089999999995</v>
      </c>
      <c r="P1335">
        <v>-5.4862319999999999E-2</v>
      </c>
      <c r="Q1335">
        <v>0.18736249999999999</v>
      </c>
      <c r="R1335">
        <v>-0.98075809999999997</v>
      </c>
      <c r="S1335">
        <v>-0.15653989999999901</v>
      </c>
      <c r="T1335">
        <v>-0.2120512</v>
      </c>
      <c r="U1335">
        <v>-3.0898439999999998</v>
      </c>
      <c r="V1335">
        <v>9.6440730000000002E-2</v>
      </c>
      <c r="W1335">
        <v>0.20116149999999999</v>
      </c>
      <c r="X1335">
        <v>0.97479899999999997</v>
      </c>
      <c r="Y1335">
        <v>9.3334379999999995E-2</v>
      </c>
      <c r="Z1335">
        <v>6.8179600000000007E-2</v>
      </c>
      <c r="AA1335">
        <v>0.9932976</v>
      </c>
      <c r="AB1335">
        <v>25</v>
      </c>
      <c r="AC1335">
        <v>-5.9300000000007402E-2</v>
      </c>
      <c r="AD1335">
        <v>-6.3893999999999895E-2</v>
      </c>
      <c r="AE1335">
        <v>-0.68970000000001597</v>
      </c>
      <c r="AF1335">
        <v>8.8121522049317599E-2</v>
      </c>
      <c r="AG1335">
        <v>-6.3893999999999895E-2</v>
      </c>
      <c r="AH1335">
        <v>0.68071686932012898</v>
      </c>
      <c r="AI1335">
        <v>95.318113731430202</v>
      </c>
      <c r="AJ1335">
        <v>82.6238535698199</v>
      </c>
      <c r="AK1335">
        <v>0.68936441891156897</v>
      </c>
      <c r="AL1335">
        <v>78.395110534302205</v>
      </c>
      <c r="AM1335">
        <v>84.349887793003006</v>
      </c>
      <c r="AN1335">
        <v>0.99999992694308804</v>
      </c>
    </row>
    <row r="1336" spans="1:40" x14ac:dyDescent="0.25">
      <c r="A1336" t="str">
        <f>"20190312172353747"</f>
        <v>20190312172353747</v>
      </c>
      <c r="B1336" t="str">
        <f>"1552382633741138"</f>
        <v>1552382633741138</v>
      </c>
      <c r="C1336" t="s">
        <v>40</v>
      </c>
      <c r="D1336">
        <v>3.8407659999999999</v>
      </c>
      <c r="E1336">
        <v>0.49602000000000002</v>
      </c>
      <c r="F1336" t="s">
        <v>41</v>
      </c>
      <c r="G1336">
        <v>-188.28989999999999</v>
      </c>
      <c r="H1336">
        <v>1.050686</v>
      </c>
      <c r="I1336">
        <v>332.0822</v>
      </c>
      <c r="J1336">
        <v>-188.23070000000001</v>
      </c>
      <c r="K1336">
        <v>1.111907</v>
      </c>
      <c r="L1336">
        <v>332.7457</v>
      </c>
      <c r="M1336">
        <v>4.4473360000000003E-2</v>
      </c>
      <c r="N1336">
        <v>0</v>
      </c>
      <c r="O1336">
        <v>-0.99891419999999997</v>
      </c>
      <c r="P1336">
        <v>-5.600844E-2</v>
      </c>
      <c r="Q1336">
        <v>0.18716240000000001</v>
      </c>
      <c r="R1336">
        <v>-0.98073120000000003</v>
      </c>
      <c r="S1336">
        <v>-0.15762329999999999</v>
      </c>
      <c r="T1336">
        <v>-0.2070372</v>
      </c>
      <c r="U1336">
        <v>-3.0896300000000001</v>
      </c>
      <c r="V1336">
        <v>9.9081520000000006E-2</v>
      </c>
      <c r="W1336">
        <v>0.20095789999999999</v>
      </c>
      <c r="X1336">
        <v>0.9745762</v>
      </c>
      <c r="Y1336">
        <v>9.5206739999999998E-2</v>
      </c>
      <c r="Z1336">
        <v>6.6566180000000003E-2</v>
      </c>
      <c r="AA1336">
        <v>0.99322940000000004</v>
      </c>
      <c r="AB1336">
        <v>25</v>
      </c>
      <c r="AC1336">
        <v>-5.9199999999975703E-2</v>
      </c>
      <c r="AD1336">
        <v>-6.12209999999999E-2</v>
      </c>
      <c r="AE1336">
        <v>-0.66349999999999898</v>
      </c>
      <c r="AF1336">
        <v>8.7909802417561106E-2</v>
      </c>
      <c r="AG1336">
        <v>-6.12209999999999E-2</v>
      </c>
      <c r="AH1336">
        <v>0.65468057016922998</v>
      </c>
      <c r="AI1336">
        <v>95.295100945512601</v>
      </c>
      <c r="AJ1336">
        <v>82.352131241876094</v>
      </c>
      <c r="AK1336">
        <v>0.66338736282748301</v>
      </c>
      <c r="AL1336">
        <v>78.407019969763596</v>
      </c>
      <c r="AM1336">
        <v>84.194897963726902</v>
      </c>
      <c r="AN1336">
        <v>0.99999999739218004</v>
      </c>
    </row>
    <row r="1337" spans="1:40" x14ac:dyDescent="0.25">
      <c r="A1337" t="str">
        <f>"20190312172353893"</f>
        <v>20190312172353893</v>
      </c>
      <c r="B1337" t="str">
        <f>"1552382633881005"</f>
        <v>1552382633881005</v>
      </c>
      <c r="C1337" t="s">
        <v>40</v>
      </c>
      <c r="D1337">
        <v>4.2674830000000004</v>
      </c>
      <c r="E1337">
        <v>0.50571259999999996</v>
      </c>
      <c r="F1337" t="s">
        <v>41</v>
      </c>
      <c r="G1337">
        <v>-188.22909999999999</v>
      </c>
      <c r="H1337">
        <v>0.93621019999999999</v>
      </c>
      <c r="I1337">
        <v>330.59100000000001</v>
      </c>
      <c r="J1337">
        <v>-188.14410000000001</v>
      </c>
      <c r="K1337">
        <v>1.1114459999999999</v>
      </c>
      <c r="L1337">
        <v>331.14330000000001</v>
      </c>
      <c r="M1337">
        <v>5.2291669999999998E-2</v>
      </c>
      <c r="N1337">
        <v>0</v>
      </c>
      <c r="O1337">
        <v>-0.99853590000000003</v>
      </c>
      <c r="P1337">
        <v>-7.709887E-2</v>
      </c>
      <c r="Q1337">
        <v>0.1740092</v>
      </c>
      <c r="R1337">
        <v>-0.98172150000000002</v>
      </c>
      <c r="S1337">
        <v>-0.3023071</v>
      </c>
      <c r="T1337">
        <v>-0.72610779999999997</v>
      </c>
      <c r="U1337">
        <v>-3.1596980000000001</v>
      </c>
      <c r="V1337">
        <v>0.1280876</v>
      </c>
      <c r="W1337">
        <v>0.1876941</v>
      </c>
      <c r="X1337">
        <v>0.97384009999999999</v>
      </c>
      <c r="Y1337">
        <v>0.144786</v>
      </c>
      <c r="Z1337">
        <v>0.22184100000000001</v>
      </c>
      <c r="AA1337">
        <v>0.96427359999999895</v>
      </c>
      <c r="AB1337">
        <v>25</v>
      </c>
      <c r="AC1337">
        <v>-8.4999999999979495E-2</v>
      </c>
      <c r="AD1337">
        <v>-0.1752358</v>
      </c>
      <c r="AE1337">
        <v>-0.55230000000000201</v>
      </c>
      <c r="AF1337">
        <v>0.10358101561341999</v>
      </c>
      <c r="AG1337">
        <v>-0.1752358</v>
      </c>
      <c r="AH1337">
        <v>0.49811456942906701</v>
      </c>
      <c r="AI1337">
        <v>109.005251235999</v>
      </c>
      <c r="AJ1337">
        <v>78.252972934735595</v>
      </c>
      <c r="AK1337">
        <v>0.53810290528360105</v>
      </c>
      <c r="AL1337">
        <v>79.181755269403098</v>
      </c>
      <c r="AM1337">
        <v>82.506990989069806</v>
      </c>
      <c r="AN1337">
        <v>1.0000000244082801</v>
      </c>
    </row>
    <row r="1338" spans="1:40" x14ac:dyDescent="0.25">
      <c r="A1338" t="str">
        <f>"20190312172353917"</f>
        <v>20190312172353917</v>
      </c>
      <c r="B1338" t="str">
        <f>"1552382633911262"</f>
        <v>1552382633911262</v>
      </c>
      <c r="C1338" t="s">
        <v>40</v>
      </c>
      <c r="D1338">
        <v>4.2565160000000004</v>
      </c>
      <c r="E1338">
        <v>0.50832820000000001</v>
      </c>
      <c r="F1338" t="s">
        <v>41</v>
      </c>
      <c r="G1338">
        <v>-188.2216</v>
      </c>
      <c r="H1338">
        <v>0.93478969999999995</v>
      </c>
      <c r="I1338">
        <v>330.37099999999998</v>
      </c>
      <c r="J1338">
        <v>-188.12960000000001</v>
      </c>
      <c r="K1338">
        <v>1.111321</v>
      </c>
      <c r="L1338">
        <v>330.88339999999999</v>
      </c>
      <c r="M1338">
        <v>5.2960970000000003E-2</v>
      </c>
      <c r="N1338">
        <v>0</v>
      </c>
      <c r="O1338">
        <v>-0.99850050000000001</v>
      </c>
      <c r="P1338">
        <v>-8.108187E-2</v>
      </c>
      <c r="Q1338">
        <v>0.17644290000000001</v>
      </c>
      <c r="R1338">
        <v>-0.980966</v>
      </c>
      <c r="S1338">
        <v>-0.31698609999999999</v>
      </c>
      <c r="T1338">
        <v>-0.72262369999999898</v>
      </c>
      <c r="U1338">
        <v>-3.1590880000000001</v>
      </c>
      <c r="V1338">
        <v>0.13274269999999999</v>
      </c>
      <c r="W1338">
        <v>0.1900686</v>
      </c>
      <c r="X1338">
        <v>0.9727555</v>
      </c>
      <c r="Y1338">
        <v>0.14992720000000001</v>
      </c>
      <c r="Z1338">
        <v>0.2207249</v>
      </c>
      <c r="AA1338">
        <v>0.96374389999999999</v>
      </c>
      <c r="AB1338">
        <v>25</v>
      </c>
      <c r="AC1338">
        <v>-9.1999999999984497E-2</v>
      </c>
      <c r="AD1338">
        <v>-0.1765313</v>
      </c>
      <c r="AE1338">
        <v>-0.51240000000001296</v>
      </c>
      <c r="AF1338">
        <v>0.106737345143611</v>
      </c>
      <c r="AG1338">
        <v>-0.1765313</v>
      </c>
      <c r="AH1338">
        <v>0.45454183953589999</v>
      </c>
      <c r="AI1338">
        <v>110.71097918384299</v>
      </c>
      <c r="AJ1338">
        <v>76.785004032825896</v>
      </c>
      <c r="AK1338">
        <v>0.499163745294744</v>
      </c>
      <c r="AL1338">
        <v>79.043212135233105</v>
      </c>
      <c r="AM1338">
        <v>82.229385601228998</v>
      </c>
      <c r="AN1338">
        <v>0.99999997994474898</v>
      </c>
    </row>
    <row r="1339" spans="1:40" x14ac:dyDescent="0.25">
      <c r="A1339" t="str">
        <f>"20190312172353939"</f>
        <v>20190312172353939</v>
      </c>
      <c r="B1339" t="str">
        <f>"1552382633930782"</f>
        <v>1552382633930782</v>
      </c>
      <c r="C1339" t="s">
        <v>40</v>
      </c>
      <c r="D1339">
        <v>4.3492509999999998</v>
      </c>
      <c r="E1339">
        <v>0.50885230000000004</v>
      </c>
      <c r="F1339" t="s">
        <v>46</v>
      </c>
      <c r="G1339">
        <v>-192.16139999999999</v>
      </c>
      <c r="H1339" s="1">
        <v>1.745627E-6</v>
      </c>
      <c r="I1339">
        <v>293.63069999999999</v>
      </c>
      <c r="J1339">
        <v>-188.1164</v>
      </c>
      <c r="K1339">
        <v>1.1111799999999901</v>
      </c>
      <c r="L1339">
        <v>330.64440000000002</v>
      </c>
      <c r="M1339">
        <v>5.3346619999999997E-2</v>
      </c>
      <c r="N1339">
        <v>0</v>
      </c>
      <c r="O1339">
        <v>-0.99848029999999999</v>
      </c>
      <c r="P1339">
        <v>-8.4496280000000007E-2</v>
      </c>
      <c r="Q1339">
        <v>0.178569799999999</v>
      </c>
      <c r="R1339">
        <v>-0.98029299999999997</v>
      </c>
      <c r="S1339">
        <v>-0.32980350000000003</v>
      </c>
      <c r="T1339">
        <v>-9.0906979999999998E-2</v>
      </c>
      <c r="U1339">
        <v>-3.0473020000000002</v>
      </c>
      <c r="V1339">
        <v>0.13656009999999999</v>
      </c>
      <c r="W1339">
        <v>0.1921331</v>
      </c>
      <c r="X1339">
        <v>0.97182109999999999</v>
      </c>
      <c r="Y1339">
        <v>0.16044149999999999</v>
      </c>
      <c r="Z1339">
        <v>2.9475790000000002E-2</v>
      </c>
      <c r="AA1339">
        <v>0.98660519999999996</v>
      </c>
      <c r="AB1339">
        <v>25</v>
      </c>
      <c r="AC1339">
        <v>-4.0449999999999804</v>
      </c>
      <c r="AD1339">
        <v>-1.11117825437299</v>
      </c>
      <c r="AE1339">
        <v>-37.0137</v>
      </c>
      <c r="AF1339">
        <v>6.0086323186233903</v>
      </c>
      <c r="AG1339">
        <v>-1.11117825437299</v>
      </c>
      <c r="AH1339">
        <v>36.712480318771</v>
      </c>
      <c r="AI1339">
        <v>91.710894986648796</v>
      </c>
      <c r="AJ1339">
        <v>80.704965432287096</v>
      </c>
      <c r="AK1339">
        <v>37.217530689307502</v>
      </c>
      <c r="AL1339">
        <v>78.922704503058199</v>
      </c>
      <c r="AM1339">
        <v>82.0011822414329</v>
      </c>
      <c r="AN1339">
        <v>1.0000000197164101</v>
      </c>
    </row>
    <row r="1340" spans="1:40" x14ac:dyDescent="0.25">
      <c r="A1340" t="str">
        <f>"20190312172353962"</f>
        <v>20190312172353962</v>
      </c>
      <c r="B1340" t="str">
        <f>"1552382633951277"</f>
        <v>1552382633951277</v>
      </c>
      <c r="C1340" t="s">
        <v>40</v>
      </c>
      <c r="D1340">
        <v>4.6616119999999999</v>
      </c>
      <c r="E1340">
        <v>0.50903390000000004</v>
      </c>
      <c r="F1340" t="s">
        <v>46</v>
      </c>
      <c r="G1340">
        <v>-193.4494</v>
      </c>
      <c r="H1340" s="1">
        <v>3.4491920000000001E-6</v>
      </c>
      <c r="I1340">
        <v>283.5129</v>
      </c>
      <c r="J1340">
        <v>-188.10210000000001</v>
      </c>
      <c r="K1340">
        <v>1.110984</v>
      </c>
      <c r="L1340">
        <v>330.3827</v>
      </c>
      <c r="M1340">
        <v>5.3489330000000002E-2</v>
      </c>
      <c r="N1340">
        <v>0</v>
      </c>
      <c r="O1340">
        <v>-0.99847269999999999</v>
      </c>
      <c r="P1340">
        <v>-8.7173459999999994E-2</v>
      </c>
      <c r="Q1340">
        <v>0.17871799999999999</v>
      </c>
      <c r="R1340">
        <v>-0.9800314</v>
      </c>
      <c r="S1340">
        <v>-0.34440609999999999</v>
      </c>
      <c r="T1340">
        <v>-7.1759219999999999E-2</v>
      </c>
      <c r="U1340">
        <v>-3.0437319999999999</v>
      </c>
      <c r="V1340">
        <v>0.1394435</v>
      </c>
      <c r="W1340">
        <v>0.1922123</v>
      </c>
      <c r="X1340">
        <v>0.97139589999999998</v>
      </c>
      <c r="Y1340">
        <v>0.16539870000000001</v>
      </c>
      <c r="Z1340">
        <v>2.3282279999999999E-2</v>
      </c>
      <c r="AA1340">
        <v>0.98595189999999999</v>
      </c>
      <c r="AB1340">
        <v>25</v>
      </c>
      <c r="AC1340">
        <v>-5.34729999999999</v>
      </c>
      <c r="AD1340">
        <v>-1.110980550808</v>
      </c>
      <c r="AE1340">
        <v>-46.869799999999998</v>
      </c>
      <c r="AF1340">
        <v>7.84256751481192</v>
      </c>
      <c r="AG1340">
        <v>-1.110980550808</v>
      </c>
      <c r="AH1340">
        <v>46.4908528718802</v>
      </c>
      <c r="AI1340">
        <v>91.349858511188202</v>
      </c>
      <c r="AJ1340">
        <v>80.424889066075096</v>
      </c>
      <c r="AK1340">
        <v>47.160783960441897</v>
      </c>
      <c r="AL1340">
        <v>78.9180805643431</v>
      </c>
      <c r="AM1340">
        <v>81.831019635321795</v>
      </c>
      <c r="AN1340">
        <v>1.00000002625017</v>
      </c>
    </row>
    <row r="1341" spans="1:40" x14ac:dyDescent="0.25">
      <c r="A1341" t="str">
        <f>"20190312172353985"</f>
        <v>20190312172353985</v>
      </c>
      <c r="B1341" t="str">
        <f>"1552382633981534"</f>
        <v>1552382633981534</v>
      </c>
      <c r="C1341" t="s">
        <v>40</v>
      </c>
      <c r="D1341">
        <v>4.1894140000000002</v>
      </c>
      <c r="E1341">
        <v>0.5087798</v>
      </c>
      <c r="F1341" t="s">
        <v>43</v>
      </c>
      <c r="G1341">
        <v>-196.72130000000001</v>
      </c>
      <c r="H1341" s="1">
        <v>-4.3127369999999998E-6</v>
      </c>
      <c r="I1341">
        <v>256.15649999999999</v>
      </c>
      <c r="J1341">
        <v>-188.08920000000001</v>
      </c>
      <c r="K1341">
        <v>1.110778</v>
      </c>
      <c r="L1341">
        <v>330.14150000000001</v>
      </c>
      <c r="M1341">
        <v>5.3335300000000002E-2</v>
      </c>
      <c r="N1341">
        <v>0</v>
      </c>
      <c r="O1341">
        <v>-0.99848079999999995</v>
      </c>
      <c r="P1341">
        <v>-8.8964070000000006E-2</v>
      </c>
      <c r="Q1341">
        <v>0.1769348</v>
      </c>
      <c r="R1341">
        <v>-0.98019369999999995</v>
      </c>
      <c r="S1341">
        <v>-0.35278320000000002</v>
      </c>
      <c r="T1341">
        <v>-4.547238E-2</v>
      </c>
      <c r="U1341">
        <v>-3.0380549999999999</v>
      </c>
      <c r="V1341">
        <v>0.14117539999999901</v>
      </c>
      <c r="W1341">
        <v>0.1903659</v>
      </c>
      <c r="X1341">
        <v>0.97150930000000002</v>
      </c>
      <c r="Y1341">
        <v>0.16815379999999999</v>
      </c>
      <c r="Z1341">
        <v>1.4777739999999999E-2</v>
      </c>
      <c r="AA1341">
        <v>0.98565000000000003</v>
      </c>
      <c r="AB1341">
        <v>25</v>
      </c>
      <c r="AC1341">
        <v>-8.6320999999999994</v>
      </c>
      <c r="AD1341">
        <v>-1.110782312737</v>
      </c>
      <c r="AE1341">
        <v>-73.984999999999999</v>
      </c>
      <c r="AF1341">
        <v>12.5634072964128</v>
      </c>
      <c r="AG1341">
        <v>-1.110782312737</v>
      </c>
      <c r="AH1341">
        <v>73.402910846405504</v>
      </c>
      <c r="AI1341">
        <v>90.854547570282804</v>
      </c>
      <c r="AJ1341">
        <v>80.2875489720345</v>
      </c>
      <c r="AK1341">
        <v>74.478589950181004</v>
      </c>
      <c r="AL1341">
        <v>79.025861472672702</v>
      </c>
      <c r="AM1341">
        <v>81.731906656735504</v>
      </c>
      <c r="AN1341">
        <v>0.99999999471723</v>
      </c>
    </row>
    <row r="1342" spans="1:40" x14ac:dyDescent="0.25">
      <c r="A1342" t="str">
        <f>"20190312172354005"</f>
        <v>20190312172354005</v>
      </c>
      <c r="B1342" t="str">
        <f>"1552382634001053"</f>
        <v>1552382634001053</v>
      </c>
      <c r="C1342" t="s">
        <v>40</v>
      </c>
      <c r="D1342">
        <v>4.220021</v>
      </c>
      <c r="E1342">
        <v>0.50868840000000004</v>
      </c>
      <c r="F1342" t="s">
        <v>46</v>
      </c>
      <c r="G1342">
        <v>-193.0795</v>
      </c>
      <c r="H1342" s="1">
        <v>3.148951E-6</v>
      </c>
      <c r="I1342">
        <v>287.69799999999998</v>
      </c>
      <c r="J1342">
        <v>-188.07740000000001</v>
      </c>
      <c r="K1342">
        <v>1.1105860000000001</v>
      </c>
      <c r="L1342">
        <v>329.9171</v>
      </c>
      <c r="M1342">
        <v>5.2996260000000003E-2</v>
      </c>
      <c r="N1342">
        <v>0</v>
      </c>
      <c r="O1342">
        <v>-0.99849869999999996</v>
      </c>
      <c r="P1342">
        <v>-9.1782150000000007E-2</v>
      </c>
      <c r="Q1342">
        <v>0.17396420000000001</v>
      </c>
      <c r="R1342">
        <v>-0.98046549999999999</v>
      </c>
      <c r="S1342">
        <v>-0.35772710000000002</v>
      </c>
      <c r="T1342">
        <v>-7.9625249999999995E-2</v>
      </c>
      <c r="U1342">
        <v>-3.0425420000000001</v>
      </c>
      <c r="V1342">
        <v>0.1437465</v>
      </c>
      <c r="W1342">
        <v>0.18733810000000001</v>
      </c>
      <c r="X1342">
        <v>0.97172080000000005</v>
      </c>
      <c r="Y1342">
        <v>0.1692062</v>
      </c>
      <c r="Z1342">
        <v>2.5828940000000002E-2</v>
      </c>
      <c r="AA1342">
        <v>0.98524219999999896</v>
      </c>
      <c r="AB1342">
        <v>25</v>
      </c>
      <c r="AC1342">
        <v>-5.00209999999998</v>
      </c>
      <c r="AD1342">
        <v>-1.1105828510489999</v>
      </c>
      <c r="AE1342">
        <v>-42.219099999999997</v>
      </c>
      <c r="AF1342">
        <v>7.2278060402879101</v>
      </c>
      <c r="AG1342">
        <v>-1.1105828510489999</v>
      </c>
      <c r="AH1342">
        <v>41.866071742914897</v>
      </c>
      <c r="AI1342">
        <v>91.497390251275107</v>
      </c>
      <c r="AJ1342">
        <v>80.204943887629298</v>
      </c>
      <c r="AK1342">
        <v>42.499912207061797</v>
      </c>
      <c r="AL1342">
        <v>79.202520285271206</v>
      </c>
      <c r="AM1342">
        <v>81.585271012560796</v>
      </c>
      <c r="AN1342">
        <v>0.99999996656324897</v>
      </c>
    </row>
    <row r="1343" spans="1:40" x14ac:dyDescent="0.25">
      <c r="A1343" t="str">
        <f>"20190312172354029"</f>
        <v>20190312172354029</v>
      </c>
      <c r="B1343" t="str">
        <f>"1552382634021551"</f>
        <v>1552382634021551</v>
      </c>
      <c r="C1343" t="s">
        <v>40</v>
      </c>
      <c r="D1343">
        <v>4.1604089999999996</v>
      </c>
      <c r="E1343">
        <v>0.50825799999999999</v>
      </c>
      <c r="F1343" t="s">
        <v>46</v>
      </c>
      <c r="G1343">
        <v>-192.02590000000001</v>
      </c>
      <c r="H1343" s="1">
        <v>7.0834950000000005E-7</v>
      </c>
      <c r="I1343">
        <v>297.09359999999998</v>
      </c>
      <c r="J1343">
        <v>-188.0642</v>
      </c>
      <c r="K1343">
        <v>1.1103780000000001</v>
      </c>
      <c r="L1343">
        <v>329.65690000000001</v>
      </c>
      <c r="M1343">
        <v>5.2325459999999997E-2</v>
      </c>
      <c r="N1343">
        <v>0</v>
      </c>
      <c r="O1343">
        <v>-0.99853409999999998</v>
      </c>
      <c r="P1343">
        <v>-9.5223180000000004E-2</v>
      </c>
      <c r="Q1343">
        <v>0.17024520000000001</v>
      </c>
      <c r="R1343">
        <v>-0.9807903</v>
      </c>
      <c r="S1343">
        <v>-0.36614989999999997</v>
      </c>
      <c r="T1343">
        <v>-0.10298590000000001</v>
      </c>
      <c r="U1343">
        <v>-3.0437620000000001</v>
      </c>
      <c r="V1343">
        <v>0.14662529999999999</v>
      </c>
      <c r="W1343">
        <v>0.18355350000000001</v>
      </c>
      <c r="X1343">
        <v>0.97201289999999996</v>
      </c>
      <c r="Y1343">
        <v>0.1711596</v>
      </c>
      <c r="Z1343">
        <v>3.337644E-2</v>
      </c>
      <c r="AA1343">
        <v>0.98467789999999999</v>
      </c>
      <c r="AB1343">
        <v>25</v>
      </c>
      <c r="AC1343">
        <v>-3.9617</v>
      </c>
      <c r="AD1343">
        <v>-1.1103772916504999</v>
      </c>
      <c r="AE1343">
        <v>-32.563299999999998</v>
      </c>
      <c r="AF1343">
        <v>5.6538466623884496</v>
      </c>
      <c r="AG1343">
        <v>-1.1103772916504999</v>
      </c>
      <c r="AH1343">
        <v>32.274385320541199</v>
      </c>
      <c r="AI1343">
        <v>91.940909988505695</v>
      </c>
      <c r="AJ1343">
        <v>80.063713840677494</v>
      </c>
      <c r="AK1343">
        <v>32.784674279766499</v>
      </c>
      <c r="AL1343">
        <v>79.423189727045298</v>
      </c>
      <c r="AM1343">
        <v>81.421774620468199</v>
      </c>
      <c r="AN1343">
        <v>0.99999997186437395</v>
      </c>
    </row>
    <row r="1344" spans="1:40" x14ac:dyDescent="0.25">
      <c r="A1344" t="str">
        <f>"20190312172354051"</f>
        <v>20190312172354051</v>
      </c>
      <c r="B1344" t="str">
        <f>"1552382634041070"</f>
        <v>1552382634041070</v>
      </c>
      <c r="C1344" t="s">
        <v>40</v>
      </c>
      <c r="D1344">
        <v>4.1637839999999997</v>
      </c>
      <c r="E1344">
        <v>0.50783820000000002</v>
      </c>
      <c r="F1344" t="s">
        <v>43</v>
      </c>
      <c r="G1344">
        <v>-191.29730000000001</v>
      </c>
      <c r="H1344" s="1">
        <v>-1.9345849999999999E-6</v>
      </c>
      <c r="I1344">
        <v>303.29410000000001</v>
      </c>
      <c r="J1344">
        <v>-188.05199999999999</v>
      </c>
      <c r="K1344">
        <v>1.110163</v>
      </c>
      <c r="L1344">
        <v>329.40620000000001</v>
      </c>
      <c r="M1344">
        <v>5.137742E-2</v>
      </c>
      <c r="N1344">
        <v>0</v>
      </c>
      <c r="O1344">
        <v>-0.99858360000000002</v>
      </c>
      <c r="P1344">
        <v>-9.8398070000000004E-2</v>
      </c>
      <c r="Q1344">
        <v>0.166497799999999</v>
      </c>
      <c r="R1344">
        <v>-0.9811202</v>
      </c>
      <c r="S1344">
        <v>-0.3733978</v>
      </c>
      <c r="T1344">
        <v>-0.12824179999999999</v>
      </c>
      <c r="U1344">
        <v>-3.0447389999999999</v>
      </c>
      <c r="V1344">
        <v>0.14896619999999999</v>
      </c>
      <c r="W1344">
        <v>0.1797385</v>
      </c>
      <c r="X1344">
        <v>0.97236979999999995</v>
      </c>
      <c r="Y1344">
        <v>0.1724591</v>
      </c>
      <c r="Z1344">
        <v>4.1527769999999999E-2</v>
      </c>
      <c r="AA1344">
        <v>0.98414089999999999</v>
      </c>
      <c r="AB1344">
        <v>25</v>
      </c>
      <c r="AC1344">
        <v>-3.2452999999999799</v>
      </c>
      <c r="AD1344">
        <v>-1.110164934585</v>
      </c>
      <c r="AE1344">
        <v>-26.112100000000002</v>
      </c>
      <c r="AF1344">
        <v>4.57457070376344</v>
      </c>
      <c r="AG1344">
        <v>-1.110164934585</v>
      </c>
      <c r="AH1344">
        <v>25.864815387203802</v>
      </c>
      <c r="AI1344">
        <v>92.420214279927706</v>
      </c>
      <c r="AJ1344">
        <v>79.970127243364701</v>
      </c>
      <c r="AK1344">
        <v>26.289690723168501</v>
      </c>
      <c r="AL1344">
        <v>79.645470853189707</v>
      </c>
      <c r="AM1344">
        <v>81.290056266100706</v>
      </c>
      <c r="AN1344">
        <v>0.999999942538363</v>
      </c>
    </row>
    <row r="1345" spans="1:40" x14ac:dyDescent="0.25">
      <c r="A1345" t="str">
        <f>"20190312172354074"</f>
        <v>20190312172354074</v>
      </c>
      <c r="B1345" t="str">
        <f>"1552382634071325"</f>
        <v>1552382634071325</v>
      </c>
      <c r="C1345" t="s">
        <v>40</v>
      </c>
      <c r="D1345">
        <v>4.1703279999999996</v>
      </c>
      <c r="E1345">
        <v>0.50721249999999996</v>
      </c>
      <c r="F1345" t="s">
        <v>43</v>
      </c>
      <c r="G1345">
        <v>-190.9486</v>
      </c>
      <c r="H1345" s="1">
        <v>-3.083492E-6</v>
      </c>
      <c r="I1345">
        <v>306.18849999999998</v>
      </c>
      <c r="J1345">
        <v>-188.04069999999999</v>
      </c>
      <c r="K1345">
        <v>1.109944</v>
      </c>
      <c r="L1345">
        <v>329.16399999999999</v>
      </c>
      <c r="M1345">
        <v>5.0165979999999999E-2</v>
      </c>
      <c r="N1345">
        <v>0</v>
      </c>
      <c r="O1345">
        <v>-0.99864520000000001</v>
      </c>
      <c r="P1345">
        <v>-0.1017705</v>
      </c>
      <c r="Q1345">
        <v>0.1633145</v>
      </c>
      <c r="R1345">
        <v>-0.98131139999999994</v>
      </c>
      <c r="S1345">
        <v>-0.37980649999999999</v>
      </c>
      <c r="T1345">
        <v>-0.14556669999999999</v>
      </c>
      <c r="U1345">
        <v>-3.0443419999999999</v>
      </c>
      <c r="V1345">
        <v>0.1512435</v>
      </c>
      <c r="W1345">
        <v>0.17648079999999999</v>
      </c>
      <c r="X1345">
        <v>0.97261500000000001</v>
      </c>
      <c r="Y1345">
        <v>0.17328929999999901</v>
      </c>
      <c r="Z1345">
        <v>4.7127019999999999E-2</v>
      </c>
      <c r="AA1345">
        <v>0.98374280000000003</v>
      </c>
      <c r="AB1345">
        <v>24</v>
      </c>
      <c r="AC1345">
        <v>-2.9079000000000099</v>
      </c>
      <c r="AD1345">
        <v>-1.109947083492</v>
      </c>
      <c r="AE1345">
        <v>-22.9755</v>
      </c>
      <c r="AF1345">
        <v>4.0476389074836003</v>
      </c>
      <c r="AG1345">
        <v>-1.109947083492</v>
      </c>
      <c r="AH1345">
        <v>22.748419742356599</v>
      </c>
      <c r="AI1345">
        <v>92.750247629664003</v>
      </c>
      <c r="AJ1345">
        <v>79.910917027766104</v>
      </c>
      <c r="AK1345">
        <v>23.1323575112432</v>
      </c>
      <c r="AL1345">
        <v>79.835156995250799</v>
      </c>
      <c r="AM1345">
        <v>81.1611859462909</v>
      </c>
      <c r="AN1345">
        <v>1.0000000036429399</v>
      </c>
    </row>
    <row r="1346" spans="1:40" x14ac:dyDescent="0.25">
      <c r="A1346" t="str">
        <f>"20190312172354094"</f>
        <v>20190312172354094</v>
      </c>
      <c r="B1346" t="str">
        <f>"1552382634090846"</f>
        <v>1552382634090846</v>
      </c>
      <c r="C1346" t="s">
        <v>40</v>
      </c>
      <c r="D1346">
        <v>4.2064959999999996</v>
      </c>
      <c r="E1346">
        <v>0.50698379999999998</v>
      </c>
      <c r="F1346" t="s">
        <v>43</v>
      </c>
      <c r="G1346">
        <v>-190.63200000000001</v>
      </c>
      <c r="H1346" s="1">
        <v>-4.0493460000000003E-6</v>
      </c>
      <c r="I1346">
        <v>308.63630000000001</v>
      </c>
      <c r="J1346">
        <v>-188.0309</v>
      </c>
      <c r="K1346">
        <v>1.1097379999999999</v>
      </c>
      <c r="L1346">
        <v>328.94199999999898</v>
      </c>
      <c r="M1346">
        <v>4.8791000000000001E-2</v>
      </c>
      <c r="N1346">
        <v>0</v>
      </c>
      <c r="O1346">
        <v>-0.99871319999999997</v>
      </c>
      <c r="P1346">
        <v>-0.1056247</v>
      </c>
      <c r="Q1346">
        <v>0.16196459999999999</v>
      </c>
      <c r="R1346">
        <v>-0.98112739999999998</v>
      </c>
      <c r="S1346">
        <v>-0.38433840000000002</v>
      </c>
      <c r="T1346">
        <v>-0.16462829999999901</v>
      </c>
      <c r="U1346">
        <v>-3.0446780000000002</v>
      </c>
      <c r="V1346">
        <v>0.15382379999999901</v>
      </c>
      <c r="W1346">
        <v>0.17505000000000001</v>
      </c>
      <c r="X1346">
        <v>0.97246889999999997</v>
      </c>
      <c r="Y1346">
        <v>0.1733227</v>
      </c>
      <c r="Z1346">
        <v>5.3275959999999997E-2</v>
      </c>
      <c r="AA1346">
        <v>0.98342309999999999</v>
      </c>
      <c r="AB1346">
        <v>24</v>
      </c>
      <c r="AC1346">
        <v>-2.6011000000000002</v>
      </c>
      <c r="AD1346">
        <v>-1.109742049346</v>
      </c>
      <c r="AE1346">
        <v>-20.305699999999899</v>
      </c>
      <c r="AF1346">
        <v>3.5783165268191199</v>
      </c>
      <c r="AG1346">
        <v>-1.109742049346</v>
      </c>
      <c r="AH1346">
        <v>20.095536424768799</v>
      </c>
      <c r="AI1346">
        <v>93.111999167421999</v>
      </c>
      <c r="AJ1346">
        <v>79.903437000199901</v>
      </c>
      <c r="AK1346">
        <v>20.441782231043401</v>
      </c>
      <c r="AL1346">
        <v>79.918432318470707</v>
      </c>
      <c r="AM1346">
        <v>81.0115037597282</v>
      </c>
      <c r="AN1346">
        <v>1.00000001270682</v>
      </c>
    </row>
    <row r="1347" spans="1:40" x14ac:dyDescent="0.25">
      <c r="A1347" t="str">
        <f>"20190312172354116"</f>
        <v>20190312172354116</v>
      </c>
      <c r="B1347" t="str">
        <f>"1552382634111341"</f>
        <v>1552382634111341</v>
      </c>
      <c r="C1347" t="s">
        <v>40</v>
      </c>
      <c r="D1347">
        <v>4.1724430000000003</v>
      </c>
      <c r="E1347">
        <v>0.5067294</v>
      </c>
      <c r="F1347" t="s">
        <v>43</v>
      </c>
      <c r="G1347">
        <v>-190.54849999999999</v>
      </c>
      <c r="H1347" s="1">
        <v>-4.3394530000000003E-6</v>
      </c>
      <c r="I1347">
        <v>309.45260000000002</v>
      </c>
      <c r="J1347">
        <v>-188.02090000000001</v>
      </c>
      <c r="K1347">
        <v>1.1095200000000001</v>
      </c>
      <c r="L1347">
        <v>328.69839999999999</v>
      </c>
      <c r="M1347">
        <v>4.6995450000000001E-2</v>
      </c>
      <c r="N1347">
        <v>0</v>
      </c>
      <c r="O1347">
        <v>-0.99879929999999995</v>
      </c>
      <c r="P1347">
        <v>-0.1104752</v>
      </c>
      <c r="Q1347">
        <v>0.1615818</v>
      </c>
      <c r="R1347">
        <v>-0.98065650000000004</v>
      </c>
      <c r="S1347">
        <v>-0.39320369999999999</v>
      </c>
      <c r="T1347">
        <v>-0.17332649999999999</v>
      </c>
      <c r="U1347">
        <v>-3.0439759999999998</v>
      </c>
      <c r="V1347">
        <v>0.15698689999999901</v>
      </c>
      <c r="W1347">
        <v>0.17457300000000001</v>
      </c>
      <c r="X1347">
        <v>0.9720491</v>
      </c>
      <c r="Y1347">
        <v>0.17437859999999999</v>
      </c>
      <c r="Z1347">
        <v>5.6086570000000002E-2</v>
      </c>
      <c r="AA1347">
        <v>0.98307999999999995</v>
      </c>
      <c r="AB1347">
        <v>24</v>
      </c>
      <c r="AC1347">
        <v>-2.5275999999999699</v>
      </c>
      <c r="AD1347">
        <v>-1.1095243394529899</v>
      </c>
      <c r="AE1347">
        <v>-19.2457999999999</v>
      </c>
      <c r="AF1347">
        <v>3.4181904358615798</v>
      </c>
      <c r="AG1347">
        <v>-1.1095243394529899</v>
      </c>
      <c r="AH1347">
        <v>19.043515401636501</v>
      </c>
      <c r="AI1347">
        <v>93.282095715657604</v>
      </c>
      <c r="AJ1347">
        <v>79.824128981788803</v>
      </c>
      <c r="AK1347">
        <v>19.379642642939</v>
      </c>
      <c r="AL1347">
        <v>79.946190053611005</v>
      </c>
      <c r="AM1347">
        <v>80.825888572690403</v>
      </c>
      <c r="AN1347">
        <v>1.0000000359557</v>
      </c>
    </row>
    <row r="1348" spans="1:40" x14ac:dyDescent="0.25">
      <c r="A1348" t="str">
        <f>"20190312172354140"</f>
        <v>20190312172354140</v>
      </c>
      <c r="B1348" t="str">
        <f>"1552382634130862"</f>
        <v>1552382634130862</v>
      </c>
      <c r="C1348" t="s">
        <v>40</v>
      </c>
      <c r="D1348">
        <v>4.1762870000000003</v>
      </c>
      <c r="E1348">
        <v>0.50628869999999904</v>
      </c>
      <c r="F1348" t="s">
        <v>43</v>
      </c>
      <c r="G1348">
        <v>-190.5677</v>
      </c>
      <c r="H1348" s="1">
        <v>-4.3759919999999999E-6</v>
      </c>
      <c r="I1348">
        <v>309.54989999999998</v>
      </c>
      <c r="J1348">
        <v>-188.011</v>
      </c>
      <c r="K1348">
        <v>1.10931</v>
      </c>
      <c r="L1348">
        <v>328.43729999999999</v>
      </c>
      <c r="M1348">
        <v>4.4757169999999999E-2</v>
      </c>
      <c r="N1348">
        <v>0</v>
      </c>
      <c r="O1348">
        <v>-0.99890190000000001</v>
      </c>
      <c r="P1348">
        <v>-0.11524379999999999</v>
      </c>
      <c r="Q1348">
        <v>0.16185939999999999</v>
      </c>
      <c r="R1348">
        <v>-0.98006150000000003</v>
      </c>
      <c r="S1348">
        <v>-0.40467829999999999</v>
      </c>
      <c r="T1348">
        <v>-0.1762997</v>
      </c>
      <c r="U1348">
        <v>-3.0426329999999999</v>
      </c>
      <c r="V1348">
        <v>0.15963450000000001</v>
      </c>
      <c r="W1348">
        <v>0.17475470000000001</v>
      </c>
      <c r="X1348">
        <v>0.97158509999999998</v>
      </c>
      <c r="Y1348">
        <v>0.17586470000000001</v>
      </c>
      <c r="Z1348">
        <v>5.7057789999999997E-2</v>
      </c>
      <c r="AA1348">
        <v>0.98275939999999995</v>
      </c>
      <c r="AB1348">
        <v>24</v>
      </c>
      <c r="AC1348">
        <v>-2.5567000000000002</v>
      </c>
      <c r="AD1348">
        <v>-1.1093143759919999</v>
      </c>
      <c r="AE1348">
        <v>-18.8874</v>
      </c>
      <c r="AF1348">
        <v>3.38808793628256</v>
      </c>
      <c r="AG1348">
        <v>-1.1093143759919999</v>
      </c>
      <c r="AH1348">
        <v>18.690712841291301</v>
      </c>
      <c r="AI1348">
        <v>93.342241649041597</v>
      </c>
      <c r="AJ1348">
        <v>79.725493354480093</v>
      </c>
      <c r="AK1348">
        <v>19.0276762838865</v>
      </c>
      <c r="AL1348">
        <v>79.935616440971899</v>
      </c>
      <c r="AM1348">
        <v>80.669487186118204</v>
      </c>
      <c r="AN1348">
        <v>0.99999999265217399</v>
      </c>
    </row>
    <row r="1349" spans="1:40" x14ac:dyDescent="0.25">
      <c r="A1349" t="str">
        <f>"20190312172354162"</f>
        <v>20190312172354162</v>
      </c>
      <c r="B1349" t="str">
        <f>"1552382634151361"</f>
        <v>1552382634151361</v>
      </c>
      <c r="C1349" t="s">
        <v>40</v>
      </c>
      <c r="D1349">
        <v>4.1889219999999998</v>
      </c>
      <c r="E1349">
        <v>0.50590879999999905</v>
      </c>
      <c r="F1349" t="s">
        <v>43</v>
      </c>
      <c r="G1349">
        <v>-190.5686</v>
      </c>
      <c r="H1349" s="1">
        <v>-1.8106300000000001E-7</v>
      </c>
      <c r="I1349">
        <v>309.65460000000002</v>
      </c>
      <c r="J1349">
        <v>-188.00309999999999</v>
      </c>
      <c r="K1349">
        <v>1.1091500000000001</v>
      </c>
      <c r="L1349">
        <v>328.20389999999998</v>
      </c>
      <c r="M1349">
        <v>4.2485000000000002E-2</v>
      </c>
      <c r="N1349">
        <v>0</v>
      </c>
      <c r="O1349">
        <v>-0.99900129999999998</v>
      </c>
      <c r="P1349">
        <v>-0.1219143</v>
      </c>
      <c r="Q1349">
        <v>0.16203890000000001</v>
      </c>
      <c r="R1349">
        <v>-0.97922439999999999</v>
      </c>
      <c r="S1349">
        <v>-0.4142151</v>
      </c>
      <c r="T1349">
        <v>-0.179662299999999</v>
      </c>
      <c r="U1349">
        <v>-3.0420229999999999</v>
      </c>
      <c r="V1349">
        <v>0.16411879999999901</v>
      </c>
      <c r="W1349">
        <v>0.1748458</v>
      </c>
      <c r="X1349">
        <v>0.9708213</v>
      </c>
      <c r="Y1349">
        <v>0.1766691</v>
      </c>
      <c r="Z1349">
        <v>5.8146339999999998E-2</v>
      </c>
      <c r="AA1349">
        <v>0.98255130000000002</v>
      </c>
      <c r="AB1349">
        <v>24</v>
      </c>
      <c r="AC1349">
        <v>-2.5655000000000099</v>
      </c>
      <c r="AD1349">
        <v>-1.109150181063</v>
      </c>
      <c r="AE1349">
        <v>-18.549299999999899</v>
      </c>
      <c r="AF1349">
        <v>3.3396092818946199</v>
      </c>
      <c r="AG1349">
        <v>-1.109150181063</v>
      </c>
      <c r="AH1349">
        <v>18.359133691695501</v>
      </c>
      <c r="AI1349">
        <v>93.401584109475905</v>
      </c>
      <c r="AJ1349">
        <v>79.690365450838897</v>
      </c>
      <c r="AK1349">
        <v>18.693340904969801</v>
      </c>
      <c r="AL1349">
        <v>79.930315408287399</v>
      </c>
      <c r="AM1349">
        <v>80.404781365062107</v>
      </c>
      <c r="AN1349">
        <v>1.00000001541238</v>
      </c>
    </row>
    <row r="1350" spans="1:40" x14ac:dyDescent="0.25">
      <c r="A1350" t="str">
        <f>"20190312172354184"</f>
        <v>20190312172354184</v>
      </c>
      <c r="B1350" t="str">
        <f>"1552382634181614"</f>
        <v>1552382634181614</v>
      </c>
      <c r="C1350" t="s">
        <v>40</v>
      </c>
      <c r="D1350">
        <v>4.1679309999999896</v>
      </c>
      <c r="E1350">
        <v>0.50541910000000001</v>
      </c>
      <c r="F1350" t="s">
        <v>43</v>
      </c>
      <c r="G1350">
        <v>-190.65520000000001</v>
      </c>
      <c r="H1350" s="1">
        <v>-4.3706449999999999E-6</v>
      </c>
      <c r="I1350">
        <v>309.48860000000002</v>
      </c>
      <c r="J1350">
        <v>-187.99539999999999</v>
      </c>
      <c r="K1350">
        <v>1.1090009999999999</v>
      </c>
      <c r="L1350">
        <v>327.95510000000002</v>
      </c>
      <c r="M1350">
        <v>3.9826100000000003E-2</v>
      </c>
      <c r="N1350">
        <v>0</v>
      </c>
      <c r="O1350">
        <v>-0.99911070000000002</v>
      </c>
      <c r="P1350">
        <v>-0.12934970000000001</v>
      </c>
      <c r="Q1350">
        <v>0.16156219999999999</v>
      </c>
      <c r="R1350">
        <v>-0.97834880000000002</v>
      </c>
      <c r="S1350">
        <v>-0.43077090000000001</v>
      </c>
      <c r="T1350">
        <v>-0.1801509</v>
      </c>
      <c r="U1350">
        <v>-3.0397639999999999</v>
      </c>
      <c r="V1350">
        <v>0.16897960000000001</v>
      </c>
      <c r="W1350">
        <v>0.1742861</v>
      </c>
      <c r="X1350">
        <v>0.97008779999999994</v>
      </c>
      <c r="Y1350">
        <v>0.1793951</v>
      </c>
      <c r="Z1350">
        <v>5.8320139999999999E-2</v>
      </c>
      <c r="AA1350">
        <v>0.98204689999999994</v>
      </c>
      <c r="AB1350">
        <v>24</v>
      </c>
      <c r="AC1350">
        <v>-2.6598000000000099</v>
      </c>
      <c r="AD1350">
        <v>-1.109005370645</v>
      </c>
      <c r="AE1350">
        <v>-18.4665</v>
      </c>
      <c r="AF1350">
        <v>3.3812615424325401</v>
      </c>
      <c r="AG1350">
        <v>-1.109005370645</v>
      </c>
      <c r="AH1350">
        <v>18.281313367572601</v>
      </c>
      <c r="AI1350">
        <v>93.413739419545706</v>
      </c>
      <c r="AJ1350">
        <v>79.521149922533596</v>
      </c>
      <c r="AK1350">
        <v>18.6244259233364</v>
      </c>
      <c r="AL1350">
        <v>79.962884227842395</v>
      </c>
      <c r="AM1350">
        <v>80.118790849304304</v>
      </c>
      <c r="AN1350">
        <v>1.0000000447891</v>
      </c>
    </row>
    <row r="1351" spans="1:40" x14ac:dyDescent="0.25">
      <c r="A1351" t="str">
        <f>"20190312172354206"</f>
        <v>20190312172354206</v>
      </c>
      <c r="B1351" t="str">
        <f>"1552382634201134"</f>
        <v>1552382634201134</v>
      </c>
      <c r="C1351" t="s">
        <v>40</v>
      </c>
      <c r="D1351">
        <v>4.2334860000000001</v>
      </c>
      <c r="E1351">
        <v>0.50505290000000003</v>
      </c>
      <c r="F1351" t="s">
        <v>43</v>
      </c>
      <c r="G1351">
        <v>-190.70849999999999</v>
      </c>
      <c r="H1351" s="1">
        <v>-4.4032280000000004E-6</v>
      </c>
      <c r="I1351">
        <v>309.55650000000003</v>
      </c>
      <c r="J1351">
        <v>-187.98929999999999</v>
      </c>
      <c r="K1351">
        <v>1.108908</v>
      </c>
      <c r="L1351">
        <v>327.72890000000001</v>
      </c>
      <c r="M1351">
        <v>3.7267450000000001E-2</v>
      </c>
      <c r="N1351">
        <v>0</v>
      </c>
      <c r="O1351">
        <v>-0.99920920000000002</v>
      </c>
      <c r="P1351">
        <v>-0.13621269999999999</v>
      </c>
      <c r="Q1351">
        <v>0.15950249999999999</v>
      </c>
      <c r="R1351">
        <v>-0.97775500000000004</v>
      </c>
      <c r="S1351">
        <v>-0.44790649999999999</v>
      </c>
      <c r="T1351">
        <v>-0.18308559999999999</v>
      </c>
      <c r="U1351">
        <v>-3.0374150000000002</v>
      </c>
      <c r="V1351">
        <v>0.17335349999999999</v>
      </c>
      <c r="W1351">
        <v>0.17216619999999999</v>
      </c>
      <c r="X1351">
        <v>0.96969450000000001</v>
      </c>
      <c r="Y1351">
        <v>0.18239910000000001</v>
      </c>
      <c r="Z1351">
        <v>5.9280649999999997E-2</v>
      </c>
      <c r="AA1351">
        <v>0.98143590000000003</v>
      </c>
      <c r="AB1351">
        <v>24</v>
      </c>
      <c r="AC1351">
        <v>-2.7191999999999998</v>
      </c>
      <c r="AD1351">
        <v>-1.108912403228</v>
      </c>
      <c r="AE1351">
        <v>-18.1723999999999</v>
      </c>
      <c r="AF1351">
        <v>3.3822960541953901</v>
      </c>
      <c r="AG1351">
        <v>-1.108912403228</v>
      </c>
      <c r="AH1351">
        <v>17.992894191394601</v>
      </c>
      <c r="AI1351">
        <v>93.466154126180399</v>
      </c>
      <c r="AJ1351">
        <v>79.353804298515499</v>
      </c>
      <c r="AK1351">
        <v>18.341588118234998</v>
      </c>
      <c r="AL1351">
        <v>80.086209851150798</v>
      </c>
      <c r="AM1351">
        <v>79.864233481331794</v>
      </c>
      <c r="AN1351">
        <v>1.0000000298574601</v>
      </c>
    </row>
    <row r="1352" spans="1:40" x14ac:dyDescent="0.25">
      <c r="A1352" t="str">
        <f>"20190312172354230"</f>
        <v>20190312172354230</v>
      </c>
      <c r="B1352" t="str">
        <f>"1552382634221630"</f>
        <v>1552382634221630</v>
      </c>
      <c r="C1352" t="s">
        <v>40</v>
      </c>
      <c r="D1352">
        <v>4.1971639999999999</v>
      </c>
      <c r="E1352">
        <v>0.50477510000000003</v>
      </c>
      <c r="F1352" t="s">
        <v>43</v>
      </c>
      <c r="G1352">
        <v>-190.6515</v>
      </c>
      <c r="H1352" s="1">
        <v>-5.1666249999999999E-7</v>
      </c>
      <c r="I1352">
        <v>310.31790000000001</v>
      </c>
      <c r="J1352">
        <v>-187.9829</v>
      </c>
      <c r="K1352">
        <v>1.1088559999999901</v>
      </c>
      <c r="L1352">
        <v>327.46109999999999</v>
      </c>
      <c r="M1352">
        <v>3.4109880000000002E-2</v>
      </c>
      <c r="N1352">
        <v>0</v>
      </c>
      <c r="O1352">
        <v>-0.99932189999999999</v>
      </c>
      <c r="P1352">
        <v>-0.14344680000000001</v>
      </c>
      <c r="Q1352">
        <v>0.1597442</v>
      </c>
      <c r="R1352">
        <v>-0.97668060000000001</v>
      </c>
      <c r="S1352">
        <v>-0.46409610000000001</v>
      </c>
      <c r="T1352">
        <v>-0.19330919999999999</v>
      </c>
      <c r="U1352">
        <v>-3.0351560000000002</v>
      </c>
      <c r="V1352">
        <v>0.1775041</v>
      </c>
      <c r="W1352">
        <v>0.172350799999999</v>
      </c>
      <c r="X1352">
        <v>0.96891050000000001</v>
      </c>
      <c r="Y1352">
        <v>0.18448609999999999</v>
      </c>
      <c r="Z1352">
        <v>6.2597749999999994E-2</v>
      </c>
      <c r="AA1352">
        <v>0.98083960000000003</v>
      </c>
      <c r="AB1352">
        <v>24</v>
      </c>
      <c r="AC1352">
        <v>-2.6685999999999899</v>
      </c>
      <c r="AD1352">
        <v>-1.10885651666249</v>
      </c>
      <c r="AE1352">
        <v>-17.143199999999901</v>
      </c>
      <c r="AF1352">
        <v>3.23862644876148</v>
      </c>
      <c r="AG1352">
        <v>-1.10885651666249</v>
      </c>
      <c r="AH1352">
        <v>16.972857485182502</v>
      </c>
      <c r="AI1352">
        <v>93.671827478806094</v>
      </c>
      <c r="AJ1352">
        <v>79.197131335856398</v>
      </c>
      <c r="AK1352">
        <v>17.314622585014</v>
      </c>
      <c r="AL1352">
        <v>80.075472552352807</v>
      </c>
      <c r="AM1352">
        <v>79.618550746435702</v>
      </c>
      <c r="AN1352">
        <v>1.0000000303938399</v>
      </c>
    </row>
    <row r="1353" spans="1:40" x14ac:dyDescent="0.25">
      <c r="A1353" t="str">
        <f>"20190312172354252"</f>
        <v>20190312172354252</v>
      </c>
      <c r="B1353" t="str">
        <f>"1552382634241149"</f>
        <v>1552382634241149</v>
      </c>
      <c r="C1353" t="s">
        <v>40</v>
      </c>
      <c r="D1353">
        <v>4.1801979999999999</v>
      </c>
      <c r="E1353">
        <v>0.50449330000000003</v>
      </c>
      <c r="F1353" t="s">
        <v>43</v>
      </c>
      <c r="G1353">
        <v>-190.75040000000001</v>
      </c>
      <c r="H1353" s="1">
        <v>-4.3122400000000002E-7</v>
      </c>
      <c r="I1353">
        <v>310.08150000000001</v>
      </c>
      <c r="J1353">
        <v>-187.97790000000001</v>
      </c>
      <c r="K1353">
        <v>1.108833</v>
      </c>
      <c r="L1353">
        <v>327.22089999999997</v>
      </c>
      <c r="M1353">
        <v>3.1200640000000002E-2</v>
      </c>
      <c r="N1353">
        <v>0</v>
      </c>
      <c r="O1353">
        <v>-0.99941709999999995</v>
      </c>
      <c r="P1353">
        <v>-0.1511287</v>
      </c>
      <c r="Q1353">
        <v>0.1609979</v>
      </c>
      <c r="R1353">
        <v>-0.97531520000000005</v>
      </c>
      <c r="S1353">
        <v>-0.48287960000000002</v>
      </c>
      <c r="T1353">
        <v>-0.19347039999999999</v>
      </c>
      <c r="U1353">
        <v>-3.032349</v>
      </c>
      <c r="V1353">
        <v>0.18233360000000001</v>
      </c>
      <c r="W1353">
        <v>0.17355079999999901</v>
      </c>
      <c r="X1353">
        <v>0.96779879999999996</v>
      </c>
      <c r="Y1353">
        <v>0.18769040000000001</v>
      </c>
      <c r="Z1353">
        <v>6.2667029999999999E-2</v>
      </c>
      <c r="AA1353">
        <v>0.98022710000000002</v>
      </c>
      <c r="AB1353">
        <v>24</v>
      </c>
      <c r="AC1353">
        <v>-2.7725</v>
      </c>
      <c r="AD1353">
        <v>-1.108833431224</v>
      </c>
      <c r="AE1353">
        <v>-17.139399999999899</v>
      </c>
      <c r="AF1353">
        <v>3.2925322121093101</v>
      </c>
      <c r="AG1353">
        <v>-1.108833431224</v>
      </c>
      <c r="AH1353">
        <v>16.975304420483798</v>
      </c>
      <c r="AI1353">
        <v>93.669085831795698</v>
      </c>
      <c r="AJ1353">
        <v>79.023199940348505</v>
      </c>
      <c r="AK1353">
        <v>17.327182116953601</v>
      </c>
      <c r="AL1353">
        <v>80.005665042909101</v>
      </c>
      <c r="AM1353">
        <v>79.330520459771506</v>
      </c>
      <c r="AN1353">
        <v>0.99999996957551895</v>
      </c>
    </row>
    <row r="1354" spans="1:40" x14ac:dyDescent="0.25">
      <c r="A1354" t="str">
        <f>"20190312172354273"</f>
        <v>20190312172354273</v>
      </c>
      <c r="B1354" t="str">
        <f>"1552382634260673"</f>
        <v>1552382634260673</v>
      </c>
      <c r="C1354" t="s">
        <v>40</v>
      </c>
      <c r="D1354">
        <v>4.1651870000000004</v>
      </c>
      <c r="E1354">
        <v>0.50415549999999998</v>
      </c>
      <c r="F1354" t="s">
        <v>43</v>
      </c>
      <c r="G1354">
        <v>-190.9057</v>
      </c>
      <c r="H1354" s="1">
        <v>-4.4582729999999996E-6</v>
      </c>
      <c r="I1354">
        <v>309.6155</v>
      </c>
      <c r="J1354">
        <v>-187.97399999999999</v>
      </c>
      <c r="K1354">
        <v>1.1088</v>
      </c>
      <c r="L1354">
        <v>326.99400000000003</v>
      </c>
      <c r="M1354">
        <v>2.8408039999999999E-2</v>
      </c>
      <c r="N1354">
        <v>0</v>
      </c>
      <c r="O1354">
        <v>-0.99950019999999995</v>
      </c>
      <c r="P1354">
        <v>-0.15759960000000001</v>
      </c>
      <c r="Q1354">
        <v>0.16200519999999999</v>
      </c>
      <c r="R1354">
        <v>-0.97412339999999997</v>
      </c>
      <c r="S1354">
        <v>-0.50378420000000002</v>
      </c>
      <c r="T1354">
        <v>-0.1907982</v>
      </c>
      <c r="U1354">
        <v>-3.0293580000000002</v>
      </c>
      <c r="V1354">
        <v>0.1860716</v>
      </c>
      <c r="W1354">
        <v>0.17451710000000001</v>
      </c>
      <c r="X1354">
        <v>0.96691320000000003</v>
      </c>
      <c r="Y1354">
        <v>0.191693</v>
      </c>
      <c r="Z1354">
        <v>6.1814609999999999E-2</v>
      </c>
      <c r="AA1354">
        <v>0.9795064</v>
      </c>
      <c r="AB1354">
        <v>24</v>
      </c>
      <c r="AC1354">
        <v>-2.93169999999997</v>
      </c>
      <c r="AD1354">
        <v>-1.1088044582729999</v>
      </c>
      <c r="AE1354">
        <v>-17.378499999999999</v>
      </c>
      <c r="AF1354">
        <v>3.41075270906392</v>
      </c>
      <c r="AG1354">
        <v>-1.1088044582729999</v>
      </c>
      <c r="AH1354">
        <v>17.220032549213499</v>
      </c>
      <c r="AI1354">
        <v>93.614189863733202</v>
      </c>
      <c r="AJ1354">
        <v>78.796495900460798</v>
      </c>
      <c r="AK1354">
        <v>17.589548100080499</v>
      </c>
      <c r="AL1354">
        <v>79.949442428911695</v>
      </c>
      <c r="AM1354">
        <v>79.107230013351497</v>
      </c>
      <c r="AN1354">
        <v>0.99999999742660495</v>
      </c>
    </row>
    <row r="1355" spans="1:40" x14ac:dyDescent="0.25">
      <c r="A1355" t="str">
        <f>"20190312172354296"</f>
        <v>20190312172354296</v>
      </c>
      <c r="B1355" t="str">
        <f>"1552382634290926"</f>
        <v>1552382634290926</v>
      </c>
      <c r="C1355" t="s">
        <v>40</v>
      </c>
      <c r="D1355">
        <v>4.1049980000000001</v>
      </c>
      <c r="E1355">
        <v>0.50378529999999999</v>
      </c>
      <c r="F1355" t="s">
        <v>43</v>
      </c>
      <c r="G1355">
        <v>-191.03659999999999</v>
      </c>
      <c r="H1355" s="1">
        <v>-4.3396269999999996E-6</v>
      </c>
      <c r="I1355">
        <v>309.19869999999997</v>
      </c>
      <c r="J1355">
        <v>-187.97040000000001</v>
      </c>
      <c r="K1355">
        <v>1.1087629999999999</v>
      </c>
      <c r="L1355">
        <v>326.74599999999998</v>
      </c>
      <c r="M1355">
        <v>2.532819E-2</v>
      </c>
      <c r="N1355">
        <v>0</v>
      </c>
      <c r="O1355">
        <v>-0.99958309999999995</v>
      </c>
      <c r="P1355">
        <v>-0.16370599999999999</v>
      </c>
      <c r="Q1355">
        <v>0.16189799999999999</v>
      </c>
      <c r="R1355">
        <v>-0.9731339</v>
      </c>
      <c r="S1355">
        <v>-0.52091980000000004</v>
      </c>
      <c r="T1355">
        <v>-0.1885937</v>
      </c>
      <c r="U1355">
        <v>-3.026764</v>
      </c>
      <c r="V1355">
        <v>0.18917010000000001</v>
      </c>
      <c r="W1355">
        <v>0.17438000000000001</v>
      </c>
      <c r="X1355">
        <v>0.96633650000000004</v>
      </c>
      <c r="Y1355">
        <v>0.1942025</v>
      </c>
      <c r="Z1355">
        <v>6.1118510000000001E-2</v>
      </c>
      <c r="AA1355">
        <v>0.97905560000000003</v>
      </c>
      <c r="AB1355">
        <v>24</v>
      </c>
      <c r="AC1355">
        <v>-3.0661999999999798</v>
      </c>
      <c r="AD1355">
        <v>-1.1087673396269999</v>
      </c>
      <c r="AE1355">
        <v>-17.5473</v>
      </c>
      <c r="AF1355">
        <v>3.49615488647364</v>
      </c>
      <c r="AG1355">
        <v>-1.1087673396269999</v>
      </c>
      <c r="AH1355">
        <v>17.396600420736899</v>
      </c>
      <c r="AI1355">
        <v>93.575499557825694</v>
      </c>
      <c r="AJ1355">
        <v>78.636764484923305</v>
      </c>
      <c r="AK1355">
        <v>17.779037381208799</v>
      </c>
      <c r="AL1355">
        <v>79.9574197398791</v>
      </c>
      <c r="AM1355">
        <v>78.9238435236295</v>
      </c>
      <c r="AN1355">
        <v>0.999999971183129</v>
      </c>
    </row>
    <row r="1356" spans="1:40" x14ac:dyDescent="0.25">
      <c r="A1356" t="str">
        <f>"20190312172354319"</f>
        <v>20190312172354319</v>
      </c>
      <c r="B1356" t="str">
        <f>"1552382634311423"</f>
        <v>1552382634311423</v>
      </c>
      <c r="C1356" t="s">
        <v>40</v>
      </c>
      <c r="D1356">
        <v>4.3404179999999997</v>
      </c>
      <c r="E1356">
        <v>0.50406410000000001</v>
      </c>
      <c r="F1356" t="s">
        <v>43</v>
      </c>
      <c r="G1356">
        <v>-191.0795</v>
      </c>
      <c r="H1356" s="1">
        <v>-4.364541E-6</v>
      </c>
      <c r="I1356">
        <v>309.24950000000001</v>
      </c>
      <c r="J1356">
        <v>-187.9676</v>
      </c>
      <c r="K1356">
        <v>1.108735</v>
      </c>
      <c r="L1356">
        <v>326.49759999999998</v>
      </c>
      <c r="M1356">
        <v>2.222934E-2</v>
      </c>
      <c r="N1356">
        <v>0</v>
      </c>
      <c r="O1356">
        <v>-0.99965700000000002</v>
      </c>
      <c r="P1356">
        <v>-0.1689589</v>
      </c>
      <c r="Q1356">
        <v>0.1600704</v>
      </c>
      <c r="R1356">
        <v>-0.97253849999999997</v>
      </c>
      <c r="S1356">
        <v>-0.53741459999999996</v>
      </c>
      <c r="T1356">
        <v>-0.19165579999999999</v>
      </c>
      <c r="U1356">
        <v>-3.0243530000000001</v>
      </c>
      <c r="V1356">
        <v>0.1913986</v>
      </c>
      <c r="W1356">
        <v>0.17253589999999999</v>
      </c>
      <c r="X1356">
        <v>0.96622870000000005</v>
      </c>
      <c r="Y1356">
        <v>0.196462</v>
      </c>
      <c r="Z1356">
        <v>6.2119510000000003E-2</v>
      </c>
      <c r="AA1356">
        <v>0.97854169999999996</v>
      </c>
      <c r="AB1356">
        <v>24</v>
      </c>
      <c r="AC1356">
        <v>-3.1118999999999901</v>
      </c>
      <c r="AD1356">
        <v>-1.108739364541</v>
      </c>
      <c r="AE1356">
        <v>-17.248099999999901</v>
      </c>
      <c r="AF1356">
        <v>3.48065236155949</v>
      </c>
      <c r="AG1356">
        <v>-1.108739364541</v>
      </c>
      <c r="AH1356">
        <v>17.106197959692501</v>
      </c>
      <c r="AI1356">
        <v>93.634181231986304</v>
      </c>
      <c r="AJ1356">
        <v>78.498851622773898</v>
      </c>
      <c r="AK1356">
        <v>17.4918910491891</v>
      </c>
      <c r="AL1356">
        <v>80.064705314191002</v>
      </c>
      <c r="AM1356">
        <v>78.7954257338113</v>
      </c>
      <c r="AN1356">
        <v>0.99999998078722896</v>
      </c>
    </row>
    <row r="1357" spans="1:40" x14ac:dyDescent="0.25">
      <c r="A1357" t="str">
        <f>"20190312172354340"</f>
        <v>20190312172354340</v>
      </c>
      <c r="B1357" t="str">
        <f>"1552382634330941"</f>
        <v>1552382634330941</v>
      </c>
      <c r="C1357" t="s">
        <v>40</v>
      </c>
      <c r="D1357">
        <v>4.3140109999999998</v>
      </c>
      <c r="E1357">
        <v>0.54242400000000002</v>
      </c>
      <c r="F1357" t="s">
        <v>43</v>
      </c>
      <c r="G1357">
        <v>-191.07669999999999</v>
      </c>
      <c r="H1357" s="1">
        <v>-3.0283340000000002E-7</v>
      </c>
      <c r="I1357">
        <v>309.62630000000001</v>
      </c>
      <c r="J1357">
        <v>-187.9658</v>
      </c>
      <c r="K1357">
        <v>1.1087209999999901</v>
      </c>
      <c r="L1357">
        <v>326.26409999999998</v>
      </c>
      <c r="M1357">
        <v>1.9311749999999999E-2</v>
      </c>
      <c r="N1357">
        <v>0</v>
      </c>
      <c r="O1357">
        <v>-0.99971739999999998</v>
      </c>
      <c r="P1357">
        <v>-0.17446829999999999</v>
      </c>
      <c r="Q1357">
        <v>0.15812960000000001</v>
      </c>
      <c r="R1357">
        <v>-0.97188260000000004</v>
      </c>
      <c r="S1357">
        <v>-0.55665589999999998</v>
      </c>
      <c r="T1357">
        <v>-0.19851260000000001</v>
      </c>
      <c r="U1357">
        <v>-3.020721</v>
      </c>
      <c r="V1357">
        <v>0.19405600000000001</v>
      </c>
      <c r="W1357">
        <v>0.17058029999999999</v>
      </c>
      <c r="X1357">
        <v>0.96604590000000001</v>
      </c>
      <c r="Y1357">
        <v>0.1998115</v>
      </c>
      <c r="Z1357">
        <v>6.4356339999999998E-2</v>
      </c>
      <c r="AA1357">
        <v>0.97771859999999999</v>
      </c>
      <c r="AB1357">
        <v>24</v>
      </c>
      <c r="AC1357">
        <v>-3.11089999999998</v>
      </c>
      <c r="AD1357">
        <v>-1.10872130283339</v>
      </c>
      <c r="AE1357">
        <v>-16.637799999999899</v>
      </c>
      <c r="AF1357">
        <v>3.4169943210740601</v>
      </c>
      <c r="AG1357">
        <v>-1.10872130283339</v>
      </c>
      <c r="AH1357">
        <v>16.503800919632901</v>
      </c>
      <c r="AI1357">
        <v>93.763754813078506</v>
      </c>
      <c r="AJ1357">
        <v>78.302591727074599</v>
      </c>
      <c r="AK1357">
        <v>16.890250380396498</v>
      </c>
      <c r="AL1357">
        <v>80.178439623200006</v>
      </c>
      <c r="AM1357">
        <v>78.641782848963103</v>
      </c>
      <c r="AN1357">
        <v>1.00000002539544</v>
      </c>
    </row>
    <row r="1358" spans="1:40" x14ac:dyDescent="0.25">
      <c r="A1358" t="str">
        <f>"20190312172354363"</f>
        <v>20190312172354363</v>
      </c>
      <c r="B1358" t="str">
        <f>"1552382634351456"</f>
        <v>1552382634351456</v>
      </c>
      <c r="C1358" t="s">
        <v>40</v>
      </c>
      <c r="D1358">
        <v>4.3041239999999998</v>
      </c>
      <c r="E1358">
        <v>0.54477969999999998</v>
      </c>
      <c r="F1358" t="s">
        <v>43</v>
      </c>
      <c r="G1358">
        <v>-191.97929999999999</v>
      </c>
      <c r="H1358" s="1">
        <v>-1.9885570000000002E-6</v>
      </c>
      <c r="I1358">
        <v>312.68430000000001</v>
      </c>
      <c r="J1358">
        <v>-187.96459999999999</v>
      </c>
      <c r="K1358">
        <v>1.1087419999999999</v>
      </c>
      <c r="L1358">
        <v>326.02640000000002</v>
      </c>
      <c r="M1358">
        <v>1.6343650000000001E-2</v>
      </c>
      <c r="N1358">
        <v>0</v>
      </c>
      <c r="O1358">
        <v>-0.9997703</v>
      </c>
      <c r="P1358">
        <v>-0.17856459999999999</v>
      </c>
      <c r="Q1358">
        <v>0.15746640000000001</v>
      </c>
      <c r="R1358">
        <v>-0.97124630000000001</v>
      </c>
      <c r="S1358">
        <v>-0.87741089999999999</v>
      </c>
      <c r="T1358">
        <v>-0.24238399999999999</v>
      </c>
      <c r="U1358">
        <v>-2.96875</v>
      </c>
      <c r="V1358">
        <v>0.1952574</v>
      </c>
      <c r="W1358">
        <v>0.16991400000000001</v>
      </c>
      <c r="X1358">
        <v>0.96592120000000004</v>
      </c>
      <c r="Y1358">
        <v>0.298205</v>
      </c>
      <c r="Z1358">
        <v>7.7852840000000006E-2</v>
      </c>
      <c r="AA1358">
        <v>0.95132150000000004</v>
      </c>
      <c r="AB1358">
        <v>24</v>
      </c>
      <c r="AC1358">
        <v>-4.0147000000000004</v>
      </c>
      <c r="AD1358">
        <v>-1.1087439885570001</v>
      </c>
      <c r="AE1358">
        <v>-13.3421</v>
      </c>
      <c r="AF1358">
        <v>4.2056114572353502</v>
      </c>
      <c r="AG1358">
        <v>-1.1087439885570001</v>
      </c>
      <c r="AH1358">
        <v>13.191164176608201</v>
      </c>
      <c r="AI1358">
        <v>94.578506989475301</v>
      </c>
      <c r="AJ1358">
        <v>72.316660581708405</v>
      </c>
      <c r="AK1358">
        <v>13.889682980385899</v>
      </c>
      <c r="AL1358">
        <v>80.217181047834401</v>
      </c>
      <c r="AM1358">
        <v>78.571872124131502</v>
      </c>
      <c r="AN1358">
        <v>0.99999999213010005</v>
      </c>
    </row>
    <row r="1359" spans="1:40" x14ac:dyDescent="0.25">
      <c r="A1359" t="str">
        <f>"20190312172354385"</f>
        <v>20190312172354385</v>
      </c>
      <c r="B1359" t="str">
        <f>"1552382634380718"</f>
        <v>1552382634380718</v>
      </c>
      <c r="C1359" t="s">
        <v>40</v>
      </c>
      <c r="D1359">
        <v>4.2928220000000001</v>
      </c>
      <c r="E1359">
        <v>0.54554769999999997</v>
      </c>
      <c r="F1359" t="s">
        <v>43</v>
      </c>
      <c r="G1359">
        <v>-192.16059999999999</v>
      </c>
      <c r="H1359" s="1">
        <v>-1.893055E-6</v>
      </c>
      <c r="I1359">
        <v>312.3802</v>
      </c>
      <c r="J1359">
        <v>-187.96420000000001</v>
      </c>
      <c r="K1359">
        <v>1.108773</v>
      </c>
      <c r="L1359">
        <v>325.78699999999998</v>
      </c>
      <c r="M1359">
        <v>1.335633E-2</v>
      </c>
      <c r="N1359">
        <v>0</v>
      </c>
      <c r="O1359">
        <v>-0.99981500000000001</v>
      </c>
      <c r="P1359">
        <v>-0.184504</v>
      </c>
      <c r="Q1359">
        <v>0.1571292</v>
      </c>
      <c r="R1359">
        <v>-0.97019049999999996</v>
      </c>
      <c r="S1359">
        <v>-0.91027829999999998</v>
      </c>
      <c r="T1359">
        <v>-0.24053389999999999</v>
      </c>
      <c r="U1359">
        <v>-2.9604490000000001</v>
      </c>
      <c r="V1359">
        <v>0.19827939999999999</v>
      </c>
      <c r="W1359">
        <v>0.16956099999999999</v>
      </c>
      <c r="X1359">
        <v>0.96536739999999999</v>
      </c>
      <c r="Y1359">
        <v>0.30576239999999999</v>
      </c>
      <c r="Z1359">
        <v>7.7258590000000002E-2</v>
      </c>
      <c r="AA1359">
        <v>0.94896809999999998</v>
      </c>
      <c r="AB1359">
        <v>24</v>
      </c>
      <c r="AC1359">
        <v>-4.1963999999999801</v>
      </c>
      <c r="AD1359">
        <v>-1.1087748930550001</v>
      </c>
      <c r="AE1359">
        <v>-13.4068</v>
      </c>
      <c r="AF1359">
        <v>4.3480229057181301</v>
      </c>
      <c r="AG1359">
        <v>-1.1087748930550001</v>
      </c>
      <c r="AH1359">
        <v>13.2669053666209</v>
      </c>
      <c r="AI1359">
        <v>94.540791909910098</v>
      </c>
      <c r="AJ1359">
        <v>71.854243833554804</v>
      </c>
      <c r="AK1359">
        <v>14.005194142138601</v>
      </c>
      <c r="AL1359">
        <v>80.237703701953293</v>
      </c>
      <c r="AM1359">
        <v>78.393283777052702</v>
      </c>
      <c r="AN1359">
        <v>0.99999993508405705</v>
      </c>
    </row>
    <row r="1360" spans="1:40" x14ac:dyDescent="0.25">
      <c r="A1360" t="str">
        <f>"20190312172354408"</f>
        <v>20190312172354408</v>
      </c>
      <c r="B1360" t="str">
        <f>"1552382634401214"</f>
        <v>1552382634401214</v>
      </c>
      <c r="C1360" t="s">
        <v>40</v>
      </c>
      <c r="D1360">
        <v>4.1858930000000001</v>
      </c>
      <c r="E1360">
        <v>0.54573380000000005</v>
      </c>
      <c r="F1360" t="s">
        <v>43</v>
      </c>
      <c r="G1360">
        <v>-191.94990000000001</v>
      </c>
      <c r="H1360" s="1">
        <v>-2.2245629999999999E-6</v>
      </c>
      <c r="I1360">
        <v>313.20010000000002</v>
      </c>
      <c r="J1360">
        <v>-187.96449999999999</v>
      </c>
      <c r="K1360">
        <v>1.1088119999999999</v>
      </c>
      <c r="L1360">
        <v>325.54489999999998</v>
      </c>
      <c r="M1360">
        <v>1.033919E-2</v>
      </c>
      <c r="N1360">
        <v>0</v>
      </c>
      <c r="O1360">
        <v>-0.99985049999999998</v>
      </c>
      <c r="P1360">
        <v>-0.1906475</v>
      </c>
      <c r="Q1360">
        <v>0.1588608</v>
      </c>
      <c r="R1360">
        <v>-0.9687192</v>
      </c>
      <c r="S1360">
        <v>-0.93614200000000003</v>
      </c>
      <c r="T1360">
        <v>-0.26042310000000002</v>
      </c>
      <c r="U1360">
        <v>-2.9563600000000001</v>
      </c>
      <c r="V1360">
        <v>0.20148679999999999</v>
      </c>
      <c r="W1360">
        <v>0.17127129999999999</v>
      </c>
      <c r="X1360">
        <v>0.96440090000000001</v>
      </c>
      <c r="Y1360">
        <v>0.31066579999999999</v>
      </c>
      <c r="Z1360">
        <v>8.3542249999999998E-2</v>
      </c>
      <c r="AA1360">
        <v>0.94684080000000004</v>
      </c>
      <c r="AB1360">
        <v>24</v>
      </c>
      <c r="AC1360">
        <v>-3.9854000000000198</v>
      </c>
      <c r="AD1360">
        <v>-1.1088142245629999</v>
      </c>
      <c r="AE1360">
        <v>-12.3447999999999</v>
      </c>
      <c r="AF1360">
        <v>4.0830031927251103</v>
      </c>
      <c r="AG1360">
        <v>-1.1088142245629999</v>
      </c>
      <c r="AH1360">
        <v>12.213694578370999</v>
      </c>
      <c r="AI1360">
        <v>94.921076785971593</v>
      </c>
      <c r="AJ1360">
        <v>71.515365595700004</v>
      </c>
      <c r="AK1360">
        <v>12.9257386369262</v>
      </c>
      <c r="AL1360">
        <v>80.138256079822597</v>
      </c>
      <c r="AM1360">
        <v>78.199262515364893</v>
      </c>
      <c r="AN1360">
        <v>0.99999994234936795</v>
      </c>
    </row>
    <row r="1361" spans="1:40" x14ac:dyDescent="0.25">
      <c r="A1361" t="str">
        <f>"20190312172354431"</f>
        <v>20190312172354431</v>
      </c>
      <c r="B1361" t="str">
        <f>"1552382634420734"</f>
        <v>1552382634420734</v>
      </c>
      <c r="C1361" t="s">
        <v>40</v>
      </c>
      <c r="D1361">
        <v>4.3082219999999998</v>
      </c>
      <c r="E1361">
        <v>0.54575209999999996</v>
      </c>
      <c r="F1361" t="s">
        <v>43</v>
      </c>
      <c r="G1361">
        <v>-192.06290000000001</v>
      </c>
      <c r="H1361" s="1">
        <v>-2.107333E-6</v>
      </c>
      <c r="I1361">
        <v>312.88850000000002</v>
      </c>
      <c r="J1361">
        <v>-187.96559999999999</v>
      </c>
      <c r="K1361">
        <v>1.1088439999999999</v>
      </c>
      <c r="L1361">
        <v>325.29360000000003</v>
      </c>
      <c r="M1361">
        <v>7.2160779999999999E-3</v>
      </c>
      <c r="N1361">
        <v>0</v>
      </c>
      <c r="O1361">
        <v>-0.99987800000000004</v>
      </c>
      <c r="P1361">
        <v>-0.1963212</v>
      </c>
      <c r="Q1361">
        <v>0.16036789999999901</v>
      </c>
      <c r="R1361">
        <v>-0.96733650000000004</v>
      </c>
      <c r="S1361">
        <v>-0.95564269999999996</v>
      </c>
      <c r="T1361">
        <v>-0.25854850000000001</v>
      </c>
      <c r="U1361">
        <v>-2.9511720000000001</v>
      </c>
      <c r="V1361">
        <v>0.20412910000000001</v>
      </c>
      <c r="W1361">
        <v>0.1727622</v>
      </c>
      <c r="X1361">
        <v>0.96357899999999996</v>
      </c>
      <c r="Y1361">
        <v>0.31386399999999998</v>
      </c>
      <c r="Z1361">
        <v>8.2960989999999998E-2</v>
      </c>
      <c r="AA1361">
        <v>0.94583660000000003</v>
      </c>
      <c r="AB1361">
        <v>24</v>
      </c>
      <c r="AC1361">
        <v>-4.0973000000000104</v>
      </c>
      <c r="AD1361">
        <v>-1.108846107333</v>
      </c>
      <c r="AE1361">
        <v>-12.405099999999999</v>
      </c>
      <c r="AF1361">
        <v>4.1567726346839002</v>
      </c>
      <c r="AG1361">
        <v>-1.108846107333</v>
      </c>
      <c r="AH1361">
        <v>12.286694228544301</v>
      </c>
      <c r="AI1361">
        <v>94.886214905718404</v>
      </c>
      <c r="AJ1361">
        <v>71.308551958429206</v>
      </c>
      <c r="AK1361">
        <v>13.0181086756852</v>
      </c>
      <c r="AL1361">
        <v>80.051541579174597</v>
      </c>
      <c r="AM1361">
        <v>78.039029455051207</v>
      </c>
      <c r="AN1361">
        <v>0.99999997822832398</v>
      </c>
    </row>
    <row r="1362" spans="1:40" x14ac:dyDescent="0.25">
      <c r="A1362" t="str">
        <f>"20190312172354454"</f>
        <v>20190312172354454</v>
      </c>
      <c r="B1362" t="str">
        <f>"1552382634450989"</f>
        <v>1552382634450989</v>
      </c>
      <c r="C1362" t="s">
        <v>40</v>
      </c>
      <c r="D1362">
        <v>4.2254209999999999</v>
      </c>
      <c r="E1362">
        <v>0.54553949999999996</v>
      </c>
      <c r="F1362" t="s">
        <v>43</v>
      </c>
      <c r="G1362">
        <v>-192.20519999999999</v>
      </c>
      <c r="H1362" s="1">
        <v>-1.933322E-6</v>
      </c>
      <c r="I1362">
        <v>312.44029999999998</v>
      </c>
      <c r="J1362">
        <v>-187.9674</v>
      </c>
      <c r="K1362">
        <v>1.1088690000000001</v>
      </c>
      <c r="L1362">
        <v>325.04790000000003</v>
      </c>
      <c r="M1362">
        <v>4.1698209999999998E-3</v>
      </c>
      <c r="N1362">
        <v>0</v>
      </c>
      <c r="O1362">
        <v>-0.99989539999999999</v>
      </c>
      <c r="P1362">
        <v>-0.20136960000000001</v>
      </c>
      <c r="Q1362">
        <v>0.16039970000000001</v>
      </c>
      <c r="R1362">
        <v>-0.96629310000000002</v>
      </c>
      <c r="S1362">
        <v>-0.97177119999999995</v>
      </c>
      <c r="T1362">
        <v>-0.2541659</v>
      </c>
      <c r="U1362">
        <v>-2.9461979999999999</v>
      </c>
      <c r="V1362">
        <v>0.20622280000000001</v>
      </c>
      <c r="W1362">
        <v>0.17278389999999999</v>
      </c>
      <c r="X1362">
        <v>0.96312920000000002</v>
      </c>
      <c r="Y1362">
        <v>0.3161524</v>
      </c>
      <c r="Z1362">
        <v>8.1597920000000004E-2</v>
      </c>
      <c r="AA1362">
        <v>0.94519280000000006</v>
      </c>
      <c r="AB1362">
        <v>24</v>
      </c>
      <c r="AC1362">
        <v>-4.2377999999999902</v>
      </c>
      <c r="AD1362">
        <v>-1.1088709333219999</v>
      </c>
      <c r="AE1362">
        <v>-12.6076</v>
      </c>
      <c r="AF1362">
        <v>4.2607259789665202</v>
      </c>
      <c r="AG1362">
        <v>-1.1088709333219999</v>
      </c>
      <c r="AH1362">
        <v>12.5029178246089</v>
      </c>
      <c r="AI1362">
        <v>94.798635470248001</v>
      </c>
      <c r="AJ1362">
        <v>71.181991880324304</v>
      </c>
      <c r="AK1362">
        <v>13.255426614919999</v>
      </c>
      <c r="AL1362">
        <v>80.050279372168802</v>
      </c>
      <c r="AM1362">
        <v>77.914459016251698</v>
      </c>
      <c r="AN1362">
        <v>0.99999998761584397</v>
      </c>
    </row>
    <row r="1363" spans="1:40" x14ac:dyDescent="0.25">
      <c r="A1363" t="str">
        <f>"20190312172354474"</f>
        <v>20190312172354474</v>
      </c>
      <c r="B1363" t="str">
        <f>"1552382634471487"</f>
        <v>1552382634471487</v>
      </c>
      <c r="C1363" t="s">
        <v>40</v>
      </c>
      <c r="D1363">
        <v>4.4016719999999996</v>
      </c>
      <c r="E1363">
        <v>0.54438920000000002</v>
      </c>
      <c r="F1363" t="s">
        <v>43</v>
      </c>
      <c r="G1363">
        <v>-192.1388</v>
      </c>
      <c r="H1363" s="1">
        <v>-1.984055E-6</v>
      </c>
      <c r="I1363">
        <v>312.58499999999998</v>
      </c>
      <c r="J1363">
        <v>-187.96960000000001</v>
      </c>
      <c r="K1363">
        <v>1.1088800000000001</v>
      </c>
      <c r="L1363">
        <v>324.83019999999999</v>
      </c>
      <c r="M1363">
        <v>1.4789650000000001E-3</v>
      </c>
      <c r="N1363">
        <v>0</v>
      </c>
      <c r="O1363">
        <v>-0.99990299999999999</v>
      </c>
      <c r="P1363">
        <v>-0.20586099999999999</v>
      </c>
      <c r="Q1363">
        <v>0.15967870000000001</v>
      </c>
      <c r="R1363">
        <v>-0.96546569999999998</v>
      </c>
      <c r="S1363">
        <v>-0.9850006</v>
      </c>
      <c r="T1363">
        <v>-0.2618355</v>
      </c>
      <c r="U1363">
        <v>-2.942841</v>
      </c>
      <c r="V1363">
        <v>0.20810519999999999</v>
      </c>
      <c r="W1363">
        <v>0.1720544</v>
      </c>
      <c r="X1363">
        <v>0.96285489999999996</v>
      </c>
      <c r="Y1363">
        <v>0.31768210000000002</v>
      </c>
      <c r="Z1363">
        <v>8.4053820000000001E-2</v>
      </c>
      <c r="AA1363">
        <v>0.94446439999999998</v>
      </c>
      <c r="AB1363">
        <v>24</v>
      </c>
      <c r="AC1363">
        <v>-4.1691999999999796</v>
      </c>
      <c r="AD1363">
        <v>-1.1088819840549999</v>
      </c>
      <c r="AE1363">
        <v>-12.245200000000001</v>
      </c>
      <c r="AF1363">
        <v>4.1567610505513501</v>
      </c>
      <c r="AG1363">
        <v>-1.1088819840549999</v>
      </c>
      <c r="AH1363">
        <v>12.149736436160399</v>
      </c>
      <c r="AI1363">
        <v>94.935469782083203</v>
      </c>
      <c r="AJ1363">
        <v>71.112763193672393</v>
      </c>
      <c r="AK1363">
        <v>12.8889245926147</v>
      </c>
      <c r="AL1363">
        <v>80.0927125022871</v>
      </c>
      <c r="AM1363">
        <v>77.804058949250404</v>
      </c>
      <c r="AN1363">
        <v>1.0000000246402001</v>
      </c>
    </row>
    <row r="1364" spans="1:40" x14ac:dyDescent="0.25">
      <c r="A1364" t="str">
        <f>"20190312172354496"</f>
        <v>20190312172354496</v>
      </c>
      <c r="B1364" t="str">
        <f>"1552382634491006"</f>
        <v>1552382634491006</v>
      </c>
      <c r="C1364" t="s">
        <v>40</v>
      </c>
      <c r="D1364">
        <v>4.3628839999999904</v>
      </c>
      <c r="E1364">
        <v>0.5431783</v>
      </c>
      <c r="F1364" t="s">
        <v>43</v>
      </c>
      <c r="G1364">
        <v>-192.13079999999999</v>
      </c>
      <c r="H1364" s="1">
        <v>-1.9312799999999999E-6</v>
      </c>
      <c r="I1364">
        <v>312.4778</v>
      </c>
      <c r="J1364">
        <v>-187.9726</v>
      </c>
      <c r="K1364">
        <v>1.108878</v>
      </c>
      <c r="L1364">
        <v>324.58969999999999</v>
      </c>
      <c r="M1364">
        <v>-1.486404E-3</v>
      </c>
      <c r="N1364">
        <v>0</v>
      </c>
      <c r="O1364">
        <v>-0.99990299999999999</v>
      </c>
      <c r="P1364">
        <v>-0.2102736</v>
      </c>
      <c r="Q1364">
        <v>0.15793109999999999</v>
      </c>
      <c r="R1364">
        <v>-0.96480200000000005</v>
      </c>
      <c r="S1364">
        <v>-0.99034120000000003</v>
      </c>
      <c r="T1364">
        <v>-0.26390400000000003</v>
      </c>
      <c r="U1364">
        <v>-2.9397579999999999</v>
      </c>
      <c r="V1364">
        <v>0.20964140000000001</v>
      </c>
      <c r="W1364">
        <v>0.17030439999999999</v>
      </c>
      <c r="X1364">
        <v>0.96283269999999999</v>
      </c>
      <c r="Y1364">
        <v>0.31669130000000001</v>
      </c>
      <c r="Z1364">
        <v>8.478724E-2</v>
      </c>
      <c r="AA1364">
        <v>0.9447316</v>
      </c>
      <c r="AB1364">
        <v>24</v>
      </c>
      <c r="AC1364">
        <v>-4.1581999999999901</v>
      </c>
      <c r="AD1364">
        <v>-1.10887993128</v>
      </c>
      <c r="AE1364">
        <v>-12.111899999999901</v>
      </c>
      <c r="AF1364">
        <v>4.1093777101255196</v>
      </c>
      <c r="AG1364">
        <v>-1.10887993128</v>
      </c>
      <c r="AH1364">
        <v>12.0278809390582</v>
      </c>
      <c r="AI1364">
        <v>94.985930276133004</v>
      </c>
      <c r="AJ1364">
        <v>71.137044942892601</v>
      </c>
      <c r="AK1364">
        <v>12.758782063764199</v>
      </c>
      <c r="AL1364">
        <v>80.1944815899991</v>
      </c>
      <c r="AM1364">
        <v>77.7164795065097</v>
      </c>
      <c r="AN1364">
        <v>0.99999995672130404</v>
      </c>
    </row>
    <row r="1365" spans="1:40" x14ac:dyDescent="0.25">
      <c r="A1365" t="str">
        <f>"20190312172354519"</f>
        <v>20190312172354519</v>
      </c>
      <c r="B1365" t="str">
        <f>"1552382634511502"</f>
        <v>1552382634511502</v>
      </c>
      <c r="C1365" t="s">
        <v>40</v>
      </c>
      <c r="D1365">
        <v>4.1883489999999997</v>
      </c>
      <c r="E1365">
        <v>0.54260609999999998</v>
      </c>
      <c r="F1365" t="s">
        <v>43</v>
      </c>
      <c r="G1365">
        <v>-192.05109999999999</v>
      </c>
      <c r="H1365" s="1">
        <v>-1.9432630000000001E-6</v>
      </c>
      <c r="I1365">
        <v>312.548</v>
      </c>
      <c r="J1365">
        <v>-187.97640000000001</v>
      </c>
      <c r="K1365">
        <v>1.108881</v>
      </c>
      <c r="L1365">
        <v>324.35199999999998</v>
      </c>
      <c r="M1365">
        <v>-4.4045639999999997E-3</v>
      </c>
      <c r="N1365">
        <v>0</v>
      </c>
      <c r="O1365">
        <v>-0.99989459999999997</v>
      </c>
      <c r="P1365">
        <v>-0.21404029999999999</v>
      </c>
      <c r="Q1365">
        <v>0.15654889999999999</v>
      </c>
      <c r="R1365">
        <v>-0.96419909999999998</v>
      </c>
      <c r="S1365">
        <v>-0.99475100000000005</v>
      </c>
      <c r="T1365">
        <v>-0.27045849999999999</v>
      </c>
      <c r="U1365">
        <v>-2.9369809999999998</v>
      </c>
      <c r="V1365">
        <v>0.21057999999999999</v>
      </c>
      <c r="W1365">
        <v>0.16892380000000001</v>
      </c>
      <c r="X1365">
        <v>0.96287109999999998</v>
      </c>
      <c r="Y1365">
        <v>0.31540759999999901</v>
      </c>
      <c r="Z1365">
        <v>8.6951559999999997E-2</v>
      </c>
      <c r="AA1365">
        <v>0.94496429999999998</v>
      </c>
      <c r="AB1365">
        <v>24</v>
      </c>
      <c r="AC1365">
        <v>-4.0746999999999698</v>
      </c>
      <c r="AD1365">
        <v>-1.1088829432629901</v>
      </c>
      <c r="AE1365">
        <v>-11.804</v>
      </c>
      <c r="AF1365">
        <v>3.99119210040323</v>
      </c>
      <c r="AG1365">
        <v>-1.1088829432629901</v>
      </c>
      <c r="AH1365">
        <v>11.729344570917499</v>
      </c>
      <c r="AI1365">
        <v>95.114326608207705</v>
      </c>
      <c r="AJ1365">
        <v>71.207890824231797</v>
      </c>
      <c r="AK1365">
        <v>12.439323125776999</v>
      </c>
      <c r="AL1365">
        <v>80.274747296496201</v>
      </c>
      <c r="AM1365">
        <v>77.663641579287599</v>
      </c>
      <c r="AN1365">
        <v>0.99999997091082404</v>
      </c>
    </row>
    <row r="1366" spans="1:40" x14ac:dyDescent="0.25">
      <c r="A1366" t="str">
        <f>"20190312172354541"</f>
        <v>20190312172354541</v>
      </c>
      <c r="B1366" t="str">
        <f>"1552382634531022"</f>
        <v>1552382634531022</v>
      </c>
      <c r="C1366" t="s">
        <v>40</v>
      </c>
      <c r="D1366">
        <v>4.2352610000000004</v>
      </c>
      <c r="E1366">
        <v>0.54228869999999996</v>
      </c>
      <c r="F1366" t="s">
        <v>43</v>
      </c>
      <c r="G1366">
        <v>-191.94409999999999</v>
      </c>
      <c r="H1366" s="1">
        <v>-1.9992860000000001E-6</v>
      </c>
      <c r="I1366">
        <v>312.72680000000003</v>
      </c>
      <c r="J1366">
        <v>-187.98079999999999</v>
      </c>
      <c r="K1366">
        <v>1.108884</v>
      </c>
      <c r="L1366">
        <v>324.1139</v>
      </c>
      <c r="M1366">
        <v>-7.3073359999999898E-3</v>
      </c>
      <c r="N1366">
        <v>0</v>
      </c>
      <c r="O1366">
        <v>-0.99987760000000003</v>
      </c>
      <c r="P1366">
        <v>-0.21749099999999999</v>
      </c>
      <c r="Q1366">
        <v>0.15513560000000001</v>
      </c>
      <c r="R1366">
        <v>-0.96365509999999999</v>
      </c>
      <c r="S1366">
        <v>-1.001541</v>
      </c>
      <c r="T1366">
        <v>-0.2799084</v>
      </c>
      <c r="U1366">
        <v>-2.9344790000000001</v>
      </c>
      <c r="V1366">
        <v>0.2112166</v>
      </c>
      <c r="W1366">
        <v>0.16751740000000001</v>
      </c>
      <c r="X1366">
        <v>0.96297739999999998</v>
      </c>
      <c r="Y1366">
        <v>0.31477100000000002</v>
      </c>
      <c r="Z1366">
        <v>9.0011430000000003E-2</v>
      </c>
      <c r="AA1366">
        <v>0.94489000000000001</v>
      </c>
      <c r="AB1366">
        <v>24</v>
      </c>
      <c r="AC1366">
        <v>-3.9632999999999998</v>
      </c>
      <c r="AD1366">
        <v>-1.1088859992860001</v>
      </c>
      <c r="AE1366">
        <v>-11.387099999999901</v>
      </c>
      <c r="AF1366">
        <v>3.8474337413469</v>
      </c>
      <c r="AG1366">
        <v>-1.1088859992860001</v>
      </c>
      <c r="AH1366">
        <v>11.3200107950488</v>
      </c>
      <c r="AI1366">
        <v>95.298876441739395</v>
      </c>
      <c r="AJ1366">
        <v>71.228182353138706</v>
      </c>
      <c r="AK1366">
        <v>12.0072902419109</v>
      </c>
      <c r="AL1366">
        <v>80.356493322572007</v>
      </c>
      <c r="AM1366">
        <v>77.628818437625995</v>
      </c>
      <c r="AN1366">
        <v>1.0000000021645301</v>
      </c>
    </row>
    <row r="1367" spans="1:40" x14ac:dyDescent="0.25">
      <c r="A1367" t="str">
        <f>"20190312172354564"</f>
        <v>20190312172354564</v>
      </c>
      <c r="B1367" t="str">
        <f>"1552382634561278"</f>
        <v>1552382634561278</v>
      </c>
      <c r="C1367" t="s">
        <v>40</v>
      </c>
      <c r="D1367">
        <v>4.2268129999999999</v>
      </c>
      <c r="E1367">
        <v>0.54212819999999995</v>
      </c>
      <c r="F1367" t="s">
        <v>43</v>
      </c>
      <c r="G1367">
        <v>-191.95519999999999</v>
      </c>
      <c r="H1367" s="1">
        <v>-1.9273390000000002E-6</v>
      </c>
      <c r="I1367">
        <v>312.56830000000002</v>
      </c>
      <c r="J1367">
        <v>-187.98599999999999</v>
      </c>
      <c r="K1367">
        <v>1.108908</v>
      </c>
      <c r="L1367">
        <v>323.87180000000001</v>
      </c>
      <c r="M1367">
        <v>-1.0223070000000001E-2</v>
      </c>
      <c r="N1367">
        <v>0</v>
      </c>
      <c r="O1367">
        <v>-0.99985210000000002</v>
      </c>
      <c r="P1367">
        <v>-0.2202373</v>
      </c>
      <c r="Q1367">
        <v>0.15410789999999999</v>
      </c>
      <c r="R1367">
        <v>-0.96319619999999995</v>
      </c>
      <c r="S1367">
        <v>-1.0088649999999999</v>
      </c>
      <c r="T1367">
        <v>-0.28147899999999998</v>
      </c>
      <c r="U1367">
        <v>-2.9307249999999998</v>
      </c>
      <c r="V1367">
        <v>0.21113489999999999</v>
      </c>
      <c r="W1367">
        <v>0.16650470000000001</v>
      </c>
      <c r="X1367">
        <v>0.96317090000000005</v>
      </c>
      <c r="Y1367">
        <v>0.31447039999999998</v>
      </c>
      <c r="Z1367">
        <v>9.0586680000000003E-2</v>
      </c>
      <c r="AA1367">
        <v>0.94493510000000003</v>
      </c>
      <c r="AB1367">
        <v>24</v>
      </c>
      <c r="AC1367">
        <v>-3.9691999999999998</v>
      </c>
      <c r="AD1367">
        <v>-1.108909927339</v>
      </c>
      <c r="AE1367">
        <v>-11.3034999999999</v>
      </c>
      <c r="AF1367">
        <v>3.8206901299162102</v>
      </c>
      <c r="AG1367">
        <v>-1.108909927339</v>
      </c>
      <c r="AH1367">
        <v>11.247127415190601</v>
      </c>
      <c r="AI1367">
        <v>95.333414384596907</v>
      </c>
      <c r="AJ1367">
        <v>71.237188786122303</v>
      </c>
      <c r="AK1367">
        <v>11.930013805076699</v>
      </c>
      <c r="AL1367">
        <v>80.415343014595294</v>
      </c>
      <c r="AM1367">
        <v>77.635864433626907</v>
      </c>
      <c r="AN1367">
        <v>0.99999997186345402</v>
      </c>
    </row>
    <row r="1368" spans="1:40" x14ac:dyDescent="0.25">
      <c r="A1368" t="str">
        <f>"20190312172354585"</f>
        <v>20190312172354585</v>
      </c>
      <c r="B1368" t="str">
        <f>"1552382634580798"</f>
        <v>1552382634580798</v>
      </c>
      <c r="C1368" t="s">
        <v>40</v>
      </c>
      <c r="D1368">
        <v>4.2278560000000001</v>
      </c>
      <c r="E1368">
        <v>0.54189069999999995</v>
      </c>
      <c r="F1368" t="s">
        <v>43</v>
      </c>
      <c r="G1368">
        <v>-192.01820000000001</v>
      </c>
      <c r="H1368" s="1">
        <v>-1.7961700000000001E-6</v>
      </c>
      <c r="I1368">
        <v>312.25540000000001</v>
      </c>
      <c r="J1368">
        <v>-187.9914</v>
      </c>
      <c r="K1368">
        <v>1.1089370000000001</v>
      </c>
      <c r="L1368">
        <v>323.64699999999999</v>
      </c>
      <c r="M1368">
        <v>-1.2901579999999999E-2</v>
      </c>
      <c r="N1368">
        <v>0</v>
      </c>
      <c r="O1368">
        <v>-0.99982119999999997</v>
      </c>
      <c r="P1368">
        <v>-0.2226477</v>
      </c>
      <c r="Q1368">
        <v>0.1540571</v>
      </c>
      <c r="R1368">
        <v>-0.9626498</v>
      </c>
      <c r="S1368">
        <v>-1.0160370000000001</v>
      </c>
      <c r="T1368">
        <v>-0.27942139999999999</v>
      </c>
      <c r="U1368">
        <v>-2.9270939999999999</v>
      </c>
      <c r="V1368">
        <v>0.21095269999999999</v>
      </c>
      <c r="W1368">
        <v>0.16646759999999999</v>
      </c>
      <c r="X1368">
        <v>0.96321730000000005</v>
      </c>
      <c r="Y1368">
        <v>0.31437480000000001</v>
      </c>
      <c r="Z1368">
        <v>8.9997279999999999E-2</v>
      </c>
      <c r="AA1368">
        <v>0.94502330000000001</v>
      </c>
      <c r="AB1368">
        <v>24</v>
      </c>
      <c r="AC1368">
        <v>-4.0267999999999997</v>
      </c>
      <c r="AD1368">
        <v>-1.1089387961699999</v>
      </c>
      <c r="AE1368">
        <v>-11.391599999999899</v>
      </c>
      <c r="AF1368">
        <v>3.8470739123652402</v>
      </c>
      <c r="AG1368">
        <v>-1.1089387961699999</v>
      </c>
      <c r="AH1368">
        <v>11.3470230798108</v>
      </c>
      <c r="AI1368">
        <v>95.287929460287003</v>
      </c>
      <c r="AJ1368">
        <v>71.271379725105305</v>
      </c>
      <c r="AK1368">
        <v>12.032649571670101</v>
      </c>
      <c r="AL1368">
        <v>80.417499387465099</v>
      </c>
      <c r="AM1368">
        <v>77.646783204732699</v>
      </c>
      <c r="AN1368">
        <v>1.0000000352531599</v>
      </c>
    </row>
    <row r="1369" spans="1:40" x14ac:dyDescent="0.25">
      <c r="A1369" t="str">
        <f>"20190312172354609"</f>
        <v>20190312172354609</v>
      </c>
      <c r="B1369" t="str">
        <f>"1552382634601294"</f>
        <v>1552382634601294</v>
      </c>
      <c r="C1369" t="s">
        <v>40</v>
      </c>
      <c r="D1369">
        <v>4.2177519999999999</v>
      </c>
      <c r="E1369">
        <v>0.54168729999999998</v>
      </c>
      <c r="F1369" t="s">
        <v>43</v>
      </c>
      <c r="G1369">
        <v>-192.0675</v>
      </c>
      <c r="H1369" s="1">
        <v>-1.6811519999999901E-6</v>
      </c>
      <c r="I1369">
        <v>311.98430000000002</v>
      </c>
      <c r="J1369">
        <v>-187.99809999999999</v>
      </c>
      <c r="K1369">
        <v>1.108975</v>
      </c>
      <c r="L1369">
        <v>323.39670000000001</v>
      </c>
      <c r="M1369">
        <v>-1.5839889999999999E-2</v>
      </c>
      <c r="N1369">
        <v>0</v>
      </c>
      <c r="O1369">
        <v>-0.99977870000000002</v>
      </c>
      <c r="P1369">
        <v>-0.22641410000000001</v>
      </c>
      <c r="Q1369">
        <v>0.15432019999999999</v>
      </c>
      <c r="R1369">
        <v>-0.96172869999999999</v>
      </c>
      <c r="S1369">
        <v>-1.0221100000000001</v>
      </c>
      <c r="T1369">
        <v>-0.27807700000000002</v>
      </c>
      <c r="U1369">
        <v>-2.9245299999999999</v>
      </c>
      <c r="V1369">
        <v>0.21188090000000001</v>
      </c>
      <c r="W1369">
        <v>0.16673840000000001</v>
      </c>
      <c r="X1369">
        <v>0.96296669999999995</v>
      </c>
      <c r="Y1369">
        <v>0.3136041</v>
      </c>
      <c r="Z1369">
        <v>8.961798E-2</v>
      </c>
      <c r="AA1369">
        <v>0.94531529999999997</v>
      </c>
      <c r="AB1369">
        <v>24</v>
      </c>
      <c r="AC1369">
        <v>-4.0693999999999999</v>
      </c>
      <c r="AD1369">
        <v>-1.1089766811519901</v>
      </c>
      <c r="AE1369">
        <v>-11.4123999999999</v>
      </c>
      <c r="AF1369">
        <v>3.8557992295133099</v>
      </c>
      <c r="AG1369">
        <v>-1.1089766811519901</v>
      </c>
      <c r="AH1369">
        <v>11.3800971253978</v>
      </c>
      <c r="AI1369">
        <v>95.273175474929701</v>
      </c>
      <c r="AJ1369">
        <v>71.282615677150403</v>
      </c>
      <c r="AK1369">
        <v>12.0666328178635</v>
      </c>
      <c r="AL1369">
        <v>80.4017637931873</v>
      </c>
      <c r="AM1369">
        <v>77.590979588771901</v>
      </c>
      <c r="AN1369">
        <v>1.00000003756412</v>
      </c>
    </row>
    <row r="1370" spans="1:40" x14ac:dyDescent="0.25">
      <c r="A1370" t="str">
        <f>"20190312172354632"</f>
        <v>20190312172354632</v>
      </c>
      <c r="B1370" t="str">
        <f>"1552382634620814"</f>
        <v>1552382634620814</v>
      </c>
      <c r="C1370" t="s">
        <v>40</v>
      </c>
      <c r="D1370">
        <v>4.197419</v>
      </c>
      <c r="E1370">
        <v>0.54155949999999997</v>
      </c>
      <c r="F1370" t="s">
        <v>43</v>
      </c>
      <c r="G1370">
        <v>-192.1739</v>
      </c>
      <c r="H1370" s="1">
        <v>-1.5195079999999901E-6</v>
      </c>
      <c r="I1370">
        <v>311.58249999999998</v>
      </c>
      <c r="J1370">
        <v>-188.0052</v>
      </c>
      <c r="K1370">
        <v>1.1090169999999999</v>
      </c>
      <c r="L1370">
        <v>323.15309999999999</v>
      </c>
      <c r="M1370">
        <v>-1.8637419999999998E-2</v>
      </c>
      <c r="N1370">
        <v>0</v>
      </c>
      <c r="O1370">
        <v>-0.99973080000000003</v>
      </c>
      <c r="P1370">
        <v>-0.2302612</v>
      </c>
      <c r="Q1370">
        <v>0.154199799999999</v>
      </c>
      <c r="R1370">
        <v>-0.96083439999999998</v>
      </c>
      <c r="S1370">
        <v>-1.032227</v>
      </c>
      <c r="T1370">
        <v>-0.27412769999999997</v>
      </c>
      <c r="U1370">
        <v>-2.9203489999999999</v>
      </c>
      <c r="V1370">
        <v>0.21302450000000001</v>
      </c>
      <c r="W1370">
        <v>0.16662739999999901</v>
      </c>
      <c r="X1370">
        <v>0.96273359999999997</v>
      </c>
      <c r="Y1370">
        <v>0.31432009999999899</v>
      </c>
      <c r="Z1370">
        <v>8.8408009999999995E-2</v>
      </c>
      <c r="AA1370">
        <v>0.94519140000000001</v>
      </c>
      <c r="AB1370">
        <v>24</v>
      </c>
      <c r="AC1370">
        <v>-4.1687000000000003</v>
      </c>
      <c r="AD1370">
        <v>-1.109018519508</v>
      </c>
      <c r="AE1370">
        <v>-11.570600000000001</v>
      </c>
      <c r="AF1370">
        <v>3.9204306792688399</v>
      </c>
      <c r="AG1370">
        <v>-1.109018519508</v>
      </c>
      <c r="AH1370">
        <v>11.5523549092962</v>
      </c>
      <c r="AI1370">
        <v>95.194322873241305</v>
      </c>
      <c r="AJ1370">
        <v>71.254738170218005</v>
      </c>
      <c r="AK1370">
        <v>12.2497592930597</v>
      </c>
      <c r="AL1370">
        <v>80.408214038708607</v>
      </c>
      <c r="AM1370">
        <v>77.523168871459205</v>
      </c>
      <c r="AN1370">
        <v>1.00000005629998</v>
      </c>
    </row>
    <row r="1371" spans="1:40" x14ac:dyDescent="0.25">
      <c r="A1371" t="str">
        <f>"20190312172354654"</f>
        <v>20190312172354654</v>
      </c>
      <c r="B1371" t="str">
        <f>"1552382634651070"</f>
        <v>1552382634651070</v>
      </c>
      <c r="C1371" t="s">
        <v>40</v>
      </c>
      <c r="D1371">
        <v>4.1974229999999997</v>
      </c>
      <c r="E1371">
        <v>0.54129959999999999</v>
      </c>
      <c r="F1371" t="s">
        <v>43</v>
      </c>
      <c r="G1371">
        <v>-192.25970000000001</v>
      </c>
      <c r="H1371" s="1">
        <v>-1.3916569999999901E-6</v>
      </c>
      <c r="I1371">
        <v>311.26369999999997</v>
      </c>
      <c r="J1371">
        <v>-188.0128</v>
      </c>
      <c r="K1371">
        <v>1.1090660000000001</v>
      </c>
      <c r="L1371">
        <v>322.916</v>
      </c>
      <c r="M1371">
        <v>-2.128619E-2</v>
      </c>
      <c r="N1371">
        <v>0</v>
      </c>
      <c r="O1371">
        <v>-0.99967779999999995</v>
      </c>
      <c r="P1371">
        <v>-0.23449439999999999</v>
      </c>
      <c r="Q1371">
        <v>0.1536119</v>
      </c>
      <c r="R1371">
        <v>-0.95990399999999998</v>
      </c>
      <c r="S1371">
        <v>-1.0434110000000001</v>
      </c>
      <c r="T1371">
        <v>-0.2719896</v>
      </c>
      <c r="U1371">
        <v>-2.9158940000000002</v>
      </c>
      <c r="V1371">
        <v>0.214696</v>
      </c>
      <c r="W1371">
        <v>0.166051</v>
      </c>
      <c r="X1371">
        <v>0.96246180000000003</v>
      </c>
      <c r="Y1371">
        <v>0.31549660000000002</v>
      </c>
      <c r="Z1371">
        <v>8.7770420000000002E-2</v>
      </c>
      <c r="AA1371">
        <v>0.9448588</v>
      </c>
      <c r="AB1371">
        <v>24</v>
      </c>
      <c r="AC1371">
        <v>-4.2469000000000099</v>
      </c>
      <c r="AD1371">
        <v>-1.109067391657</v>
      </c>
      <c r="AE1371">
        <v>-11.6523</v>
      </c>
      <c r="AF1371">
        <v>3.9661635295120501</v>
      </c>
      <c r="AG1371">
        <v>-1.109067391657</v>
      </c>
      <c r="AH1371">
        <v>11.646928298047399</v>
      </c>
      <c r="AI1371">
        <v>95.150770201978006</v>
      </c>
      <c r="AJ1371">
        <v>71.194596611423805</v>
      </c>
      <c r="AK1371">
        <v>12.3535995726722</v>
      </c>
      <c r="AL1371">
        <v>80.441705483619003</v>
      </c>
      <c r="AM1371">
        <v>77.424932419669304</v>
      </c>
      <c r="AN1371">
        <v>1.00000001173812</v>
      </c>
    </row>
    <row r="1372" spans="1:40" x14ac:dyDescent="0.25">
      <c r="A1372" t="str">
        <f>"20190312172354675"</f>
        <v>20190312172354675</v>
      </c>
      <c r="B1372" t="str">
        <f>"1552382634671099"</f>
        <v>1552382634671099</v>
      </c>
      <c r="C1372" t="s">
        <v>40</v>
      </c>
      <c r="D1372">
        <v>4.1581010000000003</v>
      </c>
      <c r="E1372">
        <v>0.54111030000000004</v>
      </c>
      <c r="F1372" t="s">
        <v>43</v>
      </c>
      <c r="G1372">
        <v>-192.33879999999999</v>
      </c>
      <c r="H1372" s="1">
        <v>-1.273694E-6</v>
      </c>
      <c r="I1372">
        <v>310.96960000000001</v>
      </c>
      <c r="J1372">
        <v>-188.02019999999999</v>
      </c>
      <c r="K1372">
        <v>1.1091249999999999</v>
      </c>
      <c r="L1372">
        <v>322.69709999999998</v>
      </c>
      <c r="M1372">
        <v>-2.3662229999999999E-2</v>
      </c>
      <c r="N1372">
        <v>0</v>
      </c>
      <c r="O1372">
        <v>-0.99962470000000003</v>
      </c>
      <c r="P1372">
        <v>-0.2378082</v>
      </c>
      <c r="Q1372">
        <v>0.15380779999999999</v>
      </c>
      <c r="R1372">
        <v>-0.9590573</v>
      </c>
      <c r="S1372">
        <v>-1.0541689999999999</v>
      </c>
      <c r="T1372">
        <v>-0.27025470000000001</v>
      </c>
      <c r="U1372">
        <v>-2.9110719999999999</v>
      </c>
      <c r="V1372">
        <v>0.21571399999999999</v>
      </c>
      <c r="W1372">
        <v>0.16626260000000001</v>
      </c>
      <c r="X1372">
        <v>0.96219759999999999</v>
      </c>
      <c r="Y1372">
        <v>0.31684370000000001</v>
      </c>
      <c r="Z1372">
        <v>8.7270189999999997E-2</v>
      </c>
      <c r="AA1372">
        <v>0.94445429999999997</v>
      </c>
      <c r="AB1372">
        <v>24</v>
      </c>
      <c r="AC1372">
        <v>-4.3186</v>
      </c>
      <c r="AD1372">
        <v>-1.109126273694</v>
      </c>
      <c r="AE1372">
        <v>-11.7274999999999</v>
      </c>
      <c r="AF1372">
        <v>4.0082947095270098</v>
      </c>
      <c r="AG1372">
        <v>-1.109126273694</v>
      </c>
      <c r="AH1372">
        <v>11.733992446290699</v>
      </c>
      <c r="AI1372">
        <v>95.111372918040999</v>
      </c>
      <c r="AJ1372">
        <v>71.139995214453606</v>
      </c>
      <c r="AK1372">
        <v>12.449223521932099</v>
      </c>
      <c r="AL1372">
        <v>80.429410695561799</v>
      </c>
      <c r="AM1372">
        <v>77.363858700856895</v>
      </c>
      <c r="AN1372">
        <v>1.0000000017002599</v>
      </c>
    </row>
    <row r="1373" spans="1:40" x14ac:dyDescent="0.25">
      <c r="A1373" t="str">
        <f>"20190312172354698"</f>
        <v>20190312172354698</v>
      </c>
      <c r="B1373" t="str">
        <f>"1552382634691593"</f>
        <v>1552382634691593</v>
      </c>
      <c r="C1373" t="s">
        <v>40</v>
      </c>
      <c r="D1373">
        <v>4.1733390000000004</v>
      </c>
      <c r="E1373">
        <v>0.54088729999999996</v>
      </c>
      <c r="F1373" t="s">
        <v>43</v>
      </c>
      <c r="G1373">
        <v>-192.42750000000001</v>
      </c>
      <c r="H1373" s="1">
        <v>-1.143235E-6</v>
      </c>
      <c r="I1373">
        <v>310.6438</v>
      </c>
      <c r="J1373">
        <v>-188.02889999999999</v>
      </c>
      <c r="K1373">
        <v>1.1091949999999999</v>
      </c>
      <c r="L1373">
        <v>322.45659999999998</v>
      </c>
      <c r="M1373">
        <v>-2.6194410000000001E-2</v>
      </c>
      <c r="N1373">
        <v>0</v>
      </c>
      <c r="O1373">
        <v>-0.99956140000000004</v>
      </c>
      <c r="P1373">
        <v>-0.24115619999999999</v>
      </c>
      <c r="Q1373">
        <v>0.15491199999999999</v>
      </c>
      <c r="R1373">
        <v>-0.95804290000000003</v>
      </c>
      <c r="S1373">
        <v>-1.06308</v>
      </c>
      <c r="T1373">
        <v>-0.26753259999999901</v>
      </c>
      <c r="U1373">
        <v>-2.9073790000000002</v>
      </c>
      <c r="V1373">
        <v>0.21662239999999999</v>
      </c>
      <c r="W1373">
        <v>0.1673858</v>
      </c>
      <c r="X1373">
        <v>0.96179870000000001</v>
      </c>
      <c r="Y1373">
        <v>0.31740699999999999</v>
      </c>
      <c r="Z1373">
        <v>8.6440199999999995E-2</v>
      </c>
      <c r="AA1373">
        <v>0.94434149999999994</v>
      </c>
      <c r="AB1373">
        <v>24</v>
      </c>
      <c r="AC1373">
        <v>-4.3986000000000098</v>
      </c>
      <c r="AD1373">
        <v>-1.1091961432349999</v>
      </c>
      <c r="AE1373">
        <v>-11.8127999999999</v>
      </c>
      <c r="AF1373">
        <v>4.0562234107613504</v>
      </c>
      <c r="AG1373">
        <v>-1.1091961432349999</v>
      </c>
      <c r="AH1373">
        <v>11.832355335264999</v>
      </c>
      <c r="AI1373">
        <v>95.067551472389994</v>
      </c>
      <c r="AJ1373">
        <v>71.077886642600404</v>
      </c>
      <c r="AK1373">
        <v>12.557384171161999</v>
      </c>
      <c r="AL1373">
        <v>80.364141461602202</v>
      </c>
      <c r="AM1373">
        <v>77.307273724281799</v>
      </c>
      <c r="AN1373">
        <v>1.0000000047725399</v>
      </c>
    </row>
    <row r="1374" spans="1:40" x14ac:dyDescent="0.25">
      <c r="A1374" t="str">
        <f>"20190312172354720"</f>
        <v>20190312172354720</v>
      </c>
      <c r="B1374" t="str">
        <f>"1552382634711114"</f>
        <v>1552382634711114</v>
      </c>
      <c r="C1374" t="s">
        <v>40</v>
      </c>
      <c r="D1374">
        <v>4.1193989999999996</v>
      </c>
      <c r="E1374">
        <v>0.54064119999999904</v>
      </c>
      <c r="F1374" t="s">
        <v>43</v>
      </c>
      <c r="G1374">
        <v>-192.56960000000001</v>
      </c>
      <c r="H1374" s="1">
        <v>-9.5295759999999995E-7</v>
      </c>
      <c r="I1374">
        <v>310.16120000000001</v>
      </c>
      <c r="J1374">
        <v>-188.03790000000001</v>
      </c>
      <c r="K1374">
        <v>1.109259</v>
      </c>
      <c r="L1374">
        <v>322.22019999999998</v>
      </c>
      <c r="M1374">
        <v>-2.8614029999999999E-2</v>
      </c>
      <c r="N1374">
        <v>0</v>
      </c>
      <c r="O1374">
        <v>-0.99949529999999998</v>
      </c>
      <c r="P1374">
        <v>-0.2447368</v>
      </c>
      <c r="Q1374">
        <v>0.15676809999999999</v>
      </c>
      <c r="R1374">
        <v>-0.95683229999999997</v>
      </c>
      <c r="S1374">
        <v>-1.0723720000000001</v>
      </c>
      <c r="T1374">
        <v>-0.26195659999999998</v>
      </c>
      <c r="U1374">
        <v>-2.903778</v>
      </c>
      <c r="V1374">
        <v>0.21788540000000001</v>
      </c>
      <c r="W1374">
        <v>0.16925419999999999</v>
      </c>
      <c r="X1374">
        <v>0.96118619999999999</v>
      </c>
      <c r="Y1374">
        <v>0.3182044</v>
      </c>
      <c r="Z1374">
        <v>8.4685040000000003E-2</v>
      </c>
      <c r="AA1374">
        <v>0.94423219999999997</v>
      </c>
      <c r="AB1374">
        <v>23</v>
      </c>
      <c r="AC1374">
        <v>-4.5316999999999998</v>
      </c>
      <c r="AD1374">
        <v>-1.1092599529575999</v>
      </c>
      <c r="AE1374">
        <v>-12.0589999999999</v>
      </c>
      <c r="AF1374">
        <v>4.1539556689923902</v>
      </c>
      <c r="AG1374">
        <v>-1.1092599529575999</v>
      </c>
      <c r="AH1374">
        <v>12.0940739218633</v>
      </c>
      <c r="AI1374">
        <v>94.957721530848204</v>
      </c>
      <c r="AJ1374">
        <v>71.043923519896097</v>
      </c>
      <c r="AK1374">
        <v>12.8355922874904</v>
      </c>
      <c r="AL1374">
        <v>80.255540208160298</v>
      </c>
      <c r="AM1374">
        <v>77.227820358686003</v>
      </c>
      <c r="AN1374">
        <v>0.99999997141061903</v>
      </c>
    </row>
    <row r="1375" spans="1:40" x14ac:dyDescent="0.25">
      <c r="A1375" t="str">
        <f>"20190312172354743"</f>
        <v>20190312172354743</v>
      </c>
      <c r="B1375" t="str">
        <f>"1552382634731610"</f>
        <v>1552382634731610</v>
      </c>
      <c r="C1375" t="s">
        <v>40</v>
      </c>
      <c r="D1375">
        <v>4.2266820000000003</v>
      </c>
      <c r="E1375">
        <v>0.54098639999999998</v>
      </c>
      <c r="F1375" t="s">
        <v>43</v>
      </c>
      <c r="G1375">
        <v>-192.73259999999999</v>
      </c>
      <c r="H1375" s="1">
        <v>-7.4724909999999898E-7</v>
      </c>
      <c r="I1375">
        <v>309.6343</v>
      </c>
      <c r="J1375">
        <v>-188.04740000000001</v>
      </c>
      <c r="K1375">
        <v>1.1093040000000001</v>
      </c>
      <c r="L1375">
        <v>321.98649999999998</v>
      </c>
      <c r="M1375">
        <v>-3.0947700000000002E-2</v>
      </c>
      <c r="N1375">
        <v>0</v>
      </c>
      <c r="O1375">
        <v>-0.99942569999999997</v>
      </c>
      <c r="P1375">
        <v>-0.24787000000000001</v>
      </c>
      <c r="Q1375">
        <v>0.15858340000000001</v>
      </c>
      <c r="R1375">
        <v>-0.95572579999999996</v>
      </c>
      <c r="S1375">
        <v>-1.0819399999999999</v>
      </c>
      <c r="T1375">
        <v>-0.25563960000000002</v>
      </c>
      <c r="U1375">
        <v>-2.9005429999999999</v>
      </c>
      <c r="V1375">
        <v>0.21879029999999999</v>
      </c>
      <c r="W1375">
        <v>0.17107639999999999</v>
      </c>
      <c r="X1375">
        <v>0.96065800000000001</v>
      </c>
      <c r="Y1375">
        <v>0.31912990000000002</v>
      </c>
      <c r="Z1375">
        <v>8.2675990000000005E-2</v>
      </c>
      <c r="AA1375">
        <v>0.94409790000000005</v>
      </c>
      <c r="AB1375">
        <v>23</v>
      </c>
      <c r="AC1375">
        <v>-4.6851999999999796</v>
      </c>
      <c r="AD1375">
        <v>-1.1093047472491</v>
      </c>
      <c r="AE1375">
        <v>-12.3521999999999</v>
      </c>
      <c r="AF1375">
        <v>4.2705362034209298</v>
      </c>
      <c r="AG1375">
        <v>-1.1093047472491</v>
      </c>
      <c r="AH1375">
        <v>12.403835573947299</v>
      </c>
      <c r="AI1375">
        <v>94.833485615441703</v>
      </c>
      <c r="AJ1375">
        <v>71.001845514482</v>
      </c>
      <c r="AK1375">
        <v>13.165225916501401</v>
      </c>
      <c r="AL1375">
        <v>80.1495914969328</v>
      </c>
      <c r="AM1375">
        <v>77.169709038096101</v>
      </c>
      <c r="AN1375">
        <v>1.00000006148752</v>
      </c>
    </row>
    <row r="1376" spans="1:40" x14ac:dyDescent="0.25">
      <c r="A1376" t="str">
        <f>"20190312172354765"</f>
        <v>20190312172354765</v>
      </c>
      <c r="B1376" t="str">
        <f>"1552382634760890"</f>
        <v>1552382634760890</v>
      </c>
      <c r="C1376" t="s">
        <v>40</v>
      </c>
      <c r="D1376">
        <v>4.1402950000000001</v>
      </c>
      <c r="E1376">
        <v>0.54136969999999995</v>
      </c>
      <c r="F1376" t="s">
        <v>43</v>
      </c>
      <c r="G1376">
        <v>-192.9375</v>
      </c>
      <c r="H1376" s="1">
        <v>-4.6248269999999999E-6</v>
      </c>
      <c r="I1376">
        <v>309.04590000000002</v>
      </c>
      <c r="J1376">
        <v>-188.05719999999999</v>
      </c>
      <c r="K1376">
        <v>1.109329</v>
      </c>
      <c r="L1376">
        <v>321.75510000000003</v>
      </c>
      <c r="M1376">
        <v>-3.3219180000000001E-2</v>
      </c>
      <c r="N1376">
        <v>0</v>
      </c>
      <c r="O1376">
        <v>-0.99935269999999998</v>
      </c>
      <c r="P1376">
        <v>-0.25048680000000001</v>
      </c>
      <c r="Q1376">
        <v>0.16018450000000001</v>
      </c>
      <c r="R1376">
        <v>-0.95477610000000002</v>
      </c>
      <c r="S1376">
        <v>-1.094482</v>
      </c>
      <c r="T1376">
        <v>-0.24828049999999999</v>
      </c>
      <c r="U1376">
        <v>-2.8963009999999998</v>
      </c>
      <c r="V1376">
        <v>0.21924299999999999</v>
      </c>
      <c r="W1376">
        <v>0.1726801</v>
      </c>
      <c r="X1376">
        <v>0.96026769999999995</v>
      </c>
      <c r="Y1376">
        <v>0.32107960000000002</v>
      </c>
      <c r="Z1376">
        <v>8.0326930000000005E-2</v>
      </c>
      <c r="AA1376">
        <v>0.94363949999999996</v>
      </c>
      <c r="AB1376">
        <v>23</v>
      </c>
      <c r="AC1376">
        <v>-4.8803000000000001</v>
      </c>
      <c r="AD1376">
        <v>-1.109333624827</v>
      </c>
      <c r="AE1376">
        <v>-12.709199999999999</v>
      </c>
      <c r="AF1376">
        <v>4.4259890244125701</v>
      </c>
      <c r="AG1376">
        <v>-1.109333624827</v>
      </c>
      <c r="AH1376">
        <v>12.779466717191299</v>
      </c>
      <c r="AI1376">
        <v>94.689233389502505</v>
      </c>
      <c r="AJ1376">
        <v>70.897190056084597</v>
      </c>
      <c r="AK1376">
        <v>13.5696267270398</v>
      </c>
      <c r="AL1376">
        <v>80.056317384965894</v>
      </c>
      <c r="AM1376">
        <v>77.138991493371705</v>
      </c>
      <c r="AN1376">
        <v>0.99999998282414904</v>
      </c>
    </row>
    <row r="1377" spans="1:40" x14ac:dyDescent="0.25">
      <c r="A1377" t="str">
        <f>"20190312172354786"</f>
        <v>20190312172354786</v>
      </c>
      <c r="B1377" t="str">
        <f>"1552382634781386"</f>
        <v>1552382634781386</v>
      </c>
      <c r="C1377" t="s">
        <v>40</v>
      </c>
      <c r="D1377">
        <v>4.1213050000000004</v>
      </c>
      <c r="E1377">
        <v>0.54160319999999995</v>
      </c>
      <c r="F1377" t="s">
        <v>43</v>
      </c>
      <c r="G1377">
        <v>-193.17699999999999</v>
      </c>
      <c r="H1377" s="1">
        <v>-4.4409860000000004E-6</v>
      </c>
      <c r="I1377">
        <v>308.38080000000002</v>
      </c>
      <c r="J1377">
        <v>-188.06729999999999</v>
      </c>
      <c r="K1377">
        <v>1.1093390000000001</v>
      </c>
      <c r="L1377">
        <v>321.5292</v>
      </c>
      <c r="M1377">
        <v>-3.5415540000000002E-2</v>
      </c>
      <c r="N1377">
        <v>0</v>
      </c>
      <c r="O1377">
        <v>-0.99927739999999998</v>
      </c>
      <c r="P1377">
        <v>-0.25286449999999999</v>
      </c>
      <c r="Q1377">
        <v>0.16130079999999999</v>
      </c>
      <c r="R1377">
        <v>-0.95396099999999995</v>
      </c>
      <c r="S1377">
        <v>-1.107056</v>
      </c>
      <c r="T1377">
        <v>-0.23987049999999999</v>
      </c>
      <c r="U1377">
        <v>-2.8919069999999998</v>
      </c>
      <c r="V1377">
        <v>0.2195307</v>
      </c>
      <c r="W1377">
        <v>0.17379449999999999</v>
      </c>
      <c r="X1377">
        <v>0.96000090000000005</v>
      </c>
      <c r="Y1377">
        <v>0.32313180000000002</v>
      </c>
      <c r="Z1377">
        <v>7.763871E-2</v>
      </c>
      <c r="AA1377">
        <v>0.94316390000000006</v>
      </c>
      <c r="AB1377">
        <v>23</v>
      </c>
      <c r="AC1377">
        <v>-5.1097000000000303</v>
      </c>
      <c r="AD1377">
        <v>-1.1093434409859999</v>
      </c>
      <c r="AE1377">
        <v>-13.148399999999899</v>
      </c>
      <c r="AF1377">
        <v>4.6122675130442596</v>
      </c>
      <c r="AG1377">
        <v>-1.1093434409859999</v>
      </c>
      <c r="AH1377">
        <v>13.2392524358839</v>
      </c>
      <c r="AI1377">
        <v>94.524257084566699</v>
      </c>
      <c r="AJ1377">
        <v>70.792774921607005</v>
      </c>
      <c r="AK1377">
        <v>14.063479638517601</v>
      </c>
      <c r="AL1377">
        <v>79.991486826472197</v>
      </c>
      <c r="AM1377">
        <v>77.119217536674498</v>
      </c>
      <c r="AN1377">
        <v>0.99999999223677405</v>
      </c>
    </row>
    <row r="1378" spans="1:40" x14ac:dyDescent="0.25">
      <c r="A1378" t="str">
        <f>"20190312172354809"</f>
        <v>20190312172354809</v>
      </c>
      <c r="B1378" t="str">
        <f>"1552382634800906"</f>
        <v>1552382634800906</v>
      </c>
      <c r="C1378" t="s">
        <v>40</v>
      </c>
      <c r="D1378">
        <v>4.1235239999999997</v>
      </c>
      <c r="E1378">
        <v>0.54178740000000003</v>
      </c>
      <c r="F1378" t="s">
        <v>43</v>
      </c>
      <c r="G1378">
        <v>-193.36099999999999</v>
      </c>
      <c r="H1378" s="1">
        <v>-4.2936150000000001E-6</v>
      </c>
      <c r="I1378">
        <v>307.8519</v>
      </c>
      <c r="J1378">
        <v>-188.07859999999999</v>
      </c>
      <c r="K1378">
        <v>1.10934</v>
      </c>
      <c r="L1378">
        <v>321.2876</v>
      </c>
      <c r="M1378">
        <v>-3.7760450000000001E-2</v>
      </c>
      <c r="N1378">
        <v>0</v>
      </c>
      <c r="O1378">
        <v>-0.99919170000000002</v>
      </c>
      <c r="P1378">
        <v>-0.25521439999999901</v>
      </c>
      <c r="Q1378">
        <v>0.16062750000000001</v>
      </c>
      <c r="R1378">
        <v>-0.95344899999999999</v>
      </c>
      <c r="S1378">
        <v>-1.1178129999999999</v>
      </c>
      <c r="T1378">
        <v>-0.23424729999999999</v>
      </c>
      <c r="U1378">
        <v>-2.8880919999999999</v>
      </c>
      <c r="V1378">
        <v>0.21963550000000001</v>
      </c>
      <c r="W1378">
        <v>0.1731201</v>
      </c>
      <c r="X1378">
        <v>0.96009880000000003</v>
      </c>
      <c r="Y1378">
        <v>0.32443650000000002</v>
      </c>
      <c r="Z1378">
        <v>7.5846650000000002E-2</v>
      </c>
      <c r="AA1378">
        <v>0.94286170000000002</v>
      </c>
      <c r="AB1378">
        <v>23</v>
      </c>
      <c r="AC1378">
        <v>-5.2823999999999902</v>
      </c>
      <c r="AD1378">
        <v>-1.109344293615</v>
      </c>
      <c r="AE1378">
        <v>-13.435699999999899</v>
      </c>
      <c r="AF1378">
        <v>4.7432388038803497</v>
      </c>
      <c r="AG1378">
        <v>-1.109344293615</v>
      </c>
      <c r="AH1378">
        <v>13.545619563637899</v>
      </c>
      <c r="AI1378">
        <v>94.419890913681897</v>
      </c>
      <c r="AJ1378">
        <v>70.701392973423907</v>
      </c>
      <c r="AK1378">
        <v>14.394886886503199</v>
      </c>
      <c r="AL1378">
        <v>80.0307220670893</v>
      </c>
      <c r="AM1378">
        <v>77.114543903381403</v>
      </c>
      <c r="AN1378">
        <v>1.00000001382285</v>
      </c>
    </row>
    <row r="1379" spans="1:40" x14ac:dyDescent="0.25">
      <c r="A1379" t="str">
        <f>"20190312172354834"</f>
        <v>20190312172354834</v>
      </c>
      <c r="B1379" t="str">
        <f>"1552382634821402"</f>
        <v>1552382634821402</v>
      </c>
      <c r="C1379" t="s">
        <v>40</v>
      </c>
      <c r="D1379">
        <v>4.6549019999999999</v>
      </c>
      <c r="E1379">
        <v>0.54196239999999996</v>
      </c>
      <c r="F1379" t="s">
        <v>43</v>
      </c>
      <c r="G1379">
        <v>-193.41419999999999</v>
      </c>
      <c r="H1379" s="1">
        <v>-4.2287660000000004E-6</v>
      </c>
      <c r="I1379">
        <v>307.63350000000003</v>
      </c>
      <c r="J1379">
        <v>-188.0907</v>
      </c>
      <c r="K1379">
        <v>1.1093379999999999</v>
      </c>
      <c r="L1379">
        <v>321.04320000000001</v>
      </c>
      <c r="M1379">
        <v>-4.0138930000000003E-2</v>
      </c>
      <c r="N1379">
        <v>0</v>
      </c>
      <c r="O1379">
        <v>-0.99909910000000002</v>
      </c>
      <c r="P1379">
        <v>-0.25806509999999999</v>
      </c>
      <c r="Q1379">
        <v>0.160913</v>
      </c>
      <c r="R1379">
        <v>-0.95263310000000001</v>
      </c>
      <c r="S1379">
        <v>-1.1271059999999999</v>
      </c>
      <c r="T1379">
        <v>-0.2343404</v>
      </c>
      <c r="U1379">
        <v>-2.8843079999999999</v>
      </c>
      <c r="V1379">
        <v>0.22022639999999999</v>
      </c>
      <c r="W1379">
        <v>0.17339669999999999</v>
      </c>
      <c r="X1379">
        <v>0.95991349999999998</v>
      </c>
      <c r="Y1379">
        <v>0.32523839999999998</v>
      </c>
      <c r="Z1379">
        <v>7.5904830000000006E-2</v>
      </c>
      <c r="AA1379">
        <v>0.94258070000000005</v>
      </c>
      <c r="AB1379">
        <v>23</v>
      </c>
      <c r="AC1379">
        <v>-5.3234999999999904</v>
      </c>
      <c r="AD1379">
        <v>-1.109342228766</v>
      </c>
      <c r="AE1379">
        <v>-13.4096999999999</v>
      </c>
      <c r="AF1379">
        <v>4.7528083069082099</v>
      </c>
      <c r="AG1379">
        <v>-1.109342228766</v>
      </c>
      <c r="AH1379">
        <v>13.5325864128533</v>
      </c>
      <c r="AI1379">
        <v>94.422685638794206</v>
      </c>
      <c r="AJ1379">
        <v>70.648107137292399</v>
      </c>
      <c r="AK1379">
        <v>14.385781939265</v>
      </c>
      <c r="AL1379">
        <v>80.014630607763806</v>
      </c>
      <c r="AM1379">
        <v>77.0786287552055</v>
      </c>
      <c r="AN1379">
        <v>1.0000000051550499</v>
      </c>
    </row>
    <row r="1380" spans="1:40" x14ac:dyDescent="0.25">
      <c r="A1380" t="str">
        <f>"20190312172354855"</f>
        <v>20190312172354855</v>
      </c>
      <c r="B1380" t="str">
        <f>"1552382634850682"</f>
        <v>1552382634850682</v>
      </c>
      <c r="C1380" t="s">
        <v>40</v>
      </c>
      <c r="D1380">
        <v>4.1123050000000001</v>
      </c>
      <c r="E1380">
        <v>0.54215990000000003</v>
      </c>
      <c r="F1380" t="s">
        <v>43</v>
      </c>
      <c r="G1380">
        <v>-193.5273</v>
      </c>
      <c r="H1380" s="1">
        <v>-4.1267260000000001E-6</v>
      </c>
      <c r="I1380">
        <v>307.2747</v>
      </c>
      <c r="J1380">
        <v>-188.1026</v>
      </c>
      <c r="K1380">
        <v>1.109335</v>
      </c>
      <c r="L1380">
        <v>320.81209999999999</v>
      </c>
      <c r="M1380">
        <v>-4.240145E-2</v>
      </c>
      <c r="N1380">
        <v>0</v>
      </c>
      <c r="O1380">
        <v>-0.99900560000000005</v>
      </c>
      <c r="P1380">
        <v>-0.26128950000000001</v>
      </c>
      <c r="Q1380">
        <v>0.1606918</v>
      </c>
      <c r="R1380">
        <v>-0.95179100000000005</v>
      </c>
      <c r="S1380">
        <v>-1.1373139999999999</v>
      </c>
      <c r="T1380">
        <v>-0.23206830000000001</v>
      </c>
      <c r="U1380">
        <v>-2.88028</v>
      </c>
      <c r="V1380">
        <v>0.22130420000000001</v>
      </c>
      <c r="W1380">
        <v>0.17316479999999901</v>
      </c>
      <c r="X1380">
        <v>0.95970739999999999</v>
      </c>
      <c r="Y1380">
        <v>0.32645760000000001</v>
      </c>
      <c r="Z1380">
        <v>7.5196830000000006E-2</v>
      </c>
      <c r="AA1380">
        <v>0.9422159</v>
      </c>
      <c r="AB1380">
        <v>23</v>
      </c>
      <c r="AC1380">
        <v>-5.4246999999999996</v>
      </c>
      <c r="AD1380">
        <v>-1.109339126726</v>
      </c>
      <c r="AE1380">
        <v>-13.5373999999999</v>
      </c>
      <c r="AF1380">
        <v>4.8178838179737697</v>
      </c>
      <c r="AG1380">
        <v>-1.109339126726</v>
      </c>
      <c r="AH1380">
        <v>13.6761286841668</v>
      </c>
      <c r="AI1380">
        <v>94.374972318009497</v>
      </c>
      <c r="AJ1380">
        <v>70.593445351476205</v>
      </c>
      <c r="AK1380">
        <v>14.542322151825299</v>
      </c>
      <c r="AL1380">
        <v>80.028120980735295</v>
      </c>
      <c r="AM1380">
        <v>77.014834753153295</v>
      </c>
      <c r="AN1380">
        <v>0.999999945255718</v>
      </c>
    </row>
    <row r="1381" spans="1:40" x14ac:dyDescent="0.25">
      <c r="A1381" t="str">
        <f>"20190312172354877"</f>
        <v>20190312172354877</v>
      </c>
      <c r="B1381" t="str">
        <f>"1552382634871178"</f>
        <v>1552382634871178</v>
      </c>
      <c r="C1381" t="s">
        <v>40</v>
      </c>
      <c r="D1381">
        <v>4.1008680000000002</v>
      </c>
      <c r="E1381">
        <v>0.54226919999999901</v>
      </c>
      <c r="F1381" t="s">
        <v>43</v>
      </c>
      <c r="G1381">
        <v>-193.6096</v>
      </c>
      <c r="H1381" s="1">
        <v>-4.0547189999999998E-6</v>
      </c>
      <c r="I1381">
        <v>307.02030000000002</v>
      </c>
      <c r="J1381">
        <v>-188.1148</v>
      </c>
      <c r="K1381">
        <v>1.1093309999999901</v>
      </c>
      <c r="L1381">
        <v>320.58530000000002</v>
      </c>
      <c r="M1381">
        <v>-4.4635130000000002E-2</v>
      </c>
      <c r="N1381">
        <v>0</v>
      </c>
      <c r="O1381">
        <v>-0.99890829999999997</v>
      </c>
      <c r="P1381">
        <v>-0.26453739999999998</v>
      </c>
      <c r="Q1381">
        <v>0.16140009999999999</v>
      </c>
      <c r="R1381">
        <v>-0.9507736</v>
      </c>
      <c r="S1381">
        <v>-1.1482699999999999</v>
      </c>
      <c r="T1381">
        <v>-0.2313114</v>
      </c>
      <c r="U1381">
        <v>-2.8757630000000001</v>
      </c>
      <c r="V1381">
        <v>0.222446</v>
      </c>
      <c r="W1381">
        <v>0.17385929999999999</v>
      </c>
      <c r="X1381">
        <v>0.95931789999999995</v>
      </c>
      <c r="Y1381">
        <v>0.32795609999999997</v>
      </c>
      <c r="Z1381">
        <v>7.4980119999999997E-2</v>
      </c>
      <c r="AA1381">
        <v>0.94171269999999996</v>
      </c>
      <c r="AB1381">
        <v>23</v>
      </c>
      <c r="AC1381">
        <v>-5.4947999999999899</v>
      </c>
      <c r="AD1381">
        <v>-1.10933505471899</v>
      </c>
      <c r="AE1381">
        <v>-13.5649999999999</v>
      </c>
      <c r="AF1381">
        <v>4.8558917021661401</v>
      </c>
      <c r="AG1381">
        <v>-1.10933505471899</v>
      </c>
      <c r="AH1381">
        <v>13.7179505888655</v>
      </c>
      <c r="AI1381">
        <v>94.359355994993805</v>
      </c>
      <c r="AJ1381">
        <v>70.507012361061996</v>
      </c>
      <c r="AK1381">
        <v>14.594261778019099</v>
      </c>
      <c r="AL1381">
        <v>79.987717310692801</v>
      </c>
      <c r="AM1381">
        <v>76.945009387960397</v>
      </c>
      <c r="AN1381">
        <v>1.0000000561864399</v>
      </c>
    </row>
    <row r="1382" spans="1:40" x14ac:dyDescent="0.25">
      <c r="A1382" t="str">
        <f>"20190312172354912"</f>
        <v>20190312172354912</v>
      </c>
      <c r="B1382" t="str">
        <f>"1552382634901435"</f>
        <v>1552382634901435</v>
      </c>
      <c r="C1382" t="s">
        <v>40</v>
      </c>
      <c r="D1382">
        <v>4.1165200000000004</v>
      </c>
      <c r="E1382">
        <v>0.54237899999999994</v>
      </c>
      <c r="F1382" t="s">
        <v>43</v>
      </c>
      <c r="G1382">
        <v>-193.7491</v>
      </c>
      <c r="H1382" s="1">
        <v>-3.9452860000000002E-6</v>
      </c>
      <c r="I1382">
        <v>306.62599999999998</v>
      </c>
      <c r="J1382">
        <v>-188.1353</v>
      </c>
      <c r="K1382">
        <v>1.109327</v>
      </c>
      <c r="L1382">
        <v>320.22539999999998</v>
      </c>
      <c r="M1382">
        <v>-4.8202059999999998E-2</v>
      </c>
      <c r="N1382">
        <v>0</v>
      </c>
      <c r="O1382">
        <v>-0.99874269999999998</v>
      </c>
      <c r="P1382">
        <v>-0.26841659999999901</v>
      </c>
      <c r="Q1382">
        <v>0.16264189999999901</v>
      </c>
      <c r="R1382">
        <v>-0.94947369999999998</v>
      </c>
      <c r="S1382">
        <v>-1.1590119999999999</v>
      </c>
      <c r="T1382">
        <v>-0.2281994</v>
      </c>
      <c r="U1382">
        <v>-2.8715519999999999</v>
      </c>
      <c r="V1382">
        <v>0.22295309999999999</v>
      </c>
      <c r="W1382">
        <v>0.17508899999999999</v>
      </c>
      <c r="X1382">
        <v>0.95897639999999995</v>
      </c>
      <c r="Y1382">
        <v>0.32811980000000002</v>
      </c>
      <c r="Z1382">
        <v>7.4007000000000003E-2</v>
      </c>
      <c r="AA1382">
        <v>0.94173260000000003</v>
      </c>
      <c r="AB1382">
        <v>23</v>
      </c>
      <c r="AC1382">
        <v>-5.6137999999999897</v>
      </c>
      <c r="AD1382">
        <v>-1.1093309452859901</v>
      </c>
      <c r="AE1382">
        <v>-13.599399999999999</v>
      </c>
      <c r="AF1382">
        <v>4.9236997223841996</v>
      </c>
      <c r="AG1382">
        <v>-1.1093309452859901</v>
      </c>
      <c r="AH1382">
        <v>13.775892441078801</v>
      </c>
      <c r="AI1382">
        <v>94.336389050232299</v>
      </c>
      <c r="AJ1382">
        <v>70.332388475020693</v>
      </c>
      <c r="AK1382">
        <v>14.671354629022799</v>
      </c>
      <c r="AL1382">
        <v>79.916162492656397</v>
      </c>
      <c r="AM1382">
        <v>76.911772424707493</v>
      </c>
      <c r="AN1382">
        <v>0.99999998923878397</v>
      </c>
    </row>
    <row r="1383" spans="1:40" x14ac:dyDescent="0.25">
      <c r="A1383" t="str">
        <f>"20190312172354934"</f>
        <v>20190312172354934</v>
      </c>
      <c r="B1383" t="str">
        <f>"1552382634931690"</f>
        <v>1552382634931690</v>
      </c>
      <c r="C1383" t="s">
        <v>40</v>
      </c>
      <c r="D1383">
        <v>4.1044689999999999</v>
      </c>
      <c r="E1383">
        <v>0.54246399999999995</v>
      </c>
      <c r="F1383" t="s">
        <v>43</v>
      </c>
      <c r="G1383">
        <v>-193.97929999999999</v>
      </c>
      <c r="H1383" s="1">
        <v>-3.7533799999999998E-6</v>
      </c>
      <c r="I1383">
        <v>305.94209999999998</v>
      </c>
      <c r="J1383">
        <v>-188.1491</v>
      </c>
      <c r="K1383">
        <v>1.109334</v>
      </c>
      <c r="L1383">
        <v>319.99419999999998</v>
      </c>
      <c r="M1383">
        <v>-5.0499769999999999E-2</v>
      </c>
      <c r="N1383">
        <v>0</v>
      </c>
      <c r="O1383">
        <v>-0.99862919999999999</v>
      </c>
      <c r="P1383">
        <v>-0.271401</v>
      </c>
      <c r="Q1383">
        <v>0.16393679999999999</v>
      </c>
      <c r="R1383">
        <v>-0.94840230000000003</v>
      </c>
      <c r="S1383">
        <v>-1.172714</v>
      </c>
      <c r="T1383">
        <v>-0.2226099</v>
      </c>
      <c r="U1383">
        <v>-2.866241</v>
      </c>
      <c r="V1383">
        <v>0.2237806</v>
      </c>
      <c r="W1383">
        <v>0.1763719</v>
      </c>
      <c r="X1383">
        <v>0.95854850000000003</v>
      </c>
      <c r="Y1383">
        <v>0.33046419999999999</v>
      </c>
      <c r="Z1383">
        <v>7.222249E-2</v>
      </c>
      <c r="AA1383">
        <v>0.94105119999999998</v>
      </c>
      <c r="AB1383">
        <v>23</v>
      </c>
      <c r="AC1383">
        <v>-5.8301999999999898</v>
      </c>
      <c r="AD1383">
        <v>-1.10933775338</v>
      </c>
      <c r="AE1383">
        <v>-14.0520999999999</v>
      </c>
      <c r="AF1383">
        <v>5.0860223219105896</v>
      </c>
      <c r="AG1383">
        <v>-1.10933775338</v>
      </c>
      <c r="AH1383">
        <v>14.2528367129509</v>
      </c>
      <c r="AI1383">
        <v>94.192587760199501</v>
      </c>
      <c r="AJ1383">
        <v>70.361424026212006</v>
      </c>
      <c r="AK1383">
        <v>15.1737143664987</v>
      </c>
      <c r="AL1383">
        <v>79.841496060492005</v>
      </c>
      <c r="AM1383">
        <v>76.859216044282107</v>
      </c>
      <c r="AN1383">
        <v>1.0000000154491</v>
      </c>
    </row>
    <row r="1384" spans="1:40" x14ac:dyDescent="0.25">
      <c r="A1384" t="str">
        <f>"20190312172354955"</f>
        <v>20190312172354955</v>
      </c>
      <c r="B1384" t="str">
        <f>"1552382634951210"</f>
        <v>1552382634951210</v>
      </c>
      <c r="C1384" t="s">
        <v>40</v>
      </c>
      <c r="D1384">
        <v>4.4716760000000004</v>
      </c>
      <c r="E1384">
        <v>0.54249709999999995</v>
      </c>
      <c r="F1384" t="s">
        <v>43</v>
      </c>
      <c r="G1384">
        <v>-194.18729999999999</v>
      </c>
      <c r="H1384" s="1">
        <v>-3.598695E-6</v>
      </c>
      <c r="I1384">
        <v>305.38060000000002</v>
      </c>
      <c r="J1384">
        <v>-188.1626</v>
      </c>
      <c r="K1384">
        <v>1.1093390000000001</v>
      </c>
      <c r="L1384">
        <v>319.7774</v>
      </c>
      <c r="M1384">
        <v>-5.2656939999999999E-2</v>
      </c>
      <c r="N1384">
        <v>0</v>
      </c>
      <c r="O1384">
        <v>-0.99851780000000001</v>
      </c>
      <c r="P1384">
        <v>-0.27503519999999998</v>
      </c>
      <c r="Q1384">
        <v>0.1656427</v>
      </c>
      <c r="R1384">
        <v>-0.94705799999999996</v>
      </c>
      <c r="S1384">
        <v>-1.182693</v>
      </c>
      <c r="T1384">
        <v>-0.21728410000000001</v>
      </c>
      <c r="U1384">
        <v>-2.8623349999999999</v>
      </c>
      <c r="V1384">
        <v>0.22541030000000001</v>
      </c>
      <c r="W1384">
        <v>0.17806040000000001</v>
      </c>
      <c r="X1384">
        <v>0.95785419999999999</v>
      </c>
      <c r="Y1384">
        <v>0.33172810000000003</v>
      </c>
      <c r="Z1384">
        <v>7.0519479999999996E-2</v>
      </c>
      <c r="AA1384">
        <v>0.94073560000000001</v>
      </c>
      <c r="AB1384">
        <v>23</v>
      </c>
      <c r="AC1384">
        <v>-6.0246999999999904</v>
      </c>
      <c r="AD1384">
        <v>-1.1093425986949901</v>
      </c>
      <c r="AE1384">
        <v>-14.396799999999899</v>
      </c>
      <c r="AF1384">
        <v>5.2317428442820502</v>
      </c>
      <c r="AG1384">
        <v>-1.1093425986949901</v>
      </c>
      <c r="AH1384">
        <v>14.6202248323482</v>
      </c>
      <c r="AI1384">
        <v>94.086321986399298</v>
      </c>
      <c r="AJ1384">
        <v>70.310614413368199</v>
      </c>
      <c r="AK1384">
        <v>15.567682818531001</v>
      </c>
      <c r="AL1384">
        <v>79.743195956157507</v>
      </c>
      <c r="AM1384">
        <v>76.757618698078403</v>
      </c>
      <c r="AN1384">
        <v>0.99999998892594399</v>
      </c>
    </row>
    <row r="1385" spans="1:40" x14ac:dyDescent="0.25">
      <c r="A1385" t="str">
        <f>"20190312172354976"</f>
        <v>20190312172354976</v>
      </c>
      <c r="B1385" t="str">
        <f>"1552382634970729"</f>
        <v>1552382634970729</v>
      </c>
      <c r="C1385" t="s">
        <v>40</v>
      </c>
      <c r="D1385">
        <v>4.1358319999999997</v>
      </c>
      <c r="E1385">
        <v>0.54242709999999905</v>
      </c>
      <c r="F1385" t="s">
        <v>43</v>
      </c>
      <c r="G1385">
        <v>-194.41030000000001</v>
      </c>
      <c r="H1385" s="1">
        <v>-3.4120269999999998E-6</v>
      </c>
      <c r="I1385">
        <v>304.80720000000002</v>
      </c>
      <c r="J1385">
        <v>-188.17689999999999</v>
      </c>
      <c r="K1385">
        <v>1.109351</v>
      </c>
      <c r="L1385">
        <v>319.55399999999997</v>
      </c>
      <c r="M1385">
        <v>-5.4879650000000002E-2</v>
      </c>
      <c r="N1385">
        <v>0</v>
      </c>
      <c r="O1385">
        <v>-0.99839809999999996</v>
      </c>
      <c r="P1385">
        <v>-0.27794920000000001</v>
      </c>
      <c r="Q1385">
        <v>0.16708229999999999</v>
      </c>
      <c r="R1385">
        <v>-0.94595359999999995</v>
      </c>
      <c r="S1385">
        <v>-1.1929019999999999</v>
      </c>
      <c r="T1385">
        <v>-0.21181059999999999</v>
      </c>
      <c r="U1385">
        <v>-2.8583069999999999</v>
      </c>
      <c r="V1385">
        <v>0.22624710000000001</v>
      </c>
      <c r="W1385">
        <v>0.17948800000000001</v>
      </c>
      <c r="X1385">
        <v>0.95739039999999997</v>
      </c>
      <c r="Y1385">
        <v>0.33300829999999998</v>
      </c>
      <c r="Z1385">
        <v>6.8767460000000002E-2</v>
      </c>
      <c r="AA1385">
        <v>0.9404129</v>
      </c>
      <c r="AB1385">
        <v>23</v>
      </c>
      <c r="AC1385">
        <v>-6.2334000000000103</v>
      </c>
      <c r="AD1385">
        <v>-1.109354412027</v>
      </c>
      <c r="AE1385">
        <v>-14.7468</v>
      </c>
      <c r="AF1385">
        <v>5.3887557910918398</v>
      </c>
      <c r="AG1385">
        <v>-1.109354412027</v>
      </c>
      <c r="AH1385">
        <v>14.9946982545897</v>
      </c>
      <c r="AI1385">
        <v>93.982710322904495</v>
      </c>
      <c r="AJ1385">
        <v>70.232709140334094</v>
      </c>
      <c r="AK1385">
        <v>15.9721736759185</v>
      </c>
      <c r="AL1385">
        <v>79.660061686130504</v>
      </c>
      <c r="AM1385">
        <v>76.703990258585094</v>
      </c>
      <c r="AN1385">
        <v>1.00000003520728</v>
      </c>
    </row>
    <row r="1386" spans="1:40" x14ac:dyDescent="0.25">
      <c r="A1386" t="str">
        <f>"20190312172355000"</f>
        <v>20190312172355000</v>
      </c>
      <c r="B1386" t="str">
        <f>"1552382634991226"</f>
        <v>1552382634991226</v>
      </c>
      <c r="C1386" t="s">
        <v>40</v>
      </c>
      <c r="D1386">
        <v>4.1261729999999996</v>
      </c>
      <c r="E1386">
        <v>0.54236580000000001</v>
      </c>
      <c r="F1386" t="s">
        <v>43</v>
      </c>
      <c r="G1386">
        <v>-194.63560000000001</v>
      </c>
      <c r="H1386" s="1">
        <v>-3.2164889999999999E-6</v>
      </c>
      <c r="I1386">
        <v>304.21170000000001</v>
      </c>
      <c r="J1386">
        <v>-188.19290000000001</v>
      </c>
      <c r="K1386">
        <v>1.1093550000000001</v>
      </c>
      <c r="L1386">
        <v>319.31459999999998</v>
      </c>
      <c r="M1386">
        <v>-5.7262460000000001E-2</v>
      </c>
      <c r="N1386">
        <v>0</v>
      </c>
      <c r="O1386">
        <v>-0.99826409999999999</v>
      </c>
      <c r="P1386">
        <v>-0.28113059999999901</v>
      </c>
      <c r="Q1386">
        <v>0.16777049999999999</v>
      </c>
      <c r="R1386">
        <v>-0.94489080000000003</v>
      </c>
      <c r="S1386">
        <v>-1.201767</v>
      </c>
      <c r="T1386">
        <v>-0.20641970000000001</v>
      </c>
      <c r="U1386">
        <v>-2.8547669999999998</v>
      </c>
      <c r="V1386">
        <v>0.22719449999999999</v>
      </c>
      <c r="W1386">
        <v>0.1801663</v>
      </c>
      <c r="X1386">
        <v>0.95703850000000001</v>
      </c>
      <c r="Y1386">
        <v>0.3337019</v>
      </c>
      <c r="Z1386">
        <v>6.7041290000000003E-2</v>
      </c>
      <c r="AA1386">
        <v>0.94029169999999995</v>
      </c>
      <c r="AB1386">
        <v>23</v>
      </c>
      <c r="AC1386">
        <v>-6.4427000000000003</v>
      </c>
      <c r="AD1386">
        <v>-1.1093582164889999</v>
      </c>
      <c r="AE1386">
        <v>-15.102899999999901</v>
      </c>
      <c r="AF1386">
        <v>5.5419179550024502</v>
      </c>
      <c r="AG1386">
        <v>-1.1093582164889999</v>
      </c>
      <c r="AH1386">
        <v>15.3768825466049</v>
      </c>
      <c r="AI1386">
        <v>93.882773658067293</v>
      </c>
      <c r="AJ1386">
        <v>70.180542258557296</v>
      </c>
      <c r="AK1386">
        <v>16.382675212692</v>
      </c>
      <c r="AL1386">
        <v>79.620553159884594</v>
      </c>
      <c r="AM1386">
        <v>76.645570301035093</v>
      </c>
      <c r="AN1386">
        <v>0.99999996348409403</v>
      </c>
    </row>
    <row r="1387" spans="1:40" x14ac:dyDescent="0.25">
      <c r="A1387" t="str">
        <f>"20190312172355022"</f>
        <v>20190312172355022</v>
      </c>
      <c r="B1387" t="str">
        <f>"1552382635010746"</f>
        <v>1552382635010746</v>
      </c>
      <c r="C1387" t="s">
        <v>40</v>
      </c>
      <c r="D1387">
        <v>4.140701</v>
      </c>
      <c r="E1387">
        <v>0.5421975</v>
      </c>
      <c r="F1387" t="s">
        <v>43</v>
      </c>
      <c r="G1387">
        <v>-194.82499999999999</v>
      </c>
      <c r="H1387" s="1">
        <v>-3.054563E-6</v>
      </c>
      <c r="I1387">
        <v>303.71679999999998</v>
      </c>
      <c r="J1387">
        <v>-188.20849999999999</v>
      </c>
      <c r="K1387">
        <v>1.109359</v>
      </c>
      <c r="L1387">
        <v>319.08850000000001</v>
      </c>
      <c r="M1387">
        <v>-5.9511000000000001E-2</v>
      </c>
      <c r="N1387">
        <v>0</v>
      </c>
      <c r="O1387">
        <v>-0.99813280000000004</v>
      </c>
      <c r="P1387">
        <v>-0.28455200000000003</v>
      </c>
      <c r="Q1387">
        <v>0.16819500000000001</v>
      </c>
      <c r="R1387">
        <v>-0.94379080000000004</v>
      </c>
      <c r="S1387">
        <v>-1.2119899999999999</v>
      </c>
      <c r="T1387">
        <v>-0.20273050000000001</v>
      </c>
      <c r="U1387">
        <v>-2.8504330000000002</v>
      </c>
      <c r="V1387">
        <v>0.22851379999999999</v>
      </c>
      <c r="W1387">
        <v>0.18057999999999999</v>
      </c>
      <c r="X1387">
        <v>0.95664640000000001</v>
      </c>
      <c r="Y1387">
        <v>0.33498020000000001</v>
      </c>
      <c r="Z1387">
        <v>6.5867789999999996E-2</v>
      </c>
      <c r="AA1387">
        <v>0.93991999999999998</v>
      </c>
      <c r="AB1387">
        <v>23</v>
      </c>
      <c r="AC1387">
        <v>-6.6165000000000003</v>
      </c>
      <c r="AD1387">
        <v>-1.1093620545630001</v>
      </c>
      <c r="AE1387">
        <v>-15.371700000000001</v>
      </c>
      <c r="AF1387">
        <v>5.6650057361031001</v>
      </c>
      <c r="AG1387">
        <v>-1.1093620545630001</v>
      </c>
      <c r="AH1387">
        <v>15.669387482061699</v>
      </c>
      <c r="AI1387">
        <v>93.809153718081205</v>
      </c>
      <c r="AJ1387">
        <v>70.123388154408303</v>
      </c>
      <c r="AK1387">
        <v>16.698882544085901</v>
      </c>
      <c r="AL1387">
        <v>79.596455167448198</v>
      </c>
      <c r="AM1387">
        <v>76.565518914553195</v>
      </c>
      <c r="AN1387">
        <v>1.0000000139117</v>
      </c>
    </row>
    <row r="1388" spans="1:40" x14ac:dyDescent="0.25">
      <c r="A1388" t="str">
        <f>"20190312172355045"</f>
        <v>20190312172355045</v>
      </c>
      <c r="B1388" t="str">
        <f>"1552382635041001"</f>
        <v>1552382635041001</v>
      </c>
      <c r="C1388" t="s">
        <v>40</v>
      </c>
      <c r="D1388">
        <v>4.1225360000000002</v>
      </c>
      <c r="E1388">
        <v>0.54179200000000005</v>
      </c>
      <c r="F1388" t="s">
        <v>43</v>
      </c>
      <c r="G1388">
        <v>-194.9556</v>
      </c>
      <c r="H1388" s="1">
        <v>-2.942333E-6</v>
      </c>
      <c r="I1388">
        <v>303.3741</v>
      </c>
      <c r="J1388">
        <v>-188.22569999999999</v>
      </c>
      <c r="K1388">
        <v>1.1093569999999999</v>
      </c>
      <c r="L1388">
        <v>318.84699999999998</v>
      </c>
      <c r="M1388">
        <v>-6.1912769999999999E-2</v>
      </c>
      <c r="N1388">
        <v>0</v>
      </c>
      <c r="O1388">
        <v>-0.99798659999999995</v>
      </c>
      <c r="P1388">
        <v>-0.28849380000000002</v>
      </c>
      <c r="Q1388">
        <v>0.16830909999999999</v>
      </c>
      <c r="R1388">
        <v>-0.94257279999999999</v>
      </c>
      <c r="S1388">
        <v>-1.2219850000000001</v>
      </c>
      <c r="T1388">
        <v>-0.20091709999999999</v>
      </c>
      <c r="U1388">
        <v>-2.8460390000000002</v>
      </c>
      <c r="V1388">
        <v>0.23021369999999999</v>
      </c>
      <c r="W1388">
        <v>0.18068129999999999</v>
      </c>
      <c r="X1388">
        <v>0.95621959999999995</v>
      </c>
      <c r="Y1388">
        <v>0.33604099999999998</v>
      </c>
      <c r="Z1388">
        <v>6.530321E-2</v>
      </c>
      <c r="AA1388">
        <v>0.93958070000000005</v>
      </c>
      <c r="AB1388">
        <v>23</v>
      </c>
      <c r="AC1388">
        <v>-6.7299000000000104</v>
      </c>
      <c r="AD1388">
        <v>-1.1093599423329901</v>
      </c>
      <c r="AE1388">
        <v>-15.4728999999999</v>
      </c>
      <c r="AF1388">
        <v>5.7341388549519303</v>
      </c>
      <c r="AG1388">
        <v>-1.1093599423329901</v>
      </c>
      <c r="AH1388">
        <v>15.791654412982201</v>
      </c>
      <c r="AI1388">
        <v>93.777834936613502</v>
      </c>
      <c r="AJ1388">
        <v>70.043434162535604</v>
      </c>
      <c r="AK1388">
        <v>16.837083387231399</v>
      </c>
      <c r="AL1388">
        <v>79.590553908108504</v>
      </c>
      <c r="AM1388">
        <v>76.463425186996702</v>
      </c>
      <c r="AN1388">
        <v>1.00000000163077</v>
      </c>
    </row>
    <row r="1389" spans="1:40" x14ac:dyDescent="0.25">
      <c r="A1389" t="str">
        <f>"20190312172355068"</f>
        <v>20190312172355068</v>
      </c>
      <c r="B1389" t="str">
        <f>"1552382635061498"</f>
        <v>1552382635061498</v>
      </c>
      <c r="C1389" t="s">
        <v>40</v>
      </c>
      <c r="D1389">
        <v>4.1572319999999996</v>
      </c>
      <c r="E1389">
        <v>0.54153109999999904</v>
      </c>
      <c r="F1389" t="s">
        <v>43</v>
      </c>
      <c r="G1389">
        <v>-195.018</v>
      </c>
      <c r="H1389" s="1">
        <v>-2.869876E-6</v>
      </c>
      <c r="I1389">
        <v>303.16660000000002</v>
      </c>
      <c r="J1389">
        <v>-188.24270000000001</v>
      </c>
      <c r="K1389">
        <v>1.1093630000000001</v>
      </c>
      <c r="L1389">
        <v>318.61630000000002</v>
      </c>
      <c r="M1389">
        <v>-6.4206029999999997E-2</v>
      </c>
      <c r="N1389">
        <v>0</v>
      </c>
      <c r="O1389">
        <v>-0.99784170000000005</v>
      </c>
      <c r="P1389">
        <v>-0.29199330000000001</v>
      </c>
      <c r="Q1389">
        <v>0.16810939999999999</v>
      </c>
      <c r="R1389">
        <v>-0.94153039999999999</v>
      </c>
      <c r="S1389">
        <v>-1.2310179999999999</v>
      </c>
      <c r="T1389">
        <v>-0.20105809999999999</v>
      </c>
      <c r="U1389">
        <v>-2.841888</v>
      </c>
      <c r="V1389">
        <v>0.23156689999999999</v>
      </c>
      <c r="W1389">
        <v>0.18047299999999999</v>
      </c>
      <c r="X1389">
        <v>0.95593209999999995</v>
      </c>
      <c r="Y1389">
        <v>0.33689039999999998</v>
      </c>
      <c r="Z1389">
        <v>6.5372089999999994E-2</v>
      </c>
      <c r="AA1389">
        <v>0.93927169999999904</v>
      </c>
      <c r="AB1389">
        <v>23</v>
      </c>
      <c r="AC1389">
        <v>-6.7752999999999801</v>
      </c>
      <c r="AD1389">
        <v>-1.1093658698759901</v>
      </c>
      <c r="AE1389">
        <v>-15.4497</v>
      </c>
      <c r="AF1389">
        <v>5.7444190016675698</v>
      </c>
      <c r="AG1389">
        <v>-1.1093658698759901</v>
      </c>
      <c r="AH1389">
        <v>15.784614642605501</v>
      </c>
      <c r="AI1389">
        <v>93.778551157603005</v>
      </c>
      <c r="AJ1389">
        <v>70.002278596933195</v>
      </c>
      <c r="AK1389">
        <v>16.8339865069306</v>
      </c>
      <c r="AL1389">
        <v>79.602687619073706</v>
      </c>
      <c r="AM1389">
        <v>76.382867894110603</v>
      </c>
      <c r="AN1389">
        <v>0.99999995635750905</v>
      </c>
    </row>
    <row r="1390" spans="1:40" x14ac:dyDescent="0.25">
      <c r="A1390" t="str">
        <f>"20190312172355090"</f>
        <v>20190312172355090</v>
      </c>
      <c r="B1390" t="str">
        <f>"1552382635081018"</f>
        <v>1552382635081018</v>
      </c>
      <c r="C1390" t="s">
        <v>40</v>
      </c>
      <c r="D1390">
        <v>4.0793520000000001</v>
      </c>
      <c r="E1390">
        <v>0.54140749999999904</v>
      </c>
      <c r="F1390" t="s">
        <v>43</v>
      </c>
      <c r="G1390">
        <v>-195.047</v>
      </c>
      <c r="H1390" s="1">
        <v>-2.8241129999999999E-6</v>
      </c>
      <c r="I1390">
        <v>303.0419</v>
      </c>
      <c r="J1390">
        <v>-188.26070000000001</v>
      </c>
      <c r="K1390">
        <v>1.10937</v>
      </c>
      <c r="L1390">
        <v>318.38060000000002</v>
      </c>
      <c r="M1390">
        <v>-6.6548620000000003E-2</v>
      </c>
      <c r="N1390">
        <v>0</v>
      </c>
      <c r="O1390">
        <v>-0.99768840000000003</v>
      </c>
      <c r="P1390">
        <v>-0.29582649999999999</v>
      </c>
      <c r="Q1390">
        <v>0.16872679999999901</v>
      </c>
      <c r="R1390">
        <v>-0.94022240000000001</v>
      </c>
      <c r="S1390">
        <v>-1.239838</v>
      </c>
      <c r="T1390">
        <v>-0.20214399999999999</v>
      </c>
      <c r="U1390">
        <v>-2.8378909999999999</v>
      </c>
      <c r="V1390">
        <v>0.2332283</v>
      </c>
      <c r="W1390">
        <v>0.18107760000000001</v>
      </c>
      <c r="X1390">
        <v>0.95541379999999998</v>
      </c>
      <c r="Y1390">
        <v>0.33760709999999999</v>
      </c>
      <c r="Z1390">
        <v>6.5745020000000001E-2</v>
      </c>
      <c r="AA1390">
        <v>0.9389883</v>
      </c>
      <c r="AB1390">
        <v>23</v>
      </c>
      <c r="AC1390">
        <v>-6.7862999999999802</v>
      </c>
      <c r="AD1390">
        <v>-1.1093728241130001</v>
      </c>
      <c r="AE1390">
        <v>-15.338699999999999</v>
      </c>
      <c r="AF1390">
        <v>5.7253411526392703</v>
      </c>
      <c r="AG1390">
        <v>-1.1093728241130001</v>
      </c>
      <c r="AH1390">
        <v>15.687724368361399</v>
      </c>
      <c r="AI1390">
        <v>93.800585913706001</v>
      </c>
      <c r="AJ1390">
        <v>69.950103788392298</v>
      </c>
      <c r="AK1390">
        <v>16.736634525335901</v>
      </c>
      <c r="AL1390">
        <v>79.567467107516094</v>
      </c>
      <c r="AM1390">
        <v>76.281688276527603</v>
      </c>
      <c r="AN1390">
        <v>1.00000003318654</v>
      </c>
    </row>
    <row r="1391" spans="1:40" x14ac:dyDescent="0.25">
      <c r="A1391" t="str">
        <f>"20190312172355112"</f>
        <v>20190312172355112</v>
      </c>
      <c r="B1391" t="str">
        <f>"1552382635101517"</f>
        <v>1552382635101517</v>
      </c>
      <c r="C1391" t="s">
        <v>40</v>
      </c>
      <c r="D1391">
        <v>4.0668850000000001</v>
      </c>
      <c r="E1391">
        <v>0.54132579999999997</v>
      </c>
      <c r="F1391" t="s">
        <v>43</v>
      </c>
      <c r="G1391">
        <v>-195.18459999999999</v>
      </c>
      <c r="H1391" s="1">
        <v>-2.7125139999999998E-6</v>
      </c>
      <c r="I1391">
        <v>302.69639999999998</v>
      </c>
      <c r="J1391">
        <v>-188.27780000000001</v>
      </c>
      <c r="K1391">
        <v>1.109372</v>
      </c>
      <c r="L1391">
        <v>318.16160000000002</v>
      </c>
      <c r="M1391">
        <v>-6.8724919999999995E-2</v>
      </c>
      <c r="N1391">
        <v>0</v>
      </c>
      <c r="O1391">
        <v>-0.99754100000000001</v>
      </c>
      <c r="P1391">
        <v>-0.29978349999999998</v>
      </c>
      <c r="Q1391">
        <v>0.16891059999999999</v>
      </c>
      <c r="R1391">
        <v>-0.93893550000000003</v>
      </c>
      <c r="S1391">
        <v>-1.250732</v>
      </c>
      <c r="T1391">
        <v>-0.2003981</v>
      </c>
      <c r="U1391">
        <v>-2.8331909999999998</v>
      </c>
      <c r="V1391">
        <v>0.23517299999999999</v>
      </c>
      <c r="W1391">
        <v>0.1812473</v>
      </c>
      <c r="X1391">
        <v>0.95490469999999905</v>
      </c>
      <c r="Y1391">
        <v>0.33916600000000002</v>
      </c>
      <c r="Z1391">
        <v>6.5196669999999998E-2</v>
      </c>
      <c r="AA1391">
        <v>0.93846459999999998</v>
      </c>
      <c r="AB1391">
        <v>23</v>
      </c>
      <c r="AC1391">
        <v>-6.9067999999999703</v>
      </c>
      <c r="AD1391">
        <v>-1.1093747125139899</v>
      </c>
      <c r="AE1391">
        <v>-15.465199999999999</v>
      </c>
      <c r="AF1391">
        <v>5.8026282658411104</v>
      </c>
      <c r="AG1391">
        <v>-1.1093747125139899</v>
      </c>
      <c r="AH1391">
        <v>15.835407392833099</v>
      </c>
      <c r="AI1391">
        <v>93.763461717492703</v>
      </c>
      <c r="AJ1391">
        <v>69.875459288414703</v>
      </c>
      <c r="AK1391">
        <v>16.901518699255899</v>
      </c>
      <c r="AL1391">
        <v>79.557579594035005</v>
      </c>
      <c r="AM1391">
        <v>76.1645866685367</v>
      </c>
      <c r="AN1391">
        <v>0.99999995488418802</v>
      </c>
    </row>
    <row r="1392" spans="1:40" x14ac:dyDescent="0.25">
      <c r="A1392" t="str">
        <f>"20190312172355133"</f>
        <v>20190312172355133</v>
      </c>
      <c r="B1392" t="str">
        <f>"1552382635121034"</f>
        <v>1552382635121034</v>
      </c>
      <c r="C1392" t="s">
        <v>40</v>
      </c>
      <c r="D1392">
        <v>4.0745870000000002</v>
      </c>
      <c r="E1392">
        <v>0.54123509999999997</v>
      </c>
      <c r="F1392" t="s">
        <v>43</v>
      </c>
      <c r="G1392">
        <v>-195.29519999999999</v>
      </c>
      <c r="H1392" s="1">
        <v>-2.6339019999999999E-6</v>
      </c>
      <c r="I1392">
        <v>302.44450000000001</v>
      </c>
      <c r="J1392">
        <v>-188.29499999999999</v>
      </c>
      <c r="K1392">
        <v>1.1093729999999999</v>
      </c>
      <c r="L1392">
        <v>317.94839999999999</v>
      </c>
      <c r="M1392">
        <v>-7.0842959999999996E-2</v>
      </c>
      <c r="N1392">
        <v>0</v>
      </c>
      <c r="O1392">
        <v>-0.99739270000000002</v>
      </c>
      <c r="P1392">
        <v>-0.30396810000000002</v>
      </c>
      <c r="Q1392">
        <v>0.16845789999999999</v>
      </c>
      <c r="R1392">
        <v>-0.93767049999999996</v>
      </c>
      <c r="S1392">
        <v>-1.2626040000000001</v>
      </c>
      <c r="T1392">
        <v>-0.19960420000000001</v>
      </c>
      <c r="U1392">
        <v>-2.8278810000000001</v>
      </c>
      <c r="V1392">
        <v>0.2374001</v>
      </c>
      <c r="W1392">
        <v>0.18078069999999999</v>
      </c>
      <c r="X1392">
        <v>0.95444200000000001</v>
      </c>
      <c r="Y1392">
        <v>0.34111540000000001</v>
      </c>
      <c r="Z1392">
        <v>6.4959379999999997E-2</v>
      </c>
      <c r="AA1392">
        <v>0.9377742</v>
      </c>
      <c r="AB1392">
        <v>23</v>
      </c>
      <c r="AC1392">
        <v>-7.0002000000000004</v>
      </c>
      <c r="AD1392">
        <v>-1.109375633902</v>
      </c>
      <c r="AE1392">
        <v>-15.5038999999999</v>
      </c>
      <c r="AF1392">
        <v>5.8592429970615898</v>
      </c>
      <c r="AG1392">
        <v>-1.109375633902</v>
      </c>
      <c r="AH1392">
        <v>15.8933058979776</v>
      </c>
      <c r="AI1392">
        <v>93.747098235472095</v>
      </c>
      <c r="AJ1392">
        <v>69.763033570413995</v>
      </c>
      <c r="AK1392">
        <v>16.975235349249299</v>
      </c>
      <c r="AL1392">
        <v>79.584763336621094</v>
      </c>
      <c r="AM1392">
        <v>76.032163835405697</v>
      </c>
      <c r="AN1392">
        <v>1.0000000001682401</v>
      </c>
    </row>
    <row r="1393" spans="1:40" x14ac:dyDescent="0.25">
      <c r="A1393" t="str">
        <f>"20190312172355155"</f>
        <v>20190312172355155</v>
      </c>
      <c r="B1393" t="str">
        <f>"1552382635151290"</f>
        <v>1552382635151290</v>
      </c>
      <c r="C1393" t="s">
        <v>40</v>
      </c>
      <c r="D1393">
        <v>4.0493379999999997</v>
      </c>
      <c r="E1393">
        <v>0.54107959999999899</v>
      </c>
      <c r="F1393" t="s">
        <v>43</v>
      </c>
      <c r="G1393">
        <v>-195.3348</v>
      </c>
      <c r="H1393" s="1">
        <v>-2.6060059999999999E-6</v>
      </c>
      <c r="I1393">
        <v>302.35500000000002</v>
      </c>
      <c r="J1393">
        <v>-188.31379999999999</v>
      </c>
      <c r="K1393">
        <v>1.109375</v>
      </c>
      <c r="L1393">
        <v>317.72149999999999</v>
      </c>
      <c r="M1393">
        <v>-7.3097880000000004E-2</v>
      </c>
      <c r="N1393">
        <v>0</v>
      </c>
      <c r="O1393">
        <v>-0.9972299</v>
      </c>
      <c r="P1393">
        <v>-0.30825570000000002</v>
      </c>
      <c r="Q1393">
        <v>0.1688704</v>
      </c>
      <c r="R1393">
        <v>-0.936195</v>
      </c>
      <c r="S1393">
        <v>-1.274216</v>
      </c>
      <c r="T1393">
        <v>-0.2007999</v>
      </c>
      <c r="U1393">
        <v>-2.8224490000000002</v>
      </c>
      <c r="V1393">
        <v>0.23961969999999999</v>
      </c>
      <c r="W1393">
        <v>0.18117649999999999</v>
      </c>
      <c r="X1393">
        <v>0.95381210000000005</v>
      </c>
      <c r="Y1393">
        <v>0.34286070000000002</v>
      </c>
      <c r="Z1393">
        <v>6.5370830000000005E-2</v>
      </c>
      <c r="AA1393">
        <v>0.93710890000000002</v>
      </c>
      <c r="AB1393">
        <v>23</v>
      </c>
      <c r="AC1393">
        <v>-7.0210000000000097</v>
      </c>
      <c r="AD1393">
        <v>-1.1093776060060001</v>
      </c>
      <c r="AE1393">
        <v>-15.366499999999901</v>
      </c>
      <c r="AF1393">
        <v>5.8536086241845098</v>
      </c>
      <c r="AG1393">
        <v>-1.1093776060060001</v>
      </c>
      <c r="AH1393">
        <v>15.7706506254071</v>
      </c>
      <c r="AI1393">
        <v>93.773089866565698</v>
      </c>
      <c r="AJ1393">
        <v>69.636533020681796</v>
      </c>
      <c r="AK1393">
        <v>16.858495595588899</v>
      </c>
      <c r="AL1393">
        <v>79.561705149488404</v>
      </c>
      <c r="AM1393">
        <v>75.897815522500196</v>
      </c>
      <c r="AN1393">
        <v>1.0000000234433699</v>
      </c>
    </row>
    <row r="1394" spans="1:40" x14ac:dyDescent="0.25">
      <c r="A1394" t="str">
        <f>"20190312172355178"</f>
        <v>20190312172355178</v>
      </c>
      <c r="B1394" t="str">
        <f>"1552382635170797"</f>
        <v>1552382635170797</v>
      </c>
      <c r="C1394" t="s">
        <v>40</v>
      </c>
      <c r="D1394">
        <v>4.0574750000000002</v>
      </c>
      <c r="E1394">
        <v>0.54098959999999996</v>
      </c>
      <c r="F1394" t="s">
        <v>43</v>
      </c>
      <c r="G1394">
        <v>-195.47450000000001</v>
      </c>
      <c r="H1394" s="1">
        <v>-2.506245E-6</v>
      </c>
      <c r="I1394">
        <v>302.03579999999999</v>
      </c>
      <c r="J1394">
        <v>-188.33349999999999</v>
      </c>
      <c r="K1394">
        <v>1.1093820000000001</v>
      </c>
      <c r="L1394">
        <v>317.48930000000001</v>
      </c>
      <c r="M1394">
        <v>-7.540579E-2</v>
      </c>
      <c r="N1394">
        <v>0</v>
      </c>
      <c r="O1394">
        <v>-0.99705829999999995</v>
      </c>
      <c r="P1394">
        <v>-0.31277840000000001</v>
      </c>
      <c r="Q1394">
        <v>0.169713</v>
      </c>
      <c r="R1394">
        <v>-0.93454170000000003</v>
      </c>
      <c r="S1394">
        <v>-1.2859799999999999</v>
      </c>
      <c r="T1394">
        <v>-0.19922970000000001</v>
      </c>
      <c r="U1394">
        <v>-2.8169559999999998</v>
      </c>
      <c r="V1394">
        <v>0.24204129999999999</v>
      </c>
      <c r="W1394">
        <v>0.18199989999999999</v>
      </c>
      <c r="X1394">
        <v>0.95304359999999999</v>
      </c>
      <c r="Y1394">
        <v>0.34462880000000001</v>
      </c>
      <c r="Z1394">
        <v>6.4884570000000003E-2</v>
      </c>
      <c r="AA1394">
        <v>0.93649400000000005</v>
      </c>
      <c r="AB1394">
        <v>23</v>
      </c>
      <c r="AC1394">
        <v>-7.1410000000000098</v>
      </c>
      <c r="AD1394">
        <v>-1.1093845062449901</v>
      </c>
      <c r="AE1394">
        <v>-15.4535</v>
      </c>
      <c r="AF1394">
        <v>5.9300881546943103</v>
      </c>
      <c r="AG1394">
        <v>-1.1093845062449901</v>
      </c>
      <c r="AH1394">
        <v>15.8805768594054</v>
      </c>
      <c r="AI1394">
        <v>93.744326487191202</v>
      </c>
      <c r="AJ1394">
        <v>69.523479106680199</v>
      </c>
      <c r="AK1394">
        <v>16.9879192631889</v>
      </c>
      <c r="AL1394">
        <v>79.513730263544304</v>
      </c>
      <c r="AM1394">
        <v>75.750053092025396</v>
      </c>
      <c r="AN1394">
        <v>1.00000002900332</v>
      </c>
    </row>
    <row r="1395" spans="1:40" x14ac:dyDescent="0.25">
      <c r="A1395" t="str">
        <f>"20190312172355201"</f>
        <v>20190312172355201</v>
      </c>
      <c r="B1395" t="str">
        <f>"1552382635191293"</f>
        <v>1552382635191293</v>
      </c>
      <c r="C1395" t="s">
        <v>40</v>
      </c>
      <c r="D1395">
        <v>4.0612510000000004</v>
      </c>
      <c r="E1395">
        <v>0.54090419999999995</v>
      </c>
      <c r="F1395" t="s">
        <v>43</v>
      </c>
      <c r="G1395">
        <v>-195.66759999999999</v>
      </c>
      <c r="H1395" s="1">
        <v>-2.3802169999999999E-6</v>
      </c>
      <c r="I1395">
        <v>301.6223</v>
      </c>
      <c r="J1395">
        <v>-188.35380000000001</v>
      </c>
      <c r="K1395">
        <v>1.1093850000000001</v>
      </c>
      <c r="L1395">
        <v>317.25700000000001</v>
      </c>
      <c r="M1395">
        <v>-7.7716610000000005E-2</v>
      </c>
      <c r="N1395">
        <v>0</v>
      </c>
      <c r="O1395">
        <v>-0.99688069999999895</v>
      </c>
      <c r="P1395">
        <v>-0.31772630000000002</v>
      </c>
      <c r="Q1395">
        <v>0.17117750000000001</v>
      </c>
      <c r="R1395">
        <v>-0.93260299999999996</v>
      </c>
      <c r="S1395">
        <v>-1.2992859999999999</v>
      </c>
      <c r="T1395">
        <v>-0.19653670000000001</v>
      </c>
      <c r="U1395">
        <v>-2.8109739999999999</v>
      </c>
      <c r="V1395">
        <v>0.24491289999999999</v>
      </c>
      <c r="W1395">
        <v>0.18344099999999999</v>
      </c>
      <c r="X1395">
        <v>0.95203309999999997</v>
      </c>
      <c r="Y1395">
        <v>0.34688750000000002</v>
      </c>
      <c r="Z1395">
        <v>6.4029509999999998E-2</v>
      </c>
      <c r="AA1395">
        <v>0.93571859999999996</v>
      </c>
      <c r="AB1395">
        <v>23</v>
      </c>
      <c r="AC1395">
        <v>-7.3137999999999801</v>
      </c>
      <c r="AD1395">
        <v>-1.109387380217</v>
      </c>
      <c r="AE1395">
        <v>-15.6347</v>
      </c>
      <c r="AF1395">
        <v>6.0514863761758502</v>
      </c>
      <c r="AG1395">
        <v>-1.109387380217</v>
      </c>
      <c r="AH1395">
        <v>16.089397597578099</v>
      </c>
      <c r="AI1395">
        <v>93.692607710033997</v>
      </c>
      <c r="AJ1395">
        <v>69.387896232735798</v>
      </c>
      <c r="AK1395">
        <v>17.225560739011598</v>
      </c>
      <c r="AL1395">
        <v>79.429746887986596</v>
      </c>
      <c r="AM1395">
        <v>75.5733342995985</v>
      </c>
      <c r="AN1395">
        <v>0.99999997628150905</v>
      </c>
    </row>
    <row r="1396" spans="1:40" x14ac:dyDescent="0.25">
      <c r="A1396" t="str">
        <f>"20190312172355223"</f>
        <v>20190312172355223</v>
      </c>
      <c r="B1396" t="str">
        <f>"1552382635210816"</f>
        <v>1552382635210816</v>
      </c>
      <c r="C1396" t="s">
        <v>40</v>
      </c>
      <c r="D1396">
        <v>4.036098</v>
      </c>
      <c r="E1396">
        <v>0.54080649999999997</v>
      </c>
      <c r="F1396" t="s">
        <v>43</v>
      </c>
      <c r="G1396">
        <v>-195.92859999999999</v>
      </c>
      <c r="H1396" s="1">
        <v>-2.2183999999999998E-6</v>
      </c>
      <c r="I1396">
        <v>301.08319999999998</v>
      </c>
      <c r="J1396">
        <v>-188.37370000000001</v>
      </c>
      <c r="K1396">
        <v>1.1093930000000001</v>
      </c>
      <c r="L1396">
        <v>317.03489999999999</v>
      </c>
      <c r="M1396">
        <v>-7.9924809999999999E-2</v>
      </c>
      <c r="N1396">
        <v>0</v>
      </c>
      <c r="O1396">
        <v>-0.99670650000000005</v>
      </c>
      <c r="P1396">
        <v>-0.32203320000000002</v>
      </c>
      <c r="Q1396">
        <v>0.17236379999999901</v>
      </c>
      <c r="R1396">
        <v>-0.93090620000000002</v>
      </c>
      <c r="S1396">
        <v>-1.3135380000000001</v>
      </c>
      <c r="T1396">
        <v>-0.19237589999999999</v>
      </c>
      <c r="U1396">
        <v>-2.8046570000000002</v>
      </c>
      <c r="V1396">
        <v>0.247229</v>
      </c>
      <c r="W1396">
        <v>0.18460760000000001</v>
      </c>
      <c r="X1396">
        <v>0.95120870000000002</v>
      </c>
      <c r="Y1396">
        <v>0.34955439999999999</v>
      </c>
      <c r="Z1396">
        <v>6.2694470000000002E-2</v>
      </c>
      <c r="AA1396">
        <v>0.93481610000000004</v>
      </c>
      <c r="AB1396">
        <v>23</v>
      </c>
      <c r="AC1396">
        <v>-7.5548999999999698</v>
      </c>
      <c r="AD1396">
        <v>-1.1093952184</v>
      </c>
      <c r="AE1396">
        <v>-15.951700000000001</v>
      </c>
      <c r="AF1396">
        <v>6.2310532721751599</v>
      </c>
      <c r="AG1396">
        <v>-1.1093952184</v>
      </c>
      <c r="AH1396">
        <v>16.439592967152102</v>
      </c>
      <c r="AI1396">
        <v>93.610718531187601</v>
      </c>
      <c r="AJ1396">
        <v>69.241927969541294</v>
      </c>
      <c r="AK1396">
        <v>17.615816743964199</v>
      </c>
      <c r="AL1396">
        <v>79.361745239614294</v>
      </c>
      <c r="AM1396">
        <v>75.430594446288694</v>
      </c>
      <c r="AN1396">
        <v>1.0000000676872201</v>
      </c>
    </row>
    <row r="1397" spans="1:40" x14ac:dyDescent="0.25">
      <c r="A1397" t="str">
        <f>"20190312172355246"</f>
        <v>20190312172355246</v>
      </c>
      <c r="B1397" t="str">
        <f>"1552382635241069"</f>
        <v>1552382635241069</v>
      </c>
      <c r="C1397" t="s">
        <v>40</v>
      </c>
      <c r="D1397">
        <v>4.0227769999999996</v>
      </c>
      <c r="E1397">
        <v>0.54066630000000004</v>
      </c>
      <c r="F1397" t="s">
        <v>43</v>
      </c>
      <c r="G1397">
        <v>-196.15440000000001</v>
      </c>
      <c r="H1397" s="1">
        <v>-2.0770350000000001E-6</v>
      </c>
      <c r="I1397">
        <v>300.61360000000002</v>
      </c>
      <c r="J1397">
        <v>-188.39590000000001</v>
      </c>
      <c r="K1397">
        <v>1.109394</v>
      </c>
      <c r="L1397">
        <v>316.7944</v>
      </c>
      <c r="M1397">
        <v>-8.2317719999999997E-2</v>
      </c>
      <c r="N1397">
        <v>0</v>
      </c>
      <c r="O1397">
        <v>-0.99651160000000005</v>
      </c>
      <c r="P1397">
        <v>-0.32645600000000002</v>
      </c>
      <c r="Q1397">
        <v>0.17384050000000001</v>
      </c>
      <c r="R1397">
        <v>-0.92908900000000005</v>
      </c>
      <c r="S1397">
        <v>-1.3261719999999999</v>
      </c>
      <c r="T1397">
        <v>-0.18909049999999999</v>
      </c>
      <c r="U1397">
        <v>-2.7989199999999999</v>
      </c>
      <c r="V1397">
        <v>0.2494991</v>
      </c>
      <c r="W1397">
        <v>0.18606439999999999</v>
      </c>
      <c r="X1397">
        <v>0.95033160000000005</v>
      </c>
      <c r="Y1397">
        <v>0.35152070000000002</v>
      </c>
      <c r="Z1397">
        <v>6.1643839999999998E-2</v>
      </c>
      <c r="AA1397">
        <v>0.93414839999999999</v>
      </c>
      <c r="AB1397">
        <v>23</v>
      </c>
      <c r="AC1397">
        <v>-7.75849999999999</v>
      </c>
      <c r="AD1397">
        <v>-1.109396077035</v>
      </c>
      <c r="AE1397">
        <v>-16.180799999999898</v>
      </c>
      <c r="AF1397">
        <v>6.3757031956606003</v>
      </c>
      <c r="AG1397">
        <v>-1.109396077035</v>
      </c>
      <c r="AH1397">
        <v>16.700764682164198</v>
      </c>
      <c r="AI1397">
        <v>93.551182172071094</v>
      </c>
      <c r="AJ1397">
        <v>69.105086277182295</v>
      </c>
      <c r="AK1397">
        <v>17.910775858792999</v>
      </c>
      <c r="AL1397">
        <v>79.276803963728696</v>
      </c>
      <c r="AM1397">
        <v>75.289606080017293</v>
      </c>
      <c r="AN1397">
        <v>0.99999995590336399</v>
      </c>
    </row>
    <row r="1398" spans="1:40" x14ac:dyDescent="0.25">
      <c r="A1398" t="str">
        <f>"20190312172355269"</f>
        <v>20190312172355269</v>
      </c>
      <c r="B1398" t="str">
        <f>"1552382635261565"</f>
        <v>1552382635261565</v>
      </c>
      <c r="C1398" t="s">
        <v>40</v>
      </c>
      <c r="D1398">
        <v>4.0411809999999999</v>
      </c>
      <c r="E1398">
        <v>0.54052389999999995</v>
      </c>
      <c r="F1398" t="s">
        <v>43</v>
      </c>
      <c r="G1398">
        <v>-196.4487</v>
      </c>
      <c r="H1398" s="1">
        <v>-1.8952150000000001E-6</v>
      </c>
      <c r="I1398">
        <v>300.00720000000001</v>
      </c>
      <c r="J1398">
        <v>-188.41749999999999</v>
      </c>
      <c r="K1398">
        <v>1.1094079999999999</v>
      </c>
      <c r="L1398">
        <v>316.56490000000002</v>
      </c>
      <c r="M1398">
        <v>-8.4600640000000005E-2</v>
      </c>
      <c r="N1398">
        <v>0</v>
      </c>
      <c r="O1398">
        <v>-0.99632019999999999</v>
      </c>
      <c r="P1398">
        <v>-0.33086900000000002</v>
      </c>
      <c r="Q1398">
        <v>0.17544209999999999</v>
      </c>
      <c r="R1398">
        <v>-0.92722479999999996</v>
      </c>
      <c r="S1398">
        <v>-1.3397220000000001</v>
      </c>
      <c r="T1398">
        <v>-0.18456600000000001</v>
      </c>
      <c r="U1398">
        <v>-2.7928160000000002</v>
      </c>
      <c r="V1398">
        <v>0.25187409999999999</v>
      </c>
      <c r="W1398">
        <v>0.1876449</v>
      </c>
      <c r="X1398">
        <v>0.94939390000000001</v>
      </c>
      <c r="Y1398">
        <v>0.35389470000000001</v>
      </c>
      <c r="Z1398">
        <v>6.0187770000000002E-2</v>
      </c>
      <c r="AA1398">
        <v>0.93334660000000003</v>
      </c>
      <c r="AB1398">
        <v>23</v>
      </c>
      <c r="AC1398">
        <v>-8.0312000000000108</v>
      </c>
      <c r="AD1398">
        <v>-1.109409895215</v>
      </c>
      <c r="AE1398">
        <v>-16.557700000000001</v>
      </c>
      <c r="AF1398">
        <v>6.5775729427146601</v>
      </c>
      <c r="AG1398">
        <v>-1.109409895215</v>
      </c>
      <c r="AH1398">
        <v>17.115633520545199</v>
      </c>
      <c r="AI1398">
        <v>93.462427135674105</v>
      </c>
      <c r="AJ1398">
        <v>68.978130178409103</v>
      </c>
      <c r="AK1398">
        <v>18.369544549115599</v>
      </c>
      <c r="AL1398">
        <v>79.184624663011505</v>
      </c>
      <c r="AM1398">
        <v>75.1417190078201</v>
      </c>
      <c r="AN1398">
        <v>0.99999997405201402</v>
      </c>
    </row>
    <row r="1399" spans="1:40" x14ac:dyDescent="0.25">
      <c r="A1399" t="str">
        <f>"20190312172355289"</f>
        <v>20190312172355289</v>
      </c>
      <c r="B1399" t="str">
        <f>"1552382635281085"</f>
        <v>1552382635281085</v>
      </c>
      <c r="C1399" t="s">
        <v>40</v>
      </c>
      <c r="D1399">
        <v>4.1158080000000004</v>
      </c>
      <c r="E1399">
        <v>0.5314314</v>
      </c>
      <c r="F1399" t="s">
        <v>46</v>
      </c>
      <c r="G1399">
        <v>-196.76570000000001</v>
      </c>
      <c r="H1399" s="1">
        <v>4.3554710000000002E-8</v>
      </c>
      <c r="I1399">
        <v>299.36900000000003</v>
      </c>
      <c r="J1399">
        <v>-188.43809999999999</v>
      </c>
      <c r="K1399">
        <v>1.1094170000000001</v>
      </c>
      <c r="L1399">
        <v>316.35160000000002</v>
      </c>
      <c r="M1399">
        <v>-8.6724239999999994E-2</v>
      </c>
      <c r="N1399">
        <v>0</v>
      </c>
      <c r="O1399">
        <v>-0.99613770000000001</v>
      </c>
      <c r="P1399">
        <v>-0.33437080000000002</v>
      </c>
      <c r="Q1399">
        <v>0.17736080000000001</v>
      </c>
      <c r="R1399">
        <v>-0.92560229999999999</v>
      </c>
      <c r="S1399">
        <v>-1.3528899999999999</v>
      </c>
      <c r="T1399">
        <v>-0.1797888</v>
      </c>
      <c r="U1399">
        <v>-2.786743</v>
      </c>
      <c r="V1399">
        <v>0.2534785</v>
      </c>
      <c r="W1399">
        <v>0.1895471</v>
      </c>
      <c r="X1399">
        <v>0.94858869999999895</v>
      </c>
      <c r="Y1399">
        <v>0.35630919999999999</v>
      </c>
      <c r="Z1399">
        <v>5.864904E-2</v>
      </c>
      <c r="AA1399">
        <v>0.93252559999999995</v>
      </c>
      <c r="AB1399">
        <v>23</v>
      </c>
      <c r="AC1399">
        <v>-8.3276000000000092</v>
      </c>
      <c r="AD1399">
        <v>-1.10941695644529</v>
      </c>
      <c r="AE1399">
        <v>-16.982599999999898</v>
      </c>
      <c r="AF1399">
        <v>6.7998827865700502</v>
      </c>
      <c r="AG1399">
        <v>-1.10941695644529</v>
      </c>
      <c r="AH1399">
        <v>17.580393959604699</v>
      </c>
      <c r="AI1399">
        <v>93.368323659183503</v>
      </c>
      <c r="AJ1399">
        <v>68.8541352096331</v>
      </c>
      <c r="AK1399">
        <v>18.882252611096099</v>
      </c>
      <c r="AL1399">
        <v>79.073645201383599</v>
      </c>
      <c r="AM1399">
        <v>75.039178166090196</v>
      </c>
      <c r="AN1399">
        <v>0.99999998742417395</v>
      </c>
    </row>
    <row r="1400" spans="1:40" x14ac:dyDescent="0.25">
      <c r="A1400" t="str">
        <f>"20190312172355313"</f>
        <v>20190312172355313</v>
      </c>
      <c r="B1400" t="str">
        <f>"1552382635301581"</f>
        <v>1552382635301581</v>
      </c>
      <c r="C1400" t="s">
        <v>40</v>
      </c>
      <c r="D1400">
        <v>4.0409410000000001</v>
      </c>
      <c r="E1400">
        <v>0.5306438</v>
      </c>
      <c r="F1400" t="s">
        <v>43</v>
      </c>
      <c r="G1400">
        <v>-194.57849999999999</v>
      </c>
      <c r="H1400" s="1">
        <v>-2.7070859999999999E-6</v>
      </c>
      <c r="I1400">
        <v>303.05970000000002</v>
      </c>
      <c r="J1400">
        <v>-188.4605</v>
      </c>
      <c r="K1400">
        <v>1.109429</v>
      </c>
      <c r="L1400">
        <v>316.12520000000001</v>
      </c>
      <c r="M1400">
        <v>-8.8977920000000002E-2</v>
      </c>
      <c r="N1400">
        <v>0</v>
      </c>
      <c r="O1400">
        <v>-0.99593900000000002</v>
      </c>
      <c r="P1400">
        <v>-0.33813589999999999</v>
      </c>
      <c r="Q1400">
        <v>0.1792426</v>
      </c>
      <c r="R1400">
        <v>-0.92387039999999998</v>
      </c>
      <c r="S1400">
        <v>-1.30098</v>
      </c>
      <c r="T1400">
        <v>-0.2350566</v>
      </c>
      <c r="U1400">
        <v>-2.8161930000000002</v>
      </c>
      <c r="V1400">
        <v>0.25523469999999998</v>
      </c>
      <c r="W1400">
        <v>0.19141159999999999</v>
      </c>
      <c r="X1400">
        <v>0.94774309999999995</v>
      </c>
      <c r="Y1400">
        <v>0.335706</v>
      </c>
      <c r="Z1400">
        <v>7.6420279999999993E-2</v>
      </c>
      <c r="AA1400">
        <v>0.93886179999999997</v>
      </c>
      <c r="AB1400">
        <v>23</v>
      </c>
      <c r="AC1400">
        <v>-6.1179999999999897</v>
      </c>
      <c r="AD1400">
        <v>-1.109431707086</v>
      </c>
      <c r="AE1400">
        <v>-13.065499999999901</v>
      </c>
      <c r="AF1400">
        <v>4.9020894510464297</v>
      </c>
      <c r="AG1400">
        <v>-1.109431707086</v>
      </c>
      <c r="AH1400">
        <v>13.478379760425</v>
      </c>
      <c r="AI1400">
        <v>94.423285958491903</v>
      </c>
      <c r="AJ1400">
        <v>70.013663012685399</v>
      </c>
      <c r="AK1400">
        <v>14.384993592802999</v>
      </c>
      <c r="AL1400">
        <v>78.9648257330864</v>
      </c>
      <c r="AM1400">
        <v>74.927391559776396</v>
      </c>
      <c r="AN1400">
        <v>1.00000006814812</v>
      </c>
    </row>
    <row r="1401" spans="1:40" x14ac:dyDescent="0.25">
      <c r="A1401" t="str">
        <f>"20190312172355334"</f>
        <v>20190312172355334</v>
      </c>
      <c r="B1401" t="str">
        <f>"1552382635330861"</f>
        <v>1552382635330861</v>
      </c>
      <c r="C1401" t="s">
        <v>40</v>
      </c>
      <c r="D1401">
        <v>4.0799599999999998</v>
      </c>
      <c r="E1401">
        <v>0.53069109999999997</v>
      </c>
      <c r="F1401" t="s">
        <v>43</v>
      </c>
      <c r="G1401">
        <v>-195.17250000000001</v>
      </c>
      <c r="H1401" s="1">
        <v>-2.2732940000000002E-6</v>
      </c>
      <c r="I1401">
        <v>301.68009999999998</v>
      </c>
      <c r="J1401">
        <v>-188.48269999999999</v>
      </c>
      <c r="K1401">
        <v>1.109445</v>
      </c>
      <c r="L1401">
        <v>315.90600000000001</v>
      </c>
      <c r="M1401">
        <v>-9.1159829999999997E-2</v>
      </c>
      <c r="N1401">
        <v>0</v>
      </c>
      <c r="O1401">
        <v>-0.99574169999999995</v>
      </c>
      <c r="P1401">
        <v>-0.34162930000000002</v>
      </c>
      <c r="Q1401">
        <v>0.18052460000000001</v>
      </c>
      <c r="R1401">
        <v>-0.92233430000000005</v>
      </c>
      <c r="S1401">
        <v>-1.306168</v>
      </c>
      <c r="T1401">
        <v>-0.21590029999999999</v>
      </c>
      <c r="U1401">
        <v>-2.8110659999999998</v>
      </c>
      <c r="V1401">
        <v>0.25677359999999999</v>
      </c>
      <c r="W1401">
        <v>0.19267880000000001</v>
      </c>
      <c r="X1401">
        <v>0.94707039999999998</v>
      </c>
      <c r="Y1401">
        <v>0.3359104</v>
      </c>
      <c r="Z1401">
        <v>7.0292209999999994E-2</v>
      </c>
      <c r="AA1401">
        <v>0.93926739999999997</v>
      </c>
      <c r="AB1401">
        <v>23</v>
      </c>
      <c r="AC1401">
        <v>-6.6898000000000204</v>
      </c>
      <c r="AD1401">
        <v>-1.1094472732939999</v>
      </c>
      <c r="AE1401">
        <v>-14.225899999999999</v>
      </c>
      <c r="AF1401">
        <v>5.3383986316655996</v>
      </c>
      <c r="AG1401">
        <v>-1.1094472732939999</v>
      </c>
      <c r="AH1401">
        <v>14.7033220315436</v>
      </c>
      <c r="AI1401">
        <v>94.056933934857994</v>
      </c>
      <c r="AJ1401">
        <v>70.045340493850105</v>
      </c>
      <c r="AK1401">
        <v>15.6817426316741</v>
      </c>
      <c r="AL1401">
        <v>78.890843464426098</v>
      </c>
      <c r="AM1401">
        <v>74.830412431883801</v>
      </c>
      <c r="AN1401">
        <v>1.0000000720912701</v>
      </c>
    </row>
    <row r="1402" spans="1:40" x14ac:dyDescent="0.25">
      <c r="A1402" t="str">
        <f>"20190312172355357"</f>
        <v>20190312172355357</v>
      </c>
      <c r="B1402" t="str">
        <f>"1552382635351358"</f>
        <v>1552382635351358</v>
      </c>
      <c r="C1402" t="s">
        <v>40</v>
      </c>
      <c r="D1402">
        <v>4.2398199999999999</v>
      </c>
      <c r="E1402">
        <v>0.53073099999999995</v>
      </c>
      <c r="F1402" t="s">
        <v>43</v>
      </c>
      <c r="G1402">
        <v>-195.41589999999999</v>
      </c>
      <c r="H1402" s="1">
        <v>-2.1093310000000001E-6</v>
      </c>
      <c r="I1402">
        <v>301.14690000000002</v>
      </c>
      <c r="J1402">
        <v>-188.50569999999999</v>
      </c>
      <c r="K1402">
        <v>1.1094520000000001</v>
      </c>
      <c r="L1402">
        <v>315.68259999999998</v>
      </c>
      <c r="M1402">
        <v>-9.3383590000000002E-2</v>
      </c>
      <c r="N1402">
        <v>0</v>
      </c>
      <c r="O1402">
        <v>-0.99553570000000002</v>
      </c>
      <c r="P1402">
        <v>-0.34445809999999999</v>
      </c>
      <c r="Q1402">
        <v>0.181088</v>
      </c>
      <c r="R1402">
        <v>-0.92117090000000001</v>
      </c>
      <c r="S1402">
        <v>-1.3180240000000001</v>
      </c>
      <c r="T1402">
        <v>-0.21090729999999999</v>
      </c>
      <c r="U1402">
        <v>-2.8057249999999998</v>
      </c>
      <c r="V1402">
        <v>0.25757720000000001</v>
      </c>
      <c r="W1402">
        <v>0.19323509999999999</v>
      </c>
      <c r="X1402">
        <v>0.94673870000000004</v>
      </c>
      <c r="Y1402">
        <v>0.33779409999999999</v>
      </c>
      <c r="Z1402">
        <v>6.8688879999999994E-2</v>
      </c>
      <c r="AA1402">
        <v>0.9387103</v>
      </c>
      <c r="AB1402">
        <v>23</v>
      </c>
      <c r="AC1402">
        <v>-6.9101999999999997</v>
      </c>
      <c r="AD1402">
        <v>-1.109454109331</v>
      </c>
      <c r="AE1402">
        <v>-14.535699999999901</v>
      </c>
      <c r="AF1402">
        <v>5.4963570965097901</v>
      </c>
      <c r="AG1402">
        <v>-1.109454109331</v>
      </c>
      <c r="AH1402">
        <v>15.0460345795085</v>
      </c>
      <c r="AI1402">
        <v>93.962018385304603</v>
      </c>
      <c r="AJ1402">
        <v>69.932614719215806</v>
      </c>
      <c r="AK1402">
        <v>16.056898402893101</v>
      </c>
      <c r="AL1402">
        <v>78.858358453355393</v>
      </c>
      <c r="AM1402">
        <v>74.780051526468796</v>
      </c>
      <c r="AN1402">
        <v>0.99999999195476996</v>
      </c>
    </row>
    <row r="1403" spans="1:40" x14ac:dyDescent="0.25">
      <c r="A1403" t="str">
        <f>"20190312172355379"</f>
        <v>20190312172355379</v>
      </c>
      <c r="B1403" t="str">
        <f>"1552382635371385"</f>
        <v>1552382635371385</v>
      </c>
      <c r="C1403" t="s">
        <v>40</v>
      </c>
      <c r="D1403">
        <v>4.0365729999999997</v>
      </c>
      <c r="E1403">
        <v>0.53026609999999996</v>
      </c>
      <c r="F1403" t="s">
        <v>43</v>
      </c>
      <c r="G1403">
        <v>-195.4246</v>
      </c>
      <c r="H1403" s="1">
        <v>-2.0824359999999999E-6</v>
      </c>
      <c r="I1403">
        <v>301.07889999999998</v>
      </c>
      <c r="J1403">
        <v>-188.52950000000001</v>
      </c>
      <c r="K1403">
        <v>1.1094520000000001</v>
      </c>
      <c r="L1403">
        <v>315.45749999999998</v>
      </c>
      <c r="M1403">
        <v>-9.5625760000000004E-2</v>
      </c>
      <c r="N1403">
        <v>0</v>
      </c>
      <c r="O1403">
        <v>-0.9953227</v>
      </c>
      <c r="P1403">
        <v>-0.347464</v>
      </c>
      <c r="Q1403">
        <v>0.18088879999999999</v>
      </c>
      <c r="R1403">
        <v>-0.92008029999999996</v>
      </c>
      <c r="S1403">
        <v>-1.3275760000000001</v>
      </c>
      <c r="T1403">
        <v>-0.21288070000000001</v>
      </c>
      <c r="U1403">
        <v>-2.802155</v>
      </c>
      <c r="V1403">
        <v>0.25853209999999999</v>
      </c>
      <c r="W1403">
        <v>0.1930297</v>
      </c>
      <c r="X1403">
        <v>0.94652029999999998</v>
      </c>
      <c r="Y1403">
        <v>0.3387328</v>
      </c>
      <c r="Z1403">
        <v>6.9325369999999997E-2</v>
      </c>
      <c r="AA1403">
        <v>0.93832519999999997</v>
      </c>
      <c r="AB1403">
        <v>23</v>
      </c>
      <c r="AC1403">
        <v>-6.8950999999999798</v>
      </c>
      <c r="AD1403">
        <v>-1.109454082436</v>
      </c>
      <c r="AE1403">
        <v>-14.3786</v>
      </c>
      <c r="AF1403">
        <v>5.4619631879661696</v>
      </c>
      <c r="AG1403">
        <v>-1.109454082436</v>
      </c>
      <c r="AH1403">
        <v>14.8999826598995</v>
      </c>
      <c r="AI1403">
        <v>93.999091893437097</v>
      </c>
      <c r="AJ1403">
        <v>69.868319457236097</v>
      </c>
      <c r="AK1403">
        <v>15.908281286582699</v>
      </c>
      <c r="AL1403">
        <v>78.870352863256997</v>
      </c>
      <c r="AM1403">
        <v>74.722898825577104</v>
      </c>
      <c r="AN1403">
        <v>0.99999999506229398</v>
      </c>
    </row>
    <row r="1404" spans="1:40" x14ac:dyDescent="0.25">
      <c r="A1404" t="str">
        <f>"20190312172355402"</f>
        <v>20190312172355402</v>
      </c>
      <c r="B1404" t="str">
        <f>"1552382635390908"</f>
        <v>1552382635390908</v>
      </c>
      <c r="C1404" t="s">
        <v>40</v>
      </c>
      <c r="D1404">
        <v>4.0477910000000001</v>
      </c>
      <c r="E1404">
        <v>0.52987680000000004</v>
      </c>
      <c r="F1404" t="s">
        <v>43</v>
      </c>
      <c r="G1404">
        <v>-195.39840000000001</v>
      </c>
      <c r="H1404" s="1">
        <v>-2.053985E-6</v>
      </c>
      <c r="I1404">
        <v>301.02879999999999</v>
      </c>
      <c r="J1404">
        <v>-188.55420000000001</v>
      </c>
      <c r="K1404">
        <v>1.1094550000000001</v>
      </c>
      <c r="L1404">
        <v>315.22820000000002</v>
      </c>
      <c r="M1404">
        <v>-9.7909309999999999E-2</v>
      </c>
      <c r="N1404">
        <v>0</v>
      </c>
      <c r="O1404">
        <v>-0.99510089999999995</v>
      </c>
      <c r="P1404">
        <v>-0.34976679999999999</v>
      </c>
      <c r="Q1404">
        <v>0.18026329999999999</v>
      </c>
      <c r="R1404">
        <v>-0.91933030000000004</v>
      </c>
      <c r="S1404">
        <v>-1.3327789999999999</v>
      </c>
      <c r="T1404">
        <v>-0.21526809999999999</v>
      </c>
      <c r="U1404">
        <v>-2.7996219999999998</v>
      </c>
      <c r="V1404">
        <v>0.25871490000000003</v>
      </c>
      <c r="W1404">
        <v>0.19240460000000001</v>
      </c>
      <c r="X1404">
        <v>0.94659760000000004</v>
      </c>
      <c r="Y1404">
        <v>0.3383022</v>
      </c>
      <c r="Z1404">
        <v>7.0111129999999994E-2</v>
      </c>
      <c r="AA1404">
        <v>0.93842210000000004</v>
      </c>
      <c r="AB1404">
        <v>22</v>
      </c>
      <c r="AC1404">
        <v>-6.8441999999999998</v>
      </c>
      <c r="AD1404">
        <v>-1.1094570539849999</v>
      </c>
      <c r="AE1404">
        <v>-14.199400000000001</v>
      </c>
      <c r="AF1404">
        <v>5.3942028661505796</v>
      </c>
      <c r="AG1404">
        <v>-1.1094570539849999</v>
      </c>
      <c r="AH1404">
        <v>14.728373736240901</v>
      </c>
      <c r="AI1404">
        <v>94.045973817715904</v>
      </c>
      <c r="AJ1404">
        <v>69.884962973313904</v>
      </c>
      <c r="AK1404">
        <v>15.724290522316499</v>
      </c>
      <c r="AL1404">
        <v>78.906852420093699</v>
      </c>
      <c r="AM1404">
        <v>74.713792090516904</v>
      </c>
      <c r="AN1404">
        <v>0.99999997295446397</v>
      </c>
    </row>
    <row r="1405" spans="1:40" x14ac:dyDescent="0.25">
      <c r="A1405" t="str">
        <f>"20190312172355424"</f>
        <v>20190312172355424</v>
      </c>
      <c r="B1405" t="str">
        <f>"1552382635421161"</f>
        <v>1552382635421161</v>
      </c>
      <c r="C1405" t="s">
        <v>40</v>
      </c>
      <c r="D1405">
        <v>4.0195489999999996</v>
      </c>
      <c r="E1405">
        <v>0.52954699999999999</v>
      </c>
      <c r="F1405" t="s">
        <v>43</v>
      </c>
      <c r="G1405">
        <v>-195.28729999999999</v>
      </c>
      <c r="H1405" s="1">
        <v>-2.06705E-6</v>
      </c>
      <c r="I1405">
        <v>301.12819999999999</v>
      </c>
      <c r="J1405">
        <v>-188.57810000000001</v>
      </c>
      <c r="K1405">
        <v>1.1094599999999999</v>
      </c>
      <c r="L1405">
        <v>315.01179999999999</v>
      </c>
      <c r="M1405">
        <v>-0.1000654</v>
      </c>
      <c r="N1405">
        <v>0</v>
      </c>
      <c r="O1405">
        <v>-0.99488650000000001</v>
      </c>
      <c r="P1405">
        <v>-0.35274899999999998</v>
      </c>
      <c r="Q1405">
        <v>0.18029039999999999</v>
      </c>
      <c r="R1405">
        <v>-0.91818529999999998</v>
      </c>
      <c r="S1405">
        <v>-1.3361209999999999</v>
      </c>
      <c r="T1405">
        <v>-0.22016430000000001</v>
      </c>
      <c r="U1405">
        <v>-2.7980649999999998</v>
      </c>
      <c r="V1405">
        <v>0.25973770000000002</v>
      </c>
      <c r="W1405">
        <v>0.19242429999999999</v>
      </c>
      <c r="X1405">
        <v>0.94631350000000003</v>
      </c>
      <c r="Y1405">
        <v>0.33733049999999998</v>
      </c>
      <c r="Z1405">
        <v>7.1704950000000003E-2</v>
      </c>
      <c r="AA1405">
        <v>0.93865140000000002</v>
      </c>
      <c r="AB1405">
        <v>22</v>
      </c>
      <c r="AC1405">
        <v>-6.7091999999999796</v>
      </c>
      <c r="AD1405">
        <v>-1.1094620670499999</v>
      </c>
      <c r="AE1405">
        <v>-13.883599999999999</v>
      </c>
      <c r="AF1405">
        <v>5.2588959036101004</v>
      </c>
      <c r="AG1405">
        <v>-1.1094620670499999</v>
      </c>
      <c r="AH1405">
        <v>14.410721742635999</v>
      </c>
      <c r="AI1405">
        <v>94.136620264401401</v>
      </c>
      <c r="AJ1405">
        <v>69.951487941715101</v>
      </c>
      <c r="AK1405">
        <v>15.3803703904332</v>
      </c>
      <c r="AL1405">
        <v>78.905702640348693</v>
      </c>
      <c r="AM1405">
        <v>74.651813504078902</v>
      </c>
      <c r="AN1405">
        <v>1.0000000121570101</v>
      </c>
    </row>
    <row r="1406" spans="1:40" x14ac:dyDescent="0.25">
      <c r="A1406" t="str">
        <f>"20190312172355447"</f>
        <v>20190312172355447</v>
      </c>
      <c r="B1406" t="str">
        <f>"1552382635440680"</f>
        <v>1552382635440680</v>
      </c>
      <c r="C1406" t="s">
        <v>40</v>
      </c>
      <c r="D1406">
        <v>4.061375</v>
      </c>
      <c r="E1406">
        <v>0.52939099999999994</v>
      </c>
      <c r="F1406" t="s">
        <v>43</v>
      </c>
      <c r="G1406">
        <v>-195.21639999999999</v>
      </c>
      <c r="H1406" s="1">
        <v>-2.076265E-6</v>
      </c>
      <c r="I1406">
        <v>301.1936</v>
      </c>
      <c r="J1406">
        <v>-188.60489999999999</v>
      </c>
      <c r="K1406">
        <v>1.1094619999999999</v>
      </c>
      <c r="L1406">
        <v>314.77359999999999</v>
      </c>
      <c r="M1406">
        <v>-0.1024386</v>
      </c>
      <c r="N1406">
        <v>0</v>
      </c>
      <c r="O1406">
        <v>-0.9946448</v>
      </c>
      <c r="P1406">
        <v>-0.35560120000000001</v>
      </c>
      <c r="Q1406">
        <v>0.18030679999999999</v>
      </c>
      <c r="R1406">
        <v>-0.91708089999999998</v>
      </c>
      <c r="S1406">
        <v>-1.342957</v>
      </c>
      <c r="T1406">
        <v>-0.2244477</v>
      </c>
      <c r="U1406">
        <v>-2.795471</v>
      </c>
      <c r="V1406">
        <v>0.26042169999999998</v>
      </c>
      <c r="W1406">
        <v>0.19243589999999999</v>
      </c>
      <c r="X1406">
        <v>0.94612309999999999</v>
      </c>
      <c r="Y1406">
        <v>0.33724730000000003</v>
      </c>
      <c r="Z1406">
        <v>7.3090630000000004E-2</v>
      </c>
      <c r="AA1406">
        <v>0.93857440000000003</v>
      </c>
      <c r="AB1406">
        <v>22</v>
      </c>
      <c r="AC1406">
        <v>-6.6115000000000004</v>
      </c>
      <c r="AD1406">
        <v>-1.1094640762649901</v>
      </c>
      <c r="AE1406">
        <v>-13.579999999999901</v>
      </c>
      <c r="AF1406">
        <v>5.1576364815267004</v>
      </c>
      <c r="AG1406">
        <v>-1.1094640762649901</v>
      </c>
      <c r="AH1406">
        <v>14.109751222648899</v>
      </c>
      <c r="AI1406">
        <v>94.223724532180697</v>
      </c>
      <c r="AJ1406">
        <v>69.920770617780406</v>
      </c>
      <c r="AK1406">
        <v>15.063771246840499</v>
      </c>
      <c r="AL1406">
        <v>78.905024977538403</v>
      </c>
      <c r="AM1406">
        <v>74.610358621911004</v>
      </c>
      <c r="AN1406">
        <v>0.99999997889665404</v>
      </c>
    </row>
    <row r="1407" spans="1:40" x14ac:dyDescent="0.25">
      <c r="A1407" t="str">
        <f>"20190312172355469"</f>
        <v>20190312172355469</v>
      </c>
      <c r="B1407" t="str">
        <f>"1552382635461176"</f>
        <v>1552382635461176</v>
      </c>
      <c r="C1407" t="s">
        <v>40</v>
      </c>
      <c r="D1407">
        <v>3.9563890000000002</v>
      </c>
      <c r="E1407">
        <v>0.52929219999999999</v>
      </c>
      <c r="F1407" t="s">
        <v>43</v>
      </c>
      <c r="G1407">
        <v>-195.2208</v>
      </c>
      <c r="H1407" s="1">
        <v>-2.0375290000000001E-6</v>
      </c>
      <c r="I1407">
        <v>301.10059999999999</v>
      </c>
      <c r="J1407">
        <v>-188.63</v>
      </c>
      <c r="K1407">
        <v>1.1094649999999999</v>
      </c>
      <c r="L1407">
        <v>314.5548</v>
      </c>
      <c r="M1407">
        <v>-0.1046188</v>
      </c>
      <c r="N1407">
        <v>0</v>
      </c>
      <c r="O1407">
        <v>-0.99441780000000002</v>
      </c>
      <c r="P1407">
        <v>-0.35818620000000001</v>
      </c>
      <c r="Q1407">
        <v>0.18050649999999999</v>
      </c>
      <c r="R1407">
        <v>-0.91603509999999999</v>
      </c>
      <c r="S1407">
        <v>-1.3509370000000001</v>
      </c>
      <c r="T1407">
        <v>-0.2265462</v>
      </c>
      <c r="U1407">
        <v>-2.7919619999999998</v>
      </c>
      <c r="V1407">
        <v>0.26102059999999999</v>
      </c>
      <c r="W1407">
        <v>0.1926311</v>
      </c>
      <c r="X1407">
        <v>0.94591829999999999</v>
      </c>
      <c r="Y1407">
        <v>0.33779900000000002</v>
      </c>
      <c r="Z1407">
        <v>7.3776659999999994E-2</v>
      </c>
      <c r="AA1407">
        <v>0.9383224</v>
      </c>
      <c r="AB1407">
        <v>22</v>
      </c>
      <c r="AC1407">
        <v>-6.5907999999999998</v>
      </c>
      <c r="AD1407">
        <v>-1.1094670375290001</v>
      </c>
      <c r="AE1407">
        <v>-13.4542</v>
      </c>
      <c r="AF1407">
        <v>5.1188587238009298</v>
      </c>
      <c r="AG1407">
        <v>-1.1094670375290001</v>
      </c>
      <c r="AH1407">
        <v>13.9932018345971</v>
      </c>
      <c r="AI1407">
        <v>94.258412242234499</v>
      </c>
      <c r="AJ1407">
        <v>69.906954915969905</v>
      </c>
      <c r="AK1407">
        <v>14.9413295702011</v>
      </c>
      <c r="AL1407">
        <v>78.893627414015597</v>
      </c>
      <c r="AM1407">
        <v>74.573469653724004</v>
      </c>
      <c r="AN1407">
        <v>0.99999996229322896</v>
      </c>
    </row>
    <row r="1408" spans="1:40" x14ac:dyDescent="0.25">
      <c r="A1408" t="str">
        <f>"20190312172355491"</f>
        <v>20190312172355491</v>
      </c>
      <c r="B1408" t="str">
        <f>"1552382635480697"</f>
        <v>1552382635480697</v>
      </c>
      <c r="C1408" t="s">
        <v>40</v>
      </c>
      <c r="D1408">
        <v>4.0399240000000001</v>
      </c>
      <c r="E1408">
        <v>0.52739190000000002</v>
      </c>
      <c r="F1408" t="s">
        <v>43</v>
      </c>
      <c r="G1408">
        <v>-195.2886</v>
      </c>
      <c r="H1408" s="1">
        <v>-1.9659819999999998E-6</v>
      </c>
      <c r="I1408">
        <v>300.89170000000001</v>
      </c>
      <c r="J1408">
        <v>-188.65600000000001</v>
      </c>
      <c r="K1408">
        <v>1.1094710000000001</v>
      </c>
      <c r="L1408">
        <v>314.3331</v>
      </c>
      <c r="M1408">
        <v>-0.1068293</v>
      </c>
      <c r="N1408">
        <v>0</v>
      </c>
      <c r="O1408">
        <v>-0.99418280000000003</v>
      </c>
      <c r="P1408">
        <v>-0.36057090000000003</v>
      </c>
      <c r="Q1408">
        <v>0.18035780000000001</v>
      </c>
      <c r="R1408">
        <v>-0.91512819999999995</v>
      </c>
      <c r="S1408">
        <v>-1.3588260000000001</v>
      </c>
      <c r="T1408">
        <v>-0.22641</v>
      </c>
      <c r="U1408">
        <v>-2.7882389999999999</v>
      </c>
      <c r="V1408">
        <v>0.26137700000000003</v>
      </c>
      <c r="W1408">
        <v>0.1924804</v>
      </c>
      <c r="X1408">
        <v>0.94585059999999999</v>
      </c>
      <c r="Y1408">
        <v>0.33834720000000001</v>
      </c>
      <c r="Z1408">
        <v>7.3743580000000003E-2</v>
      </c>
      <c r="AA1408">
        <v>0.9381275</v>
      </c>
      <c r="AB1408">
        <v>22</v>
      </c>
      <c r="AC1408">
        <v>-6.6326000000000196</v>
      </c>
      <c r="AD1408">
        <v>-1.109472965982</v>
      </c>
      <c r="AE1408">
        <v>-13.4413999999999</v>
      </c>
      <c r="AF1408">
        <v>5.1304567124949498</v>
      </c>
      <c r="AG1408">
        <v>-1.109472965982</v>
      </c>
      <c r="AH1408">
        <v>13.996401543864501</v>
      </c>
      <c r="AI1408">
        <v>94.256444707625107</v>
      </c>
      <c r="AJ1408">
        <v>69.869315834891594</v>
      </c>
      <c r="AK1408">
        <v>14.9483033324228</v>
      </c>
      <c r="AL1408">
        <v>78.902426967868195</v>
      </c>
      <c r="AM1408">
        <v>74.552358566427102</v>
      </c>
      <c r="AN1408">
        <v>0.99999999901675996</v>
      </c>
    </row>
    <row r="1409" spans="1:40" x14ac:dyDescent="0.25">
      <c r="A1409" t="str">
        <f>"20190312172355513"</f>
        <v>20190312172355513</v>
      </c>
      <c r="B1409" t="str">
        <f>"1552382635510953"</f>
        <v>1552382635510953</v>
      </c>
      <c r="C1409" t="s">
        <v>40</v>
      </c>
      <c r="D1409">
        <v>3.9935670000000001</v>
      </c>
      <c r="E1409">
        <v>0.52730619999999995</v>
      </c>
      <c r="F1409" t="s">
        <v>43</v>
      </c>
      <c r="G1409">
        <v>-193.72149999999999</v>
      </c>
      <c r="H1409" s="1">
        <v>-2.8338459999999999E-6</v>
      </c>
      <c r="I1409">
        <v>303.88670000000002</v>
      </c>
      <c r="J1409">
        <v>-188.68190000000001</v>
      </c>
      <c r="K1409">
        <v>1.1094710000000001</v>
      </c>
      <c r="L1409">
        <v>314.11540000000002</v>
      </c>
      <c r="M1409">
        <v>-0.1089994</v>
      </c>
      <c r="N1409">
        <v>0</v>
      </c>
      <c r="O1409">
        <v>-0.99394729999999998</v>
      </c>
      <c r="P1409">
        <v>-0.36295270000000002</v>
      </c>
      <c r="Q1409">
        <v>0.18048649999999999</v>
      </c>
      <c r="R1409">
        <v>-0.91416070000000005</v>
      </c>
      <c r="S1409">
        <v>-1.3585210000000001</v>
      </c>
      <c r="T1409">
        <v>-0.29754979999999998</v>
      </c>
      <c r="U1409">
        <v>-2.8016049999999999</v>
      </c>
      <c r="V1409">
        <v>0.2617778</v>
      </c>
      <c r="W1409">
        <v>0.19260579999999999</v>
      </c>
      <c r="X1409">
        <v>0.94571419999999995</v>
      </c>
      <c r="Y1409">
        <v>0.33360230000000002</v>
      </c>
      <c r="Z1409">
        <v>9.6351999999999993E-2</v>
      </c>
      <c r="AA1409">
        <v>0.93777699999999997</v>
      </c>
      <c r="AB1409">
        <v>22</v>
      </c>
      <c r="AC1409">
        <v>-5.0395999999999699</v>
      </c>
      <c r="AD1409">
        <v>-1.109473833846</v>
      </c>
      <c r="AE1409">
        <v>-10.2287</v>
      </c>
      <c r="AF1409">
        <v>3.8580168187797899</v>
      </c>
      <c r="AG1409">
        <v>-1.109473833846</v>
      </c>
      <c r="AH1409">
        <v>10.616601960059601</v>
      </c>
      <c r="AI1409">
        <v>95.609569214589499</v>
      </c>
      <c r="AJ1409">
        <v>70.029123959027203</v>
      </c>
      <c r="AK1409">
        <v>11.3502186384368</v>
      </c>
      <c r="AL1409">
        <v>78.895104853267497</v>
      </c>
      <c r="AM1409">
        <v>74.527680319682204</v>
      </c>
      <c r="AN1409">
        <v>0.99999997942405905</v>
      </c>
    </row>
    <row r="1410" spans="1:40" x14ac:dyDescent="0.25">
      <c r="A1410" t="str">
        <f>"20190312172355535"</f>
        <v>20190312172355535</v>
      </c>
      <c r="B1410" t="str">
        <f>"1552382635531449"</f>
        <v>1552382635531449</v>
      </c>
      <c r="C1410" t="s">
        <v>40</v>
      </c>
      <c r="D1410">
        <v>4.0465960000000001</v>
      </c>
      <c r="E1410">
        <v>0.52686980000000005</v>
      </c>
      <c r="F1410" t="s">
        <v>43</v>
      </c>
      <c r="G1410">
        <v>-194.8186</v>
      </c>
      <c r="H1410" s="1">
        <v>-2.1179219999999998E-6</v>
      </c>
      <c r="I1410">
        <v>301.53739999999999</v>
      </c>
      <c r="J1410">
        <v>-188.70750000000001</v>
      </c>
      <c r="K1410">
        <v>1.109478</v>
      </c>
      <c r="L1410">
        <v>313.9049</v>
      </c>
      <c r="M1410">
        <v>-0.1110975</v>
      </c>
      <c r="N1410">
        <v>0</v>
      </c>
      <c r="O1410">
        <v>-0.99371489999999996</v>
      </c>
      <c r="P1410">
        <v>-0.36493969999999998</v>
      </c>
      <c r="Q1410">
        <v>0.18090239999999999</v>
      </c>
      <c r="R1410">
        <v>-0.91328699999999996</v>
      </c>
      <c r="S1410">
        <v>-1.3611599999999999</v>
      </c>
      <c r="T1410">
        <v>-0.24609039999999999</v>
      </c>
      <c r="U1410">
        <v>-2.7898860000000001</v>
      </c>
      <c r="V1410">
        <v>0.26184679999999999</v>
      </c>
      <c r="W1410">
        <v>0.19301989999999999</v>
      </c>
      <c r="X1410">
        <v>0.94561070000000003</v>
      </c>
      <c r="Y1410">
        <v>0.33450800000000003</v>
      </c>
      <c r="Z1410">
        <v>8.0055119999999994E-2</v>
      </c>
      <c r="AA1410">
        <v>0.93898649999999995</v>
      </c>
      <c r="AB1410">
        <v>22</v>
      </c>
      <c r="AC1410">
        <v>-6.1110999999999898</v>
      </c>
      <c r="AD1410">
        <v>-1.109480117922</v>
      </c>
      <c r="AE1410">
        <v>-12.3675</v>
      </c>
      <c r="AF1410">
        <v>4.6689339614966796</v>
      </c>
      <c r="AG1410">
        <v>-1.109480117922</v>
      </c>
      <c r="AH1410">
        <v>12.8865606491831</v>
      </c>
      <c r="AI1410">
        <v>94.627818983679603</v>
      </c>
      <c r="AJ1410">
        <v>70.084025357353994</v>
      </c>
      <c r="AK1410">
        <v>13.7511212573359</v>
      </c>
      <c r="AL1410">
        <v>78.870925317181602</v>
      </c>
      <c r="AM1410">
        <v>74.522184848560698</v>
      </c>
      <c r="AN1410">
        <v>1.0000000122103601</v>
      </c>
    </row>
    <row r="1411" spans="1:40" x14ac:dyDescent="0.25">
      <c r="A1411" t="str">
        <f>"20190312172355558"</f>
        <v>20190312172355558</v>
      </c>
      <c r="B1411" t="str">
        <f>"1552382635550968"</f>
        <v>1552382635550968</v>
      </c>
      <c r="C1411" t="s">
        <v>40</v>
      </c>
      <c r="D1411">
        <v>4.0511460000000001</v>
      </c>
      <c r="E1411">
        <v>0.52724539999999998</v>
      </c>
      <c r="F1411" t="s">
        <v>43</v>
      </c>
      <c r="G1411">
        <v>-193.7166</v>
      </c>
      <c r="H1411" s="1">
        <v>-2.74095E-6</v>
      </c>
      <c r="I1411">
        <v>303.67320000000001</v>
      </c>
      <c r="J1411">
        <v>-188.7363</v>
      </c>
      <c r="K1411">
        <v>1.1094850000000001</v>
      </c>
      <c r="L1411">
        <v>313.6721</v>
      </c>
      <c r="M1411">
        <v>-0.1134189</v>
      </c>
      <c r="N1411">
        <v>0</v>
      </c>
      <c r="O1411">
        <v>-0.99345269999999997</v>
      </c>
      <c r="P1411">
        <v>-0.3673363</v>
      </c>
      <c r="Q1411">
        <v>0.1808496</v>
      </c>
      <c r="R1411">
        <v>-0.91233640000000005</v>
      </c>
      <c r="S1411">
        <v>-1.369629</v>
      </c>
      <c r="T1411">
        <v>-0.3033632</v>
      </c>
      <c r="U1411">
        <v>-2.7976380000000001</v>
      </c>
      <c r="V1411">
        <v>0.26211770000000001</v>
      </c>
      <c r="W1411">
        <v>0.1929651</v>
      </c>
      <c r="X1411">
        <v>0.94554680000000002</v>
      </c>
      <c r="Y1411">
        <v>0.33286320000000003</v>
      </c>
      <c r="Z1411">
        <v>9.8198240000000006E-2</v>
      </c>
      <c r="AA1411">
        <v>0.93784820000000002</v>
      </c>
      <c r="AB1411">
        <v>22</v>
      </c>
      <c r="AC1411">
        <v>-4.9802999999999997</v>
      </c>
      <c r="AD1411">
        <v>-1.1094877409499999</v>
      </c>
      <c r="AE1411">
        <v>-9.9988999999999901</v>
      </c>
      <c r="AF1411">
        <v>3.7767292845241198</v>
      </c>
      <c r="AG1411">
        <v>-1.1094877409499999</v>
      </c>
      <c r="AH1411">
        <v>10.396717557617601</v>
      </c>
      <c r="AI1411">
        <v>95.727741778252593</v>
      </c>
      <c r="AJ1411">
        <v>70.035855398827806</v>
      </c>
      <c r="AK1411">
        <v>11.1169412658687</v>
      </c>
      <c r="AL1411">
        <v>78.874124974867101</v>
      </c>
      <c r="AM1411">
        <v>74.505944040729801</v>
      </c>
      <c r="AN1411">
        <v>0.99999998473076901</v>
      </c>
    </row>
    <row r="1412" spans="1:40" x14ac:dyDescent="0.25">
      <c r="A1412" t="str">
        <f>"20190312172355581"</f>
        <v>20190312172355581</v>
      </c>
      <c r="B1412" t="str">
        <f>"1552382635571465"</f>
        <v>1552382635571465</v>
      </c>
      <c r="C1412" t="s">
        <v>40</v>
      </c>
      <c r="D1412">
        <v>4.02881</v>
      </c>
      <c r="E1412">
        <v>0.52707519999999997</v>
      </c>
      <c r="F1412" t="s">
        <v>43</v>
      </c>
      <c r="G1412">
        <v>-194.8433</v>
      </c>
      <c r="H1412" s="1">
        <v>-2.0239990000000002E-6</v>
      </c>
      <c r="I1412">
        <v>301.3032</v>
      </c>
      <c r="J1412">
        <v>-188.76410000000001</v>
      </c>
      <c r="K1412">
        <v>1.10949599999999</v>
      </c>
      <c r="L1412">
        <v>313.45119999999997</v>
      </c>
      <c r="M1412">
        <v>-0.1156228</v>
      </c>
      <c r="N1412">
        <v>0</v>
      </c>
      <c r="O1412">
        <v>-0.99319900000000005</v>
      </c>
      <c r="P1412">
        <v>-0.36985600000000002</v>
      </c>
      <c r="Q1412">
        <v>0.18093219999999999</v>
      </c>
      <c r="R1412">
        <v>-0.91130180000000005</v>
      </c>
      <c r="S1412">
        <v>-1.3747100000000001</v>
      </c>
      <c r="T1412">
        <v>-0.24974979999999999</v>
      </c>
      <c r="U1412">
        <v>-2.7843019999999998</v>
      </c>
      <c r="V1412">
        <v>0.26263439999999999</v>
      </c>
      <c r="W1412">
        <v>0.1930442</v>
      </c>
      <c r="X1412">
        <v>0.94538730000000004</v>
      </c>
      <c r="Y1412">
        <v>0.33459809999999901</v>
      </c>
      <c r="Z1412">
        <v>8.1234979999999998E-2</v>
      </c>
      <c r="AA1412">
        <v>0.93885300000000005</v>
      </c>
      <c r="AB1412">
        <v>22</v>
      </c>
      <c r="AC1412">
        <v>-6.0791999999999797</v>
      </c>
      <c r="AD1412">
        <v>-1.10949802399899</v>
      </c>
      <c r="AE1412">
        <v>-12.1479999999999</v>
      </c>
      <c r="AF1412">
        <v>4.6029969697695501</v>
      </c>
      <c r="AG1412">
        <v>-1.10949802399899</v>
      </c>
      <c r="AH1412">
        <v>12.6848508807097</v>
      </c>
      <c r="AI1412">
        <v>94.700312446130894</v>
      </c>
      <c r="AJ1412">
        <v>70.055504185970705</v>
      </c>
      <c r="AK1412">
        <v>13.5397196734204</v>
      </c>
      <c r="AL1412">
        <v>78.869506420086594</v>
      </c>
      <c r="AM1412">
        <v>74.474380194931399</v>
      </c>
      <c r="AN1412">
        <v>1.00000001910914</v>
      </c>
    </row>
    <row r="1413" spans="1:40" x14ac:dyDescent="0.25">
      <c r="A1413" t="str">
        <f>"20190312172355603"</f>
        <v>20190312172355603</v>
      </c>
      <c r="B1413" t="str">
        <f>"1552382635590984"</f>
        <v>1552382635590984</v>
      </c>
      <c r="C1413" t="s">
        <v>40</v>
      </c>
      <c r="D1413">
        <v>3.9856150000000001</v>
      </c>
      <c r="E1413">
        <v>0.52694799999999997</v>
      </c>
      <c r="F1413" t="s">
        <v>43</v>
      </c>
      <c r="G1413">
        <v>-194.90129999999999</v>
      </c>
      <c r="H1413" s="1">
        <v>-1.9496299999999999E-6</v>
      </c>
      <c r="I1413">
        <v>301.09390000000002</v>
      </c>
      <c r="J1413">
        <v>-188.7921</v>
      </c>
      <c r="K1413">
        <v>1.109502</v>
      </c>
      <c r="L1413">
        <v>313.23320000000001</v>
      </c>
      <c r="M1413">
        <v>-0.1177974</v>
      </c>
      <c r="N1413">
        <v>0</v>
      </c>
      <c r="O1413">
        <v>-0.99294320000000003</v>
      </c>
      <c r="P1413">
        <v>-0.37232530000000003</v>
      </c>
      <c r="Q1413">
        <v>0.18115300000000001</v>
      </c>
      <c r="R1413">
        <v>-0.91025140000000004</v>
      </c>
      <c r="S1413">
        <v>-1.381195</v>
      </c>
      <c r="T1413">
        <v>-0.24969740000000001</v>
      </c>
      <c r="U1413">
        <v>-2.7810670000000002</v>
      </c>
      <c r="V1413">
        <v>0.2631328</v>
      </c>
      <c r="W1413">
        <v>0.19326080000000001</v>
      </c>
      <c r="X1413">
        <v>0.94520439999999994</v>
      </c>
      <c r="Y1413">
        <v>0.33472669999999999</v>
      </c>
      <c r="Z1413">
        <v>8.1228960000000003E-2</v>
      </c>
      <c r="AA1413">
        <v>0.93880770000000002</v>
      </c>
      <c r="AB1413">
        <v>22</v>
      </c>
      <c r="AC1413">
        <v>-6.10919999999998</v>
      </c>
      <c r="AD1413">
        <v>-1.1095039496300001</v>
      </c>
      <c r="AE1413">
        <v>-12.139299999999899</v>
      </c>
      <c r="AF1413">
        <v>4.6058456820055298</v>
      </c>
      <c r="AG1413">
        <v>-1.1095039496300001</v>
      </c>
      <c r="AH1413">
        <v>12.6898981479896</v>
      </c>
      <c r="AI1413">
        <v>94.6983560700358</v>
      </c>
      <c r="AJ1413">
        <v>70.0514459820469</v>
      </c>
      <c r="AK1413">
        <v>13.5454172496474</v>
      </c>
      <c r="AL1413">
        <v>78.856857555293203</v>
      </c>
      <c r="AM1413">
        <v>74.443478376718801</v>
      </c>
      <c r="AN1413">
        <v>0.99999998251591904</v>
      </c>
    </row>
    <row r="1414" spans="1:40" x14ac:dyDescent="0.25">
      <c r="A1414" t="str">
        <f>"20190312172355625"</f>
        <v>20190312172355625</v>
      </c>
      <c r="B1414" t="str">
        <f>"1552382635621241"</f>
        <v>1552382635621241</v>
      </c>
      <c r="C1414" t="s">
        <v>40</v>
      </c>
      <c r="D1414">
        <v>4.0431169999999996</v>
      </c>
      <c r="E1414">
        <v>0.5268642</v>
      </c>
      <c r="F1414" t="s">
        <v>43</v>
      </c>
      <c r="G1414">
        <v>-194.9641</v>
      </c>
      <c r="H1414" s="1">
        <v>-1.87545E-6</v>
      </c>
      <c r="I1414">
        <v>300.88200000000001</v>
      </c>
      <c r="J1414">
        <v>-188.82050000000001</v>
      </c>
      <c r="K1414">
        <v>1.109507</v>
      </c>
      <c r="L1414">
        <v>313.0154</v>
      </c>
      <c r="M1414">
        <v>-0.1199708</v>
      </c>
      <c r="N1414">
        <v>0</v>
      </c>
      <c r="O1414">
        <v>-0.99268310000000004</v>
      </c>
      <c r="P1414">
        <v>-0.37526969999999998</v>
      </c>
      <c r="Q1414">
        <v>0.18091699999999999</v>
      </c>
      <c r="R1414">
        <v>-0.90908889999999998</v>
      </c>
      <c r="S1414">
        <v>-1.388031</v>
      </c>
      <c r="T1414">
        <v>-0.24951719999999999</v>
      </c>
      <c r="U1414">
        <v>-2.777679</v>
      </c>
      <c r="V1414">
        <v>0.2641173</v>
      </c>
      <c r="W1414">
        <v>0.19301850000000001</v>
      </c>
      <c r="X1414">
        <v>0.94497929999999997</v>
      </c>
      <c r="Y1414">
        <v>0.33497320000000003</v>
      </c>
      <c r="Z1414">
        <v>8.1180849999999999E-2</v>
      </c>
      <c r="AA1414">
        <v>0.93872390000000006</v>
      </c>
      <c r="AB1414">
        <v>22</v>
      </c>
      <c r="AC1414">
        <v>-6.1435999999999904</v>
      </c>
      <c r="AD1414">
        <v>-1.10950887545</v>
      </c>
      <c r="AE1414">
        <v>-12.1333999999999</v>
      </c>
      <c r="AF1414">
        <v>4.6127292945237803</v>
      </c>
      <c r="AG1414">
        <v>-1.10950887545</v>
      </c>
      <c r="AH1414">
        <v>12.6983576687155</v>
      </c>
      <c r="AI1414">
        <v>94.694810546004305</v>
      </c>
      <c r="AJ1414">
        <v>70.036244787936198</v>
      </c>
      <c r="AK1414">
        <v>13.555684009738799</v>
      </c>
      <c r="AL1414">
        <v>78.871006744617404</v>
      </c>
      <c r="AM1414">
        <v>74.384570426131802</v>
      </c>
      <c r="AN1414">
        <v>0.99999998346501395</v>
      </c>
    </row>
    <row r="1415" spans="1:40" x14ac:dyDescent="0.25">
      <c r="A1415" t="str">
        <f>"20190312172355648"</f>
        <v>20190312172355648</v>
      </c>
      <c r="B1415" t="str">
        <f>"1552382635641737"</f>
        <v>1552382635641737</v>
      </c>
      <c r="C1415" t="s">
        <v>40</v>
      </c>
      <c r="D1415">
        <v>4.0398230000000002</v>
      </c>
      <c r="E1415">
        <v>0.52675329999999998</v>
      </c>
      <c r="F1415" t="s">
        <v>43</v>
      </c>
      <c r="G1415">
        <v>-194.95099999999999</v>
      </c>
      <c r="H1415" s="1">
        <v>-1.856486E-6</v>
      </c>
      <c r="I1415">
        <v>300.84589999999997</v>
      </c>
      <c r="J1415">
        <v>-188.85069999999999</v>
      </c>
      <c r="K1415">
        <v>1.109515</v>
      </c>
      <c r="L1415">
        <v>312.78800000000001</v>
      </c>
      <c r="M1415">
        <v>-0.1222393</v>
      </c>
      <c r="N1415">
        <v>0</v>
      </c>
      <c r="O1415">
        <v>-0.99240629999999996</v>
      </c>
      <c r="P1415">
        <v>-0.3780963</v>
      </c>
      <c r="Q1415">
        <v>0.18024470000000001</v>
      </c>
      <c r="R1415">
        <v>-0.90805049999999998</v>
      </c>
      <c r="S1415">
        <v>-1.3972020000000001</v>
      </c>
      <c r="T1415">
        <v>-0.25287009999999999</v>
      </c>
      <c r="U1415">
        <v>-2.7735599999999998</v>
      </c>
      <c r="V1415">
        <v>0.26487949999999999</v>
      </c>
      <c r="W1415">
        <v>0.1923424</v>
      </c>
      <c r="X1415">
        <v>0.94490390000000002</v>
      </c>
      <c r="Y1415">
        <v>0.33581689999999997</v>
      </c>
      <c r="Z1415">
        <v>8.2267409999999999E-2</v>
      </c>
      <c r="AA1415">
        <v>0.93832780000000005</v>
      </c>
      <c r="AB1415">
        <v>22</v>
      </c>
      <c r="AC1415">
        <v>-6.1002999999999998</v>
      </c>
      <c r="AD1415">
        <v>-1.1095168564860001</v>
      </c>
      <c r="AE1415">
        <v>-11.9421</v>
      </c>
      <c r="AF1415">
        <v>4.5633734307103504</v>
      </c>
      <c r="AG1415">
        <v>-1.1095168564860001</v>
      </c>
      <c r="AH1415">
        <v>12.512634923036201</v>
      </c>
      <c r="AI1415">
        <v>94.762005135458693</v>
      </c>
      <c r="AJ1415">
        <v>69.963024759940396</v>
      </c>
      <c r="AK1415">
        <v>13.364933125164701</v>
      </c>
      <c r="AL1415">
        <v>78.910485075843695</v>
      </c>
      <c r="AM1415">
        <v>74.340526186551102</v>
      </c>
      <c r="AN1415">
        <v>1.0000000642966</v>
      </c>
    </row>
    <row r="1416" spans="1:40" x14ac:dyDescent="0.25">
      <c r="A1416" t="str">
        <f>"20190312172355671"</f>
        <v>20190312172355671</v>
      </c>
      <c r="B1416" t="str">
        <f>"1552382635661257"</f>
        <v>1552382635661257</v>
      </c>
      <c r="C1416" t="s">
        <v>40</v>
      </c>
      <c r="D1416">
        <v>4.0509069999999996</v>
      </c>
      <c r="E1416">
        <v>0.52664429999999995</v>
      </c>
      <c r="F1416" t="s">
        <v>43</v>
      </c>
      <c r="G1416">
        <v>-194.96209999999999</v>
      </c>
      <c r="H1416" s="1">
        <v>-1.8163399999999999E-6</v>
      </c>
      <c r="I1416">
        <v>300.74540000000002</v>
      </c>
      <c r="J1416">
        <v>-188.88120000000001</v>
      </c>
      <c r="K1416">
        <v>1.109515</v>
      </c>
      <c r="L1416">
        <v>312.5625</v>
      </c>
      <c r="M1416">
        <v>-0.12449010000000001</v>
      </c>
      <c r="N1416">
        <v>0</v>
      </c>
      <c r="O1416">
        <v>-0.99212630000000002</v>
      </c>
      <c r="P1416">
        <v>-0.38093280000000002</v>
      </c>
      <c r="Q1416">
        <v>0.18066399999999999</v>
      </c>
      <c r="R1416">
        <v>-0.90678060000000005</v>
      </c>
      <c r="S1416">
        <v>-1.4053340000000001</v>
      </c>
      <c r="T1416">
        <v>-0.25513580000000002</v>
      </c>
      <c r="U1416">
        <v>-2.7692260000000002</v>
      </c>
      <c r="V1416">
        <v>0.26570179999999999</v>
      </c>
      <c r="W1416">
        <v>0.19275510000000001</v>
      </c>
      <c r="X1416">
        <v>0.94458880000000001</v>
      </c>
      <c r="Y1416">
        <v>0.33643679999999998</v>
      </c>
      <c r="Z1416">
        <v>8.3017489999999999E-2</v>
      </c>
      <c r="AA1416">
        <v>0.93803970000000003</v>
      </c>
      <c r="AB1416">
        <v>22</v>
      </c>
      <c r="AC1416">
        <v>-6.0808999999999802</v>
      </c>
      <c r="AD1416">
        <v>-1.10951681634</v>
      </c>
      <c r="AE1416">
        <v>-11.8170999999999</v>
      </c>
      <c r="AF1416">
        <v>4.5307580548166202</v>
      </c>
      <c r="AG1416">
        <v>-1.10951681634</v>
      </c>
      <c r="AH1416">
        <v>12.3958411056923</v>
      </c>
      <c r="AI1416">
        <v>94.805422750868999</v>
      </c>
      <c r="AJ1416">
        <v>69.922323385138498</v>
      </c>
      <c r="AK1416">
        <v>13.244458193319799</v>
      </c>
      <c r="AL1416">
        <v>78.886387336236893</v>
      </c>
      <c r="AM1416">
        <v>74.289327370877899</v>
      </c>
      <c r="AN1416">
        <v>0.99999998809234403</v>
      </c>
    </row>
    <row r="1417" spans="1:40" x14ac:dyDescent="0.25">
      <c r="A1417" t="str">
        <f>"20190312172355693"</f>
        <v>20190312172355693</v>
      </c>
      <c r="B1417" t="str">
        <f>"1552382635681753"</f>
        <v>1552382635681753</v>
      </c>
      <c r="C1417" t="s">
        <v>40</v>
      </c>
      <c r="D1417">
        <v>3.9760710000000001</v>
      </c>
      <c r="E1417">
        <v>0.52663729999999997</v>
      </c>
      <c r="F1417" t="s">
        <v>43</v>
      </c>
      <c r="G1417">
        <v>-195.04939999999999</v>
      </c>
      <c r="H1417" s="1">
        <v>-1.7352309999999999E-6</v>
      </c>
      <c r="I1417">
        <v>300.50220000000002</v>
      </c>
      <c r="J1417">
        <v>-188.9111</v>
      </c>
      <c r="K1417">
        <v>1.109521</v>
      </c>
      <c r="L1417">
        <v>312.34480000000002</v>
      </c>
      <c r="M1417">
        <v>-0.1266632</v>
      </c>
      <c r="N1417">
        <v>0</v>
      </c>
      <c r="O1417">
        <v>-0.99185129999999999</v>
      </c>
      <c r="P1417">
        <v>-0.38365159999999998</v>
      </c>
      <c r="Q1417">
        <v>0.18084729999999999</v>
      </c>
      <c r="R1417">
        <v>-0.90559690000000004</v>
      </c>
      <c r="S1417">
        <v>-1.414169</v>
      </c>
      <c r="T1417">
        <v>-0.25437650000000001</v>
      </c>
      <c r="U1417">
        <v>-2.7650450000000002</v>
      </c>
      <c r="V1417">
        <v>0.26647189999999998</v>
      </c>
      <c r="W1417">
        <v>0.1929324</v>
      </c>
      <c r="X1417">
        <v>0.94433560000000005</v>
      </c>
      <c r="Y1417">
        <v>0.337335</v>
      </c>
      <c r="Z1417">
        <v>8.2778019999999994E-2</v>
      </c>
      <c r="AA1417">
        <v>0.93773819999999997</v>
      </c>
      <c r="AB1417">
        <v>22</v>
      </c>
      <c r="AC1417">
        <v>-6.1382999999999797</v>
      </c>
      <c r="AD1417">
        <v>-1.109522735231</v>
      </c>
      <c r="AE1417">
        <v>-11.842599999999999</v>
      </c>
      <c r="AF1417">
        <v>4.5571590268308997</v>
      </c>
      <c r="AG1417">
        <v>-1.109522735231</v>
      </c>
      <c r="AH1417">
        <v>12.438707339294</v>
      </c>
      <c r="AI1417">
        <v>94.787637702300501</v>
      </c>
      <c r="AJ1417">
        <v>69.878722678278507</v>
      </c>
      <c r="AK1417">
        <v>13.293614232722</v>
      </c>
      <c r="AL1417">
        <v>78.876034092147606</v>
      </c>
      <c r="AM1417">
        <v>74.2420354798315</v>
      </c>
      <c r="AN1417">
        <v>0.99999995494336402</v>
      </c>
    </row>
    <row r="1418" spans="1:40" x14ac:dyDescent="0.25">
      <c r="A1418" t="str">
        <f>"20190312172355714"</f>
        <v>20190312172355714</v>
      </c>
      <c r="B1418" t="str">
        <f>"1552382635711033"</f>
        <v>1552382635711033</v>
      </c>
      <c r="C1418" t="s">
        <v>40</v>
      </c>
      <c r="D1418">
        <v>4.0470280000000001</v>
      </c>
      <c r="E1418">
        <v>0.52568789999999999</v>
      </c>
      <c r="F1418" t="s">
        <v>43</v>
      </c>
      <c r="G1418">
        <v>-195.11940000000001</v>
      </c>
      <c r="H1418" s="1">
        <v>-1.6666399999999999E-6</v>
      </c>
      <c r="I1418">
        <v>300.2989</v>
      </c>
      <c r="J1418">
        <v>-188.94030000000001</v>
      </c>
      <c r="K1418">
        <v>1.109521</v>
      </c>
      <c r="L1418">
        <v>312.1361</v>
      </c>
      <c r="M1418">
        <v>-0.12874730000000001</v>
      </c>
      <c r="N1418">
        <v>0</v>
      </c>
      <c r="O1418">
        <v>-0.9915832</v>
      </c>
      <c r="P1418">
        <v>-0.3864397</v>
      </c>
      <c r="Q1418">
        <v>0.1811681</v>
      </c>
      <c r="R1418">
        <v>-0.90434680000000001</v>
      </c>
      <c r="S1418">
        <v>-1.4228670000000001</v>
      </c>
      <c r="T1418">
        <v>-0.25428830000000002</v>
      </c>
      <c r="U1418">
        <v>-2.7607729999999999</v>
      </c>
      <c r="V1418">
        <v>0.26740659999999999</v>
      </c>
      <c r="W1418">
        <v>0.1932458</v>
      </c>
      <c r="X1418">
        <v>0.94400729999999999</v>
      </c>
      <c r="Y1418">
        <v>0.33828360000000002</v>
      </c>
      <c r="Z1418">
        <v>8.2758219999999993E-2</v>
      </c>
      <c r="AA1418">
        <v>0.93739810000000001</v>
      </c>
      <c r="AB1418">
        <v>22</v>
      </c>
      <c r="AC1418">
        <v>-6.1791</v>
      </c>
      <c r="AD1418">
        <v>-1.10952266664</v>
      </c>
      <c r="AE1418">
        <v>-11.8371999999999</v>
      </c>
      <c r="AF1418">
        <v>4.5719483087409296</v>
      </c>
      <c r="AG1418">
        <v>-1.10952266664</v>
      </c>
      <c r="AH1418">
        <v>12.4483353871444</v>
      </c>
      <c r="AI1418">
        <v>94.782559033411005</v>
      </c>
      <c r="AJ1418">
        <v>69.833035449003702</v>
      </c>
      <c r="AK1418">
        <v>13.307697238681699</v>
      </c>
      <c r="AL1418">
        <v>78.857733766209194</v>
      </c>
      <c r="AM1418">
        <v>74.184297099026395</v>
      </c>
      <c r="AN1418">
        <v>1.00000000569724</v>
      </c>
    </row>
    <row r="1419" spans="1:40" x14ac:dyDescent="0.25">
      <c r="A1419" t="str">
        <f>"20190312172355737"</f>
        <v>20190312172355737</v>
      </c>
      <c r="B1419" t="str">
        <f>"1552382635731529"</f>
        <v>1552382635731529</v>
      </c>
      <c r="C1419" t="s">
        <v>40</v>
      </c>
      <c r="D1419">
        <v>3.989233</v>
      </c>
      <c r="E1419">
        <v>0.52465309999999998</v>
      </c>
      <c r="F1419" t="s">
        <v>43</v>
      </c>
      <c r="G1419">
        <v>-195.1387</v>
      </c>
      <c r="H1419" s="1">
        <v>-1.5976110000000001E-6</v>
      </c>
      <c r="I1419">
        <v>300.12610000000001</v>
      </c>
      <c r="J1419">
        <v>-188.971</v>
      </c>
      <c r="K1419">
        <v>1.1095330000000001</v>
      </c>
      <c r="L1419">
        <v>311.91910000000001</v>
      </c>
      <c r="M1419">
        <v>-0.1309138</v>
      </c>
      <c r="N1419">
        <v>0</v>
      </c>
      <c r="O1419">
        <v>-0.99129920000000005</v>
      </c>
      <c r="P1419">
        <v>-0.38888889999999998</v>
      </c>
      <c r="Q1419">
        <v>0.1815843</v>
      </c>
      <c r="R1419">
        <v>-0.90321260000000003</v>
      </c>
      <c r="S1419">
        <v>-1.4243159999999999</v>
      </c>
      <c r="T1419">
        <v>-0.25495509999999999</v>
      </c>
      <c r="U1419">
        <v>-2.7597659999999999</v>
      </c>
      <c r="V1419">
        <v>0.26791389999999998</v>
      </c>
      <c r="W1419">
        <v>0.1936571</v>
      </c>
      <c r="X1419">
        <v>0.94377920000000004</v>
      </c>
      <c r="Y1419">
        <v>0.33674749999999998</v>
      </c>
      <c r="Z1419">
        <v>8.2978709999999997E-2</v>
      </c>
      <c r="AA1419">
        <v>0.93793159999999998</v>
      </c>
      <c r="AB1419">
        <v>22</v>
      </c>
      <c r="AC1419">
        <v>-6.1677000000000204</v>
      </c>
      <c r="AD1419">
        <v>-1.109534597611</v>
      </c>
      <c r="AE1419">
        <v>-11.792999999999999</v>
      </c>
      <c r="AF1419">
        <v>4.5390487437894604</v>
      </c>
      <c r="AG1419">
        <v>-1.109534597611</v>
      </c>
      <c r="AH1419">
        <v>12.4127236755299</v>
      </c>
      <c r="AI1419">
        <v>94.798730898776697</v>
      </c>
      <c r="AJ1419">
        <v>69.913691407764503</v>
      </c>
      <c r="AK1419">
        <v>13.2630969070897</v>
      </c>
      <c r="AL1419">
        <v>78.833714829720904</v>
      </c>
      <c r="AM1419">
        <v>74.152161015951606</v>
      </c>
      <c r="AN1419">
        <v>1.00000005427312</v>
      </c>
    </row>
    <row r="1420" spans="1:40" x14ac:dyDescent="0.25">
      <c r="A1420" t="str">
        <f>"20190312172355759"</f>
        <v>20190312172355759</v>
      </c>
      <c r="B1420" t="str">
        <f>"1552382635751050"</f>
        <v>1552382635751050</v>
      </c>
      <c r="C1420" t="s">
        <v>40</v>
      </c>
      <c r="D1420">
        <v>4.0536770000000004</v>
      </c>
      <c r="E1420">
        <v>0.52552659999999995</v>
      </c>
      <c r="F1420" t="s">
        <v>43</v>
      </c>
      <c r="G1420">
        <v>-194.06399999999999</v>
      </c>
      <c r="H1420" s="1">
        <v>-2.1416E-6</v>
      </c>
      <c r="I1420">
        <v>302.06060000000002</v>
      </c>
      <c r="J1420">
        <v>-189.00229999999999</v>
      </c>
      <c r="K1420">
        <v>1.109542</v>
      </c>
      <c r="L1420">
        <v>311.70170000000002</v>
      </c>
      <c r="M1420">
        <v>-0.13308519999999999</v>
      </c>
      <c r="N1420">
        <v>0</v>
      </c>
      <c r="O1420">
        <v>-0.99101030000000001</v>
      </c>
      <c r="P1420">
        <v>-0.39153209999999999</v>
      </c>
      <c r="Q1420">
        <v>0.1824827</v>
      </c>
      <c r="R1420">
        <v>-0.90188849999999998</v>
      </c>
      <c r="S1420">
        <v>-1.4301759999999999</v>
      </c>
      <c r="T1420">
        <v>-0.31156889999999998</v>
      </c>
      <c r="U1420">
        <v>-2.7683719999999998</v>
      </c>
      <c r="V1420">
        <v>0.26863690000000001</v>
      </c>
      <c r="W1420">
        <v>0.1945482</v>
      </c>
      <c r="X1420">
        <v>0.94339030000000001</v>
      </c>
      <c r="Y1420">
        <v>0.33430389999999999</v>
      </c>
      <c r="Z1420">
        <v>0.10089969999999999</v>
      </c>
      <c r="AA1420">
        <v>0.93704860000000001</v>
      </c>
      <c r="AB1420">
        <v>22</v>
      </c>
      <c r="AC1420">
        <v>-5.0617000000000303</v>
      </c>
      <c r="AD1420">
        <v>-1.1095441416</v>
      </c>
      <c r="AE1420">
        <v>-9.6410999999999891</v>
      </c>
      <c r="AF1420">
        <v>3.6950931712489998</v>
      </c>
      <c r="AG1420">
        <v>-1.1095441416</v>
      </c>
      <c r="AH1420">
        <v>10.123909719374099</v>
      </c>
      <c r="AI1420">
        <v>95.878077604496099</v>
      </c>
      <c r="AJ1420">
        <v>69.948586450012002</v>
      </c>
      <c r="AK1420">
        <v>10.8341289337171</v>
      </c>
      <c r="AL1420">
        <v>78.781668342917399</v>
      </c>
      <c r="AM1420">
        <v>74.105330987871397</v>
      </c>
      <c r="AN1420">
        <v>1.00000002214946</v>
      </c>
    </row>
    <row r="1421" spans="1:40" x14ac:dyDescent="0.25">
      <c r="A1421" t="str">
        <f>"20190312172355782"</f>
        <v>20190312172355782</v>
      </c>
      <c r="B1421" t="str">
        <f>"1552382635771548"</f>
        <v>1552382635771548</v>
      </c>
      <c r="C1421" t="s">
        <v>40</v>
      </c>
      <c r="D1421">
        <v>4.0314269999999999</v>
      </c>
      <c r="E1421">
        <v>0.52562769999999903</v>
      </c>
      <c r="F1421" t="s">
        <v>43</v>
      </c>
      <c r="G1421">
        <v>-195.13570000000001</v>
      </c>
      <c r="H1421" s="1">
        <v>-1.533116E-6</v>
      </c>
      <c r="I1421">
        <v>299.97750000000002</v>
      </c>
      <c r="J1421">
        <v>-189.03399999999999</v>
      </c>
      <c r="K1421">
        <v>1.109551</v>
      </c>
      <c r="L1421">
        <v>311.48480000000001</v>
      </c>
      <c r="M1421">
        <v>-0.13525110000000001</v>
      </c>
      <c r="N1421">
        <v>0</v>
      </c>
      <c r="O1421">
        <v>-0.99071699999999996</v>
      </c>
      <c r="P1421">
        <v>-0.3939396</v>
      </c>
      <c r="Q1421">
        <v>0.1831274</v>
      </c>
      <c r="R1421">
        <v>-0.90070890000000003</v>
      </c>
      <c r="S1421">
        <v>-1.440598</v>
      </c>
      <c r="T1421">
        <v>-0.26060489999999997</v>
      </c>
      <c r="U1421">
        <v>-2.7537229999999999</v>
      </c>
      <c r="V1421">
        <v>0.26911380000000001</v>
      </c>
      <c r="W1421">
        <v>0.195188</v>
      </c>
      <c r="X1421">
        <v>0.94312209999999996</v>
      </c>
      <c r="Y1421">
        <v>0.33776129999999999</v>
      </c>
      <c r="Z1421">
        <v>8.4767729999999999E-2</v>
      </c>
      <c r="AA1421">
        <v>0.93740699999999999</v>
      </c>
      <c r="AB1421">
        <v>22</v>
      </c>
      <c r="AC1421">
        <v>-6.1016999999999904</v>
      </c>
      <c r="AD1421">
        <v>-1.1095525331160001</v>
      </c>
      <c r="AE1421">
        <v>-11.507299999999899</v>
      </c>
      <c r="AF1421">
        <v>4.4567607839520296</v>
      </c>
      <c r="AG1421">
        <v>-1.1095525331160001</v>
      </c>
      <c r="AH1421">
        <v>12.1387936198253</v>
      </c>
      <c r="AI1421">
        <v>94.904254511909201</v>
      </c>
      <c r="AJ1421">
        <v>69.839278096631006</v>
      </c>
      <c r="AK1421">
        <v>12.9786029315111</v>
      </c>
      <c r="AL1421">
        <v>78.744293127217105</v>
      </c>
      <c r="AM1421">
        <v>74.074244929329595</v>
      </c>
      <c r="AN1421">
        <v>0.99999994410142301</v>
      </c>
    </row>
    <row r="1422" spans="1:40" x14ac:dyDescent="0.25">
      <c r="A1422" t="str">
        <f>"20190312172355803"</f>
        <v>20190312172355803</v>
      </c>
      <c r="B1422" t="str">
        <f>"1552382635791065"</f>
        <v>1552382635791065</v>
      </c>
      <c r="C1422" t="s">
        <v>40</v>
      </c>
      <c r="D1422">
        <v>4.0467599999999999</v>
      </c>
      <c r="E1422">
        <v>0.52566800000000002</v>
      </c>
      <c r="F1422" t="s">
        <v>43</v>
      </c>
      <c r="G1422">
        <v>-195.17599999999999</v>
      </c>
      <c r="H1422" s="1">
        <v>-1.479264E-6</v>
      </c>
      <c r="I1422">
        <v>299.827</v>
      </c>
      <c r="J1422">
        <v>-189.0658</v>
      </c>
      <c r="K1422">
        <v>1.1095549999999901</v>
      </c>
      <c r="L1422">
        <v>311.27080000000001</v>
      </c>
      <c r="M1422">
        <v>-0.13738919999999999</v>
      </c>
      <c r="N1422">
        <v>0</v>
      </c>
      <c r="O1422">
        <v>-0.99042269999999999</v>
      </c>
      <c r="P1422">
        <v>-0.39641670000000001</v>
      </c>
      <c r="Q1422">
        <v>0.1836546</v>
      </c>
      <c r="R1422">
        <v>-0.89951369999999897</v>
      </c>
      <c r="S1422">
        <v>-1.4489749999999999</v>
      </c>
      <c r="T1422">
        <v>-0.26175700000000002</v>
      </c>
      <c r="U1422">
        <v>-2.7502140000000002</v>
      </c>
      <c r="V1422">
        <v>0.26968969999999998</v>
      </c>
      <c r="W1422">
        <v>0.19570989999999999</v>
      </c>
      <c r="X1422">
        <v>0.94284950000000001</v>
      </c>
      <c r="Y1422">
        <v>0.3384452</v>
      </c>
      <c r="Z1422">
        <v>8.512952E-2</v>
      </c>
      <c r="AA1422">
        <v>0.93712740000000005</v>
      </c>
      <c r="AB1422">
        <v>22</v>
      </c>
      <c r="AC1422">
        <v>-6.1101999999999901</v>
      </c>
      <c r="AD1422">
        <v>-1.10955647926399</v>
      </c>
      <c r="AE1422">
        <v>-11.4438</v>
      </c>
      <c r="AF1422">
        <v>4.4473122612820797</v>
      </c>
      <c r="AG1422">
        <v>-1.10955647926399</v>
      </c>
      <c r="AH1422">
        <v>12.086399028632901</v>
      </c>
      <c r="AI1422">
        <v>94.924142437372893</v>
      </c>
      <c r="AJ1422">
        <v>69.7983996862353</v>
      </c>
      <c r="AK1422">
        <v>12.926358474425999</v>
      </c>
      <c r="AL1422">
        <v>78.713803500253505</v>
      </c>
      <c r="AM1422">
        <v>74.037518875192006</v>
      </c>
      <c r="AN1422">
        <v>1.00000003944717</v>
      </c>
    </row>
    <row r="1423" spans="1:40" x14ac:dyDescent="0.25">
      <c r="A1423" t="str">
        <f>"20190312172355826"</f>
        <v>20190312172355826</v>
      </c>
      <c r="B1423" t="str">
        <f>"1552382635821321"</f>
        <v>1552382635821321</v>
      </c>
      <c r="C1423" t="s">
        <v>40</v>
      </c>
      <c r="D1423">
        <v>4.0380479999999999</v>
      </c>
      <c r="E1423">
        <v>0.52568530000000002</v>
      </c>
      <c r="F1423" t="s">
        <v>43</v>
      </c>
      <c r="G1423">
        <v>-195.23990000000001</v>
      </c>
      <c r="H1423" s="1">
        <v>-1.4131989999999901E-6</v>
      </c>
      <c r="I1423">
        <v>299.63339999999999</v>
      </c>
      <c r="J1423">
        <v>-189.09829999999999</v>
      </c>
      <c r="K1423">
        <v>1.1095619999999999</v>
      </c>
      <c r="L1423">
        <v>311.05520000000001</v>
      </c>
      <c r="M1423">
        <v>-0.1395431</v>
      </c>
      <c r="N1423">
        <v>0</v>
      </c>
      <c r="O1423">
        <v>-0.99012160000000005</v>
      </c>
      <c r="P1423">
        <v>-0.39870729999999999</v>
      </c>
      <c r="Q1423">
        <v>0.1839471</v>
      </c>
      <c r="R1423">
        <v>-0.89844080000000004</v>
      </c>
      <c r="S1423">
        <v>-1.4571080000000001</v>
      </c>
      <c r="T1423">
        <v>-0.26185930000000002</v>
      </c>
      <c r="U1423">
        <v>-2.7464599999999999</v>
      </c>
      <c r="V1423">
        <v>0.27004980000000001</v>
      </c>
      <c r="W1423">
        <v>0.19599929999999999</v>
      </c>
      <c r="X1423">
        <v>0.94268629999999998</v>
      </c>
      <c r="Y1423">
        <v>0.33909450000000002</v>
      </c>
      <c r="Z1423">
        <v>8.5160029999999998E-2</v>
      </c>
      <c r="AA1423">
        <v>0.93688990000000005</v>
      </c>
      <c r="AB1423">
        <v>22</v>
      </c>
      <c r="AC1423">
        <v>-6.1416000000000102</v>
      </c>
      <c r="AD1423">
        <v>-1.109563413199</v>
      </c>
      <c r="AE1423">
        <v>-11.421799999999999</v>
      </c>
      <c r="AF1423">
        <v>4.4549049626815496</v>
      </c>
      <c r="AG1423">
        <v>-1.109563413199</v>
      </c>
      <c r="AH1423">
        <v>12.078704461101699</v>
      </c>
      <c r="AI1423">
        <v>94.925922159044205</v>
      </c>
      <c r="AJ1423">
        <v>69.754861722752693</v>
      </c>
      <c r="AK1423">
        <v>12.9217804753475</v>
      </c>
      <c r="AL1423">
        <v>78.696894635207101</v>
      </c>
      <c r="AM1423">
        <v>74.014667469495606</v>
      </c>
      <c r="AN1423">
        <v>1.0000000401441</v>
      </c>
    </row>
    <row r="1424" spans="1:40" x14ac:dyDescent="0.25">
      <c r="A1424" t="str">
        <f>"20190312172355849"</f>
        <v>20190312172355849</v>
      </c>
      <c r="B1424" t="str">
        <f>"1552382635840841"</f>
        <v>1552382635840841</v>
      </c>
      <c r="C1424" t="s">
        <v>40</v>
      </c>
      <c r="D1424">
        <v>3.9856449999999999</v>
      </c>
      <c r="E1424">
        <v>0.52578369999999996</v>
      </c>
      <c r="F1424" t="s">
        <v>46</v>
      </c>
      <c r="G1424">
        <v>-195.33330000000001</v>
      </c>
      <c r="H1424" s="1">
        <v>4.1020340000000002E-8</v>
      </c>
      <c r="I1424">
        <v>299.38339999999999</v>
      </c>
      <c r="J1424">
        <v>-189.1326</v>
      </c>
      <c r="K1424">
        <v>1.109561</v>
      </c>
      <c r="L1424">
        <v>310.83139999999997</v>
      </c>
      <c r="M1424">
        <v>-0.141781399999999</v>
      </c>
      <c r="N1424">
        <v>0</v>
      </c>
      <c r="O1424">
        <v>-0.98980349999999995</v>
      </c>
      <c r="P1424">
        <v>-0.40084809999999998</v>
      </c>
      <c r="Q1424">
        <v>0.18371019999999999</v>
      </c>
      <c r="R1424">
        <v>-0.89753640000000001</v>
      </c>
      <c r="S1424">
        <v>-1.4649350000000001</v>
      </c>
      <c r="T1424">
        <v>-0.26069579999999998</v>
      </c>
      <c r="U1424">
        <v>-2.74234</v>
      </c>
      <c r="V1424">
        <v>0.27015699999999998</v>
      </c>
      <c r="W1424">
        <v>0.19576180000000001</v>
      </c>
      <c r="X1424">
        <v>0.94270489999999996</v>
      </c>
      <c r="Y1424">
        <v>0.33964879999999997</v>
      </c>
      <c r="Z1424">
        <v>8.4792960000000001E-2</v>
      </c>
      <c r="AA1424">
        <v>0.93672239999999996</v>
      </c>
      <c r="AB1424">
        <v>22</v>
      </c>
      <c r="AC1424">
        <v>-6.2007000000000101</v>
      </c>
      <c r="AD1424">
        <v>-1.10956095897966</v>
      </c>
      <c r="AE1424">
        <v>-11.447999999999899</v>
      </c>
      <c r="AF1424">
        <v>4.4822287594862402</v>
      </c>
      <c r="AG1424">
        <v>-1.10956095897966</v>
      </c>
      <c r="AH1424">
        <v>12.123503063148901</v>
      </c>
      <c r="AI1424">
        <v>94.906384508583201</v>
      </c>
      <c r="AJ1424">
        <v>69.709941246301497</v>
      </c>
      <c r="AK1424">
        <v>12.9730808482888</v>
      </c>
      <c r="AL1424">
        <v>78.710770831785794</v>
      </c>
      <c r="AM1424">
        <v>74.008945639515503</v>
      </c>
      <c r="AN1424">
        <v>1.00000000773612</v>
      </c>
    </row>
    <row r="1425" spans="1:40" x14ac:dyDescent="0.25">
      <c r="A1425" t="str">
        <f>"20190312172355874"</f>
        <v>20190312172355874</v>
      </c>
      <c r="B1425" t="str">
        <f>"1552382635861337"</f>
        <v>1552382635861337</v>
      </c>
      <c r="C1425" t="s">
        <v>40</v>
      </c>
      <c r="D1425">
        <v>4.0040950000000004</v>
      </c>
      <c r="E1425">
        <v>0.52594259999999904</v>
      </c>
      <c r="F1425" t="s">
        <v>46</v>
      </c>
      <c r="G1425">
        <v>-195.3809</v>
      </c>
      <c r="H1425" s="1">
        <v>7.1172559999999898E-8</v>
      </c>
      <c r="I1425">
        <v>299.2122</v>
      </c>
      <c r="J1425">
        <v>-189.16890000000001</v>
      </c>
      <c r="K1425">
        <v>1.1095549999999901</v>
      </c>
      <c r="L1425">
        <v>310.59789999999998</v>
      </c>
      <c r="M1425">
        <v>-0.14411879999999999</v>
      </c>
      <c r="N1425">
        <v>0</v>
      </c>
      <c r="O1425">
        <v>-0.98946610000000002</v>
      </c>
      <c r="P1425">
        <v>-0.40342529999999999</v>
      </c>
      <c r="Q1425">
        <v>0.18338860000000001</v>
      </c>
      <c r="R1425">
        <v>-0.89644679999999999</v>
      </c>
      <c r="S1425">
        <v>-1.4725649999999999</v>
      </c>
      <c r="T1425">
        <v>-0.26149489999999997</v>
      </c>
      <c r="U1425">
        <v>-2.7383419999999998</v>
      </c>
      <c r="V1425">
        <v>0.2706288</v>
      </c>
      <c r="W1425">
        <v>0.19543679999999999</v>
      </c>
      <c r="X1425">
        <v>0.94263699999999995</v>
      </c>
      <c r="Y1425">
        <v>0.340012799999999</v>
      </c>
      <c r="Z1425">
        <v>8.5057469999999996E-2</v>
      </c>
      <c r="AA1425">
        <v>0.93656640000000002</v>
      </c>
      <c r="AB1425">
        <v>22</v>
      </c>
      <c r="AC1425">
        <v>-6.2119999999999802</v>
      </c>
      <c r="AD1425">
        <v>-1.10955492882743</v>
      </c>
      <c r="AE1425">
        <v>-11.3856999999999</v>
      </c>
      <c r="AF1425">
        <v>4.4733529777733301</v>
      </c>
      <c r="AG1425">
        <v>-1.10955492882743</v>
      </c>
      <c r="AH1425">
        <v>12.073804911764499</v>
      </c>
      <c r="AI1425">
        <v>94.925199112787993</v>
      </c>
      <c r="AJ1425">
        <v>69.670297684110096</v>
      </c>
      <c r="AK1425">
        <v>12.923573965865099</v>
      </c>
      <c r="AL1425">
        <v>78.729758666471895</v>
      </c>
      <c r="AM1425">
        <v>73.981355719418303</v>
      </c>
      <c r="AN1425">
        <v>1.00000000197634</v>
      </c>
    </row>
    <row r="1426" spans="1:40" x14ac:dyDescent="0.25">
      <c r="A1426" t="str">
        <f>"20190312172355895"</f>
        <v>20190312172355895</v>
      </c>
      <c r="B1426" t="str">
        <f>"1552382635891593"</f>
        <v>1552382635891593</v>
      </c>
      <c r="C1426" t="s">
        <v>40</v>
      </c>
      <c r="D1426">
        <v>4.0670609999999998</v>
      </c>
      <c r="E1426">
        <v>0.52626430000000002</v>
      </c>
      <c r="F1426" t="s">
        <v>46</v>
      </c>
      <c r="G1426">
        <v>-195.40129999999999</v>
      </c>
      <c r="H1426" s="1">
        <v>9.1541129999999994E-8</v>
      </c>
      <c r="I1426">
        <v>299.09660000000002</v>
      </c>
      <c r="J1426">
        <v>-189.20179999999999</v>
      </c>
      <c r="K1426">
        <v>1.109548</v>
      </c>
      <c r="L1426">
        <v>310.38889999999998</v>
      </c>
      <c r="M1426">
        <v>-0.14621329999999999</v>
      </c>
      <c r="N1426">
        <v>0</v>
      </c>
      <c r="O1426">
        <v>-0.9891586</v>
      </c>
      <c r="P1426">
        <v>-0.40608139999999998</v>
      </c>
      <c r="Q1426">
        <v>0.18262400000000001</v>
      </c>
      <c r="R1426">
        <v>-0.8954027</v>
      </c>
      <c r="S1426">
        <v>-1.4814449999999999</v>
      </c>
      <c r="T1426">
        <v>-0.26373970000000002</v>
      </c>
      <c r="U1426">
        <v>-2.7338559999999998</v>
      </c>
      <c r="V1426">
        <v>0.27140350000000002</v>
      </c>
      <c r="W1426">
        <v>0.19466839999999999</v>
      </c>
      <c r="X1426">
        <v>0.9425732</v>
      </c>
      <c r="Y1426">
        <v>0.34098850000000003</v>
      </c>
      <c r="Z1426">
        <v>8.5787020000000005E-2</v>
      </c>
      <c r="AA1426">
        <v>0.93614489999999995</v>
      </c>
      <c r="AB1426">
        <v>22</v>
      </c>
      <c r="AC1426">
        <v>-6.1994999999999996</v>
      </c>
      <c r="AD1426">
        <v>-1.10954790845887</v>
      </c>
      <c r="AE1426">
        <v>-11.2922999999999</v>
      </c>
      <c r="AF1426">
        <v>4.44862116486388</v>
      </c>
      <c r="AG1426">
        <v>-1.10954790845887</v>
      </c>
      <c r="AH1426">
        <v>11.9885172665163</v>
      </c>
      <c r="AI1426">
        <v>94.959110662323894</v>
      </c>
      <c r="AJ1426">
        <v>69.641444126430997</v>
      </c>
      <c r="AK1426">
        <v>12.8353368899768</v>
      </c>
      <c r="AL1426">
        <v>78.774646236147603</v>
      </c>
      <c r="AM1426">
        <v>73.936831620917303</v>
      </c>
      <c r="AN1426">
        <v>0.99999994156452299</v>
      </c>
    </row>
    <row r="1427" spans="1:40" x14ac:dyDescent="0.25">
      <c r="A1427" t="str">
        <f>"20190312172355916"</f>
        <v>20190312172355916</v>
      </c>
      <c r="B1427" t="str">
        <f>"1552382635911114"</f>
        <v>1552382635911114</v>
      </c>
      <c r="C1427" t="s">
        <v>40</v>
      </c>
      <c r="D1427">
        <v>4.0788869999999999</v>
      </c>
      <c r="E1427">
        <v>0.52635909999999997</v>
      </c>
      <c r="F1427" t="s">
        <v>46</v>
      </c>
      <c r="G1427">
        <v>-195.35390000000001</v>
      </c>
      <c r="H1427" s="1">
        <v>8.4850090000000004E-8</v>
      </c>
      <c r="I1427">
        <v>299.13459999999998</v>
      </c>
      <c r="J1427">
        <v>-189.23509999999999</v>
      </c>
      <c r="K1427">
        <v>1.109545</v>
      </c>
      <c r="L1427">
        <v>310.1807</v>
      </c>
      <c r="M1427">
        <v>-0.14830079999999901</v>
      </c>
      <c r="N1427">
        <v>0</v>
      </c>
      <c r="O1427">
        <v>-0.98884780000000005</v>
      </c>
      <c r="P1427">
        <v>-0.40884779999999998</v>
      </c>
      <c r="Q1427">
        <v>0.1819992</v>
      </c>
      <c r="R1427">
        <v>-0.89427049999999997</v>
      </c>
      <c r="S1427">
        <v>-1.4916990000000001</v>
      </c>
      <c r="T1427">
        <v>-0.26903389999999999</v>
      </c>
      <c r="U1427">
        <v>-2.7288510000000001</v>
      </c>
      <c r="V1427">
        <v>0.27230890000000002</v>
      </c>
      <c r="W1427">
        <v>0.19403790000000001</v>
      </c>
      <c r="X1427">
        <v>0.94244209999999995</v>
      </c>
      <c r="Y1427">
        <v>0.34236519999999998</v>
      </c>
      <c r="Z1427">
        <v>8.7497279999999997E-2</v>
      </c>
      <c r="AA1427">
        <v>0.93548399999999998</v>
      </c>
      <c r="AB1427">
        <v>22</v>
      </c>
      <c r="AC1427">
        <v>-6.1188000000000198</v>
      </c>
      <c r="AD1427">
        <v>-1.1095449151499099</v>
      </c>
      <c r="AE1427">
        <v>-11.046099999999999</v>
      </c>
      <c r="AF1427">
        <v>4.3790203628448596</v>
      </c>
      <c r="AG1427">
        <v>-1.1095449151499099</v>
      </c>
      <c r="AH1427">
        <v>11.7407948140392</v>
      </c>
      <c r="AI1427">
        <v>95.060063900354706</v>
      </c>
      <c r="AJ1427">
        <v>69.545753134608105</v>
      </c>
      <c r="AK1427">
        <v>12.579871705320199</v>
      </c>
      <c r="AL1427">
        <v>78.811473873529494</v>
      </c>
      <c r="AM1427">
        <v>73.8838969026352</v>
      </c>
      <c r="AN1427">
        <v>0.99999997775401395</v>
      </c>
    </row>
    <row r="1428" spans="1:40" x14ac:dyDescent="0.25">
      <c r="A1428" t="str">
        <f>"20190312172355951"</f>
        <v>20190312172355951</v>
      </c>
      <c r="B1428" t="str">
        <f>"1552382635941369"</f>
        <v>1552382635941369</v>
      </c>
      <c r="C1428" t="s">
        <v>40</v>
      </c>
      <c r="D1428">
        <v>4.0207259999999998</v>
      </c>
      <c r="E1428">
        <v>0.52657229999999999</v>
      </c>
      <c r="F1428" t="s">
        <v>46</v>
      </c>
      <c r="G1428">
        <v>-195.36539999999999</v>
      </c>
      <c r="H1428" s="1">
        <v>9.9305519999999995E-8</v>
      </c>
      <c r="I1428">
        <v>299.05250000000001</v>
      </c>
      <c r="J1428">
        <v>-189.2877</v>
      </c>
      <c r="K1428">
        <v>1.1095630000000001</v>
      </c>
      <c r="L1428">
        <v>309.85730000000001</v>
      </c>
      <c r="M1428">
        <v>-0.15155469999999999</v>
      </c>
      <c r="N1428">
        <v>0</v>
      </c>
      <c r="O1428">
        <v>-0.98835439999999997</v>
      </c>
      <c r="P1428">
        <v>-0.41245369999999998</v>
      </c>
      <c r="Q1428">
        <v>0.18252119999999999</v>
      </c>
      <c r="R1428">
        <v>-0.89250659999999904</v>
      </c>
      <c r="S1428">
        <v>-1.5005649999999999</v>
      </c>
      <c r="T1428">
        <v>-0.27159139999999998</v>
      </c>
      <c r="U1428">
        <v>-2.723938</v>
      </c>
      <c r="V1428">
        <v>0.27302979999999999</v>
      </c>
      <c r="W1428">
        <v>0.19455049999999999</v>
      </c>
      <c r="X1428">
        <v>0.94212779999999996</v>
      </c>
      <c r="Y1428">
        <v>0.34228769999999997</v>
      </c>
      <c r="Z1428">
        <v>8.8330899999999907E-2</v>
      </c>
      <c r="AA1428">
        <v>0.93543399999999999</v>
      </c>
      <c r="AB1428">
        <v>22</v>
      </c>
      <c r="AC1428">
        <v>-6.0776999999999903</v>
      </c>
      <c r="AD1428">
        <v>-1.1095629006944701</v>
      </c>
      <c r="AE1428">
        <v>-10.8048</v>
      </c>
      <c r="AF1428">
        <v>4.3350835187750096</v>
      </c>
      <c r="AG1428">
        <v>-1.1095629006944701</v>
      </c>
      <c r="AH1428">
        <v>11.508961985192901</v>
      </c>
      <c r="AI1428">
        <v>95.155299105085703</v>
      </c>
      <c r="AJ1428">
        <v>69.360101330882799</v>
      </c>
      <c r="AK1428">
        <v>12.3482907692509</v>
      </c>
      <c r="AL1428">
        <v>78.781533518168999</v>
      </c>
      <c r="AM1428">
        <v>73.838346471798502</v>
      </c>
      <c r="AN1428">
        <v>0.99999998013556401</v>
      </c>
    </row>
    <row r="1429" spans="1:40" x14ac:dyDescent="0.25">
      <c r="A1429" t="str">
        <f>"20190312172355972"</f>
        <v>20190312172355972</v>
      </c>
      <c r="B1429" t="str">
        <f>"1552382635960889"</f>
        <v>1552382635960889</v>
      </c>
      <c r="C1429" t="s">
        <v>40</v>
      </c>
      <c r="D1429">
        <v>4.0837209999999997</v>
      </c>
      <c r="E1429">
        <v>0.52749650000000003</v>
      </c>
      <c r="F1429" t="s">
        <v>46</v>
      </c>
      <c r="G1429">
        <v>-195.47470000000001</v>
      </c>
      <c r="H1429" s="1">
        <v>1.515372E-7</v>
      </c>
      <c r="I1429">
        <v>298.7559</v>
      </c>
      <c r="J1429">
        <v>-189.32320000000001</v>
      </c>
      <c r="K1429">
        <v>1.109575</v>
      </c>
      <c r="L1429">
        <v>309.64299999999997</v>
      </c>
      <c r="M1429">
        <v>-0.15372079999999999</v>
      </c>
      <c r="N1429">
        <v>0</v>
      </c>
      <c r="O1429">
        <v>-0.98801989999999995</v>
      </c>
      <c r="P1429">
        <v>-0.41483609999999999</v>
      </c>
      <c r="Q1429">
        <v>0.1842153</v>
      </c>
      <c r="R1429">
        <v>-0.89105330000000005</v>
      </c>
      <c r="S1429">
        <v>-1.514267</v>
      </c>
      <c r="T1429">
        <v>-0.27156570000000002</v>
      </c>
      <c r="U1429">
        <v>-2.7170719999999999</v>
      </c>
      <c r="V1429">
        <v>0.27354200000000001</v>
      </c>
      <c r="W1429">
        <v>0.19623360000000001</v>
      </c>
      <c r="X1429">
        <v>0.94163010000000003</v>
      </c>
      <c r="Y1429">
        <v>0.34483409999999998</v>
      </c>
      <c r="Z1429">
        <v>8.8327799999999998E-2</v>
      </c>
      <c r="AA1429">
        <v>0.93449859999999896</v>
      </c>
      <c r="AB1429">
        <v>22</v>
      </c>
      <c r="AC1429">
        <v>-6.1514999999999898</v>
      </c>
      <c r="AD1429">
        <v>-1.1095748484628001</v>
      </c>
      <c r="AE1429">
        <v>-10.887099999999901</v>
      </c>
      <c r="AF1429">
        <v>4.3702332346222903</v>
      </c>
      <c r="AG1429">
        <v>-1.1095748484628001</v>
      </c>
      <c r="AH1429">
        <v>11.611951823605001</v>
      </c>
      <c r="AI1429">
        <v>95.110399047737005</v>
      </c>
      <c r="AJ1429">
        <v>69.375846940846301</v>
      </c>
      <c r="AK1429">
        <v>12.4566255471962</v>
      </c>
      <c r="AL1429">
        <v>78.683204472618101</v>
      </c>
      <c r="AM1429">
        <v>73.801505655226507</v>
      </c>
      <c r="AN1429">
        <v>1.00000004837948</v>
      </c>
    </row>
    <row r="1430" spans="1:40" x14ac:dyDescent="0.25">
      <c r="A1430" t="str">
        <f>"20190312172355995"</f>
        <v>20190312172355995</v>
      </c>
      <c r="B1430" t="str">
        <f>"1552382635991145"</f>
        <v>1552382635991145</v>
      </c>
      <c r="C1430" t="s">
        <v>40</v>
      </c>
      <c r="D1430">
        <v>3.9927000000000001</v>
      </c>
      <c r="E1430">
        <v>0.52823229999999999</v>
      </c>
      <c r="F1430" t="s">
        <v>43</v>
      </c>
      <c r="G1430">
        <v>-194.45670000000001</v>
      </c>
      <c r="H1430" s="1">
        <v>-1.5968009999999999E-6</v>
      </c>
      <c r="I1430">
        <v>300.5471</v>
      </c>
      <c r="J1430">
        <v>-189.35939999999999</v>
      </c>
      <c r="K1430">
        <v>1.109578</v>
      </c>
      <c r="L1430">
        <v>309.42739999999998</v>
      </c>
      <c r="M1430">
        <v>-0.1559102</v>
      </c>
      <c r="N1430">
        <v>0</v>
      </c>
      <c r="O1430">
        <v>-0.98767689999999997</v>
      </c>
      <c r="P1430">
        <v>-0.41752860000000003</v>
      </c>
      <c r="Q1430">
        <v>0.18545490000000001</v>
      </c>
      <c r="R1430">
        <v>-0.88953760000000004</v>
      </c>
      <c r="S1430">
        <v>-1.5354460000000001</v>
      </c>
      <c r="T1430">
        <v>-0.33187909999999998</v>
      </c>
      <c r="U1430">
        <v>-2.720612</v>
      </c>
      <c r="V1430">
        <v>0.27434999999999998</v>
      </c>
      <c r="W1430">
        <v>0.19745979999999999</v>
      </c>
      <c r="X1430">
        <v>0.94113849999999999</v>
      </c>
      <c r="Y1430">
        <v>0.34685199999999999</v>
      </c>
      <c r="Z1430">
        <v>0.10731449999999999</v>
      </c>
      <c r="AA1430">
        <v>0.93176029999999999</v>
      </c>
      <c r="AB1430">
        <v>22</v>
      </c>
      <c r="AC1430">
        <v>-5.0973000000000104</v>
      </c>
      <c r="AD1430">
        <v>-1.109579596801</v>
      </c>
      <c r="AE1430">
        <v>-8.8802999999999699</v>
      </c>
      <c r="AF1430">
        <v>3.6079281748859802</v>
      </c>
      <c r="AG1430">
        <v>-1.109579596801</v>
      </c>
      <c r="AH1430">
        <v>9.4554439122405292</v>
      </c>
      <c r="AI1430">
        <v>96.256797905446604</v>
      </c>
      <c r="AJ1430">
        <v>69.114569645079399</v>
      </c>
      <c r="AK1430">
        <v>10.181047695316</v>
      </c>
      <c r="AL1430">
        <v>78.611545619301396</v>
      </c>
      <c r="AM1430">
        <v>73.748140287995099</v>
      </c>
      <c r="AN1430">
        <v>0.99999998564914405</v>
      </c>
    </row>
    <row r="1431" spans="1:40" x14ac:dyDescent="0.25">
      <c r="A1431" t="str">
        <f>"20190312172356016"</f>
        <v>20190312172356016</v>
      </c>
      <c r="B1431" t="str">
        <f>"1552382636011641"</f>
        <v>1552382636011641</v>
      </c>
      <c r="C1431" t="s">
        <v>40</v>
      </c>
      <c r="D1431">
        <v>4.0958579999999998</v>
      </c>
      <c r="E1431">
        <v>0.52869279999999996</v>
      </c>
      <c r="F1431" t="s">
        <v>43</v>
      </c>
      <c r="G1431">
        <v>-194.53049999999999</v>
      </c>
      <c r="H1431" s="1">
        <v>-1.5397059999999901E-6</v>
      </c>
      <c r="I1431">
        <v>300.36829999999998</v>
      </c>
      <c r="J1431">
        <v>-189.3931</v>
      </c>
      <c r="K1431">
        <v>1.1095740000000001</v>
      </c>
      <c r="L1431">
        <v>309.22930000000002</v>
      </c>
      <c r="M1431">
        <v>-0.15793489999999999</v>
      </c>
      <c r="N1431">
        <v>0</v>
      </c>
      <c r="O1431">
        <v>-0.98735510000000004</v>
      </c>
      <c r="P1431">
        <v>-0.42039090000000001</v>
      </c>
      <c r="Q1431">
        <v>0.18578059999999999</v>
      </c>
      <c r="R1431">
        <v>-0.88812009999999897</v>
      </c>
      <c r="S1431">
        <v>-1.5495300000000001</v>
      </c>
      <c r="T1431">
        <v>-0.33248929999999999</v>
      </c>
      <c r="U1431">
        <v>-2.7145999999999999</v>
      </c>
      <c r="V1431">
        <v>0.2754683</v>
      </c>
      <c r="W1431">
        <v>0.19777159999999999</v>
      </c>
      <c r="X1431">
        <v>0.94074630000000004</v>
      </c>
      <c r="Y1431">
        <v>0.34945789999999999</v>
      </c>
      <c r="Z1431">
        <v>0.1074797</v>
      </c>
      <c r="AA1431">
        <v>0.93076709999999996</v>
      </c>
      <c r="AB1431">
        <v>22</v>
      </c>
      <c r="AC1431">
        <v>-5.13739999999998</v>
      </c>
      <c r="AD1431">
        <v>-1.1095755397059901</v>
      </c>
      <c r="AE1431">
        <v>-8.8610000000000397</v>
      </c>
      <c r="AF1431">
        <v>3.6307117746145501</v>
      </c>
      <c r="AG1431">
        <v>-1.1095755397059901</v>
      </c>
      <c r="AH1431">
        <v>9.4503170219704007</v>
      </c>
      <c r="AI1431">
        <v>96.254715878202305</v>
      </c>
      <c r="AJ1431">
        <v>68.983753099173398</v>
      </c>
      <c r="AK1431">
        <v>10.184385974833299</v>
      </c>
      <c r="AL1431">
        <v>78.593321519641407</v>
      </c>
      <c r="AM1431">
        <v>73.678971682784805</v>
      </c>
      <c r="AN1431">
        <v>0.99999999551757002</v>
      </c>
    </row>
    <row r="1432" spans="1:40" x14ac:dyDescent="0.25">
      <c r="A1432" t="str">
        <f>"20190312172356038"</f>
        <v>20190312172356038</v>
      </c>
      <c r="B1432" t="str">
        <f>"1552382636031162"</f>
        <v>1552382636031162</v>
      </c>
      <c r="C1432" t="s">
        <v>40</v>
      </c>
      <c r="D1432">
        <v>4.1266109999999996</v>
      </c>
      <c r="E1432">
        <v>0.52914519999999998</v>
      </c>
      <c r="F1432" t="s">
        <v>46</v>
      </c>
      <c r="G1432">
        <v>-195.6413</v>
      </c>
      <c r="H1432" s="1">
        <v>2.1640319999999999E-7</v>
      </c>
      <c r="I1432">
        <v>298.38760000000002</v>
      </c>
      <c r="J1432">
        <v>-189.4308</v>
      </c>
      <c r="K1432">
        <v>1.109558</v>
      </c>
      <c r="L1432">
        <v>309.0104</v>
      </c>
      <c r="M1432">
        <v>-0.16019149999999999</v>
      </c>
      <c r="N1432">
        <v>0</v>
      </c>
      <c r="O1432">
        <v>-0.98699170000000003</v>
      </c>
      <c r="P1432">
        <v>-0.42370920000000001</v>
      </c>
      <c r="Q1432">
        <v>0.1833593</v>
      </c>
      <c r="R1432">
        <v>-0.88704590000000005</v>
      </c>
      <c r="S1432">
        <v>-1.5556179999999999</v>
      </c>
      <c r="T1432">
        <v>-0.27625100000000002</v>
      </c>
      <c r="U1432">
        <v>-2.6992799999999999</v>
      </c>
      <c r="V1432">
        <v>0.27675490000000003</v>
      </c>
      <c r="W1432">
        <v>0.19534000000000001</v>
      </c>
      <c r="X1432">
        <v>0.94087670000000001</v>
      </c>
      <c r="Y1432">
        <v>0.35204560000000001</v>
      </c>
      <c r="Z1432">
        <v>8.9767429999999995E-2</v>
      </c>
      <c r="AA1432">
        <v>0.93166819999999895</v>
      </c>
      <c r="AB1432">
        <v>22</v>
      </c>
      <c r="AC1432">
        <v>-6.2104999999999899</v>
      </c>
      <c r="AD1432">
        <v>-1.1095577835968</v>
      </c>
      <c r="AE1432">
        <v>-10.6227999999999</v>
      </c>
      <c r="AF1432">
        <v>4.3927253297799398</v>
      </c>
      <c r="AG1432">
        <v>-1.1095577835968</v>
      </c>
      <c r="AH1432">
        <v>11.3879596491601</v>
      </c>
      <c r="AI1432">
        <v>95.194145855888493</v>
      </c>
      <c r="AJ1432">
        <v>68.906668032358994</v>
      </c>
      <c r="AK1432">
        <v>12.2561323128028</v>
      </c>
      <c r="AL1432">
        <v>78.735413617138306</v>
      </c>
      <c r="AM1432">
        <v>73.608976719965099</v>
      </c>
      <c r="AN1432">
        <v>0.99999997743844904</v>
      </c>
    </row>
    <row r="1433" spans="1:40" x14ac:dyDescent="0.25">
      <c r="A1433" t="str">
        <f>"20190312172356062"</f>
        <v>20190312172356062</v>
      </c>
      <c r="B1433" t="str">
        <f>"1552382636051657"</f>
        <v>1552382636051657</v>
      </c>
      <c r="C1433" t="s">
        <v>40</v>
      </c>
      <c r="D1433">
        <v>4.1077820000000003</v>
      </c>
      <c r="E1433">
        <v>0.52927609999999903</v>
      </c>
      <c r="F1433" t="s">
        <v>46</v>
      </c>
      <c r="G1433">
        <v>-195.5813</v>
      </c>
      <c r="H1433" s="1">
        <v>2.0441909999999999E-7</v>
      </c>
      <c r="I1433">
        <v>298.4556</v>
      </c>
      <c r="J1433">
        <v>-189.46950000000001</v>
      </c>
      <c r="K1433">
        <v>1.1095280000000001</v>
      </c>
      <c r="L1433">
        <v>308.78949999999998</v>
      </c>
      <c r="M1433">
        <v>-0.1624922</v>
      </c>
      <c r="N1433">
        <v>0</v>
      </c>
      <c r="O1433">
        <v>-0.98661540000000003</v>
      </c>
      <c r="P1433">
        <v>-0.42715360000000002</v>
      </c>
      <c r="Q1433">
        <v>0.18064</v>
      </c>
      <c r="R1433">
        <v>-0.88595100000000004</v>
      </c>
      <c r="S1433">
        <v>-1.568314</v>
      </c>
      <c r="T1433">
        <v>-0.28292729999999999</v>
      </c>
      <c r="U1433">
        <v>-2.691376</v>
      </c>
      <c r="V1433">
        <v>0.27812779999999998</v>
      </c>
      <c r="W1433">
        <v>0.1926081</v>
      </c>
      <c r="X1433">
        <v>0.94103510000000001</v>
      </c>
      <c r="Y1433">
        <v>0.35423339999999998</v>
      </c>
      <c r="Z1433">
        <v>9.1955590000000004E-2</v>
      </c>
      <c r="AA1433">
        <v>0.93062500000000004</v>
      </c>
      <c r="AB1433">
        <v>22</v>
      </c>
      <c r="AC1433">
        <v>-6.1117999999999801</v>
      </c>
      <c r="AD1433">
        <v>-1.10952779558089</v>
      </c>
      <c r="AE1433">
        <v>-10.3338999999999</v>
      </c>
      <c r="AF1433">
        <v>4.3143765313243803</v>
      </c>
      <c r="AG1433">
        <v>-1.10952779558089</v>
      </c>
      <c r="AH1433">
        <v>11.094991013863099</v>
      </c>
      <c r="AI1433">
        <v>95.324803931234001</v>
      </c>
      <c r="AJ1433">
        <v>68.751029504517803</v>
      </c>
      <c r="AK1433">
        <v>11.9559074260766</v>
      </c>
      <c r="AL1433">
        <v>78.894970861532101</v>
      </c>
      <c r="AM1433">
        <v>73.534682225084396</v>
      </c>
      <c r="AN1433">
        <v>1.0000000063752299</v>
      </c>
    </row>
    <row r="1434" spans="1:40" x14ac:dyDescent="0.25">
      <c r="A1434" t="str">
        <f>"20190312172356084"</f>
        <v>20190312172356084</v>
      </c>
      <c r="B1434" t="str">
        <f>"1552382636080937"</f>
        <v>1552382636080937</v>
      </c>
      <c r="C1434" t="s">
        <v>40</v>
      </c>
      <c r="D1434">
        <v>4.13307</v>
      </c>
      <c r="E1434">
        <v>0.52960309999999999</v>
      </c>
      <c r="F1434" t="s">
        <v>46</v>
      </c>
      <c r="G1434">
        <v>-195.47669999999999</v>
      </c>
      <c r="H1434" s="1">
        <v>1.819295E-7</v>
      </c>
      <c r="I1434">
        <v>298.58330000000001</v>
      </c>
      <c r="J1434">
        <v>-189.50710000000001</v>
      </c>
      <c r="K1434">
        <v>1.1095010000000001</v>
      </c>
      <c r="L1434">
        <v>308.57769999999999</v>
      </c>
      <c r="M1434">
        <v>-0.1647256</v>
      </c>
      <c r="N1434">
        <v>0</v>
      </c>
      <c r="O1434">
        <v>-0.98624489999999998</v>
      </c>
      <c r="P1434">
        <v>-0.43040990000000001</v>
      </c>
      <c r="Q1434">
        <v>0.17888670000000001</v>
      </c>
      <c r="R1434">
        <v>-0.88472999999999902</v>
      </c>
      <c r="S1434">
        <v>-1.579788</v>
      </c>
      <c r="T1434">
        <v>-0.29178379999999998</v>
      </c>
      <c r="U1434">
        <v>-2.684021</v>
      </c>
      <c r="V1434">
        <v>0.27940409999999999</v>
      </c>
      <c r="W1434">
        <v>0.1908406</v>
      </c>
      <c r="X1434">
        <v>0.9410172</v>
      </c>
      <c r="Y1434">
        <v>0.35604780000000003</v>
      </c>
      <c r="Z1434">
        <v>9.4846059999999996E-2</v>
      </c>
      <c r="AA1434">
        <v>0.92964199999999997</v>
      </c>
      <c r="AB1434">
        <v>22</v>
      </c>
      <c r="AC1434">
        <v>-5.9695999999999803</v>
      </c>
      <c r="AD1434">
        <v>-1.1095008180704999</v>
      </c>
      <c r="AE1434">
        <v>-9.9943999999999793</v>
      </c>
      <c r="AF1434">
        <v>4.2033694895726299</v>
      </c>
      <c r="AG1434">
        <v>-1.1095008180704999</v>
      </c>
      <c r="AH1434">
        <v>10.7436957632353</v>
      </c>
      <c r="AI1434">
        <v>95.493324954968799</v>
      </c>
      <c r="AJ1434">
        <v>68.632547531566004</v>
      </c>
      <c r="AK1434">
        <v>11.5899225961233</v>
      </c>
      <c r="AL1434">
        <v>78.998156161365003</v>
      </c>
      <c r="AM1434">
        <v>73.462945283176495</v>
      </c>
      <c r="AN1434">
        <v>1.0000000782005001</v>
      </c>
    </row>
    <row r="1435" spans="1:40" x14ac:dyDescent="0.25">
      <c r="A1435" t="str">
        <f>"20190312172356106"</f>
        <v>20190312172356106</v>
      </c>
      <c r="B1435" t="str">
        <f>"1552382636101434"</f>
        <v>1552382636101434</v>
      </c>
      <c r="C1435" t="s">
        <v>40</v>
      </c>
      <c r="D1435">
        <v>4.108581</v>
      </c>
      <c r="E1435">
        <v>0.52978549999999902</v>
      </c>
      <c r="F1435" t="s">
        <v>46</v>
      </c>
      <c r="G1435">
        <v>-195.45869999999999</v>
      </c>
      <c r="H1435" s="1">
        <v>1.843169E-7</v>
      </c>
      <c r="I1435">
        <v>298.56979999999999</v>
      </c>
      <c r="J1435">
        <v>-189.5445</v>
      </c>
      <c r="K1435">
        <v>1.109477</v>
      </c>
      <c r="L1435">
        <v>308.36959999999999</v>
      </c>
      <c r="M1435">
        <v>-0.16694039999999999</v>
      </c>
      <c r="N1435">
        <v>0</v>
      </c>
      <c r="O1435">
        <v>-0.98587270000000005</v>
      </c>
      <c r="P1435">
        <v>-0.4341778</v>
      </c>
      <c r="Q1435">
        <v>0.17809620000000001</v>
      </c>
      <c r="R1435">
        <v>-0.88304709999999997</v>
      </c>
      <c r="S1435">
        <v>-1.5917049999999999</v>
      </c>
      <c r="T1435">
        <v>-0.29672490000000001</v>
      </c>
      <c r="U1435">
        <v>-2.6765140000000001</v>
      </c>
      <c r="V1435">
        <v>0.2812828</v>
      </c>
      <c r="W1435">
        <v>0.1900288</v>
      </c>
      <c r="X1435">
        <v>0.94062159999999995</v>
      </c>
      <c r="Y1435">
        <v>0.35807240000000001</v>
      </c>
      <c r="Z1435">
        <v>9.647182E-2</v>
      </c>
      <c r="AA1435">
        <v>0.92869659999999998</v>
      </c>
      <c r="AB1435">
        <v>21</v>
      </c>
      <c r="AC1435">
        <v>-5.9141999999999904</v>
      </c>
      <c r="AD1435">
        <v>-1.1094768156831001</v>
      </c>
      <c r="AE1435">
        <v>-9.7997999999999994</v>
      </c>
      <c r="AF1435">
        <v>4.1560080671959696</v>
      </c>
      <c r="AG1435">
        <v>-1.1094768156831001</v>
      </c>
      <c r="AH1435">
        <v>10.550536821703799</v>
      </c>
      <c r="AI1435">
        <v>95.588091805161497</v>
      </c>
      <c r="AJ1435">
        <v>68.499806831206698</v>
      </c>
      <c r="AK1435">
        <v>11.3937337640154</v>
      </c>
      <c r="AL1435">
        <v>79.045534800011495</v>
      </c>
      <c r="AM1435">
        <v>73.351269630695199</v>
      </c>
      <c r="AN1435">
        <v>0.99999997639591898</v>
      </c>
    </row>
    <row r="1436" spans="1:40" x14ac:dyDescent="0.25">
      <c r="A1436" t="str">
        <f>"20190312172356128"</f>
        <v>20190312172356128</v>
      </c>
      <c r="B1436" t="str">
        <f>"1552382636120954"</f>
        <v>1552382636120954</v>
      </c>
      <c r="C1436" t="s">
        <v>40</v>
      </c>
      <c r="D1436">
        <v>4.0450189999999999</v>
      </c>
      <c r="E1436">
        <v>0.52978559999999997</v>
      </c>
      <c r="F1436" t="s">
        <v>46</v>
      </c>
      <c r="G1436">
        <v>-195.5017</v>
      </c>
      <c r="H1436" s="1">
        <v>2.0422469999999999E-7</v>
      </c>
      <c r="I1436">
        <v>298.45670000000001</v>
      </c>
      <c r="J1436">
        <v>-189.58240000000001</v>
      </c>
      <c r="K1436">
        <v>1.109461</v>
      </c>
      <c r="L1436">
        <v>308.16199999999998</v>
      </c>
      <c r="M1436">
        <v>-0.1691723</v>
      </c>
      <c r="N1436">
        <v>0</v>
      </c>
      <c r="O1436">
        <v>-0.98549219999999904</v>
      </c>
      <c r="P1436">
        <v>-0.4381467</v>
      </c>
      <c r="Q1436">
        <v>0.177293799999999</v>
      </c>
      <c r="R1436">
        <v>-0.88124629999999904</v>
      </c>
      <c r="S1436">
        <v>-1.603912</v>
      </c>
      <c r="T1436">
        <v>-0.298714799999999</v>
      </c>
      <c r="U1436">
        <v>-2.6689449999999999</v>
      </c>
      <c r="V1436">
        <v>0.28336479999999997</v>
      </c>
      <c r="W1436">
        <v>0.18920480000000001</v>
      </c>
      <c r="X1436">
        <v>0.94016270000000002</v>
      </c>
      <c r="Y1436">
        <v>0.36020829999999998</v>
      </c>
      <c r="Z1436">
        <v>9.7142880000000001E-2</v>
      </c>
      <c r="AA1436">
        <v>0.92780019999999996</v>
      </c>
      <c r="AB1436">
        <v>21</v>
      </c>
      <c r="AC1436">
        <v>-5.91929999999999</v>
      </c>
      <c r="AD1436">
        <v>-1.1094607957753</v>
      </c>
      <c r="AE1436">
        <v>-9.7053000000000207</v>
      </c>
      <c r="AF1436">
        <v>4.1523947601673701</v>
      </c>
      <c r="AG1436">
        <v>-1.1094607957753</v>
      </c>
      <c r="AH1436">
        <v>10.467163075022301</v>
      </c>
      <c r="AI1436">
        <v>95.626896623668102</v>
      </c>
      <c r="AJ1436">
        <v>68.361435782514803</v>
      </c>
      <c r="AK1436">
        <v>11.315245836513601</v>
      </c>
      <c r="AL1436">
        <v>79.093618945527297</v>
      </c>
      <c r="AM1436">
        <v>73.227206526299398</v>
      </c>
      <c r="AN1436">
        <v>0.99999998434668402</v>
      </c>
    </row>
    <row r="1437" spans="1:40" x14ac:dyDescent="0.25">
      <c r="A1437" t="str">
        <f>"20190312172356150"</f>
        <v>20190312172356150</v>
      </c>
      <c r="B1437" t="str">
        <f>"1552382636141450"</f>
        <v>1552382636141450</v>
      </c>
      <c r="C1437" t="s">
        <v>40</v>
      </c>
      <c r="D1437">
        <v>4.0804450000000001</v>
      </c>
      <c r="E1437">
        <v>0.52955129999999995</v>
      </c>
      <c r="F1437" t="s">
        <v>46</v>
      </c>
      <c r="G1437">
        <v>-195.5204</v>
      </c>
      <c r="H1437" s="1">
        <v>2.184277E-7</v>
      </c>
      <c r="I1437">
        <v>298.37610000000001</v>
      </c>
      <c r="J1437">
        <v>-189.6208</v>
      </c>
      <c r="K1437">
        <v>1.1094489999999999</v>
      </c>
      <c r="L1437">
        <v>307.95429999999999</v>
      </c>
      <c r="M1437">
        <v>-0.1714311</v>
      </c>
      <c r="N1437">
        <v>0</v>
      </c>
      <c r="O1437">
        <v>-0.98510160000000002</v>
      </c>
      <c r="P1437">
        <v>-0.44169530000000001</v>
      </c>
      <c r="Q1437">
        <v>0.1776093</v>
      </c>
      <c r="R1437">
        <v>-0.879409</v>
      </c>
      <c r="S1437">
        <v>-1.615219</v>
      </c>
      <c r="T1437">
        <v>-0.30178929999999998</v>
      </c>
      <c r="U1437">
        <v>-2.6619259999999998</v>
      </c>
      <c r="V1437">
        <v>0.28501979999999999</v>
      </c>
      <c r="W1437">
        <v>0.1894989</v>
      </c>
      <c r="X1437">
        <v>0.93960299999999997</v>
      </c>
      <c r="Y1437">
        <v>0.36198399999999997</v>
      </c>
      <c r="Z1437">
        <v>9.8158469999999998E-2</v>
      </c>
      <c r="AA1437">
        <v>0.92700190000000005</v>
      </c>
      <c r="AB1437">
        <v>21</v>
      </c>
      <c r="AC1437">
        <v>-5.8995999999999897</v>
      </c>
      <c r="AD1437">
        <v>-1.1094487815723</v>
      </c>
      <c r="AE1437">
        <v>-9.5781999999999794</v>
      </c>
      <c r="AF1437">
        <v>4.1299221365253604</v>
      </c>
      <c r="AG1437">
        <v>-1.1094487815723</v>
      </c>
      <c r="AH1437">
        <v>10.347204547975601</v>
      </c>
      <c r="AI1437">
        <v>95.686931125600296</v>
      </c>
      <c r="AJ1437">
        <v>68.241372786213603</v>
      </c>
      <c r="AK1437">
        <v>11.1960607094791</v>
      </c>
      <c r="AL1437">
        <v>79.076457514068096</v>
      </c>
      <c r="AM1437">
        <v>73.125315719368501</v>
      </c>
      <c r="AN1437">
        <v>0.999999958551124</v>
      </c>
    </row>
    <row r="1438" spans="1:40" x14ac:dyDescent="0.25">
      <c r="A1438" t="str">
        <f>"20190312172356172"</f>
        <v>20190312172356172</v>
      </c>
      <c r="B1438" t="str">
        <f>"1552382636160969"</f>
        <v>1552382636160969</v>
      </c>
      <c r="C1438" t="s">
        <v>40</v>
      </c>
      <c r="D1438">
        <v>4.0540399999999996</v>
      </c>
      <c r="E1438">
        <v>0.52973400000000004</v>
      </c>
      <c r="F1438" t="s">
        <v>46</v>
      </c>
      <c r="G1438">
        <v>-195.6172</v>
      </c>
      <c r="H1438" s="1">
        <v>2.584073E-7</v>
      </c>
      <c r="I1438">
        <v>298.14909999999998</v>
      </c>
      <c r="J1438">
        <v>-189.66</v>
      </c>
      <c r="K1438">
        <v>1.109442</v>
      </c>
      <c r="L1438">
        <v>307.74470000000002</v>
      </c>
      <c r="M1438">
        <v>-0.1737368</v>
      </c>
      <c r="N1438">
        <v>0</v>
      </c>
      <c r="O1438">
        <v>-0.98469770000000001</v>
      </c>
      <c r="P1438">
        <v>-0.44604300000000002</v>
      </c>
      <c r="Q1438">
        <v>0.17821219999999999</v>
      </c>
      <c r="R1438">
        <v>-0.87708969999999897</v>
      </c>
      <c r="S1438">
        <v>-1.6244050000000001</v>
      </c>
      <c r="T1438">
        <v>-0.30054449999999999</v>
      </c>
      <c r="U1438">
        <v>-2.6561889999999999</v>
      </c>
      <c r="V1438">
        <v>0.28750569999999998</v>
      </c>
      <c r="W1438">
        <v>0.1900714</v>
      </c>
      <c r="X1438">
        <v>0.93872960000000005</v>
      </c>
      <c r="Y1438">
        <v>0.36304750000000002</v>
      </c>
      <c r="Z1438">
        <v>9.7773869999999999E-2</v>
      </c>
      <c r="AA1438">
        <v>0.92662659999999997</v>
      </c>
      <c r="AB1438">
        <v>21</v>
      </c>
      <c r="AC1438">
        <v>-5.9572000000000003</v>
      </c>
      <c r="AD1438">
        <v>-1.10944174159269</v>
      </c>
      <c r="AE1438">
        <v>-9.5956000000000401</v>
      </c>
      <c r="AF1438">
        <v>4.1591908080428501</v>
      </c>
      <c r="AG1438">
        <v>-1.10944174159269</v>
      </c>
      <c r="AH1438">
        <v>10.384524920471</v>
      </c>
      <c r="AI1438">
        <v>95.663905326735005</v>
      </c>
      <c r="AJ1438">
        <v>68.173001681990897</v>
      </c>
      <c r="AK1438">
        <v>11.2413561005592</v>
      </c>
      <c r="AL1438">
        <v>79.043048543297701</v>
      </c>
      <c r="AM1438">
        <v>72.971690027030505</v>
      </c>
      <c r="AN1438">
        <v>0.99999996327330398</v>
      </c>
    </row>
    <row r="1439" spans="1:40" x14ac:dyDescent="0.25">
      <c r="A1439" t="str">
        <f>"20190312172356286"</f>
        <v>20190312172356286</v>
      </c>
      <c r="B1439" t="str">
        <f>"1552382636281019"</f>
        <v>1552382636281019</v>
      </c>
      <c r="C1439" t="s">
        <v>40</v>
      </c>
      <c r="D1439">
        <v>4.3227929999999999</v>
      </c>
      <c r="E1439">
        <v>0.53239999999999998</v>
      </c>
      <c r="F1439" t="s">
        <v>46</v>
      </c>
      <c r="G1439">
        <v>-195.785</v>
      </c>
      <c r="H1439" s="1">
        <v>3.1148949999999998E-7</v>
      </c>
      <c r="I1439">
        <v>297.84769999999997</v>
      </c>
      <c r="J1439">
        <v>-189.8665</v>
      </c>
      <c r="K1439">
        <v>1.109291</v>
      </c>
      <c r="L1439">
        <v>306.68819999999999</v>
      </c>
      <c r="M1439">
        <v>-0.18593760000000001</v>
      </c>
      <c r="N1439">
        <v>0</v>
      </c>
      <c r="O1439">
        <v>-0.98246690000000003</v>
      </c>
      <c r="P1439">
        <v>-0.4672616</v>
      </c>
      <c r="Q1439">
        <v>0.1775989</v>
      </c>
      <c r="R1439">
        <v>-0.86609809999999998</v>
      </c>
      <c r="S1439">
        <v>-1.638458</v>
      </c>
      <c r="T1439">
        <v>-0.29678199999999999</v>
      </c>
      <c r="U1439">
        <v>-2.6475219999999999</v>
      </c>
      <c r="V1439">
        <v>0.29875249999999998</v>
      </c>
      <c r="W1439">
        <v>0.18928490000000001</v>
      </c>
      <c r="X1439">
        <v>0.93537060000000005</v>
      </c>
      <c r="Y1439">
        <v>0.35646739999999999</v>
      </c>
      <c r="Z1439">
        <v>9.6504000000000006E-2</v>
      </c>
      <c r="AA1439">
        <v>0.92931050000000004</v>
      </c>
      <c r="AB1439">
        <v>21</v>
      </c>
      <c r="AC1439">
        <v>-5.9184999999999901</v>
      </c>
      <c r="AD1439">
        <v>-1.1092906885105001</v>
      </c>
      <c r="AE1439">
        <v>-8.8405000000000094</v>
      </c>
      <c r="AF1439">
        <v>4.1264739444462597</v>
      </c>
      <c r="AG1439">
        <v>-1.1092906885105001</v>
      </c>
      <c r="AH1439">
        <v>9.6816219944283493</v>
      </c>
      <c r="AI1439">
        <v>96.016900161951696</v>
      </c>
      <c r="AJ1439">
        <v>66.915462484443395</v>
      </c>
      <c r="AK1439">
        <v>10.582632824057001</v>
      </c>
      <c r="AL1439">
        <v>79.088945208704899</v>
      </c>
      <c r="AM1439">
        <v>72.286788684275095</v>
      </c>
      <c r="AN1439">
        <v>0.99999999448430998</v>
      </c>
    </row>
    <row r="1440" spans="1:40" x14ac:dyDescent="0.25">
      <c r="A1440" t="str">
        <f>"20190312172356307"</f>
        <v>20190312172356307</v>
      </c>
      <c r="B1440" t="str">
        <f>"1552382636301514"</f>
        <v>1552382636301514</v>
      </c>
      <c r="C1440" t="s">
        <v>40</v>
      </c>
      <c r="D1440">
        <v>4.0918830000000002</v>
      </c>
      <c r="E1440">
        <v>0.53184039999999999</v>
      </c>
      <c r="F1440" t="s">
        <v>43</v>
      </c>
      <c r="G1440">
        <v>-192.5797</v>
      </c>
      <c r="H1440" s="1">
        <v>-1.9828159999999999E-6</v>
      </c>
      <c r="I1440">
        <v>302.61110000000002</v>
      </c>
      <c r="J1440">
        <v>-189.90870000000001</v>
      </c>
      <c r="K1440">
        <v>1.109256</v>
      </c>
      <c r="L1440">
        <v>306.48149999999998</v>
      </c>
      <c r="M1440">
        <v>-0.1884673</v>
      </c>
      <c r="N1440">
        <v>0</v>
      </c>
      <c r="O1440">
        <v>-0.98198490000000005</v>
      </c>
      <c r="P1440">
        <v>-0.4723347</v>
      </c>
      <c r="Q1440">
        <v>0.17616490000000001</v>
      </c>
      <c r="R1440">
        <v>-0.86363539999999905</v>
      </c>
      <c r="S1440">
        <v>-1.768723</v>
      </c>
      <c r="T1440">
        <v>-0.72314259999999997</v>
      </c>
      <c r="U1440">
        <v>-2.657867</v>
      </c>
      <c r="V1440">
        <v>0.30178909999999998</v>
      </c>
      <c r="W1440">
        <v>0.18781030000000001</v>
      </c>
      <c r="X1440">
        <v>0.93469279999999999</v>
      </c>
      <c r="Y1440">
        <v>0.37284129999999999</v>
      </c>
      <c r="Z1440">
        <v>0.22522919999999999</v>
      </c>
      <c r="AA1440">
        <v>0.90014509999999903</v>
      </c>
      <c r="AB1440">
        <v>21</v>
      </c>
      <c r="AC1440">
        <v>-2.67099999999999</v>
      </c>
      <c r="AD1440">
        <v>-1.1092579828160001</v>
      </c>
      <c r="AE1440">
        <v>-3.8703999999999601</v>
      </c>
      <c r="AF1440">
        <v>1.7938049931642801</v>
      </c>
      <c r="AG1440">
        <v>-1.1092579828160001</v>
      </c>
      <c r="AH1440">
        <v>4.0775900105925604</v>
      </c>
      <c r="AI1440">
        <v>103.98271956669301</v>
      </c>
      <c r="AJ1440">
        <v>66.254444763639</v>
      </c>
      <c r="AK1440">
        <v>4.5907439397581697</v>
      </c>
      <c r="AL1440">
        <v>79.174976690179605</v>
      </c>
      <c r="AM1440">
        <v>72.106019989689699</v>
      </c>
      <c r="AN1440">
        <v>1.00000000001837</v>
      </c>
    </row>
    <row r="1441" spans="1:40" x14ac:dyDescent="0.25">
      <c r="A1441" t="str">
        <f>"20190312172356329"</f>
        <v>20190312172356329</v>
      </c>
      <c r="B1441" t="str">
        <f>"1552382636321035"</f>
        <v>1552382636321035</v>
      </c>
      <c r="C1441" t="s">
        <v>40</v>
      </c>
      <c r="D1441">
        <v>4.2513170000000002</v>
      </c>
      <c r="E1441">
        <v>0.52755790000000002</v>
      </c>
      <c r="F1441" t="s">
        <v>43</v>
      </c>
      <c r="G1441">
        <v>-193.0205</v>
      </c>
      <c r="H1441" s="1">
        <v>-1.7714629999999999E-6</v>
      </c>
      <c r="I1441">
        <v>301.8451</v>
      </c>
      <c r="J1441">
        <v>-189.952</v>
      </c>
      <c r="K1441">
        <v>1.109226</v>
      </c>
      <c r="L1441">
        <v>306.27280000000002</v>
      </c>
      <c r="M1441">
        <v>-0.1910695</v>
      </c>
      <c r="N1441">
        <v>0</v>
      </c>
      <c r="O1441">
        <v>-0.98148190000000002</v>
      </c>
      <c r="P1441">
        <v>-0.47684369999999998</v>
      </c>
      <c r="Q1441">
        <v>0.17526320000000001</v>
      </c>
      <c r="R1441">
        <v>-0.8613383</v>
      </c>
      <c r="S1441">
        <v>-1.76849399999999</v>
      </c>
      <c r="T1441">
        <v>-0.63042180000000003</v>
      </c>
      <c r="U1441">
        <v>-2.63504</v>
      </c>
      <c r="V1441">
        <v>0.30417640000000001</v>
      </c>
      <c r="W1441">
        <v>0.18687300000000001</v>
      </c>
      <c r="X1441">
        <v>0.93410660000000001</v>
      </c>
      <c r="Y1441">
        <v>0.3771544</v>
      </c>
      <c r="Z1441">
        <v>0.19870399999999999</v>
      </c>
      <c r="AA1441">
        <v>0.90458349999999998</v>
      </c>
      <c r="AB1441">
        <v>21</v>
      </c>
      <c r="AC1441">
        <v>-3.0684999999999998</v>
      </c>
      <c r="AD1441">
        <v>-1.1092277714629999</v>
      </c>
      <c r="AE1441">
        <v>-4.4277000000000104</v>
      </c>
      <c r="AF1441">
        <v>2.07778684987814</v>
      </c>
      <c r="AG1441">
        <v>-1.1092277714629999</v>
      </c>
      <c r="AH1441">
        <v>4.7318436499722996</v>
      </c>
      <c r="AI1441">
        <v>102.113977066076</v>
      </c>
      <c r="AJ1441">
        <v>66.293373862806106</v>
      </c>
      <c r="AK1441">
        <v>5.2856341880889302</v>
      </c>
      <c r="AL1441">
        <v>79.229647668167104</v>
      </c>
      <c r="AM1441">
        <v>71.963015311583803</v>
      </c>
      <c r="AN1441">
        <v>0.99999997030475896</v>
      </c>
    </row>
    <row r="1442" spans="1:40" x14ac:dyDescent="0.25">
      <c r="A1442" t="str">
        <f>"20190312172356352"</f>
        <v>20190312172356352</v>
      </c>
      <c r="B1442" t="str">
        <f>"1552382636341529"</f>
        <v>1552382636341529</v>
      </c>
      <c r="C1442" t="s">
        <v>40</v>
      </c>
      <c r="D1442">
        <v>4.4232009999999997</v>
      </c>
      <c r="E1442">
        <v>0.52878369999999997</v>
      </c>
      <c r="F1442" t="s">
        <v>46</v>
      </c>
      <c r="G1442">
        <v>-201.08359999999999</v>
      </c>
      <c r="H1442" s="1">
        <v>2.278253E-6</v>
      </c>
      <c r="I1442">
        <v>289.41199999999998</v>
      </c>
      <c r="J1442">
        <v>-189.9957</v>
      </c>
      <c r="K1442">
        <v>1.109197</v>
      </c>
      <c r="L1442">
        <v>306.06479999999999</v>
      </c>
      <c r="M1442">
        <v>-0.19371559999999999</v>
      </c>
      <c r="N1442">
        <v>0</v>
      </c>
      <c r="O1442">
        <v>-0.98096309999999998</v>
      </c>
      <c r="P1442">
        <v>-0.48061589999999998</v>
      </c>
      <c r="Q1442">
        <v>0.17491399999999999</v>
      </c>
      <c r="R1442">
        <v>-0.85931000000000002</v>
      </c>
      <c r="S1442">
        <v>-1.700623</v>
      </c>
      <c r="T1442">
        <v>-0.169461</v>
      </c>
      <c r="U1442">
        <v>-2.5758969999999999</v>
      </c>
      <c r="V1442">
        <v>0.3057531</v>
      </c>
      <c r="W1442">
        <v>0.18649309999999999</v>
      </c>
      <c r="X1442">
        <v>0.93366769999999999</v>
      </c>
      <c r="Y1442">
        <v>0.3779805</v>
      </c>
      <c r="Z1442">
        <v>5.586824E-2</v>
      </c>
      <c r="AA1442">
        <v>0.92412629999999996</v>
      </c>
      <c r="AB1442">
        <v>21</v>
      </c>
      <c r="AC1442">
        <v>-11.0878999999999</v>
      </c>
      <c r="AD1442">
        <v>-1.109194721747</v>
      </c>
      <c r="AE1442">
        <v>-16.6527999999999</v>
      </c>
      <c r="AF1442">
        <v>7.6281764274465598</v>
      </c>
      <c r="AG1442">
        <v>-1.109194721747</v>
      </c>
      <c r="AH1442">
        <v>18.428751224326099</v>
      </c>
      <c r="AI1442">
        <v>93.183072857799303</v>
      </c>
      <c r="AJ1442">
        <v>67.513966068155199</v>
      </c>
      <c r="AK1442">
        <v>19.975942036036798</v>
      </c>
      <c r="AL1442">
        <v>79.251804206112297</v>
      </c>
      <c r="AM1442">
        <v>71.867657260945506</v>
      </c>
      <c r="AN1442">
        <v>1.0000000042652499</v>
      </c>
    </row>
    <row r="1443" spans="1:40" x14ac:dyDescent="0.25">
      <c r="A1443" t="str">
        <f>"20190312172356374"</f>
        <v>20190312172356374</v>
      </c>
      <c r="B1443" t="str">
        <f>"1552382636370810"</f>
        <v>1552382636370810</v>
      </c>
      <c r="C1443" t="s">
        <v>40</v>
      </c>
      <c r="D1443">
        <v>4.0478699999999996</v>
      </c>
      <c r="E1443">
        <v>0.53116770000000002</v>
      </c>
      <c r="F1443" t="s">
        <v>46</v>
      </c>
      <c r="G1443">
        <v>-198.39930000000001</v>
      </c>
      <c r="H1443" s="1">
        <v>1.2053290000000001E-6</v>
      </c>
      <c r="I1443">
        <v>293.55720000000002</v>
      </c>
      <c r="J1443">
        <v>-190.0393</v>
      </c>
      <c r="K1443">
        <v>1.109156</v>
      </c>
      <c r="L1443">
        <v>305.86020000000002</v>
      </c>
      <c r="M1443">
        <v>-0.1963715</v>
      </c>
      <c r="N1443">
        <v>0</v>
      </c>
      <c r="O1443">
        <v>-0.98043480000000005</v>
      </c>
      <c r="P1443">
        <v>-0.4843266</v>
      </c>
      <c r="Q1443">
        <v>0.17494390000000001</v>
      </c>
      <c r="R1443">
        <v>-0.85721809999999998</v>
      </c>
      <c r="S1443">
        <v>-1.727646</v>
      </c>
      <c r="T1443">
        <v>-0.22803180000000001</v>
      </c>
      <c r="U1443">
        <v>-2.5713499999999998</v>
      </c>
      <c r="V1443">
        <v>0.3072783</v>
      </c>
      <c r="W1443">
        <v>0.1864893</v>
      </c>
      <c r="X1443">
        <v>0.93316759999999999</v>
      </c>
      <c r="Y1443">
        <v>0.3822449</v>
      </c>
      <c r="Z1443">
        <v>7.4854690000000002E-2</v>
      </c>
      <c r="AA1443">
        <v>0.92102419999999996</v>
      </c>
      <c r="AB1443">
        <v>21</v>
      </c>
      <c r="AC1443">
        <v>-8.3600000000000101</v>
      </c>
      <c r="AD1443">
        <v>-1.1091547946709901</v>
      </c>
      <c r="AE1443">
        <v>-12.3029999999999</v>
      </c>
      <c r="AF1443">
        <v>5.7490474081635696</v>
      </c>
      <c r="AG1443">
        <v>-1.1091547946709901</v>
      </c>
      <c r="AH1443">
        <v>13.6294454825616</v>
      </c>
      <c r="AI1443">
        <v>94.288110584241494</v>
      </c>
      <c r="AJ1443">
        <v>67.129457132566401</v>
      </c>
      <c r="AK1443">
        <v>14.8338651275375</v>
      </c>
      <c r="AL1443">
        <v>79.252025675550996</v>
      </c>
      <c r="AM1443">
        <v>71.774049809325305</v>
      </c>
      <c r="AN1443">
        <v>0.99999999117756999</v>
      </c>
    </row>
    <row r="1444" spans="1:40" x14ac:dyDescent="0.25">
      <c r="A1444" t="str">
        <f>"20190312172356396"</f>
        <v>20190312172356396</v>
      </c>
      <c r="B1444" t="str">
        <f>"1552382636391306"</f>
        <v>1552382636391306</v>
      </c>
      <c r="C1444" t="s">
        <v>40</v>
      </c>
      <c r="D1444">
        <v>4.2094449999999997</v>
      </c>
      <c r="E1444">
        <v>0.53083590000000003</v>
      </c>
      <c r="F1444" t="s">
        <v>46</v>
      </c>
      <c r="G1444">
        <v>-198.62549999999999</v>
      </c>
      <c r="H1444" s="1">
        <v>1.2175730000000001E-6</v>
      </c>
      <c r="I1444">
        <v>293.37369999999999</v>
      </c>
      <c r="J1444">
        <v>-190.08189999999999</v>
      </c>
      <c r="K1444">
        <v>1.10911</v>
      </c>
      <c r="L1444">
        <v>305.66340000000002</v>
      </c>
      <c r="M1444">
        <v>-0.1989831</v>
      </c>
      <c r="N1444">
        <v>0</v>
      </c>
      <c r="O1444">
        <v>-0.979908</v>
      </c>
      <c r="P1444">
        <v>-0.48788029999999999</v>
      </c>
      <c r="Q1444">
        <v>0.17449400000000001</v>
      </c>
      <c r="R1444">
        <v>-0.8552921</v>
      </c>
      <c r="S1444">
        <v>-1.7561040000000001</v>
      </c>
      <c r="T1444">
        <v>-0.22684960000000001</v>
      </c>
      <c r="U1444">
        <v>-2.5538020000000001</v>
      </c>
      <c r="V1444">
        <v>0.30866250000000001</v>
      </c>
      <c r="W1444">
        <v>0.18600630000000001</v>
      </c>
      <c r="X1444">
        <v>0.9328071</v>
      </c>
      <c r="Y1444">
        <v>0.38971539999999999</v>
      </c>
      <c r="Z1444">
        <v>7.4494030000000003E-2</v>
      </c>
      <c r="AA1444">
        <v>0.91791750000000005</v>
      </c>
      <c r="AB1444">
        <v>21</v>
      </c>
      <c r="AC1444">
        <v>-8.5435999999999908</v>
      </c>
      <c r="AD1444">
        <v>-1.1091087824270001</v>
      </c>
      <c r="AE1444">
        <v>-12.2897</v>
      </c>
      <c r="AF1444">
        <v>5.8946836995534797</v>
      </c>
      <c r="AG1444">
        <v>-1.1091087824270001</v>
      </c>
      <c r="AH1444">
        <v>13.669030784733</v>
      </c>
      <c r="AI1444">
        <v>94.261085804712707</v>
      </c>
      <c r="AJ1444">
        <v>66.672182272512899</v>
      </c>
      <c r="AK1444">
        <v>14.927150458242799</v>
      </c>
      <c r="AL1444">
        <v>79.280192300015798</v>
      </c>
      <c r="AM1444">
        <v>71.690806932532396</v>
      </c>
      <c r="AN1444">
        <v>0.99999998417817404</v>
      </c>
    </row>
    <row r="1445" spans="1:40" x14ac:dyDescent="0.25">
      <c r="A1445" t="str">
        <f>"20190312172356417"</f>
        <v>20190312172356417</v>
      </c>
      <c r="B1445" t="str">
        <f>"1552382636410826"</f>
        <v>1552382636410826</v>
      </c>
      <c r="C1445" t="s">
        <v>40</v>
      </c>
      <c r="D1445">
        <v>4.0780960000000004</v>
      </c>
      <c r="E1445">
        <v>0.53131240000000002</v>
      </c>
      <c r="F1445" t="s">
        <v>46</v>
      </c>
      <c r="G1445">
        <v>-198.8596</v>
      </c>
      <c r="H1445" s="1">
        <v>1.263744E-6</v>
      </c>
      <c r="I1445">
        <v>292.99369999999999</v>
      </c>
      <c r="J1445">
        <v>-190.1268</v>
      </c>
      <c r="K1445">
        <v>1.109057</v>
      </c>
      <c r="L1445">
        <v>305.45850000000002</v>
      </c>
      <c r="M1445">
        <v>-0.20176079999999999</v>
      </c>
      <c r="N1445">
        <v>0</v>
      </c>
      <c r="O1445">
        <v>-0.97933979999999998</v>
      </c>
      <c r="P1445">
        <v>-0.49140230000000001</v>
      </c>
      <c r="Q1445">
        <v>0.173591299999999</v>
      </c>
      <c r="R1445">
        <v>-0.85345740000000003</v>
      </c>
      <c r="S1445">
        <v>-1.764359</v>
      </c>
      <c r="T1445">
        <v>-0.22293479999999999</v>
      </c>
      <c r="U1445">
        <v>-2.5466609999999998</v>
      </c>
      <c r="V1445">
        <v>0.30984200000000001</v>
      </c>
      <c r="W1445">
        <v>0.1850687</v>
      </c>
      <c r="X1445">
        <v>0.9326025</v>
      </c>
      <c r="Y1445">
        <v>0.39037260000000001</v>
      </c>
      <c r="Z1445">
        <v>7.324804E-2</v>
      </c>
      <c r="AA1445">
        <v>0.91773859999999996</v>
      </c>
      <c r="AB1445">
        <v>21</v>
      </c>
      <c r="AC1445">
        <v>-8.7327999999999903</v>
      </c>
      <c r="AD1445">
        <v>-1.1090557362559901</v>
      </c>
      <c r="AE1445">
        <v>-12.4648</v>
      </c>
      <c r="AF1445">
        <v>6.0061390987606202</v>
      </c>
      <c r="AG1445">
        <v>-1.1090557362559901</v>
      </c>
      <c r="AH1445">
        <v>13.8967181535447</v>
      </c>
      <c r="AI1445">
        <v>94.189871597177003</v>
      </c>
      <c r="AJ1445">
        <v>66.626077409186294</v>
      </c>
      <c r="AK1445">
        <v>15.1796734793223</v>
      </c>
      <c r="AL1445">
        <v>79.334861741040299</v>
      </c>
      <c r="AM1445">
        <v>71.621772634271593</v>
      </c>
      <c r="AN1445">
        <v>0.99999995584496904</v>
      </c>
    </row>
    <row r="1446" spans="1:40" x14ac:dyDescent="0.25">
      <c r="A1446" t="str">
        <f>"20190312172356441"</f>
        <v>20190312172356441</v>
      </c>
      <c r="B1446" t="str">
        <f>"1552382636431322"</f>
        <v>1552382636431322</v>
      </c>
      <c r="C1446" t="s">
        <v>40</v>
      </c>
      <c r="D1446">
        <v>4.1704030000000003</v>
      </c>
      <c r="E1446">
        <v>0.53158519999999998</v>
      </c>
      <c r="F1446" t="s">
        <v>46</v>
      </c>
      <c r="G1446">
        <v>-198.4667</v>
      </c>
      <c r="H1446" s="1">
        <v>1.1990169999999999E-6</v>
      </c>
      <c r="I1446">
        <v>293.5591</v>
      </c>
      <c r="J1446">
        <v>-190.1746</v>
      </c>
      <c r="K1446">
        <v>1.109011</v>
      </c>
      <c r="L1446">
        <v>305.24380000000002</v>
      </c>
      <c r="M1446">
        <v>-0.2047387</v>
      </c>
      <c r="N1446">
        <v>0</v>
      </c>
      <c r="O1446">
        <v>-0.97872170000000003</v>
      </c>
      <c r="P1446">
        <v>-0.4951971</v>
      </c>
      <c r="Q1446">
        <v>0.1736453</v>
      </c>
      <c r="R1446">
        <v>-0.85125069999999903</v>
      </c>
      <c r="S1446">
        <v>-1.7793429999999999</v>
      </c>
      <c r="T1446">
        <v>-0.23662079999999999</v>
      </c>
      <c r="U1446">
        <v>-2.5387879999999998</v>
      </c>
      <c r="V1446">
        <v>0.3111816</v>
      </c>
      <c r="W1446">
        <v>0.18508050000000001</v>
      </c>
      <c r="X1446">
        <v>0.93215409999999999</v>
      </c>
      <c r="Y1446">
        <v>0.39235189999999998</v>
      </c>
      <c r="Z1446">
        <v>7.768477E-2</v>
      </c>
      <c r="AA1446">
        <v>0.91652880000000003</v>
      </c>
      <c r="AB1446">
        <v>21</v>
      </c>
      <c r="AC1446">
        <v>-8.2920999999999996</v>
      </c>
      <c r="AD1446">
        <v>-1.1090098009830001</v>
      </c>
      <c r="AE1446">
        <v>-11.684699999999999</v>
      </c>
      <c r="AF1446">
        <v>5.6897923322760402</v>
      </c>
      <c r="AG1446">
        <v>-1.1090098009830001</v>
      </c>
      <c r="AH1446">
        <v>13.056780770181099</v>
      </c>
      <c r="AI1446">
        <v>94.452373671073502</v>
      </c>
      <c r="AJ1446">
        <v>66.4537285875777</v>
      </c>
      <c r="AK1446">
        <v>14.2857678688852</v>
      </c>
      <c r="AL1446">
        <v>79.334174489280102</v>
      </c>
      <c r="AM1446">
        <v>71.539410776242505</v>
      </c>
      <c r="AN1446">
        <v>1.0000000229028001</v>
      </c>
    </row>
    <row r="1447" spans="1:40" x14ac:dyDescent="0.25">
      <c r="A1447" t="str">
        <f>"20190312172356465"</f>
        <v>20190312172356465</v>
      </c>
      <c r="B1447" t="str">
        <f>"1552382636461577"</f>
        <v>1552382636461577</v>
      </c>
      <c r="C1447" t="s">
        <v>40</v>
      </c>
      <c r="D1447">
        <v>4.0293190000000001</v>
      </c>
      <c r="E1447">
        <v>0.53188539999999995</v>
      </c>
      <c r="F1447" t="s">
        <v>46</v>
      </c>
      <c r="G1447">
        <v>-198.5292</v>
      </c>
      <c r="H1447" s="1">
        <v>1.2119059999999999E-6</v>
      </c>
      <c r="I1447">
        <v>293.45440000000002</v>
      </c>
      <c r="J1447">
        <v>-190.2234</v>
      </c>
      <c r="K1447">
        <v>1.1089739999999999</v>
      </c>
      <c r="L1447">
        <v>305.02879999999999</v>
      </c>
      <c r="M1447">
        <v>-0.2078043</v>
      </c>
      <c r="N1447">
        <v>0</v>
      </c>
      <c r="O1447">
        <v>-0.97807529999999998</v>
      </c>
      <c r="P1447">
        <v>-0.49880790000000003</v>
      </c>
      <c r="Q1447">
        <v>0.17421539999999999</v>
      </c>
      <c r="R1447">
        <v>-0.84902299999999997</v>
      </c>
      <c r="S1447">
        <v>-1.79277</v>
      </c>
      <c r="T1447">
        <v>-0.2379782</v>
      </c>
      <c r="U1447">
        <v>-2.529846</v>
      </c>
      <c r="V1447">
        <v>0.31226739999999997</v>
      </c>
      <c r="W1447">
        <v>0.18560950000000001</v>
      </c>
      <c r="X1447">
        <v>0.93168569999999995</v>
      </c>
      <c r="Y1447">
        <v>0.3942176</v>
      </c>
      <c r="Z1447">
        <v>7.8132839999999995E-2</v>
      </c>
      <c r="AA1447">
        <v>0.9156898</v>
      </c>
      <c r="AB1447">
        <v>21</v>
      </c>
      <c r="AC1447">
        <v>-8.3057999999999996</v>
      </c>
      <c r="AD1447">
        <v>-1.1089727880939999</v>
      </c>
      <c r="AE1447">
        <v>-11.574399999999899</v>
      </c>
      <c r="AF1447">
        <v>5.6845734413603797</v>
      </c>
      <c r="AG1447">
        <v>-1.1089727880939999</v>
      </c>
      <c r="AH1447">
        <v>12.9692409186431</v>
      </c>
      <c r="AI1447">
        <v>94.477998264509793</v>
      </c>
      <c r="AJ1447">
        <v>66.331585912304305</v>
      </c>
      <c r="AK1447">
        <v>14.2037109890606</v>
      </c>
      <c r="AL1447">
        <v>79.303330678415506</v>
      </c>
      <c r="AM1447">
        <v>71.470708410192998</v>
      </c>
      <c r="AN1447">
        <v>1.0000000295887399</v>
      </c>
    </row>
    <row r="1448" spans="1:40" x14ac:dyDescent="0.25">
      <c r="A1448" t="str">
        <f>"20190312172356487"</f>
        <v>20190312172356487</v>
      </c>
      <c r="B1448" t="str">
        <f>"1552382636481098"</f>
        <v>1552382636481098</v>
      </c>
      <c r="C1448" t="s">
        <v>40</v>
      </c>
      <c r="D1448">
        <v>4.0291090000000001</v>
      </c>
      <c r="E1448">
        <v>0.53186009999999995</v>
      </c>
      <c r="F1448" t="s">
        <v>46</v>
      </c>
      <c r="G1448">
        <v>-197.9384</v>
      </c>
      <c r="H1448" s="1">
        <v>1.123312E-6</v>
      </c>
      <c r="I1448">
        <v>294.255</v>
      </c>
      <c r="J1448">
        <v>-190.2713</v>
      </c>
      <c r="K1448">
        <v>1.1089310000000001</v>
      </c>
      <c r="L1448">
        <v>304.82089999999999</v>
      </c>
      <c r="M1448">
        <v>-0.2108389</v>
      </c>
      <c r="N1448">
        <v>0</v>
      </c>
      <c r="O1448">
        <v>-0.97742569999999995</v>
      </c>
      <c r="P1448">
        <v>-0.50334140000000005</v>
      </c>
      <c r="Q1448">
        <v>0.17433650000000001</v>
      </c>
      <c r="R1448">
        <v>-0.84631829999999997</v>
      </c>
      <c r="S1448">
        <v>-1.8078920000000001</v>
      </c>
      <c r="T1448">
        <v>-0.25987179999999999</v>
      </c>
      <c r="U1448">
        <v>-2.524689</v>
      </c>
      <c r="V1448">
        <v>0.31438529999999998</v>
      </c>
      <c r="W1448">
        <v>0.18568399999999999</v>
      </c>
      <c r="X1448">
        <v>0.93095830000000002</v>
      </c>
      <c r="Y1448">
        <v>0.3955457</v>
      </c>
      <c r="Z1448">
        <v>8.5161879999999995E-2</v>
      </c>
      <c r="AA1448">
        <v>0.91448949999999996</v>
      </c>
      <c r="AB1448">
        <v>21</v>
      </c>
      <c r="AC1448">
        <v>-7.6670999999999996</v>
      </c>
      <c r="AD1448">
        <v>-1.10892987668799</v>
      </c>
      <c r="AE1448">
        <v>-10.565899999999999</v>
      </c>
      <c r="AF1448">
        <v>5.2290759323361602</v>
      </c>
      <c r="AG1448">
        <v>-1.10892987668799</v>
      </c>
      <c r="AH1448">
        <v>11.859441196087101</v>
      </c>
      <c r="AI1448">
        <v>94.890228764648597</v>
      </c>
      <c r="AJ1448">
        <v>66.206313211943296</v>
      </c>
      <c r="AK1448">
        <v>13.0084321138636</v>
      </c>
      <c r="AL1448">
        <v>79.298986421993206</v>
      </c>
      <c r="AM1448">
        <v>71.340136826348697</v>
      </c>
      <c r="AN1448">
        <v>1.00000001052549</v>
      </c>
    </row>
    <row r="1449" spans="1:40" x14ac:dyDescent="0.25">
      <c r="A1449" t="str">
        <f>"20190312172356508"</f>
        <v>20190312172356508</v>
      </c>
      <c r="B1449" t="str">
        <f>"1552382636501594"</f>
        <v>1552382636501594</v>
      </c>
      <c r="C1449" t="s">
        <v>40</v>
      </c>
      <c r="D1449">
        <v>4.0415530000000004</v>
      </c>
      <c r="E1449">
        <v>0.53173359999999903</v>
      </c>
      <c r="F1449" t="s">
        <v>46</v>
      </c>
      <c r="G1449">
        <v>-197.8793</v>
      </c>
      <c r="H1449" s="1">
        <v>1.118976E-6</v>
      </c>
      <c r="I1449">
        <v>294.30939999999998</v>
      </c>
      <c r="J1449">
        <v>-190.31649999999999</v>
      </c>
      <c r="K1449">
        <v>1.1088960000000001</v>
      </c>
      <c r="L1449">
        <v>304.62799999999999</v>
      </c>
      <c r="M1449">
        <v>-0.21370510000000001</v>
      </c>
      <c r="N1449">
        <v>0</v>
      </c>
      <c r="O1449">
        <v>-0.97680310000000004</v>
      </c>
      <c r="P1449">
        <v>-0.5072333</v>
      </c>
      <c r="Q1449">
        <v>0.17378569999999999</v>
      </c>
      <c r="R1449">
        <v>-0.84410459999999998</v>
      </c>
      <c r="S1449">
        <v>-1.821213</v>
      </c>
      <c r="T1449">
        <v>-0.26545800000000003</v>
      </c>
      <c r="U1449">
        <v>-2.5162659999999999</v>
      </c>
      <c r="V1449">
        <v>0.31593080000000001</v>
      </c>
      <c r="W1449">
        <v>0.1851006</v>
      </c>
      <c r="X1449">
        <v>0.93055120000000002</v>
      </c>
      <c r="Y1449">
        <v>0.39739269999999999</v>
      </c>
      <c r="Z1449">
        <v>8.6970450000000005E-2</v>
      </c>
      <c r="AA1449">
        <v>0.91351800000000005</v>
      </c>
      <c r="AB1449">
        <v>21</v>
      </c>
      <c r="AC1449">
        <v>-7.56280000000001</v>
      </c>
      <c r="AD1449">
        <v>-1.10889488102399</v>
      </c>
      <c r="AE1449">
        <v>-10.3186</v>
      </c>
      <c r="AF1449">
        <v>5.1440632993205799</v>
      </c>
      <c r="AG1449">
        <v>-1.10889488102399</v>
      </c>
      <c r="AH1449">
        <v>11.6093155193877</v>
      </c>
      <c r="AI1449">
        <v>94.990906876602907</v>
      </c>
      <c r="AJ1449">
        <v>66.101968649015504</v>
      </c>
      <c r="AK1449">
        <v>12.7462638413487</v>
      </c>
      <c r="AL1449">
        <v>79.333002555202398</v>
      </c>
      <c r="AM1449">
        <v>71.247171521700196</v>
      </c>
      <c r="AN1449">
        <v>1.0000000191652101</v>
      </c>
    </row>
    <row r="1450" spans="1:40" x14ac:dyDescent="0.25">
      <c r="A1450" t="str">
        <f>"20190312172356530"</f>
        <v>20190312172356530</v>
      </c>
      <c r="B1450" t="str">
        <f>"1552382636521114"</f>
        <v>1552382636521114</v>
      </c>
      <c r="C1450" t="s">
        <v>40</v>
      </c>
      <c r="D1450">
        <v>4.022932</v>
      </c>
      <c r="E1450">
        <v>0.53172889999999995</v>
      </c>
      <c r="F1450" t="s">
        <v>46</v>
      </c>
      <c r="G1450">
        <v>-197.58099999999999</v>
      </c>
      <c r="H1450" s="1">
        <v>1.0668230000000001E-6</v>
      </c>
      <c r="I1450">
        <v>294.68579999999997</v>
      </c>
      <c r="J1450">
        <v>-190.36439999999999</v>
      </c>
      <c r="K1450">
        <v>1.10887</v>
      </c>
      <c r="L1450">
        <v>304.42610000000002</v>
      </c>
      <c r="M1450">
        <v>-0.21675659999999999</v>
      </c>
      <c r="N1450">
        <v>0</v>
      </c>
      <c r="O1450">
        <v>-0.97613050000000001</v>
      </c>
      <c r="P1450">
        <v>-0.51102449999999999</v>
      </c>
      <c r="Q1450">
        <v>0.17299639999999999</v>
      </c>
      <c r="R1450">
        <v>-0.8419778</v>
      </c>
      <c r="S1450">
        <v>-1.8338319999999999</v>
      </c>
      <c r="T1450">
        <v>-0.27992420000000001</v>
      </c>
      <c r="U1450">
        <v>-2.5097659999999999</v>
      </c>
      <c r="V1450">
        <v>0.31718239999999998</v>
      </c>
      <c r="W1450">
        <v>0.18428510000000001</v>
      </c>
      <c r="X1450">
        <v>0.93028719999999998</v>
      </c>
      <c r="Y1450">
        <v>0.3984028</v>
      </c>
      <c r="Z1450">
        <v>9.1619220000000001E-2</v>
      </c>
      <c r="AA1450">
        <v>0.91262319999999997</v>
      </c>
      <c r="AB1450">
        <v>21</v>
      </c>
      <c r="AC1450">
        <v>-7.2165999999999997</v>
      </c>
      <c r="AD1450">
        <v>-1.1088689331770001</v>
      </c>
      <c r="AE1450">
        <v>-9.7403000000000404</v>
      </c>
      <c r="AF1450">
        <v>4.8925899412390299</v>
      </c>
      <c r="AG1450">
        <v>-1.1088689331770001</v>
      </c>
      <c r="AH1450">
        <v>10.981196054452599</v>
      </c>
      <c r="AI1450">
        <v>95.269938971926805</v>
      </c>
      <c r="AJ1450">
        <v>65.984994317621997</v>
      </c>
      <c r="AK1450">
        <v>12.072849432938501</v>
      </c>
      <c r="AL1450">
        <v>79.380544685049301</v>
      </c>
      <c r="AM1450">
        <v>71.173136109405306</v>
      </c>
      <c r="AN1450">
        <v>0.99999997371780402</v>
      </c>
    </row>
    <row r="1451" spans="1:40" x14ac:dyDescent="0.25">
      <c r="A1451" t="str">
        <f>"20190312172356553"</f>
        <v>20190312172356553</v>
      </c>
      <c r="B1451" t="str">
        <f>"1552382636541613"</f>
        <v>1552382636541613</v>
      </c>
      <c r="C1451" t="s">
        <v>40</v>
      </c>
      <c r="D1451">
        <v>4.0636099999999997</v>
      </c>
      <c r="E1451">
        <v>0.53171840000000004</v>
      </c>
      <c r="F1451" t="s">
        <v>46</v>
      </c>
      <c r="G1451">
        <v>-197.565</v>
      </c>
      <c r="H1451" s="1">
        <v>1.073117E-6</v>
      </c>
      <c r="I1451">
        <v>294.67200000000003</v>
      </c>
      <c r="J1451">
        <v>-190.41370000000001</v>
      </c>
      <c r="K1451">
        <v>1.1088480000000001</v>
      </c>
      <c r="L1451">
        <v>304.22149999999999</v>
      </c>
      <c r="M1451">
        <v>-0.2199024</v>
      </c>
      <c r="N1451">
        <v>0</v>
      </c>
      <c r="O1451">
        <v>-0.97542660000000003</v>
      </c>
      <c r="P1451">
        <v>-0.51476899999999903</v>
      </c>
      <c r="Q1451">
        <v>0.17225070000000001</v>
      </c>
      <c r="R1451">
        <v>-0.8398468</v>
      </c>
      <c r="S1451">
        <v>-1.846252</v>
      </c>
      <c r="T1451">
        <v>-0.28431400000000001</v>
      </c>
      <c r="U1451">
        <v>-2.5009459999999999</v>
      </c>
      <c r="V1451">
        <v>0.31830160000000002</v>
      </c>
      <c r="W1451">
        <v>0.18351419999999999</v>
      </c>
      <c r="X1451">
        <v>0.93005729999999998</v>
      </c>
      <c r="Y1451">
        <v>0.39984009999999998</v>
      </c>
      <c r="Z1451">
        <v>9.3049880000000001E-2</v>
      </c>
      <c r="AA1451">
        <v>0.91184960000000004</v>
      </c>
      <c r="AB1451">
        <v>21</v>
      </c>
      <c r="AC1451">
        <v>-7.1512999999999902</v>
      </c>
      <c r="AD1451">
        <v>-1.1088469268829999</v>
      </c>
      <c r="AE1451">
        <v>-9.5494999999999592</v>
      </c>
      <c r="AF1451">
        <v>4.8343027375292298</v>
      </c>
      <c r="AG1451">
        <v>-1.1088469268829999</v>
      </c>
      <c r="AH1451">
        <v>10.7951830359445</v>
      </c>
      <c r="AI1451">
        <v>95.355597458172696</v>
      </c>
      <c r="AJ1451">
        <v>65.876193199415397</v>
      </c>
      <c r="AK1451">
        <v>11.8800673922703</v>
      </c>
      <c r="AL1451">
        <v>79.425480402637206</v>
      </c>
      <c r="AM1451">
        <v>71.107068646165999</v>
      </c>
      <c r="AN1451">
        <v>0.99999997572374399</v>
      </c>
    </row>
    <row r="1452" spans="1:40" x14ac:dyDescent="0.25">
      <c r="A1452" t="str">
        <f>"20190312172356574"</f>
        <v>20190312172356574</v>
      </c>
      <c r="B1452" t="str">
        <f>"1552382636570890"</f>
        <v>1552382636570890</v>
      </c>
      <c r="C1452" t="s">
        <v>40</v>
      </c>
      <c r="D1452">
        <v>4.0521250000000002</v>
      </c>
      <c r="E1452">
        <v>0.53156590000000004</v>
      </c>
      <c r="F1452" t="s">
        <v>46</v>
      </c>
      <c r="G1452">
        <v>-197.52619999999999</v>
      </c>
      <c r="H1452" s="1">
        <v>1.073311E-6</v>
      </c>
      <c r="I1452">
        <v>294.68119999999999</v>
      </c>
      <c r="J1452">
        <v>-190.46180000000001</v>
      </c>
      <c r="K1452">
        <v>1.1088249999999999</v>
      </c>
      <c r="L1452">
        <v>304.02480000000003</v>
      </c>
      <c r="M1452">
        <v>-0.2229766</v>
      </c>
      <c r="N1452">
        <v>0</v>
      </c>
      <c r="O1452">
        <v>-0.97472840000000005</v>
      </c>
      <c r="P1452">
        <v>-0.51839809999999997</v>
      </c>
      <c r="Q1452">
        <v>0.17221110000000001</v>
      </c>
      <c r="R1452">
        <v>-0.83762009999999898</v>
      </c>
      <c r="S1452">
        <v>-1.858231</v>
      </c>
      <c r="T1452">
        <v>-0.28970069999999998</v>
      </c>
      <c r="U1452">
        <v>-2.4925229999999998</v>
      </c>
      <c r="V1452">
        <v>0.31940420000000003</v>
      </c>
      <c r="W1452">
        <v>0.1834481</v>
      </c>
      <c r="X1452">
        <v>0.92969230000000003</v>
      </c>
      <c r="Y1452">
        <v>0.40114640000000001</v>
      </c>
      <c r="Z1452">
        <v>9.4797999999999993E-2</v>
      </c>
      <c r="AA1452">
        <v>0.9110954</v>
      </c>
      <c r="AB1452">
        <v>21</v>
      </c>
      <c r="AC1452">
        <v>-7.0643999999999698</v>
      </c>
      <c r="AD1452">
        <v>-1.1088239266890001</v>
      </c>
      <c r="AE1452">
        <v>-9.3436000000000305</v>
      </c>
      <c r="AF1452">
        <v>4.7602583660877498</v>
      </c>
      <c r="AG1452">
        <v>-1.1088239266890001</v>
      </c>
      <c r="AH1452">
        <v>10.588778424636599</v>
      </c>
      <c r="AI1452">
        <v>95.455737268229896</v>
      </c>
      <c r="AJ1452">
        <v>65.793370832529206</v>
      </c>
      <c r="AK1452">
        <v>11.6624087879973</v>
      </c>
      <c r="AL1452">
        <v>79.429333431540201</v>
      </c>
      <c r="AM1452">
        <v>71.039377409969305</v>
      </c>
      <c r="AN1452">
        <v>1.00000001052527</v>
      </c>
    </row>
    <row r="1453" spans="1:40" x14ac:dyDescent="0.25">
      <c r="A1453" t="str">
        <f>"20190312172356597"</f>
        <v>20190312172356597</v>
      </c>
      <c r="B1453" t="str">
        <f>"1552382636591386"</f>
        <v>1552382636591386</v>
      </c>
      <c r="C1453" t="s">
        <v>40</v>
      </c>
      <c r="D1453">
        <v>4.0399330000000004</v>
      </c>
      <c r="E1453">
        <v>0.53154119999999905</v>
      </c>
      <c r="F1453" t="s">
        <v>46</v>
      </c>
      <c r="G1453">
        <v>-197.39660000000001</v>
      </c>
      <c r="H1453" s="1">
        <v>1.04217E-6</v>
      </c>
      <c r="I1453">
        <v>294.80180000000001</v>
      </c>
      <c r="J1453">
        <v>-190.51220000000001</v>
      </c>
      <c r="K1453">
        <v>1.1088</v>
      </c>
      <c r="L1453">
        <v>303.82159999999999</v>
      </c>
      <c r="M1453">
        <v>-0.22620319999999999</v>
      </c>
      <c r="N1453">
        <v>0</v>
      </c>
      <c r="O1453">
        <v>-0.97398459999999998</v>
      </c>
      <c r="P1453">
        <v>-0.52233830000000003</v>
      </c>
      <c r="Q1453">
        <v>0.17274349999999999</v>
      </c>
      <c r="R1453">
        <v>-0.83505819999999997</v>
      </c>
      <c r="S1453">
        <v>-1.869324</v>
      </c>
      <c r="T1453">
        <v>-0.29888920000000002</v>
      </c>
      <c r="U1453">
        <v>-2.4861149999999999</v>
      </c>
      <c r="V1453">
        <v>0.32074770000000002</v>
      </c>
      <c r="W1453">
        <v>0.18394630000000001</v>
      </c>
      <c r="X1453">
        <v>0.92913120000000005</v>
      </c>
      <c r="Y1453">
        <v>0.40167000000000003</v>
      </c>
      <c r="Z1453">
        <v>9.773221E-2</v>
      </c>
      <c r="AA1453">
        <v>0.91055459999999999</v>
      </c>
      <c r="AB1453">
        <v>21</v>
      </c>
      <c r="AC1453">
        <v>-6.8843999999999896</v>
      </c>
      <c r="AD1453">
        <v>-1.1087989578299999</v>
      </c>
      <c r="AE1453">
        <v>-9.0197999999999698</v>
      </c>
      <c r="AF1453">
        <v>4.6212978997916503</v>
      </c>
      <c r="AG1453">
        <v>-1.1087989578299999</v>
      </c>
      <c r="AH1453">
        <v>10.2455486401429</v>
      </c>
      <c r="AI1453">
        <v>95.634083149963999</v>
      </c>
      <c r="AJ1453">
        <v>65.722044088510003</v>
      </c>
      <c r="AK1453">
        <v>11.2941177763045</v>
      </c>
      <c r="AL1453">
        <v>79.400295019879906</v>
      </c>
      <c r="AM1453">
        <v>70.954686276672305</v>
      </c>
      <c r="AN1453">
        <v>1.0000000575762</v>
      </c>
    </row>
    <row r="1454" spans="1:40" x14ac:dyDescent="0.25">
      <c r="A1454" t="str">
        <f>"20190312172356619"</f>
        <v>20190312172356619</v>
      </c>
      <c r="B1454" t="str">
        <f>"1552382636610905"</f>
        <v>1552382636610905</v>
      </c>
      <c r="C1454" t="s">
        <v>40</v>
      </c>
      <c r="D1454">
        <v>4.022932</v>
      </c>
      <c r="E1454">
        <v>0.53153070000000002</v>
      </c>
      <c r="F1454" t="s">
        <v>46</v>
      </c>
      <c r="G1454">
        <v>-197.41200000000001</v>
      </c>
      <c r="H1454" s="1">
        <v>1.067441E-6</v>
      </c>
      <c r="I1454">
        <v>294.72640000000001</v>
      </c>
      <c r="J1454">
        <v>-190.56309999999999</v>
      </c>
      <c r="K1454">
        <v>1.1087670000000001</v>
      </c>
      <c r="L1454">
        <v>303.61970000000002</v>
      </c>
      <c r="M1454">
        <v>-0.22946</v>
      </c>
      <c r="N1454">
        <v>0</v>
      </c>
      <c r="O1454">
        <v>-0.97322249999999999</v>
      </c>
      <c r="P1454">
        <v>-0.52641190000000004</v>
      </c>
      <c r="Q1454">
        <v>0.17323079999999999</v>
      </c>
      <c r="R1454">
        <v>-0.83239509999999906</v>
      </c>
      <c r="S1454">
        <v>-1.8804780000000001</v>
      </c>
      <c r="T1454">
        <v>-0.30219439999999997</v>
      </c>
      <c r="U1454">
        <v>-2.4788209999999999</v>
      </c>
      <c r="V1454">
        <v>0.32222040000000002</v>
      </c>
      <c r="W1454">
        <v>0.18439759999999999</v>
      </c>
      <c r="X1454">
        <v>0.92853189999999997</v>
      </c>
      <c r="Y1454">
        <v>0.40243810000000002</v>
      </c>
      <c r="Z1454">
        <v>9.8777719999999999E-2</v>
      </c>
      <c r="AA1454">
        <v>0.91010250000000004</v>
      </c>
      <c r="AB1454">
        <v>21</v>
      </c>
      <c r="AC1454">
        <v>-6.8489000000000102</v>
      </c>
      <c r="AD1454">
        <v>-1.108765932559</v>
      </c>
      <c r="AE1454">
        <v>-8.8933</v>
      </c>
      <c r="AF1454">
        <v>4.5805846378406399</v>
      </c>
      <c r="AG1454">
        <v>-1.108765932559</v>
      </c>
      <c r="AH1454">
        <v>10.128833040937</v>
      </c>
      <c r="AI1454">
        <v>95.695910771918605</v>
      </c>
      <c r="AJ1454">
        <v>65.665984570279093</v>
      </c>
      <c r="AK1454">
        <v>11.1715879036421</v>
      </c>
      <c r="AL1454">
        <v>79.3739865334787</v>
      </c>
      <c r="AM1454">
        <v>70.862133664880901</v>
      </c>
      <c r="AN1454">
        <v>0.99999997518976402</v>
      </c>
    </row>
    <row r="1455" spans="1:40" x14ac:dyDescent="0.25">
      <c r="A1455" t="str">
        <f>"20190312172356642"</f>
        <v>20190312172356642</v>
      </c>
      <c r="B1455" t="str">
        <f>"1552382636631405"</f>
        <v>1552382636631405</v>
      </c>
      <c r="C1455" t="s">
        <v>40</v>
      </c>
      <c r="D1455">
        <v>4.0390949999999997</v>
      </c>
      <c r="E1455">
        <v>0.53154699999999999</v>
      </c>
      <c r="F1455" t="s">
        <v>46</v>
      </c>
      <c r="G1455">
        <v>-197.50989999999999</v>
      </c>
      <c r="H1455" s="1">
        <v>1.1089449999999899E-6</v>
      </c>
      <c r="I1455">
        <v>294.5523</v>
      </c>
      <c r="J1455">
        <v>-190.6156</v>
      </c>
      <c r="K1455">
        <v>1.1087340000000001</v>
      </c>
      <c r="L1455">
        <v>303.41449999999998</v>
      </c>
      <c r="M1455">
        <v>-0.2328209</v>
      </c>
      <c r="N1455">
        <v>0</v>
      </c>
      <c r="O1455">
        <v>-0.97242390000000001</v>
      </c>
      <c r="P1455">
        <v>-0.53015829999999997</v>
      </c>
      <c r="Q1455">
        <v>0.17342969999999999</v>
      </c>
      <c r="R1455">
        <v>-0.8299725</v>
      </c>
      <c r="S1455">
        <v>-1.892471</v>
      </c>
      <c r="T1455">
        <v>-0.30205209999999999</v>
      </c>
      <c r="U1455">
        <v>-2.470154</v>
      </c>
      <c r="V1455">
        <v>0.32322289999999998</v>
      </c>
      <c r="W1455">
        <v>0.1845659</v>
      </c>
      <c r="X1455">
        <v>0.92815000000000003</v>
      </c>
      <c r="Y1455">
        <v>0.40360800000000002</v>
      </c>
      <c r="Z1455">
        <v>9.8726469999999997E-2</v>
      </c>
      <c r="AA1455">
        <v>0.9095898</v>
      </c>
      <c r="AB1455">
        <v>21</v>
      </c>
      <c r="AC1455">
        <v>-6.8942999999999799</v>
      </c>
      <c r="AD1455">
        <v>-1.1087328910550001</v>
      </c>
      <c r="AE1455">
        <v>-8.8621999999999694</v>
      </c>
      <c r="AF1455">
        <v>4.5964891578360998</v>
      </c>
      <c r="AG1455">
        <v>-1.1087328910550001</v>
      </c>
      <c r="AH1455">
        <v>10.125175031898401</v>
      </c>
      <c r="AI1455">
        <v>95.694097512641605</v>
      </c>
      <c r="AJ1455">
        <v>65.583548012591194</v>
      </c>
      <c r="AK1455">
        <v>11.174800697479601</v>
      </c>
      <c r="AL1455">
        <v>79.364175718249896</v>
      </c>
      <c r="AM1455">
        <v>70.799621597400304</v>
      </c>
      <c r="AN1455">
        <v>1.00000001851361</v>
      </c>
    </row>
    <row r="1456" spans="1:40" x14ac:dyDescent="0.25">
      <c r="A1456" t="str">
        <f>"20190312172356664"</f>
        <v>20190312172356664</v>
      </c>
      <c r="B1456" t="str">
        <f>"1552382636661657"</f>
        <v>1552382636661657</v>
      </c>
      <c r="C1456" t="s">
        <v>40</v>
      </c>
      <c r="D1456">
        <v>4.063231</v>
      </c>
      <c r="E1456">
        <v>0.5314778</v>
      </c>
      <c r="F1456" t="s">
        <v>46</v>
      </c>
      <c r="G1456">
        <v>-197.59889999999999</v>
      </c>
      <c r="H1456" s="1">
        <v>1.1298129999999999E-6</v>
      </c>
      <c r="I1456">
        <v>294.38909999999998</v>
      </c>
      <c r="J1456">
        <v>-190.66810000000001</v>
      </c>
      <c r="K1456">
        <v>1.1087100000000001</v>
      </c>
      <c r="L1456">
        <v>303.21280000000002</v>
      </c>
      <c r="M1456">
        <v>-0.23617560000000001</v>
      </c>
      <c r="N1456">
        <v>0</v>
      </c>
      <c r="O1456">
        <v>-0.9716148</v>
      </c>
      <c r="P1456">
        <v>-0.53412309999999996</v>
      </c>
      <c r="Q1456">
        <v>0.17306060000000001</v>
      </c>
      <c r="R1456">
        <v>-0.82750419999999902</v>
      </c>
      <c r="S1456">
        <v>-1.904388</v>
      </c>
      <c r="T1456">
        <v>-0.30235990000000001</v>
      </c>
      <c r="U1456">
        <v>-2.4613040000000002</v>
      </c>
      <c r="V1456">
        <v>0.32445269999999998</v>
      </c>
      <c r="W1456">
        <v>0.18416940000000001</v>
      </c>
      <c r="X1456">
        <v>0.92779959999999995</v>
      </c>
      <c r="Y1456">
        <v>0.40478520000000001</v>
      </c>
      <c r="Z1456">
        <v>9.8824179999999998E-2</v>
      </c>
      <c r="AA1456">
        <v>0.90905590000000003</v>
      </c>
      <c r="AB1456">
        <v>21</v>
      </c>
      <c r="AC1456">
        <v>-6.9307999999999703</v>
      </c>
      <c r="AD1456">
        <v>-1.108708870187</v>
      </c>
      <c r="AE1456">
        <v>-8.8237000000000201</v>
      </c>
      <c r="AF1456">
        <v>4.6055878828961996</v>
      </c>
      <c r="AG1456">
        <v>-1.108708870187</v>
      </c>
      <c r="AH1456">
        <v>10.1123342406792</v>
      </c>
      <c r="AI1456">
        <v>95.698008205126101</v>
      </c>
      <c r="AJ1456">
        <v>65.513458399982099</v>
      </c>
      <c r="AK1456">
        <v>11.1669144754102</v>
      </c>
      <c r="AL1456">
        <v>79.387289639624896</v>
      </c>
      <c r="AM1456">
        <v>70.7252031928181</v>
      </c>
      <c r="AN1456">
        <v>1.0000000100969</v>
      </c>
    </row>
    <row r="1457" spans="1:40" x14ac:dyDescent="0.25">
      <c r="A1457" t="str">
        <f>"20190312172356688"</f>
        <v>20190312172356688</v>
      </c>
      <c r="B1457" t="str">
        <f>"1552382636681178"</f>
        <v>1552382636681178</v>
      </c>
      <c r="C1457" t="s">
        <v>40</v>
      </c>
      <c r="D1457">
        <v>4.0375730000000001</v>
      </c>
      <c r="E1457">
        <v>0.53146300000000002</v>
      </c>
      <c r="F1457" t="s">
        <v>46</v>
      </c>
      <c r="G1457">
        <v>-197.54140000000001</v>
      </c>
      <c r="H1457" s="1">
        <v>1.130139E-6</v>
      </c>
      <c r="I1457">
        <v>294.4162</v>
      </c>
      <c r="J1457">
        <v>-190.72290000000001</v>
      </c>
      <c r="K1457">
        <v>1.1086959999999999</v>
      </c>
      <c r="L1457">
        <v>303.00560000000002</v>
      </c>
      <c r="M1457">
        <v>-0.2396595</v>
      </c>
      <c r="N1457">
        <v>0</v>
      </c>
      <c r="O1457">
        <v>-0.97076130000000005</v>
      </c>
      <c r="P1457">
        <v>-0.53825789999999996</v>
      </c>
      <c r="Q1457">
        <v>0.17370679999999999</v>
      </c>
      <c r="R1457">
        <v>-0.82468469999999905</v>
      </c>
      <c r="S1457">
        <v>-1.9166110000000001</v>
      </c>
      <c r="T1457">
        <v>-0.30916440000000001</v>
      </c>
      <c r="U1457">
        <v>-2.4529420000000002</v>
      </c>
      <c r="V1457">
        <v>0.32581320000000003</v>
      </c>
      <c r="W1457">
        <v>0.18478939999999999</v>
      </c>
      <c r="X1457">
        <v>0.92719929999999995</v>
      </c>
      <c r="Y1457">
        <v>0.40568880000000002</v>
      </c>
      <c r="Z1457">
        <v>0.1010004</v>
      </c>
      <c r="AA1457">
        <v>0.90841380000000005</v>
      </c>
      <c r="AB1457">
        <v>21</v>
      </c>
      <c r="AC1457">
        <v>-6.8185000000000002</v>
      </c>
      <c r="AD1457">
        <v>-1.108694869861</v>
      </c>
      <c r="AE1457">
        <v>-8.5894000000000101</v>
      </c>
      <c r="AF1457">
        <v>4.5148844977889402</v>
      </c>
      <c r="AG1457">
        <v>-1.108694869861</v>
      </c>
      <c r="AH1457">
        <v>9.8724022256834694</v>
      </c>
      <c r="AI1457">
        <v>95.831354667160397</v>
      </c>
      <c r="AJ1457">
        <v>65.424254064683197</v>
      </c>
      <c r="AK1457">
        <v>10.9122734592068</v>
      </c>
      <c r="AL1457">
        <v>79.351145281184102</v>
      </c>
      <c r="AM1457">
        <v>70.638779667109006</v>
      </c>
      <c r="AN1457">
        <v>0.99999995278354303</v>
      </c>
    </row>
    <row r="1458" spans="1:40" x14ac:dyDescent="0.25">
      <c r="A1458" t="str">
        <f>"20190312172356710"</f>
        <v>20190312172356710</v>
      </c>
      <c r="B1458" t="str">
        <f>"1552382636701673"</f>
        <v>1552382636701673</v>
      </c>
      <c r="C1458" t="s">
        <v>40</v>
      </c>
      <c r="D1458">
        <v>4.0213760000000001</v>
      </c>
      <c r="E1458">
        <v>0.53141619999999901</v>
      </c>
      <c r="F1458" t="s">
        <v>46</v>
      </c>
      <c r="G1458">
        <v>-197.62549999999999</v>
      </c>
      <c r="H1458" s="1">
        <v>1.1492539999999999E-6</v>
      </c>
      <c r="I1458">
        <v>294.26530000000002</v>
      </c>
      <c r="J1458">
        <v>-190.7773</v>
      </c>
      <c r="K1458">
        <v>1.108689</v>
      </c>
      <c r="L1458">
        <v>302.80250000000001</v>
      </c>
      <c r="M1458">
        <v>-0.24310889999999999</v>
      </c>
      <c r="N1458">
        <v>0</v>
      </c>
      <c r="O1458">
        <v>-0.96990319999999997</v>
      </c>
      <c r="P1458">
        <v>-0.54240600000000005</v>
      </c>
      <c r="Q1458">
        <v>0.17431779999999999</v>
      </c>
      <c r="R1458">
        <v>-0.82183300000000004</v>
      </c>
      <c r="S1458">
        <v>-1.9297489999999999</v>
      </c>
      <c r="T1458">
        <v>-0.3099539</v>
      </c>
      <c r="U1458">
        <v>-2.4435120000000001</v>
      </c>
      <c r="V1458">
        <v>0.32722980000000002</v>
      </c>
      <c r="W1458">
        <v>0.18537890000000001</v>
      </c>
      <c r="X1458">
        <v>0.92658260000000003</v>
      </c>
      <c r="Y1458">
        <v>0.40714139999999999</v>
      </c>
      <c r="Z1458">
        <v>0.1012416</v>
      </c>
      <c r="AA1458">
        <v>0.90773680000000001</v>
      </c>
      <c r="AB1458">
        <v>21</v>
      </c>
      <c r="AC1458">
        <v>-6.8481999999999896</v>
      </c>
      <c r="AD1458">
        <v>-1.1086878507460001</v>
      </c>
      <c r="AE1458">
        <v>-8.5371999999999808</v>
      </c>
      <c r="AF1458">
        <v>4.5206556161260503</v>
      </c>
      <c r="AG1458">
        <v>-1.1086878507460001</v>
      </c>
      <c r="AH1458">
        <v>9.8450115621999501</v>
      </c>
      <c r="AI1458">
        <v>95.843343607958303</v>
      </c>
      <c r="AJ1458">
        <v>65.336247570063094</v>
      </c>
      <c r="AK1458">
        <v>10.8898929567675</v>
      </c>
      <c r="AL1458">
        <v>79.3167760744182</v>
      </c>
      <c r="AM1458">
        <v>70.548933121051306</v>
      </c>
      <c r="AN1458">
        <v>0.99999999659800498</v>
      </c>
    </row>
    <row r="1459" spans="1:40" x14ac:dyDescent="0.25">
      <c r="A1459" t="str">
        <f>"20190312172356731"</f>
        <v>20190312172356731</v>
      </c>
      <c r="B1459" t="str">
        <f>"1552382636721194"</f>
        <v>1552382636721194</v>
      </c>
      <c r="C1459" t="s">
        <v>40</v>
      </c>
      <c r="D1459">
        <v>4.1260859999999999</v>
      </c>
      <c r="E1459">
        <v>0.53140019999999999</v>
      </c>
      <c r="F1459" t="s">
        <v>46</v>
      </c>
      <c r="G1459">
        <v>-197.6705</v>
      </c>
      <c r="H1459" s="1">
        <v>1.1625070000000001E-6</v>
      </c>
      <c r="I1459">
        <v>294.16730000000001</v>
      </c>
      <c r="J1459">
        <v>-190.82910000000001</v>
      </c>
      <c r="K1459">
        <v>1.108689</v>
      </c>
      <c r="L1459">
        <v>302.6121</v>
      </c>
      <c r="M1459">
        <v>-0.2463688</v>
      </c>
      <c r="N1459">
        <v>0</v>
      </c>
      <c r="O1459">
        <v>-0.96908019999999995</v>
      </c>
      <c r="P1459">
        <v>-0.54646530000000004</v>
      </c>
      <c r="Q1459">
        <v>0.174897</v>
      </c>
      <c r="R1459">
        <v>-0.81901569999999901</v>
      </c>
      <c r="S1459">
        <v>-1.943146</v>
      </c>
      <c r="T1459">
        <v>-0.31253209999999998</v>
      </c>
      <c r="U1459">
        <v>-2.4342039999999998</v>
      </c>
      <c r="V1459">
        <v>0.3287368</v>
      </c>
      <c r="W1459">
        <v>0.18593889999999999</v>
      </c>
      <c r="X1459">
        <v>0.9259368</v>
      </c>
      <c r="Y1459">
        <v>0.40876570000000001</v>
      </c>
      <c r="Z1459">
        <v>0.1020528</v>
      </c>
      <c r="AA1459">
        <v>0.90691549999999999</v>
      </c>
      <c r="AB1459">
        <v>21</v>
      </c>
      <c r="AC1459">
        <v>-6.8413999999999904</v>
      </c>
      <c r="AD1459">
        <v>-1.108687837493</v>
      </c>
      <c r="AE1459">
        <v>-8.4447999999999794</v>
      </c>
      <c r="AF1459">
        <v>4.50289456170802</v>
      </c>
      <c r="AG1459">
        <v>-1.108687837493</v>
      </c>
      <c r="AH1459">
        <v>9.76846008993504</v>
      </c>
      <c r="AI1459">
        <v>95.884863606482995</v>
      </c>
      <c r="AJ1459">
        <v>65.2520666454908</v>
      </c>
      <c r="AK1459">
        <v>10.8133279189858</v>
      </c>
      <c r="AL1459">
        <v>79.284123399318801</v>
      </c>
      <c r="AM1459">
        <v>70.453531076618901</v>
      </c>
      <c r="AN1459">
        <v>1.0000000579008399</v>
      </c>
    </row>
    <row r="1460" spans="1:40" x14ac:dyDescent="0.25">
      <c r="A1460" t="str">
        <f>"20190312172356753"</f>
        <v>20190312172356753</v>
      </c>
      <c r="B1460" t="str">
        <f>"1552382636741690"</f>
        <v>1552382636741690</v>
      </c>
      <c r="C1460" t="s">
        <v>40</v>
      </c>
      <c r="D1460">
        <v>4.0895780000000004</v>
      </c>
      <c r="E1460">
        <v>0.53142639999999997</v>
      </c>
      <c r="F1460" t="s">
        <v>46</v>
      </c>
      <c r="G1460">
        <v>-197.74959999999999</v>
      </c>
      <c r="H1460" s="1">
        <v>1.1793019999999999E-6</v>
      </c>
      <c r="I1460">
        <v>294.03210000000001</v>
      </c>
      <c r="J1460">
        <v>-190.88220000000001</v>
      </c>
      <c r="K1460">
        <v>1.1086910000000001</v>
      </c>
      <c r="L1460">
        <v>302.41950000000003</v>
      </c>
      <c r="M1460">
        <v>-0.24968850000000001</v>
      </c>
      <c r="N1460">
        <v>0</v>
      </c>
      <c r="O1460">
        <v>-0.96823009999999998</v>
      </c>
      <c r="P1460">
        <v>-0.55012039999999995</v>
      </c>
      <c r="Q1460">
        <v>0.17612249999999999</v>
      </c>
      <c r="R1460">
        <v>-0.81630179999999997</v>
      </c>
      <c r="S1460">
        <v>-1.955856</v>
      </c>
      <c r="T1460">
        <v>-0.31333640000000001</v>
      </c>
      <c r="U1460">
        <v>-2.4248660000000002</v>
      </c>
      <c r="V1460">
        <v>0.3297774</v>
      </c>
      <c r="W1460">
        <v>0.18714839999999999</v>
      </c>
      <c r="X1460">
        <v>0.9253228</v>
      </c>
      <c r="Y1460">
        <v>0.41021249999999998</v>
      </c>
      <c r="Z1460">
        <v>0.1022985</v>
      </c>
      <c r="AA1460">
        <v>0.90623430000000005</v>
      </c>
      <c r="AB1460">
        <v>21</v>
      </c>
      <c r="AC1460">
        <v>-6.8673999999999698</v>
      </c>
      <c r="AD1460">
        <v>-1.108689820698</v>
      </c>
      <c r="AE1460">
        <v>-8.3874000000000102</v>
      </c>
      <c r="AF1460">
        <v>4.50825209415519</v>
      </c>
      <c r="AG1460">
        <v>-1.108689820698</v>
      </c>
      <c r="AH1460">
        <v>9.7347306432624503</v>
      </c>
      <c r="AI1460">
        <v>95.900328023666503</v>
      </c>
      <c r="AJ1460">
        <v>65.150668877877493</v>
      </c>
      <c r="AK1460">
        <v>10.7851059688742</v>
      </c>
      <c r="AL1460">
        <v>79.213585035088798</v>
      </c>
      <c r="AM1460">
        <v>70.384352704465798</v>
      </c>
      <c r="AN1460">
        <v>0.99999997068657898</v>
      </c>
    </row>
    <row r="1461" spans="1:40" x14ac:dyDescent="0.25">
      <c r="A1461" t="str">
        <f>"20190312172356776"</f>
        <v>20190312172356776</v>
      </c>
      <c r="B1461" t="str">
        <f>"1552382636771582"</f>
        <v>1552382636771582</v>
      </c>
      <c r="C1461" t="s">
        <v>40</v>
      </c>
      <c r="D1461">
        <v>4.097194</v>
      </c>
      <c r="E1461">
        <v>0.53146230000000005</v>
      </c>
      <c r="F1461" t="s">
        <v>46</v>
      </c>
      <c r="G1461">
        <v>-197.9434</v>
      </c>
      <c r="H1461" s="1">
        <v>1.2108379999999999E-6</v>
      </c>
      <c r="I1461">
        <v>293.75549999999998</v>
      </c>
      <c r="J1461">
        <v>-190.9384</v>
      </c>
      <c r="K1461">
        <v>1.108695</v>
      </c>
      <c r="L1461">
        <v>302.21850000000001</v>
      </c>
      <c r="M1461">
        <v>-0.2531735</v>
      </c>
      <c r="N1461">
        <v>0</v>
      </c>
      <c r="O1461">
        <v>-0.96732459999999998</v>
      </c>
      <c r="P1461">
        <v>-0.55369590000000002</v>
      </c>
      <c r="Q1461">
        <v>0.1771953</v>
      </c>
      <c r="R1461">
        <v>-0.81364759999999903</v>
      </c>
      <c r="S1461">
        <v>-1.968445</v>
      </c>
      <c r="T1461">
        <v>-0.30907119999999999</v>
      </c>
      <c r="U1461">
        <v>-2.4152830000000001</v>
      </c>
      <c r="V1461">
        <v>0.33057229999999999</v>
      </c>
      <c r="W1461">
        <v>0.1882074</v>
      </c>
      <c r="X1461">
        <v>0.92482419999999999</v>
      </c>
      <c r="Y1461">
        <v>0.4116223</v>
      </c>
      <c r="Z1461">
        <v>0.1009087</v>
      </c>
      <c r="AA1461">
        <v>0.90575079999999997</v>
      </c>
      <c r="AB1461">
        <v>21</v>
      </c>
      <c r="AC1461">
        <v>-7.0049999999999901</v>
      </c>
      <c r="AD1461">
        <v>-1.1086937891619999</v>
      </c>
      <c r="AE1461">
        <v>-8.4630000000000205</v>
      </c>
      <c r="AF1461">
        <v>4.58721428408791</v>
      </c>
      <c r="AG1461">
        <v>-1.1086937891619999</v>
      </c>
      <c r="AH1461">
        <v>9.8604517352718002</v>
      </c>
      <c r="AI1461">
        <v>95.820994809123903</v>
      </c>
      <c r="AJ1461">
        <v>65.051519960202896</v>
      </c>
      <c r="AK1461">
        <v>10.9316167710861</v>
      </c>
      <c r="AL1461">
        <v>79.151810734019193</v>
      </c>
      <c r="AM1461">
        <v>70.330905858429603</v>
      </c>
      <c r="AN1461">
        <v>0.99999993592384295</v>
      </c>
    </row>
    <row r="1462" spans="1:40" x14ac:dyDescent="0.25">
      <c r="A1462" t="str">
        <f>"20190312172356798"</f>
        <v>20190312172356798</v>
      </c>
      <c r="B1462" t="str">
        <f>"1552382636791102"</f>
        <v>1552382636791102</v>
      </c>
      <c r="C1462" t="s">
        <v>40</v>
      </c>
      <c r="D1462">
        <v>4.0652210000000002</v>
      </c>
      <c r="E1462">
        <v>0.53148009999999901</v>
      </c>
      <c r="F1462" t="s">
        <v>46</v>
      </c>
      <c r="G1462">
        <v>-198.11070000000001</v>
      </c>
      <c r="H1462" s="1">
        <v>1.240375E-6</v>
      </c>
      <c r="I1462">
        <v>293.50349999999997</v>
      </c>
      <c r="J1462">
        <v>-190.99629999999999</v>
      </c>
      <c r="K1462">
        <v>1.1086800000000001</v>
      </c>
      <c r="L1462">
        <v>302.01459999999997</v>
      </c>
      <c r="M1462">
        <v>-0.25673089999999998</v>
      </c>
      <c r="N1462">
        <v>0</v>
      </c>
      <c r="O1462">
        <v>-0.96638659999999998</v>
      </c>
      <c r="P1462">
        <v>-0.55709940000000002</v>
      </c>
      <c r="Q1462">
        <v>0.1776356</v>
      </c>
      <c r="R1462">
        <v>-0.81122490000000003</v>
      </c>
      <c r="S1462">
        <v>-1.98027</v>
      </c>
      <c r="T1462">
        <v>-0.30611149999999998</v>
      </c>
      <c r="U1462">
        <v>-2.4062190000000001</v>
      </c>
      <c r="V1462">
        <v>0.33107500000000001</v>
      </c>
      <c r="W1462">
        <v>0.188635</v>
      </c>
      <c r="X1462">
        <v>0.92455730000000003</v>
      </c>
      <c r="Y1462">
        <v>0.4126647</v>
      </c>
      <c r="Z1462">
        <v>9.9934709999999996E-2</v>
      </c>
      <c r="AA1462">
        <v>0.90538439999999998</v>
      </c>
      <c r="AB1462">
        <v>21</v>
      </c>
      <c r="AC1462">
        <v>-7.1144000000000096</v>
      </c>
      <c r="AD1462">
        <v>-1.1086787596249901</v>
      </c>
      <c r="AE1462">
        <v>-8.5110999999999901</v>
      </c>
      <c r="AF1462">
        <v>4.64424427747233</v>
      </c>
      <c r="AG1462">
        <v>-1.1086787596249901</v>
      </c>
      <c r="AH1462">
        <v>9.9530155260465101</v>
      </c>
      <c r="AI1462">
        <v>95.764071420177203</v>
      </c>
      <c r="AJ1462">
        <v>64.985452660477904</v>
      </c>
      <c r="AK1462">
        <v>11.039053019285699</v>
      </c>
      <c r="AL1462">
        <v>79.126865037047693</v>
      </c>
      <c r="AM1462">
        <v>70.2980467482828</v>
      </c>
      <c r="AN1462">
        <v>1.00000000991664</v>
      </c>
    </row>
    <row r="1463" spans="1:40" x14ac:dyDescent="0.25">
      <c r="A1463" t="str">
        <f>"20190312172356820"</f>
        <v>20190312172356820</v>
      </c>
      <c r="B1463" t="str">
        <f>"1552382636811598"</f>
        <v>1552382636811598</v>
      </c>
      <c r="C1463" t="s">
        <v>40</v>
      </c>
      <c r="D1463">
        <v>4.1095300000000003</v>
      </c>
      <c r="E1463">
        <v>0.53153539999999999</v>
      </c>
      <c r="F1463" t="s">
        <v>46</v>
      </c>
      <c r="G1463">
        <v>-198.17429999999999</v>
      </c>
      <c r="H1463" s="1">
        <v>1.2575640000000001E-6</v>
      </c>
      <c r="I1463">
        <v>293.37389999999999</v>
      </c>
      <c r="J1463">
        <v>-191.05240000000001</v>
      </c>
      <c r="K1463">
        <v>1.1086659999999999</v>
      </c>
      <c r="L1463">
        <v>301.81950000000001</v>
      </c>
      <c r="M1463">
        <v>-0.2601638</v>
      </c>
      <c r="N1463">
        <v>0</v>
      </c>
      <c r="O1463">
        <v>-0.96546810000000005</v>
      </c>
      <c r="P1463">
        <v>-0.56040059999999903</v>
      </c>
      <c r="Q1463">
        <v>0.1779849</v>
      </c>
      <c r="R1463">
        <v>-0.80887119999999901</v>
      </c>
      <c r="S1463">
        <v>-1.9917450000000001</v>
      </c>
      <c r="T1463">
        <v>-0.30763469999999998</v>
      </c>
      <c r="U1463">
        <v>-2.3976139999999999</v>
      </c>
      <c r="V1463">
        <v>0.33158459999999901</v>
      </c>
      <c r="W1463">
        <v>0.18896979999999999</v>
      </c>
      <c r="X1463">
        <v>0.92430630000000003</v>
      </c>
      <c r="Y1463">
        <v>0.41356189999999998</v>
      </c>
      <c r="Z1463">
        <v>0.1004023</v>
      </c>
      <c r="AA1463">
        <v>0.90492320000000004</v>
      </c>
      <c r="AB1463">
        <v>20</v>
      </c>
      <c r="AC1463">
        <v>-7.1218999999999797</v>
      </c>
      <c r="AD1463">
        <v>-1.1086647424360001</v>
      </c>
      <c r="AE1463">
        <v>-8.4456000000000095</v>
      </c>
      <c r="AF1463">
        <v>4.6325103012829096</v>
      </c>
      <c r="AG1463">
        <v>-1.1086647424360001</v>
      </c>
      <c r="AH1463">
        <v>9.9079682587916906</v>
      </c>
      <c r="AI1463">
        <v>95.787961622590203</v>
      </c>
      <c r="AJ1463">
        <v>64.941371649602303</v>
      </c>
      <c r="AK1463">
        <v>10.993503728104001</v>
      </c>
      <c r="AL1463">
        <v>79.107331362356106</v>
      </c>
      <c r="AM1463">
        <v>70.265116475207407</v>
      </c>
      <c r="AN1463">
        <v>1.00000003424444</v>
      </c>
    </row>
    <row r="1464" spans="1:40" x14ac:dyDescent="0.25">
      <c r="A1464" t="str">
        <f>"20190312172356844"</f>
        <v>20190312172356844</v>
      </c>
      <c r="B1464" t="str">
        <f>"1552382636840876"</f>
        <v>1552382636840876</v>
      </c>
      <c r="C1464" t="s">
        <v>40</v>
      </c>
      <c r="D1464">
        <v>4.04941</v>
      </c>
      <c r="E1464">
        <v>0.53165410000000002</v>
      </c>
      <c r="F1464" t="s">
        <v>46</v>
      </c>
      <c r="G1464">
        <v>-198.2517</v>
      </c>
      <c r="H1464" s="1">
        <v>1.2752310000000001E-6</v>
      </c>
      <c r="I1464">
        <v>293.2346</v>
      </c>
      <c r="J1464">
        <v>-191.11269999999999</v>
      </c>
      <c r="K1464">
        <v>1.1086510000000001</v>
      </c>
      <c r="L1464">
        <v>301.61329999999998</v>
      </c>
      <c r="M1464">
        <v>-0.2638316</v>
      </c>
      <c r="N1464">
        <v>0</v>
      </c>
      <c r="O1464">
        <v>-0.9644722</v>
      </c>
      <c r="P1464">
        <v>-0.56379489999999999</v>
      </c>
      <c r="Q1464">
        <v>0.1774395</v>
      </c>
      <c r="R1464">
        <v>-0.80662889999999998</v>
      </c>
      <c r="S1464">
        <v>-2.0032960000000002</v>
      </c>
      <c r="T1464">
        <v>-0.3084981</v>
      </c>
      <c r="U1464">
        <v>-2.388855</v>
      </c>
      <c r="V1464">
        <v>0.33192939999999999</v>
      </c>
      <c r="W1464">
        <v>0.18840970000000001</v>
      </c>
      <c r="X1464">
        <v>0.92429689999999998</v>
      </c>
      <c r="Y1464">
        <v>0.41429139999999998</v>
      </c>
      <c r="Z1464">
        <v>0.1006517</v>
      </c>
      <c r="AA1464">
        <v>0.90456170000000002</v>
      </c>
      <c r="AB1464">
        <v>20</v>
      </c>
      <c r="AC1464">
        <v>-7.1390000000000002</v>
      </c>
      <c r="AD1464">
        <v>-1.1086497247689999</v>
      </c>
      <c r="AE1464">
        <v>-8.3786999999999807</v>
      </c>
      <c r="AF1464">
        <v>4.6282881746611997</v>
      </c>
      <c r="AG1464">
        <v>-1.1086497247689999</v>
      </c>
      <c r="AH1464">
        <v>9.8653727086835392</v>
      </c>
      <c r="AI1464">
        <v>95.809176986445493</v>
      </c>
      <c r="AJ1464">
        <v>64.866623108147607</v>
      </c>
      <c r="AK1464">
        <v>10.9533435224673</v>
      </c>
      <c r="AL1464">
        <v>79.140009916245901</v>
      </c>
      <c r="AM1464">
        <v>70.245996950307301</v>
      </c>
      <c r="AN1464">
        <v>1.0000000504940201</v>
      </c>
    </row>
    <row r="1465" spans="1:40" x14ac:dyDescent="0.25">
      <c r="A1465" t="str">
        <f>"20190312172356866"</f>
        <v>20190312172356866</v>
      </c>
      <c r="B1465" t="str">
        <f>"1552382636861373"</f>
        <v>1552382636861373</v>
      </c>
      <c r="C1465" t="s">
        <v>40</v>
      </c>
      <c r="D1465">
        <v>4.115558</v>
      </c>
      <c r="E1465">
        <v>0.53171780000000002</v>
      </c>
      <c r="F1465" t="s">
        <v>46</v>
      </c>
      <c r="G1465">
        <v>-198.23050000000001</v>
      </c>
      <c r="H1465" s="1">
        <v>1.2822439999999999E-6</v>
      </c>
      <c r="I1465">
        <v>293.20549999999997</v>
      </c>
      <c r="J1465">
        <v>-191.16849999999999</v>
      </c>
      <c r="K1465">
        <v>1.1086309999999999</v>
      </c>
      <c r="L1465">
        <v>301.4248</v>
      </c>
      <c r="M1465">
        <v>-0.26721859999999997</v>
      </c>
      <c r="N1465">
        <v>0</v>
      </c>
      <c r="O1465">
        <v>-0.96353949999999999</v>
      </c>
      <c r="P1465">
        <v>-0.56723140000000005</v>
      </c>
      <c r="Q1465">
        <v>0.1772861</v>
      </c>
      <c r="R1465">
        <v>-0.80425040000000003</v>
      </c>
      <c r="S1465">
        <v>-2.014786</v>
      </c>
      <c r="T1465">
        <v>-0.31381799999999999</v>
      </c>
      <c r="U1465">
        <v>-2.3799440000000001</v>
      </c>
      <c r="V1465">
        <v>0.332625</v>
      </c>
      <c r="W1465">
        <v>0.1882364</v>
      </c>
      <c r="X1465">
        <v>0.92408210000000002</v>
      </c>
      <c r="Y1465">
        <v>0.4151976</v>
      </c>
      <c r="Z1465">
        <v>0.1023471</v>
      </c>
      <c r="AA1465">
        <v>0.90395579999999998</v>
      </c>
      <c r="AB1465">
        <v>20</v>
      </c>
      <c r="AC1465">
        <v>-7.06200000000001</v>
      </c>
      <c r="AD1465">
        <v>-1.1086297177559901</v>
      </c>
      <c r="AE1465">
        <v>-8.2193000000000307</v>
      </c>
      <c r="AF1465">
        <v>4.5608584738458902</v>
      </c>
      <c r="AG1465">
        <v>-1.1086297177559901</v>
      </c>
      <c r="AH1465">
        <v>9.7060417671448693</v>
      </c>
      <c r="AI1465">
        <v>95.9020639202203</v>
      </c>
      <c r="AJ1465">
        <v>64.831219595427498</v>
      </c>
      <c r="AK1465">
        <v>10.781360612422899</v>
      </c>
      <c r="AL1465">
        <v>79.150119953236498</v>
      </c>
      <c r="AM1465">
        <v>70.203569329008701</v>
      </c>
      <c r="AN1465">
        <v>1.0000000302251799</v>
      </c>
    </row>
    <row r="1466" spans="1:40" x14ac:dyDescent="0.25">
      <c r="A1466" t="str">
        <f>"20190312172356889"</f>
        <v>20190312172356889</v>
      </c>
      <c r="B1466" t="str">
        <f>"1552382636881030"</f>
        <v>1552382636881030</v>
      </c>
      <c r="C1466" t="s">
        <v>40</v>
      </c>
      <c r="D1466">
        <v>4.2698320000000001</v>
      </c>
      <c r="E1466">
        <v>0.5316689</v>
      </c>
      <c r="F1466" t="s">
        <v>46</v>
      </c>
      <c r="G1466">
        <v>-198.29570000000001</v>
      </c>
      <c r="H1466" s="1">
        <v>1.298217E-6</v>
      </c>
      <c r="I1466">
        <v>293.08190000000002</v>
      </c>
      <c r="J1466">
        <v>-191.2303</v>
      </c>
      <c r="K1466">
        <v>1.1086199999999999</v>
      </c>
      <c r="L1466">
        <v>301.21910000000003</v>
      </c>
      <c r="M1466">
        <v>-0.27095269999999999</v>
      </c>
      <c r="N1466">
        <v>0</v>
      </c>
      <c r="O1466">
        <v>-0.96249620000000002</v>
      </c>
      <c r="P1466">
        <v>-0.57077239999999996</v>
      </c>
      <c r="Q1466">
        <v>0.177163299999999</v>
      </c>
      <c r="R1466">
        <v>-0.80176840000000005</v>
      </c>
      <c r="S1466">
        <v>-2.025528</v>
      </c>
      <c r="T1466">
        <v>-0.3150712</v>
      </c>
      <c r="U1466">
        <v>-2.3710330000000002</v>
      </c>
      <c r="V1466">
        <v>0.33311740000000001</v>
      </c>
      <c r="W1466">
        <v>0.1880964</v>
      </c>
      <c r="X1466">
        <v>0.92393320000000001</v>
      </c>
      <c r="Y1466">
        <v>0.41569309999999998</v>
      </c>
      <c r="Z1466">
        <v>0.1027318</v>
      </c>
      <c r="AA1466">
        <v>0.90368440000000005</v>
      </c>
      <c r="AB1466">
        <v>20</v>
      </c>
      <c r="AC1466">
        <v>-7.0654000000000101</v>
      </c>
      <c r="AD1466">
        <v>-1.108618701783</v>
      </c>
      <c r="AE1466">
        <v>-8.1372</v>
      </c>
      <c r="AF1466">
        <v>4.5479208343492799</v>
      </c>
      <c r="AG1466">
        <v>-1.108618701783</v>
      </c>
      <c r="AH1466">
        <v>9.6452435513907897</v>
      </c>
      <c r="AI1466">
        <v>95.935262422340699</v>
      </c>
      <c r="AJ1466">
        <v>64.755206351468701</v>
      </c>
      <c r="AK1466">
        <v>10.721163300085299</v>
      </c>
      <c r="AL1466">
        <v>79.158287009060999</v>
      </c>
      <c r="AM1466">
        <v>70.173599861937802</v>
      </c>
      <c r="AN1466">
        <v>1.0000000079689799</v>
      </c>
    </row>
    <row r="1467" spans="1:40" x14ac:dyDescent="0.25">
      <c r="A1467" t="str">
        <f>"20190312172356912"</f>
        <v>20190312172356912</v>
      </c>
      <c r="B1467" t="str">
        <f>"1552382636901526"</f>
        <v>1552382636901526</v>
      </c>
      <c r="C1467" t="s">
        <v>40</v>
      </c>
      <c r="D1467">
        <v>4.1321180000000002</v>
      </c>
      <c r="E1467">
        <v>0.53173680000000001</v>
      </c>
      <c r="F1467" t="s">
        <v>46</v>
      </c>
      <c r="G1467">
        <v>-198.32839999999999</v>
      </c>
      <c r="H1467" s="1">
        <v>1.312978E-6</v>
      </c>
      <c r="I1467">
        <v>292.98160000000001</v>
      </c>
      <c r="J1467">
        <v>-191.29069999999999</v>
      </c>
      <c r="K1467">
        <v>1.108609</v>
      </c>
      <c r="L1467">
        <v>301.0213</v>
      </c>
      <c r="M1467">
        <v>-0.2745763</v>
      </c>
      <c r="N1467">
        <v>0</v>
      </c>
      <c r="O1467">
        <v>-0.96146849999999995</v>
      </c>
      <c r="P1467">
        <v>-0.57432899999999998</v>
      </c>
      <c r="Q1467">
        <v>0.17763499999999999</v>
      </c>
      <c r="R1467">
        <v>-0.79911980000000005</v>
      </c>
      <c r="S1467">
        <v>-2.0358890000000001</v>
      </c>
      <c r="T1467">
        <v>-0.31797779999999998</v>
      </c>
      <c r="U1467">
        <v>-2.3627009999999999</v>
      </c>
      <c r="V1467">
        <v>0.33378010000000002</v>
      </c>
      <c r="W1467">
        <v>0.1885502</v>
      </c>
      <c r="X1467">
        <v>0.92360140000000002</v>
      </c>
      <c r="Y1467">
        <v>0.41605819999999999</v>
      </c>
      <c r="Z1467">
        <v>0.1036391</v>
      </c>
      <c r="AA1467">
        <v>0.90341280000000002</v>
      </c>
      <c r="AB1467">
        <v>20</v>
      </c>
      <c r="AC1467">
        <v>-7.0377000000000001</v>
      </c>
      <c r="AD1467">
        <v>-1.1086076870220001</v>
      </c>
      <c r="AE1467">
        <v>-8.0396999999999803</v>
      </c>
      <c r="AF1467">
        <v>4.5108800604082502</v>
      </c>
      <c r="AG1467">
        <v>-1.1086076870220001</v>
      </c>
      <c r="AH1467">
        <v>9.5602858574193892</v>
      </c>
      <c r="AI1467">
        <v>95.986841643383499</v>
      </c>
      <c r="AJ1467">
        <v>64.740408707899803</v>
      </c>
      <c r="AK1467">
        <v>10.6290223256274</v>
      </c>
      <c r="AL1467">
        <v>79.131811725530994</v>
      </c>
      <c r="AM1467">
        <v>70.130662582803694</v>
      </c>
      <c r="AN1467">
        <v>0.99999993957900302</v>
      </c>
    </row>
    <row r="1468" spans="1:40" x14ac:dyDescent="0.25">
      <c r="A1468" t="str">
        <f>"20190312172356933"</f>
        <v>20190312172356933</v>
      </c>
      <c r="B1468" t="str">
        <f>"1552382636921045"</f>
        <v>1552382636921045</v>
      </c>
      <c r="C1468" t="s">
        <v>40</v>
      </c>
      <c r="D1468">
        <v>4.0700339999999997</v>
      </c>
      <c r="E1468">
        <v>0.53181210000000001</v>
      </c>
      <c r="F1468" t="s">
        <v>46</v>
      </c>
      <c r="G1468">
        <v>-198.45099999999999</v>
      </c>
      <c r="H1468" s="1">
        <v>1.3358040000000001E-6</v>
      </c>
      <c r="I1468">
        <v>292.7903</v>
      </c>
      <c r="J1468">
        <v>-191.34950000000001</v>
      </c>
      <c r="K1468">
        <v>1.1086049999999901</v>
      </c>
      <c r="L1468">
        <v>300.83100000000002</v>
      </c>
      <c r="M1468">
        <v>-0.27808899999999998</v>
      </c>
      <c r="N1468">
        <v>0</v>
      </c>
      <c r="O1468">
        <v>-0.96045849999999999</v>
      </c>
      <c r="P1468">
        <v>-0.57784749999999996</v>
      </c>
      <c r="Q1468">
        <v>0.17796770000000001</v>
      </c>
      <c r="R1468">
        <v>-0.79650500000000002</v>
      </c>
      <c r="S1468">
        <v>-2.0471650000000001</v>
      </c>
      <c r="T1468">
        <v>-0.3169537</v>
      </c>
      <c r="U1468">
        <v>-2.3532709999999999</v>
      </c>
      <c r="V1468">
        <v>0.33450419999999997</v>
      </c>
      <c r="W1468">
        <v>0.18886910000000001</v>
      </c>
      <c r="X1468">
        <v>0.92327429999999999</v>
      </c>
      <c r="Y1468">
        <v>0.41701880000000002</v>
      </c>
      <c r="Z1468">
        <v>0.10329190000000001</v>
      </c>
      <c r="AA1468">
        <v>0.90300950000000002</v>
      </c>
      <c r="AB1468">
        <v>20</v>
      </c>
      <c r="AC1468">
        <v>-7.1014999999999802</v>
      </c>
      <c r="AD1468">
        <v>-1.10860366419599</v>
      </c>
      <c r="AE1468">
        <v>-8.0406999999999496</v>
      </c>
      <c r="AF1468">
        <v>4.5366446464232899</v>
      </c>
      <c r="AG1468">
        <v>-1.10860366419599</v>
      </c>
      <c r="AH1468">
        <v>9.5960320339774796</v>
      </c>
      <c r="AI1468">
        <v>95.962559582293295</v>
      </c>
      <c r="AJ1468">
        <v>64.69696899214</v>
      </c>
      <c r="AK1468">
        <v>10.672112140027</v>
      </c>
      <c r="AL1468">
        <v>79.113206636263101</v>
      </c>
      <c r="AM1468">
        <v>70.084442846903201</v>
      </c>
      <c r="AN1468">
        <v>1.0000000148964701</v>
      </c>
    </row>
    <row r="1469" spans="1:40" x14ac:dyDescent="0.25">
      <c r="A1469" t="str">
        <f>"20190312172356956"</f>
        <v>20190312172356956</v>
      </c>
      <c r="B1469" t="str">
        <f>"1552382636951302"</f>
        <v>1552382636951302</v>
      </c>
      <c r="C1469" t="s">
        <v>40</v>
      </c>
      <c r="D1469">
        <v>4.0549390000000001</v>
      </c>
      <c r="E1469">
        <v>0.53192910000000004</v>
      </c>
      <c r="F1469" t="s">
        <v>46</v>
      </c>
      <c r="G1469">
        <v>-198.53970000000001</v>
      </c>
      <c r="H1469" s="1">
        <v>1.35386E-6</v>
      </c>
      <c r="I1469">
        <v>292.6431</v>
      </c>
      <c r="J1469">
        <v>-191.4117</v>
      </c>
      <c r="K1469">
        <v>1.108609</v>
      </c>
      <c r="L1469">
        <v>300.63249999999999</v>
      </c>
      <c r="M1469">
        <v>-0.28177629999999998</v>
      </c>
      <c r="N1469">
        <v>0</v>
      </c>
      <c r="O1469">
        <v>-0.95938319999999999</v>
      </c>
      <c r="P1469">
        <v>-0.58152510000000002</v>
      </c>
      <c r="Q1469">
        <v>0.17832779999999901</v>
      </c>
      <c r="R1469">
        <v>-0.79374299999999998</v>
      </c>
      <c r="S1469">
        <v>-2.058411</v>
      </c>
      <c r="T1469">
        <v>-0.31736779999999998</v>
      </c>
      <c r="U1469">
        <v>-2.3440249999999998</v>
      </c>
      <c r="V1469">
        <v>0.33525519999999998</v>
      </c>
      <c r="W1469">
        <v>0.18921789999999999</v>
      </c>
      <c r="X1469">
        <v>0.92293040000000004</v>
      </c>
      <c r="Y1469">
        <v>0.41773650000000001</v>
      </c>
      <c r="Z1469">
        <v>0.10339660000000001</v>
      </c>
      <c r="AA1469">
        <v>0.90266570000000002</v>
      </c>
      <c r="AB1469">
        <v>20</v>
      </c>
      <c r="AC1469">
        <v>-7.1280000000000099</v>
      </c>
      <c r="AD1469">
        <v>-1.1086076461399901</v>
      </c>
      <c r="AE1469">
        <v>-7.9893999999999803</v>
      </c>
      <c r="AF1469">
        <v>4.5390249435432999</v>
      </c>
      <c r="AG1469">
        <v>-1.1086076461399901</v>
      </c>
      <c r="AH1469">
        <v>9.5716820454158906</v>
      </c>
      <c r="AI1469">
        <v>95.974309355292704</v>
      </c>
      <c r="AJ1469">
        <v>64.629040530628302</v>
      </c>
      <c r="AK1469">
        <v>10.6512372769423</v>
      </c>
      <c r="AL1469">
        <v>79.092854659122295</v>
      </c>
      <c r="AM1469">
        <v>70.036407409249307</v>
      </c>
      <c r="AN1469">
        <v>0.999999993025805</v>
      </c>
    </row>
    <row r="1470" spans="1:40" x14ac:dyDescent="0.25">
      <c r="A1470" t="str">
        <f>"20190312172356979"</f>
        <v>20190312172356979</v>
      </c>
      <c r="B1470" t="str">
        <f>"1552382636971798"</f>
        <v>1552382636971798</v>
      </c>
      <c r="C1470" t="s">
        <v>40</v>
      </c>
      <c r="D1470">
        <v>4.064743</v>
      </c>
      <c r="E1470">
        <v>0.53202930000000004</v>
      </c>
      <c r="F1470" t="s">
        <v>46</v>
      </c>
      <c r="G1470">
        <v>-198.62190000000001</v>
      </c>
      <c r="H1470" s="1">
        <v>1.3702339999999999E-6</v>
      </c>
      <c r="I1470">
        <v>292.50869999999998</v>
      </c>
      <c r="J1470">
        <v>-191.47380000000001</v>
      </c>
      <c r="K1470">
        <v>1.1086149999999999</v>
      </c>
      <c r="L1470">
        <v>300.43700000000001</v>
      </c>
      <c r="M1470">
        <v>-0.28542509999999999</v>
      </c>
      <c r="N1470">
        <v>0</v>
      </c>
      <c r="O1470">
        <v>-0.95830389999999999</v>
      </c>
      <c r="P1470">
        <v>-0.58515269999999897</v>
      </c>
      <c r="Q1470">
        <v>0.1789453</v>
      </c>
      <c r="R1470">
        <v>-0.79093269999999904</v>
      </c>
      <c r="S1470">
        <v>-2.0712130000000002</v>
      </c>
      <c r="T1470">
        <v>-0.31846069999999999</v>
      </c>
      <c r="U1470">
        <v>-2.3336489999999999</v>
      </c>
      <c r="V1470">
        <v>0.336012799999999</v>
      </c>
      <c r="W1470">
        <v>0.18982560000000001</v>
      </c>
      <c r="X1470">
        <v>0.92253010000000002</v>
      </c>
      <c r="Y1470">
        <v>0.41902289999999998</v>
      </c>
      <c r="Z1470">
        <v>0.1037204</v>
      </c>
      <c r="AA1470">
        <v>0.9020321</v>
      </c>
      <c r="AB1470">
        <v>20</v>
      </c>
      <c r="AC1470">
        <v>-7.1481000000000003</v>
      </c>
      <c r="AD1470">
        <v>-1.1086136297660001</v>
      </c>
      <c r="AE1470">
        <v>-7.9283000000000303</v>
      </c>
      <c r="AF1470">
        <v>4.5385930430497998</v>
      </c>
      <c r="AG1470">
        <v>-1.1086136297660001</v>
      </c>
      <c r="AH1470">
        <v>9.5360160126610296</v>
      </c>
      <c r="AI1470">
        <v>95.992537242292997</v>
      </c>
      <c r="AJ1470">
        <v>64.548248857887799</v>
      </c>
      <c r="AK1470">
        <v>10.6190137199389</v>
      </c>
      <c r="AL1470">
        <v>79.0573942140919</v>
      </c>
      <c r="AM1470">
        <v>69.986877204836901</v>
      </c>
      <c r="AN1470">
        <v>1.0000000727925999</v>
      </c>
    </row>
    <row r="1471" spans="1:40" x14ac:dyDescent="0.25">
      <c r="A1471" t="str">
        <f>"20190312172357011"</f>
        <v>20190312172357011</v>
      </c>
      <c r="B1471" t="str">
        <f>"1552382637001078"</f>
        <v>1552382637001078</v>
      </c>
      <c r="C1471" t="s">
        <v>40</v>
      </c>
      <c r="D1471">
        <v>4.0709299999999997</v>
      </c>
      <c r="E1471">
        <v>0.53219759999999905</v>
      </c>
      <c r="F1471" t="s">
        <v>46</v>
      </c>
      <c r="G1471">
        <v>-198.74279999999999</v>
      </c>
      <c r="H1471" s="1">
        <v>1.3906139999999901E-6</v>
      </c>
      <c r="I1471">
        <v>292.3322</v>
      </c>
      <c r="J1471">
        <v>-191.56450000000001</v>
      </c>
      <c r="K1471">
        <v>1.1086199999999999</v>
      </c>
      <c r="L1471">
        <v>300.15589999999997</v>
      </c>
      <c r="M1471">
        <v>-0.29069139999999999</v>
      </c>
      <c r="N1471">
        <v>0</v>
      </c>
      <c r="O1471">
        <v>-0.95671980000000001</v>
      </c>
      <c r="P1471">
        <v>-0.59116279999999999</v>
      </c>
      <c r="Q1471">
        <v>0.17850639999999901</v>
      </c>
      <c r="R1471">
        <v>-0.78655109999999995</v>
      </c>
      <c r="S1471">
        <v>-2.08371</v>
      </c>
      <c r="T1471">
        <v>-0.31779210000000002</v>
      </c>
      <c r="U1471">
        <v>-2.3233030000000001</v>
      </c>
      <c r="V1471">
        <v>0.33794089999999999</v>
      </c>
      <c r="W1471">
        <v>0.1893687</v>
      </c>
      <c r="X1471">
        <v>0.92191939999999994</v>
      </c>
      <c r="Y1471">
        <v>0.41874040000000001</v>
      </c>
      <c r="Z1471">
        <v>0.103438</v>
      </c>
      <c r="AA1471">
        <v>0.90219570000000004</v>
      </c>
      <c r="AB1471">
        <v>20</v>
      </c>
      <c r="AC1471">
        <v>-7.1782999999999699</v>
      </c>
      <c r="AD1471">
        <v>-1.108618609386</v>
      </c>
      <c r="AE1471">
        <v>-7.8236999999999703</v>
      </c>
      <c r="AF1471">
        <v>4.5442264160215702</v>
      </c>
      <c r="AG1471">
        <v>-1.108618609386</v>
      </c>
      <c r="AH1471">
        <v>9.4694153786382493</v>
      </c>
      <c r="AI1471">
        <v>96.025220982713904</v>
      </c>
      <c r="AJ1471">
        <v>64.364369185238004</v>
      </c>
      <c r="AK1471">
        <v>10.561669212503</v>
      </c>
      <c r="AL1471">
        <v>79.084055095930196</v>
      </c>
      <c r="AM1471">
        <v>69.868967612277004</v>
      </c>
      <c r="AN1471">
        <v>0.99999996826442905</v>
      </c>
    </row>
    <row r="1472" spans="1:40" x14ac:dyDescent="0.25">
      <c r="A1472" t="str">
        <f>"20190312172357032"</f>
        <v>20190312172357032</v>
      </c>
      <c r="B1472" t="str">
        <f>"1552382637021576"</f>
        <v>1552382637021576</v>
      </c>
      <c r="C1472" t="s">
        <v>40</v>
      </c>
      <c r="D1472">
        <v>4.1357249999999999</v>
      </c>
      <c r="E1472">
        <v>0.53223589999999998</v>
      </c>
      <c r="F1472" t="s">
        <v>46</v>
      </c>
      <c r="G1472">
        <v>-198.80099999999999</v>
      </c>
      <c r="H1472" s="1">
        <v>1.4070489999999999E-6</v>
      </c>
      <c r="I1472">
        <v>292.20949999999999</v>
      </c>
      <c r="J1472">
        <v>-191.625</v>
      </c>
      <c r="K1472">
        <v>1.108617</v>
      </c>
      <c r="L1472">
        <v>299.97160000000002</v>
      </c>
      <c r="M1472">
        <v>-0.29415590000000003</v>
      </c>
      <c r="N1472">
        <v>0</v>
      </c>
      <c r="O1472">
        <v>-0.95566010000000001</v>
      </c>
      <c r="P1472">
        <v>-0.5947289</v>
      </c>
      <c r="Q1472">
        <v>0.17821210000000001</v>
      </c>
      <c r="R1472">
        <v>-0.78392459999999997</v>
      </c>
      <c r="S1472">
        <v>-2.1015169999999999</v>
      </c>
      <c r="T1472">
        <v>-0.32195099999999999</v>
      </c>
      <c r="U1472">
        <v>-2.307709</v>
      </c>
      <c r="V1472">
        <v>0.33876780000000001</v>
      </c>
      <c r="W1472">
        <v>0.18906719999999999</v>
      </c>
      <c r="X1472">
        <v>0.92167779999999999</v>
      </c>
      <c r="Y1472">
        <v>0.42219430000000002</v>
      </c>
      <c r="Z1472">
        <v>0.10479719999999999</v>
      </c>
      <c r="AA1472">
        <v>0.90042739999999999</v>
      </c>
      <c r="AB1472">
        <v>20</v>
      </c>
      <c r="AC1472">
        <v>-7.1759999999999797</v>
      </c>
      <c r="AD1472">
        <v>-1.108615592951</v>
      </c>
      <c r="AE1472">
        <v>-7.7621000000000304</v>
      </c>
      <c r="AF1472">
        <v>4.5252046084655904</v>
      </c>
      <c r="AG1472">
        <v>-1.108615592951</v>
      </c>
      <c r="AH1472">
        <v>9.4260068090587499</v>
      </c>
      <c r="AI1472">
        <v>96.052296573891994</v>
      </c>
      <c r="AJ1472">
        <v>64.355430684573307</v>
      </c>
      <c r="AK1472">
        <v>10.5145665457894</v>
      </c>
      <c r="AL1472">
        <v>79.101647905304901</v>
      </c>
      <c r="AM1472">
        <v>69.818815393728599</v>
      </c>
      <c r="AN1472">
        <v>0.99999999772276005</v>
      </c>
    </row>
    <row r="1473" spans="1:40" x14ac:dyDescent="0.25">
      <c r="A1473" t="str">
        <f>"20190312172357054"</f>
        <v>20190312172357054</v>
      </c>
      <c r="B1473" t="str">
        <f>"1552382637050854"</f>
        <v>1552382637050854</v>
      </c>
      <c r="C1473" t="s">
        <v>40</v>
      </c>
      <c r="D1473">
        <v>4.1929800000000004</v>
      </c>
      <c r="E1473">
        <v>0.53242159999999905</v>
      </c>
      <c r="F1473" t="s">
        <v>46</v>
      </c>
      <c r="G1473">
        <v>-198.84219999999999</v>
      </c>
      <c r="H1473" s="1">
        <v>1.419451E-6</v>
      </c>
      <c r="I1473">
        <v>292.11829999999998</v>
      </c>
      <c r="J1473">
        <v>-191.68899999999999</v>
      </c>
      <c r="K1473">
        <v>1.1086180000000001</v>
      </c>
      <c r="L1473">
        <v>299.77890000000002</v>
      </c>
      <c r="M1473">
        <v>-0.29778090000000002</v>
      </c>
      <c r="N1473">
        <v>0</v>
      </c>
      <c r="O1473">
        <v>-0.95453699999999997</v>
      </c>
      <c r="P1473">
        <v>-0.59810169999999996</v>
      </c>
      <c r="Q1473">
        <v>0.17787269999999999</v>
      </c>
      <c r="R1473">
        <v>-0.78143229999999997</v>
      </c>
      <c r="S1473">
        <v>-2.1121219999999998</v>
      </c>
      <c r="T1473">
        <v>-0.32443889999999997</v>
      </c>
      <c r="U1473">
        <v>-2.298279</v>
      </c>
      <c r="V1473">
        <v>0.33921659999999998</v>
      </c>
      <c r="W1473">
        <v>0.1887248</v>
      </c>
      <c r="X1473">
        <v>0.92158289999999998</v>
      </c>
      <c r="Y1473">
        <v>0.42279369999999999</v>
      </c>
      <c r="Z1473">
        <v>0.105570899999999</v>
      </c>
      <c r="AA1473">
        <v>0.90005569999999901</v>
      </c>
      <c r="AB1473">
        <v>20</v>
      </c>
      <c r="AC1473">
        <v>-7.1531999999999698</v>
      </c>
      <c r="AD1473">
        <v>-1.108616580549</v>
      </c>
      <c r="AE1473">
        <v>-7.6606000000000396</v>
      </c>
      <c r="AF1473">
        <v>4.4969244532894503</v>
      </c>
      <c r="AG1473">
        <v>-1.108616580549</v>
      </c>
      <c r="AH1473">
        <v>9.3388069775114708</v>
      </c>
      <c r="AI1473">
        <v>96.104946901344803</v>
      </c>
      <c r="AJ1473">
        <v>64.287746046773506</v>
      </c>
      <c r="AK1473">
        <v>10.4242350330601</v>
      </c>
      <c r="AL1473">
        <v>79.121625626379995</v>
      </c>
      <c r="AM1473">
        <v>69.792327926611094</v>
      </c>
      <c r="AN1473">
        <v>0.99999999671150497</v>
      </c>
    </row>
    <row r="1474" spans="1:40" x14ac:dyDescent="0.25">
      <c r="A1474" t="str">
        <f>"20190312172357078"</f>
        <v>20190312172357078</v>
      </c>
      <c r="B1474" t="str">
        <f>"1552382637071349"</f>
        <v>1552382637071349</v>
      </c>
      <c r="C1474" t="s">
        <v>40</v>
      </c>
      <c r="D1474">
        <v>4.0731640000000002</v>
      </c>
      <c r="E1474">
        <v>0.53245120000000001</v>
      </c>
      <c r="F1474" t="s">
        <v>46</v>
      </c>
      <c r="G1474">
        <v>-198.88470000000001</v>
      </c>
      <c r="H1474" s="1">
        <v>1.432452E-6</v>
      </c>
      <c r="I1474">
        <v>292.0231</v>
      </c>
      <c r="J1474">
        <v>-191.756</v>
      </c>
      <c r="K1474">
        <v>1.1086229999999999</v>
      </c>
      <c r="L1474">
        <v>299.57979999999998</v>
      </c>
      <c r="M1474">
        <v>-0.30153089999999999</v>
      </c>
      <c r="N1474">
        <v>0</v>
      </c>
      <c r="O1474">
        <v>-0.95335899999999996</v>
      </c>
      <c r="P1474">
        <v>-0.60178120000000002</v>
      </c>
      <c r="Q1474">
        <v>0.1770457</v>
      </c>
      <c r="R1474">
        <v>-0.77879049999999905</v>
      </c>
      <c r="S1474">
        <v>-2.12323</v>
      </c>
      <c r="T1474">
        <v>-0.32712029999999997</v>
      </c>
      <c r="U1474">
        <v>-2.288513</v>
      </c>
      <c r="V1474">
        <v>0.33987979999999901</v>
      </c>
      <c r="W1474">
        <v>0.18789600000000001</v>
      </c>
      <c r="X1474">
        <v>0.92150799999999999</v>
      </c>
      <c r="Y1474">
        <v>0.42343649999999999</v>
      </c>
      <c r="Z1474">
        <v>0.1063993</v>
      </c>
      <c r="AA1474">
        <v>0.89965589999999995</v>
      </c>
      <c r="AB1474">
        <v>20</v>
      </c>
      <c r="AC1474">
        <v>-7.1287000000000296</v>
      </c>
      <c r="AD1474">
        <v>-1.108621567548</v>
      </c>
      <c r="AE1474">
        <v>-7.55669999999997</v>
      </c>
      <c r="AF1474">
        <v>4.4671780824257201</v>
      </c>
      <c r="AG1474">
        <v>-1.108621567548</v>
      </c>
      <c r="AH1474">
        <v>9.2493067961564801</v>
      </c>
      <c r="AI1474">
        <v>96.160142732226703</v>
      </c>
      <c r="AJ1474">
        <v>64.220648312088201</v>
      </c>
      <c r="AK1474">
        <v>10.3312340990592</v>
      </c>
      <c r="AL1474">
        <v>79.1699784234617</v>
      </c>
      <c r="AM1474">
        <v>69.75451239457</v>
      </c>
      <c r="AN1474">
        <v>1.00000008966401</v>
      </c>
    </row>
    <row r="1475" spans="1:40" x14ac:dyDescent="0.25">
      <c r="A1475" t="str">
        <f>"20190312172357101"</f>
        <v>20190312172357101</v>
      </c>
      <c r="B1475" t="str">
        <f>"1552382637091845"</f>
        <v>1552382637091845</v>
      </c>
      <c r="C1475" t="s">
        <v>40</v>
      </c>
      <c r="D1475">
        <v>4.2861070000000003</v>
      </c>
      <c r="E1475">
        <v>0.53249760000000002</v>
      </c>
      <c r="F1475" t="s">
        <v>46</v>
      </c>
      <c r="G1475">
        <v>-198.86840000000001</v>
      </c>
      <c r="H1475" s="1">
        <v>1.441342E-6</v>
      </c>
      <c r="I1475">
        <v>291.98079999999999</v>
      </c>
      <c r="J1475">
        <v>-191.82320000000001</v>
      </c>
      <c r="K1475">
        <v>1.108619</v>
      </c>
      <c r="L1475">
        <v>299.3827</v>
      </c>
      <c r="M1475">
        <v>-0.30524479999999998</v>
      </c>
      <c r="N1475">
        <v>0</v>
      </c>
      <c r="O1475">
        <v>-0.95217660000000004</v>
      </c>
      <c r="P1475">
        <v>-0.6056494</v>
      </c>
      <c r="Q1475">
        <v>0.17646239999999999</v>
      </c>
      <c r="R1475">
        <v>-0.77591899999999903</v>
      </c>
      <c r="S1475">
        <v>-2.1333470000000001</v>
      </c>
      <c r="T1475">
        <v>-0.33252920000000002</v>
      </c>
      <c r="U1475">
        <v>-2.2792970000000001</v>
      </c>
      <c r="V1475">
        <v>0.34082879999999999</v>
      </c>
      <c r="W1475">
        <v>0.18730910000000001</v>
      </c>
      <c r="X1475">
        <v>0.92127689999999995</v>
      </c>
      <c r="Y1475">
        <v>0.42372310000000002</v>
      </c>
      <c r="Z1475">
        <v>0.10810400000000001</v>
      </c>
      <c r="AA1475">
        <v>0.8993177</v>
      </c>
      <c r="AB1475">
        <v>20</v>
      </c>
      <c r="AC1475">
        <v>-7.0451999999999897</v>
      </c>
      <c r="AD1475">
        <v>-1.1086175586579901</v>
      </c>
      <c r="AE1475">
        <v>-7.4019000000000101</v>
      </c>
      <c r="AF1475">
        <v>4.39753747492699</v>
      </c>
      <c r="AG1475">
        <v>-1.1086175586579901</v>
      </c>
      <c r="AH1475">
        <v>9.0922654019441396</v>
      </c>
      <c r="AI1475">
        <v>96.264016805947506</v>
      </c>
      <c r="AJ1475">
        <v>64.188944225456297</v>
      </c>
      <c r="AK1475">
        <v>10.160544221356499</v>
      </c>
      <c r="AL1475">
        <v>79.204212697301799</v>
      </c>
      <c r="AM1475">
        <v>69.697914271641196</v>
      </c>
      <c r="AN1475">
        <v>1.0000000481629201</v>
      </c>
    </row>
    <row r="1476" spans="1:40" x14ac:dyDescent="0.25">
      <c r="A1476" t="str">
        <f>"20190312172357124"</f>
        <v>20190312172357124</v>
      </c>
      <c r="B1476" t="str">
        <f>"1552382637121126"</f>
        <v>1552382637121126</v>
      </c>
      <c r="C1476" t="s">
        <v>40</v>
      </c>
      <c r="D1476">
        <v>4.0891789999999997</v>
      </c>
      <c r="E1476">
        <v>0.53261709999999995</v>
      </c>
      <c r="F1476" t="s">
        <v>46</v>
      </c>
      <c r="G1476">
        <v>-198.91820000000001</v>
      </c>
      <c r="H1476" s="1">
        <v>1.455114E-6</v>
      </c>
      <c r="I1476">
        <v>291.8775</v>
      </c>
      <c r="J1476">
        <v>-191.8897</v>
      </c>
      <c r="K1476">
        <v>1.1086320000000001</v>
      </c>
      <c r="L1476">
        <v>299.19009999999997</v>
      </c>
      <c r="M1476">
        <v>-0.3088765</v>
      </c>
      <c r="N1476">
        <v>0</v>
      </c>
      <c r="O1476">
        <v>-0.95100439999999997</v>
      </c>
      <c r="P1476">
        <v>-0.60993569999999997</v>
      </c>
      <c r="Q1476">
        <v>0.17644109999999999</v>
      </c>
      <c r="R1476">
        <v>-0.77255859999999998</v>
      </c>
      <c r="S1476">
        <v>-2.1446079999999998</v>
      </c>
      <c r="T1476">
        <v>-0.33510259999999997</v>
      </c>
      <c r="U1476">
        <v>-2.2685849999999999</v>
      </c>
      <c r="V1476">
        <v>0.34241129999999997</v>
      </c>
      <c r="W1476">
        <v>0.18727769999999999</v>
      </c>
      <c r="X1476">
        <v>0.92069630000000002</v>
      </c>
      <c r="Y1476">
        <v>0.42468410000000001</v>
      </c>
      <c r="Z1476">
        <v>0.1089156</v>
      </c>
      <c r="AA1476">
        <v>0.89876630000000002</v>
      </c>
      <c r="AB1476">
        <v>20</v>
      </c>
      <c r="AC1476">
        <v>-7.0285000000000002</v>
      </c>
      <c r="AD1476">
        <v>-1.1086305448860001</v>
      </c>
      <c r="AE1476">
        <v>-7.3125999999999696</v>
      </c>
      <c r="AF1476">
        <v>4.3736030437800402</v>
      </c>
      <c r="AG1476">
        <v>-1.1086305448860001</v>
      </c>
      <c r="AH1476">
        <v>9.01835707974959</v>
      </c>
      <c r="AI1476">
        <v>96.311795032277601</v>
      </c>
      <c r="AJ1476">
        <v>64.128158529288399</v>
      </c>
      <c r="AK1476">
        <v>10.0840581953639</v>
      </c>
      <c r="AL1476">
        <v>79.206044281093895</v>
      </c>
      <c r="AM1476">
        <v>69.599594608248296</v>
      </c>
      <c r="AN1476">
        <v>1.0000000560593301</v>
      </c>
    </row>
    <row r="1477" spans="1:40" x14ac:dyDescent="0.25">
      <c r="A1477" t="str">
        <f>"20190312172357145"</f>
        <v>20190312172357145</v>
      </c>
      <c r="B1477" t="str">
        <f>"1552382637141622"</f>
        <v>1552382637141622</v>
      </c>
      <c r="C1477" t="s">
        <v>40</v>
      </c>
      <c r="D1477">
        <v>4.0608839999999997</v>
      </c>
      <c r="E1477">
        <v>0.53271820000000003</v>
      </c>
      <c r="F1477" t="s">
        <v>46</v>
      </c>
      <c r="G1477">
        <v>-199.0009</v>
      </c>
      <c r="H1477" s="1">
        <v>1.4698060000000001E-6</v>
      </c>
      <c r="I1477">
        <v>291.7525</v>
      </c>
      <c r="J1477">
        <v>-191.9528</v>
      </c>
      <c r="K1477">
        <v>1.1086419999999999</v>
      </c>
      <c r="L1477">
        <v>299.00970000000001</v>
      </c>
      <c r="M1477">
        <v>-0.31227660000000002</v>
      </c>
      <c r="N1477">
        <v>0</v>
      </c>
      <c r="O1477">
        <v>-0.94989349999999995</v>
      </c>
      <c r="P1477">
        <v>-0.61404510000000001</v>
      </c>
      <c r="Q1477">
        <v>0.17671419999999999</v>
      </c>
      <c r="R1477">
        <v>-0.76923399999999997</v>
      </c>
      <c r="S1477">
        <v>-2.157578</v>
      </c>
      <c r="T1477">
        <v>-0.33636509999999997</v>
      </c>
      <c r="U1477">
        <v>-2.2566220000000001</v>
      </c>
      <c r="V1477">
        <v>0.34404590000000002</v>
      </c>
      <c r="W1477">
        <v>0.1875386</v>
      </c>
      <c r="X1477">
        <v>0.92003360000000001</v>
      </c>
      <c r="Y1477">
        <v>0.4264966</v>
      </c>
      <c r="Z1477">
        <v>0.10931100000000001</v>
      </c>
      <c r="AA1477">
        <v>0.89785949999999903</v>
      </c>
      <c r="AB1477">
        <v>20</v>
      </c>
      <c r="AC1477">
        <v>-7.0480999999999998</v>
      </c>
      <c r="AD1477">
        <v>-1.1086405301940001</v>
      </c>
      <c r="AE1477">
        <v>-7.2572000000000099</v>
      </c>
      <c r="AF1477">
        <v>4.3765417562903801</v>
      </c>
      <c r="AG1477">
        <v>-1.1086405301940001</v>
      </c>
      <c r="AH1477">
        <v>8.9874336440807294</v>
      </c>
      <c r="AI1477">
        <v>96.328466237058905</v>
      </c>
      <c r="AJ1477">
        <v>64.035661800078501</v>
      </c>
      <c r="AK1477">
        <v>10.057691836425301</v>
      </c>
      <c r="AL1477">
        <v>79.1908262945404</v>
      </c>
      <c r="AM1477">
        <v>69.496752808612598</v>
      </c>
      <c r="AN1477">
        <v>1.0000000664628601</v>
      </c>
    </row>
    <row r="1478" spans="1:40" x14ac:dyDescent="0.25">
      <c r="A1478" t="str">
        <f>"20190312172357166"</f>
        <v>20190312172357166</v>
      </c>
      <c r="B1478" t="str">
        <f>"1552382637161142"</f>
        <v>1552382637161142</v>
      </c>
      <c r="C1478" t="s">
        <v>40</v>
      </c>
      <c r="D1478">
        <v>4.1178179999999998</v>
      </c>
      <c r="E1478">
        <v>0.53281119999999904</v>
      </c>
      <c r="F1478" t="s">
        <v>46</v>
      </c>
      <c r="G1478">
        <v>-199.0822</v>
      </c>
      <c r="H1478" s="1">
        <v>1.482813E-6</v>
      </c>
      <c r="I1478">
        <v>291.6377</v>
      </c>
      <c r="J1478">
        <v>-192.01679999999999</v>
      </c>
      <c r="K1478">
        <v>1.108652</v>
      </c>
      <c r="L1478">
        <v>298.82859999999999</v>
      </c>
      <c r="M1478">
        <v>-0.31569239999999998</v>
      </c>
      <c r="N1478">
        <v>0</v>
      </c>
      <c r="O1478">
        <v>-0.94876380000000005</v>
      </c>
      <c r="P1478">
        <v>-0.6176895</v>
      </c>
      <c r="Q1478">
        <v>0.1769888</v>
      </c>
      <c r="R1478">
        <v>-0.76624720000000002</v>
      </c>
      <c r="S1478">
        <v>-2.1707920000000001</v>
      </c>
      <c r="T1478">
        <v>-0.33756019999999998</v>
      </c>
      <c r="U1478">
        <v>-2.244659</v>
      </c>
      <c r="V1478">
        <v>0.34512290000000001</v>
      </c>
      <c r="W1478">
        <v>0.187807</v>
      </c>
      <c r="X1478">
        <v>0.91957529999999998</v>
      </c>
      <c r="Y1478">
        <v>0.42834</v>
      </c>
      <c r="Z1478">
        <v>0.1096751</v>
      </c>
      <c r="AA1478">
        <v>0.89693709999999904</v>
      </c>
      <c r="AB1478">
        <v>20</v>
      </c>
      <c r="AC1478">
        <v>-7.0654000000000101</v>
      </c>
      <c r="AD1478">
        <v>-1.108650517187</v>
      </c>
      <c r="AE1478">
        <v>-7.1908999999999903</v>
      </c>
      <c r="AF1478">
        <v>4.3807140453494</v>
      </c>
      <c r="AG1478">
        <v>-1.108650517187</v>
      </c>
      <c r="AH1478">
        <v>8.9456100254157001</v>
      </c>
      <c r="AI1478">
        <v>96.351052055705196</v>
      </c>
      <c r="AJ1478">
        <v>63.908756213172197</v>
      </c>
      <c r="AK1478">
        <v>10.022160457865199</v>
      </c>
      <c r="AL1478">
        <v>79.175169288577607</v>
      </c>
      <c r="AM1478">
        <v>69.428543173484798</v>
      </c>
      <c r="AN1478">
        <v>1.00000000886174</v>
      </c>
    </row>
    <row r="1479" spans="1:40" x14ac:dyDescent="0.25">
      <c r="A1479" t="str">
        <f>"20190312172357189"</f>
        <v>20190312172357189</v>
      </c>
      <c r="B1479" t="str">
        <f>"1552382637181638"</f>
        <v>1552382637181638</v>
      </c>
      <c r="C1479" t="s">
        <v>40</v>
      </c>
      <c r="D1479">
        <v>4.0745420000000001</v>
      </c>
      <c r="E1479">
        <v>0.53288469999999999</v>
      </c>
      <c r="F1479" t="s">
        <v>46</v>
      </c>
      <c r="G1479">
        <v>-199.18450000000001</v>
      </c>
      <c r="H1479" s="1">
        <v>1.4989500000000001E-6</v>
      </c>
      <c r="I1479">
        <v>291.49450000000002</v>
      </c>
      <c r="J1479">
        <v>-192.0864</v>
      </c>
      <c r="K1479">
        <v>1.1086579999999999</v>
      </c>
      <c r="L1479">
        <v>298.63420000000002</v>
      </c>
      <c r="M1479">
        <v>-0.31935839999999999</v>
      </c>
      <c r="N1479">
        <v>0</v>
      </c>
      <c r="O1479">
        <v>-0.9475363</v>
      </c>
      <c r="P1479">
        <v>-0.62136349999999996</v>
      </c>
      <c r="Q1479">
        <v>0.1767299</v>
      </c>
      <c r="R1479">
        <v>-0.76333119999999999</v>
      </c>
      <c r="S1479">
        <v>-2.1828460000000001</v>
      </c>
      <c r="T1479">
        <v>-0.33762710000000001</v>
      </c>
      <c r="U1479">
        <v>-2.2335210000000001</v>
      </c>
      <c r="V1479">
        <v>0.34596310000000002</v>
      </c>
      <c r="W1479">
        <v>0.18754419999999999</v>
      </c>
      <c r="X1479">
        <v>0.91931320000000005</v>
      </c>
      <c r="Y1479">
        <v>0.42956349999999999</v>
      </c>
      <c r="Z1479">
        <v>0.1096645</v>
      </c>
      <c r="AA1479">
        <v>0.89635309999999901</v>
      </c>
      <c r="AB1479">
        <v>20</v>
      </c>
      <c r="AC1479">
        <v>-7.0981000000000103</v>
      </c>
      <c r="AD1479">
        <v>-1.10865650105</v>
      </c>
      <c r="AE1479">
        <v>-7.1397000000000004</v>
      </c>
      <c r="AF1479">
        <v>4.3927276041474901</v>
      </c>
      <c r="AG1479">
        <v>-1.10865650105</v>
      </c>
      <c r="AH1479">
        <v>8.9245755021931394</v>
      </c>
      <c r="AI1479">
        <v>96.359690306713205</v>
      </c>
      <c r="AJ1479">
        <v>63.7933224062159</v>
      </c>
      <c r="AK1479">
        <v>10.008657399267101</v>
      </c>
      <c r="AL1479">
        <v>79.190499206276499</v>
      </c>
      <c r="AM1479">
        <v>69.377286743430503</v>
      </c>
      <c r="AN1479">
        <v>1.00000002660474</v>
      </c>
    </row>
    <row r="1480" spans="1:40" x14ac:dyDescent="0.25">
      <c r="A1480" t="str">
        <f>"20190312172357211"</f>
        <v>20190312172357211</v>
      </c>
      <c r="B1480" t="str">
        <f>"1552382637201157"</f>
        <v>1552382637201157</v>
      </c>
      <c r="C1480" t="s">
        <v>40</v>
      </c>
      <c r="D1480">
        <v>4.1482559999999999</v>
      </c>
      <c r="E1480">
        <v>0.53295409999999999</v>
      </c>
      <c r="F1480" t="s">
        <v>46</v>
      </c>
      <c r="G1480">
        <v>-199.25389999999999</v>
      </c>
      <c r="H1480" s="1">
        <v>1.513471E-6</v>
      </c>
      <c r="I1480">
        <v>291.37709999999998</v>
      </c>
      <c r="J1480">
        <v>-192.15649999999999</v>
      </c>
      <c r="K1480">
        <v>1.1086659999999999</v>
      </c>
      <c r="L1480">
        <v>298.44060000000002</v>
      </c>
      <c r="M1480">
        <v>-0.32301239999999998</v>
      </c>
      <c r="N1480">
        <v>0</v>
      </c>
      <c r="O1480">
        <v>-0.94629680000000005</v>
      </c>
      <c r="P1480">
        <v>-0.62495089999999998</v>
      </c>
      <c r="Q1480">
        <v>0.17614639999999901</v>
      </c>
      <c r="R1480">
        <v>-0.76053179999999998</v>
      </c>
      <c r="S1480">
        <v>-2.1947480000000001</v>
      </c>
      <c r="T1480">
        <v>-0.33947719999999998</v>
      </c>
      <c r="U1480">
        <v>-2.2221679999999999</v>
      </c>
      <c r="V1480">
        <v>0.34669719999999998</v>
      </c>
      <c r="W1480">
        <v>0.18695819999999999</v>
      </c>
      <c r="X1480">
        <v>0.91915599999999997</v>
      </c>
      <c r="Y1480">
        <v>0.430757</v>
      </c>
      <c r="Z1480">
        <v>0.11023139999999899</v>
      </c>
      <c r="AA1480">
        <v>0.89571060000000002</v>
      </c>
      <c r="AB1480">
        <v>20</v>
      </c>
      <c r="AC1480">
        <v>-7.0973999999999897</v>
      </c>
      <c r="AD1480">
        <v>-1.1086644865289901</v>
      </c>
      <c r="AE1480">
        <v>-7.0635000000000296</v>
      </c>
      <c r="AF1480">
        <v>4.3813500124175802</v>
      </c>
      <c r="AG1480">
        <v>-1.1086644865289901</v>
      </c>
      <c r="AH1480">
        <v>8.8688270103914508</v>
      </c>
      <c r="AI1480">
        <v>96.394824273773807</v>
      </c>
      <c r="AJ1480">
        <v>63.709851874434399</v>
      </c>
      <c r="AK1480">
        <v>9.9539669185330908</v>
      </c>
      <c r="AL1480">
        <v>79.224679192718</v>
      </c>
      <c r="AM1480">
        <v>69.333985328419203</v>
      </c>
      <c r="AN1480">
        <v>1.00000003468553</v>
      </c>
    </row>
    <row r="1481" spans="1:40" x14ac:dyDescent="0.25">
      <c r="A1481" t="str">
        <f>"20190312172357233"</f>
        <v>20190312172357233</v>
      </c>
      <c r="B1481" t="str">
        <f>"1552382637221654"</f>
        <v>1552382637221654</v>
      </c>
      <c r="C1481" t="s">
        <v>40</v>
      </c>
      <c r="D1481">
        <v>4.1094140000000001</v>
      </c>
      <c r="E1481">
        <v>0.53304280000000004</v>
      </c>
      <c r="F1481" t="s">
        <v>46</v>
      </c>
      <c r="G1481">
        <v>-199.3142</v>
      </c>
      <c r="H1481" s="1">
        <v>1.527576E-6</v>
      </c>
      <c r="I1481">
        <v>291.26670000000001</v>
      </c>
      <c r="J1481">
        <v>-192.2227</v>
      </c>
      <c r="K1481">
        <v>1.108673</v>
      </c>
      <c r="L1481">
        <v>298.25959999999998</v>
      </c>
      <c r="M1481">
        <v>-0.32643480000000002</v>
      </c>
      <c r="N1481">
        <v>0</v>
      </c>
      <c r="O1481">
        <v>-0.94512169999999895</v>
      </c>
      <c r="P1481">
        <v>-0.62832849999999996</v>
      </c>
      <c r="Q1481">
        <v>0.1758439</v>
      </c>
      <c r="R1481">
        <v>-0.75781430000000005</v>
      </c>
      <c r="S1481">
        <v>-2.2060390000000001</v>
      </c>
      <c r="T1481">
        <v>-0.34169569999999999</v>
      </c>
      <c r="U1481">
        <v>-2.2110289999999999</v>
      </c>
      <c r="V1481">
        <v>0.34743689999999999</v>
      </c>
      <c r="W1481">
        <v>0.18664910000000001</v>
      </c>
      <c r="X1481">
        <v>0.91893950000000002</v>
      </c>
      <c r="Y1481">
        <v>0.4319867</v>
      </c>
      <c r="Z1481">
        <v>0.1109255</v>
      </c>
      <c r="AA1481">
        <v>0.89503239999999995</v>
      </c>
      <c r="AB1481">
        <v>20</v>
      </c>
      <c r="AC1481">
        <v>-7.0914999999999901</v>
      </c>
      <c r="AD1481">
        <v>-1.1086714724240001</v>
      </c>
      <c r="AE1481">
        <v>-6.9928999999999597</v>
      </c>
      <c r="AF1481">
        <v>4.3659122120498601</v>
      </c>
      <c r="AG1481">
        <v>-1.1086714724240001</v>
      </c>
      <c r="AH1481">
        <v>8.8156383472378792</v>
      </c>
      <c r="AI1481">
        <v>96.430008775982103</v>
      </c>
      <c r="AJ1481">
        <v>63.653256754992803</v>
      </c>
      <c r="AK1481">
        <v>9.89978895463857</v>
      </c>
      <c r="AL1481">
        <v>79.242706766011295</v>
      </c>
      <c r="AM1481">
        <v>69.289165303725994</v>
      </c>
      <c r="AN1481">
        <v>1.00000004533633</v>
      </c>
    </row>
    <row r="1482" spans="1:40" x14ac:dyDescent="0.25">
      <c r="A1482" t="str">
        <f>"20190312172357255"</f>
        <v>20190312172357255</v>
      </c>
      <c r="B1482" t="str">
        <f>"1552382637250934"</f>
        <v>1552382637250934</v>
      </c>
      <c r="C1482" t="s">
        <v>40</v>
      </c>
      <c r="D1482">
        <v>4.2203309999999998</v>
      </c>
      <c r="E1482">
        <v>0.53313840000000001</v>
      </c>
      <c r="F1482" t="s">
        <v>46</v>
      </c>
      <c r="G1482">
        <v>-199.38550000000001</v>
      </c>
      <c r="H1482" s="1">
        <v>1.5420729999999999E-6</v>
      </c>
      <c r="I1482">
        <v>291.14850000000001</v>
      </c>
      <c r="J1482">
        <v>-192.291</v>
      </c>
      <c r="K1482">
        <v>1.1086750000000001</v>
      </c>
      <c r="L1482">
        <v>298.07549999999998</v>
      </c>
      <c r="M1482">
        <v>-0.32992909999999998</v>
      </c>
      <c r="N1482">
        <v>0</v>
      </c>
      <c r="O1482">
        <v>-0.94390750000000001</v>
      </c>
      <c r="P1482">
        <v>-0.63210559999999905</v>
      </c>
      <c r="Q1482">
        <v>0.17583599999999999</v>
      </c>
      <c r="R1482">
        <v>-0.75466829999999996</v>
      </c>
      <c r="S1482">
        <v>-2.2164920000000001</v>
      </c>
      <c r="T1482">
        <v>-0.34307579999999999</v>
      </c>
      <c r="U1482">
        <v>-2.2005309999999998</v>
      </c>
      <c r="V1482">
        <v>0.34863</v>
      </c>
      <c r="W1482">
        <v>0.18662609999999999</v>
      </c>
      <c r="X1482">
        <v>0.91849210000000003</v>
      </c>
      <c r="Y1482">
        <v>0.43286479999999999</v>
      </c>
      <c r="Z1482">
        <v>0.111343</v>
      </c>
      <c r="AA1482">
        <v>0.89455620000000002</v>
      </c>
      <c r="AB1482">
        <v>20</v>
      </c>
      <c r="AC1482">
        <v>-7.0945000000000098</v>
      </c>
      <c r="AD1482">
        <v>-1.1086734579269999</v>
      </c>
      <c r="AE1482">
        <v>-6.9269999999999596</v>
      </c>
      <c r="AF1482">
        <v>4.3570689582199398</v>
      </c>
      <c r="AG1482">
        <v>-1.1086734579269999</v>
      </c>
      <c r="AH1482">
        <v>8.7703044699761392</v>
      </c>
      <c r="AI1482">
        <v>96.4590195857553</v>
      </c>
      <c r="AJ1482">
        <v>63.581909584018</v>
      </c>
      <c r="AK1482">
        <v>9.8555287650678096</v>
      </c>
      <c r="AL1482">
        <v>79.244047187039101</v>
      </c>
      <c r="AM1482">
        <v>69.214852113475501</v>
      </c>
      <c r="AN1482">
        <v>0.99999995793180896</v>
      </c>
    </row>
    <row r="1483" spans="1:40" x14ac:dyDescent="0.25">
      <c r="A1483" t="str">
        <f>"20190312172357279"</f>
        <v>20190312172357279</v>
      </c>
      <c r="B1483" t="str">
        <f>"1552382637271430"</f>
        <v>1552382637271430</v>
      </c>
      <c r="C1483" t="s">
        <v>40</v>
      </c>
      <c r="D1483">
        <v>4.0430460000000004</v>
      </c>
      <c r="E1483">
        <v>0.53321919999999901</v>
      </c>
      <c r="F1483" t="s">
        <v>46</v>
      </c>
      <c r="G1483">
        <v>-199.4692</v>
      </c>
      <c r="H1483" s="1">
        <v>1.5560399999999901E-6</v>
      </c>
      <c r="I1483">
        <v>291.02699999999999</v>
      </c>
      <c r="J1483">
        <v>-192.36500000000001</v>
      </c>
      <c r="K1483">
        <v>1.108668</v>
      </c>
      <c r="L1483">
        <v>297.87810000000002</v>
      </c>
      <c r="M1483">
        <v>-0.3336981</v>
      </c>
      <c r="N1483">
        <v>0</v>
      </c>
      <c r="O1483">
        <v>-0.94258180000000003</v>
      </c>
      <c r="P1483">
        <v>-0.63592669999999996</v>
      </c>
      <c r="Q1483">
        <v>0.17609259999999999</v>
      </c>
      <c r="R1483">
        <v>-0.75139149999999999</v>
      </c>
      <c r="S1483">
        <v>-2.2288969999999999</v>
      </c>
      <c r="T1483">
        <v>-0.34425309999999998</v>
      </c>
      <c r="U1483">
        <v>-2.1886290000000002</v>
      </c>
      <c r="V1483">
        <v>0.3496475</v>
      </c>
      <c r="W1483">
        <v>0.18686359999999999</v>
      </c>
      <c r="X1483">
        <v>0.91805700000000001</v>
      </c>
      <c r="Y1483">
        <v>0.4341602</v>
      </c>
      <c r="Z1483">
        <v>0.1116824</v>
      </c>
      <c r="AA1483">
        <v>0.89388590000000001</v>
      </c>
      <c r="AB1483">
        <v>20</v>
      </c>
      <c r="AC1483">
        <v>-7.1041999999999899</v>
      </c>
      <c r="AD1483">
        <v>-1.10866644396</v>
      </c>
      <c r="AE1483">
        <v>-6.8511000000000299</v>
      </c>
      <c r="AF1483">
        <v>4.35553812081662</v>
      </c>
      <c r="AG1483">
        <v>-1.10866644396</v>
      </c>
      <c r="AH1483">
        <v>8.7191738905176202</v>
      </c>
      <c r="AI1483">
        <v>96.489498481237405</v>
      </c>
      <c r="AJ1483">
        <v>63.456237412106702</v>
      </c>
      <c r="AK1483">
        <v>9.8093754612071997</v>
      </c>
      <c r="AL1483">
        <v>79.230196417416295</v>
      </c>
      <c r="AM1483">
        <v>69.150365406133403</v>
      </c>
      <c r="AN1483">
        <v>1.0000000172551</v>
      </c>
    </row>
    <row r="1484" spans="1:40" x14ac:dyDescent="0.25">
      <c r="A1484" t="str">
        <f>"20190312172357303"</f>
        <v>20190312172357303</v>
      </c>
      <c r="B1484" t="str">
        <f>"1552382637290950"</f>
        <v>1552382637290950</v>
      </c>
      <c r="C1484" t="s">
        <v>40</v>
      </c>
      <c r="D1484">
        <v>4.1065550000000002</v>
      </c>
      <c r="E1484">
        <v>0.53328799999999998</v>
      </c>
      <c r="F1484" t="s">
        <v>46</v>
      </c>
      <c r="G1484">
        <v>-199.56720000000001</v>
      </c>
      <c r="H1484" s="1">
        <v>1.573444E-6</v>
      </c>
      <c r="I1484">
        <v>290.87880000000001</v>
      </c>
      <c r="J1484">
        <v>-192.4408</v>
      </c>
      <c r="K1484">
        <v>1.1086499999999999</v>
      </c>
      <c r="L1484">
        <v>297.67849999999999</v>
      </c>
      <c r="M1484">
        <v>-0.33753949999999999</v>
      </c>
      <c r="N1484">
        <v>0</v>
      </c>
      <c r="O1484">
        <v>-0.94121299999999997</v>
      </c>
      <c r="P1484">
        <v>-0.63968599999999998</v>
      </c>
      <c r="Q1484">
        <v>0.17573849999999999</v>
      </c>
      <c r="R1484">
        <v>-0.74827679999999996</v>
      </c>
      <c r="S1484">
        <v>-2.2404169999999999</v>
      </c>
      <c r="T1484">
        <v>-0.34487640000000003</v>
      </c>
      <c r="U1484">
        <v>-2.1772770000000001</v>
      </c>
      <c r="V1484">
        <v>0.35048479999999999</v>
      </c>
      <c r="W1484">
        <v>0.18648890000000001</v>
      </c>
      <c r="X1484">
        <v>0.91781380000000001</v>
      </c>
      <c r="Y1484">
        <v>0.4351044</v>
      </c>
      <c r="Z1484">
        <v>0.11183940000000001</v>
      </c>
      <c r="AA1484">
        <v>0.89340699999999995</v>
      </c>
      <c r="AB1484">
        <v>20</v>
      </c>
      <c r="AC1484">
        <v>-7.1264000000000101</v>
      </c>
      <c r="AD1484">
        <v>-1.1086484265559999</v>
      </c>
      <c r="AE1484">
        <v>-6.7996999999999703</v>
      </c>
      <c r="AF1484">
        <v>4.3574992806103596</v>
      </c>
      <c r="AG1484">
        <v>-1.1086484265559999</v>
      </c>
      <c r="AH1484">
        <v>8.6960582859453304</v>
      </c>
      <c r="AI1484">
        <v>96.502487679409398</v>
      </c>
      <c r="AJ1484">
        <v>63.385053800907102</v>
      </c>
      <c r="AK1484">
        <v>9.7897053595490497</v>
      </c>
      <c r="AL1484">
        <v>79.252048426513298</v>
      </c>
      <c r="AM1484">
        <v>69.099684519331305</v>
      </c>
      <c r="AN1484">
        <v>0.99999993816234301</v>
      </c>
    </row>
    <row r="1485" spans="1:40" x14ac:dyDescent="0.25">
      <c r="A1485" t="str">
        <f>"20190312172357326"</f>
        <v>20190312172357326</v>
      </c>
      <c r="B1485" t="str">
        <f>"1552382637321206"</f>
        <v>1552382637321206</v>
      </c>
      <c r="C1485" t="s">
        <v>40</v>
      </c>
      <c r="D1485">
        <v>4.0994719999999996</v>
      </c>
      <c r="E1485">
        <v>0.53341380000000005</v>
      </c>
      <c r="F1485" t="s">
        <v>46</v>
      </c>
      <c r="G1485">
        <v>-199.63290000000001</v>
      </c>
      <c r="H1485" s="1">
        <v>1.5883389999999999E-6</v>
      </c>
      <c r="I1485">
        <v>290.7611</v>
      </c>
      <c r="J1485">
        <v>-192.5119</v>
      </c>
      <c r="K1485">
        <v>1.1086339999999999</v>
      </c>
      <c r="L1485">
        <v>297.49369999999999</v>
      </c>
      <c r="M1485">
        <v>-0.34113789999999999</v>
      </c>
      <c r="N1485">
        <v>0</v>
      </c>
      <c r="O1485">
        <v>-0.93991460000000004</v>
      </c>
      <c r="P1485">
        <v>-0.64282209999999995</v>
      </c>
      <c r="Q1485">
        <v>0.175318899999999</v>
      </c>
      <c r="R1485">
        <v>-0.74568299999999998</v>
      </c>
      <c r="S1485">
        <v>-2.25177</v>
      </c>
      <c r="T1485">
        <v>-0.34710249999999998</v>
      </c>
      <c r="U1485">
        <v>-2.1657410000000001</v>
      </c>
      <c r="V1485">
        <v>0.35080080000000002</v>
      </c>
      <c r="W1485">
        <v>0.1860504</v>
      </c>
      <c r="X1485">
        <v>0.91778210000000005</v>
      </c>
      <c r="Y1485">
        <v>0.43623390000000001</v>
      </c>
      <c r="Z1485">
        <v>0.11252230000000001</v>
      </c>
      <c r="AA1485">
        <v>0.89277019999999996</v>
      </c>
      <c r="AB1485">
        <v>20</v>
      </c>
      <c r="AC1485">
        <v>-7.1210000000000004</v>
      </c>
      <c r="AD1485">
        <v>-1.108632411661</v>
      </c>
      <c r="AE1485">
        <v>-6.7325999999999899</v>
      </c>
      <c r="AF1485">
        <v>4.3412359225674297</v>
      </c>
      <c r="AG1485">
        <v>-1.108632411661</v>
      </c>
      <c r="AH1485">
        <v>8.6474550372514098</v>
      </c>
      <c r="AI1485">
        <v>96.536195724365299</v>
      </c>
      <c r="AJ1485">
        <v>63.342219112544299</v>
      </c>
      <c r="AK1485">
        <v>9.7392953431375098</v>
      </c>
      <c r="AL1485">
        <v>79.277620489491994</v>
      </c>
      <c r="AM1485">
        <v>69.081810322423493</v>
      </c>
      <c r="AN1485">
        <v>0.99999996785060397</v>
      </c>
    </row>
    <row r="1486" spans="1:40" x14ac:dyDescent="0.25">
      <c r="A1486" t="str">
        <f>"20190312172357346"</f>
        <v>20190312172357346</v>
      </c>
      <c r="B1486" t="str">
        <f>"1552382637341702"</f>
        <v>1552382637341702</v>
      </c>
      <c r="C1486" t="s">
        <v>40</v>
      </c>
      <c r="D1486">
        <v>4.1764669999999997</v>
      </c>
      <c r="E1486">
        <v>0.53348930000000006</v>
      </c>
      <c r="F1486" t="s">
        <v>46</v>
      </c>
      <c r="G1486">
        <v>-199.68129999999999</v>
      </c>
      <c r="H1486" s="1">
        <v>1.6016569999999999E-6</v>
      </c>
      <c r="I1486">
        <v>290.66120000000001</v>
      </c>
      <c r="J1486">
        <v>-192.57820000000001</v>
      </c>
      <c r="K1486">
        <v>1.1086149999999999</v>
      </c>
      <c r="L1486">
        <v>297.32319999999999</v>
      </c>
      <c r="M1486">
        <v>-0.34449220000000003</v>
      </c>
      <c r="N1486">
        <v>0</v>
      </c>
      <c r="O1486">
        <v>-0.93869040000000004</v>
      </c>
      <c r="P1486">
        <v>-0.64597890000000002</v>
      </c>
      <c r="Q1486">
        <v>0.17545179999999999</v>
      </c>
      <c r="R1486">
        <v>-0.74291859999999998</v>
      </c>
      <c r="S1486">
        <v>-2.2617950000000002</v>
      </c>
      <c r="T1486">
        <v>-0.34974860000000002</v>
      </c>
      <c r="U1486">
        <v>-2.1555179999999998</v>
      </c>
      <c r="V1486">
        <v>0.35143770000000002</v>
      </c>
      <c r="W1486">
        <v>0.18615950000000001</v>
      </c>
      <c r="X1486">
        <v>0.91751640000000001</v>
      </c>
      <c r="Y1486">
        <v>0.43704579999999998</v>
      </c>
      <c r="Z1486">
        <v>0.11333360000000001</v>
      </c>
      <c r="AA1486">
        <v>0.89227040000000002</v>
      </c>
      <c r="AB1486">
        <v>20</v>
      </c>
      <c r="AC1486">
        <v>-7.10309999999998</v>
      </c>
      <c r="AD1486">
        <v>-1.108613398343</v>
      </c>
      <c r="AE1486">
        <v>-6.6619999999999697</v>
      </c>
      <c r="AF1486">
        <v>4.3170635993971302</v>
      </c>
      <c r="AG1486">
        <v>-1.108613398343</v>
      </c>
      <c r="AH1486">
        <v>8.5900033763902108</v>
      </c>
      <c r="AI1486">
        <v>96.577995289446093</v>
      </c>
      <c r="AJ1486">
        <v>63.317346507441201</v>
      </c>
      <c r="AK1486">
        <v>9.6775110330404992</v>
      </c>
      <c r="AL1486">
        <v>79.271259593968296</v>
      </c>
      <c r="AM1486">
        <v>69.041585300814006</v>
      </c>
      <c r="AN1486">
        <v>1.00000008034524</v>
      </c>
    </row>
    <row r="1487" spans="1:40" x14ac:dyDescent="0.25">
      <c r="A1487" t="str">
        <f>"20190312172357368"</f>
        <v>20190312172357368</v>
      </c>
      <c r="B1487" t="str">
        <f>"1552382637361225"</f>
        <v>1552382637361225</v>
      </c>
      <c r="C1487" t="s">
        <v>40</v>
      </c>
      <c r="D1487">
        <v>4.1178059999999999</v>
      </c>
      <c r="E1487">
        <v>0.53357180000000004</v>
      </c>
      <c r="F1487" t="s">
        <v>46</v>
      </c>
      <c r="G1487">
        <v>-199.7732</v>
      </c>
      <c r="H1487" s="1">
        <v>1.617073E-6</v>
      </c>
      <c r="I1487">
        <v>290.52730000000003</v>
      </c>
      <c r="J1487">
        <v>-192.65129999999999</v>
      </c>
      <c r="K1487">
        <v>1.108587</v>
      </c>
      <c r="L1487">
        <v>297.13780000000003</v>
      </c>
      <c r="M1487">
        <v>-0.34819040000000001</v>
      </c>
      <c r="N1487">
        <v>0</v>
      </c>
      <c r="O1487">
        <v>-0.93732499999999996</v>
      </c>
      <c r="P1487">
        <v>-0.64940450000000005</v>
      </c>
      <c r="Q1487">
        <v>0.17561760000000001</v>
      </c>
      <c r="R1487">
        <v>-0.73988659999999995</v>
      </c>
      <c r="S1487">
        <v>-2.2716370000000001</v>
      </c>
      <c r="T1487">
        <v>-0.350018099999999</v>
      </c>
      <c r="U1487">
        <v>-2.1456300000000001</v>
      </c>
      <c r="V1487">
        <v>0.3520876</v>
      </c>
      <c r="W1487">
        <v>0.18629589999999999</v>
      </c>
      <c r="X1487">
        <v>0.91723940000000004</v>
      </c>
      <c r="Y1487">
        <v>0.43748389999999998</v>
      </c>
      <c r="Z1487">
        <v>0.113362</v>
      </c>
      <c r="AA1487">
        <v>0.89205210000000001</v>
      </c>
      <c r="AB1487">
        <v>20</v>
      </c>
      <c r="AC1487">
        <v>-7.1219000000000099</v>
      </c>
      <c r="AD1487">
        <v>-1.10858538292699</v>
      </c>
      <c r="AE1487">
        <v>-6.6105</v>
      </c>
      <c r="AF1487">
        <v>4.3180246582418196</v>
      </c>
      <c r="AG1487">
        <v>-1.10858538292699</v>
      </c>
      <c r="AH1487">
        <v>8.5652833220514406</v>
      </c>
      <c r="AI1487">
        <v>96.592545486086493</v>
      </c>
      <c r="AJ1487">
        <v>63.245911788053199</v>
      </c>
      <c r="AK1487">
        <v>9.6560021172033892</v>
      </c>
      <c r="AL1487">
        <v>79.263304198188706</v>
      </c>
      <c r="AM1487">
        <v>69.000414704441397</v>
      </c>
      <c r="AN1487">
        <v>0.99999997867146395</v>
      </c>
    </row>
    <row r="1488" spans="1:40" x14ac:dyDescent="0.25">
      <c r="A1488" t="str">
        <f>"20190312172357390"</f>
        <v>20190312172357390</v>
      </c>
      <c r="B1488" t="str">
        <f>"1552382637381718"</f>
        <v>1552382637381718</v>
      </c>
      <c r="C1488" t="s">
        <v>40</v>
      </c>
      <c r="D1488">
        <v>4.1220720000000002</v>
      </c>
      <c r="E1488">
        <v>0.53366759999999902</v>
      </c>
      <c r="F1488" t="s">
        <v>46</v>
      </c>
      <c r="G1488">
        <v>-199.87450000000001</v>
      </c>
      <c r="H1488" s="1">
        <v>1.6338989999999999E-6</v>
      </c>
      <c r="I1488">
        <v>290.38080000000002</v>
      </c>
      <c r="J1488">
        <v>-192.72450000000001</v>
      </c>
      <c r="K1488">
        <v>1.108554</v>
      </c>
      <c r="L1488">
        <v>296.95409999999998</v>
      </c>
      <c r="M1488">
        <v>-0.3519177</v>
      </c>
      <c r="N1488">
        <v>0</v>
      </c>
      <c r="O1488">
        <v>-0.93593179999999998</v>
      </c>
      <c r="P1488">
        <v>-0.65309479999999998</v>
      </c>
      <c r="Q1488">
        <v>0.17558399999999999</v>
      </c>
      <c r="R1488">
        <v>-0.73663900000000004</v>
      </c>
      <c r="S1488">
        <v>-2.2820589999999998</v>
      </c>
      <c r="T1488">
        <v>-0.35024110000000003</v>
      </c>
      <c r="U1488">
        <v>-2.1347659999999999</v>
      </c>
      <c r="V1488">
        <v>0.35303669999999998</v>
      </c>
      <c r="W1488">
        <v>0.18622459999999999</v>
      </c>
      <c r="X1488">
        <v>0.91688899999999995</v>
      </c>
      <c r="Y1488">
        <v>0.43820480000000001</v>
      </c>
      <c r="Z1488">
        <v>0.1133863</v>
      </c>
      <c r="AA1488">
        <v>0.89169509999999996</v>
      </c>
      <c r="AB1488">
        <v>20</v>
      </c>
      <c r="AC1488">
        <v>-7.15</v>
      </c>
      <c r="AD1488">
        <v>-1.1085523661009999</v>
      </c>
      <c r="AE1488">
        <v>-6.5732999999999597</v>
      </c>
      <c r="AF1488">
        <v>4.3227438639387996</v>
      </c>
      <c r="AG1488">
        <v>-1.1085523661009999</v>
      </c>
      <c r="AH1488">
        <v>8.5576917810347695</v>
      </c>
      <c r="AI1488">
        <v>96.595520990348106</v>
      </c>
      <c r="AJ1488">
        <v>63.200305703658003</v>
      </c>
      <c r="AK1488">
        <v>9.6513776985878401</v>
      </c>
      <c r="AL1488">
        <v>79.267462118015004</v>
      </c>
      <c r="AM1488">
        <v>68.9414203924525</v>
      </c>
      <c r="AN1488">
        <v>0.999999975756524</v>
      </c>
    </row>
    <row r="1489" spans="1:40" x14ac:dyDescent="0.25">
      <c r="A1489" t="str">
        <f>"20190312172357412"</f>
        <v>20190312172357412</v>
      </c>
      <c r="B1489" t="str">
        <f>"1552382637401241"</f>
        <v>1552382637401241</v>
      </c>
      <c r="C1489" t="s">
        <v>40</v>
      </c>
      <c r="D1489">
        <v>4.1213490000000004</v>
      </c>
      <c r="E1489">
        <v>0.53386290000000003</v>
      </c>
      <c r="F1489" t="s">
        <v>46</v>
      </c>
      <c r="G1489">
        <v>-199.97460000000001</v>
      </c>
      <c r="H1489" s="1">
        <v>1.6588389999999999E-6</v>
      </c>
      <c r="I1489">
        <v>290.2439</v>
      </c>
      <c r="J1489">
        <v>-192.79849999999999</v>
      </c>
      <c r="K1489">
        <v>1.1085160000000001</v>
      </c>
      <c r="L1489">
        <v>296.77080000000001</v>
      </c>
      <c r="M1489">
        <v>-0.35571029999999998</v>
      </c>
      <c r="N1489">
        <v>0</v>
      </c>
      <c r="O1489">
        <v>-0.93449720000000003</v>
      </c>
      <c r="P1489">
        <v>-0.65675559999999999</v>
      </c>
      <c r="Q1489">
        <v>0.1760186</v>
      </c>
      <c r="R1489">
        <v>-0.73327339999999996</v>
      </c>
      <c r="S1489">
        <v>-2.293533</v>
      </c>
      <c r="T1489">
        <v>-0.35068240000000001</v>
      </c>
      <c r="U1489">
        <v>-2.1227109999999998</v>
      </c>
      <c r="V1489">
        <v>0.35394530000000002</v>
      </c>
      <c r="W1489">
        <v>0.1866139</v>
      </c>
      <c r="X1489">
        <v>0.91645940000000004</v>
      </c>
      <c r="Y1489">
        <v>0.43930350000000001</v>
      </c>
      <c r="Z1489">
        <v>0.1134855</v>
      </c>
      <c r="AA1489">
        <v>0.89114169999999904</v>
      </c>
      <c r="AB1489">
        <v>20</v>
      </c>
      <c r="AC1489">
        <v>-7.1761000000000204</v>
      </c>
      <c r="AD1489">
        <v>-1.1085143411609999</v>
      </c>
      <c r="AE1489">
        <v>-6.5269000000000101</v>
      </c>
      <c r="AF1489">
        <v>4.3282435402568602</v>
      </c>
      <c r="AG1489">
        <v>-1.1085143411609999</v>
      </c>
      <c r="AH1489">
        <v>8.5412440803199399</v>
      </c>
      <c r="AI1489">
        <v>96.603621230781798</v>
      </c>
      <c r="AJ1489">
        <v>63.126557972112799</v>
      </c>
      <c r="AK1489">
        <v>9.6392606888669299</v>
      </c>
      <c r="AL1489">
        <v>79.244758363561502</v>
      </c>
      <c r="AM1489">
        <v>68.882966979825298</v>
      </c>
      <c r="AN1489">
        <v>0.99999992745682698</v>
      </c>
    </row>
    <row r="1490" spans="1:40" x14ac:dyDescent="0.25">
      <c r="A1490" t="str">
        <f>"20190312172357434"</f>
        <v>20190312172357434</v>
      </c>
      <c r="B1490" t="str">
        <f>"1552382637431494"</f>
        <v>1552382637431494</v>
      </c>
      <c r="C1490" t="s">
        <v>40</v>
      </c>
      <c r="D1490">
        <v>4.1074320000000002</v>
      </c>
      <c r="E1490">
        <v>0.53420310000000004</v>
      </c>
      <c r="F1490" t="s">
        <v>46</v>
      </c>
      <c r="G1490">
        <v>-200.13570000000001</v>
      </c>
      <c r="H1490" s="1">
        <v>1.769901E-6</v>
      </c>
      <c r="I1490">
        <v>290.05900000000003</v>
      </c>
      <c r="J1490">
        <v>-192.87010000000001</v>
      </c>
      <c r="K1490">
        <v>1.108473</v>
      </c>
      <c r="L1490">
        <v>296.59589999999997</v>
      </c>
      <c r="M1490">
        <v>-0.35940860000000002</v>
      </c>
      <c r="N1490">
        <v>0</v>
      </c>
      <c r="O1490">
        <v>-0.93308100000000005</v>
      </c>
      <c r="P1490">
        <v>-0.66043529999999995</v>
      </c>
      <c r="Q1490">
        <v>0.17640339999999999</v>
      </c>
      <c r="R1490">
        <v>-0.72986790000000001</v>
      </c>
      <c r="S1490">
        <v>-2.3060299999999998</v>
      </c>
      <c r="T1490">
        <v>-0.34839769999999998</v>
      </c>
      <c r="U1490">
        <v>-2.109467</v>
      </c>
      <c r="V1490">
        <v>0.35498469999999999</v>
      </c>
      <c r="W1490">
        <v>0.186948</v>
      </c>
      <c r="X1490">
        <v>0.91598930000000001</v>
      </c>
      <c r="Y1490">
        <v>0.44100850000000003</v>
      </c>
      <c r="Z1490">
        <v>0.11272550000000001</v>
      </c>
      <c r="AA1490">
        <v>0.89039570000000001</v>
      </c>
      <c r="AB1490">
        <v>20</v>
      </c>
      <c r="AC1490">
        <v>-7.2656000000000001</v>
      </c>
      <c r="AD1490">
        <v>-1.1084712300990001</v>
      </c>
      <c r="AE1490">
        <v>-6.5368999999999398</v>
      </c>
      <c r="AF1490">
        <v>4.3741198529977403</v>
      </c>
      <c r="AG1490">
        <v>-1.1084712300990001</v>
      </c>
      <c r="AH1490">
        <v>8.6009464102886</v>
      </c>
      <c r="AI1490">
        <v>96.553166627390894</v>
      </c>
      <c r="AJ1490">
        <v>63.043812924721699</v>
      </c>
      <c r="AK1490">
        <v>9.7127705681233198</v>
      </c>
      <c r="AL1490">
        <v>79.225274209097606</v>
      </c>
      <c r="AM1490">
        <v>68.816537894830006</v>
      </c>
      <c r="AN1490">
        <v>1.00000004482628</v>
      </c>
    </row>
    <row r="1491" spans="1:40" x14ac:dyDescent="0.25">
      <c r="A1491" t="str">
        <f>"20190312172357457"</f>
        <v>20190312172357457</v>
      </c>
      <c r="B1491" t="str">
        <f>"1552382637451014"</f>
        <v>1552382637451014</v>
      </c>
      <c r="C1491" t="s">
        <v>40</v>
      </c>
      <c r="D1491">
        <v>4.1400009999999998</v>
      </c>
      <c r="E1491">
        <v>0.53442659999999997</v>
      </c>
      <c r="F1491" t="s">
        <v>46</v>
      </c>
      <c r="G1491">
        <v>-200.2988</v>
      </c>
      <c r="H1491" s="1">
        <v>1.8772870000000001E-6</v>
      </c>
      <c r="I1491">
        <v>289.88159999999999</v>
      </c>
      <c r="J1491">
        <v>-192.947</v>
      </c>
      <c r="K1491">
        <v>1.1084160000000001</v>
      </c>
      <c r="L1491">
        <v>296.41019999999997</v>
      </c>
      <c r="M1491">
        <v>-0.36342760000000002</v>
      </c>
      <c r="N1491">
        <v>0</v>
      </c>
      <c r="O1491">
        <v>-0.93152290000000004</v>
      </c>
      <c r="P1491">
        <v>-0.66420539999999995</v>
      </c>
      <c r="Q1491">
        <v>0.17664260000000001</v>
      </c>
      <c r="R1491">
        <v>-0.72638059999999904</v>
      </c>
      <c r="S1491">
        <v>-2.3187709999999999</v>
      </c>
      <c r="T1491">
        <v>-0.34599410000000003</v>
      </c>
      <c r="U1491">
        <v>-2.095764</v>
      </c>
      <c r="V1491">
        <v>0.35582989999999998</v>
      </c>
      <c r="W1491">
        <v>0.18712970000000001</v>
      </c>
      <c r="X1491">
        <v>0.91562410000000005</v>
      </c>
      <c r="Y1491">
        <v>0.44254480000000002</v>
      </c>
      <c r="Z1491">
        <v>0.1119178</v>
      </c>
      <c r="AA1491">
        <v>0.8897351</v>
      </c>
      <c r="AB1491">
        <v>20</v>
      </c>
      <c r="AC1491">
        <v>-7.3517999999999901</v>
      </c>
      <c r="AD1491">
        <v>-1.108414122713</v>
      </c>
      <c r="AE1491">
        <v>-6.5285999999999804</v>
      </c>
      <c r="AF1491">
        <v>4.4199395079752897</v>
      </c>
      <c r="AG1491">
        <v>-1.108414122713</v>
      </c>
      <c r="AH1491">
        <v>8.6443399042518596</v>
      </c>
      <c r="AI1491">
        <v>96.513037624412902</v>
      </c>
      <c r="AJ1491">
        <v>62.918874415572297</v>
      </c>
      <c r="AK1491">
        <v>9.7718503622308699</v>
      </c>
      <c r="AL1491">
        <v>79.214675699561198</v>
      </c>
      <c r="AM1491">
        <v>68.762874651512803</v>
      </c>
      <c r="AN1491">
        <v>0.99999996742845398</v>
      </c>
    </row>
    <row r="1492" spans="1:40" x14ac:dyDescent="0.25">
      <c r="A1492" t="str">
        <f>"20190312172357481"</f>
        <v>20190312172357481</v>
      </c>
      <c r="B1492" t="str">
        <f>"1552382637471510"</f>
        <v>1552382637471510</v>
      </c>
      <c r="C1492" t="s">
        <v>40</v>
      </c>
      <c r="D1492">
        <v>4.1187990000000001</v>
      </c>
      <c r="E1492">
        <v>0.53464089999999997</v>
      </c>
      <c r="F1492" t="s">
        <v>46</v>
      </c>
      <c r="G1492">
        <v>-200.45570000000001</v>
      </c>
      <c r="H1492" s="1">
        <v>1.9700709999999998E-6</v>
      </c>
      <c r="I1492">
        <v>289.70609999999999</v>
      </c>
      <c r="J1492">
        <v>-193.02789999999999</v>
      </c>
      <c r="K1492">
        <v>1.108355</v>
      </c>
      <c r="L1492">
        <v>296.2176</v>
      </c>
      <c r="M1492">
        <v>-0.36771189999999998</v>
      </c>
      <c r="N1492">
        <v>0</v>
      </c>
      <c r="O1492">
        <v>-0.92983990000000005</v>
      </c>
      <c r="P1492">
        <v>-0.66851430000000001</v>
      </c>
      <c r="Q1492">
        <v>0.17632729999999999</v>
      </c>
      <c r="R1492">
        <v>-0.72249410000000003</v>
      </c>
      <c r="S1492">
        <v>-2.331604</v>
      </c>
      <c r="T1492">
        <v>-0.3441845</v>
      </c>
      <c r="U1492">
        <v>-2.0817570000000001</v>
      </c>
      <c r="V1492">
        <v>0.35706539999999998</v>
      </c>
      <c r="W1492">
        <v>0.186746</v>
      </c>
      <c r="X1492">
        <v>0.91522139999999996</v>
      </c>
      <c r="Y1492">
        <v>0.44388369999999999</v>
      </c>
      <c r="Z1492">
        <v>0.11129070000000001</v>
      </c>
      <c r="AA1492">
        <v>0.88914660000000001</v>
      </c>
      <c r="AB1492">
        <v>20</v>
      </c>
      <c r="AC1492">
        <v>-7.4278000000000102</v>
      </c>
      <c r="AD1492">
        <v>-1.1083530299290001</v>
      </c>
      <c r="AE1492">
        <v>-6.5115000000000096</v>
      </c>
      <c r="AF1492">
        <v>4.4566182453591496</v>
      </c>
      <c r="AG1492">
        <v>-1.1083530299290001</v>
      </c>
      <c r="AH1492">
        <v>8.6775076068618304</v>
      </c>
      <c r="AI1492">
        <v>96.482070791974493</v>
      </c>
      <c r="AJ1492">
        <v>62.815749698534901</v>
      </c>
      <c r="AK1492">
        <v>9.8177915485594802</v>
      </c>
      <c r="AL1492">
        <v>79.2370548345651</v>
      </c>
      <c r="AM1492">
        <v>68.687204138043001</v>
      </c>
      <c r="AN1492">
        <v>0.99999998970556003</v>
      </c>
    </row>
    <row r="1493" spans="1:40" x14ac:dyDescent="0.25">
      <c r="A1493" t="str">
        <f>"20190312172357504"</f>
        <v>20190312172357504</v>
      </c>
      <c r="B1493" t="str">
        <f>"1552382637491030"</f>
        <v>1552382637491030</v>
      </c>
      <c r="C1493" t="s">
        <v>40</v>
      </c>
      <c r="D1493">
        <v>4.1340579999999996</v>
      </c>
      <c r="E1493">
        <v>0.5348349</v>
      </c>
      <c r="F1493" t="s">
        <v>46</v>
      </c>
      <c r="G1493">
        <v>-200.57310000000001</v>
      </c>
      <c r="H1493" s="1">
        <v>2.0383239999999998E-6</v>
      </c>
      <c r="I1493">
        <v>289.56729999999999</v>
      </c>
      <c r="J1493">
        <v>-193.108</v>
      </c>
      <c r="K1493">
        <v>1.108282</v>
      </c>
      <c r="L1493">
        <v>296.0299</v>
      </c>
      <c r="M1493">
        <v>-0.37202560000000001</v>
      </c>
      <c r="N1493">
        <v>0</v>
      </c>
      <c r="O1493">
        <v>-0.92812249999999996</v>
      </c>
      <c r="P1493">
        <v>-0.67186389999999996</v>
      </c>
      <c r="Q1493">
        <v>0.17585709999999999</v>
      </c>
      <c r="R1493">
        <v>-0.719495</v>
      </c>
      <c r="S1493">
        <v>-2.3447879999999999</v>
      </c>
      <c r="T1493">
        <v>-0.34443459999999998</v>
      </c>
      <c r="U1493">
        <v>-2.066681</v>
      </c>
      <c r="V1493">
        <v>0.35705540000000002</v>
      </c>
      <c r="W1493">
        <v>0.186219</v>
      </c>
      <c r="X1493">
        <v>0.9153327</v>
      </c>
      <c r="Y1493">
        <v>0.44541989999999998</v>
      </c>
      <c r="Z1493">
        <v>0.1113368</v>
      </c>
      <c r="AA1493">
        <v>0.88837219999999995</v>
      </c>
      <c r="AB1493">
        <v>20</v>
      </c>
      <c r="AC1493">
        <v>-7.4650999999999996</v>
      </c>
      <c r="AD1493">
        <v>-1.108279961676</v>
      </c>
      <c r="AE1493">
        <v>-6.4626000000000001</v>
      </c>
      <c r="AF1493">
        <v>4.4683984605056803</v>
      </c>
      <c r="AG1493">
        <v>-1.108279961676</v>
      </c>
      <c r="AH1493">
        <v>8.6669152326821006</v>
      </c>
      <c r="AI1493">
        <v>96.484302103530197</v>
      </c>
      <c r="AJ1493">
        <v>62.725741886815698</v>
      </c>
      <c r="AK1493">
        <v>9.8137805623418704</v>
      </c>
      <c r="AL1493">
        <v>79.267789092998299</v>
      </c>
      <c r="AM1493">
        <v>68.690106465305604</v>
      </c>
      <c r="AN1493">
        <v>1.00000001315972</v>
      </c>
    </row>
    <row r="1494" spans="1:40" x14ac:dyDescent="0.25">
      <c r="A1494" t="str">
        <f>"20190312172357526"</f>
        <v>20190312172357526</v>
      </c>
      <c r="B1494" t="str">
        <f>"1552382637521286"</f>
        <v>1552382637521286</v>
      </c>
      <c r="C1494" t="s">
        <v>40</v>
      </c>
      <c r="D1494">
        <v>4.1333260000000003</v>
      </c>
      <c r="E1494">
        <v>0.5351397</v>
      </c>
      <c r="F1494" t="s">
        <v>46</v>
      </c>
      <c r="G1494">
        <v>-200.68029999999999</v>
      </c>
      <c r="H1494" s="1">
        <v>2.0981939999999999E-6</v>
      </c>
      <c r="I1494">
        <v>289.42590000000001</v>
      </c>
      <c r="J1494">
        <v>-193.184</v>
      </c>
      <c r="K1494">
        <v>1.1082179999999999</v>
      </c>
      <c r="L1494">
        <v>295.8544</v>
      </c>
      <c r="M1494">
        <v>-0.37617879999999998</v>
      </c>
      <c r="N1494">
        <v>0</v>
      </c>
      <c r="O1494">
        <v>-0.92644689999999996</v>
      </c>
      <c r="P1494">
        <v>-0.67552080000000003</v>
      </c>
      <c r="Q1494">
        <v>0.175874799999999</v>
      </c>
      <c r="R1494">
        <v>-0.71605839999999998</v>
      </c>
      <c r="S1494">
        <v>-2.3554840000000001</v>
      </c>
      <c r="T1494">
        <v>-0.3447499</v>
      </c>
      <c r="U1494">
        <v>-2.0542910000000001</v>
      </c>
      <c r="V1494">
        <v>0.35765380000000002</v>
      </c>
      <c r="W1494">
        <v>0.18617500000000001</v>
      </c>
      <c r="X1494">
        <v>0.91510800000000003</v>
      </c>
      <c r="Y1494">
        <v>0.44606240000000003</v>
      </c>
      <c r="Z1494">
        <v>0.1113826</v>
      </c>
      <c r="AA1494">
        <v>0.888044099999999</v>
      </c>
      <c r="AB1494">
        <v>20</v>
      </c>
      <c r="AC1494">
        <v>-7.4962999999999598</v>
      </c>
      <c r="AD1494">
        <v>-1.1082159018059901</v>
      </c>
      <c r="AE1494">
        <v>-6.4284999999999801</v>
      </c>
      <c r="AF1494">
        <v>4.4707749815597397</v>
      </c>
      <c r="AG1494">
        <v>-1.1082159018059901</v>
      </c>
      <c r="AH1494">
        <v>8.6672744084115099</v>
      </c>
      <c r="AI1494">
        <v>96.483002034285803</v>
      </c>
      <c r="AJ1494">
        <v>62.714298987335802</v>
      </c>
      <c r="AK1494">
        <v>9.8151727998778195</v>
      </c>
      <c r="AL1494">
        <v>79.270354960033501</v>
      </c>
      <c r="AM1494">
        <v>68.652834500728801</v>
      </c>
      <c r="AN1494">
        <v>1.00000001147172</v>
      </c>
    </row>
    <row r="1495" spans="1:40" x14ac:dyDescent="0.25">
      <c r="A1495" t="str">
        <f>"20190312172357548"</f>
        <v>20190312172357548</v>
      </c>
      <c r="B1495" t="str">
        <f>"1552382637541783"</f>
        <v>1552382637541783</v>
      </c>
      <c r="C1495" t="s">
        <v>40</v>
      </c>
      <c r="D1495">
        <v>4.1505850000000004</v>
      </c>
      <c r="E1495">
        <v>0.53532619999999997</v>
      </c>
      <c r="F1495" t="s">
        <v>46</v>
      </c>
      <c r="G1495">
        <v>-200.80950000000001</v>
      </c>
      <c r="H1495" s="1">
        <v>2.1678459999999998E-6</v>
      </c>
      <c r="I1495">
        <v>289.28489999999999</v>
      </c>
      <c r="J1495">
        <v>-193.2638</v>
      </c>
      <c r="K1495">
        <v>1.1081639999999999</v>
      </c>
      <c r="L1495">
        <v>295.67290000000003</v>
      </c>
      <c r="M1495">
        <v>-0.3805829</v>
      </c>
      <c r="N1495">
        <v>0</v>
      </c>
      <c r="O1495">
        <v>-0.92464619999999997</v>
      </c>
      <c r="P1495">
        <v>-0.6789463</v>
      </c>
      <c r="Q1495">
        <v>0.17630979999999999</v>
      </c>
      <c r="R1495">
        <v>-0.71270409999999995</v>
      </c>
      <c r="S1495">
        <v>-2.368042</v>
      </c>
      <c r="T1495">
        <v>-0.34414609999999901</v>
      </c>
      <c r="U1495">
        <v>-2.0400999999999998</v>
      </c>
      <c r="V1495">
        <v>0.35775960000000001</v>
      </c>
      <c r="W1495">
        <v>0.18655820000000001</v>
      </c>
      <c r="X1495">
        <v>0.91498860000000004</v>
      </c>
      <c r="Y1495">
        <v>0.44721420000000001</v>
      </c>
      <c r="Z1495">
        <v>0.1111292</v>
      </c>
      <c r="AA1495">
        <v>0.88749630000000002</v>
      </c>
      <c r="AB1495">
        <v>19</v>
      </c>
      <c r="AC1495">
        <v>-7.5457000000000098</v>
      </c>
      <c r="AD1495">
        <v>-1.1081618321540001</v>
      </c>
      <c r="AE1495">
        <v>-6.3880000000000301</v>
      </c>
      <c r="AF1495">
        <v>4.4899520694439197</v>
      </c>
      <c r="AG1495">
        <v>-1.1081618321540001</v>
      </c>
      <c r="AH1495">
        <v>8.6702906284339605</v>
      </c>
      <c r="AI1495">
        <v>96.475128155194497</v>
      </c>
      <c r="AJ1495">
        <v>62.622400732804401</v>
      </c>
      <c r="AK1495">
        <v>9.8265778281992109</v>
      </c>
      <c r="AL1495">
        <v>79.248007746167502</v>
      </c>
      <c r="AM1495">
        <v>68.644552818625499</v>
      </c>
      <c r="AN1495">
        <v>1.00000001575467</v>
      </c>
    </row>
    <row r="1496" spans="1:40" x14ac:dyDescent="0.25">
      <c r="A1496" t="str">
        <f>"20190312172357569"</f>
        <v>20190312172357569</v>
      </c>
      <c r="B1496" t="str">
        <f>"1552382637561302"</f>
        <v>1552382637561302</v>
      </c>
      <c r="C1496" t="s">
        <v>40</v>
      </c>
      <c r="D1496">
        <v>4.130382</v>
      </c>
      <c r="E1496">
        <v>0.5355259</v>
      </c>
      <c r="F1496" t="s">
        <v>46</v>
      </c>
      <c r="G1496">
        <v>-200.97040000000001</v>
      </c>
      <c r="H1496" s="1">
        <v>2.254846E-6</v>
      </c>
      <c r="I1496">
        <v>289.10579999999999</v>
      </c>
      <c r="J1496">
        <v>-193.3399</v>
      </c>
      <c r="K1496">
        <v>1.108109</v>
      </c>
      <c r="L1496">
        <v>295.50209999999998</v>
      </c>
      <c r="M1496">
        <v>-0.38482420000000001</v>
      </c>
      <c r="N1496">
        <v>0</v>
      </c>
      <c r="O1496">
        <v>-0.92288910000000002</v>
      </c>
      <c r="P1496">
        <v>-0.68246379999999995</v>
      </c>
      <c r="Q1496">
        <v>0.17673610000000001</v>
      </c>
      <c r="R1496">
        <v>-0.70923049999999999</v>
      </c>
      <c r="S1496">
        <v>-2.3792110000000002</v>
      </c>
      <c r="T1496">
        <v>-0.34211550000000002</v>
      </c>
      <c r="U1496">
        <v>-2.0274049999999999</v>
      </c>
      <c r="V1496">
        <v>0.35815459999999999</v>
      </c>
      <c r="W1496">
        <v>0.18693580000000001</v>
      </c>
      <c r="X1496">
        <v>0.91475700000000004</v>
      </c>
      <c r="Y1496">
        <v>0.44797690000000001</v>
      </c>
      <c r="Z1496">
        <v>0.1104107</v>
      </c>
      <c r="AA1496">
        <v>0.88720129999999997</v>
      </c>
      <c r="AB1496">
        <v>19</v>
      </c>
      <c r="AC1496">
        <v>-7.6305000000000103</v>
      </c>
      <c r="AD1496">
        <v>-1.1081067451540001</v>
      </c>
      <c r="AE1496">
        <v>-6.3962999999999903</v>
      </c>
      <c r="AF1496">
        <v>4.5250339137566904</v>
      </c>
      <c r="AG1496">
        <v>-1.1081067451540001</v>
      </c>
      <c r="AH1496">
        <v>8.7321437671081998</v>
      </c>
      <c r="AI1496">
        <v>96.428421113969904</v>
      </c>
      <c r="AJ1496">
        <v>62.606617770643503</v>
      </c>
      <c r="AK1496">
        <v>9.8971797623742592</v>
      </c>
      <c r="AL1496">
        <v>79.225985708234603</v>
      </c>
      <c r="AM1496">
        <v>68.618177770523005</v>
      </c>
      <c r="AN1496">
        <v>1.0000000399358899</v>
      </c>
    </row>
    <row r="1497" spans="1:40" x14ac:dyDescent="0.25">
      <c r="A1497" t="str">
        <f>"20190312172357591"</f>
        <v>20190312172357591</v>
      </c>
      <c r="B1497" t="str">
        <f>"1552382637581799"</f>
        <v>1552382637581799</v>
      </c>
      <c r="C1497" t="s">
        <v>40</v>
      </c>
      <c r="D1497">
        <v>4.1543169999999998</v>
      </c>
      <c r="E1497">
        <v>0.53571749999999996</v>
      </c>
      <c r="F1497" t="s">
        <v>46</v>
      </c>
      <c r="G1497">
        <v>-201.10890000000001</v>
      </c>
      <c r="H1497" s="1">
        <v>2.329504E-6</v>
      </c>
      <c r="I1497">
        <v>288.95400000000001</v>
      </c>
      <c r="J1497">
        <v>-193.41890000000001</v>
      </c>
      <c r="K1497">
        <v>1.1080540000000001</v>
      </c>
      <c r="L1497">
        <v>295.3272</v>
      </c>
      <c r="M1497">
        <v>-0.38928360000000001</v>
      </c>
      <c r="N1497">
        <v>0</v>
      </c>
      <c r="O1497">
        <v>-0.92101690000000003</v>
      </c>
      <c r="P1497">
        <v>-0.68619739999999996</v>
      </c>
      <c r="Q1497">
        <v>0.17688019999999999</v>
      </c>
      <c r="R1497">
        <v>-0.7055825</v>
      </c>
      <c r="S1497">
        <v>-2.390396</v>
      </c>
      <c r="T1497">
        <v>-0.34094669999999999</v>
      </c>
      <c r="U1497">
        <v>-2.0147400000000002</v>
      </c>
      <c r="V1497">
        <v>0.35859990000000003</v>
      </c>
      <c r="W1497">
        <v>0.18703040000000001</v>
      </c>
      <c r="X1497">
        <v>0.91456309999999996</v>
      </c>
      <c r="Y1497">
        <v>0.44849230000000001</v>
      </c>
      <c r="Z1497">
        <v>0.1099512</v>
      </c>
      <c r="AA1497">
        <v>0.88699789999999901</v>
      </c>
      <c r="AB1497">
        <v>19</v>
      </c>
      <c r="AC1497">
        <v>-7.6899999999999897</v>
      </c>
      <c r="AD1497">
        <v>-1.108051670496</v>
      </c>
      <c r="AE1497">
        <v>-6.37319999999999</v>
      </c>
      <c r="AF1497">
        <v>4.5461121175011501</v>
      </c>
      <c r="AG1497">
        <v>-1.108051670496</v>
      </c>
      <c r="AH1497">
        <v>8.7564654953585297</v>
      </c>
      <c r="AI1497">
        <v>96.407884426524205</v>
      </c>
      <c r="AJ1497">
        <v>62.562922180581701</v>
      </c>
      <c r="AK1497">
        <v>9.9282728538645806</v>
      </c>
      <c r="AL1497">
        <v>79.220467359096901</v>
      </c>
      <c r="AM1497">
        <v>68.589870149388801</v>
      </c>
      <c r="AN1497">
        <v>0.99999996134288904</v>
      </c>
    </row>
    <row r="1498" spans="1:40" x14ac:dyDescent="0.25">
      <c r="A1498" t="str">
        <f>"20190312172357614"</f>
        <v>20190312172357614</v>
      </c>
      <c r="B1498" t="str">
        <f>"1552382637611078"</f>
        <v>1552382637611078</v>
      </c>
      <c r="C1498" t="s">
        <v>40</v>
      </c>
      <c r="D1498">
        <v>4.0937349999999997</v>
      </c>
      <c r="E1498">
        <v>0.53599540000000001</v>
      </c>
      <c r="F1498" t="s">
        <v>46</v>
      </c>
      <c r="G1498">
        <v>-201.25</v>
      </c>
      <c r="H1498" s="1">
        <v>2.405227E-6</v>
      </c>
      <c r="I1498">
        <v>288.80380000000002</v>
      </c>
      <c r="J1498">
        <v>-193.5017</v>
      </c>
      <c r="K1498">
        <v>1.107988</v>
      </c>
      <c r="L1498">
        <v>295.14670000000001</v>
      </c>
      <c r="M1498">
        <v>-0.3940109</v>
      </c>
      <c r="N1498">
        <v>0</v>
      </c>
      <c r="O1498">
        <v>-0.91900440000000005</v>
      </c>
      <c r="P1498">
        <v>-0.69026759999999998</v>
      </c>
      <c r="Q1498">
        <v>0.1767097</v>
      </c>
      <c r="R1498">
        <v>-0.70164419999999905</v>
      </c>
      <c r="S1498">
        <v>-2.4020540000000001</v>
      </c>
      <c r="T1498">
        <v>-0.33987699999999998</v>
      </c>
      <c r="U1498">
        <v>-2.0009459999999999</v>
      </c>
      <c r="V1498">
        <v>0.35920449999999998</v>
      </c>
      <c r="W1498">
        <v>0.1868032</v>
      </c>
      <c r="X1498">
        <v>0.91437230000000003</v>
      </c>
      <c r="Y1498">
        <v>0.44906639999999998</v>
      </c>
      <c r="Z1498">
        <v>0.10952679999999999</v>
      </c>
      <c r="AA1498">
        <v>0.88675999999999999</v>
      </c>
      <c r="AB1498">
        <v>19</v>
      </c>
      <c r="AC1498">
        <v>-7.7483000000000004</v>
      </c>
      <c r="AD1498">
        <v>-1.107985594773</v>
      </c>
      <c r="AE1498">
        <v>-6.3428999999999798</v>
      </c>
      <c r="AF1498">
        <v>4.5660761730534096</v>
      </c>
      <c r="AG1498">
        <v>-1.107985594773</v>
      </c>
      <c r="AH1498">
        <v>8.7754534846089705</v>
      </c>
      <c r="AI1498">
        <v>96.390768682442598</v>
      </c>
      <c r="AJ1498">
        <v>62.510972550820398</v>
      </c>
      <c r="AK1498">
        <v>9.9541583047933404</v>
      </c>
      <c r="AL1498">
        <v>79.233718985276994</v>
      </c>
      <c r="AM1498">
        <v>68.552979635703295</v>
      </c>
      <c r="AN1498">
        <v>1.00000000567889</v>
      </c>
    </row>
    <row r="1499" spans="1:40" x14ac:dyDescent="0.25">
      <c r="A1499" t="str">
        <f>"20190312172357635"</f>
        <v>20190312172357635</v>
      </c>
      <c r="B1499" t="str">
        <f>"1552382637631574"</f>
        <v>1552382637631574</v>
      </c>
      <c r="C1499" t="s">
        <v>40</v>
      </c>
      <c r="D1499">
        <v>4.1533910000000001</v>
      </c>
      <c r="E1499">
        <v>0.5361688</v>
      </c>
      <c r="F1499" t="s">
        <v>46</v>
      </c>
      <c r="G1499">
        <v>-201.36279999999999</v>
      </c>
      <c r="H1499" s="1">
        <v>2.465709E-6</v>
      </c>
      <c r="I1499">
        <v>288.68400000000003</v>
      </c>
      <c r="J1499">
        <v>-193.5812</v>
      </c>
      <c r="K1499">
        <v>1.1079139999999901</v>
      </c>
      <c r="L1499">
        <v>294.97620000000001</v>
      </c>
      <c r="M1499">
        <v>-0.39860279999999998</v>
      </c>
      <c r="N1499">
        <v>0</v>
      </c>
      <c r="O1499">
        <v>-0.91702169999999905</v>
      </c>
      <c r="P1499">
        <v>-0.694461199999999</v>
      </c>
      <c r="Q1499">
        <v>0.17623269999999999</v>
      </c>
      <c r="R1499">
        <v>-0.69761430000000002</v>
      </c>
      <c r="S1499">
        <v>-2.4150700000000001</v>
      </c>
      <c r="T1499">
        <v>-0.34039550000000002</v>
      </c>
      <c r="U1499">
        <v>-1.985474</v>
      </c>
      <c r="V1499">
        <v>0.36009570000000002</v>
      </c>
      <c r="W1499">
        <v>0.18626119999999999</v>
      </c>
      <c r="X1499">
        <v>0.91413230000000001</v>
      </c>
      <c r="Y1499">
        <v>0.45032709999999998</v>
      </c>
      <c r="Z1499">
        <v>0.10962379999999999</v>
      </c>
      <c r="AA1499">
        <v>0.88610840000000002</v>
      </c>
      <c r="AB1499">
        <v>19</v>
      </c>
      <c r="AC1499">
        <v>-7.7815999999999903</v>
      </c>
      <c r="AD1499">
        <v>-1.10791153429099</v>
      </c>
      <c r="AE1499">
        <v>-6.2921999999999798</v>
      </c>
      <c r="AF1499">
        <v>4.5721993271387804</v>
      </c>
      <c r="AG1499">
        <v>-1.10791153429099</v>
      </c>
      <c r="AH1499">
        <v>8.7652464394300704</v>
      </c>
      <c r="AI1499">
        <v>96.394334361748705</v>
      </c>
      <c r="AJ1499">
        <v>62.452186585964803</v>
      </c>
      <c r="AK1499">
        <v>9.9479656110606296</v>
      </c>
      <c r="AL1499">
        <v>79.265328064883093</v>
      </c>
      <c r="AM1499">
        <v>68.499489376857994</v>
      </c>
      <c r="AN1499">
        <v>1.00000000484361</v>
      </c>
    </row>
    <row r="1500" spans="1:40" x14ac:dyDescent="0.25">
      <c r="A1500" t="str">
        <f>"20190312172357657"</f>
        <v>20190312172357657</v>
      </c>
      <c r="B1500" t="str">
        <f>"1552382637651094"</f>
        <v>1552382637651094</v>
      </c>
      <c r="C1500" t="s">
        <v>40</v>
      </c>
      <c r="D1500">
        <v>4.1665409999999996</v>
      </c>
      <c r="E1500">
        <v>0.53633779999999998</v>
      </c>
      <c r="F1500" t="s">
        <v>46</v>
      </c>
      <c r="G1500">
        <v>-201.45359999999999</v>
      </c>
      <c r="H1500" s="1">
        <v>2.5145950000000001E-6</v>
      </c>
      <c r="I1500">
        <v>288.58580000000001</v>
      </c>
      <c r="J1500">
        <v>-193.6636</v>
      </c>
      <c r="K1500">
        <v>1.1078380000000001</v>
      </c>
      <c r="L1500">
        <v>294.80189999999999</v>
      </c>
      <c r="M1500">
        <v>-0.40343000000000001</v>
      </c>
      <c r="N1500">
        <v>0</v>
      </c>
      <c r="O1500">
        <v>-0.91490839999999996</v>
      </c>
      <c r="P1500">
        <v>-0.69863769999999903</v>
      </c>
      <c r="Q1500">
        <v>0.1759445</v>
      </c>
      <c r="R1500">
        <v>-0.69350519999999904</v>
      </c>
      <c r="S1500">
        <v>-2.4273069999999999</v>
      </c>
      <c r="T1500">
        <v>-0.34160089999999999</v>
      </c>
      <c r="U1500">
        <v>-1.970337</v>
      </c>
      <c r="V1500">
        <v>0.3607747</v>
      </c>
      <c r="W1500">
        <v>0.18590229999999999</v>
      </c>
      <c r="X1500">
        <v>0.91393760000000002</v>
      </c>
      <c r="Y1500">
        <v>0.45111499999999999</v>
      </c>
      <c r="Z1500">
        <v>0.1099291</v>
      </c>
      <c r="AA1500">
        <v>0.8856697</v>
      </c>
      <c r="AB1500">
        <v>19</v>
      </c>
      <c r="AC1500">
        <v>-7.7899999999999903</v>
      </c>
      <c r="AD1500">
        <v>-1.1078354854050001</v>
      </c>
      <c r="AE1500">
        <v>-6.2160999999999804</v>
      </c>
      <c r="AF1500">
        <v>4.56341885114134</v>
      </c>
      <c r="AG1500">
        <v>-1.1078354854050001</v>
      </c>
      <c r="AH1500">
        <v>8.7229218726342292</v>
      </c>
      <c r="AI1500">
        <v>96.420679694957002</v>
      </c>
      <c r="AJ1500">
        <v>62.383569904698803</v>
      </c>
      <c r="AK1500">
        <v>9.9066370211972199</v>
      </c>
      <c r="AL1500">
        <v>79.286256932065996</v>
      </c>
      <c r="AM1500">
        <v>68.458489394590003</v>
      </c>
      <c r="AN1500">
        <v>0.99999999299956999</v>
      </c>
    </row>
    <row r="1501" spans="1:40" x14ac:dyDescent="0.25">
      <c r="A1501" t="str">
        <f>"20190312172357680"</f>
        <v>20190312172357680</v>
      </c>
      <c r="B1501" t="str">
        <f>"1552382637671591"</f>
        <v>1552382637671591</v>
      </c>
      <c r="C1501" t="s">
        <v>40</v>
      </c>
      <c r="D1501">
        <v>4.1362230000000002</v>
      </c>
      <c r="E1501">
        <v>0.53648600000000002</v>
      </c>
      <c r="F1501" t="s">
        <v>46</v>
      </c>
      <c r="G1501">
        <v>-201.5735</v>
      </c>
      <c r="H1501" s="1">
        <v>2.5781369999999999E-6</v>
      </c>
      <c r="I1501">
        <v>288.46679999999998</v>
      </c>
      <c r="J1501">
        <v>-193.75120000000001</v>
      </c>
      <c r="K1501">
        <v>1.1077459999999999</v>
      </c>
      <c r="L1501">
        <v>294.6198</v>
      </c>
      <c r="M1501">
        <v>-0.4086263</v>
      </c>
      <c r="N1501">
        <v>0</v>
      </c>
      <c r="O1501">
        <v>-0.9125991</v>
      </c>
      <c r="P1501">
        <v>-0.70247939999999998</v>
      </c>
      <c r="Q1501">
        <v>0.17614389999999999</v>
      </c>
      <c r="R1501">
        <v>-0.68956240000000002</v>
      </c>
      <c r="S1501">
        <v>-2.4401700000000002</v>
      </c>
      <c r="T1501">
        <v>-0.34176430000000002</v>
      </c>
      <c r="U1501">
        <v>-1.9543459999999999</v>
      </c>
      <c r="V1501">
        <v>0.36071910000000001</v>
      </c>
      <c r="W1501">
        <v>0.18602969999999999</v>
      </c>
      <c r="X1501">
        <v>0.91393360000000001</v>
      </c>
      <c r="Y1501">
        <v>0.45186179999999898</v>
      </c>
      <c r="Z1501">
        <v>0.10988729999999999</v>
      </c>
      <c r="AA1501">
        <v>0.88529409999999897</v>
      </c>
      <c r="AB1501">
        <v>19</v>
      </c>
      <c r="AC1501">
        <v>-7.8222999999999798</v>
      </c>
      <c r="AD1501">
        <v>-1.10774342186299</v>
      </c>
      <c r="AE1501">
        <v>-6.1530000000000102</v>
      </c>
      <c r="AF1501">
        <v>4.5681848521324904</v>
      </c>
      <c r="AG1501">
        <v>-1.10774342186299</v>
      </c>
      <c r="AH1501">
        <v>8.7046049754109305</v>
      </c>
      <c r="AI1501">
        <v>96.429225411678701</v>
      </c>
      <c r="AJ1501">
        <v>62.309468983154801</v>
      </c>
      <c r="AK1501">
        <v>9.8927021642159101</v>
      </c>
      <c r="AL1501">
        <v>79.2788276282742</v>
      </c>
      <c r="AM1501">
        <v>68.461419526065498</v>
      </c>
      <c r="AN1501">
        <v>0.99999997179792899</v>
      </c>
    </row>
    <row r="1502" spans="1:40" x14ac:dyDescent="0.25">
      <c r="A1502" t="str">
        <f>"20190312172357705"</f>
        <v>20190312172357705</v>
      </c>
      <c r="B1502" t="str">
        <f>"1552382637700870"</f>
        <v>1552382637700870</v>
      </c>
      <c r="C1502" t="s">
        <v>40</v>
      </c>
      <c r="D1502">
        <v>4.1187120000000004</v>
      </c>
      <c r="E1502">
        <v>0.53670499999999999</v>
      </c>
      <c r="F1502" t="s">
        <v>46</v>
      </c>
      <c r="G1502">
        <v>-201.71870000000001</v>
      </c>
      <c r="H1502" s="1">
        <v>2.6552899999999999E-6</v>
      </c>
      <c r="I1502">
        <v>288.32100000000003</v>
      </c>
      <c r="J1502">
        <v>-193.8416</v>
      </c>
      <c r="K1502">
        <v>1.107648</v>
      </c>
      <c r="L1502">
        <v>294.43529999999998</v>
      </c>
      <c r="M1502">
        <v>-0.41409059999999998</v>
      </c>
      <c r="N1502">
        <v>0</v>
      </c>
      <c r="O1502">
        <v>-0.91013259999999996</v>
      </c>
      <c r="P1502">
        <v>-0.70697639999999995</v>
      </c>
      <c r="Q1502">
        <v>0.1765032</v>
      </c>
      <c r="R1502">
        <v>-0.68485879999999999</v>
      </c>
      <c r="S1502">
        <v>-2.452728</v>
      </c>
      <c r="T1502">
        <v>-0.34100910000000001</v>
      </c>
      <c r="U1502">
        <v>-1.9390259999999999</v>
      </c>
      <c r="V1502">
        <v>0.36130869999999998</v>
      </c>
      <c r="W1502">
        <v>0.18630240000000001</v>
      </c>
      <c r="X1502">
        <v>0.91364509999999999</v>
      </c>
      <c r="Y1502">
        <v>0.45216020000000001</v>
      </c>
      <c r="Z1502">
        <v>0.10952099999999999</v>
      </c>
      <c r="AA1502">
        <v>0.88518709999999901</v>
      </c>
      <c r="AB1502">
        <v>19</v>
      </c>
      <c r="AC1502">
        <v>-7.8771000000000102</v>
      </c>
      <c r="AD1502">
        <v>-1.1076453447100001</v>
      </c>
      <c r="AE1502">
        <v>-6.1143000000000098</v>
      </c>
      <c r="AF1502">
        <v>4.5812399185054096</v>
      </c>
      <c r="AG1502">
        <v>-1.1076453447100001</v>
      </c>
      <c r="AH1502">
        <v>8.7198928745549296</v>
      </c>
      <c r="AI1502">
        <v>96.415972790362602</v>
      </c>
      <c r="AJ1502">
        <v>62.283551437287898</v>
      </c>
      <c r="AK1502">
        <v>9.9121727761515004</v>
      </c>
      <c r="AL1502">
        <v>79.262924989269095</v>
      </c>
      <c r="AM1502">
        <v>68.423260245636499</v>
      </c>
      <c r="AN1502">
        <v>0.99999996484772902</v>
      </c>
    </row>
    <row r="1503" spans="1:40" x14ac:dyDescent="0.25">
      <c r="A1503" t="str">
        <f>"20190312172357726"</f>
        <v>20190312172357726</v>
      </c>
      <c r="B1503" t="str">
        <f>"1552382637721367"</f>
        <v>1552382637721367</v>
      </c>
      <c r="C1503" t="s">
        <v>40</v>
      </c>
      <c r="D1503">
        <v>4.1407410000000002</v>
      </c>
      <c r="E1503">
        <v>0.5368501</v>
      </c>
      <c r="F1503" t="s">
        <v>46</v>
      </c>
      <c r="G1503">
        <v>-201.8835</v>
      </c>
      <c r="H1503" s="1">
        <v>2.741366E-6</v>
      </c>
      <c r="I1503">
        <v>288.17230000000001</v>
      </c>
      <c r="J1503">
        <v>-193.92750000000001</v>
      </c>
      <c r="K1503">
        <v>1.1075520000000001</v>
      </c>
      <c r="L1503">
        <v>294.2629</v>
      </c>
      <c r="M1503">
        <v>-0.41937439999999998</v>
      </c>
      <c r="N1503">
        <v>0</v>
      </c>
      <c r="O1503">
        <v>-0.90771000000000002</v>
      </c>
      <c r="P1503">
        <v>-0.71129290000000001</v>
      </c>
      <c r="Q1503">
        <v>0.177146</v>
      </c>
      <c r="R1503">
        <v>-0.68020749999999996</v>
      </c>
      <c r="S1503">
        <v>-2.467041</v>
      </c>
      <c r="T1503">
        <v>-0.3397945</v>
      </c>
      <c r="U1503">
        <v>-1.9213260000000001</v>
      </c>
      <c r="V1503">
        <v>0.36189549999999998</v>
      </c>
      <c r="W1503">
        <v>0.18686220000000001</v>
      </c>
      <c r="X1503">
        <v>0.91329850000000001</v>
      </c>
      <c r="Y1503">
        <v>0.45346809999999999</v>
      </c>
      <c r="Z1503">
        <v>0.109035199999999</v>
      </c>
      <c r="AA1503">
        <v>0.88457790000000003</v>
      </c>
      <c r="AB1503">
        <v>19</v>
      </c>
      <c r="AC1503">
        <v>-7.95599999999998</v>
      </c>
      <c r="AD1503">
        <v>-1.1075492586339999</v>
      </c>
      <c r="AE1503">
        <v>-6.0905999999999896</v>
      </c>
      <c r="AF1503">
        <v>4.6115899343494897</v>
      </c>
      <c r="AG1503">
        <v>-1.1075492586339999</v>
      </c>
      <c r="AH1503">
        <v>8.7588523666341196</v>
      </c>
      <c r="AI1503">
        <v>96.384177858412798</v>
      </c>
      <c r="AJ1503">
        <v>62.232917608452702</v>
      </c>
      <c r="AK1503">
        <v>9.9604679540364192</v>
      </c>
      <c r="AL1503">
        <v>79.230277798911303</v>
      </c>
      <c r="AM1503">
        <v>68.384000553304801</v>
      </c>
      <c r="AN1503">
        <v>0.99999999240566995</v>
      </c>
    </row>
    <row r="1504" spans="1:40" x14ac:dyDescent="0.25">
      <c r="A1504" t="str">
        <f>"20190312172357747"</f>
        <v>20190312172357747</v>
      </c>
      <c r="B1504" t="str">
        <f>"1552382637741863"</f>
        <v>1552382637741863</v>
      </c>
      <c r="C1504" t="s">
        <v>40</v>
      </c>
      <c r="D1504">
        <v>4.1710159999999998</v>
      </c>
      <c r="E1504">
        <v>0.53698590000000002</v>
      </c>
      <c r="F1504" t="s">
        <v>46</v>
      </c>
      <c r="G1504">
        <v>-202.06870000000001</v>
      </c>
      <c r="H1504" s="1">
        <v>2.8375910000000001E-6</v>
      </c>
      <c r="I1504">
        <v>288.01089999999999</v>
      </c>
      <c r="J1504">
        <v>-194.0111</v>
      </c>
      <c r="K1504">
        <v>1.107467</v>
      </c>
      <c r="L1504">
        <v>294.09789999999998</v>
      </c>
      <c r="M1504">
        <v>-0.4245737</v>
      </c>
      <c r="N1504">
        <v>0</v>
      </c>
      <c r="O1504">
        <v>-0.90528929999999996</v>
      </c>
      <c r="P1504">
        <v>-0.71553420000000001</v>
      </c>
      <c r="Q1504">
        <v>0.1767106</v>
      </c>
      <c r="R1504">
        <v>-0.67585810000000002</v>
      </c>
      <c r="S1504">
        <v>-2.4802550000000001</v>
      </c>
      <c r="T1504">
        <v>-0.33742149999999999</v>
      </c>
      <c r="U1504">
        <v>-1.9047240000000001</v>
      </c>
      <c r="V1504">
        <v>0.36235820000000002</v>
      </c>
      <c r="W1504">
        <v>0.186361</v>
      </c>
      <c r="X1504">
        <v>0.91321739999999996</v>
      </c>
      <c r="Y1504">
        <v>0.45444200000000001</v>
      </c>
      <c r="Z1504">
        <v>0.1081734</v>
      </c>
      <c r="AA1504">
        <v>0.88418379999999996</v>
      </c>
      <c r="AB1504">
        <v>19</v>
      </c>
      <c r="AC1504">
        <v>-8.0576000000000008</v>
      </c>
      <c r="AD1504">
        <v>-1.107464162409</v>
      </c>
      <c r="AE1504">
        <v>-6.0869999999999802</v>
      </c>
      <c r="AF1504">
        <v>4.6545423972220998</v>
      </c>
      <c r="AG1504">
        <v>-1.107464162409</v>
      </c>
      <c r="AH1504">
        <v>8.8262291882611095</v>
      </c>
      <c r="AI1504">
        <v>96.333162540316593</v>
      </c>
      <c r="AJ1504">
        <v>62.194922475278801</v>
      </c>
      <c r="AK1504">
        <v>10.039599767036</v>
      </c>
      <c r="AL1504">
        <v>79.259507484665207</v>
      </c>
      <c r="AM1504">
        <v>68.357172439703106</v>
      </c>
      <c r="AN1504">
        <v>0.99999995354549798</v>
      </c>
    </row>
    <row r="1505" spans="1:40" x14ac:dyDescent="0.25">
      <c r="A1505" t="str">
        <f>"20190312172357771"</f>
        <v>20190312172357771</v>
      </c>
      <c r="B1505" t="str">
        <f>"1552382637761382"</f>
        <v>1552382637761382</v>
      </c>
      <c r="C1505" t="s">
        <v>40</v>
      </c>
      <c r="D1505">
        <v>4.1580550000000001</v>
      </c>
      <c r="E1505">
        <v>0.53711619999999904</v>
      </c>
      <c r="F1505" t="s">
        <v>46</v>
      </c>
      <c r="G1505">
        <v>-202.166</v>
      </c>
      <c r="H1505" s="1">
        <v>2.888753E-6</v>
      </c>
      <c r="I1505">
        <v>287.91919999999999</v>
      </c>
      <c r="J1505">
        <v>-194.10419999999999</v>
      </c>
      <c r="K1505">
        <v>1.1073850000000001</v>
      </c>
      <c r="L1505">
        <v>293.91739999999999</v>
      </c>
      <c r="M1505">
        <v>-0.43043049999999999</v>
      </c>
      <c r="N1505">
        <v>0</v>
      </c>
      <c r="O1505">
        <v>-0.90251930000000002</v>
      </c>
      <c r="P1505">
        <v>-0.72026889999999999</v>
      </c>
      <c r="Q1505">
        <v>0.17697539999999901</v>
      </c>
      <c r="R1505">
        <v>-0.67074060000000002</v>
      </c>
      <c r="S1505">
        <v>-2.4924770000000001</v>
      </c>
      <c r="T1505">
        <v>-0.33848979999999901</v>
      </c>
      <c r="U1505">
        <v>-1.8884890000000001</v>
      </c>
      <c r="V1505">
        <v>0.36293419999999998</v>
      </c>
      <c r="W1505">
        <v>0.1865559</v>
      </c>
      <c r="X1505">
        <v>0.91294889999999995</v>
      </c>
      <c r="Y1505">
        <v>0.45440160000000002</v>
      </c>
      <c r="Z1505">
        <v>0.10837140000000001</v>
      </c>
      <c r="AA1505">
        <v>0.88418030000000003</v>
      </c>
      <c r="AB1505">
        <v>19</v>
      </c>
      <c r="AC1505">
        <v>-8.0617999999999999</v>
      </c>
      <c r="AD1505">
        <v>-1.1073821112469999</v>
      </c>
      <c r="AE1505">
        <v>-5.99819999999999</v>
      </c>
      <c r="AF1505">
        <v>4.6382329121009302</v>
      </c>
      <c r="AG1505">
        <v>-1.1073821112469999</v>
      </c>
      <c r="AH1505">
        <v>8.7777670905507996</v>
      </c>
      <c r="AI1505">
        <v>96.364627660605095</v>
      </c>
      <c r="AJ1505">
        <v>62.147716915409099</v>
      </c>
      <c r="AK1505">
        <v>9.9894291520167808</v>
      </c>
      <c r="AL1505">
        <v>79.248141880535897</v>
      </c>
      <c r="AM1505">
        <v>68.320173268630796</v>
      </c>
      <c r="AN1505">
        <v>1.0000000156828199</v>
      </c>
    </row>
    <row r="1506" spans="1:40" x14ac:dyDescent="0.25">
      <c r="A1506" t="str">
        <f>"20190312172357792"</f>
        <v>20190312172357792</v>
      </c>
      <c r="B1506" t="str">
        <f>"1552382637781878"</f>
        <v>1552382637781878</v>
      </c>
      <c r="C1506" t="s">
        <v>40</v>
      </c>
      <c r="D1506">
        <v>4.173387</v>
      </c>
      <c r="E1506">
        <v>0.53723299999999996</v>
      </c>
      <c r="F1506" t="s">
        <v>46</v>
      </c>
      <c r="G1506">
        <v>-202.33279999999999</v>
      </c>
      <c r="H1506" s="1">
        <v>2.975112E-6</v>
      </c>
      <c r="I1506">
        <v>287.77789999999999</v>
      </c>
      <c r="J1506">
        <v>-194.18940000000001</v>
      </c>
      <c r="K1506">
        <v>1.107313</v>
      </c>
      <c r="L1506">
        <v>293.75510000000003</v>
      </c>
      <c r="M1506">
        <v>-0.43585479999999999</v>
      </c>
      <c r="N1506">
        <v>0</v>
      </c>
      <c r="O1506">
        <v>-0.89991200000000005</v>
      </c>
      <c r="P1506">
        <v>-0.7247884</v>
      </c>
      <c r="Q1506">
        <v>0.17737709999999901</v>
      </c>
      <c r="R1506">
        <v>-0.66574739999999999</v>
      </c>
      <c r="S1506">
        <v>-2.5064700000000002</v>
      </c>
      <c r="T1506">
        <v>-0.33731339999999999</v>
      </c>
      <c r="U1506">
        <v>-1.870117</v>
      </c>
      <c r="V1506">
        <v>0.36370000000000002</v>
      </c>
      <c r="W1506">
        <v>0.1868908</v>
      </c>
      <c r="X1506">
        <v>0.91257549999999998</v>
      </c>
      <c r="Y1506">
        <v>0.45561849999999998</v>
      </c>
      <c r="Z1506">
        <v>0.1078896</v>
      </c>
      <c r="AA1506">
        <v>0.88361279999999998</v>
      </c>
      <c r="AB1506">
        <v>19</v>
      </c>
      <c r="AC1506">
        <v>-8.1433999999999802</v>
      </c>
      <c r="AD1506">
        <v>-1.1073100248879999</v>
      </c>
      <c r="AE1506">
        <v>-5.97720000000003</v>
      </c>
      <c r="AF1506">
        <v>4.6675135840073203</v>
      </c>
      <c r="AG1506">
        <v>-1.1073100248879999</v>
      </c>
      <c r="AH1506">
        <v>8.8231191450023108</v>
      </c>
      <c r="AI1506">
        <v>96.330206702231607</v>
      </c>
      <c r="AJ1506">
        <v>62.120735710974202</v>
      </c>
      <c r="AK1506">
        <v>10.042870605310799</v>
      </c>
      <c r="AL1506">
        <v>79.228609315699799</v>
      </c>
      <c r="AM1506">
        <v>68.270623413390894</v>
      </c>
      <c r="AN1506">
        <v>0.99999995216244297</v>
      </c>
    </row>
    <row r="1507" spans="1:40" x14ac:dyDescent="0.25">
      <c r="A1507" t="str">
        <f>"20190312172357814"</f>
        <v>20190312172357814</v>
      </c>
      <c r="B1507" t="str">
        <f>"1552382637811158"</f>
        <v>1552382637811158</v>
      </c>
      <c r="C1507" t="s">
        <v>40</v>
      </c>
      <c r="D1507">
        <v>4.1767110000000001</v>
      </c>
      <c r="E1507">
        <v>0.53740429999999995</v>
      </c>
      <c r="F1507" t="s">
        <v>46</v>
      </c>
      <c r="G1507">
        <v>-202.4845</v>
      </c>
      <c r="H1507" s="1">
        <v>3.0528499999999999E-6</v>
      </c>
      <c r="I1507">
        <v>287.65800000000002</v>
      </c>
      <c r="J1507">
        <v>-194.2792</v>
      </c>
      <c r="K1507">
        <v>1.1072299999999999</v>
      </c>
      <c r="L1507">
        <v>293.58679999999998</v>
      </c>
      <c r="M1507">
        <v>-0.44164809999999999</v>
      </c>
      <c r="N1507">
        <v>0</v>
      </c>
      <c r="O1507">
        <v>-0.89708269999999901</v>
      </c>
      <c r="P1507">
        <v>-0.72954519999999901</v>
      </c>
      <c r="Q1507">
        <v>0.17746410000000001</v>
      </c>
      <c r="R1507">
        <v>-0.66050769999999903</v>
      </c>
      <c r="S1507">
        <v>-2.5200650000000002</v>
      </c>
      <c r="T1507">
        <v>-0.33640229999999999</v>
      </c>
      <c r="U1507">
        <v>-1.852295</v>
      </c>
      <c r="V1507">
        <v>0.3644154</v>
      </c>
      <c r="W1507">
        <v>0.1869034</v>
      </c>
      <c r="X1507">
        <v>0.91228750000000003</v>
      </c>
      <c r="Y1507">
        <v>0.45625640000000001</v>
      </c>
      <c r="Z1507">
        <v>0.107457</v>
      </c>
      <c r="AA1507">
        <v>0.88333629999999996</v>
      </c>
      <c r="AB1507">
        <v>19</v>
      </c>
      <c r="AC1507">
        <v>-8.2052999999999905</v>
      </c>
      <c r="AD1507">
        <v>-1.10722694715</v>
      </c>
      <c r="AE1507">
        <v>-5.9287999999999599</v>
      </c>
      <c r="AF1507">
        <v>4.6867706543942003</v>
      </c>
      <c r="AG1507">
        <v>-1.10722694715</v>
      </c>
      <c r="AH1507">
        <v>8.8376016241447708</v>
      </c>
      <c r="AI1507">
        <v>96.316045866009105</v>
      </c>
      <c r="AJ1507">
        <v>62.062028667531997</v>
      </c>
      <c r="AK1507">
        <v>10.0645403842635</v>
      </c>
      <c r="AL1507">
        <v>79.227874674439406</v>
      </c>
      <c r="AM1507">
        <v>68.225644878090606</v>
      </c>
      <c r="AN1507">
        <v>0.99999997367248405</v>
      </c>
    </row>
    <row r="1508" spans="1:40" x14ac:dyDescent="0.25">
      <c r="A1508" t="str">
        <f>"20190312172357836"</f>
        <v>20190312172357836</v>
      </c>
      <c r="B1508" t="str">
        <f>"1552382637831655"</f>
        <v>1552382637831655</v>
      </c>
      <c r="C1508" t="s">
        <v>40</v>
      </c>
      <c r="D1508">
        <v>4.1723559999999997</v>
      </c>
      <c r="E1508">
        <v>0.53751769999999999</v>
      </c>
      <c r="F1508" t="s">
        <v>46</v>
      </c>
      <c r="G1508">
        <v>-202.6258</v>
      </c>
      <c r="H1508" s="1">
        <v>3.1248740000000001E-6</v>
      </c>
      <c r="I1508">
        <v>287.55079999999998</v>
      </c>
      <c r="J1508">
        <v>-194.36949999999999</v>
      </c>
      <c r="K1508">
        <v>1.107129</v>
      </c>
      <c r="L1508">
        <v>293.42079999999999</v>
      </c>
      <c r="M1508">
        <v>-0.44753759999999998</v>
      </c>
      <c r="N1508">
        <v>0</v>
      </c>
      <c r="O1508">
        <v>-0.89415869999999997</v>
      </c>
      <c r="P1508">
        <v>-0.73433000000000004</v>
      </c>
      <c r="Q1508">
        <v>0.17758599999999999</v>
      </c>
      <c r="R1508">
        <v>-0.65515100000000004</v>
      </c>
      <c r="S1508">
        <v>-2.5344850000000001</v>
      </c>
      <c r="T1508">
        <v>-0.3362173</v>
      </c>
      <c r="U1508">
        <v>-1.832886</v>
      </c>
      <c r="V1508">
        <v>0.36511440000000001</v>
      </c>
      <c r="W1508">
        <v>0.1869442</v>
      </c>
      <c r="X1508">
        <v>0.91199960000000002</v>
      </c>
      <c r="Y1508">
        <v>0.45725579999999999</v>
      </c>
      <c r="Z1508">
        <v>0.1072613</v>
      </c>
      <c r="AA1508">
        <v>0.88284319999999905</v>
      </c>
      <c r="AB1508">
        <v>19</v>
      </c>
      <c r="AC1508">
        <v>-8.2563000000000102</v>
      </c>
      <c r="AD1508">
        <v>-1.107125875126</v>
      </c>
      <c r="AE1508">
        <v>-5.87</v>
      </c>
      <c r="AF1508">
        <v>4.6997162082536903</v>
      </c>
      <c r="AG1508">
        <v>-1.107125875126</v>
      </c>
      <c r="AH1508">
        <v>8.8389950084719402</v>
      </c>
      <c r="AI1508">
        <v>96.310904551905097</v>
      </c>
      <c r="AJ1508">
        <v>62.000307272805699</v>
      </c>
      <c r="AK1508">
        <v>10.0717869765641</v>
      </c>
      <c r="AL1508">
        <v>79.225494966733507</v>
      </c>
      <c r="AM1508">
        <v>68.181556310244403</v>
      </c>
      <c r="AN1508">
        <v>0.99999996470057895</v>
      </c>
    </row>
    <row r="1509" spans="1:40" x14ac:dyDescent="0.25">
      <c r="A1509" t="str">
        <f>"20190312172357859"</f>
        <v>20190312172357859</v>
      </c>
      <c r="B1509" t="str">
        <f>"1552382637851175"</f>
        <v>1552382637851175</v>
      </c>
      <c r="C1509" t="s">
        <v>40</v>
      </c>
      <c r="D1509">
        <v>4.0769409999999997</v>
      </c>
      <c r="E1509">
        <v>0.53762679999999996</v>
      </c>
      <c r="F1509" t="s">
        <v>46</v>
      </c>
      <c r="G1509">
        <v>-202.7544</v>
      </c>
      <c r="H1509" s="1">
        <v>3.1907039999999999E-6</v>
      </c>
      <c r="I1509">
        <v>287.4504</v>
      </c>
      <c r="J1509">
        <v>-194.4674</v>
      </c>
      <c r="K1509">
        <v>1.107013</v>
      </c>
      <c r="L1509">
        <v>293.24400000000003</v>
      </c>
      <c r="M1509">
        <v>-0.45400400000000002</v>
      </c>
      <c r="N1509">
        <v>0</v>
      </c>
      <c r="O1509">
        <v>-0.89089289999999999</v>
      </c>
      <c r="P1509">
        <v>-0.73971889999999996</v>
      </c>
      <c r="Q1509">
        <v>0.17743429999999999</v>
      </c>
      <c r="R1509">
        <v>-0.64910210000000002</v>
      </c>
      <c r="S1509">
        <v>-2.548035</v>
      </c>
      <c r="T1509">
        <v>-0.33643469999999998</v>
      </c>
      <c r="U1509">
        <v>-1.8143009999999999</v>
      </c>
      <c r="V1509">
        <v>0.36607790000000001</v>
      </c>
      <c r="W1509">
        <v>0.1866959</v>
      </c>
      <c r="X1509">
        <v>0.91166420000000004</v>
      </c>
      <c r="Y1509">
        <v>0.45731889999999997</v>
      </c>
      <c r="Z1509">
        <v>0.1071464</v>
      </c>
      <c r="AA1509">
        <v>0.88282450000000001</v>
      </c>
      <c r="AB1509">
        <v>19</v>
      </c>
      <c r="AC1509">
        <v>-8.2870000000000008</v>
      </c>
      <c r="AD1509">
        <v>-1.1070098092959999</v>
      </c>
      <c r="AE1509">
        <v>-5.7936000000000201</v>
      </c>
      <c r="AF1509">
        <v>4.6966687447766304</v>
      </c>
      <c r="AG1509">
        <v>-1.1070098092959999</v>
      </c>
      <c r="AH1509">
        <v>8.8189513875853507</v>
      </c>
      <c r="AI1509">
        <v>96.322229625060004</v>
      </c>
      <c r="AJ1509">
        <v>61.961777647016802</v>
      </c>
      <c r="AK1509">
        <v>10.0527643756646</v>
      </c>
      <c r="AL1509">
        <v>79.239976861029803</v>
      </c>
      <c r="AM1509">
        <v>68.122118958477699</v>
      </c>
      <c r="AN1509">
        <v>1.00000000075343</v>
      </c>
    </row>
    <row r="1510" spans="1:40" x14ac:dyDescent="0.25">
      <c r="A1510" t="str">
        <f>"20190312172357882"</f>
        <v>20190312172357882</v>
      </c>
      <c r="B1510" t="str">
        <f>"1552382637871670"</f>
        <v>1552382637871670</v>
      </c>
      <c r="C1510" t="s">
        <v>40</v>
      </c>
      <c r="D1510">
        <v>4.2900489999999998</v>
      </c>
      <c r="E1510">
        <v>0.53772749999999903</v>
      </c>
      <c r="F1510" t="s">
        <v>46</v>
      </c>
      <c r="G1510">
        <v>-202.88200000000001</v>
      </c>
      <c r="H1510" s="1">
        <v>3.255238E-6</v>
      </c>
      <c r="I1510">
        <v>287.3596</v>
      </c>
      <c r="J1510">
        <v>-194.56180000000001</v>
      </c>
      <c r="K1510">
        <v>1.106905</v>
      </c>
      <c r="L1510">
        <v>293.07709999999997</v>
      </c>
      <c r="M1510">
        <v>-0.46030149999999997</v>
      </c>
      <c r="N1510">
        <v>0</v>
      </c>
      <c r="O1510">
        <v>-0.88765499999999997</v>
      </c>
      <c r="P1510">
        <v>-0.74459809999999904</v>
      </c>
      <c r="Q1510">
        <v>0.17740040000000001</v>
      </c>
      <c r="R1510">
        <v>-0.64350859999999999</v>
      </c>
      <c r="S1510">
        <v>-2.5634610000000002</v>
      </c>
      <c r="T1510">
        <v>-0.33724300000000001</v>
      </c>
      <c r="U1510">
        <v>-1.7926329999999999</v>
      </c>
      <c r="V1510">
        <v>0.36655140000000003</v>
      </c>
      <c r="W1510">
        <v>0.18657550000000001</v>
      </c>
      <c r="X1510">
        <v>0.91149860000000005</v>
      </c>
      <c r="Y1510">
        <v>0.45852140000000002</v>
      </c>
      <c r="Z1510">
        <v>0.1072519</v>
      </c>
      <c r="AA1510">
        <v>0.88218770000000002</v>
      </c>
      <c r="AB1510">
        <v>19</v>
      </c>
      <c r="AC1510">
        <v>-8.3201999999999998</v>
      </c>
      <c r="AD1510">
        <v>-1.106901744762</v>
      </c>
      <c r="AE1510">
        <v>-5.7174999999999701</v>
      </c>
      <c r="AF1510">
        <v>4.6976721081085797</v>
      </c>
      <c r="AG1510">
        <v>-1.106901744762</v>
      </c>
      <c r="AH1510">
        <v>8.8000249760649396</v>
      </c>
      <c r="AI1510">
        <v>96.331818433441498</v>
      </c>
      <c r="AJ1510">
        <v>61.905591755728402</v>
      </c>
      <c r="AK1510">
        <v>10.036622653424001</v>
      </c>
      <c r="AL1510">
        <v>79.246998881756994</v>
      </c>
      <c r="AM1510">
        <v>68.092894532382005</v>
      </c>
      <c r="AN1510">
        <v>1.0000000219220799</v>
      </c>
    </row>
    <row r="1511" spans="1:40" x14ac:dyDescent="0.25">
      <c r="A1511" t="str">
        <f>"20190312172357906"</f>
        <v>20190312172357906</v>
      </c>
      <c r="B1511" t="str">
        <f>"1552382637901926"</f>
        <v>1552382637901926</v>
      </c>
      <c r="C1511" t="s">
        <v>40</v>
      </c>
      <c r="D1511">
        <v>4.0755369999999997</v>
      </c>
      <c r="E1511">
        <v>0.57000200000000001</v>
      </c>
      <c r="F1511" t="s">
        <v>46</v>
      </c>
      <c r="G1511">
        <v>-203.02930000000001</v>
      </c>
      <c r="H1511" s="1">
        <v>3.3296829999999998E-6</v>
      </c>
      <c r="I1511">
        <v>287.25510000000003</v>
      </c>
      <c r="J1511">
        <v>-194.66679999999999</v>
      </c>
      <c r="K1511">
        <v>1.1067979999999999</v>
      </c>
      <c r="L1511">
        <v>292.89519999999999</v>
      </c>
      <c r="M1511">
        <v>-0.4673966</v>
      </c>
      <c r="N1511">
        <v>0</v>
      </c>
      <c r="O1511">
        <v>-0.88393929999999998</v>
      </c>
      <c r="P1511">
        <v>-0.75033939999999999</v>
      </c>
      <c r="Q1511">
        <v>0.17751529999999999</v>
      </c>
      <c r="R1511">
        <v>-0.63677280000000003</v>
      </c>
      <c r="S1511">
        <v>-2.5776210000000002</v>
      </c>
      <c r="T1511">
        <v>-0.33695399999999998</v>
      </c>
      <c r="U1511">
        <v>-1.77227799999999</v>
      </c>
      <c r="V1511">
        <v>0.36749569999999998</v>
      </c>
      <c r="W1511">
        <v>0.18659519999999999</v>
      </c>
      <c r="X1511">
        <v>0.91111430000000004</v>
      </c>
      <c r="Y1511">
        <v>0.45842929999999998</v>
      </c>
      <c r="Z1511">
        <v>0.106945899999999</v>
      </c>
      <c r="AA1511">
        <v>0.88227269999999902</v>
      </c>
      <c r="AB1511">
        <v>19</v>
      </c>
      <c r="AC1511">
        <v>-8.3625000000000096</v>
      </c>
      <c r="AD1511">
        <v>-1.106794670317</v>
      </c>
      <c r="AE1511">
        <v>-5.6400999999999604</v>
      </c>
      <c r="AF1511">
        <v>4.6996501440762302</v>
      </c>
      <c r="AG1511">
        <v>-1.106794670317</v>
      </c>
      <c r="AH1511">
        <v>8.7891399805164792</v>
      </c>
      <c r="AI1511">
        <v>96.336672711108804</v>
      </c>
      <c r="AJ1511">
        <v>61.866092435922802</v>
      </c>
      <c r="AK1511">
        <v>10.027995189272399</v>
      </c>
      <c r="AL1511">
        <v>79.245850424941096</v>
      </c>
      <c r="AM1511">
        <v>68.033437484638299</v>
      </c>
      <c r="AN1511">
        <v>1.0000000629229999</v>
      </c>
    </row>
    <row r="1512" spans="1:40" x14ac:dyDescent="0.25">
      <c r="A1512" t="str">
        <f>"20190312172357929"</f>
        <v>20190312172357929</v>
      </c>
      <c r="B1512" t="str">
        <f>"1552382637921447"</f>
        <v>1552382637921447</v>
      </c>
      <c r="C1512" t="s">
        <v>40</v>
      </c>
      <c r="D1512">
        <v>4.1617139999999999</v>
      </c>
      <c r="E1512">
        <v>0.57623069999999998</v>
      </c>
      <c r="F1512" t="s">
        <v>46</v>
      </c>
      <c r="G1512">
        <v>-206.50129999999999</v>
      </c>
      <c r="H1512" s="1">
        <v>4.9587480000000001E-6</v>
      </c>
      <c r="I1512">
        <v>286.23230000000001</v>
      </c>
      <c r="J1512">
        <v>-194.767</v>
      </c>
      <c r="K1512">
        <v>1.106716</v>
      </c>
      <c r="L1512">
        <v>292.7253</v>
      </c>
      <c r="M1512">
        <v>-0.47419610000000001</v>
      </c>
      <c r="N1512">
        <v>0</v>
      </c>
      <c r="O1512">
        <v>-0.88030989999999998</v>
      </c>
      <c r="P1512">
        <v>-0.75608199999999903</v>
      </c>
      <c r="Q1512">
        <v>0.17809649999999999</v>
      </c>
      <c r="R1512">
        <v>-0.62977890000000003</v>
      </c>
      <c r="S1512">
        <v>-2.7466430000000002</v>
      </c>
      <c r="T1512">
        <v>-0.25687470000000001</v>
      </c>
      <c r="U1512">
        <v>-1.546387</v>
      </c>
      <c r="V1512">
        <v>0.36885879999999999</v>
      </c>
      <c r="W1512">
        <v>0.1870974</v>
      </c>
      <c r="X1512">
        <v>0.91046020000000005</v>
      </c>
      <c r="Y1512">
        <v>0.53123969999999998</v>
      </c>
      <c r="Z1512">
        <v>8.2648899999999997E-2</v>
      </c>
      <c r="AA1512">
        <v>0.84318069999999901</v>
      </c>
      <c r="AB1512">
        <v>19</v>
      </c>
      <c r="AC1512">
        <v>-11.7342999999999</v>
      </c>
      <c r="AD1512">
        <v>-1.106711041252</v>
      </c>
      <c r="AE1512">
        <v>-6.4929999999999897</v>
      </c>
      <c r="AF1512">
        <v>7.2025137420282901</v>
      </c>
      <c r="AG1512">
        <v>-1.106711041252</v>
      </c>
      <c r="AH1512">
        <v>11.2049908711912</v>
      </c>
      <c r="AI1512">
        <v>94.7495166263204</v>
      </c>
      <c r="AJ1512">
        <v>57.2672872427027</v>
      </c>
      <c r="AK1512">
        <v>13.3661076591659</v>
      </c>
      <c r="AL1512">
        <v>79.216560130569306</v>
      </c>
      <c r="AM1512">
        <v>67.945434519602898</v>
      </c>
      <c r="AN1512">
        <v>1.0000000136041201</v>
      </c>
    </row>
    <row r="1513" spans="1:40" x14ac:dyDescent="0.25">
      <c r="A1513" t="str">
        <f>"20190312172357952"</f>
        <v>20190312172357952</v>
      </c>
      <c r="B1513" t="str">
        <f>"1552382637940966"</f>
        <v>1552382637940966</v>
      </c>
      <c r="C1513" t="s">
        <v>40</v>
      </c>
      <c r="D1513">
        <v>4.1372239999999998</v>
      </c>
      <c r="E1513">
        <v>0.57920590000000005</v>
      </c>
      <c r="F1513" t="s">
        <v>46</v>
      </c>
      <c r="G1513">
        <v>-207.49199999999999</v>
      </c>
      <c r="H1513" s="1">
        <v>5.4214110000000004E-6</v>
      </c>
      <c r="I1513">
        <v>285.96559999999999</v>
      </c>
      <c r="J1513">
        <v>-194.8706</v>
      </c>
      <c r="K1513">
        <v>1.10666</v>
      </c>
      <c r="L1513">
        <v>292.553</v>
      </c>
      <c r="M1513">
        <v>-0.48124650000000002</v>
      </c>
      <c r="N1513">
        <v>0</v>
      </c>
      <c r="O1513">
        <v>-0.87647520000000001</v>
      </c>
      <c r="P1513">
        <v>-0.76156809999999997</v>
      </c>
      <c r="Q1513">
        <v>0.17833850000000001</v>
      </c>
      <c r="R1513">
        <v>-0.62306479999999997</v>
      </c>
      <c r="S1513">
        <v>-2.7903440000000002</v>
      </c>
      <c r="T1513">
        <v>-0.24268049999999999</v>
      </c>
      <c r="U1513">
        <v>-1.4822690000000001</v>
      </c>
      <c r="V1513">
        <v>0.36959110000000001</v>
      </c>
      <c r="W1513">
        <v>0.1872876</v>
      </c>
      <c r="X1513">
        <v>0.91012409999999999</v>
      </c>
      <c r="Y1513">
        <v>0.54536680000000004</v>
      </c>
      <c r="Z1513">
        <v>7.8116859999999996E-2</v>
      </c>
      <c r="AA1513">
        <v>0.83454950000000006</v>
      </c>
      <c r="AB1513">
        <v>19</v>
      </c>
      <c r="AC1513">
        <v>-12.6214</v>
      </c>
      <c r="AD1513">
        <v>-1.1066545785889901</v>
      </c>
      <c r="AE1513">
        <v>-6.5873999999999997</v>
      </c>
      <c r="AF1513">
        <v>7.8455395911938899</v>
      </c>
      <c r="AG1513">
        <v>-1.1066545785889901</v>
      </c>
      <c r="AH1513">
        <v>11.7776796459225</v>
      </c>
      <c r="AI1513">
        <v>94.471445242039096</v>
      </c>
      <c r="AJ1513">
        <v>56.3309764938613</v>
      </c>
      <c r="AK1513">
        <v>14.1947495108325</v>
      </c>
      <c r="AL1513">
        <v>79.205466789720305</v>
      </c>
      <c r="AM1513">
        <v>67.898485401221194</v>
      </c>
      <c r="AN1513">
        <v>1.0000000518568799</v>
      </c>
    </row>
    <row r="1514" spans="1:40" x14ac:dyDescent="0.25">
      <c r="A1514" t="str">
        <f>"20190312172357972"</f>
        <v>20190312172357972</v>
      </c>
      <c r="B1514" t="str">
        <f>"1552382637961463"</f>
        <v>1552382637961463</v>
      </c>
      <c r="C1514" t="s">
        <v>40</v>
      </c>
      <c r="D1514">
        <v>4.1566960000000002</v>
      </c>
      <c r="E1514">
        <v>0.58154349999999999</v>
      </c>
      <c r="F1514" t="s">
        <v>46</v>
      </c>
      <c r="G1514">
        <v>-208.09829999999999</v>
      </c>
      <c r="H1514" s="1">
        <v>5.7049390000000002E-6</v>
      </c>
      <c r="I1514">
        <v>285.79790000000003</v>
      </c>
      <c r="J1514">
        <v>-194.9606</v>
      </c>
      <c r="K1514">
        <v>1.106616</v>
      </c>
      <c r="L1514">
        <v>292.40609999999998</v>
      </c>
      <c r="M1514">
        <v>-0.48738949999999998</v>
      </c>
      <c r="N1514">
        <v>0</v>
      </c>
      <c r="O1514">
        <v>-0.87307389999999996</v>
      </c>
      <c r="P1514">
        <v>-0.76606109999999905</v>
      </c>
      <c r="Q1514">
        <v>0.17851829999999999</v>
      </c>
      <c r="R1514">
        <v>-0.61748019999999904</v>
      </c>
      <c r="S1514">
        <v>-2.8173370000000002</v>
      </c>
      <c r="T1514">
        <v>-0.23570350000000001</v>
      </c>
      <c r="U1514">
        <v>-1.4387509999999999</v>
      </c>
      <c r="V1514">
        <v>0.36984119999999998</v>
      </c>
      <c r="W1514">
        <v>0.18743560000000001</v>
      </c>
      <c r="X1514">
        <v>0.90999200000000002</v>
      </c>
      <c r="Y1514">
        <v>0.55311690000000002</v>
      </c>
      <c r="Z1514">
        <v>7.5856519999999997E-2</v>
      </c>
      <c r="AA1514">
        <v>0.82964300000000002</v>
      </c>
      <c r="AB1514">
        <v>19</v>
      </c>
      <c r="AC1514">
        <v>-13.137699999999899</v>
      </c>
      <c r="AD1514">
        <v>-1.1066102950609999</v>
      </c>
      <c r="AE1514">
        <v>-6.6081999999999503</v>
      </c>
      <c r="AF1514">
        <v>8.2037609562915801</v>
      </c>
      <c r="AG1514">
        <v>-1.1066102950609999</v>
      </c>
      <c r="AH1514">
        <v>12.105257049918</v>
      </c>
      <c r="AI1514">
        <v>94.327598572604799</v>
      </c>
      <c r="AJ1514">
        <v>55.874414974108397</v>
      </c>
      <c r="AK1514">
        <v>14.665044439676899</v>
      </c>
      <c r="AL1514">
        <v>79.196833886272501</v>
      </c>
      <c r="AM1514">
        <v>67.882070017529799</v>
      </c>
      <c r="AN1514">
        <v>1.00000002871439</v>
      </c>
    </row>
    <row r="1515" spans="1:40" x14ac:dyDescent="0.25">
      <c r="A1515" t="str">
        <f>"20190312172357999"</f>
        <v>20190312172357999</v>
      </c>
      <c r="B1515" t="str">
        <f>"1552382637991718"</f>
        <v>1552382637991718</v>
      </c>
      <c r="C1515" t="s">
        <v>40</v>
      </c>
      <c r="D1515">
        <v>4.1207120000000002</v>
      </c>
      <c r="E1515">
        <v>0.58316089999999998</v>
      </c>
      <c r="F1515" t="s">
        <v>46</v>
      </c>
      <c r="G1515">
        <v>-208.05449999999999</v>
      </c>
      <c r="H1515" s="1">
        <v>5.6734830000000001E-6</v>
      </c>
      <c r="I1515">
        <v>285.93560000000002</v>
      </c>
      <c r="J1515">
        <v>-195.08170000000001</v>
      </c>
      <c r="K1515">
        <v>1.106555</v>
      </c>
      <c r="L1515">
        <v>292.21210000000002</v>
      </c>
      <c r="M1515">
        <v>-0.4956565</v>
      </c>
      <c r="N1515">
        <v>0</v>
      </c>
      <c r="O1515">
        <v>-0.86840709999999999</v>
      </c>
      <c r="P1515">
        <v>-0.77161279999999999</v>
      </c>
      <c r="Q1515">
        <v>0.1787502</v>
      </c>
      <c r="R1515">
        <v>-0.61046069999999997</v>
      </c>
      <c r="S1515">
        <v>-2.8406220000000002</v>
      </c>
      <c r="T1515">
        <v>-0.24007110000000001</v>
      </c>
      <c r="U1515">
        <v>-1.4037170000000001</v>
      </c>
      <c r="V1515">
        <v>0.3694923</v>
      </c>
      <c r="W1515">
        <v>0.187637</v>
      </c>
      <c r="X1515">
        <v>0.91009220000000002</v>
      </c>
      <c r="Y1515">
        <v>0.55606369999999905</v>
      </c>
      <c r="Z1515">
        <v>7.7042680000000002E-2</v>
      </c>
      <c r="AA1515">
        <v>0.82756130000000006</v>
      </c>
      <c r="AB1515">
        <v>19</v>
      </c>
      <c r="AC1515">
        <v>-12.9727999999999</v>
      </c>
      <c r="AD1515">
        <v>-1.1065493265170001</v>
      </c>
      <c r="AE1515">
        <v>-6.2764999999999898</v>
      </c>
      <c r="AF1515">
        <v>8.1076738351115303</v>
      </c>
      <c r="AG1515">
        <v>-1.1065493265170001</v>
      </c>
      <c r="AH1515">
        <v>11.812120977621101</v>
      </c>
      <c r="AI1515">
        <v>94.416510721471496</v>
      </c>
      <c r="AJ1515">
        <v>55.534843397005098</v>
      </c>
      <c r="AK1515">
        <v>14.369586925814</v>
      </c>
      <c r="AL1515">
        <v>79.1850858566726</v>
      </c>
      <c r="AM1515">
        <v>67.903124982522897</v>
      </c>
      <c r="AN1515">
        <v>1.0000000080145599</v>
      </c>
    </row>
    <row r="1516" spans="1:40" x14ac:dyDescent="0.25">
      <c r="A1516" t="str">
        <f>"20190312172358016"</f>
        <v>20190312172358016</v>
      </c>
      <c r="B1516" t="str">
        <f>"1552382638011239"</f>
        <v>1552382638011239</v>
      </c>
      <c r="C1516" t="s">
        <v>40</v>
      </c>
      <c r="D1516">
        <v>4.136908</v>
      </c>
      <c r="E1516">
        <v>0.58410689999999998</v>
      </c>
      <c r="F1516" t="s">
        <v>46</v>
      </c>
      <c r="G1516">
        <v>-208.23660000000001</v>
      </c>
      <c r="H1516" s="1">
        <v>5.7551259999999996E-6</v>
      </c>
      <c r="I1516">
        <v>285.92540000000002</v>
      </c>
      <c r="J1516">
        <v>-195.1592</v>
      </c>
      <c r="K1516">
        <v>1.1065160000000001</v>
      </c>
      <c r="L1516">
        <v>292.09070000000003</v>
      </c>
      <c r="M1516">
        <v>-0.50093659999999995</v>
      </c>
      <c r="N1516">
        <v>0</v>
      </c>
      <c r="O1516">
        <v>-0.86537180000000002</v>
      </c>
      <c r="P1516">
        <v>-0.77490230000000004</v>
      </c>
      <c r="Q1516">
        <v>0.17813499999999999</v>
      </c>
      <c r="R1516">
        <v>-0.60646060000000002</v>
      </c>
      <c r="S1516">
        <v>-2.8617249999999999</v>
      </c>
      <c r="T1516">
        <v>-0.2407203</v>
      </c>
      <c r="U1516">
        <v>-1.367615</v>
      </c>
      <c r="V1516">
        <v>0.3687897</v>
      </c>
      <c r="W1516">
        <v>0.18701119999999999</v>
      </c>
      <c r="X1516">
        <v>0.91050589999999998</v>
      </c>
      <c r="Y1516">
        <v>0.56186569999999902</v>
      </c>
      <c r="Z1516">
        <v>7.7210760000000003E-2</v>
      </c>
      <c r="AA1516">
        <v>0.8236173</v>
      </c>
      <c r="AB1516">
        <v>19</v>
      </c>
      <c r="AC1516">
        <v>-13.077400000000001</v>
      </c>
      <c r="AD1516">
        <v>-1.1065102448739901</v>
      </c>
      <c r="AE1516">
        <v>-6.1653000000000002</v>
      </c>
      <c r="AF1516">
        <v>8.1812669088250196</v>
      </c>
      <c r="AG1516">
        <v>-1.1065102448739901</v>
      </c>
      <c r="AH1516">
        <v>11.818155723009101</v>
      </c>
      <c r="AI1516">
        <v>94.402052025724799</v>
      </c>
      <c r="AJ1516">
        <v>55.306593999077798</v>
      </c>
      <c r="AK1516">
        <v>14.416181805482999</v>
      </c>
      <c r="AL1516">
        <v>79.221587758304807</v>
      </c>
      <c r="AM1516">
        <v>67.950170699261193</v>
      </c>
      <c r="AN1516">
        <v>1.0000000128431601</v>
      </c>
    </row>
    <row r="1517" spans="1:40" x14ac:dyDescent="0.25">
      <c r="A1517" t="str">
        <f>"20190312172358038"</f>
        <v>20190312172358038</v>
      </c>
      <c r="B1517" t="str">
        <f>"1552382638031735"</f>
        <v>1552382638031735</v>
      </c>
      <c r="C1517" t="s">
        <v>40</v>
      </c>
      <c r="D1517">
        <v>4.1256640000000004</v>
      </c>
      <c r="E1517">
        <v>0.58423879999999995</v>
      </c>
      <c r="F1517" t="s">
        <v>46</v>
      </c>
      <c r="G1517">
        <v>-208.1678</v>
      </c>
      <c r="H1517" s="1">
        <v>5.7183540000000002E-6</v>
      </c>
      <c r="I1517">
        <v>285.99720000000002</v>
      </c>
      <c r="J1517">
        <v>-195.2611</v>
      </c>
      <c r="K1517">
        <v>1.1064659999999999</v>
      </c>
      <c r="L1517">
        <v>291.93349999999998</v>
      </c>
      <c r="M1517">
        <v>-0.50786549999999997</v>
      </c>
      <c r="N1517">
        <v>0</v>
      </c>
      <c r="O1517">
        <v>-0.86132339999999996</v>
      </c>
      <c r="P1517">
        <v>-0.77937299999999998</v>
      </c>
      <c r="Q1517">
        <v>0.1781944</v>
      </c>
      <c r="R1517">
        <v>-0.60068699999999997</v>
      </c>
      <c r="S1517">
        <v>-2.8740540000000001</v>
      </c>
      <c r="T1517">
        <v>-0.2444665</v>
      </c>
      <c r="U1517">
        <v>-1.346252</v>
      </c>
      <c r="V1517">
        <v>0.36826049999999999</v>
      </c>
      <c r="W1517">
        <v>0.1870444</v>
      </c>
      <c r="X1517">
        <v>0.91071329999999995</v>
      </c>
      <c r="Y1517">
        <v>0.56153560000000002</v>
      </c>
      <c r="Z1517">
        <v>7.8203049999999996E-2</v>
      </c>
      <c r="AA1517">
        <v>0.82374879999999995</v>
      </c>
      <c r="AB1517">
        <v>19</v>
      </c>
      <c r="AC1517">
        <v>-12.906700000000001</v>
      </c>
      <c r="AD1517">
        <v>-1.1064602816460001</v>
      </c>
      <c r="AE1517">
        <v>-5.9362999999999504</v>
      </c>
      <c r="AF1517">
        <v>8.0539342260206404</v>
      </c>
      <c r="AG1517">
        <v>-1.1064602816460001</v>
      </c>
      <c r="AH1517">
        <v>11.5987196480708</v>
      </c>
      <c r="AI1517">
        <v>94.480367105977706</v>
      </c>
      <c r="AJ1517">
        <v>55.224608862517897</v>
      </c>
      <c r="AK1517">
        <v>14.164053386882999</v>
      </c>
      <c r="AL1517">
        <v>79.219651874937099</v>
      </c>
      <c r="AM1517">
        <v>67.983320005284895</v>
      </c>
      <c r="AN1517">
        <v>1.0000000591142399</v>
      </c>
    </row>
    <row r="1518" spans="1:40" x14ac:dyDescent="0.25">
      <c r="A1518" t="str">
        <f>"20190312172358061"</f>
        <v>20190312172358061</v>
      </c>
      <c r="B1518" t="str">
        <f>"1552382638051255"</f>
        <v>1552382638051255</v>
      </c>
      <c r="C1518" t="s">
        <v>40</v>
      </c>
      <c r="D1518">
        <v>4.1758639999999998</v>
      </c>
      <c r="E1518">
        <v>0.58450599999999997</v>
      </c>
      <c r="F1518" t="s">
        <v>46</v>
      </c>
      <c r="G1518">
        <v>-208.14410000000001</v>
      </c>
      <c r="H1518" s="1">
        <v>5.7057399999999997E-6</v>
      </c>
      <c r="I1518">
        <v>286.0213</v>
      </c>
      <c r="J1518">
        <v>-195.3717</v>
      </c>
      <c r="K1518">
        <v>1.1064080000000001</v>
      </c>
      <c r="L1518">
        <v>291.76600000000002</v>
      </c>
      <c r="M1518">
        <v>-0.51537230000000001</v>
      </c>
      <c r="N1518">
        <v>0</v>
      </c>
      <c r="O1518">
        <v>-0.85685259999999996</v>
      </c>
      <c r="P1518">
        <v>-0.78428880000000001</v>
      </c>
      <c r="Q1518">
        <v>0.1779702</v>
      </c>
      <c r="R1518">
        <v>-0.59432130000000005</v>
      </c>
      <c r="S1518">
        <v>-2.8853759999999999</v>
      </c>
      <c r="T1518">
        <v>-0.24781049999999999</v>
      </c>
      <c r="U1518">
        <v>-1.3241270000000001</v>
      </c>
      <c r="V1518">
        <v>0.36778630000000001</v>
      </c>
      <c r="W1518">
        <v>0.1867887</v>
      </c>
      <c r="X1518">
        <v>0.91095729999999997</v>
      </c>
      <c r="Y1518">
        <v>0.56068689999999999</v>
      </c>
      <c r="Z1518">
        <v>7.9054239999999998E-2</v>
      </c>
      <c r="AA1518">
        <v>0.82424549999999996</v>
      </c>
      <c r="AB1518">
        <v>19</v>
      </c>
      <c r="AC1518">
        <v>-12.772399999999999</v>
      </c>
      <c r="AD1518">
        <v>-1.10640229426</v>
      </c>
      <c r="AE1518">
        <v>-5.7446999999999599</v>
      </c>
      <c r="AF1518">
        <v>7.9346615020080504</v>
      </c>
      <c r="AG1518">
        <v>-1.10640229426</v>
      </c>
      <c r="AH1518">
        <v>11.4346580831937</v>
      </c>
      <c r="AI1518">
        <v>94.545137887742101</v>
      </c>
      <c r="AJ1518">
        <v>55.242704276825002</v>
      </c>
      <c r="AK1518">
        <v>13.961890440328601</v>
      </c>
      <c r="AL1518">
        <v>79.234564506383805</v>
      </c>
      <c r="AM1518">
        <v>68.014294293030801</v>
      </c>
      <c r="AN1518">
        <v>0.99999999166933395</v>
      </c>
    </row>
    <row r="1519" spans="1:40" x14ac:dyDescent="0.25">
      <c r="A1519" t="str">
        <f>"20190312172358083"</f>
        <v>20190312172358083</v>
      </c>
      <c r="B1519" t="str">
        <f>"1552382638071750"</f>
        <v>1552382638071750</v>
      </c>
      <c r="C1519" t="s">
        <v>40</v>
      </c>
      <c r="D1519">
        <v>4.1278040000000003</v>
      </c>
      <c r="E1519">
        <v>0.58463390000000004</v>
      </c>
      <c r="F1519" t="s">
        <v>46</v>
      </c>
      <c r="G1519">
        <v>-208.0855</v>
      </c>
      <c r="H1519" s="1">
        <v>5.6757340000000002E-6</v>
      </c>
      <c r="I1519">
        <v>286.06700000000001</v>
      </c>
      <c r="J1519">
        <v>-195.477</v>
      </c>
      <c r="K1519">
        <v>1.1063540000000001</v>
      </c>
      <c r="L1519">
        <v>291.61020000000002</v>
      </c>
      <c r="M1519">
        <v>-0.52249369999999995</v>
      </c>
      <c r="N1519">
        <v>0</v>
      </c>
      <c r="O1519">
        <v>-0.85252830000000002</v>
      </c>
      <c r="P1519">
        <v>-0.78891299999999998</v>
      </c>
      <c r="Q1519">
        <v>0.17736959999999999</v>
      </c>
      <c r="R1519">
        <v>-0.58835039999999905</v>
      </c>
      <c r="S1519">
        <v>-2.89798</v>
      </c>
      <c r="T1519">
        <v>-0.25219449999999999</v>
      </c>
      <c r="U1519">
        <v>-1.299042</v>
      </c>
      <c r="V1519">
        <v>0.36724390000000001</v>
      </c>
      <c r="W1519">
        <v>0.18616469999999999</v>
      </c>
      <c r="X1519">
        <v>0.9113038</v>
      </c>
      <c r="Y1519">
        <v>0.56097629999999998</v>
      </c>
      <c r="Z1519">
        <v>8.0258140000000006E-2</v>
      </c>
      <c r="AA1519">
        <v>0.8239322</v>
      </c>
      <c r="AB1519">
        <v>19</v>
      </c>
      <c r="AC1519">
        <v>-12.6084999999999</v>
      </c>
      <c r="AD1519">
        <v>-1.1063483242659999</v>
      </c>
      <c r="AE1519">
        <v>-5.5432000000000103</v>
      </c>
      <c r="AF1519">
        <v>7.8032363339426203</v>
      </c>
      <c r="AG1519">
        <v>-1.1063483242659999</v>
      </c>
      <c r="AH1519">
        <v>11.242166992479</v>
      </c>
      <c r="AI1519">
        <v>94.621990187960094</v>
      </c>
      <c r="AJ1519">
        <v>55.235319250694502</v>
      </c>
      <c r="AK1519">
        <v>13.729560174483099</v>
      </c>
      <c r="AL1519">
        <v>79.270955447545703</v>
      </c>
      <c r="AM1519">
        <v>68.051188945281893</v>
      </c>
      <c r="AN1519">
        <v>0.99999999675386997</v>
      </c>
    </row>
    <row r="1520" spans="1:40" x14ac:dyDescent="0.25">
      <c r="A1520" t="str">
        <f>"20190312172358106"</f>
        <v>20190312172358106</v>
      </c>
      <c r="B1520" t="str">
        <f>"1552382638101031"</f>
        <v>1552382638101031</v>
      </c>
      <c r="C1520" t="s">
        <v>40</v>
      </c>
      <c r="D1520">
        <v>4.1171870000000004</v>
      </c>
      <c r="E1520">
        <v>0.58462329999999996</v>
      </c>
      <c r="F1520" t="s">
        <v>46</v>
      </c>
      <c r="G1520">
        <v>-208.10679999999999</v>
      </c>
      <c r="H1520" s="1">
        <v>5.6845399999999998E-6</v>
      </c>
      <c r="I1520">
        <v>286.0745</v>
      </c>
      <c r="J1520">
        <v>-195.58869999999999</v>
      </c>
      <c r="K1520">
        <v>1.1063080000000001</v>
      </c>
      <c r="L1520">
        <v>291.44810000000001</v>
      </c>
      <c r="M1520">
        <v>-0.5300125</v>
      </c>
      <c r="N1520">
        <v>0</v>
      </c>
      <c r="O1520">
        <v>-0.84787400000000002</v>
      </c>
      <c r="P1520">
        <v>-0.79335649999999902</v>
      </c>
      <c r="Q1520">
        <v>0.17715420000000001</v>
      </c>
      <c r="R1520">
        <v>-0.58241080000000001</v>
      </c>
      <c r="S1520">
        <v>-2.9090880000000001</v>
      </c>
      <c r="T1520">
        <v>-0.25483119999999998</v>
      </c>
      <c r="U1520">
        <v>-1.2750549999999901</v>
      </c>
      <c r="V1520">
        <v>0.36608210000000002</v>
      </c>
      <c r="W1520">
        <v>0.185945</v>
      </c>
      <c r="X1520">
        <v>0.91181599999999996</v>
      </c>
      <c r="Y1520">
        <v>0.56046509999999905</v>
      </c>
      <c r="Z1520">
        <v>8.0881620000000001E-2</v>
      </c>
      <c r="AA1520">
        <v>0.82421900000000003</v>
      </c>
      <c r="AB1520">
        <v>19</v>
      </c>
      <c r="AC1520">
        <v>-12.5181</v>
      </c>
      <c r="AD1520">
        <v>-1.10630231546</v>
      </c>
      <c r="AE1520">
        <v>-5.3735999999999997</v>
      </c>
      <c r="AF1520">
        <v>7.7155743234511398</v>
      </c>
      <c r="AG1520">
        <v>-1.10630231546</v>
      </c>
      <c r="AH1520">
        <v>11.1186560279204</v>
      </c>
      <c r="AI1520">
        <v>94.673292442026494</v>
      </c>
      <c r="AJ1520">
        <v>55.242040434620002</v>
      </c>
      <c r="AK1520">
        <v>13.578604634538101</v>
      </c>
      <c r="AL1520">
        <v>79.283767415417401</v>
      </c>
      <c r="AM1520">
        <v>68.125190153678901</v>
      </c>
      <c r="AN1520">
        <v>1.0000000324106999</v>
      </c>
    </row>
    <row r="1521" spans="1:40" x14ac:dyDescent="0.25">
      <c r="A1521" t="str">
        <f>"20190312172358129"</f>
        <v>20190312172358129</v>
      </c>
      <c r="B1521" t="str">
        <f>"1552382638121527"</f>
        <v>1552382638121527</v>
      </c>
      <c r="C1521" t="s">
        <v>40</v>
      </c>
      <c r="D1521">
        <v>4.0859389999999998</v>
      </c>
      <c r="E1521">
        <v>0.5845456</v>
      </c>
      <c r="F1521" t="s">
        <v>46</v>
      </c>
      <c r="G1521">
        <v>-208.10159999999999</v>
      </c>
      <c r="H1521" s="1">
        <v>5.681915E-6</v>
      </c>
      <c r="I1521">
        <v>286.07819999999998</v>
      </c>
      <c r="J1521">
        <v>-195.6985</v>
      </c>
      <c r="K1521">
        <v>1.1062799999999999</v>
      </c>
      <c r="L1521">
        <v>291.29180000000002</v>
      </c>
      <c r="M1521">
        <v>-0.53736509999999904</v>
      </c>
      <c r="N1521">
        <v>0</v>
      </c>
      <c r="O1521">
        <v>-0.84323309999999996</v>
      </c>
      <c r="P1521">
        <v>-0.7974097</v>
      </c>
      <c r="Q1521">
        <v>0.177532299999999</v>
      </c>
      <c r="R1521">
        <v>-0.57673260000000004</v>
      </c>
      <c r="S1521">
        <v>-2.919327</v>
      </c>
      <c r="T1521">
        <v>-0.25810709999999998</v>
      </c>
      <c r="U1521">
        <v>-1.2528379999999999</v>
      </c>
      <c r="V1521">
        <v>0.36460609999999999</v>
      </c>
      <c r="W1521">
        <v>0.18633150000000001</v>
      </c>
      <c r="X1521">
        <v>0.91232829999999998</v>
      </c>
      <c r="Y1521">
        <v>0.55954559999999998</v>
      </c>
      <c r="Z1521">
        <v>8.1683839999999994E-2</v>
      </c>
      <c r="AA1521">
        <v>0.82476450000000001</v>
      </c>
      <c r="AB1521">
        <v>19</v>
      </c>
      <c r="AC1521">
        <v>-12.403099999999901</v>
      </c>
      <c r="AD1521">
        <v>-1.1062743180850001</v>
      </c>
      <c r="AE1521">
        <v>-5.2136000000000404</v>
      </c>
      <c r="AF1521">
        <v>7.6064248603940001</v>
      </c>
      <c r="AG1521">
        <v>-1.1062743180850001</v>
      </c>
      <c r="AH1521">
        <v>10.9880721932005</v>
      </c>
      <c r="AI1521">
        <v>94.732179507456195</v>
      </c>
      <c r="AJ1521">
        <v>55.307321178521804</v>
      </c>
      <c r="AK1521">
        <v>13.409670858998</v>
      </c>
      <c r="AL1521">
        <v>79.261228147748497</v>
      </c>
      <c r="AM1521">
        <v>68.216199895690394</v>
      </c>
      <c r="AN1521">
        <v>0.999999981515174</v>
      </c>
    </row>
    <row r="1522" spans="1:40" x14ac:dyDescent="0.25">
      <c r="A1522" t="str">
        <f>"20190312172358151"</f>
        <v>20190312172358151</v>
      </c>
      <c r="B1522" t="str">
        <f>"1552382638141048"</f>
        <v>1552382638141048</v>
      </c>
      <c r="C1522" t="s">
        <v>40</v>
      </c>
      <c r="D1522">
        <v>4.100441</v>
      </c>
      <c r="E1522">
        <v>0.58447969999999905</v>
      </c>
      <c r="F1522" t="s">
        <v>46</v>
      </c>
      <c r="G1522">
        <v>-208.2876</v>
      </c>
      <c r="H1522" s="1">
        <v>5.7714640000000004E-6</v>
      </c>
      <c r="I1522">
        <v>285.9975</v>
      </c>
      <c r="J1522">
        <v>-195.8074</v>
      </c>
      <c r="K1522">
        <v>1.1062529999999999</v>
      </c>
      <c r="L1522">
        <v>291.14</v>
      </c>
      <c r="M1522">
        <v>-0.54461519999999997</v>
      </c>
      <c r="N1522">
        <v>0</v>
      </c>
      <c r="O1522">
        <v>-0.83856839999999999</v>
      </c>
      <c r="P1522">
        <v>-0.80141479999999998</v>
      </c>
      <c r="Q1522">
        <v>0.17782029999999999</v>
      </c>
      <c r="R1522">
        <v>-0.57106449999999997</v>
      </c>
      <c r="S1522">
        <v>-2.9286650000000001</v>
      </c>
      <c r="T1522">
        <v>-0.25735859999999999</v>
      </c>
      <c r="U1522">
        <v>-1.2316590000000001</v>
      </c>
      <c r="V1522">
        <v>0.36316749999999998</v>
      </c>
      <c r="W1522">
        <v>0.1866294</v>
      </c>
      <c r="X1522">
        <v>0.91284109999999996</v>
      </c>
      <c r="Y1522">
        <v>0.55845250000000002</v>
      </c>
      <c r="Z1522">
        <v>8.1212060000000003E-2</v>
      </c>
      <c r="AA1522">
        <v>0.82555149999999999</v>
      </c>
      <c r="AB1522">
        <v>19</v>
      </c>
      <c r="AC1522">
        <v>-12.4801999999999</v>
      </c>
      <c r="AD1522">
        <v>-1.1062472285359899</v>
      </c>
      <c r="AE1522">
        <v>-5.1424999999999796</v>
      </c>
      <c r="AF1522">
        <v>7.6144303555898096</v>
      </c>
      <c r="AG1522">
        <v>-1.1062472285359899</v>
      </c>
      <c r="AH1522">
        <v>11.036214162836901</v>
      </c>
      <c r="AI1522">
        <v>94.716550868378405</v>
      </c>
      <c r="AJ1522">
        <v>55.396284994263198</v>
      </c>
      <c r="AK1522">
        <v>13.453674428154301</v>
      </c>
      <c r="AL1522">
        <v>79.243855404368702</v>
      </c>
      <c r="AM1522">
        <v>68.305207051132797</v>
      </c>
      <c r="AN1522">
        <v>1.0000000199249099</v>
      </c>
    </row>
    <row r="1523" spans="1:40" x14ac:dyDescent="0.25">
      <c r="A1523" t="str">
        <f>"20190312172358173"</f>
        <v>20190312172358173</v>
      </c>
      <c r="B1523" t="str">
        <f>"1552382638161546"</f>
        <v>1552382638161546</v>
      </c>
      <c r="C1523" t="s">
        <v>40</v>
      </c>
      <c r="D1523">
        <v>4.1152439999999997</v>
      </c>
      <c r="E1523">
        <v>0.5843064</v>
      </c>
      <c r="F1523" t="s">
        <v>46</v>
      </c>
      <c r="G1523">
        <v>-208.44380000000001</v>
      </c>
      <c r="H1523" s="1">
        <v>5.8464340000000001E-6</v>
      </c>
      <c r="I1523">
        <v>285.9323</v>
      </c>
      <c r="J1523">
        <v>-195.91380000000001</v>
      </c>
      <c r="K1523">
        <v>1.10622</v>
      </c>
      <c r="L1523">
        <v>290.99450000000002</v>
      </c>
      <c r="M1523">
        <v>-0.551666199999999</v>
      </c>
      <c r="N1523">
        <v>0</v>
      </c>
      <c r="O1523">
        <v>-0.83394669999999904</v>
      </c>
      <c r="P1523">
        <v>-0.80575359999999996</v>
      </c>
      <c r="Q1523">
        <v>0.17807590000000001</v>
      </c>
      <c r="R1523">
        <v>-0.5648455</v>
      </c>
      <c r="S1523">
        <v>-2.9377439999999999</v>
      </c>
      <c r="T1523">
        <v>-0.25718239999999998</v>
      </c>
      <c r="U1523">
        <v>-1.210693</v>
      </c>
      <c r="V1523">
        <v>0.3625042</v>
      </c>
      <c r="W1523">
        <v>0.18687999999999999</v>
      </c>
      <c r="X1523">
        <v>0.91305349999999996</v>
      </c>
      <c r="Y1523">
        <v>0.55742250000000004</v>
      </c>
      <c r="Z1523">
        <v>8.0920210000000006E-2</v>
      </c>
      <c r="AA1523">
        <v>0.82627609999999996</v>
      </c>
      <c r="AB1523">
        <v>19</v>
      </c>
      <c r="AC1523">
        <v>-12.53</v>
      </c>
      <c r="AD1523">
        <v>-1.1062141535659999</v>
      </c>
      <c r="AE1523">
        <v>-5.0622000000000096</v>
      </c>
      <c r="AF1523">
        <v>7.6064948658694496</v>
      </c>
      <c r="AG1523">
        <v>-1.1062141535659999</v>
      </c>
      <c r="AH1523">
        <v>11.060965872418301</v>
      </c>
      <c r="AI1523">
        <v>94.710855478530206</v>
      </c>
      <c r="AJ1523">
        <v>55.484158440201703</v>
      </c>
      <c r="AK1523">
        <v>13.4695003592877</v>
      </c>
      <c r="AL1523">
        <v>79.2292404010078</v>
      </c>
      <c r="AM1523">
        <v>68.345731941413305</v>
      </c>
      <c r="AN1523">
        <v>1.00000006163994</v>
      </c>
    </row>
    <row r="1524" spans="1:40" x14ac:dyDescent="0.25">
      <c r="A1524" t="str">
        <f>"20190312172358194"</f>
        <v>20190312172358194</v>
      </c>
      <c r="B1524" t="str">
        <f>"1552382638191799"</f>
        <v>1552382638191799</v>
      </c>
      <c r="C1524" t="s">
        <v>40</v>
      </c>
      <c r="D1524">
        <v>4.080247</v>
      </c>
      <c r="E1524">
        <v>0.58391680000000001</v>
      </c>
      <c r="F1524" t="s">
        <v>46</v>
      </c>
      <c r="G1524">
        <v>-208.6069</v>
      </c>
      <c r="H1524" s="1">
        <v>5.9236229999999999E-6</v>
      </c>
      <c r="I1524">
        <v>285.87670000000003</v>
      </c>
      <c r="J1524">
        <v>-196.0248</v>
      </c>
      <c r="K1524">
        <v>1.1061810000000001</v>
      </c>
      <c r="L1524">
        <v>290.84550000000002</v>
      </c>
      <c r="M1524">
        <v>-0.55898819999999905</v>
      </c>
      <c r="N1524">
        <v>0</v>
      </c>
      <c r="O1524">
        <v>-0.82905609999999996</v>
      </c>
      <c r="P1524">
        <v>-0.81048379999999998</v>
      </c>
      <c r="Q1524">
        <v>0.178096799999999</v>
      </c>
      <c r="R1524">
        <v>-0.55803009999999997</v>
      </c>
      <c r="S1524">
        <v>-2.947006</v>
      </c>
      <c r="T1524">
        <v>-0.25683270000000002</v>
      </c>
      <c r="U1524">
        <v>-1.188202</v>
      </c>
      <c r="V1524">
        <v>0.36217890000000003</v>
      </c>
      <c r="W1524">
        <v>0.18688379999999999</v>
      </c>
      <c r="X1524">
        <v>0.91318180000000004</v>
      </c>
      <c r="Y1524">
        <v>0.55647069999999998</v>
      </c>
      <c r="Z1524">
        <v>8.0567200000000005E-2</v>
      </c>
      <c r="AA1524">
        <v>0.82695189999999996</v>
      </c>
      <c r="AB1524">
        <v>19</v>
      </c>
      <c r="AC1524">
        <v>-12.582099999999899</v>
      </c>
      <c r="AD1524">
        <v>-1.106175076377</v>
      </c>
      <c r="AE1524">
        <v>-4.9687999999999803</v>
      </c>
      <c r="AF1524">
        <v>7.60368243294685</v>
      </c>
      <c r="AG1524">
        <v>-1.106175076377</v>
      </c>
      <c r="AH1524">
        <v>11.079680007996901</v>
      </c>
      <c r="AI1524">
        <v>94.705862572213206</v>
      </c>
      <c r="AJ1524">
        <v>55.5392523986757</v>
      </c>
      <c r="AK1524">
        <v>13.483282942974601</v>
      </c>
      <c r="AL1524">
        <v>79.229018700986998</v>
      </c>
      <c r="AM1524">
        <v>68.366126793072098</v>
      </c>
      <c r="AN1524">
        <v>1.0000000550794399</v>
      </c>
    </row>
    <row r="1525" spans="1:40" x14ac:dyDescent="0.25">
      <c r="A1525" t="str">
        <f>"20190312172358216"</f>
        <v>20190312172358216</v>
      </c>
      <c r="B1525" t="str">
        <f>"1552382638211319"</f>
        <v>1552382638211319</v>
      </c>
      <c r="C1525" t="s">
        <v>40</v>
      </c>
      <c r="D1525">
        <v>4.0413829999999997</v>
      </c>
      <c r="E1525">
        <v>0.58366949999999995</v>
      </c>
      <c r="F1525" t="s">
        <v>46</v>
      </c>
      <c r="G1525">
        <v>-208.66759999999999</v>
      </c>
      <c r="H1525" s="1">
        <v>5.9519799999999901E-6</v>
      </c>
      <c r="I1525">
        <v>285.85989999999998</v>
      </c>
      <c r="J1525">
        <v>-196.13399999999999</v>
      </c>
      <c r="K1525">
        <v>1.106141</v>
      </c>
      <c r="L1525">
        <v>290.70170000000002</v>
      </c>
      <c r="M1525">
        <v>-0.56615130000000002</v>
      </c>
      <c r="N1525">
        <v>0</v>
      </c>
      <c r="O1525">
        <v>-0.82418080000000005</v>
      </c>
      <c r="P1525">
        <v>-0.81512430000000002</v>
      </c>
      <c r="Q1525">
        <v>0.17820229999999901</v>
      </c>
      <c r="R1525">
        <v>-0.55119530000000005</v>
      </c>
      <c r="S1525">
        <v>-2.9557950000000002</v>
      </c>
      <c r="T1525">
        <v>-0.25861590000000001</v>
      </c>
      <c r="U1525">
        <v>-1.1655879999999901</v>
      </c>
      <c r="V1525">
        <v>0.36194769999999998</v>
      </c>
      <c r="W1525">
        <v>0.18696570000000001</v>
      </c>
      <c r="X1525">
        <v>0.91325659999999997</v>
      </c>
      <c r="Y1525">
        <v>0.5555599</v>
      </c>
      <c r="Z1525">
        <v>8.0884209999999998E-2</v>
      </c>
      <c r="AA1525">
        <v>0.82753299999999996</v>
      </c>
      <c r="AB1525">
        <v>19</v>
      </c>
      <c r="AC1525">
        <v>-12.5335999999999</v>
      </c>
      <c r="AD1525">
        <v>-1.1061350480200001</v>
      </c>
      <c r="AE1525">
        <v>-4.8418000000000303</v>
      </c>
      <c r="AF1525">
        <v>7.5384250277478699</v>
      </c>
      <c r="AG1525">
        <v>-1.1061350480200001</v>
      </c>
      <c r="AH1525">
        <v>11.012896471989</v>
      </c>
      <c r="AI1525">
        <v>94.737977573711206</v>
      </c>
      <c r="AJ1525">
        <v>55.608014769823399</v>
      </c>
      <c r="AK1525">
        <v>13.391612126483601</v>
      </c>
      <c r="AL1525">
        <v>79.224240990182494</v>
      </c>
      <c r="AM1525">
        <v>68.3802698860041</v>
      </c>
      <c r="AN1525">
        <v>0.99999996397766899</v>
      </c>
    </row>
    <row r="1526" spans="1:40" x14ac:dyDescent="0.25">
      <c r="A1526" t="str">
        <f>"20190312172358240"</f>
        <v>20190312172358240</v>
      </c>
      <c r="B1526" t="str">
        <f>"1552382638231815"</f>
        <v>1552382638231815</v>
      </c>
      <c r="C1526" t="s">
        <v>40</v>
      </c>
      <c r="D1526">
        <v>4.070195</v>
      </c>
      <c r="E1526">
        <v>0.58335099999999995</v>
      </c>
      <c r="F1526" t="s">
        <v>46</v>
      </c>
      <c r="G1526">
        <v>-208.77680000000001</v>
      </c>
      <c r="H1526" s="1">
        <v>6.0026879999999998E-6</v>
      </c>
      <c r="I1526">
        <v>285.834</v>
      </c>
      <c r="J1526">
        <v>-196.26</v>
      </c>
      <c r="K1526">
        <v>1.10609</v>
      </c>
      <c r="L1526">
        <v>290.53919999999999</v>
      </c>
      <c r="M1526">
        <v>-0.57436609999999999</v>
      </c>
      <c r="N1526">
        <v>0</v>
      </c>
      <c r="O1526">
        <v>-0.81847709999999996</v>
      </c>
      <c r="P1526">
        <v>-0.82055009999999995</v>
      </c>
      <c r="Q1526">
        <v>0.17854919999999999</v>
      </c>
      <c r="R1526">
        <v>-0.54297150000000005</v>
      </c>
      <c r="S1526">
        <v>-2.9651489999999998</v>
      </c>
      <c r="T1526">
        <v>-0.25942490000000001</v>
      </c>
      <c r="U1526">
        <v>-1.141632</v>
      </c>
      <c r="V1526">
        <v>0.36196499999999998</v>
      </c>
      <c r="W1526">
        <v>0.18727769999999999</v>
      </c>
      <c r="X1526">
        <v>0.91318580000000005</v>
      </c>
      <c r="Y1526">
        <v>0.55394880000000002</v>
      </c>
      <c r="Z1526">
        <v>8.0826120000000001E-2</v>
      </c>
      <c r="AA1526">
        <v>0.82861799999999997</v>
      </c>
      <c r="AB1526">
        <v>19</v>
      </c>
      <c r="AC1526">
        <v>-12.5168</v>
      </c>
      <c r="AD1526">
        <v>-1.106083997312</v>
      </c>
      <c r="AE1526">
        <v>-4.7051999999999898</v>
      </c>
      <c r="AF1526">
        <v>7.4916980845018299</v>
      </c>
      <c r="AG1526">
        <v>-1.106083997312</v>
      </c>
      <c r="AH1526">
        <v>10.9663891264171</v>
      </c>
      <c r="AI1526">
        <v>94.760757792035307</v>
      </c>
      <c r="AJ1526">
        <v>55.661030511148901</v>
      </c>
      <c r="AK1526">
        <v>13.327064660698399</v>
      </c>
      <c r="AL1526">
        <v>79.206043141474794</v>
      </c>
      <c r="AM1526">
        <v>68.377810272305098</v>
      </c>
      <c r="AN1526">
        <v>0.99999995173196299</v>
      </c>
    </row>
    <row r="1527" spans="1:40" x14ac:dyDescent="0.25">
      <c r="A1527" t="str">
        <f>"20190312172358263"</f>
        <v>20190312172358263</v>
      </c>
      <c r="B1527" t="str">
        <f>"1552382638251334"</f>
        <v>1552382638251334</v>
      </c>
      <c r="C1527" t="s">
        <v>40</v>
      </c>
      <c r="D1527">
        <v>4.0130869999999996</v>
      </c>
      <c r="E1527">
        <v>0.58294659999999998</v>
      </c>
      <c r="F1527" t="s">
        <v>46</v>
      </c>
      <c r="G1527">
        <v>-209.0582</v>
      </c>
      <c r="H1527" s="1">
        <v>6.1345859999999997E-6</v>
      </c>
      <c r="I1527">
        <v>285.75259999999997</v>
      </c>
      <c r="J1527">
        <v>-196.3742</v>
      </c>
      <c r="K1527">
        <v>1.10605</v>
      </c>
      <c r="L1527">
        <v>290.39510000000001</v>
      </c>
      <c r="M1527">
        <v>-0.58177040000000002</v>
      </c>
      <c r="N1527">
        <v>0</v>
      </c>
      <c r="O1527">
        <v>-0.81323040000000002</v>
      </c>
      <c r="P1527">
        <v>-0.82552760000000003</v>
      </c>
      <c r="Q1527">
        <v>0.17894270000000001</v>
      </c>
      <c r="R1527">
        <v>-0.53524179999999999</v>
      </c>
      <c r="S1527">
        <v>-2.9756320000000001</v>
      </c>
      <c r="T1527">
        <v>-0.25716919999999999</v>
      </c>
      <c r="U1527">
        <v>-1.1128849999999999</v>
      </c>
      <c r="V1527">
        <v>0.36221209999999998</v>
      </c>
      <c r="W1527">
        <v>0.18763650000000001</v>
      </c>
      <c r="X1527">
        <v>0.9130142</v>
      </c>
      <c r="Y1527">
        <v>0.55445690000000003</v>
      </c>
      <c r="Z1527">
        <v>7.9910899999999896E-2</v>
      </c>
      <c r="AA1527">
        <v>0.82836690000000002</v>
      </c>
      <c r="AB1527">
        <v>18</v>
      </c>
      <c r="AC1527">
        <v>-12.6839999999999</v>
      </c>
      <c r="AD1527">
        <v>-1.1060438654139999</v>
      </c>
      <c r="AE1527">
        <v>-4.64250000000004</v>
      </c>
      <c r="AF1527">
        <v>7.5641832094741597</v>
      </c>
      <c r="AG1527">
        <v>-1.1060438654139999</v>
      </c>
      <c r="AH1527">
        <v>11.081404226177201</v>
      </c>
      <c r="AI1527">
        <v>94.712598869734606</v>
      </c>
      <c r="AJ1527">
        <v>55.682496002691899</v>
      </c>
      <c r="AK1527">
        <v>13.462455952858299</v>
      </c>
      <c r="AL1527">
        <v>79.1851148851826</v>
      </c>
      <c r="AM1527">
        <v>68.360722281748295</v>
      </c>
      <c r="AN1527">
        <v>0.99999999546014995</v>
      </c>
    </row>
    <row r="1528" spans="1:40" x14ac:dyDescent="0.25">
      <c r="A1528" t="str">
        <f>"20190312172358284"</f>
        <v>20190312172358284</v>
      </c>
      <c r="B1528" t="str">
        <f>"1552382638281590"</f>
        <v>1552382638281590</v>
      </c>
      <c r="C1528" t="s">
        <v>40</v>
      </c>
      <c r="D1528">
        <v>4.1211880000000001</v>
      </c>
      <c r="E1528">
        <v>0.61131729999999995</v>
      </c>
      <c r="F1528" t="s">
        <v>46</v>
      </c>
      <c r="G1528">
        <v>-209.2663</v>
      </c>
      <c r="H1528" s="1">
        <v>6.2312709999999998E-6</v>
      </c>
      <c r="I1528">
        <v>285.70229999999998</v>
      </c>
      <c r="J1528">
        <v>-196.49080000000001</v>
      </c>
      <c r="K1528">
        <v>1.106009</v>
      </c>
      <c r="L1528">
        <v>290.25119999999998</v>
      </c>
      <c r="M1528">
        <v>-0.5892811</v>
      </c>
      <c r="N1528">
        <v>0</v>
      </c>
      <c r="O1528">
        <v>-0.80780430000000003</v>
      </c>
      <c r="P1528">
        <v>-0.83063819999999999</v>
      </c>
      <c r="Q1528">
        <v>0.17920329999999901</v>
      </c>
      <c r="R1528">
        <v>-0.52718710000000002</v>
      </c>
      <c r="S1528">
        <v>-2.9850620000000001</v>
      </c>
      <c r="T1528">
        <v>-0.2560962</v>
      </c>
      <c r="U1528">
        <v>-1.086578</v>
      </c>
      <c r="V1528">
        <v>0.36261169999999998</v>
      </c>
      <c r="W1528">
        <v>0.18786410000000001</v>
      </c>
      <c r="X1528">
        <v>0.91280879999999998</v>
      </c>
      <c r="Y1528">
        <v>0.55408649999999904</v>
      </c>
      <c r="Z1528">
        <v>7.9321870000000003E-2</v>
      </c>
      <c r="AA1528">
        <v>0.82867139999999995</v>
      </c>
      <c r="AB1528">
        <v>18</v>
      </c>
      <c r="AC1528">
        <v>-12.7754999999999</v>
      </c>
      <c r="AD1528">
        <v>-1.1060027687289999</v>
      </c>
      <c r="AE1528">
        <v>-4.5488999999999997</v>
      </c>
      <c r="AF1528">
        <v>7.5898038447365899</v>
      </c>
      <c r="AG1528">
        <v>-1.1060027687289999</v>
      </c>
      <c r="AH1528">
        <v>11.1300709408379</v>
      </c>
      <c r="AI1528">
        <v>94.693396457530795</v>
      </c>
      <c r="AJ1528">
        <v>55.709190446209597</v>
      </c>
      <c r="AK1528">
        <v>13.5169095459761</v>
      </c>
      <c r="AL1528">
        <v>79.171838700281995</v>
      </c>
      <c r="AM1528">
        <v>68.334636211044199</v>
      </c>
      <c r="AN1528">
        <v>1.0000000352015599</v>
      </c>
    </row>
    <row r="1529" spans="1:40" x14ac:dyDescent="0.25">
      <c r="A1529" t="str">
        <f>"20190312172358305"</f>
        <v>20190312172358305</v>
      </c>
      <c r="B1529" t="str">
        <f>"1552382638301111"</f>
        <v>1552382638301111</v>
      </c>
      <c r="C1529" t="s">
        <v>40</v>
      </c>
      <c r="D1529">
        <v>4.0925279999999997</v>
      </c>
      <c r="E1529">
        <v>0.61939100000000002</v>
      </c>
      <c r="F1529" t="s">
        <v>46</v>
      </c>
      <c r="G1529">
        <v>-208.04759999999999</v>
      </c>
      <c r="H1529" s="1">
        <v>5.5733300000000001E-6</v>
      </c>
      <c r="I1529">
        <v>287.04640000000001</v>
      </c>
      <c r="J1529">
        <v>-196.60839999999999</v>
      </c>
      <c r="K1529">
        <v>1.1059840000000001</v>
      </c>
      <c r="L1529">
        <v>290.1087</v>
      </c>
      <c r="M1529">
        <v>-0.59680739999999999</v>
      </c>
      <c r="N1529">
        <v>0</v>
      </c>
      <c r="O1529">
        <v>-0.80225979999999997</v>
      </c>
      <c r="P1529">
        <v>-0.83567979999999997</v>
      </c>
      <c r="Q1529">
        <v>0.1799702</v>
      </c>
      <c r="R1529">
        <v>-0.5188933</v>
      </c>
      <c r="S1529">
        <v>-3.1260680000000001</v>
      </c>
      <c r="T1529">
        <v>-0.29916809999999899</v>
      </c>
      <c r="U1529">
        <v>-0.86688229999999999</v>
      </c>
      <c r="V1529">
        <v>0.36305789999999999</v>
      </c>
      <c r="W1529">
        <v>0.18860540000000001</v>
      </c>
      <c r="X1529">
        <v>0.91247840000000002</v>
      </c>
      <c r="Y1529">
        <v>0.60881219999999903</v>
      </c>
      <c r="Z1529">
        <v>9.243084E-2</v>
      </c>
      <c r="AA1529">
        <v>0.78791140000000004</v>
      </c>
      <c r="AB1529">
        <v>18</v>
      </c>
      <c r="AC1529">
        <v>-11.4392</v>
      </c>
      <c r="AD1529">
        <v>-1.1059784266699999</v>
      </c>
      <c r="AE1529">
        <v>-3.0622999999999898</v>
      </c>
      <c r="AF1529">
        <v>7.2867833050500703</v>
      </c>
      <c r="AG1529">
        <v>-1.1059784266699999</v>
      </c>
      <c r="AH1529">
        <v>9.2044027582976398</v>
      </c>
      <c r="AI1529">
        <v>95.381904778849204</v>
      </c>
      <c r="AJ1529">
        <v>51.632650631931497</v>
      </c>
      <c r="AK1529">
        <v>11.791582987537</v>
      </c>
      <c r="AL1529">
        <v>79.128591145062302</v>
      </c>
      <c r="AM1529">
        <v>68.303326082410507</v>
      </c>
      <c r="AN1529">
        <v>0.99999993306406199</v>
      </c>
    </row>
    <row r="1530" spans="1:40" x14ac:dyDescent="0.25">
      <c r="A1530" t="str">
        <f>"20190312172358329"</f>
        <v>20190312172358329</v>
      </c>
      <c r="B1530" t="str">
        <f>"1552382638321607"</f>
        <v>1552382638321607</v>
      </c>
      <c r="C1530" t="s">
        <v>40</v>
      </c>
      <c r="D1530">
        <v>4.0558709999999998</v>
      </c>
      <c r="E1530">
        <v>0.62275519999999995</v>
      </c>
      <c r="F1530" t="s">
        <v>46</v>
      </c>
      <c r="G1530">
        <v>-209.2088</v>
      </c>
      <c r="H1530" s="1">
        <v>6.09202E-6</v>
      </c>
      <c r="I1530">
        <v>287.00349999999997</v>
      </c>
      <c r="J1530">
        <v>-196.73390000000001</v>
      </c>
      <c r="K1530">
        <v>1.105963</v>
      </c>
      <c r="L1530">
        <v>289.9599</v>
      </c>
      <c r="M1530">
        <v>-0.60476019999999997</v>
      </c>
      <c r="N1530">
        <v>0</v>
      </c>
      <c r="O1530">
        <v>-0.79628160000000003</v>
      </c>
      <c r="P1530">
        <v>-0.8408388</v>
      </c>
      <c r="Q1530">
        <v>0.1803225</v>
      </c>
      <c r="R1530">
        <v>-0.51036689999999996</v>
      </c>
      <c r="S1530">
        <v>-3.165359</v>
      </c>
      <c r="T1530">
        <v>-0.27783429999999998</v>
      </c>
      <c r="U1530">
        <v>-0.78005979999999997</v>
      </c>
      <c r="V1530">
        <v>0.36321609999999999</v>
      </c>
      <c r="W1530">
        <v>0.188945</v>
      </c>
      <c r="X1530">
        <v>0.91234519999999997</v>
      </c>
      <c r="Y1530">
        <v>0.62428130000000004</v>
      </c>
      <c r="Z1530">
        <v>8.5743710000000001E-2</v>
      </c>
      <c r="AA1530">
        <v>0.77647980000000005</v>
      </c>
      <c r="AB1530">
        <v>18</v>
      </c>
      <c r="AC1530">
        <v>-12.4748999999999</v>
      </c>
      <c r="AD1530">
        <v>-1.10595690798</v>
      </c>
      <c r="AE1530">
        <v>-2.9564000000000301</v>
      </c>
      <c r="AF1530">
        <v>8.0862624612451803</v>
      </c>
      <c r="AG1530">
        <v>-1.10595690798</v>
      </c>
      <c r="AH1530">
        <v>9.8263191097344897</v>
      </c>
      <c r="AI1530">
        <v>94.966933319796794</v>
      </c>
      <c r="AJ1530">
        <v>50.548394350464299</v>
      </c>
      <c r="AK1530">
        <v>12.773696744513099</v>
      </c>
      <c r="AL1530">
        <v>79.1087775039679</v>
      </c>
      <c r="AM1530">
        <v>68.291876394568007</v>
      </c>
      <c r="AN1530">
        <v>0.99999995614362402</v>
      </c>
    </row>
    <row r="1531" spans="1:40" x14ac:dyDescent="0.25">
      <c r="A1531" t="str">
        <f>"20190312172358352"</f>
        <v>20190312172358352</v>
      </c>
      <c r="B1531" t="str">
        <f>"1552382638341127"</f>
        <v>1552382638341127</v>
      </c>
      <c r="C1531" t="s">
        <v>40</v>
      </c>
      <c r="D1531">
        <v>4.0684979999999999</v>
      </c>
      <c r="E1531">
        <v>0.62412599999999996</v>
      </c>
      <c r="F1531" t="s">
        <v>46</v>
      </c>
      <c r="G1531">
        <v>-209.87219999999999</v>
      </c>
      <c r="H1531" s="1">
        <v>6.3887310000000001E-6</v>
      </c>
      <c r="I1531">
        <v>286.97449999999998</v>
      </c>
      <c r="J1531">
        <v>-196.85910000000001</v>
      </c>
      <c r="K1531">
        <v>1.105947</v>
      </c>
      <c r="L1531">
        <v>289.81450000000001</v>
      </c>
      <c r="M1531">
        <v>-0.61261699999999997</v>
      </c>
      <c r="N1531">
        <v>0</v>
      </c>
      <c r="O1531">
        <v>-0.79025269999999903</v>
      </c>
      <c r="P1531">
        <v>-0.84574850000000001</v>
      </c>
      <c r="Q1531">
        <v>0.180616</v>
      </c>
      <c r="R1531">
        <v>-0.50208359999999996</v>
      </c>
      <c r="S1531">
        <v>-3.1859739999999999</v>
      </c>
      <c r="T1531">
        <v>-0.2681905</v>
      </c>
      <c r="U1531">
        <v>-0.72393799999999997</v>
      </c>
      <c r="V1531">
        <v>0.36310409999999999</v>
      </c>
      <c r="W1531">
        <v>0.18923390000000001</v>
      </c>
      <c r="X1531">
        <v>0.91232999999999997</v>
      </c>
      <c r="Y1531">
        <v>0.63097099999999995</v>
      </c>
      <c r="Z1531">
        <v>8.2577999999999999E-2</v>
      </c>
      <c r="AA1531">
        <v>0.7713991</v>
      </c>
      <c r="AB1531">
        <v>18</v>
      </c>
      <c r="AC1531">
        <v>-13.0130999999999</v>
      </c>
      <c r="AD1531">
        <v>-1.105940611269</v>
      </c>
      <c r="AE1531">
        <v>-2.8400000000000301</v>
      </c>
      <c r="AF1531">
        <v>8.48615757549282</v>
      </c>
      <c r="AG1531">
        <v>-1.105940611269</v>
      </c>
      <c r="AH1531">
        <v>10.1474311517297</v>
      </c>
      <c r="AI1531">
        <v>94.779086854684095</v>
      </c>
      <c r="AJ1531">
        <v>50.094722738090702</v>
      </c>
      <c r="AK1531">
        <v>13.2743487226622</v>
      </c>
      <c r="AL1531">
        <v>79.091921607491102</v>
      </c>
      <c r="AM1531">
        <v>68.297620070721905</v>
      </c>
      <c r="AN1531">
        <v>1.000000042623</v>
      </c>
    </row>
    <row r="1532" spans="1:40" x14ac:dyDescent="0.25">
      <c r="A1532" t="str">
        <f>"20190312172358374"</f>
        <v>20190312172358374</v>
      </c>
      <c r="B1532" t="str">
        <f>"1552382638361623"</f>
        <v>1552382638361623</v>
      </c>
      <c r="C1532" t="s">
        <v>40</v>
      </c>
      <c r="D1532">
        <v>4.0812140000000001</v>
      </c>
      <c r="E1532">
        <v>0.62472780000000006</v>
      </c>
      <c r="F1532" t="s">
        <v>47</v>
      </c>
      <c r="G1532">
        <v>-210.41200000000001</v>
      </c>
      <c r="H1532" s="1">
        <v>-1.3175600000000001E-6</v>
      </c>
      <c r="I1532">
        <v>286.92540000000002</v>
      </c>
      <c r="J1532">
        <v>-196.977</v>
      </c>
      <c r="K1532">
        <v>1.1059300000000001</v>
      </c>
      <c r="L1532">
        <v>289.68040000000002</v>
      </c>
      <c r="M1532">
        <v>-0.61994009999999999</v>
      </c>
      <c r="N1532">
        <v>0</v>
      </c>
      <c r="O1532">
        <v>-0.78452080000000002</v>
      </c>
      <c r="P1532">
        <v>-0.85013729999999998</v>
      </c>
      <c r="Q1532">
        <v>0.18114569999999999</v>
      </c>
      <c r="R1532">
        <v>-0.49442190000000003</v>
      </c>
      <c r="S1532">
        <v>-3.1981510000000002</v>
      </c>
      <c r="T1532">
        <v>-0.26097809999999999</v>
      </c>
      <c r="U1532">
        <v>-0.68176269999999894</v>
      </c>
      <c r="V1532">
        <v>0.36278769999999999</v>
      </c>
      <c r="W1532">
        <v>0.18976199999999999</v>
      </c>
      <c r="X1532">
        <v>0.91234610000000005</v>
      </c>
      <c r="Y1532">
        <v>0.63432939999999904</v>
      </c>
      <c r="Z1532">
        <v>8.0170619999999998E-2</v>
      </c>
      <c r="AA1532">
        <v>0.76889459999999998</v>
      </c>
      <c r="AB1532">
        <v>18</v>
      </c>
      <c r="AC1532">
        <v>-13.435</v>
      </c>
      <c r="AD1532">
        <v>-1.1059313175599901</v>
      </c>
      <c r="AE1532">
        <v>-2.7549999999999901</v>
      </c>
      <c r="AF1532">
        <v>8.7759244187675005</v>
      </c>
      <c r="AG1532">
        <v>-1.1059313175599901</v>
      </c>
      <c r="AH1532">
        <v>10.4235256609897</v>
      </c>
      <c r="AI1532">
        <v>94.640158402333398</v>
      </c>
      <c r="AJ1532">
        <v>49.904822106446098</v>
      </c>
      <c r="AK1532">
        <v>13.6707651829878</v>
      </c>
      <c r="AL1532">
        <v>79.061104536375396</v>
      </c>
      <c r="AM1532">
        <v>68.3151225975149</v>
      </c>
      <c r="AN1532">
        <v>0.99999996905024902</v>
      </c>
    </row>
    <row r="1533" spans="1:40" x14ac:dyDescent="0.25">
      <c r="A1533" t="str">
        <f>"20190312172358395"</f>
        <v>20190312172358395</v>
      </c>
      <c r="B1533" t="str">
        <f>"1552382638391879"</f>
        <v>1552382638391879</v>
      </c>
      <c r="C1533" t="s">
        <v>40</v>
      </c>
      <c r="D1533">
        <v>4.0762130000000001</v>
      </c>
      <c r="E1533">
        <v>0.62452129999999995</v>
      </c>
      <c r="F1533" t="s">
        <v>47</v>
      </c>
      <c r="G1533">
        <v>-210.69479999999999</v>
      </c>
      <c r="H1533" s="1">
        <v>-1.167045E-6</v>
      </c>
      <c r="I1533">
        <v>286.90589999999997</v>
      </c>
      <c r="J1533">
        <v>-197.1001</v>
      </c>
      <c r="K1533">
        <v>1.105912</v>
      </c>
      <c r="L1533">
        <v>289.54309999999998</v>
      </c>
      <c r="M1533">
        <v>-0.62751459999999903</v>
      </c>
      <c r="N1533">
        <v>0</v>
      </c>
      <c r="O1533">
        <v>-0.77847519999999903</v>
      </c>
      <c r="P1533">
        <v>-0.85460970000000003</v>
      </c>
      <c r="Q1533">
        <v>0.18110589999999999</v>
      </c>
      <c r="R1533">
        <v>-0.48666530000000002</v>
      </c>
      <c r="S1533">
        <v>-3.2067410000000001</v>
      </c>
      <c r="T1533">
        <v>-0.25852760000000002</v>
      </c>
      <c r="U1533">
        <v>-0.64859009999999995</v>
      </c>
      <c r="V1533">
        <v>0.3622628</v>
      </c>
      <c r="W1533">
        <v>0.18972310000000001</v>
      </c>
      <c r="X1533">
        <v>0.91256269999999995</v>
      </c>
      <c r="Y1533">
        <v>0.63498739999999998</v>
      </c>
      <c r="Z1533">
        <v>7.9143019999999994E-2</v>
      </c>
      <c r="AA1533">
        <v>0.76845779999999997</v>
      </c>
      <c r="AB1533">
        <v>18</v>
      </c>
      <c r="AC1533">
        <v>-13.5946999999999</v>
      </c>
      <c r="AD1533">
        <v>-1.105913167045</v>
      </c>
      <c r="AE1533">
        <v>-2.6372</v>
      </c>
      <c r="AF1533">
        <v>8.8725702145263199</v>
      </c>
      <c r="AG1533">
        <v>-1.105913167045</v>
      </c>
      <c r="AH1533">
        <v>10.5178564752032</v>
      </c>
      <c r="AI1533">
        <v>94.594952823459906</v>
      </c>
      <c r="AJ1533">
        <v>49.849955194172203</v>
      </c>
      <c r="AK1533">
        <v>13.8047401633539</v>
      </c>
      <c r="AL1533">
        <v>79.063374216289802</v>
      </c>
      <c r="AM1533">
        <v>68.348256179939199</v>
      </c>
      <c r="AN1533">
        <v>0.999999936184367</v>
      </c>
    </row>
    <row r="1534" spans="1:40" x14ac:dyDescent="0.25">
      <c r="A1534" t="str">
        <f>"20190312172358418"</f>
        <v>20190312172358418</v>
      </c>
      <c r="B1534" t="str">
        <f>"1552382638411399"</f>
        <v>1552382638411399</v>
      </c>
      <c r="C1534" t="s">
        <v>40</v>
      </c>
      <c r="D1534">
        <v>4.0579460000000003</v>
      </c>
      <c r="E1534">
        <v>0.62427860000000002</v>
      </c>
      <c r="F1534" t="s">
        <v>47</v>
      </c>
      <c r="G1534">
        <v>-210.85319999999999</v>
      </c>
      <c r="H1534" s="1">
        <v>-1.082739E-6</v>
      </c>
      <c r="I1534">
        <v>286.88670000000002</v>
      </c>
      <c r="J1534">
        <v>-197.22210000000001</v>
      </c>
      <c r="K1534">
        <v>1.1058870000000001</v>
      </c>
      <c r="L1534">
        <v>289.40980000000002</v>
      </c>
      <c r="M1534">
        <v>-0.63493949999999999</v>
      </c>
      <c r="N1534">
        <v>0</v>
      </c>
      <c r="O1534">
        <v>-0.77243099999999998</v>
      </c>
      <c r="P1534">
        <v>-0.85890230000000001</v>
      </c>
      <c r="Q1534">
        <v>0.1815253</v>
      </c>
      <c r="R1534">
        <v>-0.47888989999999998</v>
      </c>
      <c r="S1534">
        <v>-3.2118530000000001</v>
      </c>
      <c r="T1534">
        <v>-0.25827070000000002</v>
      </c>
      <c r="U1534">
        <v>-0.6203613</v>
      </c>
      <c r="V1534">
        <v>0.36175400000000002</v>
      </c>
      <c r="W1534">
        <v>0.19013840000000001</v>
      </c>
      <c r="X1534">
        <v>0.9126782</v>
      </c>
      <c r="Y1534">
        <v>0.6343683</v>
      </c>
      <c r="Z1534">
        <v>7.8788070000000002E-2</v>
      </c>
      <c r="AA1534">
        <v>0.76900539999999995</v>
      </c>
      <c r="AB1534">
        <v>18</v>
      </c>
      <c r="AC1534">
        <v>-13.631099999999901</v>
      </c>
      <c r="AD1534">
        <v>-1.1058880827390001</v>
      </c>
      <c r="AE1534">
        <v>-2.5230999999999901</v>
      </c>
      <c r="AF1534">
        <v>8.8715126273067693</v>
      </c>
      <c r="AG1534">
        <v>-1.1058880827390001</v>
      </c>
      <c r="AH1534">
        <v>10.5378536881685</v>
      </c>
      <c r="AI1534">
        <v>94.589996522580094</v>
      </c>
      <c r="AJ1534">
        <v>49.9069491262198</v>
      </c>
      <c r="AK1534">
        <v>13.8193011799169</v>
      </c>
      <c r="AL1534">
        <v>79.039139185062695</v>
      </c>
      <c r="AM1534">
        <v>68.378341933049299</v>
      </c>
      <c r="AN1534">
        <v>1.0000000322128899</v>
      </c>
    </row>
    <row r="1535" spans="1:40" x14ac:dyDescent="0.25">
      <c r="A1535" t="str">
        <f>"20190312172358440"</f>
        <v>20190312172358440</v>
      </c>
      <c r="B1535" t="str">
        <f>"1552382638431895"</f>
        <v>1552382638431895</v>
      </c>
      <c r="C1535" t="s">
        <v>40</v>
      </c>
      <c r="D1535">
        <v>4.0613270000000004</v>
      </c>
      <c r="E1535">
        <v>0.62382169999999904</v>
      </c>
      <c r="F1535" t="s">
        <v>47</v>
      </c>
      <c r="G1535">
        <v>-211.0461</v>
      </c>
      <c r="H1535" s="1">
        <v>-9.8008620000000007E-7</v>
      </c>
      <c r="I1535">
        <v>286.86</v>
      </c>
      <c r="J1535">
        <v>-197.35400000000001</v>
      </c>
      <c r="K1535">
        <v>1.1058509999999999</v>
      </c>
      <c r="L1535">
        <v>289.26859999999999</v>
      </c>
      <c r="M1535">
        <v>-0.64288000000000001</v>
      </c>
      <c r="N1535">
        <v>0</v>
      </c>
      <c r="O1535">
        <v>-0.76583469999999998</v>
      </c>
      <c r="P1535">
        <v>-0.86333199999999999</v>
      </c>
      <c r="Q1535">
        <v>0.1816198</v>
      </c>
      <c r="R1535">
        <v>-0.47082059999999998</v>
      </c>
      <c r="S1535">
        <v>-3.216431</v>
      </c>
      <c r="T1535">
        <v>-0.25730609999999998</v>
      </c>
      <c r="U1535">
        <v>-0.593261699999999</v>
      </c>
      <c r="V1535">
        <v>0.36088110000000001</v>
      </c>
      <c r="W1535">
        <v>0.1902334</v>
      </c>
      <c r="X1535">
        <v>0.91300389999999998</v>
      </c>
      <c r="Y1535">
        <v>0.63291160000000002</v>
      </c>
      <c r="Z1535">
        <v>7.8160549999999995E-2</v>
      </c>
      <c r="AA1535">
        <v>0.77026859999999997</v>
      </c>
      <c r="AB1535">
        <v>18</v>
      </c>
      <c r="AC1535">
        <v>-13.6920999999999</v>
      </c>
      <c r="AD1535">
        <v>-1.1058519800861999</v>
      </c>
      <c r="AE1535">
        <v>-2.4085999999999701</v>
      </c>
      <c r="AF1535">
        <v>8.8821496374508495</v>
      </c>
      <c r="AG1535">
        <v>-1.1058519800861999</v>
      </c>
      <c r="AH1535">
        <v>10.581095208645401</v>
      </c>
      <c r="AI1535">
        <v>94.576632728355804</v>
      </c>
      <c r="AJ1535">
        <v>49.988700557023002</v>
      </c>
      <c r="AK1535">
        <v>13.8591149283909</v>
      </c>
      <c r="AL1535">
        <v>79.033594735756907</v>
      </c>
      <c r="AM1535">
        <v>68.432705292671599</v>
      </c>
      <c r="AN1535">
        <v>1.0000000181139801</v>
      </c>
    </row>
    <row r="1536" spans="1:40" x14ac:dyDescent="0.25">
      <c r="A1536" t="str">
        <f>"20190312172358463"</f>
        <v>20190312172358463</v>
      </c>
      <c r="B1536" t="str">
        <f>"1552382638451418"</f>
        <v>1552382638451418</v>
      </c>
      <c r="C1536" t="s">
        <v>40</v>
      </c>
      <c r="D1536">
        <v>4.0204550000000001</v>
      </c>
      <c r="E1536">
        <v>0.62314829999999999</v>
      </c>
      <c r="F1536" t="s">
        <v>47</v>
      </c>
      <c r="G1536">
        <v>-211.2132</v>
      </c>
      <c r="H1536" s="1">
        <v>-8.9117709999999998E-7</v>
      </c>
      <c r="I1536">
        <v>286.83199999999999</v>
      </c>
      <c r="J1536">
        <v>-197.4803</v>
      </c>
      <c r="K1536">
        <v>1.1058300000000001</v>
      </c>
      <c r="L1536">
        <v>289.13630000000001</v>
      </c>
      <c r="M1536">
        <v>-0.65040290000000001</v>
      </c>
      <c r="N1536">
        <v>0</v>
      </c>
      <c r="O1536">
        <v>-0.75945589999999996</v>
      </c>
      <c r="P1536">
        <v>-0.86748860000000005</v>
      </c>
      <c r="Q1536">
        <v>0.182256</v>
      </c>
      <c r="R1536">
        <v>-0.46286820000000001</v>
      </c>
      <c r="S1536">
        <v>-3.2202299999999999</v>
      </c>
      <c r="T1536">
        <v>-0.2569478</v>
      </c>
      <c r="U1536">
        <v>-0.56613159999999996</v>
      </c>
      <c r="V1536">
        <v>0.36018210000000001</v>
      </c>
      <c r="W1536">
        <v>0.19086719999999999</v>
      </c>
      <c r="X1536">
        <v>0.91314759999999995</v>
      </c>
      <c r="Y1536">
        <v>0.63176589999999999</v>
      </c>
      <c r="Z1536">
        <v>7.7746659999999995E-2</v>
      </c>
      <c r="AA1536">
        <v>0.77125049999999995</v>
      </c>
      <c r="AB1536">
        <v>18</v>
      </c>
      <c r="AC1536">
        <v>-13.732900000000001</v>
      </c>
      <c r="AD1536">
        <v>-1.10583089117709</v>
      </c>
      <c r="AE1536">
        <v>-2.3043000000000098</v>
      </c>
      <c r="AF1536">
        <v>8.8757386476468092</v>
      </c>
      <c r="AG1536">
        <v>-1.10583089117709</v>
      </c>
      <c r="AH1536">
        <v>10.6160644152576</v>
      </c>
      <c r="AI1536">
        <v>94.569073709800506</v>
      </c>
      <c r="AJ1536">
        <v>50.102125032907502</v>
      </c>
      <c r="AK1536">
        <v>13.881729797475201</v>
      </c>
      <c r="AL1536">
        <v>78.996602530501903</v>
      </c>
      <c r="AM1536">
        <v>68.473731806648999</v>
      </c>
      <c r="AN1536">
        <v>0.99999998629100395</v>
      </c>
    </row>
    <row r="1537" spans="1:40" x14ac:dyDescent="0.25">
      <c r="A1537" t="str">
        <f>"20190312172358484"</f>
        <v>20190312172358484</v>
      </c>
      <c r="B1537" t="str">
        <f>"1552382638481671"</f>
        <v>1552382638481671</v>
      </c>
      <c r="C1537" t="s">
        <v>40</v>
      </c>
      <c r="D1537">
        <v>4.0818820000000002</v>
      </c>
      <c r="E1537">
        <v>0.60880140000000005</v>
      </c>
      <c r="F1537" t="s">
        <v>47</v>
      </c>
      <c r="G1537">
        <v>-211.44200000000001</v>
      </c>
      <c r="H1537" s="1">
        <v>-7.6942430000000005E-7</v>
      </c>
      <c r="I1537">
        <v>286.7894</v>
      </c>
      <c r="J1537">
        <v>-197.60740000000001</v>
      </c>
      <c r="K1537">
        <v>1.10581</v>
      </c>
      <c r="L1537">
        <v>289.00599999999997</v>
      </c>
      <c r="M1537">
        <v>-0.65788789999999997</v>
      </c>
      <c r="N1537">
        <v>0</v>
      </c>
      <c r="O1537">
        <v>-0.75298080000000001</v>
      </c>
      <c r="P1537">
        <v>-0.87188719999999997</v>
      </c>
      <c r="Q1537">
        <v>0.18273049999999999</v>
      </c>
      <c r="R1537">
        <v>-0.45433709999999999</v>
      </c>
      <c r="S1537">
        <v>-3.222839</v>
      </c>
      <c r="T1537">
        <v>-0.25526399999999999</v>
      </c>
      <c r="U1537">
        <v>-0.54174800000000001</v>
      </c>
      <c r="V1537">
        <v>0.36004239999999998</v>
      </c>
      <c r="W1537">
        <v>0.19133249999999999</v>
      </c>
      <c r="X1537">
        <v>0.91310530000000001</v>
      </c>
      <c r="Y1537">
        <v>0.62994850000000002</v>
      </c>
      <c r="Z1537">
        <v>7.6912209999999995E-2</v>
      </c>
      <c r="AA1537">
        <v>0.77281909999999998</v>
      </c>
      <c r="AB1537">
        <v>18</v>
      </c>
      <c r="AC1537">
        <v>-13.834599999999901</v>
      </c>
      <c r="AD1537">
        <v>-1.1058107694243</v>
      </c>
      <c r="AE1537">
        <v>-2.2165999999999699</v>
      </c>
      <c r="AF1537">
        <v>8.9043597154104699</v>
      </c>
      <c r="AG1537">
        <v>-1.1058107694243</v>
      </c>
      <c r="AH1537">
        <v>10.705086568631501</v>
      </c>
      <c r="AI1537">
        <v>94.540661572907496</v>
      </c>
      <c r="AJ1537">
        <v>50.246731344070099</v>
      </c>
      <c r="AK1537">
        <v>13.968153701942599</v>
      </c>
      <c r="AL1537">
        <v>78.969442097877007</v>
      </c>
      <c r="AM1537">
        <v>68.480411850030706</v>
      </c>
      <c r="AN1537">
        <v>0.99999997212104896</v>
      </c>
    </row>
    <row r="1538" spans="1:40" x14ac:dyDescent="0.25">
      <c r="A1538" t="str">
        <f>"20190312172358508"</f>
        <v>20190312172358508</v>
      </c>
      <c r="B1538" t="str">
        <f>"1552382638501191"</f>
        <v>1552382638501191</v>
      </c>
      <c r="C1538" t="s">
        <v>40</v>
      </c>
      <c r="D1538">
        <v>4.0445690000000001</v>
      </c>
      <c r="E1538">
        <v>0.60722959999999904</v>
      </c>
      <c r="F1538" t="s">
        <v>47</v>
      </c>
      <c r="G1538">
        <v>-213.58629999999999</v>
      </c>
      <c r="H1538" s="1">
        <v>3.7165659999999898E-7</v>
      </c>
      <c r="I1538">
        <v>285.92380000000003</v>
      </c>
      <c r="J1538">
        <v>-197.74690000000001</v>
      </c>
      <c r="K1538">
        <v>1.105801</v>
      </c>
      <c r="L1538">
        <v>288.86619999999999</v>
      </c>
      <c r="M1538">
        <v>-0.66599989999999998</v>
      </c>
      <c r="N1538">
        <v>0</v>
      </c>
      <c r="O1538">
        <v>-0.74581549999999996</v>
      </c>
      <c r="P1538">
        <v>-0.87664580000000003</v>
      </c>
      <c r="Q1538">
        <v>0.18366940000000001</v>
      </c>
      <c r="R1538">
        <v>-0.44469979999999998</v>
      </c>
      <c r="S1538">
        <v>-3.1682890000000001</v>
      </c>
      <c r="T1538">
        <v>-0.21925939999999999</v>
      </c>
      <c r="U1538">
        <v>-0.61114499999999905</v>
      </c>
      <c r="V1538">
        <v>0.36009609999999997</v>
      </c>
      <c r="W1538">
        <v>0.19226370000000001</v>
      </c>
      <c r="X1538">
        <v>0.91288849999999999</v>
      </c>
      <c r="Y1538">
        <v>0.60356719999999997</v>
      </c>
      <c r="Z1538">
        <v>6.5796880000000002E-2</v>
      </c>
      <c r="AA1538">
        <v>0.79459259999999998</v>
      </c>
      <c r="AB1538">
        <v>18</v>
      </c>
      <c r="AC1538">
        <v>-15.8393999999999</v>
      </c>
      <c r="AD1538">
        <v>-1.1058006283433901</v>
      </c>
      <c r="AE1538">
        <v>-2.9423999999999602</v>
      </c>
      <c r="AF1538">
        <v>9.8084234861649993</v>
      </c>
      <c r="AG1538">
        <v>-1.1058006283433901</v>
      </c>
      <c r="AH1538">
        <v>12.685059076078099</v>
      </c>
      <c r="AI1538">
        <v>93.945008490240497</v>
      </c>
      <c r="AJ1538">
        <v>52.287855197662402</v>
      </c>
      <c r="AK1538">
        <v>16.072917907996299</v>
      </c>
      <c r="AL1538">
        <v>78.915078984814002</v>
      </c>
      <c r="AM1538">
        <v>68.472851971393595</v>
      </c>
      <c r="AN1538">
        <v>0.999999972502574</v>
      </c>
    </row>
    <row r="1539" spans="1:40" x14ac:dyDescent="0.25">
      <c r="A1539" t="str">
        <f>"20190312172358531"</f>
        <v>20190312172358531</v>
      </c>
      <c r="B1539" t="str">
        <f>"1552382638521687"</f>
        <v>1552382638521687</v>
      </c>
      <c r="C1539" t="s">
        <v>40</v>
      </c>
      <c r="D1539">
        <v>4.0615730000000001</v>
      </c>
      <c r="E1539">
        <v>0.60637369999999902</v>
      </c>
      <c r="F1539" t="s">
        <v>47</v>
      </c>
      <c r="G1539">
        <v>-213.86410000000001</v>
      </c>
      <c r="H1539" s="1">
        <v>5.1949129999999995E-7</v>
      </c>
      <c r="I1539">
        <v>285.87599999999998</v>
      </c>
      <c r="J1539">
        <v>-197.88059999999999</v>
      </c>
      <c r="K1539">
        <v>1.105801</v>
      </c>
      <c r="L1539">
        <v>288.73500000000001</v>
      </c>
      <c r="M1539">
        <v>-0.67366959999999998</v>
      </c>
      <c r="N1539">
        <v>0</v>
      </c>
      <c r="O1539">
        <v>-0.73889490000000002</v>
      </c>
      <c r="P1539">
        <v>-0.88102809999999898</v>
      </c>
      <c r="Q1539">
        <v>0.1849326</v>
      </c>
      <c r="R1539">
        <v>-0.43541940000000001</v>
      </c>
      <c r="S1539">
        <v>-3.169403</v>
      </c>
      <c r="T1539">
        <v>-0.21745239999999999</v>
      </c>
      <c r="U1539">
        <v>-0.58801269999999894</v>
      </c>
      <c r="V1539">
        <v>0.360128</v>
      </c>
      <c r="W1539">
        <v>0.19352520000000001</v>
      </c>
      <c r="X1539">
        <v>0.91260940000000002</v>
      </c>
      <c r="Y1539">
        <v>0.60104630000000003</v>
      </c>
      <c r="Z1539">
        <v>6.4949099999999996E-2</v>
      </c>
      <c r="AA1539">
        <v>0.79657069999999996</v>
      </c>
      <c r="AB1539">
        <v>18</v>
      </c>
      <c r="AC1539">
        <v>-15.983499999999999</v>
      </c>
      <c r="AD1539">
        <v>-1.1058004805087001</v>
      </c>
      <c r="AE1539">
        <v>-2.8590000000000302</v>
      </c>
      <c r="AF1539">
        <v>9.8394759545324906</v>
      </c>
      <c r="AG1539">
        <v>-1.1058004805087001</v>
      </c>
      <c r="AH1539">
        <v>12.821941592261</v>
      </c>
      <c r="AI1539">
        <v>93.914010634999798</v>
      </c>
      <c r="AJ1539">
        <v>52.497597776436898</v>
      </c>
      <c r="AK1539">
        <v>16.200008270302501</v>
      </c>
      <c r="AL1539">
        <v>78.841417797697304</v>
      </c>
      <c r="AM1539">
        <v>68.465138040096505</v>
      </c>
      <c r="AN1539">
        <v>1.0000000481936899</v>
      </c>
    </row>
    <row r="1540" spans="1:40" x14ac:dyDescent="0.25">
      <c r="A1540" t="str">
        <f>"20190312172358553"</f>
        <v>20190312172358553</v>
      </c>
      <c r="B1540" t="str">
        <f>"1552382638541207"</f>
        <v>1552382638541207</v>
      </c>
      <c r="C1540" t="s">
        <v>40</v>
      </c>
      <c r="D1540">
        <v>4.0223449999999996</v>
      </c>
      <c r="E1540">
        <v>0.60565009999999997</v>
      </c>
      <c r="F1540" t="s">
        <v>47</v>
      </c>
      <c r="G1540">
        <v>-214.06620000000001</v>
      </c>
      <c r="H1540" s="1">
        <v>6.2704899999999997E-7</v>
      </c>
      <c r="I1540">
        <v>285.87529999999998</v>
      </c>
      <c r="J1540">
        <v>-198.01349999999999</v>
      </c>
      <c r="K1540">
        <v>1.105804</v>
      </c>
      <c r="L1540">
        <v>288.60730000000001</v>
      </c>
      <c r="M1540">
        <v>-0.68119750000000001</v>
      </c>
      <c r="N1540">
        <v>0</v>
      </c>
      <c r="O1540">
        <v>-0.73196030000000001</v>
      </c>
      <c r="P1540">
        <v>-0.88532880000000003</v>
      </c>
      <c r="Q1540">
        <v>0.1856216</v>
      </c>
      <c r="R1540">
        <v>-0.42630689999999999</v>
      </c>
      <c r="S1540">
        <v>-3.1735229999999999</v>
      </c>
      <c r="T1540">
        <v>-0.21681429999999999</v>
      </c>
      <c r="U1540">
        <v>-0.56069950000000002</v>
      </c>
      <c r="V1540">
        <v>0.36010730000000002</v>
      </c>
      <c r="W1540">
        <v>0.1942151</v>
      </c>
      <c r="X1540">
        <v>0.91247089999999997</v>
      </c>
      <c r="Y1540">
        <v>0.59972999999999999</v>
      </c>
      <c r="Z1540">
        <v>6.4437339999999996E-2</v>
      </c>
      <c r="AA1540">
        <v>0.79760379999999997</v>
      </c>
      <c r="AB1540">
        <v>18</v>
      </c>
      <c r="AC1540">
        <v>-16.052700000000002</v>
      </c>
      <c r="AD1540">
        <v>-1.105803372951</v>
      </c>
      <c r="AE1540">
        <v>-2.7320000000000202</v>
      </c>
      <c r="AF1540">
        <v>9.8445170086319198</v>
      </c>
      <c r="AG1540">
        <v>-1.105803372951</v>
      </c>
      <c r="AH1540">
        <v>12.8767114604633</v>
      </c>
      <c r="AI1540">
        <v>93.902815909851398</v>
      </c>
      <c r="AJ1540">
        <v>52.601326253743203</v>
      </c>
      <c r="AK1540">
        <v>16.2464462042904</v>
      </c>
      <c r="AL1540">
        <v>78.801123949187698</v>
      </c>
      <c r="AM1540">
        <v>68.463293296096197</v>
      </c>
      <c r="AN1540">
        <v>0.99999995796405405</v>
      </c>
    </row>
    <row r="1541" spans="1:40" x14ac:dyDescent="0.25">
      <c r="A1541" t="str">
        <f>"20190312172358586"</f>
        <v>20190312172358586</v>
      </c>
      <c r="B1541" t="str">
        <f>"1552382638581222"</f>
        <v>1552382638581222</v>
      </c>
      <c r="C1541" t="s">
        <v>40</v>
      </c>
      <c r="D1541">
        <v>3.9868239999999999</v>
      </c>
      <c r="E1541">
        <v>0.60452069999999902</v>
      </c>
      <c r="F1541" t="s">
        <v>47</v>
      </c>
      <c r="G1541">
        <v>-214.17609999999999</v>
      </c>
      <c r="H1541" s="1">
        <v>6.8550469999999899E-7</v>
      </c>
      <c r="I1541">
        <v>285.89359999999999</v>
      </c>
      <c r="J1541">
        <v>-198.2055</v>
      </c>
      <c r="K1541">
        <v>1.105785</v>
      </c>
      <c r="L1541">
        <v>288.42750000000001</v>
      </c>
      <c r="M1541">
        <v>-0.69190759999999996</v>
      </c>
      <c r="N1541">
        <v>0</v>
      </c>
      <c r="O1541">
        <v>-0.72184429999999999</v>
      </c>
      <c r="P1541">
        <v>-0.89133370000000001</v>
      </c>
      <c r="Q1541">
        <v>0.18567</v>
      </c>
      <c r="R1541">
        <v>-0.41358299999999998</v>
      </c>
      <c r="S1541">
        <v>-3.1772610000000001</v>
      </c>
      <c r="T1541">
        <v>-0.21737999999999999</v>
      </c>
      <c r="U1541">
        <v>-0.5334778</v>
      </c>
      <c r="V1541">
        <v>0.35973260000000001</v>
      </c>
      <c r="W1541">
        <v>0.19426750000000001</v>
      </c>
      <c r="X1541">
        <v>0.91260759999999996</v>
      </c>
      <c r="Y1541">
        <v>0.59475679999999997</v>
      </c>
      <c r="Z1541">
        <v>6.4023010000000005E-2</v>
      </c>
      <c r="AA1541">
        <v>0.80135219999999996</v>
      </c>
      <c r="AB1541">
        <v>18</v>
      </c>
      <c r="AC1541">
        <v>-15.9705999999999</v>
      </c>
      <c r="AD1541">
        <v>-1.1057843144952999</v>
      </c>
      <c r="AE1541">
        <v>-2.5339000000000098</v>
      </c>
      <c r="AF1541">
        <v>9.7305595490933197</v>
      </c>
      <c r="AG1541">
        <v>-1.1057843144952999</v>
      </c>
      <c r="AH1541">
        <v>12.820626120199901</v>
      </c>
      <c r="AI1541">
        <v>93.930225457799494</v>
      </c>
      <c r="AJ1541">
        <v>52.802340245854602</v>
      </c>
      <c r="AK1541">
        <v>16.133040699216799</v>
      </c>
      <c r="AL1541">
        <v>78.798064042338893</v>
      </c>
      <c r="AM1541">
        <v>68.486582044782693</v>
      </c>
      <c r="AN1541">
        <v>1.0000000183183799</v>
      </c>
    </row>
    <row r="1542" spans="1:40" x14ac:dyDescent="0.25">
      <c r="A1542" t="str">
        <f>"20190312172358607"</f>
        <v>20190312172358607</v>
      </c>
      <c r="B1542" t="str">
        <f>"1552382638601719"</f>
        <v>1552382638601719</v>
      </c>
      <c r="C1542" t="s">
        <v>40</v>
      </c>
      <c r="D1542">
        <v>3.9865620000000002</v>
      </c>
      <c r="E1542">
        <v>0.60416239999999999</v>
      </c>
      <c r="F1542" t="s">
        <v>47</v>
      </c>
      <c r="G1542">
        <v>-213.5095</v>
      </c>
      <c r="H1542" s="1">
        <v>3.3078650000000002E-7</v>
      </c>
      <c r="I1542">
        <v>286.03730000000002</v>
      </c>
      <c r="J1542">
        <v>-198.3433</v>
      </c>
      <c r="K1542">
        <v>1.1057680000000001</v>
      </c>
      <c r="L1542">
        <v>288.30189999999999</v>
      </c>
      <c r="M1542">
        <v>-0.69947199999999998</v>
      </c>
      <c r="N1542">
        <v>0</v>
      </c>
      <c r="O1542">
        <v>-0.71451690000000001</v>
      </c>
      <c r="P1542">
        <v>-0.89573060000000004</v>
      </c>
      <c r="Q1542">
        <v>0.18570980000000001</v>
      </c>
      <c r="R1542">
        <v>-0.40395389999999998</v>
      </c>
      <c r="S1542">
        <v>-3.1829830000000001</v>
      </c>
      <c r="T1542">
        <v>-0.22998550000000001</v>
      </c>
      <c r="U1542">
        <v>-0.4971313</v>
      </c>
      <c r="V1542">
        <v>0.35995929999999998</v>
      </c>
      <c r="W1542">
        <v>0.19429560000000001</v>
      </c>
      <c r="X1542">
        <v>0.9125122</v>
      </c>
      <c r="Y1542">
        <v>0.59515490000000004</v>
      </c>
      <c r="Z1542">
        <v>6.7399290000000001E-2</v>
      </c>
      <c r="AA1542">
        <v>0.80077959999999904</v>
      </c>
      <c r="AB1542">
        <v>18</v>
      </c>
      <c r="AC1542">
        <v>-15.1662</v>
      </c>
      <c r="AD1542">
        <v>-1.1057676692134999</v>
      </c>
      <c r="AE1542">
        <v>-2.26459999999997</v>
      </c>
      <c r="AF1542">
        <v>9.2055599574771598</v>
      </c>
      <c r="AG1542">
        <v>-1.1057676692134999</v>
      </c>
      <c r="AH1542">
        <v>12.164423537912301</v>
      </c>
      <c r="AI1542">
        <v>94.145862967265401</v>
      </c>
      <c r="AJ1542">
        <v>52.882988811147499</v>
      </c>
      <c r="AK1542">
        <v>15.295040250966901</v>
      </c>
      <c r="AL1542">
        <v>78.796422509916994</v>
      </c>
      <c r="AM1542">
        <v>68.472219815852</v>
      </c>
      <c r="AN1542">
        <v>0.99999999649234494</v>
      </c>
    </row>
    <row r="1543" spans="1:40" x14ac:dyDescent="0.25">
      <c r="A1543" t="str">
        <f>"20190312172358630"</f>
        <v>20190312172358630</v>
      </c>
      <c r="B1543" t="str">
        <f>"1552382638621239"</f>
        <v>1552382638621239</v>
      </c>
      <c r="C1543" t="s">
        <v>40</v>
      </c>
      <c r="D1543">
        <v>3.9874369999999999</v>
      </c>
      <c r="E1543">
        <v>0.60360000000000003</v>
      </c>
      <c r="F1543" t="s">
        <v>47</v>
      </c>
      <c r="G1543">
        <v>-213.3202</v>
      </c>
      <c r="H1543" s="1">
        <v>2.3006680000000001E-7</v>
      </c>
      <c r="I1543">
        <v>286.1139</v>
      </c>
      <c r="J1543">
        <v>-198.47800000000001</v>
      </c>
      <c r="K1543">
        <v>1.105756</v>
      </c>
      <c r="L1543">
        <v>288.18180000000001</v>
      </c>
      <c r="M1543">
        <v>-0.70676130000000004</v>
      </c>
      <c r="N1543">
        <v>0</v>
      </c>
      <c r="O1543">
        <v>-0.70730719999999903</v>
      </c>
      <c r="P1543">
        <v>-0.89978250000000004</v>
      </c>
      <c r="Q1543">
        <v>0.18587980000000001</v>
      </c>
      <c r="R1543">
        <v>-0.39476620000000001</v>
      </c>
      <c r="S1543">
        <v>-3.1879879999999998</v>
      </c>
      <c r="T1543">
        <v>-0.23537420000000001</v>
      </c>
      <c r="U1543">
        <v>-0.4657288</v>
      </c>
      <c r="V1543">
        <v>0.35992740000000001</v>
      </c>
      <c r="W1543">
        <v>0.1944584</v>
      </c>
      <c r="X1543">
        <v>0.91249009999999997</v>
      </c>
      <c r="Y1543">
        <v>0.59471039999999997</v>
      </c>
      <c r="Z1543">
        <v>6.8603430000000007E-2</v>
      </c>
      <c r="AA1543">
        <v>0.80100760000000004</v>
      </c>
      <c r="AB1543">
        <v>18</v>
      </c>
      <c r="AC1543">
        <v>-14.8422</v>
      </c>
      <c r="AD1543">
        <v>-1.1057557699331999</v>
      </c>
      <c r="AE1543">
        <v>-2.0678999999999998</v>
      </c>
      <c r="AF1543">
        <v>8.9884702321231007</v>
      </c>
      <c r="AG1543">
        <v>-1.1057557699331999</v>
      </c>
      <c r="AH1543">
        <v>11.889026454875999</v>
      </c>
      <c r="AI1543">
        <v>94.242990312974399</v>
      </c>
      <c r="AJ1543">
        <v>52.909596400896199</v>
      </c>
      <c r="AK1543">
        <v>14.9453753041282</v>
      </c>
      <c r="AL1543">
        <v>78.786913344322301</v>
      </c>
      <c r="AM1543">
        <v>68.473479444838205</v>
      </c>
      <c r="AN1543">
        <v>0.99999999259966499</v>
      </c>
    </row>
    <row r="1544" spans="1:40" x14ac:dyDescent="0.25">
      <c r="A1544" t="str">
        <f>"20190312172358652"</f>
        <v>20190312172358652</v>
      </c>
      <c r="B1544" t="str">
        <f>"1552382638641738"</f>
        <v>1552382638641738</v>
      </c>
      <c r="C1544" t="s">
        <v>40</v>
      </c>
      <c r="D1544">
        <v>3.9905379999999999</v>
      </c>
      <c r="E1544">
        <v>0.6031765</v>
      </c>
      <c r="F1544" t="s">
        <v>47</v>
      </c>
      <c r="G1544">
        <v>-213.2835</v>
      </c>
      <c r="H1544" s="1">
        <v>2.1052189999999999E-7</v>
      </c>
      <c r="I1544">
        <v>286.15589999999997</v>
      </c>
      <c r="J1544">
        <v>-198.61699999999999</v>
      </c>
      <c r="K1544">
        <v>1.105737</v>
      </c>
      <c r="L1544">
        <v>288.06049999999999</v>
      </c>
      <c r="M1544">
        <v>-0.71418249999999905</v>
      </c>
      <c r="N1544">
        <v>0</v>
      </c>
      <c r="O1544">
        <v>-0.69981309999999997</v>
      </c>
      <c r="P1544">
        <v>-0.90370510000000004</v>
      </c>
      <c r="Q1544">
        <v>0.1870271</v>
      </c>
      <c r="R1544">
        <v>-0.38514680000000001</v>
      </c>
      <c r="S1544">
        <v>-3.1917719999999998</v>
      </c>
      <c r="T1544">
        <v>-0.2383796</v>
      </c>
      <c r="U1544">
        <v>-0.43673709999999999</v>
      </c>
      <c r="V1544">
        <v>0.35989359999999998</v>
      </c>
      <c r="W1544">
        <v>0.1955934</v>
      </c>
      <c r="X1544">
        <v>0.91226079999999998</v>
      </c>
      <c r="Y1544">
        <v>0.59345400000000004</v>
      </c>
      <c r="Z1544">
        <v>6.9066080000000002E-2</v>
      </c>
      <c r="AA1544">
        <v>0.80189919999999903</v>
      </c>
      <c r="AB1544">
        <v>18</v>
      </c>
      <c r="AC1544">
        <v>-14.6664999999999</v>
      </c>
      <c r="AD1544">
        <v>-1.1057367894781001</v>
      </c>
      <c r="AE1544">
        <v>-1.9046000000000101</v>
      </c>
      <c r="AF1544">
        <v>8.8549928467174901</v>
      </c>
      <c r="AG1544">
        <v>-1.1057367894781001</v>
      </c>
      <c r="AH1544">
        <v>11.7429923113627</v>
      </c>
      <c r="AI1544">
        <v>94.299530819805597</v>
      </c>
      <c r="AJ1544">
        <v>52.981290746144097</v>
      </c>
      <c r="AK1544">
        <v>14.748946422973599</v>
      </c>
      <c r="AL1544">
        <v>78.720609260372001</v>
      </c>
      <c r="AM1544">
        <v>68.470400773812798</v>
      </c>
      <c r="AN1544">
        <v>0.99999997433057897</v>
      </c>
    </row>
    <row r="1545" spans="1:40" x14ac:dyDescent="0.25">
      <c r="A1545" t="str">
        <f>"20190312172358675"</f>
        <v>20190312172358675</v>
      </c>
      <c r="B1545" t="str">
        <f>"1552382638671015"</f>
        <v>1552382638671015</v>
      </c>
      <c r="C1545" t="s">
        <v>40</v>
      </c>
      <c r="D1545">
        <v>3.9300410000000001</v>
      </c>
      <c r="E1545">
        <v>0.60258409999999996</v>
      </c>
      <c r="F1545" t="s">
        <v>47</v>
      </c>
      <c r="G1545">
        <v>-213.46610000000001</v>
      </c>
      <c r="H1545" s="1">
        <v>3.0770729999999999E-7</v>
      </c>
      <c r="I1545">
        <v>286.17360000000002</v>
      </c>
      <c r="J1545">
        <v>-198.75890000000001</v>
      </c>
      <c r="K1545">
        <v>1.105715</v>
      </c>
      <c r="L1545">
        <v>287.9393</v>
      </c>
      <c r="M1545">
        <v>-0.72166830000000004</v>
      </c>
      <c r="N1545">
        <v>0</v>
      </c>
      <c r="O1545">
        <v>-0.69209080000000001</v>
      </c>
      <c r="P1545">
        <v>-0.9076765</v>
      </c>
      <c r="Q1545">
        <v>0.18766650000000001</v>
      </c>
      <c r="R1545">
        <v>-0.37537290000000001</v>
      </c>
      <c r="S1545">
        <v>-3.195862</v>
      </c>
      <c r="T1545">
        <v>-0.23797860000000001</v>
      </c>
      <c r="U1545">
        <v>-0.4060974</v>
      </c>
      <c r="V1545">
        <v>0.3598518</v>
      </c>
      <c r="W1545">
        <v>0.1962219</v>
      </c>
      <c r="X1545">
        <v>0.91214229999999996</v>
      </c>
      <c r="Y1545">
        <v>0.59253659999999997</v>
      </c>
      <c r="Z1545">
        <v>6.8528790000000006E-2</v>
      </c>
      <c r="AA1545">
        <v>0.80262330000000004</v>
      </c>
      <c r="AB1545">
        <v>18</v>
      </c>
      <c r="AC1545">
        <v>-14.7072</v>
      </c>
      <c r="AD1545">
        <v>-1.1057146922926999</v>
      </c>
      <c r="AE1545">
        <v>-1.7656999999999801</v>
      </c>
      <c r="AF1545">
        <v>8.85603595860713</v>
      </c>
      <c r="AG1545">
        <v>-1.1057146922926999</v>
      </c>
      <c r="AH1545">
        <v>11.7713691535319</v>
      </c>
      <c r="AI1545">
        <v>94.292671804734894</v>
      </c>
      <c r="AJ1545">
        <v>53.044504142383097</v>
      </c>
      <c r="AK1545">
        <v>14.7721734903709</v>
      </c>
      <c r="AL1545">
        <v>78.683887153927799</v>
      </c>
      <c r="AM1545">
        <v>68.470131765114303</v>
      </c>
      <c r="AN1545">
        <v>0.99999996372606903</v>
      </c>
    </row>
    <row r="1546" spans="1:40" x14ac:dyDescent="0.25">
      <c r="A1546" t="str">
        <f>"20190312172358696"</f>
        <v>20190312172358696</v>
      </c>
      <c r="B1546" t="str">
        <f>"1552382638691511"</f>
        <v>1552382638691511</v>
      </c>
      <c r="C1546" t="s">
        <v>40</v>
      </c>
      <c r="D1546">
        <v>3.943044</v>
      </c>
      <c r="E1546">
        <v>0.60212519999999903</v>
      </c>
      <c r="F1546" t="s">
        <v>47</v>
      </c>
      <c r="G1546">
        <v>-213.571</v>
      </c>
      <c r="H1546" s="1">
        <v>3.6351979999999998E-7</v>
      </c>
      <c r="I1546">
        <v>286.19729999999998</v>
      </c>
      <c r="J1546">
        <v>-198.89160000000001</v>
      </c>
      <c r="K1546">
        <v>1.1057090000000001</v>
      </c>
      <c r="L1546">
        <v>287.82859999999999</v>
      </c>
      <c r="M1546">
        <v>-0.72858049999999996</v>
      </c>
      <c r="N1546">
        <v>0</v>
      </c>
      <c r="O1546">
        <v>-0.68480989999999997</v>
      </c>
      <c r="P1546">
        <v>-0.9110395</v>
      </c>
      <c r="Q1546">
        <v>0.18910099999999999</v>
      </c>
      <c r="R1546">
        <v>-0.36639880000000002</v>
      </c>
      <c r="S1546">
        <v>-3.198944</v>
      </c>
      <c r="T1546">
        <v>-0.23879980000000001</v>
      </c>
      <c r="U1546">
        <v>-0.37622070000000002</v>
      </c>
      <c r="V1546">
        <v>0.35951830000000001</v>
      </c>
      <c r="W1546">
        <v>0.1976492</v>
      </c>
      <c r="X1546">
        <v>0.91196569999999999</v>
      </c>
      <c r="Y1546">
        <v>0.59194049999999998</v>
      </c>
      <c r="Z1546">
        <v>6.838466E-2</v>
      </c>
      <c r="AA1546">
        <v>0.80307539999999999</v>
      </c>
      <c r="AB1546">
        <v>18</v>
      </c>
      <c r="AC1546">
        <v>-14.6793999999999</v>
      </c>
      <c r="AD1546">
        <v>-1.1057086364802</v>
      </c>
      <c r="AE1546">
        <v>-1.63130000000001</v>
      </c>
      <c r="AF1546">
        <v>8.8155710022603007</v>
      </c>
      <c r="AG1546">
        <v>-1.1057086364802</v>
      </c>
      <c r="AH1546">
        <v>11.7476317681782</v>
      </c>
      <c r="AI1546">
        <v>94.305251584542503</v>
      </c>
      <c r="AJ1546">
        <v>53.114975275422701</v>
      </c>
      <c r="AK1546">
        <v>14.7290100090057</v>
      </c>
      <c r="AL1546">
        <v>78.600476097803295</v>
      </c>
      <c r="AM1546">
        <v>68.484476314825301</v>
      </c>
      <c r="AN1546">
        <v>1.000000026136</v>
      </c>
    </row>
    <row r="1547" spans="1:40" x14ac:dyDescent="0.25">
      <c r="A1547" t="str">
        <f>"20190312172358720"</f>
        <v>20190312172358720</v>
      </c>
      <c r="B1547" t="str">
        <f>"1552382638712008"</f>
        <v>1552382638712008</v>
      </c>
      <c r="C1547" t="s">
        <v>40</v>
      </c>
      <c r="D1547">
        <v>3.9377450000000001</v>
      </c>
      <c r="E1547">
        <v>0.60154379999999996</v>
      </c>
      <c r="F1547" t="s">
        <v>47</v>
      </c>
      <c r="G1547">
        <v>-213.94229999999999</v>
      </c>
      <c r="H1547" s="1">
        <v>5.6112330000000004E-7</v>
      </c>
      <c r="I1547">
        <v>286.19130000000001</v>
      </c>
      <c r="J1547">
        <v>-199.04519999999999</v>
      </c>
      <c r="K1547">
        <v>1.105691</v>
      </c>
      <c r="L1547">
        <v>287.70310000000001</v>
      </c>
      <c r="M1547">
        <v>-0.73647989999999997</v>
      </c>
      <c r="N1547">
        <v>0</v>
      </c>
      <c r="O1547">
        <v>-0.67630709999999905</v>
      </c>
      <c r="P1547">
        <v>-0.91472059999999999</v>
      </c>
      <c r="Q1547">
        <v>0.19056029999999999</v>
      </c>
      <c r="R1547">
        <v>-0.35633340000000002</v>
      </c>
      <c r="S1547">
        <v>-3.2016749999999998</v>
      </c>
      <c r="T1547">
        <v>-0.2352128</v>
      </c>
      <c r="U1547">
        <v>-0.34829710000000003</v>
      </c>
      <c r="V1547">
        <v>0.35881069999999998</v>
      </c>
      <c r="W1547">
        <v>0.1991059</v>
      </c>
      <c r="X1547">
        <v>0.9119275</v>
      </c>
      <c r="Y1547">
        <v>0.58971240000000003</v>
      </c>
      <c r="Z1547">
        <v>6.6856810000000003E-2</v>
      </c>
      <c r="AA1547">
        <v>0.80484119999999904</v>
      </c>
      <c r="AB1547">
        <v>18</v>
      </c>
      <c r="AC1547">
        <v>-14.897099999999901</v>
      </c>
      <c r="AD1547">
        <v>-1.1056904388766999</v>
      </c>
      <c r="AE1547">
        <v>-1.51179999999999</v>
      </c>
      <c r="AF1547">
        <v>8.9139224655969205</v>
      </c>
      <c r="AG1547">
        <v>-1.1056904388766999</v>
      </c>
      <c r="AH1547">
        <v>11.930040466866799</v>
      </c>
      <c r="AI1547">
        <v>94.246147765851703</v>
      </c>
      <c r="AJ1547">
        <v>53.233542480954902</v>
      </c>
      <c r="AK1547">
        <v>14.9333998342768</v>
      </c>
      <c r="AL1547">
        <v>78.515320874948998</v>
      </c>
      <c r="AM1547">
        <v>68.522145233044895</v>
      </c>
      <c r="AN1547">
        <v>1.00000002155277</v>
      </c>
    </row>
    <row r="1548" spans="1:40" x14ac:dyDescent="0.25">
      <c r="A1548" t="str">
        <f>"20190312172358743"</f>
        <v>20190312172358743</v>
      </c>
      <c r="B1548" t="str">
        <f>"1552382638731527"</f>
        <v>1552382638731527</v>
      </c>
      <c r="C1548" t="s">
        <v>40</v>
      </c>
      <c r="D1548">
        <v>3.9514010000000002</v>
      </c>
      <c r="E1548">
        <v>0.60099729999999996</v>
      </c>
      <c r="F1548" t="s">
        <v>47</v>
      </c>
      <c r="G1548">
        <v>-214.39250000000001</v>
      </c>
      <c r="H1548" s="1">
        <v>8.0068649999999996E-7</v>
      </c>
      <c r="I1548">
        <v>286.1814</v>
      </c>
      <c r="J1548">
        <v>-199.18620000000001</v>
      </c>
      <c r="K1548">
        <v>1.1056699999999999</v>
      </c>
      <c r="L1548">
        <v>287.59089999999998</v>
      </c>
      <c r="M1548">
        <v>-0.74363219999999997</v>
      </c>
      <c r="N1548">
        <v>0</v>
      </c>
      <c r="O1548">
        <v>-0.66843469999999905</v>
      </c>
      <c r="P1548">
        <v>-0.91803380000000001</v>
      </c>
      <c r="Q1548">
        <v>0.19134870000000001</v>
      </c>
      <c r="R1548">
        <v>-0.34727469999999999</v>
      </c>
      <c r="S1548">
        <v>-3.2040250000000001</v>
      </c>
      <c r="T1548">
        <v>-0.2308328</v>
      </c>
      <c r="U1548">
        <v>-0.31768800000000003</v>
      </c>
      <c r="V1548">
        <v>0.35803359999999901</v>
      </c>
      <c r="W1548">
        <v>0.19989609999999999</v>
      </c>
      <c r="X1548">
        <v>0.91205999999999998</v>
      </c>
      <c r="Y1548">
        <v>0.58893619999999902</v>
      </c>
      <c r="Z1548">
        <v>6.5208119999999994E-2</v>
      </c>
      <c r="AA1548">
        <v>0.80554459999999894</v>
      </c>
      <c r="AB1548">
        <v>18</v>
      </c>
      <c r="AC1548">
        <v>-15.206300000000001</v>
      </c>
      <c r="AD1548">
        <v>-1.1056691993134999</v>
      </c>
      <c r="AE1548">
        <v>-1.40949999999998</v>
      </c>
      <c r="AF1548">
        <v>9.0696668442963606</v>
      </c>
      <c r="AG1548">
        <v>-1.1056691993134999</v>
      </c>
      <c r="AH1548">
        <v>12.187431055256701</v>
      </c>
      <c r="AI1548">
        <v>94.162671050422404</v>
      </c>
      <c r="AJ1548">
        <v>53.344040715767001</v>
      </c>
      <c r="AK1548">
        <v>15.232033244825599</v>
      </c>
      <c r="AL1548">
        <v>78.469116414794499</v>
      </c>
      <c r="AM1548">
        <v>68.567268314870304</v>
      </c>
      <c r="AN1548">
        <v>0.99999997656208395</v>
      </c>
    </row>
    <row r="1549" spans="1:40" x14ac:dyDescent="0.25">
      <c r="A1549" t="str">
        <f>"20190312172358765"</f>
        <v>20190312172358765</v>
      </c>
      <c r="B1549" t="str">
        <f>"1552382638761784"</f>
        <v>1552382638761784</v>
      </c>
      <c r="C1549" t="s">
        <v>40</v>
      </c>
      <c r="D1549">
        <v>3.9224450000000002</v>
      </c>
      <c r="E1549">
        <v>0.60011169999999903</v>
      </c>
      <c r="F1549" t="s">
        <v>47</v>
      </c>
      <c r="G1549">
        <v>-214.60409999999999</v>
      </c>
      <c r="H1549" s="1">
        <v>9.1329470000000005E-7</v>
      </c>
      <c r="I1549">
        <v>286.19380000000001</v>
      </c>
      <c r="J1549">
        <v>-199.3314</v>
      </c>
      <c r="K1549">
        <v>1.105653</v>
      </c>
      <c r="L1549">
        <v>287.47800000000001</v>
      </c>
      <c r="M1549">
        <v>-0.75089810000000001</v>
      </c>
      <c r="N1549">
        <v>0</v>
      </c>
      <c r="O1549">
        <v>-0.66026149999999995</v>
      </c>
      <c r="P1549">
        <v>-0.92135449999999997</v>
      </c>
      <c r="Q1549">
        <v>0.19213269999999999</v>
      </c>
      <c r="R1549">
        <v>-0.33792129999999998</v>
      </c>
      <c r="S1549">
        <v>-3.2058870000000002</v>
      </c>
      <c r="T1549">
        <v>-0.22990440000000001</v>
      </c>
      <c r="U1549">
        <v>-0.2904968</v>
      </c>
      <c r="V1549">
        <v>0.35724430000000001</v>
      </c>
      <c r="W1549">
        <v>0.20068279999999999</v>
      </c>
      <c r="X1549">
        <v>0.91219680000000003</v>
      </c>
      <c r="Y1549">
        <v>0.58697189999999999</v>
      </c>
      <c r="Z1549">
        <v>6.4475699999999997E-2</v>
      </c>
      <c r="AA1549">
        <v>0.80703590000000003</v>
      </c>
      <c r="AB1549">
        <v>18</v>
      </c>
      <c r="AC1549">
        <v>-15.272699999999899</v>
      </c>
      <c r="AD1549">
        <v>-1.1056520867052999</v>
      </c>
      <c r="AE1549">
        <v>-1.28419999999999</v>
      </c>
      <c r="AF1549">
        <v>9.0733967108952402</v>
      </c>
      <c r="AG1549">
        <v>-1.1056520867052999</v>
      </c>
      <c r="AH1549">
        <v>12.253653655973601</v>
      </c>
      <c r="AI1549">
        <v>94.147536050620502</v>
      </c>
      <c r="AJ1549">
        <v>53.481362246199602</v>
      </c>
      <c r="AK1549">
        <v>15.287283026446399</v>
      </c>
      <c r="AL1549">
        <v>78.423110308370696</v>
      </c>
      <c r="AM1549">
        <v>68.613162291885004</v>
      </c>
      <c r="AN1549">
        <v>1.00000003901428</v>
      </c>
    </row>
    <row r="1550" spans="1:40" x14ac:dyDescent="0.25">
      <c r="A1550" t="str">
        <f>"20190312172358787"</f>
        <v>20190312172358787</v>
      </c>
      <c r="B1550" t="str">
        <f>"1552382638781303"</f>
        <v>1552382638781303</v>
      </c>
      <c r="C1550" t="s">
        <v>40</v>
      </c>
      <c r="D1550">
        <v>3.9457870000000002</v>
      </c>
      <c r="E1550">
        <v>0.58752819999999994</v>
      </c>
      <c r="F1550" t="s">
        <v>47</v>
      </c>
      <c r="G1550">
        <v>-214.78630000000001</v>
      </c>
      <c r="H1550" s="1">
        <v>1.0102179999999999E-6</v>
      </c>
      <c r="I1550">
        <v>286.20030000000003</v>
      </c>
      <c r="J1550">
        <v>-199.46940000000001</v>
      </c>
      <c r="K1550">
        <v>1.105637</v>
      </c>
      <c r="L1550">
        <v>287.37310000000002</v>
      </c>
      <c r="M1550">
        <v>-0.75770360000000003</v>
      </c>
      <c r="N1550">
        <v>0</v>
      </c>
      <c r="O1550">
        <v>-0.65244040000000003</v>
      </c>
      <c r="P1550">
        <v>-0.92456079999999996</v>
      </c>
      <c r="Q1550">
        <v>0.19255439999999999</v>
      </c>
      <c r="R1550">
        <v>-0.32880130000000002</v>
      </c>
      <c r="S1550">
        <v>-3.2066650000000001</v>
      </c>
      <c r="T1550">
        <v>-0.22940730000000001</v>
      </c>
      <c r="U1550">
        <v>-0.26510620000000001</v>
      </c>
      <c r="V1550">
        <v>0.3567534</v>
      </c>
      <c r="W1550">
        <v>0.2011078</v>
      </c>
      <c r="X1550">
        <v>0.91229530000000003</v>
      </c>
      <c r="Y1550">
        <v>0.58498139999999998</v>
      </c>
      <c r="Z1550">
        <v>6.3892710000000005E-2</v>
      </c>
      <c r="AA1550">
        <v>0.80852609999999903</v>
      </c>
      <c r="AB1550">
        <v>18</v>
      </c>
      <c r="AC1550">
        <v>-15.3169</v>
      </c>
      <c r="AD1550">
        <v>-1.1056359897820001</v>
      </c>
      <c r="AE1550">
        <v>-1.1727999999999901</v>
      </c>
      <c r="AF1550">
        <v>9.0587452398091894</v>
      </c>
      <c r="AG1550">
        <v>-1.1056359897820001</v>
      </c>
      <c r="AH1550">
        <v>12.308372153597199</v>
      </c>
      <c r="AI1550">
        <v>94.137923666096199</v>
      </c>
      <c r="AJ1550">
        <v>53.647585916413703</v>
      </c>
      <c r="AK1550">
        <v>15.322510281710199</v>
      </c>
      <c r="AL1550">
        <v>78.398252661725493</v>
      </c>
      <c r="AM1550">
        <v>68.6419991759591</v>
      </c>
      <c r="AN1550">
        <v>1.0000000250172401</v>
      </c>
    </row>
    <row r="1551" spans="1:40" x14ac:dyDescent="0.25">
      <c r="A1551" t="str">
        <f>"20190312172358808"</f>
        <v>20190312172358808</v>
      </c>
      <c r="B1551" t="str">
        <f>"1552382638801801"</f>
        <v>1552382638801801</v>
      </c>
      <c r="C1551" t="s">
        <v>40</v>
      </c>
      <c r="D1551">
        <v>4.0249540000000001</v>
      </c>
      <c r="E1551">
        <v>0.58664110000000003</v>
      </c>
      <c r="F1551" t="s">
        <v>47</v>
      </c>
      <c r="G1551">
        <v>-211.5728</v>
      </c>
      <c r="H1551" s="1">
        <v>-6.9979679999999999E-7</v>
      </c>
      <c r="I1551">
        <v>286.12259999999998</v>
      </c>
      <c r="J1551">
        <v>-199.6086</v>
      </c>
      <c r="K1551">
        <v>1.1056330000000001</v>
      </c>
      <c r="L1551">
        <v>287.26960000000003</v>
      </c>
      <c r="M1551">
        <v>-0.76446700000000001</v>
      </c>
      <c r="N1551">
        <v>0</v>
      </c>
      <c r="O1551">
        <v>-0.64450200000000002</v>
      </c>
      <c r="P1551">
        <v>-0.92775859999999999</v>
      </c>
      <c r="Q1551">
        <v>0.19296579999999999</v>
      </c>
      <c r="R1551">
        <v>-0.31941829999999999</v>
      </c>
      <c r="S1551">
        <v>-3.1882929999999998</v>
      </c>
      <c r="T1551">
        <v>-0.29124749999999999</v>
      </c>
      <c r="U1551">
        <v>-0.3294067</v>
      </c>
      <c r="V1551">
        <v>0.35643350000000001</v>
      </c>
      <c r="W1551">
        <v>0.20152400000000001</v>
      </c>
      <c r="X1551">
        <v>0.91232849999999999</v>
      </c>
      <c r="Y1551">
        <v>0.55806160000000005</v>
      </c>
      <c r="Z1551">
        <v>7.9587909999999998E-2</v>
      </c>
      <c r="AA1551">
        <v>0.82597389999999904</v>
      </c>
      <c r="AB1551">
        <v>18</v>
      </c>
      <c r="AC1551">
        <v>-11.9642</v>
      </c>
      <c r="AD1551">
        <v>-1.1056336997967999</v>
      </c>
      <c r="AE1551">
        <v>-1.14700000000004</v>
      </c>
      <c r="AF1551">
        <v>6.7774638437886203</v>
      </c>
      <c r="AG1551">
        <v>-1.1056336997967999</v>
      </c>
      <c r="AH1551">
        <v>9.8035457559075301</v>
      </c>
      <c r="AI1551">
        <v>95.300074262460797</v>
      </c>
      <c r="AJ1551">
        <v>55.342816522012001</v>
      </c>
      <c r="AK1551">
        <v>11.969375565172999</v>
      </c>
      <c r="AL1551">
        <v>78.373907755357394</v>
      </c>
      <c r="AM1551">
        <v>68.660134163445804</v>
      </c>
      <c r="AN1551">
        <v>1.0000000272052401</v>
      </c>
    </row>
    <row r="1552" spans="1:40" x14ac:dyDescent="0.25">
      <c r="A1552" t="str">
        <f>"20190312172358832"</f>
        <v>20190312172358832</v>
      </c>
      <c r="B1552" t="str">
        <f>"1552382638821319"</f>
        <v>1552382638821319</v>
      </c>
      <c r="C1552" t="s">
        <v>40</v>
      </c>
      <c r="D1552">
        <v>3.925681</v>
      </c>
      <c r="E1552">
        <v>0.58630969999999905</v>
      </c>
      <c r="F1552" t="s">
        <v>47</v>
      </c>
      <c r="G1552">
        <v>-211.66669999999999</v>
      </c>
      <c r="H1552" s="1">
        <v>-6.4987680000000003E-7</v>
      </c>
      <c r="I1552">
        <v>286.12</v>
      </c>
      <c r="J1552">
        <v>-199.76259999999999</v>
      </c>
      <c r="K1552">
        <v>1.105631</v>
      </c>
      <c r="L1552">
        <v>287.15780000000001</v>
      </c>
      <c r="M1552">
        <v>-0.77183020000000002</v>
      </c>
      <c r="N1552">
        <v>0</v>
      </c>
      <c r="O1552">
        <v>-0.635665699999999</v>
      </c>
      <c r="P1552">
        <v>-0.93101129999999999</v>
      </c>
      <c r="Q1552">
        <v>0.19325110000000001</v>
      </c>
      <c r="R1552">
        <v>-0.30963239999999997</v>
      </c>
      <c r="S1552">
        <v>-3.189743</v>
      </c>
      <c r="T1552">
        <v>-0.2924755</v>
      </c>
      <c r="U1552">
        <v>-0.30410769999999998</v>
      </c>
      <c r="V1552">
        <v>0.35550920000000003</v>
      </c>
      <c r="W1552">
        <v>0.20183039999999999</v>
      </c>
      <c r="X1552">
        <v>0.91262129999999997</v>
      </c>
      <c r="Y1552">
        <v>0.55506269999999902</v>
      </c>
      <c r="Z1552">
        <v>7.9210879999999997E-2</v>
      </c>
      <c r="AA1552">
        <v>0.8280284</v>
      </c>
      <c r="AB1552">
        <v>18</v>
      </c>
      <c r="AC1552">
        <v>-11.9041</v>
      </c>
      <c r="AD1552">
        <v>-1.1056316498768</v>
      </c>
      <c r="AE1552">
        <v>-1.0378000000000001</v>
      </c>
      <c r="AF1552">
        <v>6.7092837906497502</v>
      </c>
      <c r="AG1552">
        <v>-1.1056316498768</v>
      </c>
      <c r="AH1552">
        <v>9.7650568820443109</v>
      </c>
      <c r="AI1552">
        <v>95.331368655807594</v>
      </c>
      <c r="AJ1552">
        <v>55.508185582958802</v>
      </c>
      <c r="AK1552">
        <v>11.8992960396086</v>
      </c>
      <c r="AL1552">
        <v>78.355983350941202</v>
      </c>
      <c r="AM1552">
        <v>68.716731329702</v>
      </c>
      <c r="AN1552">
        <v>0.99999996943124403</v>
      </c>
    </row>
    <row r="1553" spans="1:40" x14ac:dyDescent="0.25">
      <c r="A1553" t="str">
        <f>"20190312172358853"</f>
        <v>20190312172358853</v>
      </c>
      <c r="B1553" t="str">
        <f>"1552382638841815"</f>
        <v>1552382638841815</v>
      </c>
      <c r="C1553" t="s">
        <v>40</v>
      </c>
      <c r="D1553">
        <v>3.9575</v>
      </c>
      <c r="E1553">
        <v>0.58567290000000005</v>
      </c>
      <c r="F1553" t="s">
        <v>47</v>
      </c>
      <c r="G1553">
        <v>-212.38460000000001</v>
      </c>
      <c r="H1553" s="1">
        <v>-2.6784089999999998E-7</v>
      </c>
      <c r="I1553">
        <v>286.0797</v>
      </c>
      <c r="J1553">
        <v>-199.90389999999999</v>
      </c>
      <c r="K1553">
        <v>1.1056330000000001</v>
      </c>
      <c r="L1553">
        <v>287.05770000000001</v>
      </c>
      <c r="M1553">
        <v>-0.77847310000000003</v>
      </c>
      <c r="N1553">
        <v>0</v>
      </c>
      <c r="O1553">
        <v>-0.62751259999999998</v>
      </c>
      <c r="P1553">
        <v>-0.93385260000000003</v>
      </c>
      <c r="Q1553">
        <v>0.19297159999999999</v>
      </c>
      <c r="R1553">
        <v>-0.30113390000000001</v>
      </c>
      <c r="S1553">
        <v>-3.1896819999999999</v>
      </c>
      <c r="T1553">
        <v>-0.27940340000000002</v>
      </c>
      <c r="U1553">
        <v>-0.27246090000000001</v>
      </c>
      <c r="V1553">
        <v>0.35425669999999998</v>
      </c>
      <c r="W1553">
        <v>0.20158139999999999</v>
      </c>
      <c r="X1553">
        <v>0.91316319999999995</v>
      </c>
      <c r="Y1553">
        <v>0.55489829999999996</v>
      </c>
      <c r="Z1553">
        <v>7.5212570000000006E-2</v>
      </c>
      <c r="AA1553">
        <v>0.82851140000000001</v>
      </c>
      <c r="AB1553">
        <v>18</v>
      </c>
      <c r="AC1553">
        <v>-12.480700000000001</v>
      </c>
      <c r="AD1553">
        <v>-1.1056332678409</v>
      </c>
      <c r="AE1553">
        <v>-0.97800000000000797</v>
      </c>
      <c r="AF1553">
        <v>7.0164564950073096</v>
      </c>
      <c r="AG1553">
        <v>-1.1056332678409</v>
      </c>
      <c r="AH1553">
        <v>10.2507148263388</v>
      </c>
      <c r="AI1553">
        <v>95.086240130992707</v>
      </c>
      <c r="AJ1553">
        <v>55.608960426126202</v>
      </c>
      <c r="AK1553">
        <v>12.471176412841301</v>
      </c>
      <c r="AL1553">
        <v>78.370549160711604</v>
      </c>
      <c r="AM1553">
        <v>68.796507545297004</v>
      </c>
      <c r="AN1553">
        <v>0.99999995007754305</v>
      </c>
    </row>
    <row r="1554" spans="1:40" x14ac:dyDescent="0.25">
      <c r="A1554" t="str">
        <f>"20190312172358875"</f>
        <v>20190312172358875</v>
      </c>
      <c r="B1554" t="str">
        <f>"1552382638871095"</f>
        <v>1552382638871095</v>
      </c>
      <c r="C1554" t="s">
        <v>40</v>
      </c>
      <c r="D1554">
        <v>3.9738419999999999</v>
      </c>
      <c r="E1554">
        <v>0.58391400000000004</v>
      </c>
      <c r="F1554" t="s">
        <v>47</v>
      </c>
      <c r="G1554">
        <v>-212.6609</v>
      </c>
      <c r="H1554" s="1">
        <v>-1.208094E-7</v>
      </c>
      <c r="I1554">
        <v>286.06420000000003</v>
      </c>
      <c r="J1554">
        <v>-200.04730000000001</v>
      </c>
      <c r="K1554">
        <v>1.1056319999999999</v>
      </c>
      <c r="L1554">
        <v>286.95830000000001</v>
      </c>
      <c r="M1554">
        <v>-0.7851011</v>
      </c>
      <c r="N1554">
        <v>0</v>
      </c>
      <c r="O1554">
        <v>-0.61920010000000003</v>
      </c>
      <c r="P1554">
        <v>-0.93667020000000001</v>
      </c>
      <c r="Q1554">
        <v>0.1928087</v>
      </c>
      <c r="R1554">
        <v>-0.29235909999999998</v>
      </c>
      <c r="S1554">
        <v>-3.1895449999999999</v>
      </c>
      <c r="T1554">
        <v>-0.27643479999999998</v>
      </c>
      <c r="U1554">
        <v>-0.24838260000000001</v>
      </c>
      <c r="V1554">
        <v>0.35312860000000001</v>
      </c>
      <c r="W1554">
        <v>0.20144690000000001</v>
      </c>
      <c r="X1554">
        <v>0.91362980000000005</v>
      </c>
      <c r="Y1554">
        <v>0.55239719999999903</v>
      </c>
      <c r="Z1554">
        <v>7.3811379999999996E-2</v>
      </c>
      <c r="AA1554">
        <v>0.83030669999999995</v>
      </c>
      <c r="AB1554">
        <v>18</v>
      </c>
      <c r="AC1554">
        <v>-12.6135999999999</v>
      </c>
      <c r="AD1554">
        <v>-1.1056321208094</v>
      </c>
      <c r="AE1554">
        <v>-0.89409999999998002</v>
      </c>
      <c r="AF1554">
        <v>7.0551855611157404</v>
      </c>
      <c r="AG1554">
        <v>-1.1056321208094</v>
      </c>
      <c r="AH1554">
        <v>10.3783228020006</v>
      </c>
      <c r="AI1554">
        <v>95.034930099386102</v>
      </c>
      <c r="AJ1554">
        <v>55.792127956775801</v>
      </c>
      <c r="AK1554">
        <v>12.597922442643799</v>
      </c>
      <c r="AL1554">
        <v>78.378417863236194</v>
      </c>
      <c r="AM1554">
        <v>68.867900082638002</v>
      </c>
      <c r="AN1554">
        <v>1.0000000365527999</v>
      </c>
    </row>
    <row r="1555" spans="1:40" x14ac:dyDescent="0.25">
      <c r="A1555" t="str">
        <f>"20190312172358897"</f>
        <v>20190312172358897</v>
      </c>
      <c r="B1555" t="str">
        <f>"1552382638891591"</f>
        <v>1552382638891591</v>
      </c>
      <c r="C1555" t="s">
        <v>40</v>
      </c>
      <c r="D1555">
        <v>3.9625189999999999</v>
      </c>
      <c r="E1555">
        <v>0.58259249999999996</v>
      </c>
      <c r="F1555" t="s">
        <v>47</v>
      </c>
      <c r="G1555">
        <v>-212.24709999999999</v>
      </c>
      <c r="H1555" s="1">
        <v>-3.4097049999999998E-7</v>
      </c>
      <c r="I1555">
        <v>286.07220000000001</v>
      </c>
      <c r="J1555">
        <v>-200.1969</v>
      </c>
      <c r="K1555">
        <v>1.105637</v>
      </c>
      <c r="L1555">
        <v>286.8571</v>
      </c>
      <c r="M1555">
        <v>-0.79189609999999899</v>
      </c>
      <c r="N1555">
        <v>0</v>
      </c>
      <c r="O1555">
        <v>-0.61048570000000002</v>
      </c>
      <c r="P1555">
        <v>-0.9395038</v>
      </c>
      <c r="Q1555">
        <v>0.19249459999999999</v>
      </c>
      <c r="R1555">
        <v>-0.2833348</v>
      </c>
      <c r="S1555">
        <v>-3.1900179999999998</v>
      </c>
      <c r="T1555">
        <v>-0.289101</v>
      </c>
      <c r="U1555">
        <v>-0.23168949999999999</v>
      </c>
      <c r="V1555">
        <v>0.35185040000000001</v>
      </c>
      <c r="W1555">
        <v>0.2011648</v>
      </c>
      <c r="X1555">
        <v>0.91418489999999997</v>
      </c>
      <c r="Y1555">
        <v>0.54719530000000005</v>
      </c>
      <c r="Z1555">
        <v>7.6355679999999995E-2</v>
      </c>
      <c r="AA1555">
        <v>0.83351489999999995</v>
      </c>
      <c r="AB1555">
        <v>18</v>
      </c>
      <c r="AC1555">
        <v>-12.050199999999901</v>
      </c>
      <c r="AD1555">
        <v>-1.1056373409705</v>
      </c>
      <c r="AE1555">
        <v>-0.78489999999999305</v>
      </c>
      <c r="AF1555">
        <v>6.6796202276701599</v>
      </c>
      <c r="AG1555">
        <v>-1.1056373409705</v>
      </c>
      <c r="AH1555">
        <v>9.9393961913615492</v>
      </c>
      <c r="AI1555">
        <v>95.274943176812599</v>
      </c>
      <c r="AJ1555">
        <v>56.097525292030497</v>
      </c>
      <c r="AK1555">
        <v>12.0262777684743</v>
      </c>
      <c r="AL1555">
        <v>78.394918443380007</v>
      </c>
      <c r="AM1555">
        <v>68.949341772851696</v>
      </c>
      <c r="AN1555">
        <v>1.0000000060636001</v>
      </c>
    </row>
    <row r="1556" spans="1:40" x14ac:dyDescent="0.25">
      <c r="A1556" t="str">
        <f>"20190312172358922"</f>
        <v>20190312172358922</v>
      </c>
      <c r="B1556" t="str">
        <f>"1552382638911113"</f>
        <v>1552382638911113</v>
      </c>
      <c r="C1556" t="s">
        <v>40</v>
      </c>
      <c r="D1556">
        <v>3.9949319999999999</v>
      </c>
      <c r="E1556">
        <v>0.58148029999999995</v>
      </c>
      <c r="F1556" t="s">
        <v>47</v>
      </c>
      <c r="G1556">
        <v>-212.4034</v>
      </c>
      <c r="H1556" s="1">
        <v>-2.5781149999999999E-7</v>
      </c>
      <c r="I1556">
        <v>286.04750000000001</v>
      </c>
      <c r="J1556">
        <v>-200.36109999999999</v>
      </c>
      <c r="K1556">
        <v>1.1056440000000001</v>
      </c>
      <c r="L1556">
        <v>286.74869999999999</v>
      </c>
      <c r="M1556">
        <v>-0.79920669999999905</v>
      </c>
      <c r="N1556">
        <v>0</v>
      </c>
      <c r="O1556">
        <v>-0.60088319999999995</v>
      </c>
      <c r="P1556">
        <v>-0.94239110000000004</v>
      </c>
      <c r="Q1556">
        <v>0.1923291</v>
      </c>
      <c r="R1556">
        <v>-0.2736943</v>
      </c>
      <c r="S1556">
        <v>-3.1885680000000001</v>
      </c>
      <c r="T1556">
        <v>-0.28881390000000001</v>
      </c>
      <c r="U1556">
        <v>-0.21145630000000001</v>
      </c>
      <c r="V1556">
        <v>0.35019299999999998</v>
      </c>
      <c r="W1556">
        <v>0.2010382</v>
      </c>
      <c r="X1556">
        <v>0.91484889999999996</v>
      </c>
      <c r="Y1556">
        <v>0.54239680000000001</v>
      </c>
      <c r="Z1556">
        <v>7.5454729999999998E-2</v>
      </c>
      <c r="AA1556">
        <v>0.83672709999999995</v>
      </c>
      <c r="AB1556">
        <v>18</v>
      </c>
      <c r="AC1556">
        <v>-12.042299999999999</v>
      </c>
      <c r="AD1556">
        <v>-1.1056442578115</v>
      </c>
      <c r="AE1556">
        <v>-0.70119999999997096</v>
      </c>
      <c r="AF1556">
        <v>6.6206847181149104</v>
      </c>
      <c r="AG1556">
        <v>-1.1056442578115</v>
      </c>
      <c r="AH1556">
        <v>9.96297017832973</v>
      </c>
      <c r="AI1556">
        <v>95.280740215825801</v>
      </c>
      <c r="AJ1556">
        <v>56.394801088069002</v>
      </c>
      <c r="AK1556">
        <v>12.013188175326199</v>
      </c>
      <c r="AL1556">
        <v>78.402323326358797</v>
      </c>
      <c r="AM1556">
        <v>69.053763622645803</v>
      </c>
      <c r="AN1556">
        <v>1.00000000246972</v>
      </c>
    </row>
    <row r="1557" spans="1:40" x14ac:dyDescent="0.25">
      <c r="A1557" t="str">
        <f>"20190312172358944"</f>
        <v>20190312172358944</v>
      </c>
      <c r="B1557" t="str">
        <f>"1552382638931607"</f>
        <v>1552382638931607</v>
      </c>
      <c r="C1557" t="s">
        <v>40</v>
      </c>
      <c r="D1557">
        <v>3.9706790000000001</v>
      </c>
      <c r="E1557">
        <v>0.58029149999999996</v>
      </c>
      <c r="F1557" t="s">
        <v>47</v>
      </c>
      <c r="G1557">
        <v>-212.52330000000001</v>
      </c>
      <c r="H1557" s="1">
        <v>-1.9399330000000001E-7</v>
      </c>
      <c r="I1557">
        <v>286.03359999999998</v>
      </c>
      <c r="J1557">
        <v>-200.51259999999999</v>
      </c>
      <c r="K1557">
        <v>1.1056490000000001</v>
      </c>
      <c r="L1557">
        <v>286.6515</v>
      </c>
      <c r="M1557">
        <v>-0.80581169999999902</v>
      </c>
      <c r="N1557">
        <v>0</v>
      </c>
      <c r="O1557">
        <v>-0.59199609999999903</v>
      </c>
      <c r="P1557">
        <v>-0.94497350000000002</v>
      </c>
      <c r="Q1557">
        <v>0.19279550000000001</v>
      </c>
      <c r="R1557">
        <v>-0.26430100000000001</v>
      </c>
      <c r="S1557">
        <v>-3.1880799999999998</v>
      </c>
      <c r="T1557">
        <v>-0.28982249999999998</v>
      </c>
      <c r="U1557">
        <v>-0.18743899999999999</v>
      </c>
      <c r="V1557">
        <v>0.349111</v>
      </c>
      <c r="W1557">
        <v>0.2015315</v>
      </c>
      <c r="X1557">
        <v>0.91515389999999996</v>
      </c>
      <c r="Y1557">
        <v>0.53938869999999906</v>
      </c>
      <c r="Z1557">
        <v>7.4994870000000005E-2</v>
      </c>
      <c r="AA1557">
        <v>0.83871070000000003</v>
      </c>
      <c r="AB1557">
        <v>17</v>
      </c>
      <c r="AC1557">
        <v>-12.0107</v>
      </c>
      <c r="AD1557">
        <v>-1.1056491939933</v>
      </c>
      <c r="AE1557">
        <v>-0.61790000000001999</v>
      </c>
      <c r="AF1557">
        <v>6.5576407179287699</v>
      </c>
      <c r="AG1557">
        <v>-1.1056491939933</v>
      </c>
      <c r="AH1557">
        <v>9.9610136644465097</v>
      </c>
      <c r="AI1557">
        <v>95.296795147523497</v>
      </c>
      <c r="AJ1557">
        <v>56.641864389192897</v>
      </c>
      <c r="AK1557">
        <v>11.976932209414199</v>
      </c>
      <c r="AL1557">
        <v>78.373469283810195</v>
      </c>
      <c r="AM1557">
        <v>69.119251799996206</v>
      </c>
      <c r="AN1557">
        <v>1.00000004824922</v>
      </c>
    </row>
    <row r="1558" spans="1:40" x14ac:dyDescent="0.25">
      <c r="A1558" t="str">
        <f>"20190312172358966"</f>
        <v>20190312172358966</v>
      </c>
      <c r="B1558" t="str">
        <f>"1552382638961863"</f>
        <v>1552382638961863</v>
      </c>
      <c r="C1558" t="s">
        <v>40</v>
      </c>
      <c r="D1558">
        <v>3.955025</v>
      </c>
      <c r="E1558">
        <v>0.57862619999999998</v>
      </c>
      <c r="F1558" t="s">
        <v>47</v>
      </c>
      <c r="G1558">
        <v>-212.58699999999999</v>
      </c>
      <c r="H1558" s="1">
        <v>-1.601258E-7</v>
      </c>
      <c r="I1558">
        <v>286.02480000000003</v>
      </c>
      <c r="J1558">
        <v>-200.66679999999999</v>
      </c>
      <c r="K1558">
        <v>1.1056589999999999</v>
      </c>
      <c r="L1558">
        <v>286.55489999999998</v>
      </c>
      <c r="M1558">
        <v>-0.81240859999999904</v>
      </c>
      <c r="N1558">
        <v>0</v>
      </c>
      <c r="O1558">
        <v>-0.58291009999999999</v>
      </c>
      <c r="P1558">
        <v>-0.94755789999999995</v>
      </c>
      <c r="Q1558">
        <v>0.1932306</v>
      </c>
      <c r="R1558">
        <v>-0.25455129999999998</v>
      </c>
      <c r="S1558">
        <v>-3.1879580000000001</v>
      </c>
      <c r="T1558">
        <v>-0.29191980000000001</v>
      </c>
      <c r="U1558">
        <v>-0.16546629999999901</v>
      </c>
      <c r="V1558">
        <v>0.34820899999999999</v>
      </c>
      <c r="W1558">
        <v>0.20199239999999999</v>
      </c>
      <c r="X1558">
        <v>0.91539590000000004</v>
      </c>
      <c r="Y1558">
        <v>0.53569140000000004</v>
      </c>
      <c r="Z1558">
        <v>7.4738589999999994E-2</v>
      </c>
      <c r="AA1558">
        <v>0.84109979999999995</v>
      </c>
      <c r="AB1558">
        <v>17</v>
      </c>
      <c r="AC1558">
        <v>-11.920199999999999</v>
      </c>
      <c r="AD1558">
        <v>-1.1056591601257999</v>
      </c>
      <c r="AE1558">
        <v>-0.53009999999994695</v>
      </c>
      <c r="AF1558">
        <v>6.4629312752785903</v>
      </c>
      <c r="AG1558">
        <v>-1.1056591601257999</v>
      </c>
      <c r="AH1558">
        <v>9.9090293645612597</v>
      </c>
      <c r="AI1558">
        <v>95.339305851441395</v>
      </c>
      <c r="AJ1558">
        <v>56.886545265061699</v>
      </c>
      <c r="AK1558">
        <v>11.881953786944299</v>
      </c>
      <c r="AL1558">
        <v>78.346507141178805</v>
      </c>
      <c r="AM1558">
        <v>69.173600741693306</v>
      </c>
      <c r="AN1558">
        <v>1.00000004553778</v>
      </c>
    </row>
    <row r="1559" spans="1:40" x14ac:dyDescent="0.25">
      <c r="A1559" t="str">
        <f>"20190312172358989"</f>
        <v>20190312172358989</v>
      </c>
      <c r="B1559" t="str">
        <f>"1552382638982360"</f>
        <v>1552382638982360</v>
      </c>
      <c r="C1559" t="s">
        <v>40</v>
      </c>
      <c r="D1559">
        <v>3.9634</v>
      </c>
      <c r="E1559">
        <v>0.57773759999999996</v>
      </c>
      <c r="F1559" t="s">
        <v>47</v>
      </c>
      <c r="G1559">
        <v>-212.7364</v>
      </c>
      <c r="H1559" s="1">
        <v>-8.0599189999999994E-8</v>
      </c>
      <c r="I1559">
        <v>286.00279999999998</v>
      </c>
      <c r="J1559">
        <v>-200.81460000000001</v>
      </c>
      <c r="K1559">
        <v>1.1056729999999999</v>
      </c>
      <c r="L1559">
        <v>286.46469999999999</v>
      </c>
      <c r="M1559">
        <v>-0.81859989999999905</v>
      </c>
      <c r="N1559">
        <v>0</v>
      </c>
      <c r="O1559">
        <v>-0.57418279999999999</v>
      </c>
      <c r="P1559">
        <v>-0.94981059999999995</v>
      </c>
      <c r="Q1559">
        <v>0.19406200000000001</v>
      </c>
      <c r="R1559">
        <v>-0.24535650000000001</v>
      </c>
      <c r="S1559">
        <v>-3.1863860000000002</v>
      </c>
      <c r="T1559">
        <v>-0.29189540000000003</v>
      </c>
      <c r="U1559">
        <v>-0.14575199999999999</v>
      </c>
      <c r="V1559">
        <v>0.3471881</v>
      </c>
      <c r="W1559">
        <v>0.20285210000000001</v>
      </c>
      <c r="X1559">
        <v>0.91559349999999995</v>
      </c>
      <c r="Y1559">
        <v>0.53188100000000005</v>
      </c>
      <c r="Z1559">
        <v>7.3976899999999901E-2</v>
      </c>
      <c r="AA1559">
        <v>0.84358169999999899</v>
      </c>
      <c r="AB1559">
        <v>17</v>
      </c>
      <c r="AC1559">
        <v>-11.9217999999999</v>
      </c>
      <c r="AD1559">
        <v>-1.1056730805991899</v>
      </c>
      <c r="AE1559">
        <v>-0.46190000000001402</v>
      </c>
      <c r="AF1559">
        <v>6.4127786418114097</v>
      </c>
      <c r="AG1559">
        <v>-1.1056730805991899</v>
      </c>
      <c r="AH1559">
        <v>9.9400730823490999</v>
      </c>
      <c r="AI1559">
        <v>95.339933384027006</v>
      </c>
      <c r="AJ1559">
        <v>57.172157177342001</v>
      </c>
      <c r="AK1559">
        <v>11.880711079412499</v>
      </c>
      <c r="AL1559">
        <v>78.296208208607098</v>
      </c>
      <c r="AM1559">
        <v>69.233543700631103</v>
      </c>
      <c r="AN1559">
        <v>1.0000000042491299</v>
      </c>
    </row>
    <row r="1560" spans="1:40" x14ac:dyDescent="0.25">
      <c r="A1560" t="str">
        <f>"20190312172359009"</f>
        <v>20190312172359009</v>
      </c>
      <c r="B1560" t="str">
        <f>"1552382639001880"</f>
        <v>1552382639001880</v>
      </c>
      <c r="C1560" t="s">
        <v>40</v>
      </c>
      <c r="D1560">
        <v>3.9385599999999998</v>
      </c>
      <c r="E1560">
        <v>0.57687709999999903</v>
      </c>
      <c r="F1560" t="s">
        <v>47</v>
      </c>
      <c r="G1560">
        <v>-212.75280000000001</v>
      </c>
      <c r="H1560" s="1">
        <v>-7.1886490000000003E-8</v>
      </c>
      <c r="I1560">
        <v>286.00700000000001</v>
      </c>
      <c r="J1560">
        <v>-200.96090000000001</v>
      </c>
      <c r="K1560">
        <v>1.1056889999999999</v>
      </c>
      <c r="L1560">
        <v>286.37740000000002</v>
      </c>
      <c r="M1560">
        <v>-0.82461489999999904</v>
      </c>
      <c r="N1560">
        <v>0</v>
      </c>
      <c r="O1560">
        <v>-0.56551019999999996</v>
      </c>
      <c r="P1560">
        <v>-0.95221999999999996</v>
      </c>
      <c r="Q1560">
        <v>0.19430749999999999</v>
      </c>
      <c r="R1560">
        <v>-0.2356297</v>
      </c>
      <c r="S1560">
        <v>-3.1872560000000001</v>
      </c>
      <c r="T1560">
        <v>-0.29519139999999999</v>
      </c>
      <c r="U1560">
        <v>-0.12219240000000001</v>
      </c>
      <c r="V1560">
        <v>0.34685480000000002</v>
      </c>
      <c r="W1560">
        <v>0.20311499999999999</v>
      </c>
      <c r="X1560">
        <v>0.91566159999999996</v>
      </c>
      <c r="Y1560">
        <v>0.52913929999999998</v>
      </c>
      <c r="Z1560">
        <v>7.4038399999999893E-2</v>
      </c>
      <c r="AA1560">
        <v>0.84529869999999996</v>
      </c>
      <c r="AB1560">
        <v>17</v>
      </c>
      <c r="AC1560">
        <v>-11.791899999999901</v>
      </c>
      <c r="AD1560">
        <v>-1.10568907188649</v>
      </c>
      <c r="AE1560">
        <v>-0.37040000000001699</v>
      </c>
      <c r="AF1560">
        <v>6.3082568524385998</v>
      </c>
      <c r="AG1560">
        <v>-1.10568907188649</v>
      </c>
      <c r="AH1560">
        <v>9.8477785501338904</v>
      </c>
      <c r="AI1560">
        <v>95.400907088353705</v>
      </c>
      <c r="AJ1560">
        <v>57.357324649730302</v>
      </c>
      <c r="AK1560">
        <v>11.747144130064299</v>
      </c>
      <c r="AL1560">
        <v>78.280825570644495</v>
      </c>
      <c r="AM1560">
        <v>69.253192759356097</v>
      </c>
      <c r="AN1560">
        <v>1.00000006061129</v>
      </c>
    </row>
    <row r="1561" spans="1:40" x14ac:dyDescent="0.25">
      <c r="A1561" t="str">
        <f>"20190312172359032"</f>
        <v>20190312172359032</v>
      </c>
      <c r="B1561" t="str">
        <f>"1552382639021399"</f>
        <v>1552382639021399</v>
      </c>
      <c r="C1561" t="s">
        <v>40</v>
      </c>
      <c r="D1561">
        <v>3.9368859999999999</v>
      </c>
      <c r="E1561">
        <v>0.57610810000000001</v>
      </c>
      <c r="F1561" t="s">
        <v>47</v>
      </c>
      <c r="G1561">
        <v>-213.01820000000001</v>
      </c>
      <c r="H1561" s="1">
        <v>6.9344880000000005E-8</v>
      </c>
      <c r="I1561">
        <v>286.01249999999999</v>
      </c>
      <c r="J1561">
        <v>-201.11269999999999</v>
      </c>
      <c r="K1561">
        <v>1.1057060000000001</v>
      </c>
      <c r="L1561">
        <v>286.28910000000002</v>
      </c>
      <c r="M1561">
        <v>-0.830727199999999</v>
      </c>
      <c r="N1561">
        <v>0</v>
      </c>
      <c r="O1561">
        <v>-0.556492599999999</v>
      </c>
      <c r="P1561">
        <v>-0.95458390000000004</v>
      </c>
      <c r="Q1561">
        <v>0.1948878</v>
      </c>
      <c r="R1561">
        <v>-0.2253629</v>
      </c>
      <c r="S1561">
        <v>-3.1863100000000002</v>
      </c>
      <c r="T1561">
        <v>-0.29219460000000003</v>
      </c>
      <c r="U1561">
        <v>-9.6435549999999995E-2</v>
      </c>
      <c r="V1561">
        <v>0.3466728</v>
      </c>
      <c r="W1561">
        <v>0.20370840000000001</v>
      </c>
      <c r="X1561">
        <v>0.91559860000000004</v>
      </c>
      <c r="Y1561">
        <v>0.52685530000000003</v>
      </c>
      <c r="Z1561">
        <v>7.2557389999999999E-2</v>
      </c>
      <c r="AA1561">
        <v>0.8468523</v>
      </c>
      <c r="AB1561">
        <v>17</v>
      </c>
      <c r="AC1561">
        <v>-11.9055</v>
      </c>
      <c r="AD1561">
        <v>-1.10570593065511</v>
      </c>
      <c r="AE1561">
        <v>-0.27660000000002999</v>
      </c>
      <c r="AF1561">
        <v>6.3415403110183597</v>
      </c>
      <c r="AG1561">
        <v>-1.10570593065511</v>
      </c>
      <c r="AH1561">
        <v>9.9593369590542</v>
      </c>
      <c r="AI1561">
        <v>95.350083819417904</v>
      </c>
      <c r="AJ1561">
        <v>57.513330418021603</v>
      </c>
      <c r="AK1561">
        <v>11.8585881025246</v>
      </c>
      <c r="AL1561">
        <v>78.246099177608599</v>
      </c>
      <c r="AM1561">
        <v>69.261847194948203</v>
      </c>
      <c r="AN1561">
        <v>0.99999996940617897</v>
      </c>
    </row>
    <row r="1562" spans="1:40" x14ac:dyDescent="0.25">
      <c r="A1562" t="str">
        <f>"20190312172359053"</f>
        <v>20190312172359053</v>
      </c>
      <c r="B1562" t="str">
        <f>"1552382639051656"</f>
        <v>1552382639051656</v>
      </c>
      <c r="C1562" t="s">
        <v>40</v>
      </c>
      <c r="D1562">
        <v>3.9077999999999999</v>
      </c>
      <c r="E1562">
        <v>0.57516309999999904</v>
      </c>
      <c r="F1562" t="s">
        <v>47</v>
      </c>
      <c r="G1562">
        <v>-213.30269999999999</v>
      </c>
      <c r="H1562" s="1">
        <v>2.2075380000000001E-7</v>
      </c>
      <c r="I1562">
        <v>286.0274</v>
      </c>
      <c r="J1562">
        <v>-201.26650000000001</v>
      </c>
      <c r="K1562">
        <v>1.105723</v>
      </c>
      <c r="L1562">
        <v>286.20190000000002</v>
      </c>
      <c r="M1562">
        <v>-0.83679099999999995</v>
      </c>
      <c r="N1562">
        <v>0</v>
      </c>
      <c r="O1562">
        <v>-0.54733229999999999</v>
      </c>
      <c r="P1562">
        <v>-0.95675429999999995</v>
      </c>
      <c r="Q1562">
        <v>0.1953848</v>
      </c>
      <c r="R1562">
        <v>-0.21551319999999999</v>
      </c>
      <c r="S1562">
        <v>-3.1855929999999999</v>
      </c>
      <c r="T1562">
        <v>-0.28895149999999997</v>
      </c>
      <c r="U1562">
        <v>-6.8389889999999995E-2</v>
      </c>
      <c r="V1562">
        <v>0.34599150000000001</v>
      </c>
      <c r="W1562">
        <v>0.20422789999999999</v>
      </c>
      <c r="X1562">
        <v>0.91574060000000002</v>
      </c>
      <c r="Y1562">
        <v>0.52511260000000004</v>
      </c>
      <c r="Z1562">
        <v>7.1032090000000006E-2</v>
      </c>
      <c r="AA1562">
        <v>0.84806329999999996</v>
      </c>
      <c r="AB1562">
        <v>17</v>
      </c>
      <c r="AC1562">
        <v>-12.0361999999999</v>
      </c>
      <c r="AD1562">
        <v>-1.1057227792462001</v>
      </c>
      <c r="AE1562">
        <v>-0.174500000000023</v>
      </c>
      <c r="AF1562">
        <v>6.3885471737499602</v>
      </c>
      <c r="AG1562">
        <v>-1.1057227792462001</v>
      </c>
      <c r="AH1562">
        <v>10.0832724692296</v>
      </c>
      <c r="AI1562">
        <v>95.292310701762901</v>
      </c>
      <c r="AJ1562">
        <v>57.642521737566099</v>
      </c>
      <c r="AK1562">
        <v>11.9878497464932</v>
      </c>
      <c r="AL1562">
        <v>78.215695208362106</v>
      </c>
      <c r="AM1562">
        <v>69.302082600326798</v>
      </c>
      <c r="AN1562">
        <v>0.99999999984951005</v>
      </c>
    </row>
    <row r="1563" spans="1:40" x14ac:dyDescent="0.25">
      <c r="A1563" t="str">
        <f>"20190312172359076"</f>
        <v>20190312172359076</v>
      </c>
      <c r="B1563" t="str">
        <f>"1552382639071176"</f>
        <v>1552382639071176</v>
      </c>
      <c r="C1563" t="s">
        <v>40</v>
      </c>
      <c r="D1563">
        <v>3.9713829999999999</v>
      </c>
      <c r="E1563">
        <v>0.57435199999999997</v>
      </c>
      <c r="F1563" t="s">
        <v>47</v>
      </c>
      <c r="G1563">
        <v>-213.31180000000001</v>
      </c>
      <c r="H1563" s="1">
        <v>2.2560440000000001E-7</v>
      </c>
      <c r="I1563">
        <v>286.04169999999999</v>
      </c>
      <c r="J1563">
        <v>-201.41499999999999</v>
      </c>
      <c r="K1563">
        <v>1.1057380000000001</v>
      </c>
      <c r="L1563">
        <v>286.1198</v>
      </c>
      <c r="M1563">
        <v>-0.84252479999999996</v>
      </c>
      <c r="N1563">
        <v>0</v>
      </c>
      <c r="O1563">
        <v>-0.53846439999999995</v>
      </c>
      <c r="P1563">
        <v>-0.95880319999999997</v>
      </c>
      <c r="Q1563">
        <v>0.1946601</v>
      </c>
      <c r="R1563">
        <v>-0.2068913</v>
      </c>
      <c r="S1563">
        <v>-3.1857600000000001</v>
      </c>
      <c r="T1563">
        <v>-0.29244160000000002</v>
      </c>
      <c r="U1563">
        <v>-4.2358399999999997E-2</v>
      </c>
      <c r="V1563">
        <v>0.34462199999999998</v>
      </c>
      <c r="W1563">
        <v>0.20354169999999999</v>
      </c>
      <c r="X1563">
        <v>0.91640960000000005</v>
      </c>
      <c r="Y1563">
        <v>0.52300970000000002</v>
      </c>
      <c r="Z1563">
        <v>7.1127850000000006E-2</v>
      </c>
      <c r="AA1563">
        <v>0.84935369999999999</v>
      </c>
      <c r="AB1563">
        <v>17</v>
      </c>
      <c r="AC1563">
        <v>-11.896800000000001</v>
      </c>
      <c r="AD1563">
        <v>-1.1057377743955901</v>
      </c>
      <c r="AE1563">
        <v>-7.8100000000006206E-2</v>
      </c>
      <c r="AF1563">
        <v>6.2865569473483003</v>
      </c>
      <c r="AG1563">
        <v>-1.1057377743955901</v>
      </c>
      <c r="AH1563">
        <v>9.9802386394174807</v>
      </c>
      <c r="AI1563">
        <v>95.355540366016299</v>
      </c>
      <c r="AJ1563">
        <v>57.7931550759521</v>
      </c>
      <c r="AK1563">
        <v>11.846882188056901</v>
      </c>
      <c r="AL1563">
        <v>78.255855743296706</v>
      </c>
      <c r="AM1563">
        <v>69.390891521755094</v>
      </c>
      <c r="AN1563">
        <v>1.00000005074752</v>
      </c>
    </row>
    <row r="1564" spans="1:40" x14ac:dyDescent="0.25">
      <c r="A1564" t="str">
        <f>"20190312172359097"</f>
        <v>20190312172359097</v>
      </c>
      <c r="B1564" t="str">
        <f>"1552382639091672"</f>
        <v>1552382639091672</v>
      </c>
      <c r="C1564" t="s">
        <v>40</v>
      </c>
      <c r="D1564">
        <v>3.9211999999999998</v>
      </c>
      <c r="E1564">
        <v>0.57394440000000002</v>
      </c>
      <c r="F1564" t="s">
        <v>47</v>
      </c>
      <c r="G1564">
        <v>-213.4461</v>
      </c>
      <c r="H1564" s="1">
        <v>2.97047E-7</v>
      </c>
      <c r="I1564">
        <v>286.05200000000002</v>
      </c>
      <c r="J1564">
        <v>-201.57159999999999</v>
      </c>
      <c r="K1564">
        <v>1.105753</v>
      </c>
      <c r="L1564">
        <v>286.03539999999998</v>
      </c>
      <c r="M1564">
        <v>-0.84843279999999999</v>
      </c>
      <c r="N1564">
        <v>0</v>
      </c>
      <c r="O1564">
        <v>-0.52910659999999998</v>
      </c>
      <c r="P1564">
        <v>-0.96084979999999998</v>
      </c>
      <c r="Q1564">
        <v>0.1941483</v>
      </c>
      <c r="R1564">
        <v>-0.19767209999999999</v>
      </c>
      <c r="S1564">
        <v>-3.1844329999999998</v>
      </c>
      <c r="T1564">
        <v>-0.29267130000000002</v>
      </c>
      <c r="U1564">
        <v>-1.794434E-2</v>
      </c>
      <c r="V1564">
        <v>0.34331660000000003</v>
      </c>
      <c r="W1564">
        <v>0.20306830000000001</v>
      </c>
      <c r="X1564">
        <v>0.91700429999999999</v>
      </c>
      <c r="Y1564">
        <v>0.52013609999999999</v>
      </c>
      <c r="Z1564">
        <v>7.0372329999999997E-2</v>
      </c>
      <c r="AA1564">
        <v>0.85117929999999997</v>
      </c>
      <c r="AB1564">
        <v>17</v>
      </c>
      <c r="AC1564">
        <v>-11.874499999999999</v>
      </c>
      <c r="AD1564">
        <v>-1.1057527029530001</v>
      </c>
      <c r="AE1564">
        <v>1.6600000000039399E-2</v>
      </c>
      <c r="AF1564">
        <v>6.2434761681606998</v>
      </c>
      <c r="AG1564">
        <v>-1.1057527029530001</v>
      </c>
      <c r="AH1564">
        <v>9.9804356718991194</v>
      </c>
      <c r="AI1564">
        <v>95.365895912922298</v>
      </c>
      <c r="AJ1564">
        <v>57.971075981883601</v>
      </c>
      <c r="AK1564">
        <v>11.8242454263853</v>
      </c>
      <c r="AL1564">
        <v>78.283556969059802</v>
      </c>
      <c r="AM1564">
        <v>69.474637458165205</v>
      </c>
      <c r="AN1564">
        <v>0.99999995425946897</v>
      </c>
    </row>
    <row r="1565" spans="1:40" x14ac:dyDescent="0.25">
      <c r="A1565" t="str">
        <f>"20190312172359121"</f>
        <v>20190312172359121</v>
      </c>
      <c r="B1565" t="str">
        <f>"1552382639111191"</f>
        <v>1552382639111191</v>
      </c>
      <c r="C1565" t="s">
        <v>40</v>
      </c>
      <c r="D1565">
        <v>3.964331</v>
      </c>
      <c r="E1565">
        <v>0.559029199999999</v>
      </c>
      <c r="F1565" t="s">
        <v>47</v>
      </c>
      <c r="G1565">
        <v>-213.5651</v>
      </c>
      <c r="H1565" s="1">
        <v>3.6036440000000001E-7</v>
      </c>
      <c r="I1565">
        <v>286.0745</v>
      </c>
      <c r="J1565">
        <v>-201.73660000000001</v>
      </c>
      <c r="K1565">
        <v>1.1057760000000001</v>
      </c>
      <c r="L1565">
        <v>285.94880000000001</v>
      </c>
      <c r="M1565">
        <v>-0.85451529999999998</v>
      </c>
      <c r="N1565">
        <v>0</v>
      </c>
      <c r="O1565">
        <v>-0.51922590000000002</v>
      </c>
      <c r="P1565">
        <v>-0.96274139999999997</v>
      </c>
      <c r="Q1565">
        <v>0.1937903</v>
      </c>
      <c r="R1565">
        <v>-0.1886118</v>
      </c>
      <c r="S1565">
        <v>-3.1837010000000001</v>
      </c>
      <c r="T1565">
        <v>-0.29352460000000002</v>
      </c>
      <c r="U1565">
        <v>1.037598E-2</v>
      </c>
      <c r="V1565">
        <v>0.34132940000000001</v>
      </c>
      <c r="W1565">
        <v>0.20276250000000001</v>
      </c>
      <c r="X1565">
        <v>0.91781349999999995</v>
      </c>
      <c r="Y1565">
        <v>0.51783509999999999</v>
      </c>
      <c r="Z1565">
        <v>6.9728419999999999E-2</v>
      </c>
      <c r="AA1565">
        <v>0.852634</v>
      </c>
      <c r="AB1565">
        <v>17</v>
      </c>
      <c r="AC1565">
        <v>-11.828499999999901</v>
      </c>
      <c r="AD1565">
        <v>-1.1057756396356</v>
      </c>
      <c r="AE1565">
        <v>0.12569999999999401</v>
      </c>
      <c r="AF1565">
        <v>6.1955876050977796</v>
      </c>
      <c r="AG1565">
        <v>-1.1057756396356</v>
      </c>
      <c r="AH1565">
        <v>9.9564105940514391</v>
      </c>
      <c r="AI1565">
        <v>95.386810378397698</v>
      </c>
      <c r="AJ1565">
        <v>58.107185093049502</v>
      </c>
      <c r="AK1565">
        <v>11.778716290623199</v>
      </c>
      <c r="AL1565">
        <v>78.301450877469307</v>
      </c>
      <c r="AM1565">
        <v>69.600130576497904</v>
      </c>
      <c r="AN1565">
        <v>1.00000000574642</v>
      </c>
    </row>
    <row r="1566" spans="1:40" x14ac:dyDescent="0.25">
      <c r="A1566" t="str">
        <f>"20190312172359144"</f>
        <v>20190312172359144</v>
      </c>
      <c r="B1566" t="str">
        <f>"1552382639141447"</f>
        <v>1552382639141447</v>
      </c>
      <c r="C1566" t="s">
        <v>40</v>
      </c>
      <c r="D1566">
        <v>3.932903</v>
      </c>
      <c r="E1566">
        <v>0.55728659999999997</v>
      </c>
      <c r="F1566" t="s">
        <v>47</v>
      </c>
      <c r="G1566">
        <v>-212.08080000000001</v>
      </c>
      <c r="H1566" s="1">
        <v>-4.295024E-7</v>
      </c>
      <c r="I1566">
        <v>285.7013</v>
      </c>
      <c r="J1566">
        <v>-201.89760000000001</v>
      </c>
      <c r="K1566">
        <v>1.105796</v>
      </c>
      <c r="L1566">
        <v>285.86689999999999</v>
      </c>
      <c r="M1566">
        <v>-0.86030549999999995</v>
      </c>
      <c r="N1566">
        <v>0</v>
      </c>
      <c r="O1566">
        <v>-0.50957529999999995</v>
      </c>
      <c r="P1566">
        <v>-0.96445150000000002</v>
      </c>
      <c r="Q1566">
        <v>0.1930509</v>
      </c>
      <c r="R1566">
        <v>-0.1804576</v>
      </c>
      <c r="S1566">
        <v>-3.1694179999999998</v>
      </c>
      <c r="T1566">
        <v>-0.33880470000000001</v>
      </c>
      <c r="U1566">
        <v>-7.5836180000000003E-2</v>
      </c>
      <c r="V1566">
        <v>0.33881139999999998</v>
      </c>
      <c r="W1566">
        <v>0.2020863</v>
      </c>
      <c r="X1566">
        <v>0.91889489999999996</v>
      </c>
      <c r="Y1566">
        <v>0.48348170000000001</v>
      </c>
      <c r="Z1566">
        <v>7.7955330000000003E-2</v>
      </c>
      <c r="AA1566">
        <v>0.8718764</v>
      </c>
      <c r="AB1566">
        <v>17</v>
      </c>
      <c r="AC1566">
        <v>-10.183199999999999</v>
      </c>
      <c r="AD1566">
        <v>-1.1057964295023901</v>
      </c>
      <c r="AE1566">
        <v>-0.16559999999998301</v>
      </c>
      <c r="AF1566">
        <v>4.9883577765388196</v>
      </c>
      <c r="AG1566">
        <v>-1.1057964295023901</v>
      </c>
      <c r="AH1566">
        <v>8.7428986160158093</v>
      </c>
      <c r="AI1566">
        <v>96.269139923576205</v>
      </c>
      <c r="AJ1566">
        <v>60.292601076856997</v>
      </c>
      <c r="AK1566">
        <v>10.1264394167045</v>
      </c>
      <c r="AL1566">
        <v>78.341012501101801</v>
      </c>
      <c r="AM1566">
        <v>69.760254291862395</v>
      </c>
      <c r="AN1566">
        <v>0.99999993733182801</v>
      </c>
    </row>
    <row r="1567" spans="1:40" x14ac:dyDescent="0.25">
      <c r="A1567" t="str">
        <f>"20190312172359165"</f>
        <v>20190312172359165</v>
      </c>
      <c r="B1567" t="str">
        <f>"1552382639160967"</f>
        <v>1552382639160967</v>
      </c>
      <c r="C1567" t="s">
        <v>40</v>
      </c>
      <c r="D1567">
        <v>3.9542709999999999</v>
      </c>
      <c r="E1567">
        <v>0.55634499999999998</v>
      </c>
      <c r="F1567" t="s">
        <v>47</v>
      </c>
      <c r="G1567">
        <v>-212.1233</v>
      </c>
      <c r="H1567" s="1">
        <v>-4.0687310000000001E-7</v>
      </c>
      <c r="I1567">
        <v>285.66320000000002</v>
      </c>
      <c r="J1567">
        <v>-202.05289999999999</v>
      </c>
      <c r="K1567">
        <v>1.1058140000000001</v>
      </c>
      <c r="L1567">
        <v>285.78989999999999</v>
      </c>
      <c r="M1567">
        <v>-0.86575499999999905</v>
      </c>
      <c r="N1567">
        <v>0</v>
      </c>
      <c r="O1567">
        <v>-0.5002605</v>
      </c>
      <c r="P1567">
        <v>-0.96584000000000003</v>
      </c>
      <c r="Q1567">
        <v>0.19340689999999999</v>
      </c>
      <c r="R1567">
        <v>-0.1724726</v>
      </c>
      <c r="S1567">
        <v>-3.1673580000000001</v>
      </c>
      <c r="T1567">
        <v>-0.34251559999999998</v>
      </c>
      <c r="U1567">
        <v>-6.3079830000000003E-2</v>
      </c>
      <c r="V1567">
        <v>0.33644469999999999</v>
      </c>
      <c r="W1567">
        <v>0.20249909999999999</v>
      </c>
      <c r="X1567">
        <v>0.91967330000000003</v>
      </c>
      <c r="Y1567">
        <v>0.4774988</v>
      </c>
      <c r="Z1567">
        <v>7.7670600000000006E-2</v>
      </c>
      <c r="AA1567">
        <v>0.87519259999999999</v>
      </c>
      <c r="AB1567">
        <v>17</v>
      </c>
      <c r="AC1567">
        <v>-10.070399999999999</v>
      </c>
      <c r="AD1567">
        <v>-1.1058144068731</v>
      </c>
      <c r="AE1567">
        <v>-0.126699999999971</v>
      </c>
      <c r="AF1567">
        <v>4.8699322993308201</v>
      </c>
      <c r="AG1567">
        <v>-1.1058144068731</v>
      </c>
      <c r="AH1567">
        <v>8.6781705520164802</v>
      </c>
      <c r="AI1567">
        <v>96.340889641271502</v>
      </c>
      <c r="AJ1567">
        <v>60.700150069796997</v>
      </c>
      <c r="AK1567">
        <v>10.012477726936501</v>
      </c>
      <c r="AL1567">
        <v>78.316861634226498</v>
      </c>
      <c r="AM1567">
        <v>69.905930449647698</v>
      </c>
      <c r="AN1567">
        <v>0.99999995019589305</v>
      </c>
    </row>
    <row r="1568" spans="1:40" x14ac:dyDescent="0.25">
      <c r="A1568" t="str">
        <f>"20190312172359187"</f>
        <v>20190312172359187</v>
      </c>
      <c r="B1568" t="str">
        <f>"1552382639181464"</f>
        <v>1552382639181464</v>
      </c>
      <c r="C1568" t="s">
        <v>40</v>
      </c>
      <c r="D1568">
        <v>3.950034</v>
      </c>
      <c r="E1568">
        <v>0.55538019999999999</v>
      </c>
      <c r="F1568" t="s">
        <v>47</v>
      </c>
      <c r="G1568">
        <v>-212.70359999999999</v>
      </c>
      <c r="H1568" s="1">
        <v>-9.8089290000000005E-8</v>
      </c>
      <c r="I1568">
        <v>285.63740000000001</v>
      </c>
      <c r="J1568">
        <v>-202.2063</v>
      </c>
      <c r="K1568">
        <v>1.105837</v>
      </c>
      <c r="L1568">
        <v>285.71600000000001</v>
      </c>
      <c r="M1568">
        <v>-0.87101039999999996</v>
      </c>
      <c r="N1568">
        <v>0</v>
      </c>
      <c r="O1568">
        <v>-0.49105320000000002</v>
      </c>
      <c r="P1568">
        <v>-0.96717819999999999</v>
      </c>
      <c r="Q1568">
        <v>0.1935674</v>
      </c>
      <c r="R1568">
        <v>-0.16461529999999999</v>
      </c>
      <c r="S1568">
        <v>-3.1637879999999998</v>
      </c>
      <c r="T1568">
        <v>-0.32848359999999999</v>
      </c>
      <c r="U1568">
        <v>-4.5318600000000001E-2</v>
      </c>
      <c r="V1568">
        <v>0.33413710000000002</v>
      </c>
      <c r="W1568">
        <v>0.20271439999999999</v>
      </c>
      <c r="X1568">
        <v>0.92046689999999998</v>
      </c>
      <c r="Y1568">
        <v>0.47358410000000001</v>
      </c>
      <c r="Z1568">
        <v>7.3568019999999998E-2</v>
      </c>
      <c r="AA1568">
        <v>0.87767070000000003</v>
      </c>
      <c r="AB1568">
        <v>17</v>
      </c>
      <c r="AC1568">
        <v>-10.4972999999999</v>
      </c>
      <c r="AD1568">
        <v>-1.10583709808929</v>
      </c>
      <c r="AE1568">
        <v>-7.8599999999994397E-2</v>
      </c>
      <c r="AF1568">
        <v>5.0309711507991199</v>
      </c>
      <c r="AG1568">
        <v>-1.10583709808929</v>
      </c>
      <c r="AH1568">
        <v>9.0820250792415198</v>
      </c>
      <c r="AI1568">
        <v>96.079705147399395</v>
      </c>
      <c r="AJ1568">
        <v>61.015819583471298</v>
      </c>
      <c r="AK1568">
        <v>10.441107505799099</v>
      </c>
      <c r="AL1568">
        <v>78.304265440918897</v>
      </c>
      <c r="AM1568">
        <v>70.0486839604484</v>
      </c>
      <c r="AN1568">
        <v>1.0000000217796801</v>
      </c>
    </row>
    <row r="1569" spans="1:40" x14ac:dyDescent="0.25">
      <c r="A1569" t="str">
        <f>"20190312172359210"</f>
        <v>20190312172359210</v>
      </c>
      <c r="B1569" t="str">
        <f>"1552382639200983"</f>
        <v>1552382639200983</v>
      </c>
      <c r="C1569" t="s">
        <v>40</v>
      </c>
      <c r="D1569">
        <v>3.9703189999999999</v>
      </c>
      <c r="E1569">
        <v>0.5545852</v>
      </c>
      <c r="F1569" t="s">
        <v>47</v>
      </c>
      <c r="G1569">
        <v>-213.11340000000001</v>
      </c>
      <c r="H1569" s="1">
        <v>1.199887E-7</v>
      </c>
      <c r="I1569">
        <v>285.62009999999998</v>
      </c>
      <c r="J1569">
        <v>-202.369</v>
      </c>
      <c r="K1569">
        <v>1.105866</v>
      </c>
      <c r="L1569">
        <v>285.6397</v>
      </c>
      <c r="M1569">
        <v>-0.87644829999999996</v>
      </c>
      <c r="N1569">
        <v>0</v>
      </c>
      <c r="O1569">
        <v>-0.4812805</v>
      </c>
      <c r="P1569">
        <v>-0.96859229999999996</v>
      </c>
      <c r="Q1569">
        <v>0.19355520000000001</v>
      </c>
      <c r="R1569">
        <v>-0.1560936</v>
      </c>
      <c r="S1569">
        <v>-3.1612399999999998</v>
      </c>
      <c r="T1569">
        <v>-0.3205093</v>
      </c>
      <c r="U1569">
        <v>-2.7771000000000001E-2</v>
      </c>
      <c r="V1569">
        <v>0.33192719999999998</v>
      </c>
      <c r="W1569">
        <v>0.20275499999999999</v>
      </c>
      <c r="X1569">
        <v>0.92125710000000005</v>
      </c>
      <c r="Y1569">
        <v>0.46890880000000001</v>
      </c>
      <c r="Z1569">
        <v>7.0753979999999994E-2</v>
      </c>
      <c r="AA1569">
        <v>0.88040810000000003</v>
      </c>
      <c r="AB1569">
        <v>17</v>
      </c>
      <c r="AC1569">
        <v>-10.744399999999899</v>
      </c>
      <c r="AD1569">
        <v>-1.1058658800112999</v>
      </c>
      <c r="AE1569">
        <v>-1.9600000000025299E-2</v>
      </c>
      <c r="AF1569">
        <v>5.1003955099618201</v>
      </c>
      <c r="AG1569">
        <v>-1.1058658800112999</v>
      </c>
      <c r="AH1569">
        <v>9.3285007520795098</v>
      </c>
      <c r="AI1569">
        <v>95.938267581970607</v>
      </c>
      <c r="AJ1569">
        <v>61.332188568236198</v>
      </c>
      <c r="AK1569">
        <v>10.6891487025001</v>
      </c>
      <c r="AL1569">
        <v>78.301889052124807</v>
      </c>
      <c r="AM1569">
        <v>70.186003848966294</v>
      </c>
      <c r="AN1569">
        <v>0.999999950212623</v>
      </c>
    </row>
    <row r="1570" spans="1:40" x14ac:dyDescent="0.25">
      <c r="A1570" t="str">
        <f>"20190312172359232"</f>
        <v>20190312172359232</v>
      </c>
      <c r="B1570" t="str">
        <f>"1552382639221479"</f>
        <v>1552382639221479</v>
      </c>
      <c r="C1570" t="s">
        <v>40</v>
      </c>
      <c r="D1570">
        <v>3.9366249999999998</v>
      </c>
      <c r="E1570">
        <v>0.55382439999999999</v>
      </c>
      <c r="F1570" t="s">
        <v>47</v>
      </c>
      <c r="G1570">
        <v>-213.4451</v>
      </c>
      <c r="H1570" s="1">
        <v>2.9650040000000001E-7</v>
      </c>
      <c r="I1570">
        <v>285.61599999999999</v>
      </c>
      <c r="J1570">
        <v>-202.5258</v>
      </c>
      <c r="K1570">
        <v>1.1058969999999999</v>
      </c>
      <c r="L1570">
        <v>285.56819999999999</v>
      </c>
      <c r="M1570">
        <v>-0.8815537</v>
      </c>
      <c r="N1570">
        <v>0</v>
      </c>
      <c r="O1570">
        <v>-0.47186410000000001</v>
      </c>
      <c r="P1570">
        <v>-0.96973399999999998</v>
      </c>
      <c r="Q1570">
        <v>0.19389580000000001</v>
      </c>
      <c r="R1570">
        <v>-0.148393</v>
      </c>
      <c r="S1570">
        <v>-3.1592250000000002</v>
      </c>
      <c r="T1570">
        <v>-0.31542710000000002</v>
      </c>
      <c r="U1570">
        <v>-6.7749019999999898E-3</v>
      </c>
      <c r="V1570">
        <v>0.32932919999999999</v>
      </c>
      <c r="W1570">
        <v>0.20315420000000001</v>
      </c>
      <c r="X1570">
        <v>0.92210130000000001</v>
      </c>
      <c r="Y1570">
        <v>0.46550960000000002</v>
      </c>
      <c r="Z1570">
        <v>6.8694229999999995E-2</v>
      </c>
      <c r="AA1570">
        <v>0.88237289999999902</v>
      </c>
      <c r="AB1570">
        <v>17</v>
      </c>
      <c r="AC1570">
        <v>-10.9192999999999</v>
      </c>
      <c r="AD1570">
        <v>-1.1058967034995999</v>
      </c>
      <c r="AE1570">
        <v>4.7799999999995103E-2</v>
      </c>
      <c r="AF1570">
        <v>5.1423560870687401</v>
      </c>
      <c r="AG1570">
        <v>-1.1058967034995999</v>
      </c>
      <c r="AH1570">
        <v>9.5068755168593704</v>
      </c>
      <c r="AI1570">
        <v>95.841999809125696</v>
      </c>
      <c r="AJ1570">
        <v>61.590638243266298</v>
      </c>
      <c r="AK1570">
        <v>10.8649673601941</v>
      </c>
      <c r="AL1570">
        <v>78.278531973047905</v>
      </c>
      <c r="AM1570">
        <v>70.345773267283803</v>
      </c>
      <c r="AN1570">
        <v>1.00000007920598</v>
      </c>
    </row>
    <row r="1571" spans="1:40" x14ac:dyDescent="0.25">
      <c r="A1571" t="str">
        <f>"20190312172359254"</f>
        <v>20190312172359254</v>
      </c>
      <c r="B1571" t="str">
        <f>"1552382639251735"</f>
        <v>1552382639251735</v>
      </c>
      <c r="C1571" t="s">
        <v>40</v>
      </c>
      <c r="D1571">
        <v>3.892576</v>
      </c>
      <c r="E1571">
        <v>0.55272849999999996</v>
      </c>
      <c r="F1571" t="s">
        <v>47</v>
      </c>
      <c r="G1571">
        <v>-213.74459999999999</v>
      </c>
      <c r="H1571" s="1">
        <v>4.5591670000000002E-7</v>
      </c>
      <c r="I1571">
        <v>285.61200000000002</v>
      </c>
      <c r="J1571">
        <v>-202.6806</v>
      </c>
      <c r="K1571">
        <v>1.105936</v>
      </c>
      <c r="L1571">
        <v>285.49959999999999</v>
      </c>
      <c r="M1571">
        <v>-0.88646449999999999</v>
      </c>
      <c r="N1571">
        <v>0</v>
      </c>
      <c r="O1571">
        <v>-0.4625726</v>
      </c>
      <c r="P1571">
        <v>-0.97053809999999996</v>
      </c>
      <c r="Q1571">
        <v>0.195248</v>
      </c>
      <c r="R1571">
        <v>-0.1411877</v>
      </c>
      <c r="S1571">
        <v>-3.1577760000000001</v>
      </c>
      <c r="T1571">
        <v>-0.31127830000000001</v>
      </c>
      <c r="U1571">
        <v>1.2329100000000001E-2</v>
      </c>
      <c r="V1571">
        <v>0.32635199999999998</v>
      </c>
      <c r="W1571">
        <v>0.2045701</v>
      </c>
      <c r="X1571">
        <v>0.92284639999999996</v>
      </c>
      <c r="Y1571">
        <v>0.46173160000000002</v>
      </c>
      <c r="Z1571">
        <v>6.6834350000000001E-2</v>
      </c>
      <c r="AA1571">
        <v>0.88449820000000001</v>
      </c>
      <c r="AB1571">
        <v>17</v>
      </c>
      <c r="AC1571">
        <v>-11.063999999999901</v>
      </c>
      <c r="AD1571">
        <v>-1.1059355440833001</v>
      </c>
      <c r="AE1571">
        <v>0.112400000000036</v>
      </c>
      <c r="AF1571">
        <v>5.1664667137584797</v>
      </c>
      <c r="AG1571">
        <v>-1.1059355440833001</v>
      </c>
      <c r="AH1571">
        <v>9.6603488824159491</v>
      </c>
      <c r="AI1571">
        <v>95.764562350288401</v>
      </c>
      <c r="AJ1571">
        <v>61.8616115221716</v>
      </c>
      <c r="AK1571">
        <v>11.010804342191999</v>
      </c>
      <c r="AL1571">
        <v>78.195665914833299</v>
      </c>
      <c r="AM1571">
        <v>70.524556181645394</v>
      </c>
      <c r="AN1571">
        <v>1.00000001585548</v>
      </c>
    </row>
    <row r="1572" spans="1:40" x14ac:dyDescent="0.25">
      <c r="A1572" t="str">
        <f>"20190312172359277"</f>
        <v>20190312172359277</v>
      </c>
      <c r="B1572" t="str">
        <f>"1552382639271256"</f>
        <v>1552382639271256</v>
      </c>
      <c r="C1572" t="s">
        <v>40</v>
      </c>
      <c r="D1572">
        <v>3.9813550000000002</v>
      </c>
      <c r="E1572">
        <v>0.55193780000000003</v>
      </c>
      <c r="F1572" t="s">
        <v>47</v>
      </c>
      <c r="G1572">
        <v>-214.0291</v>
      </c>
      <c r="H1572" s="1">
        <v>6.073101E-7</v>
      </c>
      <c r="I1572">
        <v>285.59719999999999</v>
      </c>
      <c r="J1572">
        <v>-202.8425</v>
      </c>
      <c r="K1572">
        <v>1.105979</v>
      </c>
      <c r="L1572">
        <v>285.42989999999998</v>
      </c>
      <c r="M1572">
        <v>-0.89145289999999999</v>
      </c>
      <c r="N1572">
        <v>0</v>
      </c>
      <c r="O1572">
        <v>-0.45288509999999998</v>
      </c>
      <c r="P1572">
        <v>-0.97123530000000002</v>
      </c>
      <c r="Q1572">
        <v>0.1970027</v>
      </c>
      <c r="R1572">
        <v>-0.1337622</v>
      </c>
      <c r="S1572">
        <v>-3.1569060000000002</v>
      </c>
      <c r="T1572">
        <v>-0.30764789999999997</v>
      </c>
      <c r="U1572">
        <v>2.716064E-2</v>
      </c>
      <c r="V1572">
        <v>0.32318170000000002</v>
      </c>
      <c r="W1572">
        <v>0.20639750000000001</v>
      </c>
      <c r="X1572">
        <v>0.92355489999999996</v>
      </c>
      <c r="Y1572">
        <v>0.4563971</v>
      </c>
      <c r="Z1572">
        <v>6.4975850000000002E-2</v>
      </c>
      <c r="AA1572">
        <v>0.88740059999999998</v>
      </c>
      <c r="AB1572">
        <v>17</v>
      </c>
      <c r="AC1572">
        <v>-11.1866</v>
      </c>
      <c r="AD1572">
        <v>-1.1059783926899001</v>
      </c>
      <c r="AE1572">
        <v>0.167300000000011</v>
      </c>
      <c r="AF1572">
        <v>5.1654452719154698</v>
      </c>
      <c r="AG1572">
        <v>-1.1059783926899001</v>
      </c>
      <c r="AH1572">
        <v>9.8017960760493601</v>
      </c>
      <c r="AI1572">
        <v>95.7004586076782</v>
      </c>
      <c r="AJ1572">
        <v>62.211232703409202</v>
      </c>
      <c r="AK1572">
        <v>11.1346405141211</v>
      </c>
      <c r="AL1572">
        <v>78.088680343415106</v>
      </c>
      <c r="AM1572">
        <v>70.713408931294893</v>
      </c>
      <c r="AN1572">
        <v>0.99999999626757496</v>
      </c>
    </row>
    <row r="1573" spans="1:40" x14ac:dyDescent="0.25">
      <c r="A1573" t="str">
        <f>"20190312172359298"</f>
        <v>20190312172359298</v>
      </c>
      <c r="B1573" t="str">
        <f>"1552382639291752"</f>
        <v>1552382639291752</v>
      </c>
      <c r="C1573" t="s">
        <v>40</v>
      </c>
      <c r="D1573">
        <v>3.9349409999999998</v>
      </c>
      <c r="E1573">
        <v>0.54483429999999999</v>
      </c>
      <c r="F1573" t="s">
        <v>47</v>
      </c>
      <c r="G1573">
        <v>-214.49629999999999</v>
      </c>
      <c r="H1573" s="1">
        <v>8.5593289999999995E-7</v>
      </c>
      <c r="I1573">
        <v>285.59719999999999</v>
      </c>
      <c r="J1573">
        <v>-202.99770000000001</v>
      </c>
      <c r="K1573">
        <v>1.106044</v>
      </c>
      <c r="L1573">
        <v>285.36489999999998</v>
      </c>
      <c r="M1573">
        <v>-0.89608849999999995</v>
      </c>
      <c r="N1573">
        <v>0</v>
      </c>
      <c r="O1573">
        <v>-0.44364290000000001</v>
      </c>
      <c r="P1573">
        <v>-0.97182179999999996</v>
      </c>
      <c r="Q1573">
        <v>0.1982275</v>
      </c>
      <c r="R1573">
        <v>-0.1275463</v>
      </c>
      <c r="S1573">
        <v>-3.1558380000000001</v>
      </c>
      <c r="T1573">
        <v>-0.29949700000000001</v>
      </c>
      <c r="U1573">
        <v>4.5318600000000001E-2</v>
      </c>
      <c r="V1573">
        <v>0.31940180000000001</v>
      </c>
      <c r="W1573">
        <v>0.20771490000000001</v>
      </c>
      <c r="X1573">
        <v>0.92457400000000001</v>
      </c>
      <c r="Y1573">
        <v>0.45258759999999998</v>
      </c>
      <c r="Z1573">
        <v>6.2318079999999998E-2</v>
      </c>
      <c r="AA1573">
        <v>0.88953969999999905</v>
      </c>
      <c r="AB1573">
        <v>17</v>
      </c>
      <c r="AC1573">
        <v>-11.4985999999999</v>
      </c>
      <c r="AD1573">
        <v>-1.1060431440670999</v>
      </c>
      <c r="AE1573">
        <v>0.232300000000009</v>
      </c>
      <c r="AF1573">
        <v>5.2613215971453302</v>
      </c>
      <c r="AG1573">
        <v>-1.1060431440670999</v>
      </c>
      <c r="AH1573">
        <v>10.1082701804247</v>
      </c>
      <c r="AI1573">
        <v>95.543717237737297</v>
      </c>
      <c r="AJ1573">
        <v>62.503170017401501</v>
      </c>
      <c r="AK1573">
        <v>11.449103127563699</v>
      </c>
      <c r="AL1573">
        <v>78.011527365376807</v>
      </c>
      <c r="AM1573">
        <v>70.942101216403998</v>
      </c>
      <c r="AN1573">
        <v>1.00000003550062</v>
      </c>
    </row>
    <row r="1574" spans="1:40" x14ac:dyDescent="0.25">
      <c r="A1574" t="str">
        <f>"20190312172359322"</f>
        <v>20190312172359322</v>
      </c>
      <c r="B1574" t="str">
        <f>"1552382639311275"</f>
        <v>1552382639311275</v>
      </c>
      <c r="C1574" t="s">
        <v>40</v>
      </c>
      <c r="D1574">
        <v>4.0402089999999999</v>
      </c>
      <c r="E1574">
        <v>0.54324150000000004</v>
      </c>
      <c r="F1574" t="s">
        <v>47</v>
      </c>
      <c r="G1574">
        <v>-212.4932</v>
      </c>
      <c r="H1574" s="1">
        <v>-2.100122E-7</v>
      </c>
      <c r="I1574">
        <v>285.40219999999999</v>
      </c>
      <c r="J1574">
        <v>-203.1696</v>
      </c>
      <c r="K1574">
        <v>1.1061369999999999</v>
      </c>
      <c r="L1574">
        <v>285.29500000000002</v>
      </c>
      <c r="M1574">
        <v>-0.90104689999999998</v>
      </c>
      <c r="N1574">
        <v>0</v>
      </c>
      <c r="O1574">
        <v>-0.43348399999999998</v>
      </c>
      <c r="P1574">
        <v>-0.97263409999999995</v>
      </c>
      <c r="Q1574">
        <v>0.1988635</v>
      </c>
      <c r="R1574">
        <v>-0.12015140000000001</v>
      </c>
      <c r="S1574">
        <v>-3.1637879999999998</v>
      </c>
      <c r="T1574">
        <v>-0.36851790000000001</v>
      </c>
      <c r="U1574">
        <v>1.242065E-2</v>
      </c>
      <c r="V1574">
        <v>0.31587510000000002</v>
      </c>
      <c r="W1574">
        <v>0.20845839999999999</v>
      </c>
      <c r="X1574">
        <v>0.92561760000000004</v>
      </c>
      <c r="Y1574">
        <v>0.43136609999999997</v>
      </c>
      <c r="Z1574">
        <v>7.406306E-2</v>
      </c>
      <c r="AA1574">
        <v>0.89913180000000004</v>
      </c>
      <c r="AB1574">
        <v>17</v>
      </c>
      <c r="AC1574">
        <v>-9.3236000000000008</v>
      </c>
      <c r="AD1574">
        <v>-1.1061372100122</v>
      </c>
      <c r="AE1574">
        <v>0.10719999999997699</v>
      </c>
      <c r="AF1574">
        <v>4.0812143637877796</v>
      </c>
      <c r="AG1574">
        <v>-1.1061372100122</v>
      </c>
      <c r="AH1574">
        <v>8.2394371119237704</v>
      </c>
      <c r="AI1574">
        <v>96.859723000188296</v>
      </c>
      <c r="AJ1574">
        <v>63.649550757076803</v>
      </c>
      <c r="AK1574">
        <v>9.26111084762017</v>
      </c>
      <c r="AL1574">
        <v>77.967973707991007</v>
      </c>
      <c r="AM1574">
        <v>71.157344102688498</v>
      </c>
      <c r="AN1574">
        <v>0.99999996238016398</v>
      </c>
    </row>
    <row r="1575" spans="1:40" x14ac:dyDescent="0.25">
      <c r="A1575" t="str">
        <f>"20190312172359345"</f>
        <v>20190312172359345</v>
      </c>
      <c r="B1575" t="str">
        <f>"1552382639341527"</f>
        <v>1552382639341527</v>
      </c>
      <c r="C1575" t="s">
        <v>40</v>
      </c>
      <c r="D1575">
        <v>4.0492920000000003</v>
      </c>
      <c r="E1575">
        <v>0.54195799999999905</v>
      </c>
      <c r="F1575" t="s">
        <v>47</v>
      </c>
      <c r="G1575">
        <v>-212.68129999999999</v>
      </c>
      <c r="H1575" s="1">
        <v>-1.0993000000000001E-7</v>
      </c>
      <c r="I1575">
        <v>285.36649999999997</v>
      </c>
      <c r="J1575">
        <v>-203.3366</v>
      </c>
      <c r="K1575">
        <v>1.1062609999999999</v>
      </c>
      <c r="L1575">
        <v>285.22919999999999</v>
      </c>
      <c r="M1575">
        <v>-0.90566440000000004</v>
      </c>
      <c r="N1575">
        <v>0</v>
      </c>
      <c r="O1575">
        <v>-0.42375289999999999</v>
      </c>
      <c r="P1575">
        <v>-0.97336100000000003</v>
      </c>
      <c r="Q1575">
        <v>0.19903950000000001</v>
      </c>
      <c r="R1575">
        <v>-0.1138043</v>
      </c>
      <c r="S1575">
        <v>-3.1625369999999999</v>
      </c>
      <c r="T1575">
        <v>-0.36777759999999998</v>
      </c>
      <c r="U1575">
        <v>2.377319E-2</v>
      </c>
      <c r="V1575">
        <v>0.31185479999999999</v>
      </c>
      <c r="W1575">
        <v>0.20876430000000001</v>
      </c>
      <c r="X1575">
        <v>0.92691109999999999</v>
      </c>
      <c r="Y1575">
        <v>0.4250101</v>
      </c>
      <c r="Z1575">
        <v>7.2548310000000005E-2</v>
      </c>
      <c r="AA1575">
        <v>0.90227659999999998</v>
      </c>
      <c r="AB1575">
        <v>17</v>
      </c>
      <c r="AC1575">
        <v>-9.34469999999998</v>
      </c>
      <c r="AD1575">
        <v>-1.1062611099299999</v>
      </c>
      <c r="AE1575">
        <v>0.13729999999998199</v>
      </c>
      <c r="AF1575">
        <v>4.0281696070588398</v>
      </c>
      <c r="AG1575">
        <v>-1.1062611099299999</v>
      </c>
      <c r="AH1575">
        <v>8.2896918107834594</v>
      </c>
      <c r="AI1575">
        <v>96.844445543109302</v>
      </c>
      <c r="AJ1575">
        <v>64.083718104855706</v>
      </c>
      <c r="AK1575">
        <v>9.2827234335806104</v>
      </c>
      <c r="AL1575">
        <v>77.950053935200899</v>
      </c>
      <c r="AM1575">
        <v>71.404733585814697</v>
      </c>
      <c r="AN1575">
        <v>1.00000006827036</v>
      </c>
    </row>
    <row r="1576" spans="1:40" x14ac:dyDescent="0.25">
      <c r="A1576" t="str">
        <f>"20190312172359367"</f>
        <v>20190312172359367</v>
      </c>
      <c r="B1576" t="str">
        <f>"1552382639361048"</f>
        <v>1552382639361048</v>
      </c>
      <c r="C1576" t="s">
        <v>40</v>
      </c>
      <c r="D1576">
        <v>3.994211</v>
      </c>
      <c r="E1576">
        <v>0.54157639999999996</v>
      </c>
      <c r="F1576" t="s">
        <v>47</v>
      </c>
      <c r="G1576">
        <v>-212.8193</v>
      </c>
      <c r="H1576" s="1">
        <v>-3.6498529999999997E-8</v>
      </c>
      <c r="I1576">
        <v>285.33260000000001</v>
      </c>
      <c r="J1576">
        <v>-203.4983</v>
      </c>
      <c r="K1576">
        <v>1.1063810000000001</v>
      </c>
      <c r="L1576">
        <v>285.16730000000001</v>
      </c>
      <c r="M1576">
        <v>-0.90995809999999999</v>
      </c>
      <c r="N1576">
        <v>0</v>
      </c>
      <c r="O1576">
        <v>-0.41445340000000003</v>
      </c>
      <c r="P1576">
        <v>-0.97411630000000005</v>
      </c>
      <c r="Q1576">
        <v>0.19875209999999999</v>
      </c>
      <c r="R1576">
        <v>-0.10768079999999999</v>
      </c>
      <c r="S1576">
        <v>-3.161575</v>
      </c>
      <c r="T1576">
        <v>-0.3688321</v>
      </c>
      <c r="U1576">
        <v>3.4454350000000002E-2</v>
      </c>
      <c r="V1576">
        <v>0.30813449999999998</v>
      </c>
      <c r="W1576">
        <v>0.20860290000000001</v>
      </c>
      <c r="X1576">
        <v>0.92819070000000004</v>
      </c>
      <c r="Y1576">
        <v>0.4188635</v>
      </c>
      <c r="Z1576">
        <v>7.1428530000000004E-2</v>
      </c>
      <c r="AA1576">
        <v>0.90523549999999997</v>
      </c>
      <c r="AB1576">
        <v>17</v>
      </c>
      <c r="AC1576">
        <v>-9.3209999999999908</v>
      </c>
      <c r="AD1576">
        <v>-1.10638103649853</v>
      </c>
      <c r="AE1576">
        <v>0.165300000000001</v>
      </c>
      <c r="AF1576">
        <v>3.95819688457357</v>
      </c>
      <c r="AG1576">
        <v>-1.10638103649853</v>
      </c>
      <c r="AH1576">
        <v>8.2972075058690997</v>
      </c>
      <c r="AI1576">
        <v>96.862573884102503</v>
      </c>
      <c r="AJ1576">
        <v>64.496445220364393</v>
      </c>
      <c r="AK1576">
        <v>9.2593225438161593</v>
      </c>
      <c r="AL1576">
        <v>77.959508918710796</v>
      </c>
      <c r="AM1576">
        <v>71.635213172952305</v>
      </c>
      <c r="AN1576">
        <v>1.0000000077725699</v>
      </c>
    </row>
    <row r="1577" spans="1:40" x14ac:dyDescent="0.25">
      <c r="A1577" t="str">
        <f>"20190312172359389"</f>
        <v>20190312172359389</v>
      </c>
      <c r="B1577" t="str">
        <f>"1552382639381544"</f>
        <v>1552382639381544</v>
      </c>
      <c r="C1577" t="s">
        <v>40</v>
      </c>
      <c r="D1577">
        <v>4.0403469999999997</v>
      </c>
      <c r="E1577">
        <v>0.54071269999999905</v>
      </c>
      <c r="F1577" t="s">
        <v>47</v>
      </c>
      <c r="G1577">
        <v>-212.94049999999999</v>
      </c>
      <c r="H1577" s="1">
        <v>2.7998409999999999E-8</v>
      </c>
      <c r="I1577">
        <v>285.32209999999998</v>
      </c>
      <c r="J1577">
        <v>-203.65700000000001</v>
      </c>
      <c r="K1577">
        <v>1.1065069999999999</v>
      </c>
      <c r="L1577">
        <v>285.108</v>
      </c>
      <c r="M1577">
        <v>-0.9139967</v>
      </c>
      <c r="N1577">
        <v>0</v>
      </c>
      <c r="O1577">
        <v>-0.40547050000000001</v>
      </c>
      <c r="P1577">
        <v>-0.97465780000000002</v>
      </c>
      <c r="Q1577">
        <v>0.19908970000000001</v>
      </c>
      <c r="R1577">
        <v>-0.10200720000000001</v>
      </c>
      <c r="S1577">
        <v>-3.1610109999999998</v>
      </c>
      <c r="T1577">
        <v>-0.370388</v>
      </c>
      <c r="U1577">
        <v>5.1849369999999999E-2</v>
      </c>
      <c r="V1577">
        <v>0.304291799999999</v>
      </c>
      <c r="W1577">
        <v>0.20906830000000001</v>
      </c>
      <c r="X1577">
        <v>0.92935299999999998</v>
      </c>
      <c r="Y1577">
        <v>0.41495270000000001</v>
      </c>
      <c r="Z1577">
        <v>7.0549730000000005E-2</v>
      </c>
      <c r="AA1577">
        <v>0.90710369999999996</v>
      </c>
      <c r="AB1577">
        <v>17</v>
      </c>
      <c r="AC1577">
        <v>-9.2834999999999699</v>
      </c>
      <c r="AD1577">
        <v>-1.1065069720015901</v>
      </c>
      <c r="AE1577">
        <v>0.21409999999997301</v>
      </c>
      <c r="AF1577">
        <v>3.9048312607568199</v>
      </c>
      <c r="AG1577">
        <v>-1.1065069720015901</v>
      </c>
      <c r="AH1577">
        <v>8.2815440526713502</v>
      </c>
      <c r="AI1577">
        <v>96.890832346473204</v>
      </c>
      <c r="AJ1577">
        <v>64.755651285006493</v>
      </c>
      <c r="AK1577">
        <v>9.2225829760652296</v>
      </c>
      <c r="AL1577">
        <v>77.9322424782887</v>
      </c>
      <c r="AM1577">
        <v>71.870349011148704</v>
      </c>
      <c r="AN1577">
        <v>1.0000000261105599</v>
      </c>
    </row>
    <row r="1578" spans="1:40" x14ac:dyDescent="0.25">
      <c r="A1578" t="str">
        <f>"20190312172359410"</f>
        <v>20190312172359410</v>
      </c>
      <c r="B1578" t="str">
        <f>"1552382639401063"</f>
        <v>1552382639401063</v>
      </c>
      <c r="C1578" t="s">
        <v>40</v>
      </c>
      <c r="D1578">
        <v>3.9827319999999999</v>
      </c>
      <c r="E1578">
        <v>0.54041619999999901</v>
      </c>
      <c r="F1578" t="s">
        <v>47</v>
      </c>
      <c r="G1578">
        <v>-213.08879999999999</v>
      </c>
      <c r="H1578" s="1">
        <v>1.069263E-7</v>
      </c>
      <c r="I1578">
        <v>285.29820000000001</v>
      </c>
      <c r="J1578">
        <v>-203.8168</v>
      </c>
      <c r="K1578">
        <v>1.1066510000000001</v>
      </c>
      <c r="L1578">
        <v>285.05</v>
      </c>
      <c r="M1578">
        <v>-0.91786590000000001</v>
      </c>
      <c r="N1578">
        <v>0</v>
      </c>
      <c r="O1578">
        <v>-0.39663540000000003</v>
      </c>
      <c r="P1578">
        <v>-0.97539290000000001</v>
      </c>
      <c r="Q1578">
        <v>0.19842380000000001</v>
      </c>
      <c r="R1578">
        <v>-9.6109109999999998E-2</v>
      </c>
      <c r="S1578">
        <v>-3.1604160000000001</v>
      </c>
      <c r="T1578">
        <v>-0.3707703</v>
      </c>
      <c r="U1578">
        <v>6.3751219999999997E-2</v>
      </c>
      <c r="V1578">
        <v>0.30090850000000002</v>
      </c>
      <c r="W1578">
        <v>0.2085321</v>
      </c>
      <c r="X1578">
        <v>0.93057420000000002</v>
      </c>
      <c r="Y1578">
        <v>0.40968589999999999</v>
      </c>
      <c r="Z1578">
        <v>6.9371260000000004E-2</v>
      </c>
      <c r="AA1578">
        <v>0.90958519999999998</v>
      </c>
      <c r="AB1578">
        <v>17</v>
      </c>
      <c r="AC1578">
        <v>-9.2719999999999896</v>
      </c>
      <c r="AD1578">
        <v>-1.1066508930737</v>
      </c>
      <c r="AE1578">
        <v>0.24819999999999701</v>
      </c>
      <c r="AF1578">
        <v>3.85099368847801</v>
      </c>
      <c r="AG1578">
        <v>-1.1066508930737</v>
      </c>
      <c r="AH1578">
        <v>8.2947819529497693</v>
      </c>
      <c r="AI1578">
        <v>96.899799454079897</v>
      </c>
      <c r="AJ1578">
        <v>65.096112416901605</v>
      </c>
      <c r="AK1578">
        <v>9.2118530293757601</v>
      </c>
      <c r="AL1578">
        <v>77.963655994964299</v>
      </c>
      <c r="AM1578">
        <v>72.080977518556097</v>
      </c>
      <c r="AN1578">
        <v>0.99999995190414803</v>
      </c>
    </row>
    <row r="1579" spans="1:40" x14ac:dyDescent="0.25">
      <c r="A1579" t="str">
        <f>"20190312172359433"</f>
        <v>20190312172359433</v>
      </c>
      <c r="B1579" t="str">
        <f>"1552382639421563"</f>
        <v>1552382639421563</v>
      </c>
      <c r="C1579" t="s">
        <v>40</v>
      </c>
      <c r="D1579">
        <v>3.9214690000000001</v>
      </c>
      <c r="E1579">
        <v>0.54016549999999997</v>
      </c>
      <c r="F1579" t="s">
        <v>47</v>
      </c>
      <c r="G1579">
        <v>-213.1514</v>
      </c>
      <c r="H1579" s="1">
        <v>1.402179E-7</v>
      </c>
      <c r="I1579">
        <v>285.28379999999999</v>
      </c>
      <c r="J1579">
        <v>-203.97720000000001</v>
      </c>
      <c r="K1579">
        <v>1.1068180000000001</v>
      </c>
      <c r="L1579">
        <v>284.99299999999999</v>
      </c>
      <c r="M1579">
        <v>-0.92155050000000005</v>
      </c>
      <c r="N1579">
        <v>0</v>
      </c>
      <c r="O1579">
        <v>-0.38799889999999998</v>
      </c>
      <c r="P1579">
        <v>-0.97610439999999998</v>
      </c>
      <c r="Q1579">
        <v>0.1973944</v>
      </c>
      <c r="R1579">
        <v>-9.0858960000000002E-2</v>
      </c>
      <c r="S1579">
        <v>-3.1596829999999998</v>
      </c>
      <c r="T1579">
        <v>-0.37459110000000001</v>
      </c>
      <c r="U1579">
        <v>7.91626E-2</v>
      </c>
      <c r="V1579">
        <v>0.29714689999999999</v>
      </c>
      <c r="W1579">
        <v>0.20764730000000001</v>
      </c>
      <c r="X1579">
        <v>0.93197980000000002</v>
      </c>
      <c r="Y1579">
        <v>0.4055435</v>
      </c>
      <c r="Z1579">
        <v>6.8905159999999993E-2</v>
      </c>
      <c r="AA1579">
        <v>0.91147489999999998</v>
      </c>
      <c r="AB1579">
        <v>17</v>
      </c>
      <c r="AC1579">
        <v>-9.1741999999999795</v>
      </c>
      <c r="AD1579">
        <v>-1.1068178597820999</v>
      </c>
      <c r="AE1579">
        <v>0.29079999999999001</v>
      </c>
      <c r="AF1579">
        <v>3.7730894733760301</v>
      </c>
      <c r="AG1579">
        <v>-1.1068178597820999</v>
      </c>
      <c r="AH1579">
        <v>8.2229335047098004</v>
      </c>
      <c r="AI1579">
        <v>96.974759308354905</v>
      </c>
      <c r="AJ1579">
        <v>65.351996787240907</v>
      </c>
      <c r="AK1579">
        <v>9.1147070919318391</v>
      </c>
      <c r="AL1579">
        <v>78.015486635598407</v>
      </c>
      <c r="AM1579">
        <v>72.315947248955595</v>
      </c>
      <c r="AN1579">
        <v>1.0000000144924699</v>
      </c>
    </row>
    <row r="1580" spans="1:40" x14ac:dyDescent="0.25">
      <c r="A1580" t="str">
        <f>"20190312172359454"</f>
        <v>20190312172359454</v>
      </c>
      <c r="B1580" t="str">
        <f>"1552382639451816"</f>
        <v>1552382639451816</v>
      </c>
      <c r="C1580" t="s">
        <v>40</v>
      </c>
      <c r="D1580">
        <v>3.8979750000000002</v>
      </c>
      <c r="E1580">
        <v>0.53951269999999996</v>
      </c>
      <c r="F1580" t="s">
        <v>47</v>
      </c>
      <c r="G1580">
        <v>-213.22110000000001</v>
      </c>
      <c r="H1580" s="1">
        <v>1.77303999999999E-7</v>
      </c>
      <c r="I1580">
        <v>285.2663</v>
      </c>
      <c r="J1580">
        <v>-204.1328</v>
      </c>
      <c r="K1580">
        <v>1.106997</v>
      </c>
      <c r="L1580">
        <v>284.9391</v>
      </c>
      <c r="M1580">
        <v>-0.92493199999999998</v>
      </c>
      <c r="N1580">
        <v>0</v>
      </c>
      <c r="O1580">
        <v>-0.37986890000000001</v>
      </c>
      <c r="P1580">
        <v>-0.97682139999999995</v>
      </c>
      <c r="Q1580">
        <v>0.19583149999999999</v>
      </c>
      <c r="R1580">
        <v>-8.6430209999999993E-2</v>
      </c>
      <c r="S1580">
        <v>-3.15863</v>
      </c>
      <c r="T1580">
        <v>-0.37819910000000001</v>
      </c>
      <c r="U1580">
        <v>9.3383789999999994E-2</v>
      </c>
      <c r="V1580">
        <v>0.29316389999999998</v>
      </c>
      <c r="W1580">
        <v>0.20623610000000001</v>
      </c>
      <c r="X1580">
        <v>0.93355319999999997</v>
      </c>
      <c r="Y1580">
        <v>0.40159020000000001</v>
      </c>
      <c r="Z1580">
        <v>6.8445989999999998E-2</v>
      </c>
      <c r="AA1580">
        <v>0.91325820000000002</v>
      </c>
      <c r="AB1580">
        <v>17</v>
      </c>
      <c r="AC1580">
        <v>-9.0883000000000003</v>
      </c>
      <c r="AD1580">
        <v>-1.1069968226960001</v>
      </c>
      <c r="AE1580">
        <v>0.32720000000000399</v>
      </c>
      <c r="AF1580">
        <v>3.7005450510980098</v>
      </c>
      <c r="AG1580">
        <v>-1.1069968226960001</v>
      </c>
      <c r="AH1580">
        <v>8.1616637539253301</v>
      </c>
      <c r="AI1580">
        <v>97.042037096383794</v>
      </c>
      <c r="AJ1580">
        <v>65.610188464993499</v>
      </c>
      <c r="AK1580">
        <v>9.0295199691236903</v>
      </c>
      <c r="AL1580">
        <v>78.098131130329605</v>
      </c>
      <c r="AM1580">
        <v>72.566136267337399</v>
      </c>
      <c r="AN1580">
        <v>0.99999998921833</v>
      </c>
    </row>
    <row r="1581" spans="1:40" x14ac:dyDescent="0.25">
      <c r="A1581" t="str">
        <f>"20190312172359477"</f>
        <v>20190312172359477</v>
      </c>
      <c r="B1581" t="str">
        <f>"1552382639471337"</f>
        <v>1552382639471337</v>
      </c>
      <c r="C1581" t="s">
        <v>40</v>
      </c>
      <c r="D1581">
        <v>3.9922279999999999</v>
      </c>
      <c r="E1581">
        <v>0.53886339999999999</v>
      </c>
      <c r="F1581" t="s">
        <v>47</v>
      </c>
      <c r="G1581">
        <v>-213.52019999999999</v>
      </c>
      <c r="H1581" s="1">
        <v>3.3650960000000002E-7</v>
      </c>
      <c r="I1581">
        <v>285.24029999999999</v>
      </c>
      <c r="J1581">
        <v>-204.2944</v>
      </c>
      <c r="K1581">
        <v>1.107191</v>
      </c>
      <c r="L1581">
        <v>284.88440000000003</v>
      </c>
      <c r="M1581">
        <v>-0.92824700000000004</v>
      </c>
      <c r="N1581">
        <v>0</v>
      </c>
      <c r="O1581">
        <v>-0.37169669999999999</v>
      </c>
      <c r="P1581">
        <v>-0.9774465</v>
      </c>
      <c r="Q1581">
        <v>0.19500999999999999</v>
      </c>
      <c r="R1581">
        <v>-8.1052910000000006E-2</v>
      </c>
      <c r="S1581">
        <v>-3.1547390000000002</v>
      </c>
      <c r="T1581">
        <v>-0.37201640000000002</v>
      </c>
      <c r="U1581">
        <v>0.1011963</v>
      </c>
      <c r="V1581">
        <v>0.29000759999999998</v>
      </c>
      <c r="W1581">
        <v>0.20555760000000001</v>
      </c>
      <c r="X1581">
        <v>0.93468799999999996</v>
      </c>
      <c r="Y1581">
        <v>0.39607150000000002</v>
      </c>
      <c r="Z1581">
        <v>6.6190689999999996E-2</v>
      </c>
      <c r="AA1581">
        <v>0.9158309</v>
      </c>
      <c r="AB1581">
        <v>17</v>
      </c>
      <c r="AC1581">
        <v>-9.2257999999999907</v>
      </c>
      <c r="AD1581">
        <v>-1.1071906634903901</v>
      </c>
      <c r="AE1581">
        <v>0.35589999999996202</v>
      </c>
      <c r="AF1581">
        <v>3.70663149123749</v>
      </c>
      <c r="AG1581">
        <v>-1.1071906634903901</v>
      </c>
      <c r="AH1581">
        <v>8.3128264086284993</v>
      </c>
      <c r="AI1581">
        <v>96.935705869542801</v>
      </c>
      <c r="AJ1581">
        <v>65.968240044637199</v>
      </c>
      <c r="AK1581">
        <v>9.1688642195827708</v>
      </c>
      <c r="AL1581">
        <v>78.137857590840397</v>
      </c>
      <c r="AM1581">
        <v>72.762342064284297</v>
      </c>
      <c r="AN1581">
        <v>0.99999999615975899</v>
      </c>
    </row>
    <row r="1582" spans="1:40" x14ac:dyDescent="0.25">
      <c r="A1582" t="str">
        <f>"20190312172359500"</f>
        <v>20190312172359500</v>
      </c>
      <c r="B1582" t="str">
        <f>"1552382639491834"</f>
        <v>1552382639491834</v>
      </c>
      <c r="C1582" t="s">
        <v>40</v>
      </c>
      <c r="D1582">
        <v>3.8865340000000002</v>
      </c>
      <c r="E1582">
        <v>0.538390699999999</v>
      </c>
      <c r="F1582" t="s">
        <v>47</v>
      </c>
      <c r="G1582">
        <v>-213.5607</v>
      </c>
      <c r="H1582" s="1">
        <v>3.580203E-7</v>
      </c>
      <c r="I1582">
        <v>285.21420000000001</v>
      </c>
      <c r="J1582">
        <v>-204.46680000000001</v>
      </c>
      <c r="K1582">
        <v>1.107399</v>
      </c>
      <c r="L1582">
        <v>284.8272</v>
      </c>
      <c r="M1582">
        <v>-0.93157239999999997</v>
      </c>
      <c r="N1582">
        <v>0</v>
      </c>
      <c r="O1582">
        <v>-0.36328460000000001</v>
      </c>
      <c r="P1582">
        <v>-0.97808320000000004</v>
      </c>
      <c r="Q1582">
        <v>0.19392499999999999</v>
      </c>
      <c r="R1582">
        <v>-7.5805960000000006E-2</v>
      </c>
      <c r="S1582">
        <v>-3.1537169999999999</v>
      </c>
      <c r="T1582">
        <v>-0.37682369999999998</v>
      </c>
      <c r="U1582">
        <v>0.1122437</v>
      </c>
      <c r="V1582">
        <v>0.28651369999999998</v>
      </c>
      <c r="W1582">
        <v>0.20462610000000001</v>
      </c>
      <c r="X1582">
        <v>0.9359691</v>
      </c>
      <c r="Y1582">
        <v>0.39094410000000002</v>
      </c>
      <c r="Z1582">
        <v>6.5812399999999993E-2</v>
      </c>
      <c r="AA1582">
        <v>0.9180585</v>
      </c>
      <c r="AB1582">
        <v>17</v>
      </c>
      <c r="AC1582">
        <v>-9.0938999999999908</v>
      </c>
      <c r="AD1582">
        <v>-1.1073986419796999</v>
      </c>
      <c r="AE1582">
        <v>0.38700000000000001</v>
      </c>
      <c r="AF1582">
        <v>3.61110191200294</v>
      </c>
      <c r="AG1582">
        <v>-1.1073986419796999</v>
      </c>
      <c r="AH1582">
        <v>8.2103268589726799</v>
      </c>
      <c r="AI1582">
        <v>97.038378197687805</v>
      </c>
      <c r="AJ1582">
        <v>66.258936300041398</v>
      </c>
      <c r="AK1582">
        <v>9.0374695519430706</v>
      </c>
      <c r="AL1582">
        <v>78.192388403123104</v>
      </c>
      <c r="AM1582">
        <v>72.979891540370801</v>
      </c>
      <c r="AN1582">
        <v>1.0000000486218501</v>
      </c>
    </row>
    <row r="1583" spans="1:40" x14ac:dyDescent="0.25">
      <c r="A1583" t="str">
        <f>"20190312172359523"</f>
        <v>20190312172359523</v>
      </c>
      <c r="B1583" t="str">
        <f>"1552382639511355"</f>
        <v>1552382639511355</v>
      </c>
      <c r="C1583" t="s">
        <v>40</v>
      </c>
      <c r="D1583">
        <v>4.0013459999999998</v>
      </c>
      <c r="E1583">
        <v>0.53786179999999995</v>
      </c>
      <c r="F1583" t="s">
        <v>47</v>
      </c>
      <c r="G1583">
        <v>-213.6688</v>
      </c>
      <c r="H1583" s="1">
        <v>4.1554150000000002E-7</v>
      </c>
      <c r="I1583">
        <v>285.1859</v>
      </c>
      <c r="J1583">
        <v>-204.63</v>
      </c>
      <c r="K1583">
        <v>1.1075969999999999</v>
      </c>
      <c r="L1583">
        <v>284.77429999999998</v>
      </c>
      <c r="M1583">
        <v>-0.9345099</v>
      </c>
      <c r="N1583">
        <v>0</v>
      </c>
      <c r="O1583">
        <v>-0.35566170000000003</v>
      </c>
      <c r="P1583">
        <v>-0.97862819999999995</v>
      </c>
      <c r="Q1583">
        <v>0.19305130000000001</v>
      </c>
      <c r="R1583">
        <v>-7.0838880000000007E-2</v>
      </c>
      <c r="S1583">
        <v>-3.151932</v>
      </c>
      <c r="T1583">
        <v>-0.37931530000000002</v>
      </c>
      <c r="U1583">
        <v>0.1228638</v>
      </c>
      <c r="V1583">
        <v>0.28356170000000003</v>
      </c>
      <c r="W1583">
        <v>0.20388439999999999</v>
      </c>
      <c r="X1583">
        <v>0.93702929999999995</v>
      </c>
      <c r="Y1583">
        <v>0.38655099999999998</v>
      </c>
      <c r="Z1583">
        <v>6.5153749999999996E-2</v>
      </c>
      <c r="AA1583">
        <v>0.9199638</v>
      </c>
      <c r="AB1583">
        <v>17</v>
      </c>
      <c r="AC1583">
        <v>-9.0388000000000002</v>
      </c>
      <c r="AD1583">
        <v>-1.1075965844584901</v>
      </c>
      <c r="AE1583">
        <v>0.411600000000021</v>
      </c>
      <c r="AF1583">
        <v>3.5466079261999899</v>
      </c>
      <c r="AG1583">
        <v>-1.1075965844584901</v>
      </c>
      <c r="AH1583">
        <v>8.1787173735855205</v>
      </c>
      <c r="AI1583">
        <v>97.082443853372794</v>
      </c>
      <c r="AJ1583">
        <v>66.556581232407893</v>
      </c>
      <c r="AK1583">
        <v>8.9831295133198701</v>
      </c>
      <c r="AL1583">
        <v>78.235799289449801</v>
      </c>
      <c r="AM1583">
        <v>73.163253151932295</v>
      </c>
      <c r="AN1583">
        <v>0.99999999766436998</v>
      </c>
    </row>
    <row r="1584" spans="1:40" x14ac:dyDescent="0.25">
      <c r="A1584" t="str">
        <f>"20190312172359546"</f>
        <v>20190312172359546</v>
      </c>
      <c r="B1584" t="str">
        <f>"1552382639541608"</f>
        <v>1552382639541608</v>
      </c>
      <c r="C1584" t="s">
        <v>40</v>
      </c>
      <c r="D1584">
        <v>3.888001</v>
      </c>
      <c r="E1584">
        <v>0.53715179999999996</v>
      </c>
      <c r="F1584" t="s">
        <v>47</v>
      </c>
      <c r="G1584">
        <v>-213.77250000000001</v>
      </c>
      <c r="H1584" s="1">
        <v>4.7076639999999999E-7</v>
      </c>
      <c r="I1584">
        <v>285.16039999999998</v>
      </c>
      <c r="J1584">
        <v>-204.79750000000001</v>
      </c>
      <c r="K1584">
        <v>1.107783</v>
      </c>
      <c r="L1584">
        <v>284.72109999999998</v>
      </c>
      <c r="M1584">
        <v>-0.93732499999999996</v>
      </c>
      <c r="N1584">
        <v>0</v>
      </c>
      <c r="O1584">
        <v>-0.34817749999999997</v>
      </c>
      <c r="P1584">
        <v>-0.97909020000000002</v>
      </c>
      <c r="Q1584">
        <v>0.19214719999999999</v>
      </c>
      <c r="R1584">
        <v>-6.6800170000000006E-2</v>
      </c>
      <c r="S1584">
        <v>-3.150436</v>
      </c>
      <c r="T1584">
        <v>-0.38166679999999997</v>
      </c>
      <c r="U1584">
        <v>0.1330566</v>
      </c>
      <c r="V1584">
        <v>0.27988000000000002</v>
      </c>
      <c r="W1584">
        <v>0.20310980000000001</v>
      </c>
      <c r="X1584">
        <v>0.93830360000000002</v>
      </c>
      <c r="Y1584">
        <v>0.38218869999999999</v>
      </c>
      <c r="Z1584">
        <v>6.4464900000000006E-2</v>
      </c>
      <c r="AA1584">
        <v>0.92183300000000001</v>
      </c>
      <c r="AB1584">
        <v>17</v>
      </c>
      <c r="AC1584">
        <v>-8.9749999999999908</v>
      </c>
      <c r="AD1584">
        <v>-1.1077825292336001</v>
      </c>
      <c r="AE1584">
        <v>0.43930000000000202</v>
      </c>
      <c r="AF1584">
        <v>3.4840511555742499</v>
      </c>
      <c r="AG1584">
        <v>-1.1077825292336001</v>
      </c>
      <c r="AH1584">
        <v>8.1366746302032702</v>
      </c>
      <c r="AI1584">
        <v>97.133812366262504</v>
      </c>
      <c r="AJ1584">
        <v>66.819824849788105</v>
      </c>
      <c r="AK1584">
        <v>8.9202729007876798</v>
      </c>
      <c r="AL1584">
        <v>78.281129434150799</v>
      </c>
      <c r="AM1584">
        <v>73.391053069799497</v>
      </c>
      <c r="AN1584">
        <v>1.0000000255144901</v>
      </c>
    </row>
    <row r="1585" spans="1:40" x14ac:dyDescent="0.25">
      <c r="A1585" t="str">
        <f>"20190312172359566"</f>
        <v>20190312172359566</v>
      </c>
      <c r="B1585" t="str">
        <f>"1552382639561128"</f>
        <v>1552382639561128</v>
      </c>
      <c r="C1585" t="s">
        <v>40</v>
      </c>
      <c r="D1585">
        <v>4.1427230000000002</v>
      </c>
      <c r="E1585">
        <v>0.5369254</v>
      </c>
      <c r="F1585" t="s">
        <v>47</v>
      </c>
      <c r="G1585">
        <v>-213.93680000000001</v>
      </c>
      <c r="H1585" s="1">
        <v>5.582049E-7</v>
      </c>
      <c r="I1585">
        <v>285.12860000000001</v>
      </c>
      <c r="J1585">
        <v>-204.953</v>
      </c>
      <c r="K1585">
        <v>1.1079300000000001</v>
      </c>
      <c r="L1585">
        <v>284.67259999999999</v>
      </c>
      <c r="M1585">
        <v>-0.93978969999999995</v>
      </c>
      <c r="N1585">
        <v>0</v>
      </c>
      <c r="O1585">
        <v>-0.34147070000000002</v>
      </c>
      <c r="P1585">
        <v>-0.97930470000000003</v>
      </c>
      <c r="Q1585">
        <v>0.1918858</v>
      </c>
      <c r="R1585">
        <v>-6.4359630000000001E-2</v>
      </c>
      <c r="S1585">
        <v>-3.1485439999999998</v>
      </c>
      <c r="T1585">
        <v>-0.38163589999999997</v>
      </c>
      <c r="U1585">
        <v>0.14041139999999999</v>
      </c>
      <c r="V1585">
        <v>0.27543899999999999</v>
      </c>
      <c r="W1585">
        <v>0.2029572</v>
      </c>
      <c r="X1585">
        <v>0.93964979999999998</v>
      </c>
      <c r="Y1585">
        <v>0.37784040000000002</v>
      </c>
      <c r="Z1585">
        <v>6.346425E-2</v>
      </c>
      <c r="AA1585">
        <v>0.92369310000000004</v>
      </c>
      <c r="AB1585">
        <v>17</v>
      </c>
      <c r="AC1585">
        <v>-8.9838000000000005</v>
      </c>
      <c r="AD1585">
        <v>-1.10792944179509</v>
      </c>
      <c r="AE1585">
        <v>0.456000000000017</v>
      </c>
      <c r="AF1585">
        <v>3.44433546569419</v>
      </c>
      <c r="AG1585">
        <v>-1.10792944179509</v>
      </c>
      <c r="AH1585">
        <v>8.1641222090743604</v>
      </c>
      <c r="AI1585">
        <v>97.126998738850503</v>
      </c>
      <c r="AJ1585">
        <v>67.1257604412353</v>
      </c>
      <c r="AK1585">
        <v>8.9299409792526792</v>
      </c>
      <c r="AL1585">
        <v>78.290058534023103</v>
      </c>
      <c r="AM1585">
        <v>73.662586824741197</v>
      </c>
      <c r="AN1585">
        <v>1.0000000071964299</v>
      </c>
    </row>
    <row r="1586" spans="1:40" x14ac:dyDescent="0.25">
      <c r="A1586" t="str">
        <f>"20190312172359589"</f>
        <v>20190312172359589</v>
      </c>
      <c r="B1586" t="str">
        <f>"1552382639581624"</f>
        <v>1552382639581624</v>
      </c>
      <c r="C1586" t="s">
        <v>40</v>
      </c>
      <c r="D1586">
        <v>3.8502190000000001</v>
      </c>
      <c r="E1586">
        <v>0.52994809999999903</v>
      </c>
      <c r="F1586" t="s">
        <v>47</v>
      </c>
      <c r="G1586">
        <v>-214.11189999999999</v>
      </c>
      <c r="H1586" s="1">
        <v>6.5134429999999999E-7</v>
      </c>
      <c r="I1586">
        <v>285.09829999999999</v>
      </c>
      <c r="J1586">
        <v>-205.1131</v>
      </c>
      <c r="K1586">
        <v>1.10805</v>
      </c>
      <c r="L1586">
        <v>284.62360000000001</v>
      </c>
      <c r="M1586">
        <v>-0.94218650000000004</v>
      </c>
      <c r="N1586">
        <v>0</v>
      </c>
      <c r="O1586">
        <v>-0.33480219999999999</v>
      </c>
      <c r="P1586">
        <v>-0.97950479999999995</v>
      </c>
      <c r="Q1586">
        <v>0.19185679999999999</v>
      </c>
      <c r="R1586">
        <v>-6.132986E-2</v>
      </c>
      <c r="S1586">
        <v>-3.1475979999999999</v>
      </c>
      <c r="T1586">
        <v>-0.38075910000000002</v>
      </c>
      <c r="U1586">
        <v>0.1463013</v>
      </c>
      <c r="V1586">
        <v>0.27161220000000003</v>
      </c>
      <c r="W1586">
        <v>0.2030132</v>
      </c>
      <c r="X1586">
        <v>0.940751</v>
      </c>
      <c r="Y1586">
        <v>0.3731257</v>
      </c>
      <c r="Z1586">
        <v>6.2286729999999998E-2</v>
      </c>
      <c r="AA1586">
        <v>0.92568760000000005</v>
      </c>
      <c r="AB1586">
        <v>17</v>
      </c>
      <c r="AC1586">
        <v>-8.9987999999999797</v>
      </c>
      <c r="AD1586">
        <v>-1.1080493486556999</v>
      </c>
      <c r="AE1586">
        <v>0.47469999999998402</v>
      </c>
      <c r="AF1586">
        <v>3.4088654299112102</v>
      </c>
      <c r="AG1586">
        <v>-1.1080493486556999</v>
      </c>
      <c r="AH1586">
        <v>8.1964882724949604</v>
      </c>
      <c r="AI1586">
        <v>97.114928766446894</v>
      </c>
      <c r="AJ1586">
        <v>67.417896024891903</v>
      </c>
      <c r="AK1586">
        <v>8.9459799284062491</v>
      </c>
      <c r="AL1586">
        <v>78.286781612212195</v>
      </c>
      <c r="AM1586">
        <v>73.895593736180203</v>
      </c>
      <c r="AN1586">
        <v>0.99999999528203998</v>
      </c>
    </row>
    <row r="1587" spans="1:40" x14ac:dyDescent="0.25">
      <c r="A1587" t="str">
        <f>"20190312172359602"</f>
        <v>20190312172359602</v>
      </c>
      <c r="B1587" t="str">
        <f>"1552382639591384"</f>
        <v>1552382639591384</v>
      </c>
      <c r="C1587" t="s">
        <v>40</v>
      </c>
      <c r="D1587">
        <v>3.9190450000000001</v>
      </c>
      <c r="E1587">
        <v>0.52952339999999998</v>
      </c>
      <c r="F1587" t="s">
        <v>47</v>
      </c>
      <c r="G1587">
        <v>-216.22710000000001</v>
      </c>
      <c r="H1587" s="1">
        <v>1.7769659999999901E-6</v>
      </c>
      <c r="I1587">
        <v>284.96420000000001</v>
      </c>
      <c r="J1587">
        <v>-205.20949999999999</v>
      </c>
      <c r="K1587">
        <v>1.108115</v>
      </c>
      <c r="L1587">
        <v>284.59449999999998</v>
      </c>
      <c r="M1587">
        <v>-0.9435711</v>
      </c>
      <c r="N1587">
        <v>0</v>
      </c>
      <c r="O1587">
        <v>-0.33088129999999999</v>
      </c>
      <c r="P1587">
        <v>-0.97968999999999995</v>
      </c>
      <c r="Q1587">
        <v>0.1917257</v>
      </c>
      <c r="R1587">
        <v>-5.8728320000000001E-2</v>
      </c>
      <c r="S1587">
        <v>-3.1298979999999998</v>
      </c>
      <c r="T1587">
        <v>-0.31204530000000003</v>
      </c>
      <c r="U1587">
        <v>9.5916749999999995E-2</v>
      </c>
      <c r="V1587">
        <v>0.27016580000000001</v>
      </c>
      <c r="W1587">
        <v>0.2029212</v>
      </c>
      <c r="X1587">
        <v>0.94118729999999995</v>
      </c>
      <c r="Y1587">
        <v>0.35629820000000001</v>
      </c>
      <c r="Z1587">
        <v>5.0178979999999998E-2</v>
      </c>
      <c r="AA1587">
        <v>0.93302390000000002</v>
      </c>
      <c r="AB1587">
        <v>17</v>
      </c>
      <c r="AC1587">
        <v>-11.0176</v>
      </c>
      <c r="AD1587">
        <v>-1.1081132230339901</v>
      </c>
      <c r="AE1587">
        <v>0.36970000000002201</v>
      </c>
      <c r="AF1587">
        <v>3.9547776541506399</v>
      </c>
      <c r="AG1587">
        <v>-1.1081132230339901</v>
      </c>
      <c r="AH1587">
        <v>10.1717657328344</v>
      </c>
      <c r="AI1587">
        <v>95.797700684748406</v>
      </c>
      <c r="AJ1587">
        <v>68.753942330045106</v>
      </c>
      <c r="AK1587">
        <v>10.969639890739099</v>
      </c>
      <c r="AL1587">
        <v>78.292165562414993</v>
      </c>
      <c r="AM1587">
        <v>73.983987505555405</v>
      </c>
      <c r="AN1587">
        <v>1.00000005329018</v>
      </c>
    </row>
    <row r="1588" spans="1:40" x14ac:dyDescent="0.25">
      <c r="A1588" t="str">
        <f>"20190312172359622"</f>
        <v>20190312172359622</v>
      </c>
      <c r="B1588" t="str">
        <f>"1552382639610907"</f>
        <v>1552382639610907</v>
      </c>
      <c r="C1588" t="s">
        <v>40</v>
      </c>
      <c r="D1588">
        <v>3.8839239999999999</v>
      </c>
      <c r="E1588">
        <v>0.52925880000000003</v>
      </c>
      <c r="F1588" t="s">
        <v>47</v>
      </c>
      <c r="G1588">
        <v>-216.33459999999999</v>
      </c>
      <c r="H1588" s="1">
        <v>1.8341740000000001E-6</v>
      </c>
      <c r="I1588">
        <v>284.9477</v>
      </c>
      <c r="J1588">
        <v>-205.35489999999999</v>
      </c>
      <c r="K1588">
        <v>1.1082270000000001</v>
      </c>
      <c r="L1588">
        <v>284.55130000000003</v>
      </c>
      <c r="M1588">
        <v>-0.94555330000000004</v>
      </c>
      <c r="N1588">
        <v>0</v>
      </c>
      <c r="O1588">
        <v>-0.325175299999999</v>
      </c>
      <c r="P1588">
        <v>-0.97955769999999998</v>
      </c>
      <c r="Q1588">
        <v>0.1924814</v>
      </c>
      <c r="R1588">
        <v>-5.8461520000000003E-2</v>
      </c>
      <c r="S1588">
        <v>-3.1291350000000002</v>
      </c>
      <c r="T1588">
        <v>-0.3116776</v>
      </c>
      <c r="U1588">
        <v>9.9334720000000001E-2</v>
      </c>
      <c r="V1588">
        <v>0.26461770000000001</v>
      </c>
      <c r="W1588">
        <v>0.20377000000000001</v>
      </c>
      <c r="X1588">
        <v>0.94257899999999994</v>
      </c>
      <c r="Y1588">
        <v>0.35173680000000002</v>
      </c>
      <c r="Z1588">
        <v>4.9363230000000001E-2</v>
      </c>
      <c r="AA1588">
        <v>0.93479650000000003</v>
      </c>
      <c r="AB1588">
        <v>17</v>
      </c>
      <c r="AC1588">
        <v>-10.979699999999999</v>
      </c>
      <c r="AD1588">
        <v>-1.1082251658260001</v>
      </c>
      <c r="AE1588">
        <v>0.396399999999971</v>
      </c>
      <c r="AF1588">
        <v>3.9057803517479899</v>
      </c>
      <c r="AG1588">
        <v>-1.1082251658260001</v>
      </c>
      <c r="AH1588">
        <v>10.150688853947001</v>
      </c>
      <c r="AI1588">
        <v>95.818049039167406</v>
      </c>
      <c r="AJ1588">
        <v>68.954281479979699</v>
      </c>
      <c r="AK1588">
        <v>10.932509656246101</v>
      </c>
      <c r="AL1588">
        <v>78.242493978499994</v>
      </c>
      <c r="AM1588">
        <v>74.318553295494098</v>
      </c>
      <c r="AN1588">
        <v>0.99999995564714395</v>
      </c>
    </row>
    <row r="1589" spans="1:40" x14ac:dyDescent="0.25">
      <c r="A1589" t="str">
        <f>"20190312172359645"</f>
        <v>20190312172359645</v>
      </c>
      <c r="B1589" t="str">
        <f>"1552382639641160"</f>
        <v>1552382639641160</v>
      </c>
      <c r="C1589" t="s">
        <v>40</v>
      </c>
      <c r="D1589">
        <v>3.9538180000000001</v>
      </c>
      <c r="E1589">
        <v>0.50083149999999999</v>
      </c>
      <c r="F1589" t="s">
        <v>47</v>
      </c>
      <c r="G1589">
        <v>-216.57230000000001</v>
      </c>
      <c r="H1589" s="1">
        <v>1.9606860000000002E-6</v>
      </c>
      <c r="I1589">
        <v>284.89699999999999</v>
      </c>
      <c r="J1589">
        <v>-205.52070000000001</v>
      </c>
      <c r="K1589">
        <v>1.1083719999999999</v>
      </c>
      <c r="L1589">
        <v>284.50290000000001</v>
      </c>
      <c r="M1589">
        <v>-0.94767599999999996</v>
      </c>
      <c r="N1589">
        <v>0</v>
      </c>
      <c r="O1589">
        <v>-0.31893729999999998</v>
      </c>
      <c r="P1589">
        <v>-0.9796435</v>
      </c>
      <c r="Q1589">
        <v>0.19254959999999999</v>
      </c>
      <c r="R1589">
        <v>-5.6773249999999997E-2</v>
      </c>
      <c r="S1589">
        <v>-3.129105</v>
      </c>
      <c r="T1589">
        <v>-0.30914009999999997</v>
      </c>
      <c r="U1589">
        <v>9.6435549999999995E-2</v>
      </c>
      <c r="V1589">
        <v>0.25994040000000002</v>
      </c>
      <c r="W1589">
        <v>0.20393430000000001</v>
      </c>
      <c r="X1589">
        <v>0.94384409999999996</v>
      </c>
      <c r="Y1589">
        <v>0.34481650000000003</v>
      </c>
      <c r="Z1589">
        <v>4.8032369999999998E-2</v>
      </c>
      <c r="AA1589">
        <v>0.93744039999999995</v>
      </c>
      <c r="AB1589">
        <v>17</v>
      </c>
      <c r="AC1589">
        <v>-11.051600000000001</v>
      </c>
      <c r="AD1589">
        <v>-1.1083700393139999</v>
      </c>
      <c r="AE1589">
        <v>0.39409999999998002</v>
      </c>
      <c r="AF1589">
        <v>3.8598417358622799</v>
      </c>
      <c r="AG1589">
        <v>-1.1083700393139999</v>
      </c>
      <c r="AH1589">
        <v>10.245699731796</v>
      </c>
      <c r="AI1589">
        <v>95.780563216189094</v>
      </c>
      <c r="AJ1589">
        <v>69.357204519264798</v>
      </c>
      <c r="AK1589">
        <v>11.0046001910146</v>
      </c>
      <c r="AL1589">
        <v>78.232878274897303</v>
      </c>
      <c r="AM1589">
        <v>74.6021203691311</v>
      </c>
      <c r="AN1589">
        <v>0.99999994768672795</v>
      </c>
    </row>
    <row r="1590" spans="1:40" x14ac:dyDescent="0.25">
      <c r="A1590" t="str">
        <f>"20190312172359667"</f>
        <v>20190312172359667</v>
      </c>
      <c r="B1590" t="str">
        <f>"1552382639661656"</f>
        <v>1552382639661656</v>
      </c>
      <c r="C1590" t="s">
        <v>40</v>
      </c>
      <c r="D1590">
        <v>3.8107690000000001</v>
      </c>
      <c r="E1590">
        <v>0.49795630000000002</v>
      </c>
      <c r="F1590" t="s">
        <v>47</v>
      </c>
      <c r="G1590">
        <v>-218.55709999999999</v>
      </c>
      <c r="H1590" s="1">
        <v>3.0168629999999999E-6</v>
      </c>
      <c r="I1590">
        <v>283.9742</v>
      </c>
      <c r="J1590">
        <v>-205.67830000000001</v>
      </c>
      <c r="K1590">
        <v>1.1085179999999999</v>
      </c>
      <c r="L1590">
        <v>284.45760000000001</v>
      </c>
      <c r="M1590">
        <v>-0.94957720000000001</v>
      </c>
      <c r="N1590">
        <v>0</v>
      </c>
      <c r="O1590">
        <v>-0.31323329999999999</v>
      </c>
      <c r="P1590">
        <v>-0.97971200000000003</v>
      </c>
      <c r="Q1590">
        <v>0.192305</v>
      </c>
      <c r="R1590">
        <v>-5.6418299999999998E-2</v>
      </c>
      <c r="S1590">
        <v>-3.1069490000000002</v>
      </c>
      <c r="T1590">
        <v>-0.26415729999999998</v>
      </c>
      <c r="U1590">
        <v>-0.12600710000000001</v>
      </c>
      <c r="V1590">
        <v>0.25453150000000002</v>
      </c>
      <c r="W1590">
        <v>0.20379240000000001</v>
      </c>
      <c r="X1590">
        <v>0.94534779999999996</v>
      </c>
      <c r="Y1590">
        <v>0.27244810000000003</v>
      </c>
      <c r="Z1590">
        <v>3.7746040000000002E-2</v>
      </c>
      <c r="AA1590">
        <v>0.9614298</v>
      </c>
      <c r="AB1590">
        <v>17</v>
      </c>
      <c r="AC1590">
        <v>-12.878799999999901</v>
      </c>
      <c r="AD1590">
        <v>-1.108514983137</v>
      </c>
      <c r="AE1590">
        <v>-0.48340000000001698</v>
      </c>
      <c r="AF1590">
        <v>3.5491227717749201</v>
      </c>
      <c r="AG1590">
        <v>-1.108514983137</v>
      </c>
      <c r="AH1590">
        <v>12.2910653559053</v>
      </c>
      <c r="AI1590">
        <v>94.952230506293404</v>
      </c>
      <c r="AJ1590">
        <v>73.893592699730604</v>
      </c>
      <c r="AK1590">
        <v>12.8411590403711</v>
      </c>
      <c r="AL1590">
        <v>78.241184109174597</v>
      </c>
      <c r="AM1590">
        <v>74.930676337476498</v>
      </c>
      <c r="AN1590">
        <v>1.00000004487742</v>
      </c>
    </row>
    <row r="1591" spans="1:40" x14ac:dyDescent="0.25">
      <c r="A1591" t="str">
        <f>"20190312172359689"</f>
        <v>20190312172359689</v>
      </c>
      <c r="B1591" t="str">
        <f>"1552382639681176"</f>
        <v>1552382639681176</v>
      </c>
      <c r="C1591" t="s">
        <v>40</v>
      </c>
      <c r="D1591">
        <v>3.9232079999999998</v>
      </c>
      <c r="E1591">
        <v>0.49586029999999998</v>
      </c>
      <c r="F1591" t="s">
        <v>47</v>
      </c>
      <c r="G1591">
        <v>-219.53450000000001</v>
      </c>
      <c r="H1591" s="1">
        <v>3.5369809999999999E-6</v>
      </c>
      <c r="I1591">
        <v>283.79599999999999</v>
      </c>
      <c r="J1591">
        <v>-205.84110000000001</v>
      </c>
      <c r="K1591">
        <v>1.1086609999999999</v>
      </c>
      <c r="L1591">
        <v>284.41149999999999</v>
      </c>
      <c r="M1591">
        <v>-0.95142479999999996</v>
      </c>
      <c r="N1591">
        <v>0</v>
      </c>
      <c r="O1591">
        <v>-0.307577299999999</v>
      </c>
      <c r="P1591">
        <v>-0.97966220000000004</v>
      </c>
      <c r="Q1591">
        <v>0.19295200000000001</v>
      </c>
      <c r="R1591">
        <v>-5.5058889999999999E-2</v>
      </c>
      <c r="S1591">
        <v>-3.1022949999999998</v>
      </c>
      <c r="T1591">
        <v>-0.24818779999999999</v>
      </c>
      <c r="U1591">
        <v>-0.14813229999999999</v>
      </c>
      <c r="V1591">
        <v>0.25009379999999998</v>
      </c>
      <c r="W1591">
        <v>0.2045323</v>
      </c>
      <c r="X1591">
        <v>0.94637190000000004</v>
      </c>
      <c r="Y1591">
        <v>0.26009490000000002</v>
      </c>
      <c r="Z1591">
        <v>3.458692E-2</v>
      </c>
      <c r="AA1591">
        <v>0.96496340000000003</v>
      </c>
      <c r="AB1591">
        <v>17</v>
      </c>
      <c r="AC1591">
        <v>-13.693399999999899</v>
      </c>
      <c r="AD1591">
        <v>-1.108657463019</v>
      </c>
      <c r="AE1591">
        <v>-0.61549999999999705</v>
      </c>
      <c r="AF1591">
        <v>3.6029465623708901</v>
      </c>
      <c r="AG1591">
        <v>-1.108657463019</v>
      </c>
      <c r="AH1591">
        <v>13.132878220428999</v>
      </c>
      <c r="AI1591">
        <v>94.654205379759802</v>
      </c>
      <c r="AJ1591">
        <v>74.658616002602201</v>
      </c>
      <c r="AK1591">
        <v>13.6631927328215</v>
      </c>
      <c r="AL1591">
        <v>78.197879148065795</v>
      </c>
      <c r="AM1591">
        <v>75.197082244005998</v>
      </c>
      <c r="AN1591">
        <v>1.0000000718256601</v>
      </c>
    </row>
    <row r="1592" spans="1:40" x14ac:dyDescent="0.25">
      <c r="A1592" t="str">
        <f>"20190312172359711"</f>
        <v>20190312172359711</v>
      </c>
      <c r="B1592" t="str">
        <f>"1552382639701674"</f>
        <v>1552382639701674</v>
      </c>
      <c r="C1592" t="s">
        <v>40</v>
      </c>
      <c r="D1592">
        <v>3.87758</v>
      </c>
      <c r="E1592">
        <v>0.49441869999999999</v>
      </c>
      <c r="F1592" t="s">
        <v>47</v>
      </c>
      <c r="G1592">
        <v>-220.0805</v>
      </c>
      <c r="H1592" s="1">
        <v>-1.4939359999999999E-6</v>
      </c>
      <c r="I1592">
        <v>283.66300000000001</v>
      </c>
      <c r="J1592">
        <v>-206.0026</v>
      </c>
      <c r="K1592">
        <v>1.1088180000000001</v>
      </c>
      <c r="L1592">
        <v>284.3664</v>
      </c>
      <c r="M1592">
        <v>-0.95313389999999998</v>
      </c>
      <c r="N1592">
        <v>0</v>
      </c>
      <c r="O1592">
        <v>-0.3022417</v>
      </c>
      <c r="P1592">
        <v>-0.97969779999999995</v>
      </c>
      <c r="Q1592">
        <v>0.19292290000000001</v>
      </c>
      <c r="R1592">
        <v>-5.4526610000000003E-2</v>
      </c>
      <c r="S1592">
        <v>-3.1006770000000001</v>
      </c>
      <c r="T1592">
        <v>-0.2414153</v>
      </c>
      <c r="U1592">
        <v>-0.16299439999999901</v>
      </c>
      <c r="V1592">
        <v>0.24521509999999999</v>
      </c>
      <c r="W1592">
        <v>0.20460229999999999</v>
      </c>
      <c r="X1592">
        <v>0.94763260000000005</v>
      </c>
      <c r="Y1592">
        <v>0.25017489999999998</v>
      </c>
      <c r="Z1592">
        <v>3.2872539999999999E-2</v>
      </c>
      <c r="AA1592">
        <v>0.96764240000000001</v>
      </c>
      <c r="AB1592">
        <v>17</v>
      </c>
      <c r="AC1592">
        <v>-14.0779</v>
      </c>
      <c r="AD1592">
        <v>-1.1088194939360001</v>
      </c>
      <c r="AE1592">
        <v>-0.70339999999998704</v>
      </c>
      <c r="AF1592">
        <v>3.5627798210505199</v>
      </c>
      <c r="AG1592">
        <v>-1.1088194939360001</v>
      </c>
      <c r="AH1592">
        <v>13.5481480818896</v>
      </c>
      <c r="AI1592">
        <v>94.525628411391693</v>
      </c>
      <c r="AJ1592">
        <v>75.266413709826097</v>
      </c>
      <c r="AK1592">
        <v>14.0525868498375</v>
      </c>
      <c r="AL1592">
        <v>78.193781479847303</v>
      </c>
      <c r="AM1592">
        <v>75.492029639130394</v>
      </c>
      <c r="AN1592">
        <v>1.00000004550802</v>
      </c>
    </row>
    <row r="1593" spans="1:40" x14ac:dyDescent="0.25">
      <c r="A1593" t="str">
        <f>"20190312172359734"</f>
        <v>20190312172359734</v>
      </c>
      <c r="B1593" t="str">
        <f>"1552382639731928"</f>
        <v>1552382639731928</v>
      </c>
      <c r="C1593" t="s">
        <v>40</v>
      </c>
      <c r="D1593">
        <v>3.864773</v>
      </c>
      <c r="E1593">
        <v>0.4935215</v>
      </c>
      <c r="F1593" t="s">
        <v>47</v>
      </c>
      <c r="G1593">
        <v>-220.33770000000001</v>
      </c>
      <c r="H1593" s="1">
        <v>-1.357066E-6</v>
      </c>
      <c r="I1593">
        <v>283.55590000000001</v>
      </c>
      <c r="J1593">
        <v>-206.16579999999999</v>
      </c>
      <c r="K1593">
        <v>1.1089789999999999</v>
      </c>
      <c r="L1593">
        <v>284.32150000000001</v>
      </c>
      <c r="M1593">
        <v>-0.95473160000000001</v>
      </c>
      <c r="N1593">
        <v>0</v>
      </c>
      <c r="O1593">
        <v>-0.29715770000000002</v>
      </c>
      <c r="P1593">
        <v>-0.97970259999999998</v>
      </c>
      <c r="Q1593">
        <v>0.1927818</v>
      </c>
      <c r="R1593">
        <v>-5.4940299999999997E-2</v>
      </c>
      <c r="S1593">
        <v>-3.09964</v>
      </c>
      <c r="T1593">
        <v>-0.2397571</v>
      </c>
      <c r="U1593">
        <v>-0.17526249999999999</v>
      </c>
      <c r="V1593">
        <v>0.239674</v>
      </c>
      <c r="W1593">
        <v>0.20456589999999999</v>
      </c>
      <c r="X1593">
        <v>0.94905700000000004</v>
      </c>
      <c r="Y1593">
        <v>0.24123320000000001</v>
      </c>
      <c r="Z1593">
        <v>3.1929880000000001E-2</v>
      </c>
      <c r="AA1593">
        <v>0.96994179999999997</v>
      </c>
      <c r="AB1593">
        <v>17</v>
      </c>
      <c r="AC1593">
        <v>-14.171900000000001</v>
      </c>
      <c r="AD1593">
        <v>-1.108980357066</v>
      </c>
      <c r="AE1593">
        <v>-0.76560000000000605</v>
      </c>
      <c r="AF1593">
        <v>3.4595459650896201</v>
      </c>
      <c r="AG1593">
        <v>-1.108980357066</v>
      </c>
      <c r="AH1593">
        <v>13.6756390851878</v>
      </c>
      <c r="AI1593">
        <v>94.495073990037895</v>
      </c>
      <c r="AJ1593">
        <v>75.803633273386595</v>
      </c>
      <c r="AK1593">
        <v>14.1499611344075</v>
      </c>
      <c r="AL1593">
        <v>78.195911703721094</v>
      </c>
      <c r="AM1593">
        <v>75.826916497636205</v>
      </c>
      <c r="AN1593">
        <v>1.0000000114839001</v>
      </c>
    </row>
    <row r="1594" spans="1:40" x14ac:dyDescent="0.25">
      <c r="A1594" t="str">
        <f>"20190312172359758"</f>
        <v>20190312172359758</v>
      </c>
      <c r="B1594" t="str">
        <f>"1552382639751448"</f>
        <v>1552382639751448</v>
      </c>
      <c r="C1594" t="s">
        <v>40</v>
      </c>
      <c r="D1594">
        <v>3.8815580000000001</v>
      </c>
      <c r="E1594">
        <v>0.4928302</v>
      </c>
      <c r="F1594" t="s">
        <v>47</v>
      </c>
      <c r="G1594">
        <v>-220.7638</v>
      </c>
      <c r="H1594" s="1">
        <v>-1.130338E-6</v>
      </c>
      <c r="I1594">
        <v>283.45940000000002</v>
      </c>
      <c r="J1594">
        <v>-206.33430000000001</v>
      </c>
      <c r="K1594">
        <v>1.109143</v>
      </c>
      <c r="L1594">
        <v>284.27569999999997</v>
      </c>
      <c r="M1594">
        <v>-0.95624940000000003</v>
      </c>
      <c r="N1594">
        <v>0</v>
      </c>
      <c r="O1594">
        <v>-0.29223789999999999</v>
      </c>
      <c r="P1594">
        <v>-0.97960340000000001</v>
      </c>
      <c r="Q1594">
        <v>0.19302929999999999</v>
      </c>
      <c r="R1594">
        <v>-5.5829940000000002E-2</v>
      </c>
      <c r="S1594">
        <v>-3.0982210000000001</v>
      </c>
      <c r="T1594">
        <v>-0.23536499999999999</v>
      </c>
      <c r="U1594">
        <v>-0.18298339999999999</v>
      </c>
      <c r="V1594">
        <v>0.23380680000000001</v>
      </c>
      <c r="W1594">
        <v>0.20492150000000001</v>
      </c>
      <c r="X1594">
        <v>0.95044280000000003</v>
      </c>
      <c r="Y1594">
        <v>0.23388709999999999</v>
      </c>
      <c r="Z1594">
        <v>3.0720040000000001E-2</v>
      </c>
      <c r="AA1594">
        <v>0.97177829999999998</v>
      </c>
      <c r="AB1594">
        <v>17</v>
      </c>
      <c r="AC1594">
        <v>-14.4294999999999</v>
      </c>
      <c r="AD1594">
        <v>-1.1091441303380001</v>
      </c>
      <c r="AE1594">
        <v>-0.81629999999995495</v>
      </c>
      <c r="AF1594">
        <v>3.4164551840584898</v>
      </c>
      <c r="AG1594">
        <v>-1.1091441303380001</v>
      </c>
      <c r="AH1594">
        <v>13.9558523650973</v>
      </c>
      <c r="AI1594">
        <v>94.414234046528705</v>
      </c>
      <c r="AJ1594">
        <v>76.244267900354799</v>
      </c>
      <c r="AK1594">
        <v>14.4106967896398</v>
      </c>
      <c r="AL1594">
        <v>78.175095968679599</v>
      </c>
      <c r="AM1594">
        <v>76.179781481108293</v>
      </c>
      <c r="AN1594">
        <v>0.99999997848016398</v>
      </c>
    </row>
    <row r="1595" spans="1:40" x14ac:dyDescent="0.25">
      <c r="A1595" t="str">
        <f>"20190312172359779"</f>
        <v>20190312172359779</v>
      </c>
      <c r="B1595" t="str">
        <f>"1552382639771944"</f>
        <v>1552382639771944</v>
      </c>
      <c r="C1595" t="s">
        <v>40</v>
      </c>
      <c r="D1595">
        <v>3.893364</v>
      </c>
      <c r="E1595">
        <v>0.49233290000000002</v>
      </c>
      <c r="F1595" t="s">
        <v>47</v>
      </c>
      <c r="G1595">
        <v>-221.03980000000001</v>
      </c>
      <c r="H1595" s="1">
        <v>-9.8348000000000007E-7</v>
      </c>
      <c r="I1595">
        <v>283.37619999999998</v>
      </c>
      <c r="J1595">
        <v>-206.4932</v>
      </c>
      <c r="K1595">
        <v>1.1092959999999901</v>
      </c>
      <c r="L1595">
        <v>284.2328</v>
      </c>
      <c r="M1595">
        <v>-0.95755919999999894</v>
      </c>
      <c r="N1595">
        <v>0</v>
      </c>
      <c r="O1595">
        <v>-0.28791889999999998</v>
      </c>
      <c r="P1595">
        <v>-0.97958080000000003</v>
      </c>
      <c r="Q1595">
        <v>0.19332840000000001</v>
      </c>
      <c r="R1595">
        <v>-5.5184480000000001E-2</v>
      </c>
      <c r="S1595">
        <v>-3.097702</v>
      </c>
      <c r="T1595">
        <v>-0.2336414</v>
      </c>
      <c r="U1595">
        <v>-0.1894836</v>
      </c>
      <c r="V1595">
        <v>0.2300325</v>
      </c>
      <c r="W1595">
        <v>0.20530799999999999</v>
      </c>
      <c r="X1595">
        <v>0.95128000000000001</v>
      </c>
      <c r="Y1595">
        <v>0.2275044</v>
      </c>
      <c r="Z1595">
        <v>2.9944510000000001E-2</v>
      </c>
      <c r="AA1595">
        <v>0.97331659999999998</v>
      </c>
      <c r="AB1595">
        <v>17</v>
      </c>
      <c r="AC1595">
        <v>-14.5466</v>
      </c>
      <c r="AD1595">
        <v>-1.1092969834799999</v>
      </c>
      <c r="AE1595">
        <v>-0.85660000000001402</v>
      </c>
      <c r="AF1595">
        <v>3.3488966531077899</v>
      </c>
      <c r="AG1595">
        <v>-1.1092969834799999</v>
      </c>
      <c r="AH1595">
        <v>14.095473611357001</v>
      </c>
      <c r="AI1595">
        <v>94.378449051259494</v>
      </c>
      <c r="AJ1595">
        <v>76.635080908766994</v>
      </c>
      <c r="AK1595">
        <v>14.530245177532899</v>
      </c>
      <c r="AL1595">
        <v>78.152470120196298</v>
      </c>
      <c r="AM1595">
        <v>76.406051607633799</v>
      </c>
      <c r="AN1595">
        <v>0.99999998216012398</v>
      </c>
    </row>
    <row r="1596" spans="1:40" x14ac:dyDescent="0.25">
      <c r="A1596" t="str">
        <f>"20190312172359802"</f>
        <v>20190312172359802</v>
      </c>
      <c r="B1596" t="str">
        <f>"1552382639791464"</f>
        <v>1552382639791464</v>
      </c>
      <c r="C1596" t="s">
        <v>40</v>
      </c>
      <c r="D1596">
        <v>3.7719469999999999</v>
      </c>
      <c r="E1596">
        <v>0.49194599999999999</v>
      </c>
      <c r="F1596" t="s">
        <v>47</v>
      </c>
      <c r="G1596">
        <v>-221.30609999999999</v>
      </c>
      <c r="H1596" s="1">
        <v>-8.4174369999999899E-7</v>
      </c>
      <c r="I1596">
        <v>283.31220000000002</v>
      </c>
      <c r="J1596">
        <v>-206.654</v>
      </c>
      <c r="K1596">
        <v>1.1094649999999999</v>
      </c>
      <c r="L1596">
        <v>284.18990000000002</v>
      </c>
      <c r="M1596">
        <v>-0.95876589999999995</v>
      </c>
      <c r="N1596">
        <v>0</v>
      </c>
      <c r="O1596">
        <v>-0.28387649999999998</v>
      </c>
      <c r="P1596">
        <v>-0.97953559999999995</v>
      </c>
      <c r="Q1596">
        <v>0.19369839999999999</v>
      </c>
      <c r="R1596">
        <v>-5.4691490000000002E-2</v>
      </c>
      <c r="S1596">
        <v>-3.0974879999999998</v>
      </c>
      <c r="T1596">
        <v>-0.23196269999999999</v>
      </c>
      <c r="U1596">
        <v>-0.19250490000000001</v>
      </c>
      <c r="V1596">
        <v>0.22638230000000001</v>
      </c>
      <c r="W1596">
        <v>0.2057648</v>
      </c>
      <c r="X1596">
        <v>0.95205660000000003</v>
      </c>
      <c r="Y1596">
        <v>0.2224893</v>
      </c>
      <c r="Z1596">
        <v>2.925227E-2</v>
      </c>
      <c r="AA1596">
        <v>0.97449620000000003</v>
      </c>
      <c r="AB1596">
        <v>17</v>
      </c>
      <c r="AC1596">
        <v>-14.6520999999999</v>
      </c>
      <c r="AD1596">
        <v>-1.1094658417437</v>
      </c>
      <c r="AE1596">
        <v>-0.87770000000000403</v>
      </c>
      <c r="AF1596">
        <v>3.29933070260177</v>
      </c>
      <c r="AG1596">
        <v>-1.1094658417437</v>
      </c>
      <c r="AH1596">
        <v>14.2171698022591</v>
      </c>
      <c r="AI1596">
        <v>94.347089248738797</v>
      </c>
      <c r="AJ1596">
        <v>76.9348262660655</v>
      </c>
      <c r="AK1596">
        <v>14.6370903777149</v>
      </c>
      <c r="AL1596">
        <v>78.125725836588501</v>
      </c>
      <c r="AM1596">
        <v>76.624466326890001</v>
      </c>
      <c r="AN1596">
        <v>0.99999993413794197</v>
      </c>
    </row>
    <row r="1597" spans="1:40" x14ac:dyDescent="0.25">
      <c r="A1597" t="str">
        <f>"20190312172359823"</f>
        <v>20190312172359823</v>
      </c>
      <c r="B1597" t="str">
        <f>"1552382639810984"</f>
        <v>1552382639810984</v>
      </c>
      <c r="C1597" t="s">
        <v>40</v>
      </c>
      <c r="D1597">
        <v>3.788211</v>
      </c>
      <c r="E1597">
        <v>0.4918438</v>
      </c>
      <c r="F1597" t="s">
        <v>47</v>
      </c>
      <c r="G1597">
        <v>-221.68219999999999</v>
      </c>
      <c r="H1597" s="1">
        <v>-6.4162079999999999E-7</v>
      </c>
      <c r="I1597">
        <v>283.2346</v>
      </c>
      <c r="J1597">
        <v>-206.80549999999999</v>
      </c>
      <c r="K1597">
        <v>1.109615</v>
      </c>
      <c r="L1597">
        <v>284.1497</v>
      </c>
      <c r="M1597">
        <v>-0.95979709999999996</v>
      </c>
      <c r="N1597">
        <v>0</v>
      </c>
      <c r="O1597">
        <v>-0.28037129999999999</v>
      </c>
      <c r="P1597">
        <v>-0.97957470000000002</v>
      </c>
      <c r="Q1597">
        <v>0.19302939999999999</v>
      </c>
      <c r="R1597">
        <v>-5.6331010000000001E-2</v>
      </c>
      <c r="S1597">
        <v>-3.0968930000000001</v>
      </c>
      <c r="T1597">
        <v>-0.22863049999999999</v>
      </c>
      <c r="U1597">
        <v>-0.19686890000000001</v>
      </c>
      <c r="V1597">
        <v>0.22124930000000001</v>
      </c>
      <c r="W1597">
        <v>0.20518800000000001</v>
      </c>
      <c r="X1597">
        <v>0.95338690000000004</v>
      </c>
      <c r="Y1597">
        <v>0.21760689999999999</v>
      </c>
      <c r="Z1597">
        <v>2.840784E-2</v>
      </c>
      <c r="AA1597">
        <v>0.97562300000000002</v>
      </c>
      <c r="AB1597">
        <v>16</v>
      </c>
      <c r="AC1597">
        <v>-14.8767</v>
      </c>
      <c r="AD1597">
        <v>-1.1096156416208001</v>
      </c>
      <c r="AE1597">
        <v>-0.91509999999999503</v>
      </c>
      <c r="AF1597">
        <v>3.2748379735204902</v>
      </c>
      <c r="AG1597">
        <v>-1.1096156416208001</v>
      </c>
      <c r="AH1597">
        <v>14.456378352198501</v>
      </c>
      <c r="AI1597">
        <v>94.281141478851893</v>
      </c>
      <c r="AJ1597">
        <v>77.236075044222503</v>
      </c>
      <c r="AK1597">
        <v>14.8641409333623</v>
      </c>
      <c r="AL1597">
        <v>78.159495086462201</v>
      </c>
      <c r="AM1597">
        <v>76.934825479485497</v>
      </c>
      <c r="AN1597">
        <v>0.99999997459304901</v>
      </c>
    </row>
    <row r="1598" spans="1:40" x14ac:dyDescent="0.25">
      <c r="A1598" t="str">
        <f>"20190312172359846"</f>
        <v>20190312172359846</v>
      </c>
      <c r="B1598" t="str">
        <f>"1552382639841240"</f>
        <v>1552382639841240</v>
      </c>
      <c r="C1598" t="s">
        <v>40</v>
      </c>
      <c r="D1598">
        <v>3.826149</v>
      </c>
      <c r="E1598">
        <v>0.49172300000000002</v>
      </c>
      <c r="F1598" t="s">
        <v>47</v>
      </c>
      <c r="G1598">
        <v>-221.91560000000001</v>
      </c>
      <c r="H1598" s="1">
        <v>-5.1739399999999995E-7</v>
      </c>
      <c r="I1598">
        <v>283.16050000000001</v>
      </c>
      <c r="J1598">
        <v>-206.96639999999999</v>
      </c>
      <c r="K1598">
        <v>1.10975</v>
      </c>
      <c r="L1598">
        <v>284.10739999999998</v>
      </c>
      <c r="M1598">
        <v>-0.96080209999999999</v>
      </c>
      <c r="N1598">
        <v>0</v>
      </c>
      <c r="O1598">
        <v>-0.27690939999999997</v>
      </c>
      <c r="P1598">
        <v>-0.97959569999999996</v>
      </c>
      <c r="Q1598">
        <v>0.19228770000000001</v>
      </c>
      <c r="R1598">
        <v>-5.8464710000000003E-2</v>
      </c>
      <c r="S1598">
        <v>-3.095688</v>
      </c>
      <c r="T1598">
        <v>-0.22733329999999999</v>
      </c>
      <c r="U1598">
        <v>-0.20266719999999999</v>
      </c>
      <c r="V1598">
        <v>0.21568870000000001</v>
      </c>
      <c r="W1598">
        <v>0.20452619999999999</v>
      </c>
      <c r="X1598">
        <v>0.95480229999999999</v>
      </c>
      <c r="Y1598">
        <v>0.2122791</v>
      </c>
      <c r="Z1598">
        <v>2.781525E-2</v>
      </c>
      <c r="AA1598">
        <v>0.97681309999999999</v>
      </c>
      <c r="AB1598">
        <v>16</v>
      </c>
      <c r="AC1598">
        <v>-14.949199999999999</v>
      </c>
      <c r="AD1598">
        <v>-1.1097505173940001</v>
      </c>
      <c r="AE1598">
        <v>-0.94689999999997099</v>
      </c>
      <c r="AF1598">
        <v>3.2124496057395602</v>
      </c>
      <c r="AG1598">
        <v>-1.1097505173940001</v>
      </c>
      <c r="AH1598">
        <v>14.5469036918845</v>
      </c>
      <c r="AI1598">
        <v>94.260262771972094</v>
      </c>
      <c r="AJ1598">
        <v>77.547015758062201</v>
      </c>
      <c r="AK1598">
        <v>14.938667467389299</v>
      </c>
      <c r="AL1598">
        <v>78.198235423429793</v>
      </c>
      <c r="AM1598">
        <v>77.270609588544502</v>
      </c>
      <c r="AN1598">
        <v>1.0000000069397099</v>
      </c>
    </row>
    <row r="1599" spans="1:40" x14ac:dyDescent="0.25">
      <c r="A1599" t="str">
        <f>"20190312172359867"</f>
        <v>20190312172359867</v>
      </c>
      <c r="B1599" t="str">
        <f>"1552382639861736"</f>
        <v>1552382639861736</v>
      </c>
      <c r="C1599" t="s">
        <v>40</v>
      </c>
      <c r="D1599">
        <v>3.7969439999999999</v>
      </c>
      <c r="E1599">
        <v>0.49171700000000002</v>
      </c>
      <c r="F1599" t="s">
        <v>47</v>
      </c>
      <c r="G1599">
        <v>-222.1729</v>
      </c>
      <c r="H1599" s="1">
        <v>-3.8046180000000002E-7</v>
      </c>
      <c r="I1599">
        <v>283.08359999999999</v>
      </c>
      <c r="J1599">
        <v>-207.12440000000001</v>
      </c>
      <c r="K1599">
        <v>1.1098440000000001</v>
      </c>
      <c r="L1599">
        <v>284.06599999999997</v>
      </c>
      <c r="M1599">
        <v>-0.96170869999999997</v>
      </c>
      <c r="N1599">
        <v>0</v>
      </c>
      <c r="O1599">
        <v>-0.27374520000000002</v>
      </c>
      <c r="P1599">
        <v>-0.97944240000000005</v>
      </c>
      <c r="Q1599">
        <v>0.1926523</v>
      </c>
      <c r="R1599">
        <v>-5.981413E-2</v>
      </c>
      <c r="S1599">
        <v>-3.0943909999999999</v>
      </c>
      <c r="T1599">
        <v>-0.225824</v>
      </c>
      <c r="U1599">
        <v>-0.20834349999999999</v>
      </c>
      <c r="V1599">
        <v>0.2111468</v>
      </c>
      <c r="W1599">
        <v>0.2049444</v>
      </c>
      <c r="X1599">
        <v>0.9557274</v>
      </c>
      <c r="Y1599">
        <v>0.207287</v>
      </c>
      <c r="Z1599">
        <v>2.7235619999999999E-2</v>
      </c>
      <c r="AA1599">
        <v>0.97790100000000002</v>
      </c>
      <c r="AB1599">
        <v>16</v>
      </c>
      <c r="AC1599">
        <v>-15.048499999999899</v>
      </c>
      <c r="AD1599">
        <v>-1.1098443804617999</v>
      </c>
      <c r="AE1599">
        <v>-0.98239999999998395</v>
      </c>
      <c r="AF1599">
        <v>3.1578542643380199</v>
      </c>
      <c r="AG1599">
        <v>-1.1098443804617999</v>
      </c>
      <c r="AH1599">
        <v>14.663109489651401</v>
      </c>
      <c r="AI1599">
        <v>94.231781043152907</v>
      </c>
      <c r="AJ1599">
        <v>77.846379983329996</v>
      </c>
      <c r="AK1599">
        <v>15.040298468087199</v>
      </c>
      <c r="AL1599">
        <v>78.173755950252996</v>
      </c>
      <c r="AM1599">
        <v>77.541883698604096</v>
      </c>
      <c r="AN1599">
        <v>1.0000000206761701</v>
      </c>
    </row>
    <row r="1600" spans="1:40" x14ac:dyDescent="0.25">
      <c r="A1600" t="str">
        <f>"20190312172359891"</f>
        <v>20190312172359891</v>
      </c>
      <c r="B1600" t="str">
        <f>"1552382639881259"</f>
        <v>1552382639881259</v>
      </c>
      <c r="C1600" t="s">
        <v>40</v>
      </c>
      <c r="D1600">
        <v>3.788662</v>
      </c>
      <c r="E1600">
        <v>0.49152439999999997</v>
      </c>
      <c r="F1600" t="s">
        <v>47</v>
      </c>
      <c r="G1600">
        <v>-222.5531</v>
      </c>
      <c r="H1600" s="1">
        <v>-1.781563E-7</v>
      </c>
      <c r="I1600">
        <v>283.00299999999999</v>
      </c>
      <c r="J1600">
        <v>-207.28899999999999</v>
      </c>
      <c r="K1600">
        <v>1.1099349999999999</v>
      </c>
      <c r="L1600">
        <v>284.02319999999997</v>
      </c>
      <c r="M1600">
        <v>-0.96257040000000005</v>
      </c>
      <c r="N1600">
        <v>0</v>
      </c>
      <c r="O1600">
        <v>-0.27070090000000002</v>
      </c>
      <c r="P1600">
        <v>-0.97924529999999999</v>
      </c>
      <c r="Q1600">
        <v>0.1931708</v>
      </c>
      <c r="R1600">
        <v>-6.1350519999999999E-2</v>
      </c>
      <c r="S1600">
        <v>-3.0937190000000001</v>
      </c>
      <c r="T1600">
        <v>-0.22254299999999999</v>
      </c>
      <c r="U1600">
        <v>-0.2131653</v>
      </c>
      <c r="V1600">
        <v>0.20653730000000001</v>
      </c>
      <c r="W1600">
        <v>0.20551</v>
      </c>
      <c r="X1600">
        <v>0.95661280000000004</v>
      </c>
      <c r="Y1600">
        <v>0.20271349999999999</v>
      </c>
      <c r="Z1600">
        <v>2.6469199999999998E-2</v>
      </c>
      <c r="AA1600">
        <v>0.97888030000000004</v>
      </c>
      <c r="AB1600">
        <v>16</v>
      </c>
      <c r="AC1600">
        <v>-15.2640999999999</v>
      </c>
      <c r="AD1600">
        <v>-1.1099351781563001</v>
      </c>
      <c r="AE1600">
        <v>-1.02019999999998</v>
      </c>
      <c r="AF1600">
        <v>3.1337773875949302</v>
      </c>
      <c r="AG1600">
        <v>-1.1099351781563001</v>
      </c>
      <c r="AH1600">
        <v>14.891890524190099</v>
      </c>
      <c r="AI1600">
        <v>94.171507221137105</v>
      </c>
      <c r="AJ1600">
        <v>78.116343152545994</v>
      </c>
      <c r="AK1600">
        <v>15.2584704410099</v>
      </c>
      <c r="AL1600">
        <v>78.140644807923707</v>
      </c>
      <c r="AM1600">
        <v>77.816578043726196</v>
      </c>
      <c r="AN1600">
        <v>1.00000003275756</v>
      </c>
    </row>
    <row r="1601" spans="1:40" x14ac:dyDescent="0.25">
      <c r="A1601" t="str">
        <f>"20190312172359914"</f>
        <v>20190312172359914</v>
      </c>
      <c r="B1601" t="str">
        <f>"1552382639901947"</f>
        <v>1552382639901947</v>
      </c>
      <c r="C1601" t="s">
        <v>40</v>
      </c>
      <c r="D1601">
        <v>4.0675829999999999</v>
      </c>
      <c r="E1601">
        <v>0.49146699999999999</v>
      </c>
      <c r="F1601" t="s">
        <v>47</v>
      </c>
      <c r="G1601">
        <v>-222.8287</v>
      </c>
      <c r="H1601" s="1">
        <v>-3.1513760000000003E-8</v>
      </c>
      <c r="I1601">
        <v>282.91449999999998</v>
      </c>
      <c r="J1601">
        <v>-207.45359999999999</v>
      </c>
      <c r="K1601">
        <v>1.110033</v>
      </c>
      <c r="L1601">
        <v>283.98070000000001</v>
      </c>
      <c r="M1601">
        <v>-0.9633526</v>
      </c>
      <c r="N1601">
        <v>0</v>
      </c>
      <c r="O1601">
        <v>-0.26790540000000002</v>
      </c>
      <c r="P1601">
        <v>-0.97902420000000001</v>
      </c>
      <c r="Q1601">
        <v>0.19348599999999999</v>
      </c>
      <c r="R1601">
        <v>-6.3833780000000007E-2</v>
      </c>
      <c r="S1601">
        <v>-3.0933380000000001</v>
      </c>
      <c r="T1601">
        <v>-0.2209449</v>
      </c>
      <c r="U1601">
        <v>-0.22070310000000001</v>
      </c>
      <c r="V1601">
        <v>0.2012545</v>
      </c>
      <c r="W1601">
        <v>0.2058768</v>
      </c>
      <c r="X1601">
        <v>0.95765929999999999</v>
      </c>
      <c r="Y1601">
        <v>0.19752339999999999</v>
      </c>
      <c r="Z1601">
        <v>2.590168E-2</v>
      </c>
      <c r="AA1601">
        <v>0.97995589999999999</v>
      </c>
      <c r="AB1601">
        <v>16</v>
      </c>
      <c r="AC1601">
        <v>-15.3751</v>
      </c>
      <c r="AD1601">
        <v>-1.1100330315137501</v>
      </c>
      <c r="AE1601">
        <v>-1.06620000000003</v>
      </c>
      <c r="AF1601">
        <v>3.07626380133045</v>
      </c>
      <c r="AG1601">
        <v>-1.1100330315137501</v>
      </c>
      <c r="AH1601">
        <v>15.0207117170422</v>
      </c>
      <c r="AI1601">
        <v>94.140843893595402</v>
      </c>
      <c r="AJ1601">
        <v>78.425790522001094</v>
      </c>
      <c r="AK1601">
        <v>15.3726169793213</v>
      </c>
      <c r="AL1601">
        <v>78.119168895744295</v>
      </c>
      <c r="AM1601">
        <v>78.1318523558907</v>
      </c>
      <c r="AN1601">
        <v>0.99999998271248902</v>
      </c>
    </row>
    <row r="1602" spans="1:40" x14ac:dyDescent="0.25">
      <c r="A1602" t="str">
        <f>"20190312172359937"</f>
        <v>20190312172359937</v>
      </c>
      <c r="B1602" t="str">
        <f>"1552382639931228"</f>
        <v>1552382639931228</v>
      </c>
      <c r="C1602" t="s">
        <v>40</v>
      </c>
      <c r="D1602">
        <v>3.7622550000000001</v>
      </c>
      <c r="E1602">
        <v>0.46756890000000001</v>
      </c>
      <c r="F1602" t="s">
        <v>47</v>
      </c>
      <c r="G1602">
        <v>-223.12979999999999</v>
      </c>
      <c r="H1602" s="1">
        <v>1.2874390000000001E-7</v>
      </c>
      <c r="I1602">
        <v>282.81990000000002</v>
      </c>
      <c r="J1602">
        <v>-207.6157</v>
      </c>
      <c r="K1602">
        <v>1.1101299999999901</v>
      </c>
      <c r="L1602">
        <v>283.9391</v>
      </c>
      <c r="M1602">
        <v>-0.96405200000000002</v>
      </c>
      <c r="N1602">
        <v>0</v>
      </c>
      <c r="O1602">
        <v>-0.2653779</v>
      </c>
      <c r="P1602">
        <v>-0.97878109999999996</v>
      </c>
      <c r="Q1602">
        <v>0.19339219999999999</v>
      </c>
      <c r="R1602">
        <v>-6.7728999999999998E-2</v>
      </c>
      <c r="S1602">
        <v>-3.092606</v>
      </c>
      <c r="T1602">
        <v>-0.2189875</v>
      </c>
      <c r="U1602">
        <v>-0.22900390000000001</v>
      </c>
      <c r="V1602">
        <v>0.19486400000000001</v>
      </c>
      <c r="W1602">
        <v>0.20584459999999999</v>
      </c>
      <c r="X1602">
        <v>0.95898700000000003</v>
      </c>
      <c r="Y1602">
        <v>0.1923562</v>
      </c>
      <c r="Z1602">
        <v>2.5319620000000001E-2</v>
      </c>
      <c r="AA1602">
        <v>0.9809985</v>
      </c>
      <c r="AB1602">
        <v>16</v>
      </c>
      <c r="AC1602">
        <v>-15.5140999999999</v>
      </c>
      <c r="AD1602">
        <v>-1.1101298712561001</v>
      </c>
      <c r="AE1602">
        <v>-1.11919999999997</v>
      </c>
      <c r="AF1602">
        <v>3.0230046665842698</v>
      </c>
      <c r="AG1602">
        <v>-1.1101298712561001</v>
      </c>
      <c r="AH1602">
        <v>15.1774595706311</v>
      </c>
      <c r="AI1602">
        <v>94.103042120400701</v>
      </c>
      <c r="AJ1602">
        <v>78.735401684495002</v>
      </c>
      <c r="AK1602">
        <v>15.5153544775292</v>
      </c>
      <c r="AL1602">
        <v>78.121054674230507</v>
      </c>
      <c r="AM1602">
        <v>78.514005640089593</v>
      </c>
      <c r="AN1602">
        <v>1.0000000220070699</v>
      </c>
    </row>
    <row r="1603" spans="1:40" x14ac:dyDescent="0.25">
      <c r="A1603" t="str">
        <f>"20190312172359959"</f>
        <v>20190312172359959</v>
      </c>
      <c r="B1603" t="str">
        <f>"1552382639951723"</f>
        <v>1552382639951723</v>
      </c>
      <c r="C1603" t="s">
        <v>40</v>
      </c>
      <c r="D1603">
        <v>3.9050050000000001</v>
      </c>
      <c r="E1603">
        <v>0.46036660000000001</v>
      </c>
      <c r="F1603" t="s">
        <v>47</v>
      </c>
      <c r="G1603">
        <v>-228.44210000000001</v>
      </c>
      <c r="H1603" s="1">
        <v>2.9556929999999999E-6</v>
      </c>
      <c r="I1603">
        <v>281.00299999999999</v>
      </c>
      <c r="J1603">
        <v>-207.7758</v>
      </c>
      <c r="K1603">
        <v>1.110239</v>
      </c>
      <c r="L1603">
        <v>283.89800000000002</v>
      </c>
      <c r="M1603">
        <v>-0.96468030000000005</v>
      </c>
      <c r="N1603">
        <v>0</v>
      </c>
      <c r="O1603">
        <v>-0.26308609999999999</v>
      </c>
      <c r="P1603">
        <v>-0.97829820000000001</v>
      </c>
      <c r="Q1603">
        <v>0.19438530000000001</v>
      </c>
      <c r="R1603">
        <v>-7.1743260000000003E-2</v>
      </c>
      <c r="S1603">
        <v>-3.0674130000000002</v>
      </c>
      <c r="T1603">
        <v>-0.1635046</v>
      </c>
      <c r="U1603">
        <v>-0.43243409999999899</v>
      </c>
      <c r="V1603">
        <v>0.18852579999999999</v>
      </c>
      <c r="W1603">
        <v>0.20689669999999999</v>
      </c>
      <c r="X1603">
        <v>0.96002699999999996</v>
      </c>
      <c r="Y1603">
        <v>0.1253262</v>
      </c>
      <c r="Z1603">
        <v>1.7078579999999999E-2</v>
      </c>
      <c r="AA1603">
        <v>0.99196859999999998</v>
      </c>
      <c r="AB1603">
        <v>16</v>
      </c>
      <c r="AC1603">
        <v>-20.6663</v>
      </c>
      <c r="AD1603">
        <v>-1.1102360443070001</v>
      </c>
      <c r="AE1603">
        <v>-2.89499999999998</v>
      </c>
      <c r="AF1603">
        <v>2.63703749834756</v>
      </c>
      <c r="AG1603">
        <v>-1.1102360443070001</v>
      </c>
      <c r="AH1603">
        <v>20.6414193623785</v>
      </c>
      <c r="AI1603">
        <v>93.054016081830994</v>
      </c>
      <c r="AJ1603">
        <v>82.719634507425695</v>
      </c>
      <c r="AK1603">
        <v>20.838780773724299</v>
      </c>
      <c r="AL1603">
        <v>78.059447734355203</v>
      </c>
      <c r="AM1603">
        <v>78.889886269038399</v>
      </c>
      <c r="AN1603">
        <v>1.0000000312327599</v>
      </c>
    </row>
    <row r="1604" spans="1:40" x14ac:dyDescent="0.25">
      <c r="A1604" t="str">
        <f>"20190312172359983"</f>
        <v>20190312172359983</v>
      </c>
      <c r="B1604" t="str">
        <f>"1552382639971244"</f>
        <v>1552382639971244</v>
      </c>
      <c r="C1604" t="s">
        <v>40</v>
      </c>
      <c r="D1604">
        <v>3.7911280000000001</v>
      </c>
      <c r="E1604">
        <v>0.45751720000000001</v>
      </c>
      <c r="F1604" t="s">
        <v>47</v>
      </c>
      <c r="G1604">
        <v>-226.78370000000001</v>
      </c>
      <c r="H1604" s="1">
        <v>2.0731769999999999E-6</v>
      </c>
      <c r="I1604">
        <v>280.78980000000001</v>
      </c>
      <c r="J1604">
        <v>-207.94049999999999</v>
      </c>
      <c r="K1604">
        <v>1.1103479999999999</v>
      </c>
      <c r="L1604">
        <v>283.85590000000002</v>
      </c>
      <c r="M1604">
        <v>-0.96526460000000003</v>
      </c>
      <c r="N1604">
        <v>0</v>
      </c>
      <c r="O1604">
        <v>-0.26093490000000003</v>
      </c>
      <c r="P1604">
        <v>-0.97775710000000005</v>
      </c>
      <c r="Q1604">
        <v>0.19545870000000001</v>
      </c>
      <c r="R1604">
        <v>-7.6073390000000005E-2</v>
      </c>
      <c r="S1604">
        <v>-3.065369</v>
      </c>
      <c r="T1604">
        <v>-0.17904589999999901</v>
      </c>
      <c r="U1604">
        <v>-0.50125120000000001</v>
      </c>
      <c r="V1604">
        <v>0.18200749999999999</v>
      </c>
      <c r="W1604">
        <v>0.20802599999999999</v>
      </c>
      <c r="X1604">
        <v>0.96104029999999996</v>
      </c>
      <c r="Y1604">
        <v>0.1011648</v>
      </c>
      <c r="Z1604">
        <v>1.784902E-2</v>
      </c>
      <c r="AA1604">
        <v>0.99470959999999997</v>
      </c>
      <c r="AB1604">
        <v>16</v>
      </c>
      <c r="AC1604">
        <v>-18.8432</v>
      </c>
      <c r="AD1604">
        <v>-1.11034592682299</v>
      </c>
      <c r="AE1604">
        <v>-3.0661</v>
      </c>
      <c r="AF1604">
        <v>1.9508252061003</v>
      </c>
      <c r="AG1604">
        <v>-1.11034592682299</v>
      </c>
      <c r="AH1604">
        <v>18.926387802147701</v>
      </c>
      <c r="AI1604">
        <v>93.339842954956595</v>
      </c>
      <c r="AJ1604">
        <v>84.115056967760296</v>
      </c>
      <c r="AK1604">
        <v>19.0590330893058</v>
      </c>
      <c r="AL1604">
        <v>77.993304195072497</v>
      </c>
      <c r="AM1604">
        <v>79.275995108838998</v>
      </c>
      <c r="AN1604">
        <v>1.0000000024781699</v>
      </c>
    </row>
    <row r="1605" spans="1:40" x14ac:dyDescent="0.25">
      <c r="A1605" t="str">
        <f>"20190312172400004"</f>
        <v>20190312172400004</v>
      </c>
      <c r="B1605" t="str">
        <f>"1552382639991270"</f>
        <v>1552382639991270</v>
      </c>
      <c r="C1605" t="s">
        <v>40</v>
      </c>
      <c r="D1605">
        <v>3.6711550000000002</v>
      </c>
      <c r="E1605">
        <v>0.45692189999999999</v>
      </c>
      <c r="F1605" t="s">
        <v>47</v>
      </c>
      <c r="G1605">
        <v>-225.94909999999999</v>
      </c>
      <c r="H1605" s="1">
        <v>1.62904599999999E-6</v>
      </c>
      <c r="I1605">
        <v>280.69380000000001</v>
      </c>
      <c r="J1605">
        <v>-208.09520000000001</v>
      </c>
      <c r="K1605">
        <v>1.1104229999999999</v>
      </c>
      <c r="L1605">
        <v>283.81650000000002</v>
      </c>
      <c r="M1605">
        <v>-0.9657599</v>
      </c>
      <c r="N1605">
        <v>0</v>
      </c>
      <c r="O1605">
        <v>-0.2590962</v>
      </c>
      <c r="P1605">
        <v>-0.97727620000000004</v>
      </c>
      <c r="Q1605">
        <v>0.19587309999999999</v>
      </c>
      <c r="R1605">
        <v>-8.1026420000000002E-2</v>
      </c>
      <c r="S1605">
        <v>-3.0641630000000002</v>
      </c>
      <c r="T1605">
        <v>-0.18892510000000001</v>
      </c>
      <c r="U1605">
        <v>-0.53802490000000003</v>
      </c>
      <c r="V1605">
        <v>0.17522670000000001</v>
      </c>
      <c r="W1605">
        <v>0.20848449999999999</v>
      </c>
      <c r="X1605">
        <v>0.96220050000000001</v>
      </c>
      <c r="Y1605">
        <v>8.7557689999999994E-2</v>
      </c>
      <c r="Z1605">
        <v>1.829062E-2</v>
      </c>
      <c r="AA1605">
        <v>0.99599150000000003</v>
      </c>
      <c r="AB1605">
        <v>16</v>
      </c>
      <c r="AC1605">
        <v>-17.8538999999999</v>
      </c>
      <c r="AD1605">
        <v>-1.1104213709539901</v>
      </c>
      <c r="AE1605">
        <v>-3.1227</v>
      </c>
      <c r="AF1605">
        <v>1.60422044155072</v>
      </c>
      <c r="AG1605">
        <v>-1.1104213709539901</v>
      </c>
      <c r="AH1605">
        <v>17.985750499891498</v>
      </c>
      <c r="AI1605">
        <v>93.5189624824784</v>
      </c>
      <c r="AJ1605">
        <v>84.903049931568404</v>
      </c>
      <c r="AK1605">
        <v>18.091262528925601</v>
      </c>
      <c r="AL1605">
        <v>77.966445063177403</v>
      </c>
      <c r="AM1605">
        <v>79.678948302136703</v>
      </c>
      <c r="AN1605">
        <v>0.99999999266669504</v>
      </c>
    </row>
    <row r="1606" spans="1:40" x14ac:dyDescent="0.25">
      <c r="A1606" t="str">
        <f>"20190312172400026"</f>
        <v>20190312172400026</v>
      </c>
      <c r="B1606" t="str">
        <f>"1552382640021526"</f>
        <v>1552382640021526</v>
      </c>
      <c r="C1606" t="s">
        <v>40</v>
      </c>
      <c r="D1606">
        <v>3.77068</v>
      </c>
      <c r="E1606">
        <v>0.45672869999999999</v>
      </c>
      <c r="F1606" t="s">
        <v>47</v>
      </c>
      <c r="G1606">
        <v>-226.07669999999999</v>
      </c>
      <c r="H1606" s="1">
        <v>1.6969400000000001E-6</v>
      </c>
      <c r="I1606">
        <v>280.54160000000002</v>
      </c>
      <c r="J1606">
        <v>-208.24510000000001</v>
      </c>
      <c r="K1606">
        <v>1.1104620000000001</v>
      </c>
      <c r="L1606">
        <v>283.77839999999998</v>
      </c>
      <c r="M1606">
        <v>-0.9662039</v>
      </c>
      <c r="N1606">
        <v>0</v>
      </c>
      <c r="O1606">
        <v>-0.25743579999999999</v>
      </c>
      <c r="P1606">
        <v>-0.97670270000000003</v>
      </c>
      <c r="Q1606">
        <v>0.1967708</v>
      </c>
      <c r="R1606">
        <v>-8.5632150000000004E-2</v>
      </c>
      <c r="S1606">
        <v>-3.0614170000000001</v>
      </c>
      <c r="T1606">
        <v>-0.18905330000000001</v>
      </c>
      <c r="U1606">
        <v>-0.55755619999999995</v>
      </c>
      <c r="V1606">
        <v>0.16895250000000001</v>
      </c>
      <c r="W1606">
        <v>0.20940690000000001</v>
      </c>
      <c r="X1606">
        <v>0.96312189999999998</v>
      </c>
      <c r="Y1606">
        <v>7.9549850000000005E-2</v>
      </c>
      <c r="Z1606">
        <v>1.7963E-2</v>
      </c>
      <c r="AA1606">
        <v>0.99666909999999997</v>
      </c>
      <c r="AB1606">
        <v>16</v>
      </c>
      <c r="AC1606">
        <v>-17.831599999999899</v>
      </c>
      <c r="AD1606">
        <v>-1.11046030306</v>
      </c>
      <c r="AE1606">
        <v>-3.2367999999999602</v>
      </c>
      <c r="AF1606">
        <v>1.4577397945830299</v>
      </c>
      <c r="AG1606">
        <v>-1.11046030306</v>
      </c>
      <c r="AH1606">
        <v>17.996260811717502</v>
      </c>
      <c r="AI1606">
        <v>93.519464214273299</v>
      </c>
      <c r="AJ1606">
        <v>85.369016903760198</v>
      </c>
      <c r="AK1606">
        <v>18.0893208992693</v>
      </c>
      <c r="AL1606">
        <v>77.912402603184404</v>
      </c>
      <c r="AM1606">
        <v>80.050311409062004</v>
      </c>
      <c r="AN1606">
        <v>0.99999999564173403</v>
      </c>
    </row>
    <row r="1607" spans="1:40" x14ac:dyDescent="0.25">
      <c r="A1607" t="str">
        <f>"20190312172400046"</f>
        <v>20190312172400046</v>
      </c>
      <c r="B1607" t="str">
        <f>"1552382640042022"</f>
        <v>1552382640042022</v>
      </c>
      <c r="C1607" t="s">
        <v>40</v>
      </c>
      <c r="D1607">
        <v>3.7707380000000001</v>
      </c>
      <c r="E1607">
        <v>0.4567851</v>
      </c>
      <c r="F1607" t="s">
        <v>47</v>
      </c>
      <c r="G1607">
        <v>-226.48849999999999</v>
      </c>
      <c r="H1607" s="1">
        <v>1.9160500000000001E-6</v>
      </c>
      <c r="I1607">
        <v>280.36369999999999</v>
      </c>
      <c r="J1607">
        <v>-208.3963</v>
      </c>
      <c r="K1607">
        <v>1.1104700000000001</v>
      </c>
      <c r="L1607">
        <v>283.74009999999998</v>
      </c>
      <c r="M1607">
        <v>-0.96662429999999999</v>
      </c>
      <c r="N1607">
        <v>0</v>
      </c>
      <c r="O1607">
        <v>-0.25585370000000002</v>
      </c>
      <c r="P1607">
        <v>-0.97615320000000005</v>
      </c>
      <c r="Q1607">
        <v>0.19787009999999999</v>
      </c>
      <c r="R1607">
        <v>-8.9288569999999998E-2</v>
      </c>
      <c r="S1607">
        <v>-3.0588679999999999</v>
      </c>
      <c r="T1607">
        <v>-0.18619160000000001</v>
      </c>
      <c r="U1607">
        <v>-0.5725403</v>
      </c>
      <c r="V1607">
        <v>0.16369589999999901</v>
      </c>
      <c r="W1607">
        <v>0.21051320000000001</v>
      </c>
      <c r="X1607">
        <v>0.96378830000000004</v>
      </c>
      <c r="Y1607">
        <v>7.3080759999999995E-2</v>
      </c>
      <c r="Z1607">
        <v>1.7409069999999999E-2</v>
      </c>
      <c r="AA1607">
        <v>0.99717409999999995</v>
      </c>
      <c r="AB1607">
        <v>16</v>
      </c>
      <c r="AC1607">
        <v>-18.092199999999899</v>
      </c>
      <c r="AD1607">
        <v>-1.1104680839499901</v>
      </c>
      <c r="AE1607">
        <v>-3.3763999999999799</v>
      </c>
      <c r="AF1607">
        <v>1.3604138288387999</v>
      </c>
      <c r="AG1607">
        <v>-1.1104680839499901</v>
      </c>
      <c r="AH1607">
        <v>18.2872681379257</v>
      </c>
      <c r="AI1607">
        <v>93.465384806038401</v>
      </c>
      <c r="AJ1607">
        <v>85.745528546051602</v>
      </c>
      <c r="AK1607">
        <v>18.371391920580201</v>
      </c>
      <c r="AL1607">
        <v>77.847571498140496</v>
      </c>
      <c r="AM1607">
        <v>80.360512563137306</v>
      </c>
      <c r="AN1607">
        <v>1.0000000211339599</v>
      </c>
    </row>
    <row r="1608" spans="1:40" x14ac:dyDescent="0.25">
      <c r="A1608" t="str">
        <f>"20190312172400071"</f>
        <v>20190312172400071</v>
      </c>
      <c r="B1608" t="str">
        <f>"1552382640061543"</f>
        <v>1552382640061543</v>
      </c>
      <c r="C1608" t="s">
        <v>40</v>
      </c>
      <c r="D1608">
        <v>3.7805740000000001</v>
      </c>
      <c r="E1608">
        <v>0.45712049999999999</v>
      </c>
      <c r="F1608" t="s">
        <v>47</v>
      </c>
      <c r="G1608">
        <v>-227.00380000000001</v>
      </c>
      <c r="H1608" s="1">
        <v>2.1902990000000002E-6</v>
      </c>
      <c r="I1608">
        <v>280.19529999999997</v>
      </c>
      <c r="J1608">
        <v>-208.5642</v>
      </c>
      <c r="K1608">
        <v>1.1104480000000001</v>
      </c>
      <c r="L1608">
        <v>283.6979</v>
      </c>
      <c r="M1608">
        <v>-0.96707089999999996</v>
      </c>
      <c r="N1608">
        <v>0</v>
      </c>
      <c r="O1608">
        <v>-0.25416</v>
      </c>
      <c r="P1608">
        <v>-0.97575219999999896</v>
      </c>
      <c r="Q1608">
        <v>0.19837360000000001</v>
      </c>
      <c r="R1608">
        <v>-9.2495060000000004E-2</v>
      </c>
      <c r="S1608">
        <v>-3.057007</v>
      </c>
      <c r="T1608">
        <v>-0.1824373</v>
      </c>
      <c r="U1608">
        <v>-0.58236690000000002</v>
      </c>
      <c r="V1608">
        <v>0.1588137</v>
      </c>
      <c r="W1608">
        <v>0.2110138</v>
      </c>
      <c r="X1608">
        <v>0.9644954</v>
      </c>
      <c r="Y1608">
        <v>6.816179E-2</v>
      </c>
      <c r="Z1608">
        <v>1.682061E-2</v>
      </c>
      <c r="AA1608">
        <v>0.99753250000000004</v>
      </c>
      <c r="AB1608">
        <v>16</v>
      </c>
      <c r="AC1608">
        <v>-18.439599999999999</v>
      </c>
      <c r="AD1608">
        <v>-1.1104458097009999</v>
      </c>
      <c r="AE1608">
        <v>-3.5026000000000201</v>
      </c>
      <c r="AF1608">
        <v>1.29492836636218</v>
      </c>
      <c r="AG1608">
        <v>-1.1104458097009999</v>
      </c>
      <c r="AH1608">
        <v>18.658963632141401</v>
      </c>
      <c r="AI1608">
        <v>93.397657935023801</v>
      </c>
      <c r="AJ1608">
        <v>86.030049661326501</v>
      </c>
      <c r="AK1608">
        <v>18.7367780900524</v>
      </c>
      <c r="AL1608">
        <v>77.818229826036301</v>
      </c>
      <c r="AM1608">
        <v>80.6495867118917</v>
      </c>
      <c r="AN1608">
        <v>0.99999999585964505</v>
      </c>
    </row>
    <row r="1609" spans="1:40" x14ac:dyDescent="0.25">
      <c r="A1609" t="str">
        <f>"20190312172400092"</f>
        <v>20190312172400092</v>
      </c>
      <c r="B1609" t="str">
        <f>"1552382640081062"</f>
        <v>1552382640081062</v>
      </c>
      <c r="C1609" t="s">
        <v>40</v>
      </c>
      <c r="D1609">
        <v>3.7731629999999998</v>
      </c>
      <c r="E1609">
        <v>0.457453</v>
      </c>
      <c r="F1609" t="s">
        <v>47</v>
      </c>
      <c r="G1609">
        <v>-227.178</v>
      </c>
      <c r="H1609" s="1">
        <v>2.2830060000000002E-6</v>
      </c>
      <c r="I1609">
        <v>280.12079999999997</v>
      </c>
      <c r="J1609">
        <v>-208.7141</v>
      </c>
      <c r="K1609">
        <v>1.110411</v>
      </c>
      <c r="L1609">
        <v>283.66039999999998</v>
      </c>
      <c r="M1609">
        <v>-0.96746330000000003</v>
      </c>
      <c r="N1609">
        <v>0</v>
      </c>
      <c r="O1609">
        <v>-0.25266290000000002</v>
      </c>
      <c r="P1609">
        <v>-0.97540709999999997</v>
      </c>
      <c r="Q1609">
        <v>0.19892660000000001</v>
      </c>
      <c r="R1609">
        <v>-9.4917520000000005E-2</v>
      </c>
      <c r="S1609">
        <v>-3.0559539999999998</v>
      </c>
      <c r="T1609">
        <v>-0.18230930000000001</v>
      </c>
      <c r="U1609">
        <v>-0.58728029999999998</v>
      </c>
      <c r="V1609">
        <v>0.15490599999999999</v>
      </c>
      <c r="W1609">
        <v>0.2115582</v>
      </c>
      <c r="X1609">
        <v>0.96501150000000002</v>
      </c>
      <c r="Y1609">
        <v>6.5015290000000003E-2</v>
      </c>
      <c r="Z1609">
        <v>1.6633180000000001E-2</v>
      </c>
      <c r="AA1609">
        <v>0.99774560000000001</v>
      </c>
      <c r="AB1609">
        <v>16</v>
      </c>
      <c r="AC1609">
        <v>-18.463899999999899</v>
      </c>
      <c r="AD1609">
        <v>-1.110408716994</v>
      </c>
      <c r="AE1609">
        <v>-3.5396000000000001</v>
      </c>
      <c r="AF1609">
        <v>1.23650515020823</v>
      </c>
      <c r="AG1609">
        <v>-1.110408716994</v>
      </c>
      <c r="AH1609">
        <v>18.6939095911018</v>
      </c>
      <c r="AI1609">
        <v>93.391951267935696</v>
      </c>
      <c r="AJ1609">
        <v>86.215693917798106</v>
      </c>
      <c r="AK1609">
        <v>18.767637259536901</v>
      </c>
      <c r="AL1609">
        <v>77.786317214964697</v>
      </c>
      <c r="AM1609">
        <v>80.880539061181494</v>
      </c>
      <c r="AN1609">
        <v>0.99999996797774404</v>
      </c>
    </row>
    <row r="1610" spans="1:40" x14ac:dyDescent="0.25">
      <c r="A1610" t="str">
        <f>"20190312172400113"</f>
        <v>20190312172400113</v>
      </c>
      <c r="B1610" t="str">
        <f>"1552382640101089"</f>
        <v>1552382640101089</v>
      </c>
      <c r="C1610" t="s">
        <v>40</v>
      </c>
      <c r="D1610">
        <v>3.859334</v>
      </c>
      <c r="E1610">
        <v>0.45769480000000001</v>
      </c>
      <c r="F1610" t="s">
        <v>47</v>
      </c>
      <c r="G1610">
        <v>-227.30520000000001</v>
      </c>
      <c r="H1610" s="1">
        <v>2.3506809999999999E-6</v>
      </c>
      <c r="I1610">
        <v>280.07530000000003</v>
      </c>
      <c r="J1610">
        <v>-208.8674</v>
      </c>
      <c r="K1610">
        <v>1.110365</v>
      </c>
      <c r="L1610">
        <v>283.62240000000003</v>
      </c>
      <c r="M1610">
        <v>-0.96786680000000003</v>
      </c>
      <c r="N1610">
        <v>0</v>
      </c>
      <c r="O1610">
        <v>-0.25111289999999997</v>
      </c>
      <c r="P1610">
        <v>-0.97517480000000001</v>
      </c>
      <c r="Q1610">
        <v>0.19952990000000001</v>
      </c>
      <c r="R1610">
        <v>-9.6031199999999997E-2</v>
      </c>
      <c r="S1610">
        <v>-3.0555270000000001</v>
      </c>
      <c r="T1610">
        <v>-0.1825001</v>
      </c>
      <c r="U1610">
        <v>-0.58923340000000002</v>
      </c>
      <c r="V1610">
        <v>0.1522435</v>
      </c>
      <c r="W1610">
        <v>0.21214769999999999</v>
      </c>
      <c r="X1610">
        <v>0.96530579999999999</v>
      </c>
      <c r="Y1610">
        <v>6.2780970000000005E-2</v>
      </c>
      <c r="Z1610">
        <v>1.6497209999999998E-2</v>
      </c>
      <c r="AA1610">
        <v>0.99789090000000003</v>
      </c>
      <c r="AB1610">
        <v>16</v>
      </c>
      <c r="AC1610">
        <v>-18.437799999999999</v>
      </c>
      <c r="AD1610">
        <v>-1.110362649319</v>
      </c>
      <c r="AE1610">
        <v>-3.5470999999999999</v>
      </c>
      <c r="AF1610">
        <v>1.19278306386202</v>
      </c>
      <c r="AG1610">
        <v>-1.110362649319</v>
      </c>
      <c r="AH1610">
        <v>18.672405327378801</v>
      </c>
      <c r="AI1610">
        <v>93.396204822874495</v>
      </c>
      <c r="AJ1610">
        <v>86.344943059160002</v>
      </c>
      <c r="AK1610">
        <v>18.743381694890701</v>
      </c>
      <c r="AL1610">
        <v>77.751757392101297</v>
      </c>
      <c r="AM1610">
        <v>81.037404201468505</v>
      </c>
      <c r="AN1610">
        <v>1.00000000871059</v>
      </c>
    </row>
    <row r="1611" spans="1:40" x14ac:dyDescent="0.25">
      <c r="A1611" t="str">
        <f>"20190312172400136"</f>
        <v>20190312172400136</v>
      </c>
      <c r="B1611" t="str">
        <f>"1552382640131344"</f>
        <v>1552382640131344</v>
      </c>
      <c r="C1611" t="s">
        <v>40</v>
      </c>
      <c r="D1611">
        <v>3.7721619999999998</v>
      </c>
      <c r="E1611">
        <v>0.45814959999999999</v>
      </c>
      <c r="F1611" t="s">
        <v>47</v>
      </c>
      <c r="G1611">
        <v>-227.42330000000001</v>
      </c>
      <c r="H1611" s="1">
        <v>2.413513E-6</v>
      </c>
      <c r="I1611">
        <v>280.03579999999999</v>
      </c>
      <c r="J1611">
        <v>-209.02330000000001</v>
      </c>
      <c r="K1611">
        <v>1.1103160000000001</v>
      </c>
      <c r="L1611">
        <v>283.58390000000003</v>
      </c>
      <c r="M1611">
        <v>-0.9682847</v>
      </c>
      <c r="N1611">
        <v>0</v>
      </c>
      <c r="O1611">
        <v>-0.24949689999999999</v>
      </c>
      <c r="P1611">
        <v>-0.97516829999999999</v>
      </c>
      <c r="Q1611">
        <v>0.1999967</v>
      </c>
      <c r="R1611">
        <v>-9.5123440000000004E-2</v>
      </c>
      <c r="S1611">
        <v>-3.0556030000000001</v>
      </c>
      <c r="T1611">
        <v>-0.18284320000000001</v>
      </c>
      <c r="U1611">
        <v>-0.59060669999999904</v>
      </c>
      <c r="V1611">
        <v>0.15152959999999999</v>
      </c>
      <c r="W1611">
        <v>0.21259500000000001</v>
      </c>
      <c r="X1611">
        <v>0.9653197</v>
      </c>
      <c r="Y1611">
        <v>6.0691370000000001E-2</v>
      </c>
      <c r="Z1611">
        <v>1.637274E-2</v>
      </c>
      <c r="AA1611">
        <v>0.99802230000000003</v>
      </c>
      <c r="AB1611">
        <v>16</v>
      </c>
      <c r="AC1611">
        <v>-18.399999999999999</v>
      </c>
      <c r="AD1611">
        <v>-1.110313586487</v>
      </c>
      <c r="AE1611">
        <v>-3.54810000000003</v>
      </c>
      <c r="AF1611">
        <v>1.1512320183021001</v>
      </c>
      <c r="AG1611">
        <v>-1.110313586487</v>
      </c>
      <c r="AH1611">
        <v>18.6378917673986</v>
      </c>
      <c r="AI1611">
        <v>93.402777587794702</v>
      </c>
      <c r="AJ1611">
        <v>86.465424260891595</v>
      </c>
      <c r="AK1611">
        <v>18.706393050333499</v>
      </c>
      <c r="AL1611">
        <v>77.725530482023899</v>
      </c>
      <c r="AM1611">
        <v>81.078880444565002</v>
      </c>
      <c r="AN1611">
        <v>0.99999998845462401</v>
      </c>
    </row>
    <row r="1612" spans="1:40" x14ac:dyDescent="0.25">
      <c r="A1612" t="str">
        <f>"20190312172400160"</f>
        <v>20190312172400160</v>
      </c>
      <c r="B1612" t="str">
        <f>"1552382640151841"</f>
        <v>1552382640151841</v>
      </c>
      <c r="C1612" t="s">
        <v>40</v>
      </c>
      <c r="D1612">
        <v>3.7537669999999999</v>
      </c>
      <c r="E1612">
        <v>0.45844629999999997</v>
      </c>
      <c r="F1612" t="s">
        <v>47</v>
      </c>
      <c r="G1612">
        <v>-227.32509999999999</v>
      </c>
      <c r="H1612" s="1">
        <v>2.3612930000000002E-6</v>
      </c>
      <c r="I1612">
        <v>280.08229999999998</v>
      </c>
      <c r="J1612">
        <v>-209.19</v>
      </c>
      <c r="K1612">
        <v>1.1102609999999999</v>
      </c>
      <c r="L1612">
        <v>283.54320000000001</v>
      </c>
      <c r="M1612">
        <v>-0.96874020000000005</v>
      </c>
      <c r="N1612">
        <v>0</v>
      </c>
      <c r="O1612">
        <v>-0.247723</v>
      </c>
      <c r="P1612">
        <v>-0.97536979999999995</v>
      </c>
      <c r="Q1612">
        <v>0.1989658</v>
      </c>
      <c r="R1612">
        <v>-9.5218919999999999E-2</v>
      </c>
      <c r="S1612">
        <v>-3.0573730000000001</v>
      </c>
      <c r="T1612">
        <v>-0.18548120000000001</v>
      </c>
      <c r="U1612">
        <v>-0.58496090000000001</v>
      </c>
      <c r="V1612">
        <v>0.14973590000000001</v>
      </c>
      <c r="W1612">
        <v>0.21155350000000001</v>
      </c>
      <c r="X1612">
        <v>0.96582829999999997</v>
      </c>
      <c r="Y1612">
        <v>6.0736190000000002E-2</v>
      </c>
      <c r="Z1612">
        <v>1.6501470000000001E-2</v>
      </c>
      <c r="AA1612">
        <v>0.99801740000000005</v>
      </c>
      <c r="AB1612">
        <v>16</v>
      </c>
      <c r="AC1612">
        <v>-18.135099999999898</v>
      </c>
      <c r="AD1612">
        <v>-1.1102586387069999</v>
      </c>
      <c r="AE1612">
        <v>-3.4609000000000298</v>
      </c>
      <c r="AF1612">
        <v>1.1357612525485901</v>
      </c>
      <c r="AG1612">
        <v>-1.1102586387069999</v>
      </c>
      <c r="AH1612">
        <v>18.360764905820801</v>
      </c>
      <c r="AI1612">
        <v>93.453824190541496</v>
      </c>
      <c r="AJ1612">
        <v>86.4603045611574</v>
      </c>
      <c r="AK1612">
        <v>18.429333026304501</v>
      </c>
      <c r="AL1612">
        <v>77.786593313378205</v>
      </c>
      <c r="AM1612">
        <v>81.187383479182699</v>
      </c>
      <c r="AN1612">
        <v>1.0000000140959699</v>
      </c>
    </row>
    <row r="1613" spans="1:40" x14ac:dyDescent="0.25">
      <c r="A1613" t="str">
        <f>"20190312172400184"</f>
        <v>20190312172400184</v>
      </c>
      <c r="B1613" t="str">
        <f>"1552382640171362"</f>
        <v>1552382640171362</v>
      </c>
      <c r="C1613" t="s">
        <v>40</v>
      </c>
      <c r="D1613">
        <v>3.826025</v>
      </c>
      <c r="E1613">
        <v>0.45865509999999898</v>
      </c>
      <c r="F1613" t="s">
        <v>47</v>
      </c>
      <c r="G1613">
        <v>-226.92830000000001</v>
      </c>
      <c r="H1613" s="1">
        <v>2.1501329999999998E-6</v>
      </c>
      <c r="I1613">
        <v>280.16559999999998</v>
      </c>
      <c r="J1613">
        <v>-209.351</v>
      </c>
      <c r="K1613">
        <v>1.110209</v>
      </c>
      <c r="L1613">
        <v>283.50420000000003</v>
      </c>
      <c r="M1613">
        <v>-0.96918870000000001</v>
      </c>
      <c r="N1613">
        <v>0</v>
      </c>
      <c r="O1613">
        <v>-0.2459626</v>
      </c>
      <c r="P1613">
        <v>-0.97596059999999996</v>
      </c>
      <c r="Q1613">
        <v>0.19640440000000001</v>
      </c>
      <c r="R1613">
        <v>-9.44802E-2</v>
      </c>
      <c r="S1613">
        <v>-3.0579529999999999</v>
      </c>
      <c r="T1613">
        <v>-0.1914003</v>
      </c>
      <c r="U1613">
        <v>-0.5822754</v>
      </c>
      <c r="V1613">
        <v>0.1488544</v>
      </c>
      <c r="W1613">
        <v>0.20898530000000001</v>
      </c>
      <c r="X1613">
        <v>0.96652340000000003</v>
      </c>
      <c r="Y1613">
        <v>5.977379E-2</v>
      </c>
      <c r="Z1613">
        <v>1.689065E-2</v>
      </c>
      <c r="AA1613">
        <v>0.99806899999999998</v>
      </c>
      <c r="AB1613">
        <v>16</v>
      </c>
      <c r="AC1613">
        <v>-17.577300000000001</v>
      </c>
      <c r="AD1613">
        <v>-1.1102068498669999</v>
      </c>
      <c r="AE1613">
        <v>-3.33860000000004</v>
      </c>
      <c r="AF1613">
        <v>1.0835484050797599</v>
      </c>
      <c r="AG1613">
        <v>-1.1102068498669999</v>
      </c>
      <c r="AH1613">
        <v>17.789960499901898</v>
      </c>
      <c r="AI1613">
        <v>93.564402236112301</v>
      </c>
      <c r="AJ1613">
        <v>86.514542565341699</v>
      </c>
      <c r="AK1613">
        <v>17.857472693069202</v>
      </c>
      <c r="AL1613">
        <v>77.937104952660306</v>
      </c>
      <c r="AM1613">
        <v>81.244659731319601</v>
      </c>
      <c r="AN1613">
        <v>0.99999998538150403</v>
      </c>
    </row>
    <row r="1614" spans="1:40" x14ac:dyDescent="0.25">
      <c r="A1614" t="str">
        <f>"20190312172400204"</f>
        <v>20190312172400204</v>
      </c>
      <c r="B1614" t="str">
        <f>"1552382640191389"</f>
        <v>1552382640191389</v>
      </c>
      <c r="C1614" t="s">
        <v>40</v>
      </c>
      <c r="D1614">
        <v>3.8332130000000002</v>
      </c>
      <c r="E1614">
        <v>0.45889740000000001</v>
      </c>
      <c r="F1614" t="s">
        <v>41</v>
      </c>
      <c r="G1614">
        <v>-210.21629999999999</v>
      </c>
      <c r="H1614">
        <v>1.053364</v>
      </c>
      <c r="I1614">
        <v>283.34100000000001</v>
      </c>
      <c r="J1614">
        <v>-209.49700000000001</v>
      </c>
      <c r="K1614">
        <v>1.110163</v>
      </c>
      <c r="L1614">
        <v>283.46910000000003</v>
      </c>
      <c r="M1614">
        <v>-0.96960230000000003</v>
      </c>
      <c r="N1614">
        <v>0</v>
      </c>
      <c r="O1614">
        <v>-0.24432719999999999</v>
      </c>
      <c r="P1614">
        <v>-0.97667899999999996</v>
      </c>
      <c r="Q1614">
        <v>0.1935238</v>
      </c>
      <c r="R1614">
        <v>-9.2990500000000004E-2</v>
      </c>
      <c r="S1614">
        <v>-3.0584259999999999</v>
      </c>
      <c r="T1614">
        <v>-0.2009917</v>
      </c>
      <c r="U1614">
        <v>-0.57766719999999905</v>
      </c>
      <c r="V1614">
        <v>0.14885279999999901</v>
      </c>
      <c r="W1614">
        <v>0.20609839999999999</v>
      </c>
      <c r="X1614">
        <v>0.96714339999999999</v>
      </c>
      <c r="Y1614">
        <v>5.9515640000000002E-2</v>
      </c>
      <c r="Z1614">
        <v>1.7624730000000002E-2</v>
      </c>
      <c r="AA1614">
        <v>0.99807179999999995</v>
      </c>
      <c r="AB1614">
        <v>16</v>
      </c>
      <c r="AC1614">
        <v>-0.71929999999997496</v>
      </c>
      <c r="AD1614">
        <v>-5.6799000000000002E-2</v>
      </c>
      <c r="AE1614">
        <v>-0.12810000000001701</v>
      </c>
      <c r="AF1614">
        <v>5.1233388039168701E-2</v>
      </c>
      <c r="AG1614">
        <v>-5.6799000000000002E-2</v>
      </c>
      <c r="AH1614">
        <v>0.72441908610380401</v>
      </c>
      <c r="AI1614">
        <v>94.472051925971002</v>
      </c>
      <c r="AJ1614">
        <v>85.954582911401801</v>
      </c>
      <c r="AK1614">
        <v>0.72844629092503599</v>
      </c>
      <c r="AL1614">
        <v>78.1061944837477</v>
      </c>
      <c r="AM1614">
        <v>81.250278166582603</v>
      </c>
      <c r="AN1614">
        <v>1.0000000313569699</v>
      </c>
    </row>
    <row r="1615" spans="1:40" x14ac:dyDescent="0.25">
      <c r="A1615" t="str">
        <f>"20190312172400226"</f>
        <v>20190312172400226</v>
      </c>
      <c r="B1615" t="str">
        <f>"1552382640221644"</f>
        <v>1552382640221644</v>
      </c>
      <c r="C1615" t="s">
        <v>40</v>
      </c>
      <c r="D1615">
        <v>3.8460399999999999</v>
      </c>
      <c r="E1615">
        <v>0.45926820000000002</v>
      </c>
      <c r="F1615" t="s">
        <v>41</v>
      </c>
      <c r="G1615">
        <v>-210.34800000000001</v>
      </c>
      <c r="H1615">
        <v>1.0515289999999999</v>
      </c>
      <c r="I1615">
        <v>283.31040000000002</v>
      </c>
      <c r="J1615">
        <v>-209.6515</v>
      </c>
      <c r="K1615">
        <v>1.110123</v>
      </c>
      <c r="L1615">
        <v>283.43239999999997</v>
      </c>
      <c r="M1615">
        <v>-0.97004500000000005</v>
      </c>
      <c r="N1615">
        <v>0</v>
      </c>
      <c r="O1615">
        <v>-0.2425631</v>
      </c>
      <c r="P1615">
        <v>-0.97711749999999997</v>
      </c>
      <c r="Q1615">
        <v>0.19217129999999999</v>
      </c>
      <c r="R1615">
        <v>-9.1168540000000006E-2</v>
      </c>
      <c r="S1615">
        <v>-3.0590670000000002</v>
      </c>
      <c r="T1615">
        <v>-0.21076110000000001</v>
      </c>
      <c r="U1615">
        <v>-0.57086179999999997</v>
      </c>
      <c r="V1615">
        <v>0.14897779999999899</v>
      </c>
      <c r="W1615">
        <v>0.20473479999999999</v>
      </c>
      <c r="X1615">
        <v>0.96741370000000004</v>
      </c>
      <c r="Y1615">
        <v>5.9824370000000002E-2</v>
      </c>
      <c r="Z1615">
        <v>1.8374809999999998E-2</v>
      </c>
      <c r="AA1615">
        <v>0.99803980000000003</v>
      </c>
      <c r="AB1615">
        <v>16</v>
      </c>
      <c r="AC1615">
        <v>-0.69649999999998602</v>
      </c>
      <c r="AD1615">
        <v>-5.8593999999999799E-2</v>
      </c>
      <c r="AE1615">
        <v>-0.121999999999957</v>
      </c>
      <c r="AF1615">
        <v>5.0259051423691102E-2</v>
      </c>
      <c r="AG1615">
        <v>-5.8593999999999799E-2</v>
      </c>
      <c r="AH1615">
        <v>0.70048115329915395</v>
      </c>
      <c r="AI1615">
        <v>94.769354639112294</v>
      </c>
      <c r="AJ1615">
        <v>85.896098977972699</v>
      </c>
      <c r="AK1615">
        <v>0.70472198434086197</v>
      </c>
      <c r="AL1615">
        <v>78.186025003696102</v>
      </c>
      <c r="AM1615">
        <v>81.245453206614101</v>
      </c>
      <c r="AN1615">
        <v>0.99999999508578497</v>
      </c>
    </row>
    <row r="1616" spans="1:40" x14ac:dyDescent="0.25">
      <c r="A1616" t="str">
        <f>"20190312172400247"</f>
        <v>20190312172400247</v>
      </c>
      <c r="B1616" t="str">
        <f>"1552382640241165"</f>
        <v>1552382640241165</v>
      </c>
      <c r="C1616" t="s">
        <v>40</v>
      </c>
      <c r="D1616">
        <v>3.8710369999999998</v>
      </c>
      <c r="E1616">
        <v>0.45943210000000001</v>
      </c>
      <c r="F1616" t="s">
        <v>41</v>
      </c>
      <c r="G1616">
        <v>-210.48699999999999</v>
      </c>
      <c r="H1616">
        <v>1.050433</v>
      </c>
      <c r="I1616">
        <v>283.27910000000003</v>
      </c>
      <c r="J1616">
        <v>-209.80670000000001</v>
      </c>
      <c r="K1616">
        <v>1.1100840000000001</v>
      </c>
      <c r="L1616">
        <v>283.39580000000001</v>
      </c>
      <c r="M1616">
        <v>-0.97049580000000002</v>
      </c>
      <c r="N1616">
        <v>0</v>
      </c>
      <c r="O1616">
        <v>-0.24075350000000001</v>
      </c>
      <c r="P1616">
        <v>-0.97747399999999995</v>
      </c>
      <c r="Q1616">
        <v>0.19145699999999999</v>
      </c>
      <c r="R1616">
        <v>-8.8819460000000003E-2</v>
      </c>
      <c r="S1616">
        <v>-3.0608219999999999</v>
      </c>
      <c r="T1616">
        <v>-0.21866859999999999</v>
      </c>
      <c r="U1616">
        <v>-0.56182860000000001</v>
      </c>
      <c r="V1616">
        <v>0.1495504</v>
      </c>
      <c r="W1616">
        <v>0.2040062</v>
      </c>
      <c r="X1616">
        <v>0.96747930000000004</v>
      </c>
      <c r="Y1616">
        <v>6.086403E-2</v>
      </c>
      <c r="Z1616">
        <v>1.8971439999999999E-2</v>
      </c>
      <c r="AA1616">
        <v>0.99796580000000001</v>
      </c>
      <c r="AB1616">
        <v>16</v>
      </c>
      <c r="AC1616">
        <v>-0.68029999999998803</v>
      </c>
      <c r="AD1616">
        <v>-5.96510000000001E-2</v>
      </c>
      <c r="AE1616">
        <v>-0.11669999999998</v>
      </c>
      <c r="AF1616">
        <v>5.0157577679151903E-2</v>
      </c>
      <c r="AG1616">
        <v>-5.96510000000001E-2</v>
      </c>
      <c r="AH1616">
        <v>0.68328153236306199</v>
      </c>
      <c r="AI1616">
        <v>94.975994520844196</v>
      </c>
      <c r="AJ1616">
        <v>85.801624841012696</v>
      </c>
      <c r="AK1616">
        <v>0.687711914153052</v>
      </c>
      <c r="AL1616">
        <v>78.228671152453302</v>
      </c>
      <c r="AM1616">
        <v>81.212915657418506</v>
      </c>
      <c r="AN1616">
        <v>1.00000002385354</v>
      </c>
    </row>
    <row r="1617" spans="1:40" x14ac:dyDescent="0.25">
      <c r="A1617" t="str">
        <f>"20190312172400261"</f>
        <v>20190312172400261</v>
      </c>
      <c r="B1617" t="str">
        <f>"1552382640251900"</f>
        <v>1552382640251900</v>
      </c>
      <c r="C1617" t="s">
        <v>40</v>
      </c>
      <c r="D1617">
        <v>3.8630659999999999</v>
      </c>
      <c r="E1617">
        <v>0.45950279999999999</v>
      </c>
      <c r="F1617" t="s">
        <v>41</v>
      </c>
      <c r="G1617">
        <v>-210.62710000000001</v>
      </c>
      <c r="H1617">
        <v>1.050851</v>
      </c>
      <c r="I1617">
        <v>283.24770000000001</v>
      </c>
      <c r="J1617">
        <v>-209.9034</v>
      </c>
      <c r="K1617">
        <v>1.1100620000000001</v>
      </c>
      <c r="L1617">
        <v>283.3732</v>
      </c>
      <c r="M1617">
        <v>-0.97077910000000001</v>
      </c>
      <c r="N1617">
        <v>0</v>
      </c>
      <c r="O1617">
        <v>-0.23960780000000001</v>
      </c>
      <c r="P1617">
        <v>-0.97763820000000001</v>
      </c>
      <c r="Q1617">
        <v>0.1913782</v>
      </c>
      <c r="R1617">
        <v>-8.7165939999999997E-2</v>
      </c>
      <c r="S1617">
        <v>-3.0622099999999999</v>
      </c>
      <c r="T1617">
        <v>-0.221107</v>
      </c>
      <c r="U1617">
        <v>-0.55288700000000002</v>
      </c>
      <c r="V1617">
        <v>0.1500609</v>
      </c>
      <c r="W1617">
        <v>0.20391709999999999</v>
      </c>
      <c r="X1617">
        <v>0.96741900000000003</v>
      </c>
      <c r="Y1617">
        <v>6.2569100000000002E-2</v>
      </c>
      <c r="Z1617">
        <v>1.9162120000000001E-2</v>
      </c>
      <c r="AA1617">
        <v>0.99785670000000004</v>
      </c>
      <c r="AB1617">
        <v>16</v>
      </c>
      <c r="AC1617">
        <v>-0.723700000000007</v>
      </c>
      <c r="AD1617">
        <v>-5.9211000000000097E-2</v>
      </c>
      <c r="AE1617">
        <v>-0.12549999999998801</v>
      </c>
      <c r="AF1617">
        <v>5.1242920491402402E-2</v>
      </c>
      <c r="AG1617">
        <v>-5.9211000000000097E-2</v>
      </c>
      <c r="AH1617">
        <v>0.72795740379518004</v>
      </c>
      <c r="AI1617">
        <v>94.638690483702106</v>
      </c>
      <c r="AJ1617">
        <v>85.973434720739405</v>
      </c>
      <c r="AK1617">
        <v>0.73215692386380304</v>
      </c>
      <c r="AL1617">
        <v>78.233885414204096</v>
      </c>
      <c r="AM1617">
        <v>81.182849943716704</v>
      </c>
      <c r="AN1617">
        <v>0.99999998947111002</v>
      </c>
    </row>
    <row r="1618" spans="1:40" x14ac:dyDescent="0.25">
      <c r="A1618" t="str">
        <f>"20190312172400282"</f>
        <v>20190312172400282</v>
      </c>
      <c r="B1618" t="str">
        <f>"1552382640271420"</f>
        <v>1552382640271420</v>
      </c>
      <c r="C1618" t="s">
        <v>40</v>
      </c>
      <c r="D1618">
        <v>3.7875320000000001</v>
      </c>
      <c r="E1618">
        <v>0.45961980000000002</v>
      </c>
      <c r="F1618" t="s">
        <v>41</v>
      </c>
      <c r="G1618">
        <v>-210.7646</v>
      </c>
      <c r="H1618">
        <v>1.0479369999999999</v>
      </c>
      <c r="I1618">
        <v>283.21929999999998</v>
      </c>
      <c r="J1618">
        <v>-210.04509999999999</v>
      </c>
      <c r="K1618">
        <v>1.110026</v>
      </c>
      <c r="L1618">
        <v>283.34039999999999</v>
      </c>
      <c r="M1618">
        <v>-0.97120309999999999</v>
      </c>
      <c r="N1618">
        <v>0</v>
      </c>
      <c r="O1618">
        <v>-0.23788419999999999</v>
      </c>
      <c r="P1618">
        <v>-0.97777959999999997</v>
      </c>
      <c r="Q1618">
        <v>0.1919727</v>
      </c>
      <c r="R1618">
        <v>-8.4223950000000006E-2</v>
      </c>
      <c r="S1618">
        <v>-3.063034</v>
      </c>
      <c r="T1618">
        <v>-0.22090950000000001</v>
      </c>
      <c r="U1618">
        <v>-0.54779049999999996</v>
      </c>
      <c r="V1618">
        <v>0.1512493</v>
      </c>
      <c r="W1618">
        <v>0.20449120000000001</v>
      </c>
      <c r="X1618">
        <v>0.96711270000000005</v>
      </c>
      <c r="Y1618">
        <v>6.2458630000000001E-2</v>
      </c>
      <c r="Z1618">
        <v>1.9020530000000001E-2</v>
      </c>
      <c r="AA1618">
        <v>0.99786629999999998</v>
      </c>
      <c r="AB1618">
        <v>16</v>
      </c>
      <c r="AC1618">
        <v>-0.71950000000001002</v>
      </c>
      <c r="AD1618">
        <v>-6.2088999999999797E-2</v>
      </c>
      <c r="AE1618">
        <v>-0.121100000000012</v>
      </c>
      <c r="AF1618">
        <v>5.3164691060202197E-2</v>
      </c>
      <c r="AG1618">
        <v>-6.2088999999999797E-2</v>
      </c>
      <c r="AH1618">
        <v>0.72242081689745397</v>
      </c>
      <c r="AI1618">
        <v>94.899073826841203</v>
      </c>
      <c r="AJ1618">
        <v>85.7910527256156</v>
      </c>
      <c r="AK1618">
        <v>0.72703051172788602</v>
      </c>
      <c r="AL1618">
        <v>78.200283848533502</v>
      </c>
      <c r="AM1618">
        <v>81.111363607738397</v>
      </c>
      <c r="AN1618">
        <v>0.99999998806460999</v>
      </c>
    </row>
    <row r="1619" spans="1:40" x14ac:dyDescent="0.25">
      <c r="A1619" t="str">
        <f>"20190312172400303"</f>
        <v>20190312172400303</v>
      </c>
      <c r="B1619" t="str">
        <f>"1552382640301676"</f>
        <v>1552382640301676</v>
      </c>
      <c r="C1619" t="s">
        <v>40</v>
      </c>
      <c r="D1619">
        <v>3.9640170000000001</v>
      </c>
      <c r="E1619">
        <v>0.45995999999999998</v>
      </c>
      <c r="F1619" t="s">
        <v>41</v>
      </c>
      <c r="G1619">
        <v>-210.90530000000001</v>
      </c>
      <c r="H1619">
        <v>1.0489949999999999</v>
      </c>
      <c r="I1619">
        <v>283.18920000000003</v>
      </c>
      <c r="J1619">
        <v>-210.19630000000001</v>
      </c>
      <c r="K1619">
        <v>1.1099840000000001</v>
      </c>
      <c r="L1619">
        <v>283.3057</v>
      </c>
      <c r="M1619">
        <v>-0.97166770000000002</v>
      </c>
      <c r="N1619">
        <v>0</v>
      </c>
      <c r="O1619">
        <v>-0.23597950000000001</v>
      </c>
      <c r="P1619">
        <v>-0.97804040000000003</v>
      </c>
      <c r="Q1619">
        <v>0.19192239999999999</v>
      </c>
      <c r="R1619">
        <v>-8.1260029999999997E-2</v>
      </c>
      <c r="S1619">
        <v>-3.064438</v>
      </c>
      <c r="T1619">
        <v>-0.2174287</v>
      </c>
      <c r="U1619">
        <v>-0.53890990000000005</v>
      </c>
      <c r="V1619">
        <v>0.15231239999999999</v>
      </c>
      <c r="W1619">
        <v>0.20441980000000001</v>
      </c>
      <c r="X1619">
        <v>0.96696099999999996</v>
      </c>
      <c r="Y1619">
        <v>6.3409919999999995E-2</v>
      </c>
      <c r="Z1619">
        <v>1.862306E-2</v>
      </c>
      <c r="AA1619">
        <v>0.99781379999999997</v>
      </c>
      <c r="AB1619">
        <v>16</v>
      </c>
      <c r="AC1619">
        <v>-0.70900000000000296</v>
      </c>
      <c r="AD1619">
        <v>-6.0988999999999897E-2</v>
      </c>
      <c r="AE1619">
        <v>-0.116499999999973</v>
      </c>
      <c r="AF1619">
        <v>5.3727814303156297E-2</v>
      </c>
      <c r="AG1619">
        <v>-6.0988999999999897E-2</v>
      </c>
      <c r="AH1619">
        <v>0.71134161398633899</v>
      </c>
      <c r="AI1619">
        <v>94.886589636700194</v>
      </c>
      <c r="AJ1619">
        <v>85.680636369842603</v>
      </c>
      <c r="AK1619">
        <v>0.715970130619626</v>
      </c>
      <c r="AL1619">
        <v>78.204463774453203</v>
      </c>
      <c r="AM1619">
        <v>81.048513781979693</v>
      </c>
      <c r="AN1619">
        <v>1.00000004867339</v>
      </c>
    </row>
    <row r="1620" spans="1:40" x14ac:dyDescent="0.25">
      <c r="A1620" t="str">
        <f>"20190312172400338"</f>
        <v>20190312172400338</v>
      </c>
      <c r="B1620" t="str">
        <f>"1552382640331932"</f>
        <v>1552382640331932</v>
      </c>
      <c r="C1620" t="s">
        <v>40</v>
      </c>
      <c r="D1620">
        <v>4.003978</v>
      </c>
      <c r="E1620">
        <v>0.46023550000000002</v>
      </c>
      <c r="F1620" t="s">
        <v>41</v>
      </c>
      <c r="G1620">
        <v>-211.04570000000001</v>
      </c>
      <c r="H1620">
        <v>1.049925</v>
      </c>
      <c r="I1620">
        <v>283.15960000000001</v>
      </c>
      <c r="J1620">
        <v>-210.43809999999999</v>
      </c>
      <c r="K1620">
        <v>1.109896</v>
      </c>
      <c r="L1620">
        <v>283.25110000000001</v>
      </c>
      <c r="M1620">
        <v>-0.97243800000000002</v>
      </c>
      <c r="N1620">
        <v>0</v>
      </c>
      <c r="O1620">
        <v>-0.23278479999999999</v>
      </c>
      <c r="P1620">
        <v>-0.97839529999999997</v>
      </c>
      <c r="Q1620">
        <v>0.19161149999999999</v>
      </c>
      <c r="R1620">
        <v>-7.7639239999999998E-2</v>
      </c>
      <c r="S1620">
        <v>-3.0660859999999999</v>
      </c>
      <c r="T1620">
        <v>-0.21678320000000001</v>
      </c>
      <c r="U1620">
        <v>-0.52780150000000003</v>
      </c>
      <c r="V1620">
        <v>0.15276879999999901</v>
      </c>
      <c r="W1620">
        <v>0.2040786</v>
      </c>
      <c r="X1620">
        <v>0.96696099999999996</v>
      </c>
      <c r="Y1620">
        <v>6.3741329999999999E-2</v>
      </c>
      <c r="Z1620">
        <v>1.836022E-2</v>
      </c>
      <c r="AA1620">
        <v>0.9977975</v>
      </c>
      <c r="AB1620">
        <v>16</v>
      </c>
      <c r="AC1620">
        <v>-0.60760000000001901</v>
      </c>
      <c r="AD1620">
        <v>-5.9970999999999997E-2</v>
      </c>
      <c r="AE1620">
        <v>-9.1499999999996307E-2</v>
      </c>
      <c r="AF1620">
        <v>5.1971495899677499E-2</v>
      </c>
      <c r="AG1620">
        <v>-5.9970999999999997E-2</v>
      </c>
      <c r="AH1620">
        <v>0.60643006409674605</v>
      </c>
      <c r="AI1620">
        <v>95.627229434943004</v>
      </c>
      <c r="AJ1620">
        <v>85.101678876004101</v>
      </c>
      <c r="AK1620">
        <v>0.61160034325320101</v>
      </c>
      <c r="AL1620">
        <v>78.224433249574204</v>
      </c>
      <c r="AM1620">
        <v>81.022127160114493</v>
      </c>
      <c r="AN1620">
        <v>0.99999997837619903</v>
      </c>
    </row>
    <row r="1621" spans="1:40" x14ac:dyDescent="0.25">
      <c r="A1621" t="str">
        <f>"20190312172400352"</f>
        <v>20190312172400352</v>
      </c>
      <c r="B1621" t="str">
        <f>"1552382640341692"</f>
        <v>1552382640341692</v>
      </c>
      <c r="C1621" t="s">
        <v>40</v>
      </c>
      <c r="D1621">
        <v>3.9655269999999998</v>
      </c>
      <c r="E1621">
        <v>0.46027099999999999</v>
      </c>
      <c r="F1621" t="s">
        <v>47</v>
      </c>
      <c r="G1621">
        <v>-226.08629999999999</v>
      </c>
      <c r="H1621" s="1">
        <v>1.70204E-6</v>
      </c>
      <c r="I1621">
        <v>280.62869999999998</v>
      </c>
      <c r="J1621">
        <v>-210.52850000000001</v>
      </c>
      <c r="K1621">
        <v>1.109861</v>
      </c>
      <c r="L1621">
        <v>283.23099999999999</v>
      </c>
      <c r="M1621">
        <v>-0.97273670000000001</v>
      </c>
      <c r="N1621">
        <v>0</v>
      </c>
      <c r="O1621">
        <v>-0.2315325</v>
      </c>
      <c r="P1621">
        <v>-0.97858880000000004</v>
      </c>
      <c r="Q1621">
        <v>0.1910898</v>
      </c>
      <c r="R1621">
        <v>-7.6477539999999997E-2</v>
      </c>
      <c r="S1621">
        <v>-3.0680390000000002</v>
      </c>
      <c r="T1621">
        <v>-0.21761</v>
      </c>
      <c r="U1621">
        <v>-0.51416019999999996</v>
      </c>
      <c r="V1621">
        <v>0.1527094</v>
      </c>
      <c r="W1621">
        <v>0.2035478</v>
      </c>
      <c r="X1621">
        <v>0.96708229999999995</v>
      </c>
      <c r="Y1621">
        <v>6.6864690000000004E-2</v>
      </c>
      <c r="Z1621">
        <v>1.8451869999999999E-2</v>
      </c>
      <c r="AA1621">
        <v>0.99759140000000002</v>
      </c>
      <c r="AB1621">
        <v>16</v>
      </c>
      <c r="AC1621">
        <v>-15.557799999999901</v>
      </c>
      <c r="AD1621">
        <v>-1.1098592979599999</v>
      </c>
      <c r="AE1621">
        <v>-2.6023000000000098</v>
      </c>
      <c r="AF1621">
        <v>1.0656025181142601</v>
      </c>
      <c r="AG1621">
        <v>-1.1098592979599999</v>
      </c>
      <c r="AH1621">
        <v>15.660019036977999</v>
      </c>
      <c r="AI1621">
        <v>94.044575282916796</v>
      </c>
      <c r="AJ1621">
        <v>86.107248987272499</v>
      </c>
      <c r="AK1621">
        <v>15.735421590360801</v>
      </c>
      <c r="AL1621">
        <v>78.2554984158308</v>
      </c>
      <c r="AM1621">
        <v>81.026668470894606</v>
      </c>
      <c r="AN1621">
        <v>1.0000000213532401</v>
      </c>
    </row>
    <row r="1622" spans="1:40" x14ac:dyDescent="0.25">
      <c r="A1622" t="str">
        <f>"20190312172400371"</f>
        <v>20190312172400371</v>
      </c>
      <c r="B1622" t="str">
        <f>"1552382640361213"</f>
        <v>1552382640361213</v>
      </c>
      <c r="C1622" t="s">
        <v>40</v>
      </c>
      <c r="D1622">
        <v>3.8997790000000001</v>
      </c>
      <c r="E1622">
        <v>0.46045540000000001</v>
      </c>
      <c r="F1622" t="s">
        <v>41</v>
      </c>
      <c r="G1622">
        <v>-211.32640000000001</v>
      </c>
      <c r="H1622">
        <v>1.0527949999999999</v>
      </c>
      <c r="I1622">
        <v>283.0985</v>
      </c>
      <c r="J1622">
        <v>-210.6671</v>
      </c>
      <c r="K1622">
        <v>1.1098110000000001</v>
      </c>
      <c r="L1622">
        <v>283.2004</v>
      </c>
      <c r="M1622">
        <v>-0.97320510000000005</v>
      </c>
      <c r="N1622">
        <v>0</v>
      </c>
      <c r="O1622">
        <v>-0.2295558</v>
      </c>
      <c r="P1622">
        <v>-0.9788557</v>
      </c>
      <c r="Q1622">
        <v>0.1903154</v>
      </c>
      <c r="R1622">
        <v>-7.4976370000000001E-2</v>
      </c>
      <c r="S1622">
        <v>-3.0686800000000001</v>
      </c>
      <c r="T1622">
        <v>-0.21949060000000001</v>
      </c>
      <c r="U1622">
        <v>-0.50988770000000005</v>
      </c>
      <c r="V1622">
        <v>0.15228239999999901</v>
      </c>
      <c r="W1622">
        <v>0.202762</v>
      </c>
      <c r="X1622">
        <v>0.96731469999999997</v>
      </c>
      <c r="Y1622">
        <v>6.6216780000000003E-2</v>
      </c>
      <c r="Z1622">
        <v>1.8450870000000001E-2</v>
      </c>
      <c r="AA1622">
        <v>0.99763460000000004</v>
      </c>
      <c r="AB1622">
        <v>16</v>
      </c>
      <c r="AC1622">
        <v>-0.659300000000001</v>
      </c>
      <c r="AD1622">
        <v>-5.70159999999999E-2</v>
      </c>
      <c r="AE1622">
        <v>-0.1019</v>
      </c>
      <c r="AF1622">
        <v>5.1802751009028598E-2</v>
      </c>
      <c r="AG1622">
        <v>-5.70159999999999E-2</v>
      </c>
      <c r="AH1622">
        <v>0.66026167037996997</v>
      </c>
      <c r="AI1622">
        <v>94.920409387010395</v>
      </c>
      <c r="AJ1622">
        <v>85.513882779990595</v>
      </c>
      <c r="AK1622">
        <v>0.66474041748719503</v>
      </c>
      <c r="AL1622">
        <v>78.3014805799491</v>
      </c>
      <c r="AM1622">
        <v>81.053467902940099</v>
      </c>
      <c r="AN1622">
        <v>1.0000000434149201</v>
      </c>
    </row>
    <row r="1623" spans="1:40" x14ac:dyDescent="0.25">
      <c r="A1623" t="str">
        <f>"20190312172400394"</f>
        <v>20190312172400394</v>
      </c>
      <c r="B1623" t="str">
        <f>"1552382640391976"</f>
        <v>1552382640391976</v>
      </c>
      <c r="C1623" t="s">
        <v>40</v>
      </c>
      <c r="D1623">
        <v>3.8791350000000002</v>
      </c>
      <c r="E1623">
        <v>0.46967059999999999</v>
      </c>
      <c r="F1623" t="s">
        <v>41</v>
      </c>
      <c r="G1623">
        <v>-211.46510000000001</v>
      </c>
      <c r="H1623">
        <v>1.052324</v>
      </c>
      <c r="I1623">
        <v>283.06950000000001</v>
      </c>
      <c r="J1623">
        <v>-210.82409999999999</v>
      </c>
      <c r="K1623">
        <v>1.109761</v>
      </c>
      <c r="L1623">
        <v>283.16629999999998</v>
      </c>
      <c r="M1623">
        <v>-0.97375319999999999</v>
      </c>
      <c r="N1623">
        <v>0</v>
      </c>
      <c r="O1623">
        <v>-0.2272207</v>
      </c>
      <c r="P1623">
        <v>-0.97909800000000002</v>
      </c>
      <c r="Q1623">
        <v>0.18980060000000001</v>
      </c>
      <c r="R1623">
        <v>-7.3095640000000003E-2</v>
      </c>
      <c r="S1623">
        <v>-3.0691830000000002</v>
      </c>
      <c r="T1623">
        <v>-0.22104119999999999</v>
      </c>
      <c r="U1623">
        <v>-0.50369259999999905</v>
      </c>
      <c r="V1623">
        <v>0.15186549999999999</v>
      </c>
      <c r="W1623">
        <v>0.20223340000000001</v>
      </c>
      <c r="X1623">
        <v>0.96749090000000004</v>
      </c>
      <c r="Y1623">
        <v>6.5806439999999994E-2</v>
      </c>
      <c r="Z1623">
        <v>1.840526E-2</v>
      </c>
      <c r="AA1623">
        <v>0.99766270000000001</v>
      </c>
      <c r="AB1623">
        <v>16</v>
      </c>
      <c r="AC1623">
        <v>-0.641000000000019</v>
      </c>
      <c r="AD1623">
        <v>-5.7436999999999898E-2</v>
      </c>
      <c r="AE1623">
        <v>-9.6799999999973296E-2</v>
      </c>
      <c r="AF1623">
        <v>5.09933655015085E-2</v>
      </c>
      <c r="AG1623">
        <v>-5.7436999999999898E-2</v>
      </c>
      <c r="AH1623">
        <v>0.641194031458025</v>
      </c>
      <c r="AI1623">
        <v>95.102763698424795</v>
      </c>
      <c r="AJ1623">
        <v>85.452908170462095</v>
      </c>
      <c r="AK1623">
        <v>0.64577791714456001</v>
      </c>
      <c r="AL1623">
        <v>78.332408051267294</v>
      </c>
      <c r="AM1623">
        <v>81.079164853616305</v>
      </c>
      <c r="AN1623">
        <v>1.0000000598743</v>
      </c>
    </row>
    <row r="1624" spans="1:40" x14ac:dyDescent="0.25">
      <c r="A1624" t="str">
        <f>"20190312172400415"</f>
        <v>20190312172400415</v>
      </c>
      <c r="B1624" t="str">
        <f>"1552382640411495"</f>
        <v>1552382640411495</v>
      </c>
      <c r="C1624" t="s">
        <v>40</v>
      </c>
      <c r="D1624">
        <v>3.8236870000000001</v>
      </c>
      <c r="E1624">
        <v>0.47001720000000002</v>
      </c>
      <c r="F1624" t="s">
        <v>41</v>
      </c>
      <c r="G1624">
        <v>-211.58969999999999</v>
      </c>
      <c r="H1624">
        <v>1.0193139999999901</v>
      </c>
      <c r="I1624">
        <v>283.0634</v>
      </c>
      <c r="J1624">
        <v>-210.96729999999999</v>
      </c>
      <c r="K1624">
        <v>1.1097189999999999</v>
      </c>
      <c r="L1624">
        <v>283.13569999999999</v>
      </c>
      <c r="M1624">
        <v>-0.97426699999999999</v>
      </c>
      <c r="N1624">
        <v>0</v>
      </c>
      <c r="O1624">
        <v>-0.22500680000000001</v>
      </c>
      <c r="P1624">
        <v>-0.97928110000000002</v>
      </c>
      <c r="Q1624">
        <v>0.18948429999999999</v>
      </c>
      <c r="R1624">
        <v>-7.1447360000000001E-2</v>
      </c>
      <c r="S1624">
        <v>-3.1039430000000001</v>
      </c>
      <c r="T1624">
        <v>-0.36667840000000002</v>
      </c>
      <c r="U1624">
        <v>-0.4177246</v>
      </c>
      <c r="V1624">
        <v>0.1513256</v>
      </c>
      <c r="W1624">
        <v>0.20191300000000001</v>
      </c>
      <c r="X1624">
        <v>0.96764240000000001</v>
      </c>
      <c r="Y1624">
        <v>9.0938550000000007E-2</v>
      </c>
      <c r="Z1624">
        <v>3.1432219999999997E-2</v>
      </c>
      <c r="AA1624">
        <v>0.99536029999999998</v>
      </c>
      <c r="AB1624">
        <v>16</v>
      </c>
      <c r="AC1624">
        <v>-0.62239999999999895</v>
      </c>
      <c r="AD1624">
        <v>-9.0405000000000194E-2</v>
      </c>
      <c r="AE1624">
        <v>-7.2299999999984196E-2</v>
      </c>
      <c r="AF1624">
        <v>6.8191286531816706E-2</v>
      </c>
      <c r="AG1624">
        <v>-9.0405000000000194E-2</v>
      </c>
      <c r="AH1624">
        <v>0.61000777547451002</v>
      </c>
      <c r="AI1624">
        <v>98.378604651575699</v>
      </c>
      <c r="AJ1624">
        <v>83.621525558500693</v>
      </c>
      <c r="AK1624">
        <v>0.62042936884324296</v>
      </c>
      <c r="AL1624">
        <v>78.351152252706697</v>
      </c>
      <c r="AM1624">
        <v>81.111741675499502</v>
      </c>
      <c r="AN1624">
        <v>1.00000005553105</v>
      </c>
    </row>
    <row r="1625" spans="1:40" x14ac:dyDescent="0.25">
      <c r="A1625" t="str">
        <f>"20190312172400437"</f>
        <v>20190312172400437</v>
      </c>
      <c r="B1625" t="str">
        <f>"1552382640431991"</f>
        <v>1552382640431991</v>
      </c>
      <c r="C1625" t="s">
        <v>40</v>
      </c>
      <c r="D1625">
        <v>3.8457849999999998</v>
      </c>
      <c r="E1625">
        <v>0.47001890000000002</v>
      </c>
      <c r="F1625" t="s">
        <v>41</v>
      </c>
      <c r="G1625">
        <v>-211.72730000000001</v>
      </c>
      <c r="H1625">
        <v>1.016567</v>
      </c>
      <c r="I1625">
        <v>283.03559999999999</v>
      </c>
      <c r="J1625">
        <v>-211.12549999999999</v>
      </c>
      <c r="K1625">
        <v>1.1096140000000001</v>
      </c>
      <c r="L1625">
        <v>283.10219999999998</v>
      </c>
      <c r="M1625">
        <v>-0.97485390000000005</v>
      </c>
      <c r="N1625">
        <v>0</v>
      </c>
      <c r="O1625">
        <v>-0.2224612</v>
      </c>
      <c r="P1625">
        <v>-0.97959739999999995</v>
      </c>
      <c r="Q1625">
        <v>0.1886594</v>
      </c>
      <c r="R1625">
        <v>-6.926098E-2</v>
      </c>
      <c r="S1625">
        <v>-3.1073149999999998</v>
      </c>
      <c r="T1625">
        <v>-0.3808454</v>
      </c>
      <c r="U1625">
        <v>-0.4091187</v>
      </c>
      <c r="V1625">
        <v>0.1510087</v>
      </c>
      <c r="W1625">
        <v>0.20089480000000001</v>
      </c>
      <c r="X1625">
        <v>0.96790370000000003</v>
      </c>
      <c r="Y1625">
        <v>9.1042919999999999E-2</v>
      </c>
      <c r="Z1625">
        <v>3.2316110000000002E-2</v>
      </c>
      <c r="AA1625">
        <v>0.9953225</v>
      </c>
      <c r="AB1625">
        <v>16</v>
      </c>
      <c r="AC1625">
        <v>-0.60180000000002498</v>
      </c>
      <c r="AD1625">
        <v>-9.3046999999999797E-2</v>
      </c>
      <c r="AE1625">
        <v>-6.6599999999993997E-2</v>
      </c>
      <c r="AF1625">
        <v>6.7366811090668E-2</v>
      </c>
      <c r="AG1625">
        <v>-9.3046999999999797E-2</v>
      </c>
      <c r="AH1625">
        <v>0.58765607134740705</v>
      </c>
      <c r="AI1625">
        <v>98.939687778686903</v>
      </c>
      <c r="AJ1625">
        <v>83.460361942661507</v>
      </c>
      <c r="AK1625">
        <v>0.59877849797483096</v>
      </c>
      <c r="AL1625">
        <v>78.410710163122005</v>
      </c>
      <c r="AM1625">
        <v>81.132415347216394</v>
      </c>
      <c r="AN1625">
        <v>0.99999996030820903</v>
      </c>
    </row>
    <row r="1626" spans="1:40" x14ac:dyDescent="0.25">
      <c r="A1626" t="str">
        <f>"20190312172400451"</f>
        <v>20190312172400451</v>
      </c>
      <c r="B1626" t="str">
        <f>"1552382640441752"</f>
        <v>1552382640441752</v>
      </c>
      <c r="C1626" t="s">
        <v>40</v>
      </c>
      <c r="D1626">
        <v>3.8516550000000001</v>
      </c>
      <c r="E1626">
        <v>0.47000059999999999</v>
      </c>
      <c r="F1626" t="s">
        <v>41</v>
      </c>
      <c r="G1626">
        <v>-211.86689999999999</v>
      </c>
      <c r="H1626">
        <v>1.016753</v>
      </c>
      <c r="I1626">
        <v>283.00650000000002</v>
      </c>
      <c r="J1626">
        <v>-211.22110000000001</v>
      </c>
      <c r="K1626">
        <v>1.109542</v>
      </c>
      <c r="L1626">
        <v>283.08229999999998</v>
      </c>
      <c r="M1626">
        <v>-0.97521550000000001</v>
      </c>
      <c r="N1626">
        <v>0</v>
      </c>
      <c r="O1626">
        <v>-0.22088070000000001</v>
      </c>
      <c r="P1626">
        <v>-0.97975259999999997</v>
      </c>
      <c r="Q1626">
        <v>0.18839139999999999</v>
      </c>
      <c r="R1626">
        <v>-6.7774130000000002E-2</v>
      </c>
      <c r="S1626">
        <v>-3.10907</v>
      </c>
      <c r="T1626">
        <v>-0.38952710000000002</v>
      </c>
      <c r="U1626">
        <v>-0.40216059999999998</v>
      </c>
      <c r="V1626">
        <v>0.15092809999999901</v>
      </c>
      <c r="W1626">
        <v>0.20043939999999999</v>
      </c>
      <c r="X1626">
        <v>0.9680107</v>
      </c>
      <c r="Y1626">
        <v>9.1596189999999994E-2</v>
      </c>
      <c r="Z1626">
        <v>3.2878310000000001E-2</v>
      </c>
      <c r="AA1626">
        <v>0.99525330000000001</v>
      </c>
      <c r="AB1626">
        <v>16</v>
      </c>
      <c r="AC1626">
        <v>-0.64579999999997995</v>
      </c>
      <c r="AD1626">
        <v>-9.2788999999999996E-2</v>
      </c>
      <c r="AE1626">
        <v>-7.5799999999958304E-2</v>
      </c>
      <c r="AF1626">
        <v>6.7357499761761794E-2</v>
      </c>
      <c r="AG1626">
        <v>-9.2788999999999996E-2</v>
      </c>
      <c r="AH1626">
        <v>0.63368659721208698</v>
      </c>
      <c r="AI1626">
        <v>98.284447143848794</v>
      </c>
      <c r="AJ1626">
        <v>83.932547447454894</v>
      </c>
      <c r="AK1626">
        <v>0.643976346445574</v>
      </c>
      <c r="AL1626">
        <v>78.437344646181501</v>
      </c>
      <c r="AM1626">
        <v>81.138037328899401</v>
      </c>
      <c r="AN1626">
        <v>0.99999997987822897</v>
      </c>
    </row>
    <row r="1627" spans="1:40" x14ac:dyDescent="0.25">
      <c r="A1627" t="str">
        <f>"20190312172400472"</f>
        <v>20190312172400472</v>
      </c>
      <c r="B1627" t="str">
        <f>"1552382640461275"</f>
        <v>1552382640461275</v>
      </c>
      <c r="C1627" t="s">
        <v>40</v>
      </c>
      <c r="D1627">
        <v>3.8680289999999999</v>
      </c>
      <c r="E1627">
        <v>0.4699333</v>
      </c>
      <c r="F1627" t="s">
        <v>41</v>
      </c>
      <c r="G1627">
        <v>-212.00470000000001</v>
      </c>
      <c r="H1627">
        <v>1.0106310000000001</v>
      </c>
      <c r="I1627">
        <v>282.98219999999998</v>
      </c>
      <c r="J1627">
        <v>-211.36449999999999</v>
      </c>
      <c r="K1627">
        <v>1.1094820000000001</v>
      </c>
      <c r="L1627">
        <v>283.05279999999999</v>
      </c>
      <c r="M1627">
        <v>-0.97575829999999997</v>
      </c>
      <c r="N1627">
        <v>0</v>
      </c>
      <c r="O1627">
        <v>-0.21848390000000001</v>
      </c>
      <c r="P1627">
        <v>-0.98007730000000004</v>
      </c>
      <c r="Q1627">
        <v>0.18757770000000001</v>
      </c>
      <c r="R1627">
        <v>-6.5296010000000002E-2</v>
      </c>
      <c r="S1627">
        <v>-3.1100159999999999</v>
      </c>
      <c r="T1627">
        <v>-0.39259729999999998</v>
      </c>
      <c r="U1627">
        <v>-0.3973083</v>
      </c>
      <c r="V1627">
        <v>0.1510379</v>
      </c>
      <c r="W1627">
        <v>0.19941619999999999</v>
      </c>
      <c r="X1627">
        <v>0.96820490000000003</v>
      </c>
      <c r="Y1627">
        <v>9.0703519999999996E-2</v>
      </c>
      <c r="Z1627">
        <v>3.2781530000000003E-2</v>
      </c>
      <c r="AA1627">
        <v>0.99533830000000001</v>
      </c>
      <c r="AB1627">
        <v>16</v>
      </c>
      <c r="AC1627">
        <v>-0.64020000000002097</v>
      </c>
      <c r="AD1627">
        <v>-9.8850999999999994E-2</v>
      </c>
      <c r="AE1627">
        <v>-7.0600000000013097E-2</v>
      </c>
      <c r="AF1627">
        <v>6.9356861641014095E-2</v>
      </c>
      <c r="AG1627">
        <v>-9.8850999999999994E-2</v>
      </c>
      <c r="AH1627">
        <v>0.62542499256134199</v>
      </c>
      <c r="AI1627">
        <v>98.9276981351899</v>
      </c>
      <c r="AJ1627">
        <v>83.672007479473507</v>
      </c>
      <c r="AK1627">
        <v>0.63697591459806802</v>
      </c>
      <c r="AL1627">
        <v>78.497177897081102</v>
      </c>
      <c r="AM1627">
        <v>81.133443219180194</v>
      </c>
      <c r="AN1627">
        <v>0.99999999822142904</v>
      </c>
    </row>
    <row r="1628" spans="1:40" x14ac:dyDescent="0.25">
      <c r="A1628" t="str">
        <f>"20190312172400493"</f>
        <v>20190312172400493</v>
      </c>
      <c r="B1628" t="str">
        <f>"1552382640492035"</f>
        <v>1552382640492035</v>
      </c>
      <c r="C1628" t="s">
        <v>40</v>
      </c>
      <c r="D1628">
        <v>3.867648</v>
      </c>
      <c r="E1628">
        <v>0.4703039</v>
      </c>
      <c r="F1628" t="s">
        <v>41</v>
      </c>
      <c r="G1628">
        <v>-212.14420000000001</v>
      </c>
      <c r="H1628">
        <v>1.0096719999999999</v>
      </c>
      <c r="I1628">
        <v>282.95499999999998</v>
      </c>
      <c r="J1628">
        <v>-211.51849999999999</v>
      </c>
      <c r="K1628">
        <v>1.1094889999999999</v>
      </c>
      <c r="L1628">
        <v>283.0215</v>
      </c>
      <c r="M1628">
        <v>-0.97633729999999996</v>
      </c>
      <c r="N1628">
        <v>0</v>
      </c>
      <c r="O1628">
        <v>-0.21588399999999999</v>
      </c>
      <c r="P1628">
        <v>-0.98036160000000006</v>
      </c>
      <c r="Q1628">
        <v>0.1868022</v>
      </c>
      <c r="R1628">
        <v>-6.3215960000000002E-2</v>
      </c>
      <c r="S1628">
        <v>-3.1111300000000002</v>
      </c>
      <c r="T1628">
        <v>-0.39819769999999999</v>
      </c>
      <c r="U1628">
        <v>-0.39129639999999999</v>
      </c>
      <c r="V1628">
        <v>0.1505416</v>
      </c>
      <c r="W1628">
        <v>0.19859660000000001</v>
      </c>
      <c r="X1628">
        <v>0.9684507</v>
      </c>
      <c r="Y1628">
        <v>8.9947810000000003E-2</v>
      </c>
      <c r="Z1628">
        <v>3.286932E-2</v>
      </c>
      <c r="AA1628">
        <v>0.99540390000000001</v>
      </c>
      <c r="AB1628">
        <v>16</v>
      </c>
      <c r="AC1628">
        <v>-0.62570000000002302</v>
      </c>
      <c r="AD1628">
        <v>-9.9817000000000003E-2</v>
      </c>
      <c r="AE1628">
        <v>-6.6500000000019099E-2</v>
      </c>
      <c r="AF1628">
        <v>6.8435597948519805E-2</v>
      </c>
      <c r="AG1628">
        <v>-9.9817000000000003E-2</v>
      </c>
      <c r="AH1628">
        <v>0.60995095392027299</v>
      </c>
      <c r="AI1628">
        <v>99.236984871806399</v>
      </c>
      <c r="AJ1628">
        <v>83.598271148123004</v>
      </c>
      <c r="AK1628">
        <v>0.62184164442711798</v>
      </c>
      <c r="AL1628">
        <v>78.545096808003294</v>
      </c>
      <c r="AM1628">
        <v>81.164325143541504</v>
      </c>
      <c r="AN1628">
        <v>1.0000000705962999</v>
      </c>
    </row>
    <row r="1629" spans="1:40" x14ac:dyDescent="0.25">
      <c r="A1629" t="str">
        <f>"20190312172400508"</f>
        <v>20190312172400508</v>
      </c>
      <c r="B1629" t="str">
        <f>"1552382640501795"</f>
        <v>1552382640501795</v>
      </c>
      <c r="C1629" t="s">
        <v>40</v>
      </c>
      <c r="D1629">
        <v>3.7501259999999998</v>
      </c>
      <c r="E1629">
        <v>0.4703039</v>
      </c>
      <c r="F1629" t="s">
        <v>41</v>
      </c>
      <c r="G1629">
        <v>-212.28389999999999</v>
      </c>
      <c r="H1629">
        <v>1.010027</v>
      </c>
      <c r="I1629">
        <v>282.9271</v>
      </c>
      <c r="J1629">
        <v>-211.62209999999999</v>
      </c>
      <c r="K1629">
        <v>1.1095120000000001</v>
      </c>
      <c r="L1629">
        <v>283.00069999999999</v>
      </c>
      <c r="M1629">
        <v>-0.97672639999999999</v>
      </c>
      <c r="N1629">
        <v>0</v>
      </c>
      <c r="O1629">
        <v>-0.21411669999999999</v>
      </c>
      <c r="P1629">
        <v>-0.98055990000000004</v>
      </c>
      <c r="Q1629">
        <v>0.186226</v>
      </c>
      <c r="R1629">
        <v>-6.1826199999999998E-2</v>
      </c>
      <c r="S1629">
        <v>-3.1123959999999999</v>
      </c>
      <c r="T1629">
        <v>-0.4044623</v>
      </c>
      <c r="U1629">
        <v>-0.38400269999999997</v>
      </c>
      <c r="V1629">
        <v>0.15017910000000001</v>
      </c>
      <c r="W1629">
        <v>0.19804040000000001</v>
      </c>
      <c r="X1629">
        <v>0.96862079999999995</v>
      </c>
      <c r="Y1629">
        <v>9.0427460000000001E-2</v>
      </c>
      <c r="Z1629">
        <v>3.3183999999999998E-2</v>
      </c>
      <c r="AA1629">
        <v>0.99535010000000002</v>
      </c>
      <c r="AB1629">
        <v>16</v>
      </c>
      <c r="AC1629">
        <v>-0.66179999999999894</v>
      </c>
      <c r="AD1629">
        <v>-9.9485000000000004E-2</v>
      </c>
      <c r="AE1629">
        <v>-7.3599999999999E-2</v>
      </c>
      <c r="AF1629">
        <v>6.8296461208028805E-2</v>
      </c>
      <c r="AG1629">
        <v>-9.9485000000000004E-2</v>
      </c>
      <c r="AH1629">
        <v>0.64775059933547696</v>
      </c>
      <c r="AI1629">
        <v>98.684167086630893</v>
      </c>
      <c r="AJ1629">
        <v>83.981179588489695</v>
      </c>
      <c r="AK1629">
        <v>0.65889491633947905</v>
      </c>
      <c r="AL1629">
        <v>78.577609795186703</v>
      </c>
      <c r="AM1629">
        <v>81.186790335513095</v>
      </c>
      <c r="AN1629">
        <v>1.0000000081508</v>
      </c>
    </row>
    <row r="1630" spans="1:40" x14ac:dyDescent="0.25">
      <c r="A1630" t="str">
        <f>"20190312172400673"</f>
        <v>20190312172400673</v>
      </c>
      <c r="B1630" t="str">
        <f>"1552382640661389"</f>
        <v>1552382640661389</v>
      </c>
      <c r="C1630" t="s">
        <v>40</v>
      </c>
      <c r="D1630">
        <v>3.6725059999999998</v>
      </c>
      <c r="E1630">
        <v>0.4826762</v>
      </c>
      <c r="F1630" t="s">
        <v>41</v>
      </c>
      <c r="G1630">
        <v>-213.37129999999999</v>
      </c>
      <c r="H1630">
        <v>0.93498429999999999</v>
      </c>
      <c r="I1630">
        <v>282.75130000000001</v>
      </c>
      <c r="J1630">
        <v>-212.76849999999999</v>
      </c>
      <c r="K1630">
        <v>1.1096090000000001</v>
      </c>
      <c r="L1630">
        <v>282.78410000000002</v>
      </c>
      <c r="M1630">
        <v>-0.9808038</v>
      </c>
      <c r="N1630">
        <v>0</v>
      </c>
      <c r="O1630">
        <v>-0.1946001</v>
      </c>
      <c r="P1630">
        <v>-0.98049310000000001</v>
      </c>
      <c r="Q1630">
        <v>0.18881429999999999</v>
      </c>
      <c r="R1630">
        <v>-5.4614089999999997E-2</v>
      </c>
      <c r="S1630">
        <v>-3.1875309999999999</v>
      </c>
      <c r="T1630">
        <v>-0.73871830000000005</v>
      </c>
      <c r="U1630">
        <v>-0.25375370000000003</v>
      </c>
      <c r="V1630">
        <v>0.13782249999999999</v>
      </c>
      <c r="W1630">
        <v>0.20050670000000001</v>
      </c>
      <c r="X1630">
        <v>0.96994950000000002</v>
      </c>
      <c r="Y1630">
        <v>0.10826520000000001</v>
      </c>
      <c r="Z1630">
        <v>5.6505859999999998E-2</v>
      </c>
      <c r="AA1630">
        <v>0.99251480000000003</v>
      </c>
      <c r="AB1630">
        <v>16</v>
      </c>
      <c r="AC1630">
        <v>-0.602800000000002</v>
      </c>
      <c r="AD1630">
        <v>-0.17462469999999899</v>
      </c>
      <c r="AE1630">
        <v>-3.2800000000008801E-2</v>
      </c>
      <c r="AF1630">
        <v>7.8567269583561597E-2</v>
      </c>
      <c r="AG1630">
        <v>-0.17462469999999899</v>
      </c>
      <c r="AH1630">
        <v>0.55151149472119299</v>
      </c>
      <c r="AI1630">
        <v>107.404356404059</v>
      </c>
      <c r="AJ1630">
        <v>81.892306125275098</v>
      </c>
      <c r="AK1630">
        <v>0.58380778558487101</v>
      </c>
      <c r="AL1630">
        <v>78.433409037408694</v>
      </c>
      <c r="AM1630">
        <v>81.912839683048603</v>
      </c>
      <c r="AN1630">
        <v>1.0000000054006899</v>
      </c>
    </row>
    <row r="1631" spans="1:40" x14ac:dyDescent="0.25">
      <c r="A1631" t="str">
        <f>"20190312172400694"</f>
        <v>20190312172400694</v>
      </c>
      <c r="B1631" t="str">
        <f>"1552382640691645"</f>
        <v>1552382640691645</v>
      </c>
      <c r="C1631" t="s">
        <v>40</v>
      </c>
      <c r="D1631">
        <v>3.8386</v>
      </c>
      <c r="E1631">
        <v>0.49549399999999899</v>
      </c>
      <c r="F1631" t="s">
        <v>41</v>
      </c>
      <c r="G1631">
        <v>-213.52449999999999</v>
      </c>
      <c r="H1631">
        <v>0.96253659999999996</v>
      </c>
      <c r="I1631">
        <v>282.72489999999999</v>
      </c>
      <c r="J1631">
        <v>-212.9204</v>
      </c>
      <c r="K1631">
        <v>1.1096280000000001</v>
      </c>
      <c r="L1631">
        <v>282.75720000000001</v>
      </c>
      <c r="M1631">
        <v>-0.98131009999999996</v>
      </c>
      <c r="N1631">
        <v>0</v>
      </c>
      <c r="O1631">
        <v>-0.19203129999999999</v>
      </c>
      <c r="P1631">
        <v>-0.98055820000000005</v>
      </c>
      <c r="Q1631">
        <v>0.18889139999999999</v>
      </c>
      <c r="R1631">
        <v>-5.315893E-2</v>
      </c>
      <c r="S1631">
        <v>-3.1643829999999999</v>
      </c>
      <c r="T1631">
        <v>-0.61542799999999998</v>
      </c>
      <c r="U1631">
        <v>-0.2480774</v>
      </c>
      <c r="V1631">
        <v>0.13671040000000001</v>
      </c>
      <c r="W1631">
        <v>0.20058090000000001</v>
      </c>
      <c r="X1631">
        <v>0.9700915</v>
      </c>
      <c r="Y1631">
        <v>0.1092013</v>
      </c>
      <c r="Z1631">
        <v>4.7209649999999999E-2</v>
      </c>
      <c r="AA1631">
        <v>0.9928979</v>
      </c>
      <c r="AB1631">
        <v>16</v>
      </c>
      <c r="AC1631">
        <v>-0.60409999999998798</v>
      </c>
      <c r="AD1631">
        <v>-0.14709140000000001</v>
      </c>
      <c r="AE1631">
        <v>-3.2300000000020597E-2</v>
      </c>
      <c r="AF1631">
        <v>7.9609951903335904E-2</v>
      </c>
      <c r="AG1631">
        <v>-0.14709140000000001</v>
      </c>
      <c r="AH1631">
        <v>0.565620181205442</v>
      </c>
      <c r="AI1631">
        <v>104.440777996688</v>
      </c>
      <c r="AJ1631">
        <v>81.988356305920604</v>
      </c>
      <c r="AK1631">
        <v>0.58983032626585796</v>
      </c>
      <c r="AL1631">
        <v>78.429069171588793</v>
      </c>
      <c r="AM1631">
        <v>81.978401640373306</v>
      </c>
      <c r="AN1631">
        <v>0.99999997464260904</v>
      </c>
    </row>
    <row r="1632" spans="1:40" x14ac:dyDescent="0.25">
      <c r="A1632" t="str">
        <f>"20190312172400716"</f>
        <v>20190312172400716</v>
      </c>
      <c r="B1632" t="str">
        <f>"1552382640711165"</f>
        <v>1552382640711165</v>
      </c>
      <c r="C1632" t="s">
        <v>40</v>
      </c>
      <c r="D1632">
        <v>3.8240059999999998</v>
      </c>
      <c r="E1632">
        <v>0.49265540000000002</v>
      </c>
      <c r="F1632" t="s">
        <v>41</v>
      </c>
      <c r="G1632">
        <v>-213.70259999999999</v>
      </c>
      <c r="H1632">
        <v>1.0318160000000001</v>
      </c>
      <c r="I1632">
        <v>282.71769999999998</v>
      </c>
      <c r="J1632">
        <v>-213.07390000000001</v>
      </c>
      <c r="K1632">
        <v>1.1096360000000001</v>
      </c>
      <c r="L1632">
        <v>282.7303</v>
      </c>
      <c r="M1632">
        <v>-0.98181410000000002</v>
      </c>
      <c r="N1632">
        <v>0</v>
      </c>
      <c r="O1632">
        <v>-0.18943850000000001</v>
      </c>
      <c r="P1632">
        <v>-0.98061140000000002</v>
      </c>
      <c r="Q1632">
        <v>0.18908030000000001</v>
      </c>
      <c r="R1632">
        <v>-5.1479329999999997E-2</v>
      </c>
      <c r="S1632">
        <v>-3.1105499999999999</v>
      </c>
      <c r="T1632">
        <v>-0.30941030000000003</v>
      </c>
      <c r="U1632">
        <v>-0.15731809999999999</v>
      </c>
      <c r="V1632">
        <v>0.1357968</v>
      </c>
      <c r="W1632">
        <v>0.20076450000000001</v>
      </c>
      <c r="X1632">
        <v>0.97018190000000004</v>
      </c>
      <c r="Y1632">
        <v>0.13801529999999901</v>
      </c>
      <c r="Z1632">
        <v>2.5521459999999999E-2</v>
      </c>
      <c r="AA1632">
        <v>0.99010120000000001</v>
      </c>
      <c r="AB1632">
        <v>16</v>
      </c>
      <c r="AC1632">
        <v>-0.62869999999998005</v>
      </c>
      <c r="AD1632">
        <v>-7.782E-2</v>
      </c>
      <c r="AE1632">
        <v>-1.26000000000203E-2</v>
      </c>
      <c r="AF1632">
        <v>0.105127313093644</v>
      </c>
      <c r="AG1632">
        <v>-7.782E-2</v>
      </c>
      <c r="AH1632">
        <v>0.61035355462560703</v>
      </c>
      <c r="AI1632">
        <v>97.161665360530904</v>
      </c>
      <c r="AJ1632">
        <v>80.227261865202294</v>
      </c>
      <c r="AK1632">
        <v>0.62421083457627002</v>
      </c>
      <c r="AL1632">
        <v>78.418331973595699</v>
      </c>
      <c r="AM1632">
        <v>82.032049989511293</v>
      </c>
      <c r="AN1632">
        <v>1.0000000372190401</v>
      </c>
    </row>
    <row r="1633" spans="1:40" x14ac:dyDescent="0.25">
      <c r="A1633" t="str">
        <f>"20190312172400739"</f>
        <v>20190312172400739</v>
      </c>
      <c r="B1633" t="str">
        <f>"1552382640731661"</f>
        <v>1552382640731661</v>
      </c>
      <c r="C1633" t="s">
        <v>40</v>
      </c>
      <c r="D1633">
        <v>3.8398810000000001</v>
      </c>
      <c r="E1633">
        <v>0.49076110000000001</v>
      </c>
      <c r="F1633" t="s">
        <v>41</v>
      </c>
      <c r="G1633">
        <v>-213.84360000000001</v>
      </c>
      <c r="H1633">
        <v>1.0371549999999901</v>
      </c>
      <c r="I1633">
        <v>282.68680000000001</v>
      </c>
      <c r="J1633">
        <v>-213.2321</v>
      </c>
      <c r="K1633">
        <v>1.1099730000000001</v>
      </c>
      <c r="L1633">
        <v>282.70310000000001</v>
      </c>
      <c r="M1633">
        <v>-0.98228009999999999</v>
      </c>
      <c r="N1633">
        <v>0</v>
      </c>
      <c r="O1633">
        <v>-0.1869479</v>
      </c>
      <c r="P1633">
        <v>-0.98089389999999999</v>
      </c>
      <c r="Q1633">
        <v>0.1877849</v>
      </c>
      <c r="R1633">
        <v>-5.0835419999999999E-2</v>
      </c>
      <c r="S1633">
        <v>-3.1064609999999999</v>
      </c>
      <c r="T1633">
        <v>-0.29250660000000001</v>
      </c>
      <c r="U1633">
        <v>-0.1765137</v>
      </c>
      <c r="V1633">
        <v>0.133964</v>
      </c>
      <c r="W1633">
        <v>0.2003441</v>
      </c>
      <c r="X1633">
        <v>0.97052349999999998</v>
      </c>
      <c r="Y1633">
        <v>0.1295491</v>
      </c>
      <c r="Z1633">
        <v>2.353127E-2</v>
      </c>
      <c r="AA1633">
        <v>0.99129370000000006</v>
      </c>
      <c r="AB1633">
        <v>16</v>
      </c>
      <c r="AC1633">
        <v>-0.61150000000000604</v>
      </c>
      <c r="AD1633">
        <v>-7.2817999999999994E-2</v>
      </c>
      <c r="AE1633">
        <v>-1.6300000000001001E-2</v>
      </c>
      <c r="AF1633">
        <v>9.6942447322492298E-2</v>
      </c>
      <c r="AG1633">
        <v>-7.2817999999999994E-2</v>
      </c>
      <c r="AH1633">
        <v>0.59532882164010303</v>
      </c>
      <c r="AI1633">
        <v>96.883746081521394</v>
      </c>
      <c r="AJ1633">
        <v>80.751219580438303</v>
      </c>
      <c r="AK1633">
        <v>0.60754975524006904</v>
      </c>
      <c r="AL1633">
        <v>78.4429180782288</v>
      </c>
      <c r="AM1633">
        <v>82.140969313480795</v>
      </c>
      <c r="AN1633">
        <v>0.99999998787652999</v>
      </c>
    </row>
    <row r="1634" spans="1:40" x14ac:dyDescent="0.25">
      <c r="A1634" t="str">
        <f>"20190312172400762"</f>
        <v>20190312172400762</v>
      </c>
      <c r="B1634" t="str">
        <f>"1552382640751181"</f>
        <v>1552382640751181</v>
      </c>
      <c r="C1634" t="s">
        <v>40</v>
      </c>
      <c r="D1634">
        <v>3.8273739999999998</v>
      </c>
      <c r="E1634">
        <v>0.49000100000000002</v>
      </c>
      <c r="F1634" t="s">
        <v>41</v>
      </c>
      <c r="G1634">
        <v>-213.9796</v>
      </c>
      <c r="H1634">
        <v>1.038872</v>
      </c>
      <c r="I1634">
        <v>282.65780000000001</v>
      </c>
      <c r="J1634">
        <v>-213.3837</v>
      </c>
      <c r="K1634">
        <v>1.110544</v>
      </c>
      <c r="L1634">
        <v>282.6771</v>
      </c>
      <c r="M1634">
        <v>-0.98267490000000002</v>
      </c>
      <c r="N1634">
        <v>0</v>
      </c>
      <c r="O1634">
        <v>-0.1847433</v>
      </c>
      <c r="P1634">
        <v>-0.98132920000000001</v>
      </c>
      <c r="Q1634">
        <v>0.18576039999999999</v>
      </c>
      <c r="R1634">
        <v>-4.9862530000000002E-2</v>
      </c>
      <c r="S1634">
        <v>-3.1052089999999999</v>
      </c>
      <c r="T1634">
        <v>-0.29532979999999998</v>
      </c>
      <c r="U1634">
        <v>-0.18841550000000001</v>
      </c>
      <c r="V1634">
        <v>0.13272690000000001</v>
      </c>
      <c r="W1634">
        <v>0.19991329999999999</v>
      </c>
      <c r="X1634">
        <v>0.97078229999999999</v>
      </c>
      <c r="Y1634">
        <v>0.12352630000000001</v>
      </c>
      <c r="Z1634">
        <v>2.3271880000000002E-2</v>
      </c>
      <c r="AA1634">
        <v>0.99206839999999996</v>
      </c>
      <c r="AB1634">
        <v>16</v>
      </c>
      <c r="AC1634">
        <v>-0.59589999999999999</v>
      </c>
      <c r="AD1634">
        <v>-7.1671999999999902E-2</v>
      </c>
      <c r="AE1634">
        <v>-1.9299999999986901E-2</v>
      </c>
      <c r="AF1634">
        <v>8.9834731126858205E-2</v>
      </c>
      <c r="AG1634">
        <v>-7.1671999999999902E-2</v>
      </c>
      <c r="AH1634">
        <v>0.58081301090595805</v>
      </c>
      <c r="AI1634">
        <v>96.952852640517193</v>
      </c>
      <c r="AJ1634">
        <v>81.207695071847795</v>
      </c>
      <c r="AK1634">
        <v>0.59207339759381095</v>
      </c>
      <c r="AL1634">
        <v>78.4681110839376</v>
      </c>
      <c r="AM1634">
        <v>82.214700099323096</v>
      </c>
      <c r="AN1634">
        <v>1.00000001574689</v>
      </c>
    </row>
    <row r="1635" spans="1:40" x14ac:dyDescent="0.25">
      <c r="A1635" t="str">
        <f>"20190312172400785"</f>
        <v>20190312172400785</v>
      </c>
      <c r="B1635" t="str">
        <f>"1552382640781439"</f>
        <v>1552382640781439</v>
      </c>
      <c r="C1635" t="s">
        <v>40</v>
      </c>
      <c r="D1635">
        <v>3.8364530000000001</v>
      </c>
      <c r="E1635">
        <v>0.48936619999999997</v>
      </c>
      <c r="F1635" t="s">
        <v>41</v>
      </c>
      <c r="G1635">
        <v>-214.23929999999999</v>
      </c>
      <c r="H1635">
        <v>1.0273650000000001</v>
      </c>
      <c r="I1635">
        <v>282.62479999999999</v>
      </c>
      <c r="J1635">
        <v>-213.53399999999999</v>
      </c>
      <c r="K1635">
        <v>1.1111089999999999</v>
      </c>
      <c r="L1635">
        <v>282.65159999999997</v>
      </c>
      <c r="M1635">
        <v>-0.98301819999999895</v>
      </c>
      <c r="N1635">
        <v>0</v>
      </c>
      <c r="O1635">
        <v>-0.1827491</v>
      </c>
      <c r="P1635">
        <v>-0.98169700000000004</v>
      </c>
      <c r="Q1635">
        <v>0.18416379999999999</v>
      </c>
      <c r="R1635">
        <v>-4.8526800000000002E-2</v>
      </c>
      <c r="S1635">
        <v>-3.104584</v>
      </c>
      <c r="T1635">
        <v>-0.3018517</v>
      </c>
      <c r="U1635">
        <v>-0.18978880000000001</v>
      </c>
      <c r="V1635">
        <v>0.13204949999999999</v>
      </c>
      <c r="W1635">
        <v>0.2001656</v>
      </c>
      <c r="X1635">
        <v>0.97082270000000004</v>
      </c>
      <c r="Y1635">
        <v>0.12102789999999999</v>
      </c>
      <c r="Z1635">
        <v>2.3476919999999998E-2</v>
      </c>
      <c r="AA1635">
        <v>0.99237140000000001</v>
      </c>
      <c r="AB1635">
        <v>15</v>
      </c>
      <c r="AC1635">
        <v>-0.70529999999996495</v>
      </c>
      <c r="AD1635">
        <v>-8.3744000000000193E-2</v>
      </c>
      <c r="AE1635">
        <v>-2.67999999999801E-2</v>
      </c>
      <c r="AF1635">
        <v>0.10113850694604699</v>
      </c>
      <c r="AG1635">
        <v>-8.3744000000000193E-2</v>
      </c>
      <c r="AH1635">
        <v>0.68862321928509596</v>
      </c>
      <c r="AI1635">
        <v>96.860846214774497</v>
      </c>
      <c r="AJ1635">
        <v>81.644670159117993</v>
      </c>
      <c r="AK1635">
        <v>0.70103066499393996</v>
      </c>
      <c r="AL1635">
        <v>78.453357274308203</v>
      </c>
      <c r="AM1635">
        <v>82.254268864928605</v>
      </c>
      <c r="AN1635">
        <v>1.00000002635444</v>
      </c>
    </row>
    <row r="1636" spans="1:40" x14ac:dyDescent="0.25">
      <c r="A1636" t="str">
        <f>"20190312172400806"</f>
        <v>20190312172400806</v>
      </c>
      <c r="B1636" t="str">
        <f>"1552382640801933"</f>
        <v>1552382640801933</v>
      </c>
      <c r="C1636" t="s">
        <v>40</v>
      </c>
      <c r="D1636">
        <v>3.8485230000000001</v>
      </c>
      <c r="E1636">
        <v>0.48913879999999998</v>
      </c>
      <c r="F1636" t="s">
        <v>41</v>
      </c>
      <c r="G1636">
        <v>-214.36670000000001</v>
      </c>
      <c r="H1636">
        <v>1.0297970000000001</v>
      </c>
      <c r="I1636">
        <v>282.6003</v>
      </c>
      <c r="J1636">
        <v>-213.66759999999999</v>
      </c>
      <c r="K1636">
        <v>1.111518</v>
      </c>
      <c r="L1636">
        <v>282.62900000000002</v>
      </c>
      <c r="M1636">
        <v>-0.98328470000000001</v>
      </c>
      <c r="N1636">
        <v>0</v>
      </c>
      <c r="O1636">
        <v>-0.1811451</v>
      </c>
      <c r="P1636">
        <v>-0.98207199999999994</v>
      </c>
      <c r="Q1636">
        <v>0.1825852</v>
      </c>
      <c r="R1636">
        <v>-4.688084E-2</v>
      </c>
      <c r="S1636">
        <v>-3.1033170000000001</v>
      </c>
      <c r="T1636">
        <v>-0.30299369999999998</v>
      </c>
      <c r="U1636">
        <v>-0.19177250000000001</v>
      </c>
      <c r="V1636">
        <v>0.13210050000000001</v>
      </c>
      <c r="W1636">
        <v>0.20028290000000001</v>
      </c>
      <c r="X1636">
        <v>0.97079159999999998</v>
      </c>
      <c r="Y1636">
        <v>0.11876349999999999</v>
      </c>
      <c r="Z1636">
        <v>2.33108E-2</v>
      </c>
      <c r="AA1636">
        <v>0.99264889999999995</v>
      </c>
      <c r="AB1636">
        <v>15</v>
      </c>
      <c r="AC1636">
        <v>-0.69910000000001504</v>
      </c>
      <c r="AD1636">
        <v>-8.1721000000000099E-2</v>
      </c>
      <c r="AE1636">
        <v>-2.87000000000148E-2</v>
      </c>
      <c r="AF1636">
        <v>9.7110174164229998E-2</v>
      </c>
      <c r="AG1636">
        <v>-8.1721000000000099E-2</v>
      </c>
      <c r="AH1636">
        <v>0.68340755543937803</v>
      </c>
      <c r="AI1636">
        <v>96.751788834439097</v>
      </c>
      <c r="AJ1636">
        <v>81.912583214468697</v>
      </c>
      <c r="AK1636">
        <v>0.69509322727158995</v>
      </c>
      <c r="AL1636">
        <v>78.4464979229178</v>
      </c>
      <c r="AM1636">
        <v>82.251068435722502</v>
      </c>
      <c r="AN1636">
        <v>1.0000000563816001</v>
      </c>
    </row>
    <row r="1637" spans="1:40" x14ac:dyDescent="0.25">
      <c r="A1637" t="str">
        <f>"20190312172400828"</f>
        <v>20190312172400828</v>
      </c>
      <c r="B1637" t="str">
        <f>"1552382640821453"</f>
        <v>1552382640821453</v>
      </c>
      <c r="C1637" t="s">
        <v>40</v>
      </c>
      <c r="D1637">
        <v>3.9794710000000002</v>
      </c>
      <c r="E1637">
        <v>0.48940810000000001</v>
      </c>
      <c r="F1637" t="s">
        <v>41</v>
      </c>
      <c r="G1637">
        <v>-214.49019999999999</v>
      </c>
      <c r="H1637">
        <v>1.0299339999999999</v>
      </c>
      <c r="I1637">
        <v>282.57889999999998</v>
      </c>
      <c r="J1637">
        <v>-213.80170000000001</v>
      </c>
      <c r="K1637">
        <v>1.111845</v>
      </c>
      <c r="L1637">
        <v>282.60649999999998</v>
      </c>
      <c r="M1637">
        <v>-0.98353939999999995</v>
      </c>
      <c r="N1637">
        <v>0</v>
      </c>
      <c r="O1637">
        <v>-0.17957229999999999</v>
      </c>
      <c r="P1637">
        <v>-0.9823577</v>
      </c>
      <c r="Q1637">
        <v>0.18141669999999999</v>
      </c>
      <c r="R1637">
        <v>-4.540611E-2</v>
      </c>
      <c r="S1637">
        <v>-3.102951</v>
      </c>
      <c r="T1637">
        <v>-0.30773590000000001</v>
      </c>
      <c r="U1637">
        <v>-0.18951419999999999</v>
      </c>
      <c r="V1637">
        <v>0.13201579999999999</v>
      </c>
      <c r="W1637">
        <v>0.20081540000000001</v>
      </c>
      <c r="X1637">
        <v>0.97069309999999998</v>
      </c>
      <c r="Y1637">
        <v>0.1178613</v>
      </c>
      <c r="Z1637">
        <v>2.3480359999999999E-2</v>
      </c>
      <c r="AA1637">
        <v>0.99275239999999998</v>
      </c>
      <c r="AB1637">
        <v>14</v>
      </c>
      <c r="AC1637">
        <v>-0.68849999999997602</v>
      </c>
      <c r="AD1637">
        <v>-8.1910999999999998E-2</v>
      </c>
      <c r="AE1637">
        <v>-2.7600000000006699E-2</v>
      </c>
      <c r="AF1637">
        <v>9.5164549935909906E-2</v>
      </c>
      <c r="AG1637">
        <v>-8.1910999999999998E-2</v>
      </c>
      <c r="AH1637">
        <v>0.67275408931335101</v>
      </c>
      <c r="AI1637">
        <v>96.874096081977996</v>
      </c>
      <c r="AJ1637">
        <v>81.948633145836396</v>
      </c>
      <c r="AK1637">
        <v>0.68437107490990601</v>
      </c>
      <c r="AL1637">
        <v>78.415355085816898</v>
      </c>
      <c r="AM1637">
        <v>82.255200297583997</v>
      </c>
      <c r="AN1637">
        <v>1.0000000453572</v>
      </c>
    </row>
    <row r="1638" spans="1:40" x14ac:dyDescent="0.25">
      <c r="A1638" t="str">
        <f>"20190312172400851"</f>
        <v>20190312172400851</v>
      </c>
      <c r="B1638" t="str">
        <f>"1552382640841949"</f>
        <v>1552382640841949</v>
      </c>
      <c r="C1638" t="s">
        <v>40</v>
      </c>
      <c r="D1638">
        <v>3.8933499999999999</v>
      </c>
      <c r="E1638">
        <v>0.50654619999999995</v>
      </c>
      <c r="F1638" t="s">
        <v>41</v>
      </c>
      <c r="G1638">
        <v>-214.61109999999999</v>
      </c>
      <c r="H1638">
        <v>1.030762</v>
      </c>
      <c r="I1638">
        <v>282.55889999999999</v>
      </c>
      <c r="J1638">
        <v>-213.93960000000001</v>
      </c>
      <c r="K1638">
        <v>1.1120099999999999</v>
      </c>
      <c r="L1638">
        <v>282.58359999999999</v>
      </c>
      <c r="M1638">
        <v>-0.98383949999999998</v>
      </c>
      <c r="N1638">
        <v>0</v>
      </c>
      <c r="O1638">
        <v>-0.17773649999999999</v>
      </c>
      <c r="P1638">
        <v>-0.98269580000000001</v>
      </c>
      <c r="Q1638">
        <v>0.1799626</v>
      </c>
      <c r="R1638">
        <v>-4.3844880000000003E-2</v>
      </c>
      <c r="S1638">
        <v>-3.102814</v>
      </c>
      <c r="T1638">
        <v>-0.31077339999999998</v>
      </c>
      <c r="U1638">
        <v>-0.18267820000000001</v>
      </c>
      <c r="V1638">
        <v>0.1318037</v>
      </c>
      <c r="W1638">
        <v>0.20088880000000001</v>
      </c>
      <c r="X1638">
        <v>0.97070670000000003</v>
      </c>
      <c r="Y1638">
        <v>0.1181692</v>
      </c>
      <c r="Z1638">
        <v>2.3549819999999999E-2</v>
      </c>
      <c r="AA1638">
        <v>0.99271419999999999</v>
      </c>
      <c r="AB1638">
        <v>14</v>
      </c>
      <c r="AC1638">
        <v>-0.67149999999998</v>
      </c>
      <c r="AD1638">
        <v>-8.1247999999999695E-2</v>
      </c>
      <c r="AE1638">
        <v>-2.4699999999995701E-2</v>
      </c>
      <c r="AF1638">
        <v>9.37016343933183E-2</v>
      </c>
      <c r="AG1638">
        <v>-8.1247999999999695E-2</v>
      </c>
      <c r="AH1638">
        <v>0.65560952984820198</v>
      </c>
      <c r="AI1638">
        <v>96.994140915395505</v>
      </c>
      <c r="AJ1638">
        <v>81.866203787727798</v>
      </c>
      <c r="AK1638">
        <v>0.66723690651803702</v>
      </c>
      <c r="AL1638">
        <v>78.411061691910405</v>
      </c>
      <c r="AM1638">
        <v>82.267599661070506</v>
      </c>
      <c r="AN1638">
        <v>1.00000001136201</v>
      </c>
    </row>
    <row r="1639" spans="1:40" x14ac:dyDescent="0.25">
      <c r="A1639" t="str">
        <f>"20190312172400873"</f>
        <v>20190312172400873</v>
      </c>
      <c r="B1639" t="str">
        <f>"1552382640861472"</f>
        <v>1552382640861472</v>
      </c>
      <c r="C1639" t="s">
        <v>40</v>
      </c>
      <c r="D1639">
        <v>3.9084319999999999</v>
      </c>
      <c r="E1639">
        <v>0.50636080000000006</v>
      </c>
      <c r="F1639" t="s">
        <v>47</v>
      </c>
      <c r="G1639">
        <v>-228.36250000000001</v>
      </c>
      <c r="H1639" s="1">
        <v>2.91334E-6</v>
      </c>
      <c r="I1639">
        <v>282.38150000000002</v>
      </c>
      <c r="J1639">
        <v>-214.0701</v>
      </c>
      <c r="K1639">
        <v>1.1117509999999999</v>
      </c>
      <c r="L1639">
        <v>282.56229999999999</v>
      </c>
      <c r="M1639">
        <v>-0.98422549999999998</v>
      </c>
      <c r="N1639">
        <v>0</v>
      </c>
      <c r="O1639">
        <v>-0.17551510000000001</v>
      </c>
      <c r="P1639">
        <v>-0.98303569999999996</v>
      </c>
      <c r="Q1639">
        <v>0.1786933</v>
      </c>
      <c r="R1639">
        <v>-4.1347120000000001E-2</v>
      </c>
      <c r="S1639">
        <v>-3.0945740000000002</v>
      </c>
      <c r="T1639">
        <v>-0.238591</v>
      </c>
      <c r="U1639">
        <v>-4.3365479999999998E-2</v>
      </c>
      <c r="V1639">
        <v>0.13220379999999901</v>
      </c>
      <c r="W1639">
        <v>0.2001222</v>
      </c>
      <c r="X1639">
        <v>0.97081070000000003</v>
      </c>
      <c r="Y1639">
        <v>0.1607537</v>
      </c>
      <c r="Z1639">
        <v>1.964525E-2</v>
      </c>
      <c r="AA1639">
        <v>0.98679899999999998</v>
      </c>
      <c r="AB1639">
        <v>13</v>
      </c>
      <c r="AC1639">
        <v>-14.292400000000001</v>
      </c>
      <c r="AD1639">
        <v>-1.11174808666</v>
      </c>
      <c r="AE1639">
        <v>-0.18079999999997601</v>
      </c>
      <c r="AF1639">
        <v>2.3171426398338602</v>
      </c>
      <c r="AG1639">
        <v>-1.11174808666</v>
      </c>
      <c r="AH1639">
        <v>14.017364985459301</v>
      </c>
      <c r="AI1639">
        <v>94.4742935924356</v>
      </c>
      <c r="AJ1639">
        <v>80.613595239371307</v>
      </c>
      <c r="AK1639">
        <v>14.251022944234901</v>
      </c>
      <c r="AL1639">
        <v>78.455895861418199</v>
      </c>
      <c r="AM1639">
        <v>82.245233344289005</v>
      </c>
      <c r="AN1639">
        <v>1.0000000774508799</v>
      </c>
    </row>
    <row r="1640" spans="1:40" x14ac:dyDescent="0.25">
      <c r="A1640" t="str">
        <f>"20190312172400895"</f>
        <v>20190312172400895</v>
      </c>
      <c r="B1640" t="str">
        <f>"1552382640891725"</f>
        <v>1552382640891725</v>
      </c>
      <c r="C1640" t="s">
        <v>40</v>
      </c>
      <c r="D1640">
        <v>3.8744339999999999</v>
      </c>
      <c r="E1640">
        <v>0.50667410000000002</v>
      </c>
      <c r="F1640" t="s">
        <v>47</v>
      </c>
      <c r="G1640">
        <v>-227.97120000000001</v>
      </c>
      <c r="H1640" s="1">
        <v>2.7050719999999998E-6</v>
      </c>
      <c r="I1640">
        <v>282.40199999999999</v>
      </c>
      <c r="J1640">
        <v>-214.20150000000001</v>
      </c>
      <c r="K1640">
        <v>1.111078</v>
      </c>
      <c r="L1640">
        <v>282.54149999999998</v>
      </c>
      <c r="M1640">
        <v>-0.98467709999999997</v>
      </c>
      <c r="N1640">
        <v>0</v>
      </c>
      <c r="O1640">
        <v>-0.17304620000000001</v>
      </c>
      <c r="P1640">
        <v>-0.98309120000000005</v>
      </c>
      <c r="Q1640">
        <v>0.17905170000000001</v>
      </c>
      <c r="R1640">
        <v>-3.8370960000000003E-2</v>
      </c>
      <c r="S1640">
        <v>-3.0952609999999998</v>
      </c>
      <c r="T1640">
        <v>-0.24754570000000001</v>
      </c>
      <c r="U1640">
        <v>-3.567505E-2</v>
      </c>
      <c r="V1640">
        <v>0.13284079999999901</v>
      </c>
      <c r="W1640">
        <v>0.19974230000000001</v>
      </c>
      <c r="X1640">
        <v>0.9708019</v>
      </c>
      <c r="Y1640">
        <v>0.16066329999999901</v>
      </c>
      <c r="Z1640">
        <v>2.0178270000000002E-2</v>
      </c>
      <c r="AA1640">
        <v>0.98680299999999999</v>
      </c>
      <c r="AB1640">
        <v>13</v>
      </c>
      <c r="AC1640">
        <v>-13.7697</v>
      </c>
      <c r="AD1640">
        <v>-1.1110752949280001</v>
      </c>
      <c r="AE1640">
        <v>-0.13949999999999799</v>
      </c>
      <c r="AF1640">
        <v>2.2314281828617002</v>
      </c>
      <c r="AG1640">
        <v>-1.1110752949280001</v>
      </c>
      <c r="AH1640">
        <v>13.4981388583148</v>
      </c>
      <c r="AI1640">
        <v>94.642858997404005</v>
      </c>
      <c r="AJ1640">
        <v>80.613114724612402</v>
      </c>
      <c r="AK1640">
        <v>13.726380174125101</v>
      </c>
      <c r="AL1640">
        <v>78.4781101153919</v>
      </c>
      <c r="AM1640">
        <v>82.208256537569298</v>
      </c>
      <c r="AN1640">
        <v>0.99999999679876905</v>
      </c>
    </row>
    <row r="1641" spans="1:40" x14ac:dyDescent="0.25">
      <c r="A1641" t="str">
        <f>"20190312172400919"</f>
        <v>20190312172400919</v>
      </c>
      <c r="B1641" t="str">
        <f>"1552382640911247"</f>
        <v>1552382640911247</v>
      </c>
      <c r="C1641" t="s">
        <v>40</v>
      </c>
      <c r="D1641">
        <v>3.8942999999999999</v>
      </c>
      <c r="E1641">
        <v>0.50631939999999998</v>
      </c>
      <c r="F1641" t="s">
        <v>47</v>
      </c>
      <c r="G1641">
        <v>-228.1705</v>
      </c>
      <c r="H1641" s="1">
        <v>2.811137E-6</v>
      </c>
      <c r="I1641">
        <v>282.43560000000002</v>
      </c>
      <c r="J1641">
        <v>-214.34049999999999</v>
      </c>
      <c r="K1641">
        <v>1.110385</v>
      </c>
      <c r="L1641">
        <v>282.52030000000002</v>
      </c>
      <c r="M1641">
        <v>-0.98514590000000002</v>
      </c>
      <c r="N1641">
        <v>0</v>
      </c>
      <c r="O1641">
        <v>-0.17050299999999999</v>
      </c>
      <c r="P1641">
        <v>-0.98296760000000005</v>
      </c>
      <c r="Q1641">
        <v>0.1802134</v>
      </c>
      <c r="R1641">
        <v>-3.6032080000000001E-2</v>
      </c>
      <c r="S1641">
        <v>-3.0955050000000002</v>
      </c>
      <c r="T1641">
        <v>-0.24621219999999999</v>
      </c>
      <c r="U1641">
        <v>-2.3468019999999999E-2</v>
      </c>
      <c r="V1641">
        <v>0.13272429999999999</v>
      </c>
      <c r="W1641">
        <v>0.19967969999999999</v>
      </c>
      <c r="X1641">
        <v>0.97083070000000005</v>
      </c>
      <c r="Y1641">
        <v>0.16201769999999999</v>
      </c>
      <c r="Z1641">
        <v>1.9923679999999999E-2</v>
      </c>
      <c r="AA1641">
        <v>0.98658670000000004</v>
      </c>
      <c r="AB1641">
        <v>13</v>
      </c>
      <c r="AC1641">
        <v>-13.83</v>
      </c>
      <c r="AD1641">
        <v>-1.1103821888630001</v>
      </c>
      <c r="AE1641">
        <v>-8.4699999999997999E-2</v>
      </c>
      <c r="AF1641">
        <v>2.26051712862147</v>
      </c>
      <c r="AG1641">
        <v>-1.1103821888630001</v>
      </c>
      <c r="AH1641">
        <v>13.554478165757301</v>
      </c>
      <c r="AI1641">
        <v>94.619688453485907</v>
      </c>
      <c r="AJ1641">
        <v>80.531765972700001</v>
      </c>
      <c r="AK1641">
        <v>13.786470347413999</v>
      </c>
      <c r="AL1641">
        <v>78.481770436615705</v>
      </c>
      <c r="AM1641">
        <v>82.215234099438007</v>
      </c>
      <c r="AN1641">
        <v>0.99999998523253497</v>
      </c>
    </row>
    <row r="1642" spans="1:40" x14ac:dyDescent="0.25">
      <c r="A1642" t="str">
        <f>"20190312172400942"</f>
        <v>20190312172400942</v>
      </c>
      <c r="B1642" t="str">
        <f>"1552382640931741"</f>
        <v>1552382640931741</v>
      </c>
      <c r="C1642" t="s">
        <v>40</v>
      </c>
      <c r="D1642">
        <v>3.8961960000000002</v>
      </c>
      <c r="E1642">
        <v>0.50560749999999999</v>
      </c>
      <c r="F1642" t="s">
        <v>47</v>
      </c>
      <c r="G1642">
        <v>-228.61600000000001</v>
      </c>
      <c r="H1642" s="1">
        <v>3.048204E-6</v>
      </c>
      <c r="I1642">
        <v>282.4314</v>
      </c>
      <c r="J1642">
        <v>-214.48330000000001</v>
      </c>
      <c r="K1642">
        <v>1.110053</v>
      </c>
      <c r="L1642">
        <v>282.49919999999997</v>
      </c>
      <c r="M1642">
        <v>-0.98559339999999995</v>
      </c>
      <c r="N1642">
        <v>0</v>
      </c>
      <c r="O1642">
        <v>-0.1680034</v>
      </c>
      <c r="P1642">
        <v>-0.98294999999999999</v>
      </c>
      <c r="Q1642">
        <v>0.18075359999999999</v>
      </c>
      <c r="R1642">
        <v>-3.3725289999999998E-2</v>
      </c>
      <c r="S1642">
        <v>-3.0954280000000001</v>
      </c>
      <c r="T1642">
        <v>-0.24077029999999999</v>
      </c>
      <c r="U1642">
        <v>-1.928711E-2</v>
      </c>
      <c r="V1642">
        <v>0.13254759999999999</v>
      </c>
      <c r="W1642">
        <v>0.19931670000000001</v>
      </c>
      <c r="X1642">
        <v>0.97092940000000005</v>
      </c>
      <c r="Y1642">
        <v>0.1609004</v>
      </c>
      <c r="Z1642">
        <v>1.925002E-2</v>
      </c>
      <c r="AA1642">
        <v>0.98678290000000002</v>
      </c>
      <c r="AB1642">
        <v>14</v>
      </c>
      <c r="AC1642">
        <v>-14.1326999999999</v>
      </c>
      <c r="AD1642">
        <v>-1.1100499517960001</v>
      </c>
      <c r="AE1642">
        <v>-6.7799999999976907E-2</v>
      </c>
      <c r="AF1642">
        <v>2.29380673841092</v>
      </c>
      <c r="AG1642">
        <v>-1.1100499517960001</v>
      </c>
      <c r="AH1642">
        <v>13.857649652461699</v>
      </c>
      <c r="AI1642">
        <v>94.518604398576898</v>
      </c>
      <c r="AJ1642">
        <v>80.601256734243904</v>
      </c>
      <c r="AK1642">
        <v>14.0900040503555</v>
      </c>
      <c r="AL1642">
        <v>78.502995131350104</v>
      </c>
      <c r="AM1642">
        <v>82.226252026657207</v>
      </c>
      <c r="AN1642">
        <v>0.99999995647450401</v>
      </c>
    </row>
    <row r="1643" spans="1:40" x14ac:dyDescent="0.25">
      <c r="A1643" t="str">
        <f>"20190312172400961"</f>
        <v>20190312172400961</v>
      </c>
      <c r="B1643" t="str">
        <f>"1552382640951262"</f>
        <v>1552382640951262</v>
      </c>
      <c r="C1643" t="s">
        <v>40</v>
      </c>
      <c r="D1643">
        <v>3.9145289999999999</v>
      </c>
      <c r="E1643">
        <v>0.50535699999999995</v>
      </c>
      <c r="F1643" t="s">
        <v>47</v>
      </c>
      <c r="G1643">
        <v>-228.96100000000001</v>
      </c>
      <c r="H1643" s="1">
        <v>3.231789E-6</v>
      </c>
      <c r="I1643">
        <v>282.41579999999999</v>
      </c>
      <c r="J1643">
        <v>-214.60499999999999</v>
      </c>
      <c r="K1643">
        <v>1.1100650000000001</v>
      </c>
      <c r="L1643">
        <v>282.48149999999998</v>
      </c>
      <c r="M1643">
        <v>-0.98596839999999997</v>
      </c>
      <c r="N1643">
        <v>0</v>
      </c>
      <c r="O1643">
        <v>-0.1658454</v>
      </c>
      <c r="P1643">
        <v>-0.98308430000000002</v>
      </c>
      <c r="Q1643">
        <v>0.18029890000000001</v>
      </c>
      <c r="R1643">
        <v>-3.221864E-2</v>
      </c>
      <c r="S1643">
        <v>-3.095062</v>
      </c>
      <c r="T1643">
        <v>-0.2373083</v>
      </c>
      <c r="U1643">
        <v>-1.7822270000000001E-2</v>
      </c>
      <c r="V1643">
        <v>0.13186589999999901</v>
      </c>
      <c r="W1643">
        <v>0.19843479999999999</v>
      </c>
      <c r="X1643">
        <v>0.97120289999999998</v>
      </c>
      <c r="Y1643">
        <v>0.15924360000000001</v>
      </c>
      <c r="Z1643">
        <v>1.8749450000000001E-2</v>
      </c>
      <c r="AA1643">
        <v>0.98706130000000003</v>
      </c>
      <c r="AB1643">
        <v>14</v>
      </c>
      <c r="AC1643">
        <v>-14.3559999999999</v>
      </c>
      <c r="AD1643">
        <v>-1.1100617682110001</v>
      </c>
      <c r="AE1643">
        <v>-6.5699999999992501E-2</v>
      </c>
      <c r="AF1643">
        <v>2.30274950887816</v>
      </c>
      <c r="AG1643">
        <v>-1.1100617682110001</v>
      </c>
      <c r="AH1643">
        <v>14.0838151848041</v>
      </c>
      <c r="AI1643">
        <v>94.447818049864097</v>
      </c>
      <c r="AJ1643">
        <v>80.714119693668394</v>
      </c>
      <c r="AK1643">
        <v>14.3139352586772</v>
      </c>
      <c r="AL1643">
        <v>78.554555034206999</v>
      </c>
      <c r="AM1643">
        <v>82.267899409932298</v>
      </c>
      <c r="AN1643">
        <v>1.00000002920112</v>
      </c>
    </row>
    <row r="1644" spans="1:40" x14ac:dyDescent="0.25">
      <c r="A1644" t="str">
        <f>"20190312172401008"</f>
        <v>20190312172401008</v>
      </c>
      <c r="B1644" t="str">
        <f>"1552382641002014"</f>
        <v>1552382641002014</v>
      </c>
      <c r="C1644" t="s">
        <v>40</v>
      </c>
      <c r="D1644">
        <v>3.8885730000000001</v>
      </c>
      <c r="E1644">
        <v>0.50498220000000005</v>
      </c>
      <c r="F1644" t="s">
        <v>47</v>
      </c>
      <c r="G1644">
        <v>-229.0907</v>
      </c>
      <c r="H1644" s="1">
        <v>3.3008280000000002E-6</v>
      </c>
      <c r="I1644">
        <v>282.411</v>
      </c>
      <c r="J1644">
        <v>-214.88079999999999</v>
      </c>
      <c r="K1644">
        <v>1.11029</v>
      </c>
      <c r="L1644">
        <v>282.4418</v>
      </c>
      <c r="M1644">
        <v>-0.98685690000000004</v>
      </c>
      <c r="N1644">
        <v>0</v>
      </c>
      <c r="O1644">
        <v>-0.1606069</v>
      </c>
      <c r="P1644">
        <v>-0.98308459999999998</v>
      </c>
      <c r="Q1644">
        <v>0.18103159999999999</v>
      </c>
      <c r="R1644">
        <v>-2.7786539999999998E-2</v>
      </c>
      <c r="S1644">
        <v>-3.0946349999999998</v>
      </c>
      <c r="T1644">
        <v>-0.23714750000000001</v>
      </c>
      <c r="U1644">
        <v>-1.5075679999999999E-2</v>
      </c>
      <c r="V1644">
        <v>0.13086929999999999</v>
      </c>
      <c r="W1644">
        <v>0.19815630000000001</v>
      </c>
      <c r="X1644">
        <v>0.97139450000000005</v>
      </c>
      <c r="Y1644">
        <v>0.1549006</v>
      </c>
      <c r="Z1644">
        <v>1.8176479999999998E-2</v>
      </c>
      <c r="AA1644">
        <v>0.98776280000000005</v>
      </c>
      <c r="AB1644">
        <v>13</v>
      </c>
      <c r="AC1644">
        <v>-14.209899999999999</v>
      </c>
      <c r="AD1644">
        <v>-1.110286699172</v>
      </c>
      <c r="AE1644">
        <v>-3.07999999999992E-2</v>
      </c>
      <c r="AF1644">
        <v>2.2385058191693599</v>
      </c>
      <c r="AG1644">
        <v>-1.110286699172</v>
      </c>
      <c r="AH1644">
        <v>13.945186282240901</v>
      </c>
      <c r="AI1644">
        <v>94.494866634783193</v>
      </c>
      <c r="AJ1644">
        <v>80.880577114088396</v>
      </c>
      <c r="AK1644">
        <v>14.1672815071634</v>
      </c>
      <c r="AL1644">
        <v>78.570834669152305</v>
      </c>
      <c r="AM1644">
        <v>82.327132781659998</v>
      </c>
      <c r="AN1644">
        <v>0.99999998377121402</v>
      </c>
    </row>
    <row r="1645" spans="1:40" x14ac:dyDescent="0.25">
      <c r="A1645" t="str">
        <f>"20190312172401031"</f>
        <v>20190312172401031</v>
      </c>
      <c r="B1645" t="str">
        <f>"1552382641021533"</f>
        <v>1552382641021533</v>
      </c>
      <c r="C1645" t="s">
        <v>40</v>
      </c>
      <c r="D1645">
        <v>3.9094739999999999</v>
      </c>
      <c r="E1645">
        <v>0.50187109999999902</v>
      </c>
      <c r="F1645" t="s">
        <v>47</v>
      </c>
      <c r="G1645">
        <v>-229.7928</v>
      </c>
      <c r="H1645" s="1">
        <v>3.6744560000000002E-6</v>
      </c>
      <c r="I1645">
        <v>282.41019999999997</v>
      </c>
      <c r="J1645">
        <v>-215.01589999999999</v>
      </c>
      <c r="K1645">
        <v>1.110301</v>
      </c>
      <c r="L1645">
        <v>282.42250000000001</v>
      </c>
      <c r="M1645">
        <v>-0.98726760000000002</v>
      </c>
      <c r="N1645">
        <v>0</v>
      </c>
      <c r="O1645">
        <v>-0.15813169999999999</v>
      </c>
      <c r="P1645">
        <v>-0.98307639999999996</v>
      </c>
      <c r="Q1645">
        <v>0.18141479999999999</v>
      </c>
      <c r="R1645">
        <v>-2.5485710000000002E-2</v>
      </c>
      <c r="S1645">
        <v>-3.0938569999999999</v>
      </c>
      <c r="T1645">
        <v>-0.23035600000000001</v>
      </c>
      <c r="U1645">
        <v>-6.5612789999999997E-3</v>
      </c>
      <c r="V1645">
        <v>0.13065189999999999</v>
      </c>
      <c r="W1645">
        <v>0.19797120000000001</v>
      </c>
      <c r="X1645">
        <v>0.97146149999999998</v>
      </c>
      <c r="Y1645">
        <v>0.15519630000000001</v>
      </c>
      <c r="Z1645">
        <v>1.7491179999999999E-2</v>
      </c>
      <c r="AA1645">
        <v>0.98772879999999996</v>
      </c>
      <c r="AB1645">
        <v>13</v>
      </c>
      <c r="AC1645">
        <v>-14.776899999999999</v>
      </c>
      <c r="AD1645">
        <v>-1.1102973255440001</v>
      </c>
      <c r="AE1645">
        <v>-1.2300000000038801E-2</v>
      </c>
      <c r="AF1645">
        <v>2.3118464532721199</v>
      </c>
      <c r="AG1645">
        <v>-1.1102973255440001</v>
      </c>
      <c r="AH1645">
        <v>14.510943924971301</v>
      </c>
      <c r="AI1645">
        <v>94.321145640323294</v>
      </c>
      <c r="AJ1645">
        <v>80.947858713336501</v>
      </c>
      <c r="AK1645">
        <v>14.735836853340899</v>
      </c>
      <c r="AL1645">
        <v>78.581654429706603</v>
      </c>
      <c r="AM1645">
        <v>82.340249514698002</v>
      </c>
      <c r="AN1645">
        <v>0.99999998049264904</v>
      </c>
    </row>
    <row r="1646" spans="1:40" x14ac:dyDescent="0.25">
      <c r="A1646" t="str">
        <f>"20190312172401051"</f>
        <v>20190312172401051</v>
      </c>
      <c r="B1646" t="str">
        <f>"1552382641041053"</f>
        <v>1552382641041053</v>
      </c>
      <c r="C1646" t="s">
        <v>40</v>
      </c>
      <c r="D1646">
        <v>3.9388429999999999</v>
      </c>
      <c r="E1646">
        <v>0.50101960000000001</v>
      </c>
      <c r="F1646" t="s">
        <v>47</v>
      </c>
      <c r="G1646">
        <v>-232.3707</v>
      </c>
      <c r="H1646" s="1">
        <v>-1.727981E-7</v>
      </c>
      <c r="I1646">
        <v>282.27330000000001</v>
      </c>
      <c r="J1646">
        <v>-215.14179999999999</v>
      </c>
      <c r="K1646">
        <v>1.110269</v>
      </c>
      <c r="L1646">
        <v>282.40480000000002</v>
      </c>
      <c r="M1646">
        <v>-0.98761770000000004</v>
      </c>
      <c r="N1646">
        <v>0</v>
      </c>
      <c r="O1646">
        <v>-0.15598210000000001</v>
      </c>
      <c r="P1646">
        <v>-0.98307</v>
      </c>
      <c r="Q1646">
        <v>0.18165249999999999</v>
      </c>
      <c r="R1646">
        <v>-2.399538E-2</v>
      </c>
      <c r="S1646">
        <v>-3.087402</v>
      </c>
      <c r="T1646">
        <v>-0.19752130000000001</v>
      </c>
      <c r="U1646">
        <v>-2.6550290000000001E-2</v>
      </c>
      <c r="V1646">
        <v>0.1299998</v>
      </c>
      <c r="W1646">
        <v>0.1977431</v>
      </c>
      <c r="X1646">
        <v>0.97159549999999995</v>
      </c>
      <c r="Y1646">
        <v>0.1468872</v>
      </c>
      <c r="Z1646">
        <v>1.46316E-2</v>
      </c>
      <c r="AA1646">
        <v>0.98904499999999995</v>
      </c>
      <c r="AB1646">
        <v>13</v>
      </c>
      <c r="AC1646">
        <v>-17.228899999999999</v>
      </c>
      <c r="AD1646">
        <v>-1.1102691727981</v>
      </c>
      <c r="AE1646">
        <v>-0.13150000000001599</v>
      </c>
      <c r="AF1646">
        <v>2.5473096463442801</v>
      </c>
      <c r="AG1646">
        <v>-1.1102691727981</v>
      </c>
      <c r="AH1646">
        <v>16.968010423401001</v>
      </c>
      <c r="AI1646">
        <v>93.702332027335203</v>
      </c>
      <c r="AJ1646">
        <v>81.462272804767807</v>
      </c>
      <c r="AK1646">
        <v>17.194035646091599</v>
      </c>
      <c r="AL1646">
        <v>78.594987961433105</v>
      </c>
      <c r="AM1646">
        <v>82.379068588199601</v>
      </c>
      <c r="AN1646">
        <v>1.00000004860894</v>
      </c>
    </row>
    <row r="1647" spans="1:40" x14ac:dyDescent="0.25">
      <c r="A1647" t="str">
        <f>"20190312172401074"</f>
        <v>20190312172401074</v>
      </c>
      <c r="B1647" t="str">
        <f>"1552382641061549"</f>
        <v>1552382641061549</v>
      </c>
      <c r="C1647" t="s">
        <v>40</v>
      </c>
      <c r="D1647">
        <v>3.8904990000000002</v>
      </c>
      <c r="E1647">
        <v>0.50100239999999996</v>
      </c>
      <c r="F1647" t="s">
        <v>47</v>
      </c>
      <c r="G1647">
        <v>-231.72640000000001</v>
      </c>
      <c r="H1647" s="1">
        <v>-5.146699E-7</v>
      </c>
      <c r="I1647">
        <v>282.25080000000003</v>
      </c>
      <c r="J1647">
        <v>-215.27080000000001</v>
      </c>
      <c r="K1647">
        <v>1.1102099999999999</v>
      </c>
      <c r="L1647">
        <v>282.38690000000003</v>
      </c>
      <c r="M1647">
        <v>-0.98795230000000001</v>
      </c>
      <c r="N1647">
        <v>0</v>
      </c>
      <c r="O1647">
        <v>-0.15389340000000001</v>
      </c>
      <c r="P1647">
        <v>-0.98314699999999999</v>
      </c>
      <c r="Q1647">
        <v>0.18139050000000001</v>
      </c>
      <c r="R1647">
        <v>-2.2792469999999999E-2</v>
      </c>
      <c r="S1647">
        <v>-3.0891570000000002</v>
      </c>
      <c r="T1647">
        <v>-0.20680589999999999</v>
      </c>
      <c r="U1647">
        <v>-2.868652E-2</v>
      </c>
      <c r="V1647">
        <v>0.12916</v>
      </c>
      <c r="W1647">
        <v>0.19706760000000001</v>
      </c>
      <c r="X1647">
        <v>0.97184470000000001</v>
      </c>
      <c r="Y1647">
        <v>0.14406749999999999</v>
      </c>
      <c r="Z1647">
        <v>1.5076289999999999E-2</v>
      </c>
      <c r="AA1647">
        <v>0.98945300000000003</v>
      </c>
      <c r="AB1647">
        <v>13</v>
      </c>
      <c r="AC1647">
        <v>-16.4556</v>
      </c>
      <c r="AD1647">
        <v>-1.1102105146699</v>
      </c>
      <c r="AE1647">
        <v>-0.136099999999999</v>
      </c>
      <c r="AF1647">
        <v>2.38740196997027</v>
      </c>
      <c r="AG1647">
        <v>-1.1102105146699</v>
      </c>
      <c r="AH1647">
        <v>16.2067023210721</v>
      </c>
      <c r="AI1647">
        <v>93.877108969583503</v>
      </c>
      <c r="AJ1647">
        <v>81.620053106237293</v>
      </c>
      <c r="AK1647">
        <v>16.419179506812899</v>
      </c>
      <c r="AL1647">
        <v>78.634467969809293</v>
      </c>
      <c r="AM1647">
        <v>82.429645946913396</v>
      </c>
      <c r="AN1647">
        <v>1.00000003274392</v>
      </c>
    </row>
    <row r="1648" spans="1:40" x14ac:dyDescent="0.25">
      <c r="A1648" t="str">
        <f>"20190312172401096"</f>
        <v>20190312172401096</v>
      </c>
      <c r="B1648" t="str">
        <f>"1552382641091806"</f>
        <v>1552382641091806</v>
      </c>
      <c r="C1648" t="s">
        <v>40</v>
      </c>
      <c r="D1648">
        <v>3.8882660000000002</v>
      </c>
      <c r="E1648">
        <v>0.50080939999999996</v>
      </c>
      <c r="F1648" t="s">
        <v>47</v>
      </c>
      <c r="G1648">
        <v>-231.69390000000001</v>
      </c>
      <c r="H1648" s="1">
        <v>-5.3205759999999999E-7</v>
      </c>
      <c r="I1648">
        <v>282.25290000000001</v>
      </c>
      <c r="J1648">
        <v>-215.40790000000001</v>
      </c>
      <c r="K1648">
        <v>1.1101449999999999</v>
      </c>
      <c r="L1648">
        <v>282.36829999999998</v>
      </c>
      <c r="M1648">
        <v>-0.98829880000000003</v>
      </c>
      <c r="N1648">
        <v>0</v>
      </c>
      <c r="O1648">
        <v>-0.151696</v>
      </c>
      <c r="P1648">
        <v>-0.98307469999999997</v>
      </c>
      <c r="Q1648">
        <v>0.18197969999999999</v>
      </c>
      <c r="R1648">
        <v>-2.1153979999999999E-2</v>
      </c>
      <c r="S1648">
        <v>-3.0893549999999999</v>
      </c>
      <c r="T1648">
        <v>-0.20884169999999999</v>
      </c>
      <c r="U1648">
        <v>-2.5207520000000001E-2</v>
      </c>
      <c r="V1648">
        <v>0.12862989999999999</v>
      </c>
      <c r="W1648">
        <v>0.1972303</v>
      </c>
      <c r="X1648">
        <v>0.97188200000000002</v>
      </c>
      <c r="Y1648">
        <v>0.14297509999999999</v>
      </c>
      <c r="Z1648">
        <v>1.503971E-2</v>
      </c>
      <c r="AA1648">
        <v>0.98961200000000005</v>
      </c>
      <c r="AB1648">
        <v>13</v>
      </c>
      <c r="AC1648">
        <v>-16.285999999999898</v>
      </c>
      <c r="AD1648">
        <v>-1.1101455320575999</v>
      </c>
      <c r="AE1648">
        <v>-0.115399999999965</v>
      </c>
      <c r="AF1648">
        <v>2.3458708064726501</v>
      </c>
      <c r="AG1648">
        <v>-1.1101455320575999</v>
      </c>
      <c r="AH1648">
        <v>16.0404560410195</v>
      </c>
      <c r="AI1648">
        <v>93.917535130798299</v>
      </c>
      <c r="AJ1648">
        <v>81.679640811373204</v>
      </c>
      <c r="AK1648">
        <v>16.249054216996299</v>
      </c>
      <c r="AL1648">
        <v>78.624959319195298</v>
      </c>
      <c r="AM1648">
        <v>82.460644153971003</v>
      </c>
      <c r="AN1648">
        <v>1.00000003216804</v>
      </c>
    </row>
    <row r="1649" spans="1:40" x14ac:dyDescent="0.25">
      <c r="A1649" t="str">
        <f>"20190312172401119"</f>
        <v>20190312172401119</v>
      </c>
      <c r="B1649" t="str">
        <f>"1552382641111326"</f>
        <v>1552382641111326</v>
      </c>
      <c r="C1649" t="s">
        <v>40</v>
      </c>
      <c r="D1649">
        <v>3.9353570000000002</v>
      </c>
      <c r="E1649">
        <v>0.50044920000000004</v>
      </c>
      <c r="F1649" t="s">
        <v>47</v>
      </c>
      <c r="G1649">
        <v>-231.82480000000001</v>
      </c>
      <c r="H1649" s="1">
        <v>-4.6235400000000001E-7</v>
      </c>
      <c r="I1649">
        <v>282.2516</v>
      </c>
      <c r="J1649">
        <v>-215.54089999999999</v>
      </c>
      <c r="K1649">
        <v>1.110088</v>
      </c>
      <c r="L1649">
        <v>282.35070000000002</v>
      </c>
      <c r="M1649">
        <v>-0.98863769999999995</v>
      </c>
      <c r="N1649">
        <v>0</v>
      </c>
      <c r="O1649">
        <v>-0.14951679999999901</v>
      </c>
      <c r="P1649">
        <v>-0.98286709999999999</v>
      </c>
      <c r="Q1649">
        <v>0.1832454</v>
      </c>
      <c r="R1649">
        <v>-1.9838290000000001E-2</v>
      </c>
      <c r="S1649">
        <v>-3.0898590000000001</v>
      </c>
      <c r="T1649">
        <v>-0.2089423</v>
      </c>
      <c r="U1649">
        <v>-2.1972660000000001E-2</v>
      </c>
      <c r="V1649">
        <v>0.12777179999999999</v>
      </c>
      <c r="W1649">
        <v>0.1980703</v>
      </c>
      <c r="X1649">
        <v>0.97182429999999997</v>
      </c>
      <c r="Y1649">
        <v>0.14183660000000001</v>
      </c>
      <c r="Z1649">
        <v>1.486035E-2</v>
      </c>
      <c r="AA1649">
        <v>0.98977850000000001</v>
      </c>
      <c r="AB1649">
        <v>13</v>
      </c>
      <c r="AC1649">
        <v>-16.283899999999999</v>
      </c>
      <c r="AD1649">
        <v>-1.1100884623539999</v>
      </c>
      <c r="AE1649">
        <v>-9.9100000000021199E-2</v>
      </c>
      <c r="AF1649">
        <v>2.3262131947674498</v>
      </c>
      <c r="AG1649">
        <v>-1.1100884623539999</v>
      </c>
      <c r="AH1649">
        <v>16.041085792204701</v>
      </c>
      <c r="AI1649">
        <v>93.9178667427893</v>
      </c>
      <c r="AJ1649">
        <v>81.748718075145803</v>
      </c>
      <c r="AK1649">
        <v>16.2468457743229</v>
      </c>
      <c r="AL1649">
        <v>78.575861626628594</v>
      </c>
      <c r="AM1649">
        <v>82.509927272039803</v>
      </c>
      <c r="AN1649">
        <v>0.999999973343909</v>
      </c>
    </row>
    <row r="1650" spans="1:40" x14ac:dyDescent="0.25">
      <c r="A1650" t="str">
        <f>"20190312172401142"</f>
        <v>20190312172401142</v>
      </c>
      <c r="B1650" t="str">
        <f>"1552382641131821"</f>
        <v>1552382641131821</v>
      </c>
      <c r="C1650" t="s">
        <v>40</v>
      </c>
      <c r="D1650">
        <v>3.8452139999999999</v>
      </c>
      <c r="E1650">
        <v>0.50057439999999997</v>
      </c>
      <c r="F1650" t="s">
        <v>47</v>
      </c>
      <c r="G1650">
        <v>-232.07140000000001</v>
      </c>
      <c r="H1650" s="1">
        <v>-3.3053869999999999E-7</v>
      </c>
      <c r="I1650">
        <v>282.23790000000002</v>
      </c>
      <c r="J1650">
        <v>-215.6765</v>
      </c>
      <c r="K1650">
        <v>1.11005</v>
      </c>
      <c r="L1650">
        <v>282.33300000000003</v>
      </c>
      <c r="M1650">
        <v>-0.98898580000000003</v>
      </c>
      <c r="N1650">
        <v>0</v>
      </c>
      <c r="O1650">
        <v>-0.14724110000000001</v>
      </c>
      <c r="P1650">
        <v>-0.98282380000000003</v>
      </c>
      <c r="Q1650">
        <v>0.1836969</v>
      </c>
      <c r="R1650">
        <v>-1.7691459999999999E-2</v>
      </c>
      <c r="S1650">
        <v>-3.0905610000000001</v>
      </c>
      <c r="T1650">
        <v>-0.20754400000000001</v>
      </c>
      <c r="U1650">
        <v>-2.1087649999999999E-2</v>
      </c>
      <c r="V1650">
        <v>0.12765219999999999</v>
      </c>
      <c r="W1650">
        <v>0.19809370000000001</v>
      </c>
      <c r="X1650">
        <v>0.97183529999999996</v>
      </c>
      <c r="Y1650">
        <v>0.13986100000000001</v>
      </c>
      <c r="Z1650">
        <v>1.454018E-2</v>
      </c>
      <c r="AA1650">
        <v>0.99006439999999996</v>
      </c>
      <c r="AB1650">
        <v>13</v>
      </c>
      <c r="AC1650">
        <v>-16.3949</v>
      </c>
      <c r="AD1650">
        <v>-1.1100503305386999</v>
      </c>
      <c r="AE1650">
        <v>-9.5099999999945298E-2</v>
      </c>
      <c r="AF1650">
        <v>2.30962655212549</v>
      </c>
      <c r="AG1650">
        <v>-1.1100503305386999</v>
      </c>
      <c r="AH1650">
        <v>16.156108270975299</v>
      </c>
      <c r="AI1650">
        <v>93.891052999186201</v>
      </c>
      <c r="AJ1650">
        <v>81.864298467501698</v>
      </c>
      <c r="AK1650">
        <v>16.3580689878142</v>
      </c>
      <c r="AL1650">
        <v>78.574494391827201</v>
      </c>
      <c r="AM1650">
        <v>82.516942554828105</v>
      </c>
      <c r="AN1650">
        <v>1.0000000242353</v>
      </c>
    </row>
    <row r="1651" spans="1:40" x14ac:dyDescent="0.25">
      <c r="A1651" t="str">
        <f>"20190312172401163"</f>
        <v>20190312172401163</v>
      </c>
      <c r="B1651" t="str">
        <f>"1552382641151341"</f>
        <v>1552382641151341</v>
      </c>
      <c r="C1651" t="s">
        <v>40</v>
      </c>
      <c r="D1651">
        <v>3.9035829999999998</v>
      </c>
      <c r="E1651">
        <v>0.50053829999999999</v>
      </c>
      <c r="F1651" t="s">
        <v>47</v>
      </c>
      <c r="G1651">
        <v>-232.36320000000001</v>
      </c>
      <c r="H1651" s="1">
        <v>-1.7627910000000001E-7</v>
      </c>
      <c r="I1651">
        <v>282.26119999999997</v>
      </c>
      <c r="J1651">
        <v>-215.80119999999999</v>
      </c>
      <c r="K1651">
        <v>1.1100380000000001</v>
      </c>
      <c r="L1651">
        <v>282.31700000000001</v>
      </c>
      <c r="M1651">
        <v>-0.9893054</v>
      </c>
      <c r="N1651">
        <v>0</v>
      </c>
      <c r="O1651">
        <v>-0.14511689999999999</v>
      </c>
      <c r="P1651">
        <v>-0.98288629999999999</v>
      </c>
      <c r="Q1651">
        <v>0.18349309999999999</v>
      </c>
      <c r="R1651">
        <v>-1.6272729999999999E-2</v>
      </c>
      <c r="S1651">
        <v>-3.0906069999999999</v>
      </c>
      <c r="T1651">
        <v>-0.20559740000000001</v>
      </c>
      <c r="U1651">
        <v>-1.330566E-2</v>
      </c>
      <c r="V1651">
        <v>0.1269663</v>
      </c>
      <c r="W1651">
        <v>0.19753370000000001</v>
      </c>
      <c r="X1651">
        <v>0.97203910000000004</v>
      </c>
      <c r="Y1651">
        <v>0.1402428</v>
      </c>
      <c r="Z1651">
        <v>1.4277089999999999E-2</v>
      </c>
      <c r="AA1651">
        <v>0.99001419999999996</v>
      </c>
      <c r="AB1651">
        <v>13</v>
      </c>
      <c r="AC1651">
        <v>-16.562000000000001</v>
      </c>
      <c r="AD1651">
        <v>-1.1100381762790901</v>
      </c>
      <c r="AE1651">
        <v>-5.5800000000033302E-2</v>
      </c>
      <c r="AF1651">
        <v>2.3379740861171601</v>
      </c>
      <c r="AG1651">
        <v>-1.1100381762790901</v>
      </c>
      <c r="AH1651">
        <v>16.321426761870001</v>
      </c>
      <c r="AI1651">
        <v>93.851562481287701</v>
      </c>
      <c r="AJ1651">
        <v>81.848081799873398</v>
      </c>
      <c r="AK1651">
        <v>16.525352617213301</v>
      </c>
      <c r="AL1651">
        <v>78.607226645034899</v>
      </c>
      <c r="AM1651">
        <v>82.558241504150502</v>
      </c>
      <c r="AN1651">
        <v>1.0000000079500899</v>
      </c>
    </row>
    <row r="1652" spans="1:40" x14ac:dyDescent="0.25">
      <c r="A1652" t="str">
        <f>"20190312172401175"</f>
        <v>20190312172401175</v>
      </c>
      <c r="B1652" t="str">
        <f>"1552382641171838"</f>
        <v>1552382641171838</v>
      </c>
      <c r="C1652" t="s">
        <v>40</v>
      </c>
      <c r="D1652">
        <v>3.849783</v>
      </c>
      <c r="E1652">
        <v>0.50044619999999995</v>
      </c>
      <c r="F1652" t="s">
        <v>47</v>
      </c>
      <c r="G1652">
        <v>-232.3921</v>
      </c>
      <c r="H1652" s="1">
        <v>-1.6121099999999899E-7</v>
      </c>
      <c r="I1652">
        <v>282.26870000000002</v>
      </c>
      <c r="J1652">
        <v>-215.8783</v>
      </c>
      <c r="K1652">
        <v>1.1100380000000001</v>
      </c>
      <c r="L1652">
        <v>282.3073</v>
      </c>
      <c r="M1652">
        <v>-0.98950090000000002</v>
      </c>
      <c r="N1652">
        <v>0</v>
      </c>
      <c r="O1652">
        <v>-0.1437995</v>
      </c>
      <c r="P1652">
        <v>-0.9828829</v>
      </c>
      <c r="Q1652">
        <v>0.1836246</v>
      </c>
      <c r="R1652">
        <v>-1.495494E-2</v>
      </c>
      <c r="S1652">
        <v>-3.0906829999999998</v>
      </c>
      <c r="T1652">
        <v>-0.206787</v>
      </c>
      <c r="U1652">
        <v>-9.0026859999999993E-3</v>
      </c>
      <c r="V1652">
        <v>0.12696689999999999</v>
      </c>
      <c r="W1652">
        <v>0.19746359999999999</v>
      </c>
      <c r="X1652">
        <v>0.97205330000000001</v>
      </c>
      <c r="Y1652">
        <v>0.14029800000000001</v>
      </c>
      <c r="Z1652">
        <v>1.4273910000000001E-2</v>
      </c>
      <c r="AA1652">
        <v>0.99000639999999995</v>
      </c>
      <c r="AB1652">
        <v>13</v>
      </c>
      <c r="AC1652">
        <v>-16.5138</v>
      </c>
      <c r="AD1652">
        <v>-1.110038161211</v>
      </c>
      <c r="AE1652">
        <v>-3.8599999999973898E-2</v>
      </c>
      <c r="AF1652">
        <v>2.3262157891978701</v>
      </c>
      <c r="AG1652">
        <v>-1.110038161211</v>
      </c>
      <c r="AH1652">
        <v>16.274152307074999</v>
      </c>
      <c r="AI1652">
        <v>93.862882392581199</v>
      </c>
      <c r="AJ1652">
        <v>81.865285102904295</v>
      </c>
      <c r="AK1652">
        <v>16.4769990572049</v>
      </c>
      <c r="AL1652">
        <v>78.611324178855895</v>
      </c>
      <c r="AM1652">
        <v>82.558314224192003</v>
      </c>
      <c r="AN1652">
        <v>1.0000000425307201</v>
      </c>
    </row>
    <row r="1653" spans="1:40" x14ac:dyDescent="0.25">
      <c r="A1653" t="str">
        <f>"20190312172401198"</f>
        <v>20190312172401198</v>
      </c>
      <c r="B1653" t="str">
        <f>"1552382641191357"</f>
        <v>1552382641191357</v>
      </c>
      <c r="C1653" t="s">
        <v>40</v>
      </c>
      <c r="D1653">
        <v>3.8272910000000002</v>
      </c>
      <c r="E1653">
        <v>0.50052370000000002</v>
      </c>
      <c r="F1653" t="s">
        <v>47</v>
      </c>
      <c r="G1653">
        <v>-232.48320000000001</v>
      </c>
      <c r="H1653" s="1">
        <v>-1.130818E-7</v>
      </c>
      <c r="I1653">
        <v>282.27710000000002</v>
      </c>
      <c r="J1653">
        <v>-216.00970000000001</v>
      </c>
      <c r="K1653">
        <v>1.1100410000000001</v>
      </c>
      <c r="L1653">
        <v>282.291</v>
      </c>
      <c r="M1653">
        <v>-0.98982950000000003</v>
      </c>
      <c r="N1653">
        <v>0</v>
      </c>
      <c r="O1653">
        <v>-0.1415526</v>
      </c>
      <c r="P1653">
        <v>-0.98288509999999996</v>
      </c>
      <c r="Q1653">
        <v>0.18375140000000001</v>
      </c>
      <c r="R1653">
        <v>-1.312601E-2</v>
      </c>
      <c r="S1653">
        <v>-3.0907589999999998</v>
      </c>
      <c r="T1653">
        <v>-0.20661679999999999</v>
      </c>
      <c r="U1653">
        <v>-5.6152340000000002E-3</v>
      </c>
      <c r="V1653">
        <v>0.12655559999999999</v>
      </c>
      <c r="W1653">
        <v>0.19727149999999999</v>
      </c>
      <c r="X1653">
        <v>0.97214590000000001</v>
      </c>
      <c r="Y1653">
        <v>0.13914319999999999</v>
      </c>
      <c r="Z1653">
        <v>1.407457E-2</v>
      </c>
      <c r="AA1653">
        <v>0.99017230000000001</v>
      </c>
      <c r="AB1653">
        <v>13</v>
      </c>
      <c r="AC1653">
        <v>-16.473500000000001</v>
      </c>
      <c r="AD1653">
        <v>-1.1100411130818</v>
      </c>
      <c r="AE1653">
        <v>-1.3899999999978201E-2</v>
      </c>
      <c r="AF1653">
        <v>2.3078615585255098</v>
      </c>
      <c r="AG1653">
        <v>-1.1100411130818</v>
      </c>
      <c r="AH1653">
        <v>16.2358391001802</v>
      </c>
      <c r="AI1653">
        <v>93.872408330998198</v>
      </c>
      <c r="AJ1653">
        <v>81.909825362423305</v>
      </c>
      <c r="AK1653">
        <v>16.436571647791801</v>
      </c>
      <c r="AL1653">
        <v>78.622551143783198</v>
      </c>
      <c r="AM1653">
        <v>82.582850824692301</v>
      </c>
      <c r="AN1653">
        <v>1.00000000774521</v>
      </c>
    </row>
    <row r="1654" spans="1:40" x14ac:dyDescent="0.25">
      <c r="A1654" t="str">
        <f>"20190312172401220"</f>
        <v>20190312172401220</v>
      </c>
      <c r="B1654" t="str">
        <f>"1552382641211854"</f>
        <v>1552382641211854</v>
      </c>
      <c r="C1654" t="s">
        <v>40</v>
      </c>
      <c r="D1654">
        <v>3.9186239999999999</v>
      </c>
      <c r="E1654">
        <v>0.50047159999999902</v>
      </c>
      <c r="F1654" t="s">
        <v>47</v>
      </c>
      <c r="G1654">
        <v>-232.74870000000001</v>
      </c>
      <c r="H1654" s="1">
        <v>2.7299259999999999E-8</v>
      </c>
      <c r="I1654">
        <v>282.29790000000003</v>
      </c>
      <c r="J1654">
        <v>-216.1481</v>
      </c>
      <c r="K1654">
        <v>1.110036</v>
      </c>
      <c r="L1654">
        <v>282.274</v>
      </c>
      <c r="M1654">
        <v>-0.99016990000000005</v>
      </c>
      <c r="N1654">
        <v>0</v>
      </c>
      <c r="O1654">
        <v>-0.1391849</v>
      </c>
      <c r="P1654">
        <v>-0.98289459999999995</v>
      </c>
      <c r="Q1654">
        <v>0.1837985</v>
      </c>
      <c r="R1654">
        <v>-1.167697E-2</v>
      </c>
      <c r="S1654">
        <v>-3.090576</v>
      </c>
      <c r="T1654">
        <v>-0.20494989999999999</v>
      </c>
      <c r="U1654">
        <v>1.2817379999999999E-3</v>
      </c>
      <c r="V1654">
        <v>0.1256536</v>
      </c>
      <c r="W1654">
        <v>0.19700119999999999</v>
      </c>
      <c r="X1654">
        <v>0.97231769999999995</v>
      </c>
      <c r="Y1654">
        <v>0.13899929999999999</v>
      </c>
      <c r="Z1654">
        <v>1.380199E-2</v>
      </c>
      <c r="AA1654">
        <v>0.99019630000000003</v>
      </c>
      <c r="AB1654">
        <v>13</v>
      </c>
      <c r="AC1654">
        <v>-16.6006</v>
      </c>
      <c r="AD1654">
        <v>-1.1100359727007401</v>
      </c>
      <c r="AE1654">
        <v>2.3900000000026001E-2</v>
      </c>
      <c r="AF1654">
        <v>2.3240496884786199</v>
      </c>
      <c r="AG1654">
        <v>-1.1100359727007401</v>
      </c>
      <c r="AH1654">
        <v>16.362498431914101</v>
      </c>
      <c r="AI1654">
        <v>93.842564300569407</v>
      </c>
      <c r="AJ1654">
        <v>81.916058526753005</v>
      </c>
      <c r="AK1654">
        <v>16.5639591206209</v>
      </c>
      <c r="AL1654">
        <v>78.638348159761307</v>
      </c>
      <c r="AM1654">
        <v>82.636419675339098</v>
      </c>
      <c r="AN1654">
        <v>1.00000000486384</v>
      </c>
    </row>
    <row r="1655" spans="1:40" x14ac:dyDescent="0.25">
      <c r="A1655" t="str">
        <f>"20190312172401243"</f>
        <v>20190312172401243</v>
      </c>
      <c r="B1655" t="str">
        <f>"1552382641231374"</f>
        <v>1552382641231374</v>
      </c>
      <c r="C1655" t="s">
        <v>40</v>
      </c>
      <c r="D1655">
        <v>3.863334</v>
      </c>
      <c r="E1655">
        <v>0.50049100000000002</v>
      </c>
      <c r="F1655" t="s">
        <v>47</v>
      </c>
      <c r="G1655">
        <v>-232.90710000000001</v>
      </c>
      <c r="H1655" s="1">
        <v>1.112545E-7</v>
      </c>
      <c r="I1655">
        <v>282.30450000000002</v>
      </c>
      <c r="J1655">
        <v>-216.27959999999999</v>
      </c>
      <c r="K1655">
        <v>1.110017</v>
      </c>
      <c r="L1655">
        <v>282.25819999999999</v>
      </c>
      <c r="M1655">
        <v>-0.99048820000000004</v>
      </c>
      <c r="N1655">
        <v>0</v>
      </c>
      <c r="O1655">
        <v>-0.13693339999999901</v>
      </c>
      <c r="P1655">
        <v>-0.98292369999999996</v>
      </c>
      <c r="Q1655">
        <v>0.1837396</v>
      </c>
      <c r="R1655">
        <v>-1.004526E-2</v>
      </c>
      <c r="S1655">
        <v>-3.090576</v>
      </c>
      <c r="T1655">
        <v>-0.204706</v>
      </c>
      <c r="U1655">
        <v>5.6152340000000002E-3</v>
      </c>
      <c r="V1655">
        <v>0.1250541</v>
      </c>
      <c r="W1655">
        <v>0.1966473</v>
      </c>
      <c r="X1655">
        <v>0.97246659999999996</v>
      </c>
      <c r="Y1655">
        <v>0.13814409999999999</v>
      </c>
      <c r="Z1655">
        <v>1.360958E-2</v>
      </c>
      <c r="AA1655">
        <v>0.9903187</v>
      </c>
      <c r="AB1655">
        <v>13</v>
      </c>
      <c r="AC1655">
        <v>-16.627500000000001</v>
      </c>
      <c r="AD1655">
        <v>-1.1100168887455</v>
      </c>
      <c r="AE1655">
        <v>4.6300000000030601E-2</v>
      </c>
      <c r="AF1655">
        <v>2.3126251345635001</v>
      </c>
      <c r="AG1655">
        <v>-1.1100168887455</v>
      </c>
      <c r="AH1655">
        <v>16.391454052683201</v>
      </c>
      <c r="AI1655">
        <v>93.836234025376498</v>
      </c>
      <c r="AJ1655">
        <v>81.969301561294102</v>
      </c>
      <c r="AK1655">
        <v>16.590965567667901</v>
      </c>
      <c r="AL1655">
        <v>78.659029501899496</v>
      </c>
      <c r="AM1655">
        <v>82.672278813633</v>
      </c>
      <c r="AN1655">
        <v>0.99999998831982995</v>
      </c>
    </row>
    <row r="1656" spans="1:40" x14ac:dyDescent="0.25">
      <c r="A1656" t="str">
        <f>"20190312172401264"</f>
        <v>20190312172401264</v>
      </c>
      <c r="B1656" t="str">
        <f>"1552382641251870"</f>
        <v>1552382641251870</v>
      </c>
      <c r="C1656" t="s">
        <v>40</v>
      </c>
      <c r="D1656">
        <v>3.8488769999999999</v>
      </c>
      <c r="E1656">
        <v>0.50049949999999999</v>
      </c>
      <c r="F1656" t="s">
        <v>47</v>
      </c>
      <c r="G1656">
        <v>-233.11179999999999</v>
      </c>
      <c r="H1656" s="1">
        <v>2.1965980000000001E-7</v>
      </c>
      <c r="I1656">
        <v>282.31760000000003</v>
      </c>
      <c r="J1656">
        <v>-216.4067</v>
      </c>
      <c r="K1656">
        <v>1.1099950000000001</v>
      </c>
      <c r="L1656">
        <v>282.24329999999998</v>
      </c>
      <c r="M1656">
        <v>-0.99079099999999998</v>
      </c>
      <c r="N1656">
        <v>0</v>
      </c>
      <c r="O1656">
        <v>-0.1347536</v>
      </c>
      <c r="P1656">
        <v>-0.98286459999999998</v>
      </c>
      <c r="Q1656">
        <v>0.18412249999999999</v>
      </c>
      <c r="R1656">
        <v>-8.7451779999999993E-3</v>
      </c>
      <c r="S1656">
        <v>-3.090347</v>
      </c>
      <c r="T1656">
        <v>-0.2037957</v>
      </c>
      <c r="U1656">
        <v>1.089478E-2</v>
      </c>
      <c r="V1656">
        <v>0.1241891</v>
      </c>
      <c r="W1656">
        <v>0.1967525</v>
      </c>
      <c r="X1656">
        <v>0.97255619999999998</v>
      </c>
      <c r="Y1656">
        <v>0.13766729999999899</v>
      </c>
      <c r="Z1656">
        <v>1.3392080000000001E-2</v>
      </c>
      <c r="AA1656">
        <v>0.99038800000000005</v>
      </c>
      <c r="AB1656">
        <v>13</v>
      </c>
      <c r="AC1656">
        <v>-16.705099999999899</v>
      </c>
      <c r="AD1656">
        <v>-1.1099947803401999</v>
      </c>
      <c r="AE1656">
        <v>7.4300000000050603E-2</v>
      </c>
      <c r="AF1656">
        <v>2.3146717982762999</v>
      </c>
      <c r="AG1656">
        <v>-1.1099947803401999</v>
      </c>
      <c r="AH1656">
        <v>16.4699795925569</v>
      </c>
      <c r="AI1656">
        <v>93.818210297945697</v>
      </c>
      <c r="AJ1656">
        <v>82.000112171572496</v>
      </c>
      <c r="AK1656">
        <v>16.668833844194399</v>
      </c>
      <c r="AL1656">
        <v>78.652882254226</v>
      </c>
      <c r="AM1656">
        <v>82.723082727434104</v>
      </c>
      <c r="AN1656">
        <v>1.0000000204867401</v>
      </c>
    </row>
    <row r="1657" spans="1:40" x14ac:dyDescent="0.25">
      <c r="A1657" t="str">
        <f>"20190312172401276"</f>
        <v>20190312172401276</v>
      </c>
      <c r="B1657" t="str">
        <f>"1552382641271390"</f>
        <v>1552382641271390</v>
      </c>
      <c r="C1657" t="s">
        <v>40</v>
      </c>
      <c r="D1657">
        <v>3.9158490000000001</v>
      </c>
      <c r="E1657">
        <v>0.50027979999999905</v>
      </c>
      <c r="F1657" t="s">
        <v>47</v>
      </c>
      <c r="G1657">
        <v>-233.3999</v>
      </c>
      <c r="H1657" s="1">
        <v>3.7259189999999999E-7</v>
      </c>
      <c r="I1657">
        <v>282.32600000000002</v>
      </c>
      <c r="J1657">
        <v>-216.48320000000001</v>
      </c>
      <c r="K1657">
        <v>1.109979</v>
      </c>
      <c r="L1657">
        <v>282.23439999999999</v>
      </c>
      <c r="M1657">
        <v>-0.99097080000000004</v>
      </c>
      <c r="N1657">
        <v>0</v>
      </c>
      <c r="O1657">
        <v>-0.1334408</v>
      </c>
      <c r="P1657">
        <v>-0.98279550000000004</v>
      </c>
      <c r="Q1657">
        <v>0.18452099999999999</v>
      </c>
      <c r="R1657">
        <v>-8.0867630000000003E-3</v>
      </c>
      <c r="S1657">
        <v>-3.090271</v>
      </c>
      <c r="T1657">
        <v>-0.20185610000000001</v>
      </c>
      <c r="U1657">
        <v>1.504517E-2</v>
      </c>
      <c r="V1657">
        <v>0.1235421</v>
      </c>
      <c r="W1657">
        <v>0.19699</v>
      </c>
      <c r="X1657">
        <v>0.97259050000000002</v>
      </c>
      <c r="Y1657">
        <v>0.13769890000000001</v>
      </c>
      <c r="Z1657">
        <v>1.3181299999999899E-2</v>
      </c>
      <c r="AA1657">
        <v>0.9903864</v>
      </c>
      <c r="AB1657">
        <v>13</v>
      </c>
      <c r="AC1657">
        <v>-16.916699999999899</v>
      </c>
      <c r="AD1657">
        <v>-1.1099786274081</v>
      </c>
      <c r="AE1657">
        <v>9.1599999999971204E-2</v>
      </c>
      <c r="AF1657">
        <v>2.3382844319638698</v>
      </c>
      <c r="AG1657">
        <v>-1.1099786274081</v>
      </c>
      <c r="AH1657">
        <v>16.681345023951501</v>
      </c>
      <c r="AI1657">
        <v>93.770105326183895</v>
      </c>
      <c r="AJ1657">
        <v>82.020633663281302</v>
      </c>
      <c r="AK1657">
        <v>16.880962604252701</v>
      </c>
      <c r="AL1657">
        <v>78.6390025923004</v>
      </c>
      <c r="AM1657">
        <v>82.760843346601902</v>
      </c>
      <c r="AN1657">
        <v>0.99999999563133002</v>
      </c>
    </row>
    <row r="1658" spans="1:40" x14ac:dyDescent="0.25">
      <c r="A1658" t="str">
        <f>"20190312172401297"</f>
        <v>20190312172401297</v>
      </c>
      <c r="B1658" t="str">
        <f>"1552382641291886"</f>
        <v>1552382641291886</v>
      </c>
      <c r="C1658" t="s">
        <v>40</v>
      </c>
      <c r="D1658">
        <v>3.8381789999999998</v>
      </c>
      <c r="E1658">
        <v>0.50017959999999995</v>
      </c>
      <c r="F1658" t="s">
        <v>47</v>
      </c>
      <c r="G1658">
        <v>-233.53630000000001</v>
      </c>
      <c r="H1658" s="1">
        <v>4.4550340000000001E-7</v>
      </c>
      <c r="I1658">
        <v>282.31830000000002</v>
      </c>
      <c r="J1658">
        <v>-216.60849999999999</v>
      </c>
      <c r="K1658">
        <v>1.1099600000000001</v>
      </c>
      <c r="L1658">
        <v>282.2201</v>
      </c>
      <c r="M1658">
        <v>-0.9912609</v>
      </c>
      <c r="N1658">
        <v>0</v>
      </c>
      <c r="O1658">
        <v>-0.13129370000000001</v>
      </c>
      <c r="P1658">
        <v>-0.98275619999999997</v>
      </c>
      <c r="Q1658">
        <v>0.1847693</v>
      </c>
      <c r="R1658">
        <v>-7.1175759999999996E-3</v>
      </c>
      <c r="S1658">
        <v>-3.0903930000000002</v>
      </c>
      <c r="T1658">
        <v>-0.20115269999999999</v>
      </c>
      <c r="U1658">
        <v>1.5197749999999999E-2</v>
      </c>
      <c r="V1658">
        <v>0.12238739999999999</v>
      </c>
      <c r="W1658">
        <v>0.19699050000000001</v>
      </c>
      <c r="X1658">
        <v>0.97273639999999995</v>
      </c>
      <c r="Y1658">
        <v>0.13561429999999999</v>
      </c>
      <c r="Z1658">
        <v>1.2928449999999999E-2</v>
      </c>
      <c r="AA1658">
        <v>0.99067740000000004</v>
      </c>
      <c r="AB1658">
        <v>13</v>
      </c>
      <c r="AC1658">
        <v>-16.927800000000001</v>
      </c>
      <c r="AD1658">
        <v>-1.1099595544966001</v>
      </c>
      <c r="AE1658">
        <v>9.8200000000019799E-2</v>
      </c>
      <c r="AF1658">
        <v>2.3101134346444701</v>
      </c>
      <c r="AG1658">
        <v>-1.1099595544966001</v>
      </c>
      <c r="AH1658">
        <v>16.696562860309001</v>
      </c>
      <c r="AI1658">
        <v>93.767545865315995</v>
      </c>
      <c r="AJ1658">
        <v>82.122646503476901</v>
      </c>
      <c r="AK1658">
        <v>16.8921237753515</v>
      </c>
      <c r="AL1658">
        <v>78.638973633128103</v>
      </c>
      <c r="AM1658">
        <v>82.828861604344795</v>
      </c>
      <c r="AN1658">
        <v>1.0000000183269799</v>
      </c>
    </row>
    <row r="1659" spans="1:40" x14ac:dyDescent="0.25">
      <c r="A1659" t="str">
        <f>"20190312172401311"</f>
        <v>20190312172401311</v>
      </c>
      <c r="B1659" t="str">
        <f>"1552382641301645"</f>
        <v>1552382641301645</v>
      </c>
      <c r="C1659" t="s">
        <v>40</v>
      </c>
      <c r="D1659">
        <v>3.9270399999999999</v>
      </c>
      <c r="E1659">
        <v>0.50009380000000003</v>
      </c>
      <c r="F1659" t="s">
        <v>47</v>
      </c>
      <c r="G1659">
        <v>-233.7347</v>
      </c>
      <c r="H1659" s="1">
        <v>5.5115359999999899E-7</v>
      </c>
      <c r="I1659">
        <v>282.31709999999998</v>
      </c>
      <c r="J1659">
        <v>-216.6893</v>
      </c>
      <c r="K1659">
        <v>1.1099460000000001</v>
      </c>
      <c r="L1659">
        <v>282.21100000000001</v>
      </c>
      <c r="M1659">
        <v>-0.99144520000000003</v>
      </c>
      <c r="N1659">
        <v>0</v>
      </c>
      <c r="O1659">
        <v>-0.12991069999999999</v>
      </c>
      <c r="P1659">
        <v>-0.9826819</v>
      </c>
      <c r="Q1659">
        <v>0.18517939999999999</v>
      </c>
      <c r="R1659">
        <v>-6.7041899999999996E-3</v>
      </c>
      <c r="S1659">
        <v>-3.0904389999999999</v>
      </c>
      <c r="T1659">
        <v>-0.20029279999999999</v>
      </c>
      <c r="U1659">
        <v>1.7517089999999999E-2</v>
      </c>
      <c r="V1659">
        <v>0.1214296</v>
      </c>
      <c r="W1659">
        <v>0.19725039999999999</v>
      </c>
      <c r="X1659">
        <v>0.9728038</v>
      </c>
      <c r="Y1659">
        <v>0.134984299999999</v>
      </c>
      <c r="Z1659">
        <v>1.2763790000000001E-2</v>
      </c>
      <c r="AA1659">
        <v>0.99076549999999997</v>
      </c>
      <c r="AB1659">
        <v>13</v>
      </c>
      <c r="AC1659">
        <v>-17.045400000000001</v>
      </c>
      <c r="AD1659">
        <v>-1.10994544884639</v>
      </c>
      <c r="AE1659">
        <v>0.106099999999969</v>
      </c>
      <c r="AF1659">
        <v>2.3099629524449301</v>
      </c>
      <c r="AG1659">
        <v>-1.10994544884639</v>
      </c>
      <c r="AH1659">
        <v>16.8158441535683</v>
      </c>
      <c r="AI1659">
        <v>93.741349801835696</v>
      </c>
      <c r="AJ1659">
        <v>82.178332709564202</v>
      </c>
      <c r="AK1659">
        <v>17.010012414404098</v>
      </c>
      <c r="AL1659">
        <v>78.623784810190003</v>
      </c>
      <c r="AM1659">
        <v>82.884893154785402</v>
      </c>
      <c r="AN1659">
        <v>1.0000000506753699</v>
      </c>
    </row>
    <row r="1660" spans="1:40" x14ac:dyDescent="0.25">
      <c r="A1660" t="str">
        <f>"20190312172401331"</f>
        <v>20190312172401331</v>
      </c>
      <c r="B1660" t="str">
        <f>"1552382641321165"</f>
        <v>1552382641321165</v>
      </c>
      <c r="C1660" t="s">
        <v>40</v>
      </c>
      <c r="D1660">
        <v>3.8369499999999999</v>
      </c>
      <c r="E1660">
        <v>0.49996370000000001</v>
      </c>
      <c r="F1660" t="s">
        <v>47</v>
      </c>
      <c r="G1660">
        <v>-233.8956</v>
      </c>
      <c r="H1660" s="1">
        <v>6.3691200000000001E-7</v>
      </c>
      <c r="I1660">
        <v>282.3141</v>
      </c>
      <c r="J1660">
        <v>-216.81360000000001</v>
      </c>
      <c r="K1660">
        <v>1.1099129999999999</v>
      </c>
      <c r="L1660">
        <v>282.19720000000001</v>
      </c>
      <c r="M1660">
        <v>-0.99172400000000005</v>
      </c>
      <c r="N1660">
        <v>0</v>
      </c>
      <c r="O1660">
        <v>-0.12778709999999999</v>
      </c>
      <c r="P1660">
        <v>-0.98257070000000002</v>
      </c>
      <c r="Q1660">
        <v>0.18580360000000001</v>
      </c>
      <c r="R1660">
        <v>-5.6564559999999998E-3</v>
      </c>
      <c r="S1660">
        <v>-3.0905610000000001</v>
      </c>
      <c r="T1660">
        <v>-0.19936619999999999</v>
      </c>
      <c r="U1660">
        <v>1.852417E-2</v>
      </c>
      <c r="V1660">
        <v>0.1203699</v>
      </c>
      <c r="W1660">
        <v>0.19765479999999999</v>
      </c>
      <c r="X1660">
        <v>0.97285339999999998</v>
      </c>
      <c r="Y1660">
        <v>0.13319779999999901</v>
      </c>
      <c r="Z1660">
        <v>1.2510800000000001E-2</v>
      </c>
      <c r="AA1660">
        <v>0.99101050000000002</v>
      </c>
      <c r="AB1660">
        <v>13</v>
      </c>
      <c r="AC1660">
        <v>-17.081999999999901</v>
      </c>
      <c r="AD1660">
        <v>-1.1099123630879999</v>
      </c>
      <c r="AE1660">
        <v>0.116899999999986</v>
      </c>
      <c r="AF1660">
        <v>2.2893041821807101</v>
      </c>
      <c r="AG1660">
        <v>-1.1099123630879999</v>
      </c>
      <c r="AH1660">
        <v>16.855835180472699</v>
      </c>
      <c r="AI1660">
        <v>93.733161891525299</v>
      </c>
      <c r="AJ1660">
        <v>82.265600390438905</v>
      </c>
      <c r="AK1660">
        <v>17.046759185356802</v>
      </c>
      <c r="AL1660">
        <v>78.600148890622506</v>
      </c>
      <c r="AM1660">
        <v>82.946713559680504</v>
      </c>
      <c r="AN1660">
        <v>1.0000000353403</v>
      </c>
    </row>
    <row r="1661" spans="1:40" x14ac:dyDescent="0.25">
      <c r="A1661" t="str">
        <f>"20190312172401352"</f>
        <v>20190312172401352</v>
      </c>
      <c r="B1661" t="str">
        <f>"1552382641341661"</f>
        <v>1552382641341661</v>
      </c>
      <c r="C1661" t="s">
        <v>40</v>
      </c>
      <c r="D1661">
        <v>3.8289589999999998</v>
      </c>
      <c r="E1661">
        <v>0.4999285</v>
      </c>
      <c r="F1661" t="s">
        <v>47</v>
      </c>
      <c r="G1661">
        <v>-234.1781</v>
      </c>
      <c r="H1661" s="1">
        <v>7.8726529999999998E-7</v>
      </c>
      <c r="I1661">
        <v>282.31369999999998</v>
      </c>
      <c r="J1661">
        <v>-216.94130000000001</v>
      </c>
      <c r="K1661">
        <v>1.1098889999999999</v>
      </c>
      <c r="L1661">
        <v>282.18340000000001</v>
      </c>
      <c r="M1661">
        <v>-0.99200480000000002</v>
      </c>
      <c r="N1661">
        <v>0</v>
      </c>
      <c r="O1661">
        <v>-0.12560950000000001</v>
      </c>
      <c r="P1661">
        <v>-0.98253729999999995</v>
      </c>
      <c r="Q1661">
        <v>0.18600849999999999</v>
      </c>
      <c r="R1661">
        <v>-4.6418470000000002E-3</v>
      </c>
      <c r="S1661">
        <v>-3.0906980000000002</v>
      </c>
      <c r="T1661">
        <v>-0.19755259999999999</v>
      </c>
      <c r="U1661">
        <v>2.0721440000000001E-2</v>
      </c>
      <c r="V1661">
        <v>0.1192338</v>
      </c>
      <c r="W1661">
        <v>0.1976501</v>
      </c>
      <c r="X1661">
        <v>0.97299420000000003</v>
      </c>
      <c r="Y1661">
        <v>0.131743</v>
      </c>
      <c r="Z1661">
        <v>1.221203E-2</v>
      </c>
      <c r="AA1661">
        <v>0.99120870000000005</v>
      </c>
      <c r="AB1661">
        <v>13</v>
      </c>
      <c r="AC1661">
        <v>-17.236799999999899</v>
      </c>
      <c r="AD1661">
        <v>-1.1098882127346901</v>
      </c>
      <c r="AE1661">
        <v>0.13029999999997699</v>
      </c>
      <c r="AF1661">
        <v>2.2850610263845699</v>
      </c>
      <c r="AG1661">
        <v>-1.1098882127346901</v>
      </c>
      <c r="AH1661">
        <v>17.013355987168801</v>
      </c>
      <c r="AI1661">
        <v>93.699351259222695</v>
      </c>
      <c r="AJ1661">
        <v>82.350391567998798</v>
      </c>
      <c r="AK1661">
        <v>17.201966099408601</v>
      </c>
      <c r="AL1661">
        <v>78.600423043638997</v>
      </c>
      <c r="AM1661">
        <v>83.013625294558295</v>
      </c>
      <c r="AN1661">
        <v>0.99999998716304495</v>
      </c>
    </row>
    <row r="1662" spans="1:40" x14ac:dyDescent="0.25">
      <c r="A1662" t="str">
        <f>"20190312172401375"</f>
        <v>20190312172401375</v>
      </c>
      <c r="B1662" t="str">
        <f>"1552382641371918"</f>
        <v>1552382641371918</v>
      </c>
      <c r="C1662" t="s">
        <v>40</v>
      </c>
      <c r="D1662">
        <v>3.8282940000000001</v>
      </c>
      <c r="E1662">
        <v>0.4998379</v>
      </c>
      <c r="F1662" t="s">
        <v>47</v>
      </c>
      <c r="G1662">
        <v>-234.3826</v>
      </c>
      <c r="H1662" s="1">
        <v>8.9596239999999995E-7</v>
      </c>
      <c r="I1662">
        <v>282.31599999999997</v>
      </c>
      <c r="J1662">
        <v>-217.077</v>
      </c>
      <c r="K1662">
        <v>1.1098709999999901</v>
      </c>
      <c r="L1662">
        <v>282.16890000000001</v>
      </c>
      <c r="M1662">
        <v>-0.9922974</v>
      </c>
      <c r="N1662">
        <v>0</v>
      </c>
      <c r="O1662">
        <v>-0.12329610000000001</v>
      </c>
      <c r="P1662">
        <v>-0.98259099999999999</v>
      </c>
      <c r="Q1662">
        <v>0.18575510000000001</v>
      </c>
      <c r="R1662">
        <v>-3.189978E-3</v>
      </c>
      <c r="S1662">
        <v>-3.0906829999999998</v>
      </c>
      <c r="T1662">
        <v>-0.19667770000000001</v>
      </c>
      <c r="U1662">
        <v>2.3498539999999998E-2</v>
      </c>
      <c r="V1662">
        <v>0.118408399999999</v>
      </c>
      <c r="W1662">
        <v>0.19719149999999999</v>
      </c>
      <c r="X1662">
        <v>0.97318800000000005</v>
      </c>
      <c r="Y1662">
        <v>0.13033400000000001</v>
      </c>
      <c r="Z1662">
        <v>1.1967139999999999E-2</v>
      </c>
      <c r="AA1662">
        <v>0.99139790000000005</v>
      </c>
      <c r="AB1662">
        <v>13</v>
      </c>
      <c r="AC1662">
        <v>-17.305599999999998</v>
      </c>
      <c r="AD1662">
        <v>-1.10987010403759</v>
      </c>
      <c r="AE1662">
        <v>0.14709999999996601</v>
      </c>
      <c r="AF1662">
        <v>2.2705058441222201</v>
      </c>
      <c r="AG1662">
        <v>-1.10987010403759</v>
      </c>
      <c r="AH1662">
        <v>17.085131706314598</v>
      </c>
      <c r="AI1662">
        <v>93.684475932098294</v>
      </c>
      <c r="AJ1662">
        <v>82.430108929513807</v>
      </c>
      <c r="AK1662">
        <v>17.271037428543401</v>
      </c>
      <c r="AL1662">
        <v>78.627226098242204</v>
      </c>
      <c r="AM1662">
        <v>83.062883901275399</v>
      </c>
      <c r="AN1662">
        <v>0.99999996010340397</v>
      </c>
    </row>
    <row r="1663" spans="1:40" x14ac:dyDescent="0.25">
      <c r="A1663" t="str">
        <f>"20190312172401400"</f>
        <v>20190312172401400</v>
      </c>
      <c r="B1663" t="str">
        <f>"1552382641391437"</f>
        <v>1552382641391437</v>
      </c>
      <c r="C1663" t="s">
        <v>40</v>
      </c>
      <c r="D1663">
        <v>3.8315700000000001</v>
      </c>
      <c r="E1663">
        <v>0.49981809999999899</v>
      </c>
      <c r="F1663" t="s">
        <v>47</v>
      </c>
      <c r="G1663">
        <v>-234.46969999999999</v>
      </c>
      <c r="H1663" s="1">
        <v>9.420736E-7</v>
      </c>
      <c r="I1663">
        <v>282.322</v>
      </c>
      <c r="J1663">
        <v>-217.22399999999999</v>
      </c>
      <c r="K1663">
        <v>1.1098460000000001</v>
      </c>
      <c r="L1663">
        <v>282.15370000000001</v>
      </c>
      <c r="M1663">
        <v>-0.99260800000000005</v>
      </c>
      <c r="N1663">
        <v>0</v>
      </c>
      <c r="O1663">
        <v>-0.1207921</v>
      </c>
      <c r="P1663">
        <v>-0.98270069999999998</v>
      </c>
      <c r="Q1663">
        <v>0.18519559999999999</v>
      </c>
      <c r="R1663">
        <v>-1.4100530000000001E-3</v>
      </c>
      <c r="S1663">
        <v>-3.0905300000000002</v>
      </c>
      <c r="T1663">
        <v>-0.19721379999999999</v>
      </c>
      <c r="U1663">
        <v>2.7191159999999999E-2</v>
      </c>
      <c r="V1663">
        <v>0.11772680000000001</v>
      </c>
      <c r="W1663">
        <v>0.1964323</v>
      </c>
      <c r="X1663">
        <v>0.97342430000000002</v>
      </c>
      <c r="Y1663">
        <v>0.129022</v>
      </c>
      <c r="Z1663">
        <v>1.1799759999999999E-2</v>
      </c>
      <c r="AA1663">
        <v>0.99157150000000005</v>
      </c>
      <c r="AB1663">
        <v>14</v>
      </c>
      <c r="AC1663">
        <v>-17.2456999999999</v>
      </c>
      <c r="AD1663">
        <v>-1.1098450579264001</v>
      </c>
      <c r="AE1663">
        <v>0.16829999999998699</v>
      </c>
      <c r="AF1663">
        <v>2.2410755849817399</v>
      </c>
      <c r="AG1663">
        <v>-1.1098450579264001</v>
      </c>
      <c r="AH1663">
        <v>17.0285577816631</v>
      </c>
      <c r="AI1663">
        <v>93.697216375725105</v>
      </c>
      <c r="AJ1663">
        <v>82.502568438337093</v>
      </c>
      <c r="AK1663">
        <v>17.211215992882199</v>
      </c>
      <c r="AL1663">
        <v>78.671593936132794</v>
      </c>
      <c r="AM1663">
        <v>83.104088830170596</v>
      </c>
      <c r="AN1663">
        <v>1.000000057876</v>
      </c>
    </row>
    <row r="1664" spans="1:40" x14ac:dyDescent="0.25">
      <c r="A1664" t="str">
        <f>"20190312172401422"</f>
        <v>20190312172401422</v>
      </c>
      <c r="B1664" t="str">
        <f>"1552382641411933"</f>
        <v>1552382641411933</v>
      </c>
      <c r="C1664" t="s">
        <v>40</v>
      </c>
      <c r="D1664">
        <v>3.8397779999999999</v>
      </c>
      <c r="E1664">
        <v>0.49976900000000002</v>
      </c>
      <c r="F1664" t="s">
        <v>47</v>
      </c>
      <c r="G1664">
        <v>-234.48589999999999</v>
      </c>
      <c r="H1664" s="1">
        <v>9.5003620000000004E-7</v>
      </c>
      <c r="I1664">
        <v>282.33620000000002</v>
      </c>
      <c r="J1664">
        <v>-217.36109999999999</v>
      </c>
      <c r="K1664">
        <v>1.109823</v>
      </c>
      <c r="L1664">
        <v>282.13979999999998</v>
      </c>
      <c r="M1664">
        <v>-0.99289150000000004</v>
      </c>
      <c r="N1664">
        <v>0</v>
      </c>
      <c r="O1664">
        <v>-0.1184553</v>
      </c>
      <c r="P1664">
        <v>-0.98272020000000004</v>
      </c>
      <c r="Q1664">
        <v>0.18509780000000001</v>
      </c>
      <c r="R1664">
        <v>1.9150229999999999E-4</v>
      </c>
      <c r="S1664">
        <v>-3.0903019999999999</v>
      </c>
      <c r="T1664">
        <v>-0.19868920000000001</v>
      </c>
      <c r="U1664">
        <v>3.2684329999999998E-2</v>
      </c>
      <c r="V1664">
        <v>0.1170229</v>
      </c>
      <c r="W1664">
        <v>0.19617039999999999</v>
      </c>
      <c r="X1664">
        <v>0.97356189999999998</v>
      </c>
      <c r="Y1664">
        <v>0.12844900000000001</v>
      </c>
      <c r="Z1664">
        <v>1.172111E-2</v>
      </c>
      <c r="AA1664">
        <v>0.99164680000000005</v>
      </c>
      <c r="AB1664">
        <v>14</v>
      </c>
      <c r="AC1664">
        <v>-17.124799999999901</v>
      </c>
      <c r="AD1664">
        <v>-1.1098220499638001</v>
      </c>
      <c r="AE1664">
        <v>0.19640000000003899</v>
      </c>
      <c r="AF1664">
        <v>2.2143778048012699</v>
      </c>
      <c r="AG1664">
        <v>-1.1098220499638001</v>
      </c>
      <c r="AH1664">
        <v>16.909934955746301</v>
      </c>
      <c r="AI1664">
        <v>93.723316735508206</v>
      </c>
      <c r="AJ1664">
        <v>82.539495298560993</v>
      </c>
      <c r="AK1664">
        <v>17.090379581874501</v>
      </c>
      <c r="AL1664">
        <v>78.686896547434401</v>
      </c>
      <c r="AM1664">
        <v>83.145886300049199</v>
      </c>
      <c r="AN1664">
        <v>0.99999997904608895</v>
      </c>
    </row>
    <row r="1665" spans="1:40" x14ac:dyDescent="0.25">
      <c r="A1665" t="str">
        <f>"20190312172401443"</f>
        <v>20190312172401443</v>
      </c>
      <c r="B1665" t="str">
        <f>"1552382641431457"</f>
        <v>1552382641431457</v>
      </c>
      <c r="C1665" t="s">
        <v>40</v>
      </c>
      <c r="D1665">
        <v>3.8194789999999998</v>
      </c>
      <c r="E1665">
        <v>0.49966309999999903</v>
      </c>
      <c r="F1665" t="s">
        <v>47</v>
      </c>
      <c r="G1665">
        <v>-234.624</v>
      </c>
      <c r="H1665" s="1">
        <v>1.0230589999999999E-6</v>
      </c>
      <c r="I1665">
        <v>282.34750000000003</v>
      </c>
      <c r="J1665">
        <v>-217.48689999999999</v>
      </c>
      <c r="K1665">
        <v>1.1097980000000001</v>
      </c>
      <c r="L1665">
        <v>282.12740000000002</v>
      </c>
      <c r="M1665">
        <v>-0.99314610000000003</v>
      </c>
      <c r="N1665">
        <v>0</v>
      </c>
      <c r="O1665">
        <v>-0.1163159</v>
      </c>
      <c r="P1665">
        <v>-0.98282919999999996</v>
      </c>
      <c r="Q1665">
        <v>0.18450920000000001</v>
      </c>
      <c r="R1665">
        <v>1.804375E-3</v>
      </c>
      <c r="S1665">
        <v>-3.0901640000000001</v>
      </c>
      <c r="T1665">
        <v>-0.1986648</v>
      </c>
      <c r="U1665">
        <v>3.7170410000000001E-2</v>
      </c>
      <c r="V1665">
        <v>0.1165336</v>
      </c>
      <c r="W1665">
        <v>0.19545180000000001</v>
      </c>
      <c r="X1665">
        <v>0.97376510000000005</v>
      </c>
      <c r="Y1665">
        <v>0.12775799999999901</v>
      </c>
      <c r="Z1665">
        <v>1.156132E-2</v>
      </c>
      <c r="AA1665">
        <v>0.99173800000000001</v>
      </c>
      <c r="AB1665">
        <v>14</v>
      </c>
      <c r="AC1665">
        <v>-17.1371</v>
      </c>
      <c r="AD1665">
        <v>-1.1097969769410001</v>
      </c>
      <c r="AE1665">
        <v>0.22010000000000199</v>
      </c>
      <c r="AF1665">
        <v>2.20281729101539</v>
      </c>
      <c r="AG1665">
        <v>-1.1097969769410001</v>
      </c>
      <c r="AH1665">
        <v>16.924194074070002</v>
      </c>
      <c r="AI1665">
        <v>93.720482573558897</v>
      </c>
      <c r="AJ1665">
        <v>82.584192296001007</v>
      </c>
      <c r="AK1665">
        <v>17.1029938433132</v>
      </c>
      <c r="AL1665">
        <v>78.728882055840799</v>
      </c>
      <c r="AM1665">
        <v>83.175684921949099</v>
      </c>
      <c r="AN1665">
        <v>0.99999997801510399</v>
      </c>
    </row>
    <row r="1666" spans="1:40" x14ac:dyDescent="0.25">
      <c r="A1666" t="str">
        <f>"20190312172401455"</f>
        <v>20190312172401455</v>
      </c>
      <c r="B1666" t="str">
        <f>"1552382641451950"</f>
        <v>1552382641451950</v>
      </c>
      <c r="C1666" t="s">
        <v>40</v>
      </c>
      <c r="D1666">
        <v>3.8335249999999998</v>
      </c>
      <c r="E1666">
        <v>0.49960270000000001</v>
      </c>
      <c r="F1666" t="s">
        <v>47</v>
      </c>
      <c r="G1666">
        <v>-234.5658</v>
      </c>
      <c r="H1666" s="1">
        <v>9.9157720000000005E-7</v>
      </c>
      <c r="I1666">
        <v>282.35899999999998</v>
      </c>
      <c r="J1666">
        <v>-217.56180000000001</v>
      </c>
      <c r="K1666">
        <v>1.109791</v>
      </c>
      <c r="L1666">
        <v>282.12009999999998</v>
      </c>
      <c r="M1666">
        <v>-0.99329520000000004</v>
      </c>
      <c r="N1666">
        <v>0</v>
      </c>
      <c r="O1666">
        <v>-0.11504259999999999</v>
      </c>
      <c r="P1666">
        <v>-0.98289559999999998</v>
      </c>
      <c r="Q1666">
        <v>0.1841449</v>
      </c>
      <c r="R1666">
        <v>2.6388750000000002E-3</v>
      </c>
      <c r="S1666">
        <v>-3.0899960000000002</v>
      </c>
      <c r="T1666">
        <v>-0.20078950000000001</v>
      </c>
      <c r="U1666">
        <v>4.1900630000000001E-2</v>
      </c>
      <c r="V1666">
        <v>0.11611829999999999</v>
      </c>
      <c r="W1666">
        <v>0.1950191</v>
      </c>
      <c r="X1666">
        <v>0.97390149999999998</v>
      </c>
      <c r="Y1666">
        <v>0.12799639999999901</v>
      </c>
      <c r="Z1666">
        <v>1.1610860000000001E-2</v>
      </c>
      <c r="AA1666">
        <v>0.99170670000000005</v>
      </c>
      <c r="AB1666">
        <v>14</v>
      </c>
      <c r="AC1666">
        <v>-17.003999999999898</v>
      </c>
      <c r="AD1666">
        <v>-1.1097900084228001</v>
      </c>
      <c r="AE1666">
        <v>0.23890000000005701</v>
      </c>
      <c r="AF1666">
        <v>2.18432228461822</v>
      </c>
      <c r="AG1666">
        <v>-1.1097900084228001</v>
      </c>
      <c r="AH1666">
        <v>16.792087566429998</v>
      </c>
      <c r="AI1666">
        <v>93.749682700143396</v>
      </c>
      <c r="AJ1666">
        <v>82.588555153042407</v>
      </c>
      <c r="AK1666">
        <v>16.969888112316099</v>
      </c>
      <c r="AL1666">
        <v>78.754160868557605</v>
      </c>
      <c r="AM1666">
        <v>83.200720612805</v>
      </c>
      <c r="AN1666">
        <v>1.00000002033097</v>
      </c>
    </row>
    <row r="1667" spans="1:40" x14ac:dyDescent="0.25">
      <c r="A1667" t="str">
        <f>"20190312172401476"</f>
        <v>20190312172401476</v>
      </c>
      <c r="B1667" t="str">
        <f>"1552382641471472"</f>
        <v>1552382641471472</v>
      </c>
      <c r="C1667" t="s">
        <v>40</v>
      </c>
      <c r="D1667">
        <v>3.81392</v>
      </c>
      <c r="E1667">
        <v>0.49947370000000002</v>
      </c>
      <c r="F1667" t="s">
        <v>47</v>
      </c>
      <c r="G1667">
        <v>-234.58070000000001</v>
      </c>
      <c r="H1667" s="1">
        <v>9.9930530000000007E-7</v>
      </c>
      <c r="I1667">
        <v>282.363</v>
      </c>
      <c r="J1667">
        <v>-217.68879999999999</v>
      </c>
      <c r="K1667">
        <v>1.1097709999999901</v>
      </c>
      <c r="L1667">
        <v>282.108</v>
      </c>
      <c r="M1667">
        <v>-0.99354370000000003</v>
      </c>
      <c r="N1667">
        <v>0</v>
      </c>
      <c r="O1667">
        <v>-0.1128865</v>
      </c>
      <c r="P1667">
        <v>-0.98295149999999998</v>
      </c>
      <c r="Q1667">
        <v>0.18381529999999999</v>
      </c>
      <c r="R1667">
        <v>4.2993579999999997E-3</v>
      </c>
      <c r="S1667">
        <v>-3.0898279999999998</v>
      </c>
      <c r="T1667">
        <v>-0.2014859</v>
      </c>
      <c r="U1667">
        <v>4.4097900000000002E-2</v>
      </c>
      <c r="V1667">
        <v>0.1156551</v>
      </c>
      <c r="W1667">
        <v>0.1945809</v>
      </c>
      <c r="X1667">
        <v>0.97404420000000003</v>
      </c>
      <c r="Y1667">
        <v>0.12655359999999999</v>
      </c>
      <c r="Z1667">
        <v>1.146488E-2</v>
      </c>
      <c r="AA1667">
        <v>0.99189349999999998</v>
      </c>
      <c r="AB1667">
        <v>14</v>
      </c>
      <c r="AC1667">
        <v>-16.8919</v>
      </c>
      <c r="AD1667">
        <v>-1.10977000069469</v>
      </c>
      <c r="AE1667">
        <v>0.25499999999999501</v>
      </c>
      <c r="AF1667">
        <v>2.1510763801466299</v>
      </c>
      <c r="AG1667">
        <v>-1.10977000069469</v>
      </c>
      <c r="AH1667">
        <v>16.6831308470646</v>
      </c>
      <c r="AI1667">
        <v>93.774581318718901</v>
      </c>
      <c r="AJ1667">
        <v>82.652977255668105</v>
      </c>
      <c r="AK1667">
        <v>16.857804539973301</v>
      </c>
      <c r="AL1667">
        <v>78.779757632739305</v>
      </c>
      <c r="AM1667">
        <v>83.228573720820805</v>
      </c>
      <c r="AN1667">
        <v>0.99999996617722897</v>
      </c>
    </row>
    <row r="1668" spans="1:40" x14ac:dyDescent="0.25">
      <c r="A1668" t="str">
        <f>"20190312172401498"</f>
        <v>20190312172401498</v>
      </c>
      <c r="B1668" t="str">
        <f>"1552382641491967"</f>
        <v>1552382641491967</v>
      </c>
      <c r="C1668" t="s">
        <v>40</v>
      </c>
      <c r="D1668">
        <v>3.8481740000000002</v>
      </c>
      <c r="E1668">
        <v>0.49936360000000002</v>
      </c>
      <c r="F1668" t="s">
        <v>47</v>
      </c>
      <c r="G1668">
        <v>-234.6199</v>
      </c>
      <c r="H1668" s="1">
        <v>1.019794E-6</v>
      </c>
      <c r="I1668">
        <v>282.37200000000001</v>
      </c>
      <c r="J1668">
        <v>-217.8288</v>
      </c>
      <c r="K1668">
        <v>1.1097629999999901</v>
      </c>
      <c r="L1668">
        <v>282.0949</v>
      </c>
      <c r="M1668">
        <v>-0.99381169999999996</v>
      </c>
      <c r="N1668">
        <v>0</v>
      </c>
      <c r="O1668">
        <v>-0.11051469999999999</v>
      </c>
      <c r="P1668">
        <v>-0.98299950000000003</v>
      </c>
      <c r="Q1668">
        <v>0.18351890000000001</v>
      </c>
      <c r="R1668">
        <v>5.7342269999999997E-3</v>
      </c>
      <c r="S1668">
        <v>-3.0896910000000002</v>
      </c>
      <c r="T1668">
        <v>-0.20251749999999999</v>
      </c>
      <c r="U1668">
        <v>4.8187260000000003E-2</v>
      </c>
      <c r="V1668">
        <v>0.1147555</v>
      </c>
      <c r="W1668">
        <v>0.19418150000000001</v>
      </c>
      <c r="X1668">
        <v>0.97423029999999999</v>
      </c>
      <c r="Y1668">
        <v>0.1255011</v>
      </c>
      <c r="Z1668">
        <v>1.13348999999999E-2</v>
      </c>
      <c r="AA1668">
        <v>0.99202869999999999</v>
      </c>
      <c r="AB1668">
        <v>14</v>
      </c>
      <c r="AC1668">
        <v>-16.7911</v>
      </c>
      <c r="AD1668">
        <v>-1.1097619802059999</v>
      </c>
      <c r="AE1668">
        <v>0.277100000000018</v>
      </c>
      <c r="AF1668">
        <v>2.1219151952633202</v>
      </c>
      <c r="AG1668">
        <v>-1.1097619802059999</v>
      </c>
      <c r="AH1668">
        <v>16.5851800592886</v>
      </c>
      <c r="AI1668">
        <v>93.797258153379303</v>
      </c>
      <c r="AJ1668">
        <v>82.709161376111894</v>
      </c>
      <c r="AK1668">
        <v>16.757156481564</v>
      </c>
      <c r="AL1668">
        <v>78.803086682781597</v>
      </c>
      <c r="AM1668">
        <v>83.282032250221107</v>
      </c>
      <c r="AN1668">
        <v>0.99999997858029399</v>
      </c>
    </row>
    <row r="1669" spans="1:40" x14ac:dyDescent="0.25">
      <c r="A1669" t="str">
        <f>"20190312172401521"</f>
        <v>20190312172401521</v>
      </c>
      <c r="B1669" t="str">
        <f>"1552382641511491"</f>
        <v>1552382641511491</v>
      </c>
      <c r="C1669" t="s">
        <v>40</v>
      </c>
      <c r="D1669">
        <v>3.7869649999999999</v>
      </c>
      <c r="E1669">
        <v>0.49922329999999998</v>
      </c>
      <c r="F1669" t="s">
        <v>47</v>
      </c>
      <c r="G1669">
        <v>-234.74860000000001</v>
      </c>
      <c r="H1669" s="1">
        <v>1.0880039999999999E-6</v>
      </c>
      <c r="I1669">
        <v>282.37779999999998</v>
      </c>
      <c r="J1669">
        <v>-217.9674</v>
      </c>
      <c r="K1669">
        <v>1.1097459999999999</v>
      </c>
      <c r="L1669">
        <v>282.0822</v>
      </c>
      <c r="M1669">
        <v>-0.99407060000000003</v>
      </c>
      <c r="N1669">
        <v>0</v>
      </c>
      <c r="O1669">
        <v>-0.10817069999999999</v>
      </c>
      <c r="P1669">
        <v>-0.98303759999999996</v>
      </c>
      <c r="Q1669">
        <v>0.18326120000000001</v>
      </c>
      <c r="R1669">
        <v>7.2566979999999998E-3</v>
      </c>
      <c r="S1669">
        <v>-3.089432</v>
      </c>
      <c r="T1669">
        <v>-0.2026346</v>
      </c>
      <c r="U1669">
        <v>5.1666259999999999E-2</v>
      </c>
      <c r="V1669">
        <v>0.11396969999999999</v>
      </c>
      <c r="W1669">
        <v>0.1938349</v>
      </c>
      <c r="X1669">
        <v>0.97439160000000002</v>
      </c>
      <c r="Y1669">
        <v>0.12428649999999999</v>
      </c>
      <c r="Z1669">
        <v>1.1149650000000001E-2</v>
      </c>
      <c r="AA1669">
        <v>0.9921837</v>
      </c>
      <c r="AB1669">
        <v>14</v>
      </c>
      <c r="AC1669">
        <v>-16.781199999999998</v>
      </c>
      <c r="AD1669">
        <v>-1.1097449119959999</v>
      </c>
      <c r="AE1669">
        <v>0.29559999999997899</v>
      </c>
      <c r="AF1669">
        <v>2.1000298463692699</v>
      </c>
      <c r="AG1669">
        <v>-1.1097449119959999</v>
      </c>
      <c r="AH1669">
        <v>16.578266450910402</v>
      </c>
      <c r="AI1669">
        <v>93.799379961667498</v>
      </c>
      <c r="AJ1669">
        <v>82.780584274895503</v>
      </c>
      <c r="AK1669">
        <v>16.747554377959901</v>
      </c>
      <c r="AL1669">
        <v>78.823330557789504</v>
      </c>
      <c r="AM1669">
        <v>83.328712609192195</v>
      </c>
      <c r="AN1669">
        <v>1.0000000255633199</v>
      </c>
    </row>
    <row r="1670" spans="1:40" x14ac:dyDescent="0.25">
      <c r="A1670" t="str">
        <f>"20190312172401534"</f>
        <v>20190312172401534</v>
      </c>
      <c r="B1670" t="str">
        <f>"1552382641531987"</f>
        <v>1552382641531987</v>
      </c>
      <c r="C1670" t="s">
        <v>40</v>
      </c>
      <c r="D1670">
        <v>3.786219</v>
      </c>
      <c r="E1670">
        <v>0.49913390000000002</v>
      </c>
      <c r="F1670" t="s">
        <v>47</v>
      </c>
      <c r="G1670">
        <v>-234.84110000000001</v>
      </c>
      <c r="H1670" s="1">
        <v>1.137026E-6</v>
      </c>
      <c r="I1670">
        <v>282.38330000000002</v>
      </c>
      <c r="J1670">
        <v>-218.04759999999999</v>
      </c>
      <c r="K1670">
        <v>1.109739</v>
      </c>
      <c r="L1670">
        <v>282.07510000000002</v>
      </c>
      <c r="M1670">
        <v>-0.99421749999999998</v>
      </c>
      <c r="N1670">
        <v>0</v>
      </c>
      <c r="O1670">
        <v>-0.1068175</v>
      </c>
      <c r="P1670">
        <v>-0.98305520000000002</v>
      </c>
      <c r="Q1670">
        <v>0.18314159999999999</v>
      </c>
      <c r="R1670">
        <v>7.8467720000000001E-3</v>
      </c>
      <c r="S1670">
        <v>-3.0892330000000001</v>
      </c>
      <c r="T1670">
        <v>-0.20317170000000001</v>
      </c>
      <c r="U1670">
        <v>5.5114749999999997E-2</v>
      </c>
      <c r="V1670">
        <v>0.1132286</v>
      </c>
      <c r="W1670">
        <v>0.19367200000000001</v>
      </c>
      <c r="X1670">
        <v>0.9745104</v>
      </c>
      <c r="Y1670">
        <v>0.1240448</v>
      </c>
      <c r="Z1670">
        <v>1.108337E-2</v>
      </c>
      <c r="AA1670">
        <v>0.9922147</v>
      </c>
      <c r="AB1670">
        <v>14</v>
      </c>
      <c r="AC1670">
        <v>-16.793500000000002</v>
      </c>
      <c r="AD1670">
        <v>-1.109737862974</v>
      </c>
      <c r="AE1670">
        <v>0.30819999999999897</v>
      </c>
      <c r="AF1670">
        <v>2.0912562910666499</v>
      </c>
      <c r="AG1670">
        <v>-1.109737862974</v>
      </c>
      <c r="AH1670">
        <v>16.5920545674987</v>
      </c>
      <c r="AI1670">
        <v>93.7965063368096</v>
      </c>
      <c r="AJ1670">
        <v>82.816341603821996</v>
      </c>
      <c r="AK1670">
        <v>16.760105780402998</v>
      </c>
      <c r="AL1670">
        <v>78.832844481964003</v>
      </c>
      <c r="AM1670">
        <v>83.3725069506023</v>
      </c>
      <c r="AN1670">
        <v>1.0000000395750499</v>
      </c>
    </row>
    <row r="1671" spans="1:40" x14ac:dyDescent="0.25">
      <c r="A1671" t="str">
        <f>"20190312172401553"</f>
        <v>20190312172401553</v>
      </c>
      <c r="B1671" t="str">
        <f>"1552382641551507"</f>
        <v>1552382641551507</v>
      </c>
      <c r="C1671" t="s">
        <v>40</v>
      </c>
      <c r="D1671">
        <v>3.849164</v>
      </c>
      <c r="E1671">
        <v>0.49899320000000003</v>
      </c>
      <c r="F1671" t="s">
        <v>47</v>
      </c>
      <c r="G1671">
        <v>-234.9556</v>
      </c>
      <c r="H1671" s="1">
        <v>1.1978190000000001E-6</v>
      </c>
      <c r="I1671">
        <v>282.38549999999998</v>
      </c>
      <c r="J1671">
        <v>-218.1678</v>
      </c>
      <c r="K1671">
        <v>1.109728</v>
      </c>
      <c r="L1671">
        <v>282.06459999999998</v>
      </c>
      <c r="M1671">
        <v>-0.99443369999999998</v>
      </c>
      <c r="N1671">
        <v>0</v>
      </c>
      <c r="O1671">
        <v>-0.10479140000000001</v>
      </c>
      <c r="P1671">
        <v>-0.9831221</v>
      </c>
      <c r="Q1671">
        <v>0.18274109999999999</v>
      </c>
      <c r="R1671">
        <v>8.7606999999999997E-3</v>
      </c>
      <c r="S1671">
        <v>-3.0890499999999999</v>
      </c>
      <c r="T1671">
        <v>-0.20274710000000001</v>
      </c>
      <c r="U1671">
        <v>5.6701660000000001E-2</v>
      </c>
      <c r="V1671">
        <v>0.1121537</v>
      </c>
      <c r="W1671">
        <v>0.19321260000000001</v>
      </c>
      <c r="X1671">
        <v>0.97472579999999998</v>
      </c>
      <c r="Y1671">
        <v>0.122543</v>
      </c>
      <c r="Z1671">
        <v>1.0879339999999999E-2</v>
      </c>
      <c r="AA1671">
        <v>0.99240360000000005</v>
      </c>
      <c r="AB1671">
        <v>14</v>
      </c>
      <c r="AC1671">
        <v>-16.787800000000001</v>
      </c>
      <c r="AD1671">
        <v>-1.1097268021810001</v>
      </c>
      <c r="AE1671">
        <v>0.32089999999999402</v>
      </c>
      <c r="AF1671">
        <v>2.0694166635283899</v>
      </c>
      <c r="AG1671">
        <v>-1.1097268021810001</v>
      </c>
      <c r="AH1671">
        <v>16.5892669310667</v>
      </c>
      <c r="AI1671">
        <v>93.797710151376194</v>
      </c>
      <c r="AJ1671">
        <v>82.889408655490399</v>
      </c>
      <c r="AK1671">
        <v>16.754633872841001</v>
      </c>
      <c r="AL1671">
        <v>78.859672157989095</v>
      </c>
      <c r="AM1671">
        <v>83.436309254904899</v>
      </c>
      <c r="AN1671">
        <v>0.99999997320404399</v>
      </c>
    </row>
    <row r="1672" spans="1:40" x14ac:dyDescent="0.25">
      <c r="A1672" t="str">
        <f>"20190312172401576"</f>
        <v>20190312172401576</v>
      </c>
      <c r="B1672" t="str">
        <f>"1552382641572003"</f>
        <v>1552382641572003</v>
      </c>
      <c r="C1672" t="s">
        <v>40</v>
      </c>
      <c r="D1672">
        <v>3.7763689999999999</v>
      </c>
      <c r="E1672">
        <v>0.49889309999999998</v>
      </c>
      <c r="F1672" t="s">
        <v>47</v>
      </c>
      <c r="G1672">
        <v>-235.0034</v>
      </c>
      <c r="H1672" s="1">
        <v>1.2234049999999999E-6</v>
      </c>
      <c r="I1672">
        <v>282.38240000000002</v>
      </c>
      <c r="J1672">
        <v>-218.3098</v>
      </c>
      <c r="K1672">
        <v>1.1097189999999999</v>
      </c>
      <c r="L1672">
        <v>282.05250000000001</v>
      </c>
      <c r="M1672">
        <v>-0.99468330000000005</v>
      </c>
      <c r="N1672">
        <v>0</v>
      </c>
      <c r="O1672">
        <v>-0.1024024</v>
      </c>
      <c r="P1672">
        <v>-0.98308989999999996</v>
      </c>
      <c r="Q1672">
        <v>0.18285989999999999</v>
      </c>
      <c r="R1672">
        <v>9.8341720000000004E-3</v>
      </c>
      <c r="S1672">
        <v>-3.0888369999999998</v>
      </c>
      <c r="T1672">
        <v>-0.2036027</v>
      </c>
      <c r="U1672">
        <v>5.8319089999999997E-2</v>
      </c>
      <c r="V1672">
        <v>0.110872</v>
      </c>
      <c r="W1672">
        <v>0.19327250000000001</v>
      </c>
      <c r="X1672">
        <v>0.97486050000000002</v>
      </c>
      <c r="Y1672">
        <v>0.1206846</v>
      </c>
      <c r="Z1672">
        <v>1.0707980000000001E-2</v>
      </c>
      <c r="AA1672">
        <v>0.99263319999999999</v>
      </c>
      <c r="AB1672">
        <v>14</v>
      </c>
      <c r="AC1672">
        <v>-16.6936</v>
      </c>
      <c r="AD1672">
        <v>-1.1097177765949999</v>
      </c>
      <c r="AE1672">
        <v>0.32990000000000902</v>
      </c>
      <c r="AF1672">
        <v>2.0287701950125498</v>
      </c>
      <c r="AG1672">
        <v>-1.1097177765949999</v>
      </c>
      <c r="AH1672">
        <v>16.499166133543</v>
      </c>
      <c r="AI1672">
        <v>93.819184821139302</v>
      </c>
      <c r="AJ1672">
        <v>82.989985625509803</v>
      </c>
      <c r="AK1672">
        <v>16.660428120252998</v>
      </c>
      <c r="AL1672">
        <v>78.856173686980895</v>
      </c>
      <c r="AM1672">
        <v>83.511565075268393</v>
      </c>
      <c r="AN1672">
        <v>0.99999992705024698</v>
      </c>
    </row>
    <row r="1673" spans="1:40" x14ac:dyDescent="0.25">
      <c r="A1673" t="str">
        <f>"20190312172401589"</f>
        <v>20190312172401589</v>
      </c>
      <c r="B1673" t="str">
        <f>"1552382641581764"</f>
        <v>1552382641581764</v>
      </c>
      <c r="C1673" t="s">
        <v>40</v>
      </c>
      <c r="D1673">
        <v>3.7648609999999998</v>
      </c>
      <c r="E1673">
        <v>0.49885210000000002</v>
      </c>
      <c r="F1673" t="s">
        <v>47</v>
      </c>
      <c r="G1673">
        <v>-235.23699999999999</v>
      </c>
      <c r="H1673" s="1">
        <v>1.347521E-6</v>
      </c>
      <c r="I1673">
        <v>282.38749999999999</v>
      </c>
      <c r="J1673">
        <v>-218.38820000000001</v>
      </c>
      <c r="K1673">
        <v>1.1097140000000001</v>
      </c>
      <c r="L1673">
        <v>282.04590000000002</v>
      </c>
      <c r="M1673">
        <v>-0.99481830000000004</v>
      </c>
      <c r="N1673">
        <v>0</v>
      </c>
      <c r="O1673">
        <v>-0.1010852</v>
      </c>
      <c r="P1673">
        <v>-0.98307219999999995</v>
      </c>
      <c r="Q1673">
        <v>0.1829308</v>
      </c>
      <c r="R1673">
        <v>1.0261030000000001E-2</v>
      </c>
      <c r="S1673">
        <v>-3.088654</v>
      </c>
      <c r="T1673">
        <v>-0.20248679999999999</v>
      </c>
      <c r="U1673">
        <v>6.1126710000000001E-2</v>
      </c>
      <c r="V1673">
        <v>0.1100018</v>
      </c>
      <c r="W1673">
        <v>0.19331789999999999</v>
      </c>
      <c r="X1673">
        <v>0.97495010000000004</v>
      </c>
      <c r="Y1673">
        <v>0.1202821</v>
      </c>
      <c r="Z1673">
        <v>1.055089E-2</v>
      </c>
      <c r="AA1673">
        <v>0.99268369999999995</v>
      </c>
      <c r="AB1673">
        <v>14</v>
      </c>
      <c r="AC1673">
        <v>-16.848799999999901</v>
      </c>
      <c r="AD1673">
        <v>-1.109712652479</v>
      </c>
      <c r="AE1673">
        <v>0.34159999999997098</v>
      </c>
      <c r="AF1673">
        <v>2.03429412439371</v>
      </c>
      <c r="AG1673">
        <v>-1.109712652479</v>
      </c>
      <c r="AH1673">
        <v>16.655731817685201</v>
      </c>
      <c r="AI1673">
        <v>93.783746824768599</v>
      </c>
      <c r="AJ1673">
        <v>83.036510225786401</v>
      </c>
      <c r="AK1673">
        <v>16.816159405115801</v>
      </c>
      <c r="AL1673">
        <v>78.853522739326806</v>
      </c>
      <c r="AM1673">
        <v>83.562648256795995</v>
      </c>
      <c r="AN1673">
        <v>0.99999995197682801</v>
      </c>
    </row>
    <row r="1674" spans="1:40" x14ac:dyDescent="0.25">
      <c r="A1674" t="str">
        <f>"20190312172401612"</f>
        <v>20190312172401612</v>
      </c>
      <c r="B1674" t="str">
        <f>"1552382641601283"</f>
        <v>1552382641601283</v>
      </c>
      <c r="C1674" t="s">
        <v>40</v>
      </c>
      <c r="D1674">
        <v>3.8083469999999999</v>
      </c>
      <c r="E1674">
        <v>0.49875839999999999</v>
      </c>
      <c r="F1674" t="s">
        <v>47</v>
      </c>
      <c r="G1674">
        <v>-235.36179999999999</v>
      </c>
      <c r="H1674" s="1">
        <v>1.413856E-6</v>
      </c>
      <c r="I1674">
        <v>282.38839999999999</v>
      </c>
      <c r="J1674">
        <v>-218.52440000000001</v>
      </c>
      <c r="K1674">
        <v>1.10971</v>
      </c>
      <c r="L1674">
        <v>282.03489999999999</v>
      </c>
      <c r="M1674">
        <v>-0.9950485</v>
      </c>
      <c r="N1674">
        <v>0</v>
      </c>
      <c r="O1674">
        <v>-9.8798730000000001E-2</v>
      </c>
      <c r="P1674">
        <v>-0.98308649999999997</v>
      </c>
      <c r="Q1674">
        <v>0.18284829999999999</v>
      </c>
      <c r="R1674">
        <v>1.037602E-2</v>
      </c>
      <c r="S1674">
        <v>-3.0885769999999999</v>
      </c>
      <c r="T1674">
        <v>-0.201928</v>
      </c>
      <c r="U1674">
        <v>6.231689E-2</v>
      </c>
      <c r="V1674">
        <v>0.107873</v>
      </c>
      <c r="W1674">
        <v>0.19320470000000001</v>
      </c>
      <c r="X1674">
        <v>0.97521040000000003</v>
      </c>
      <c r="Y1674">
        <v>0.118395</v>
      </c>
      <c r="Z1674">
        <v>1.031164E-2</v>
      </c>
      <c r="AA1674">
        <v>0.99291309999999999</v>
      </c>
      <c r="AB1674">
        <v>14</v>
      </c>
      <c r="AC1674">
        <v>-16.837399999999899</v>
      </c>
      <c r="AD1674">
        <v>-1.1097085861439999</v>
      </c>
      <c r="AE1674">
        <v>0.35349999999999598</v>
      </c>
      <c r="AF1674">
        <v>2.0066688923846701</v>
      </c>
      <c r="AG1674">
        <v>-1.1097085861439999</v>
      </c>
      <c r="AH1674">
        <v>16.647802339336899</v>
      </c>
      <c r="AI1674">
        <v>93.786252752175301</v>
      </c>
      <c r="AJ1674">
        <v>83.126922072981898</v>
      </c>
      <c r="AK1674">
        <v>16.804984258232899</v>
      </c>
      <c r="AL1674">
        <v>78.860133589221803</v>
      </c>
      <c r="AM1674">
        <v>83.687882309132803</v>
      </c>
      <c r="AN1674">
        <v>0.99999998224962405</v>
      </c>
    </row>
    <row r="1675" spans="1:40" x14ac:dyDescent="0.25">
      <c r="A1675" t="str">
        <f>"20190312172401634"</f>
        <v>20190312172401634</v>
      </c>
      <c r="B1675" t="str">
        <f>"1552382641621780"</f>
        <v>1552382641621780</v>
      </c>
      <c r="C1675" t="s">
        <v>40</v>
      </c>
      <c r="D1675">
        <v>3.7868469999999999</v>
      </c>
      <c r="E1675">
        <v>0.4987123</v>
      </c>
      <c r="F1675" t="s">
        <v>47</v>
      </c>
      <c r="G1675">
        <v>-235.5334</v>
      </c>
      <c r="H1675" s="1">
        <v>1.5057320000000001E-6</v>
      </c>
      <c r="I1675">
        <v>282.37670000000003</v>
      </c>
      <c r="J1675">
        <v>-218.66370000000001</v>
      </c>
      <c r="K1675">
        <v>1.1096999999999999</v>
      </c>
      <c r="L1675">
        <v>282.02379999999999</v>
      </c>
      <c r="M1675">
        <v>-0.99527790000000005</v>
      </c>
      <c r="N1675">
        <v>0</v>
      </c>
      <c r="O1675">
        <v>-9.6462279999999997E-2</v>
      </c>
      <c r="P1675">
        <v>-0.98314990000000002</v>
      </c>
      <c r="Q1675">
        <v>0.18245</v>
      </c>
      <c r="R1675">
        <v>1.1360230000000001E-2</v>
      </c>
      <c r="S1675">
        <v>-3.0884399999999999</v>
      </c>
      <c r="T1675">
        <v>-0.2014965</v>
      </c>
      <c r="U1675">
        <v>6.2072750000000003E-2</v>
      </c>
      <c r="V1675">
        <v>0.1065651</v>
      </c>
      <c r="W1675">
        <v>0.19278590000000001</v>
      </c>
      <c r="X1675">
        <v>0.975437</v>
      </c>
      <c r="Y1675">
        <v>0.1159978</v>
      </c>
      <c r="Z1675">
        <v>1.00602E-2</v>
      </c>
      <c r="AA1675">
        <v>0.99319849999999998</v>
      </c>
      <c r="AB1675">
        <v>14</v>
      </c>
      <c r="AC1675">
        <v>-16.869699999999899</v>
      </c>
      <c r="AD1675">
        <v>-1.1096984942679999</v>
      </c>
      <c r="AE1675">
        <v>0.35290000000003302</v>
      </c>
      <c r="AF1675">
        <v>1.9701178451911701</v>
      </c>
      <c r="AG1675">
        <v>-1.1096984942679999</v>
      </c>
      <c r="AH1675">
        <v>16.684812781300501</v>
      </c>
      <c r="AI1675">
        <v>93.778933483661902</v>
      </c>
      <c r="AJ1675">
        <v>83.265781520041898</v>
      </c>
      <c r="AK1675">
        <v>16.8373327050091</v>
      </c>
      <c r="AL1675">
        <v>78.884588267165597</v>
      </c>
      <c r="AM1675">
        <v>83.765243869781898</v>
      </c>
      <c r="AN1675">
        <v>0.99999993237290696</v>
      </c>
    </row>
    <row r="1676" spans="1:40" x14ac:dyDescent="0.25">
      <c r="A1676" t="str">
        <f>"20190312172401654"</f>
        <v>20190312172401654</v>
      </c>
      <c r="B1676" t="str">
        <f>"1552382641652035"</f>
        <v>1552382641652035</v>
      </c>
      <c r="C1676" t="s">
        <v>40</v>
      </c>
      <c r="D1676">
        <v>3.8623750000000001</v>
      </c>
      <c r="E1676">
        <v>0.52638799999999997</v>
      </c>
      <c r="F1676" t="s">
        <v>47</v>
      </c>
      <c r="G1676">
        <v>-235.59520000000001</v>
      </c>
      <c r="H1676" s="1">
        <v>1.538593E-6</v>
      </c>
      <c r="I1676">
        <v>282.37700000000001</v>
      </c>
      <c r="J1676">
        <v>-218.7893</v>
      </c>
      <c r="K1676">
        <v>1.1096870000000001</v>
      </c>
      <c r="L1676">
        <v>282.01409999999998</v>
      </c>
      <c r="M1676">
        <v>-0.99547989999999997</v>
      </c>
      <c r="N1676">
        <v>0</v>
      </c>
      <c r="O1676">
        <v>-9.435499E-2</v>
      </c>
      <c r="P1676">
        <v>-0.98315569999999997</v>
      </c>
      <c r="Q1676">
        <v>0.1823863</v>
      </c>
      <c r="R1676">
        <v>1.184487E-2</v>
      </c>
      <c r="S1676">
        <v>-3.088257</v>
      </c>
      <c r="T1676">
        <v>-0.2024051</v>
      </c>
      <c r="U1676">
        <v>6.4422610000000005E-2</v>
      </c>
      <c r="V1676">
        <v>0.10498</v>
      </c>
      <c r="W1676">
        <v>0.19271530000000001</v>
      </c>
      <c r="X1676">
        <v>0.97562289999999996</v>
      </c>
      <c r="Y1676">
        <v>0.1146549</v>
      </c>
      <c r="Z1676">
        <v>9.9245400000000008E-3</v>
      </c>
      <c r="AA1676">
        <v>0.99335580000000001</v>
      </c>
      <c r="AB1676">
        <v>14</v>
      </c>
      <c r="AC1676">
        <v>-16.805900000000001</v>
      </c>
      <c r="AD1676">
        <v>-1.109685461407</v>
      </c>
      <c r="AE1676">
        <v>0.36290000000002398</v>
      </c>
      <c r="AF1676">
        <v>1.9386456413269999</v>
      </c>
      <c r="AG1676">
        <v>-1.109685461407</v>
      </c>
      <c r="AH1676">
        <v>16.624224086097499</v>
      </c>
      <c r="AI1676">
        <v>93.793262020098695</v>
      </c>
      <c r="AJ1676">
        <v>83.348455549926797</v>
      </c>
      <c r="AK1676">
        <v>16.7736273718799</v>
      </c>
      <c r="AL1676">
        <v>78.888711584609595</v>
      </c>
      <c r="AM1676">
        <v>83.858429828086699</v>
      </c>
      <c r="AN1676">
        <v>1.0000000151292401</v>
      </c>
    </row>
    <row r="1677" spans="1:40" x14ac:dyDescent="0.25">
      <c r="A1677" t="str">
        <f>"20190312172401678"</f>
        <v>20190312172401678</v>
      </c>
      <c r="B1677" t="str">
        <f>"1552382641671555"</f>
        <v>1552382641671555</v>
      </c>
      <c r="C1677" t="s">
        <v>40</v>
      </c>
      <c r="D1677">
        <v>3.8451919999999999</v>
      </c>
      <c r="E1677">
        <v>0.53246859999999996</v>
      </c>
      <c r="F1677" t="s">
        <v>47</v>
      </c>
      <c r="G1677">
        <v>-238.1755</v>
      </c>
      <c r="H1677" s="1">
        <v>2.8490580000000001E-6</v>
      </c>
      <c r="I1677">
        <v>283.81029999999998</v>
      </c>
      <c r="J1677">
        <v>-218.93770000000001</v>
      </c>
      <c r="K1677">
        <v>1.1096820000000001</v>
      </c>
      <c r="L1677">
        <v>282.00299999999999</v>
      </c>
      <c r="M1677">
        <v>-0.99571259999999995</v>
      </c>
      <c r="N1677">
        <v>0</v>
      </c>
      <c r="O1677">
        <v>-9.1867459999999998E-2</v>
      </c>
      <c r="P1677">
        <v>-0.98316619999999999</v>
      </c>
      <c r="Q1677">
        <v>0.1822318</v>
      </c>
      <c r="R1677">
        <v>1.326689E-2</v>
      </c>
      <c r="S1677">
        <v>-3.080673</v>
      </c>
      <c r="T1677">
        <v>-0.17634029999999901</v>
      </c>
      <c r="U1677">
        <v>0.28543089999999999</v>
      </c>
      <c r="V1677">
        <v>0.1039556</v>
      </c>
      <c r="W1677">
        <v>0.19256129999999999</v>
      </c>
      <c r="X1677">
        <v>0.97576300000000005</v>
      </c>
      <c r="Y1677">
        <v>0.18290120000000001</v>
      </c>
      <c r="Z1677">
        <v>1.046267E-2</v>
      </c>
      <c r="AA1677">
        <v>0.98307560000000005</v>
      </c>
      <c r="AB1677">
        <v>14</v>
      </c>
      <c r="AC1677">
        <v>-19.2378</v>
      </c>
      <c r="AD1677">
        <v>-1.1096791509420001</v>
      </c>
      <c r="AE1677">
        <v>1.8072999999999899</v>
      </c>
      <c r="AF1677">
        <v>3.5553614587473401</v>
      </c>
      <c r="AG1677">
        <v>-1.1096791509420001</v>
      </c>
      <c r="AH1677">
        <v>18.927969829541901</v>
      </c>
      <c r="AI1677">
        <v>93.297666008501096</v>
      </c>
      <c r="AJ1677">
        <v>79.361726898372794</v>
      </c>
      <c r="AK1677">
        <v>19.290931154001601</v>
      </c>
      <c r="AL1677">
        <v>78.897703684603101</v>
      </c>
      <c r="AM1677">
        <v>83.918774914573603</v>
      </c>
      <c r="AN1677">
        <v>1.0000000265990201</v>
      </c>
    </row>
    <row r="1678" spans="1:40" x14ac:dyDescent="0.25">
      <c r="A1678" t="str">
        <f>"20190312172401700"</f>
        <v>20190312172401700</v>
      </c>
      <c r="B1678" t="str">
        <f>"1552382641691075"</f>
        <v>1552382641691075</v>
      </c>
      <c r="C1678" t="s">
        <v>40</v>
      </c>
      <c r="D1678">
        <v>3.8355269999999999</v>
      </c>
      <c r="E1678">
        <v>0.53454239999999997</v>
      </c>
      <c r="F1678" t="s">
        <v>47</v>
      </c>
      <c r="G1678">
        <v>-243.05340000000001</v>
      </c>
      <c r="H1678" s="1">
        <v>8.8060860000000005E-8</v>
      </c>
      <c r="I1678">
        <v>284.64120000000003</v>
      </c>
      <c r="J1678">
        <v>-219.0778</v>
      </c>
      <c r="K1678">
        <v>1.1096779999999999</v>
      </c>
      <c r="L1678">
        <v>281.99290000000002</v>
      </c>
      <c r="M1678">
        <v>-0.99592670000000005</v>
      </c>
      <c r="N1678">
        <v>0</v>
      </c>
      <c r="O1678">
        <v>-8.951539E-2</v>
      </c>
      <c r="P1678">
        <v>-0.98307020000000001</v>
      </c>
      <c r="Q1678">
        <v>0.182646</v>
      </c>
      <c r="R1678">
        <v>1.461439E-2</v>
      </c>
      <c r="S1678">
        <v>-3.073013</v>
      </c>
      <c r="T1678">
        <v>-0.14140440000000001</v>
      </c>
      <c r="U1678">
        <v>0.33618160000000002</v>
      </c>
      <c r="V1678">
        <v>0.1029823</v>
      </c>
      <c r="W1678">
        <v>0.1929825</v>
      </c>
      <c r="X1678">
        <v>0.97578299999999996</v>
      </c>
      <c r="Y1678">
        <v>0.19700219999999999</v>
      </c>
      <c r="Z1678">
        <v>8.6224359999999903E-3</v>
      </c>
      <c r="AA1678">
        <v>0.98036520000000005</v>
      </c>
      <c r="AB1678">
        <v>14</v>
      </c>
      <c r="AC1678">
        <v>-23.9756</v>
      </c>
      <c r="AD1678">
        <v>-1.10967791193914</v>
      </c>
      <c r="AE1678">
        <v>2.6482999999999999</v>
      </c>
      <c r="AF1678">
        <v>4.7738745378510004</v>
      </c>
      <c r="AG1678">
        <v>-1.10967791193914</v>
      </c>
      <c r="AH1678">
        <v>23.592330027883602</v>
      </c>
      <c r="AI1678">
        <v>92.639535269076703</v>
      </c>
      <c r="AJ1678">
        <v>78.560737828447898</v>
      </c>
      <c r="AK1678">
        <v>24.096043229459099</v>
      </c>
      <c r="AL1678">
        <v>78.873109454897801</v>
      </c>
      <c r="AM1678">
        <v>83.975413163596002</v>
      </c>
      <c r="AN1678">
        <v>1.0000000312542601</v>
      </c>
    </row>
    <row r="1679" spans="1:40" x14ac:dyDescent="0.25">
      <c r="A1679" t="str">
        <f>"20190312172401724"</f>
        <v>20190312172401724</v>
      </c>
      <c r="B1679" t="str">
        <f>"1552382641711571"</f>
        <v>1552382641711571</v>
      </c>
      <c r="C1679" t="s">
        <v>40</v>
      </c>
      <c r="D1679">
        <v>3.8862019999999999</v>
      </c>
      <c r="E1679">
        <v>0.53519300000000003</v>
      </c>
      <c r="F1679" t="s">
        <v>47</v>
      </c>
      <c r="G1679">
        <v>-245.7705</v>
      </c>
      <c r="H1679" s="1">
        <v>1.5339710000000001E-6</v>
      </c>
      <c r="I1679">
        <v>285.08879999999999</v>
      </c>
      <c r="J1679">
        <v>-219.21680000000001</v>
      </c>
      <c r="K1679">
        <v>1.109674</v>
      </c>
      <c r="L1679">
        <v>281.98320000000001</v>
      </c>
      <c r="M1679">
        <v>-0.99613370000000001</v>
      </c>
      <c r="N1679">
        <v>0</v>
      </c>
      <c r="O1679">
        <v>-8.7181830000000002E-2</v>
      </c>
      <c r="P1679">
        <v>-0.98293830000000004</v>
      </c>
      <c r="Q1679">
        <v>0.1832435</v>
      </c>
      <c r="R1679">
        <v>1.5946780000000001E-2</v>
      </c>
      <c r="S1679">
        <v>-3.070084</v>
      </c>
      <c r="T1679">
        <v>-0.12763060000000001</v>
      </c>
      <c r="U1679">
        <v>0.35607909999999998</v>
      </c>
      <c r="V1679">
        <v>0.1020094</v>
      </c>
      <c r="W1679">
        <v>0.19359390000000001</v>
      </c>
      <c r="X1679">
        <v>0.97576399999999996</v>
      </c>
      <c r="Y1679">
        <v>0.20113259999999999</v>
      </c>
      <c r="Z1679">
        <v>7.77705699999999E-3</v>
      </c>
      <c r="AA1679">
        <v>0.97953310000000005</v>
      </c>
      <c r="AB1679">
        <v>14</v>
      </c>
      <c r="AC1679">
        <v>-26.5536999999999</v>
      </c>
      <c r="AD1679">
        <v>-1.109672466029</v>
      </c>
      <c r="AE1679">
        <v>3.1055999999999799</v>
      </c>
      <c r="AF1679">
        <v>5.3996068181359202</v>
      </c>
      <c r="AG1679">
        <v>-1.109672466029</v>
      </c>
      <c r="AH1679">
        <v>26.136786049560001</v>
      </c>
      <c r="AI1679">
        <v>92.380892319605806</v>
      </c>
      <c r="AJ1679">
        <v>78.327457763495403</v>
      </c>
      <c r="AK1679">
        <v>26.711771033999099</v>
      </c>
      <c r="AL1679">
        <v>78.837404590234499</v>
      </c>
      <c r="AM1679">
        <v>84.031800867785094</v>
      </c>
      <c r="AN1679">
        <v>0.99999994975078299</v>
      </c>
    </row>
    <row r="1680" spans="1:40" x14ac:dyDescent="0.25">
      <c r="A1680" t="str">
        <f>"20190312172401745"</f>
        <v>20190312172401745</v>
      </c>
      <c r="B1680" t="str">
        <f>"1552382641741828"</f>
        <v>1552382641741828</v>
      </c>
      <c r="C1680" t="s">
        <v>40</v>
      </c>
      <c r="D1680">
        <v>3.884614</v>
      </c>
      <c r="E1680">
        <v>0.53581559999999995</v>
      </c>
      <c r="F1680" t="s">
        <v>47</v>
      </c>
      <c r="G1680">
        <v>-248.00409999999999</v>
      </c>
      <c r="H1680" s="1">
        <v>2.722593E-6</v>
      </c>
      <c r="I1680">
        <v>285.404</v>
      </c>
      <c r="J1680">
        <v>-219.35570000000001</v>
      </c>
      <c r="K1680">
        <v>1.1096779999999999</v>
      </c>
      <c r="L1680">
        <v>281.97379999999998</v>
      </c>
      <c r="M1680">
        <v>-0.99633510000000003</v>
      </c>
      <c r="N1680">
        <v>0</v>
      </c>
      <c r="O1680">
        <v>-8.4847350000000002E-2</v>
      </c>
      <c r="P1680">
        <v>-0.98282829999999999</v>
      </c>
      <c r="Q1680">
        <v>0.18369479999999999</v>
      </c>
      <c r="R1680">
        <v>1.7468750000000002E-2</v>
      </c>
      <c r="S1680">
        <v>-3.0681919999999998</v>
      </c>
      <c r="T1680">
        <v>-0.1182704</v>
      </c>
      <c r="U1680">
        <v>0.36459350000000001</v>
      </c>
      <c r="V1680">
        <v>0.101227</v>
      </c>
      <c r="W1680">
        <v>0.19406409999999999</v>
      </c>
      <c r="X1680">
        <v>0.97575210000000001</v>
      </c>
      <c r="Y1680">
        <v>0.20162359999999999</v>
      </c>
      <c r="Z1680">
        <v>7.130295E-3</v>
      </c>
      <c r="AA1680">
        <v>0.97943709999999995</v>
      </c>
      <c r="AB1680">
        <v>14</v>
      </c>
      <c r="AC1680">
        <v>-28.648399999999899</v>
      </c>
      <c r="AD1680">
        <v>-1.109675277407</v>
      </c>
      <c r="AE1680">
        <v>3.4302000000000099</v>
      </c>
      <c r="AF1680">
        <v>5.8400742225912996</v>
      </c>
      <c r="AG1680">
        <v>-1.109675277407</v>
      </c>
      <c r="AH1680">
        <v>28.212290276049099</v>
      </c>
      <c r="AI1680">
        <v>92.205740735096995</v>
      </c>
      <c r="AJ1680">
        <v>78.304693665345596</v>
      </c>
      <c r="AK1680">
        <v>28.831773597312999</v>
      </c>
      <c r="AL1680">
        <v>78.809943554773497</v>
      </c>
      <c r="AM1680">
        <v>84.077177888033304</v>
      </c>
      <c r="AN1680">
        <v>0.99999997054610901</v>
      </c>
    </row>
    <row r="1681" spans="1:40" x14ac:dyDescent="0.25">
      <c r="A1681" t="str">
        <f>"20190312172401767"</f>
        <v>20190312172401767</v>
      </c>
      <c r="B1681" t="str">
        <f>"1552382641761348"</f>
        <v>1552382641761348</v>
      </c>
      <c r="C1681" t="s">
        <v>40</v>
      </c>
      <c r="D1681">
        <v>3.8653279999999999</v>
      </c>
      <c r="E1681">
        <v>0.5358155</v>
      </c>
      <c r="F1681" t="s">
        <v>47</v>
      </c>
      <c r="G1681">
        <v>-250.39959999999999</v>
      </c>
      <c r="H1681" s="1">
        <v>-1.324154E-6</v>
      </c>
      <c r="I1681">
        <v>285.75720000000001</v>
      </c>
      <c r="J1681">
        <v>-219.48859999999999</v>
      </c>
      <c r="K1681">
        <v>1.10968</v>
      </c>
      <c r="L1681">
        <v>281.96519999999998</v>
      </c>
      <c r="M1681">
        <v>-0.99652249999999998</v>
      </c>
      <c r="N1681">
        <v>0</v>
      </c>
      <c r="O1681">
        <v>-8.2613859999999997E-2</v>
      </c>
      <c r="P1681">
        <v>-0.98279729999999998</v>
      </c>
      <c r="Q1681">
        <v>0.1837203</v>
      </c>
      <c r="R1681">
        <v>1.8884979999999999E-2</v>
      </c>
      <c r="S1681">
        <v>-3.0662539999999998</v>
      </c>
      <c r="T1681">
        <v>-0.1096048</v>
      </c>
      <c r="U1681">
        <v>0.37368770000000001</v>
      </c>
      <c r="V1681">
        <v>0.1004449</v>
      </c>
      <c r="W1681">
        <v>0.1941127</v>
      </c>
      <c r="X1681">
        <v>0.97582329999999995</v>
      </c>
      <c r="Y1681">
        <v>0.20239460000000001</v>
      </c>
      <c r="Z1681">
        <v>6.5454930000000003E-3</v>
      </c>
      <c r="AA1681">
        <v>0.97928219999999999</v>
      </c>
      <c r="AB1681">
        <v>14</v>
      </c>
      <c r="AC1681">
        <v>-30.910999999999898</v>
      </c>
      <c r="AD1681">
        <v>-1.109681324154</v>
      </c>
      <c r="AE1681">
        <v>3.79200000000003</v>
      </c>
      <c r="AF1681">
        <v>6.3248332310443098</v>
      </c>
      <c r="AG1681">
        <v>-1.109681324154</v>
      </c>
      <c r="AH1681">
        <v>30.4533670830651</v>
      </c>
      <c r="AI1681">
        <v>92.043295668936096</v>
      </c>
      <c r="AJ1681">
        <v>78.267090534626902</v>
      </c>
      <c r="AK1681">
        <v>31.123021619656601</v>
      </c>
      <c r="AL1681">
        <v>78.8071055120121</v>
      </c>
      <c r="AM1681">
        <v>84.123043055609102</v>
      </c>
      <c r="AN1681">
        <v>1.0000000155300901</v>
      </c>
    </row>
    <row r="1682" spans="1:40" x14ac:dyDescent="0.25">
      <c r="A1682" t="str">
        <f>"20190312172401789"</f>
        <v>20190312172401789</v>
      </c>
      <c r="B1682" t="str">
        <f>"1552382641781844"</f>
        <v>1552382641781844</v>
      </c>
      <c r="C1682" t="s">
        <v>40</v>
      </c>
      <c r="D1682">
        <v>3.882298</v>
      </c>
      <c r="E1682">
        <v>0.53591610000000001</v>
      </c>
      <c r="F1682" t="s">
        <v>47</v>
      </c>
      <c r="G1682">
        <v>-251.04040000000001</v>
      </c>
      <c r="H1682" s="1">
        <v>-9.8312080000000002E-7</v>
      </c>
      <c r="I1682">
        <v>285.85390000000001</v>
      </c>
      <c r="J1682">
        <v>-219.63059999999999</v>
      </c>
      <c r="K1682">
        <v>1.10968</v>
      </c>
      <c r="L1682">
        <v>281.95620000000002</v>
      </c>
      <c r="M1682">
        <v>-0.99671719999999997</v>
      </c>
      <c r="N1682">
        <v>0</v>
      </c>
      <c r="O1682">
        <v>-8.0227690000000004E-2</v>
      </c>
      <c r="P1682">
        <v>-0.98272009999999999</v>
      </c>
      <c r="Q1682">
        <v>0.18398149999999999</v>
      </c>
      <c r="R1682">
        <v>2.0304969999999999E-2</v>
      </c>
      <c r="S1682">
        <v>-3.0653990000000002</v>
      </c>
      <c r="T1682">
        <v>-0.1078104</v>
      </c>
      <c r="U1682">
        <v>0.37780760000000002</v>
      </c>
      <c r="V1682">
        <v>9.9513660000000004E-2</v>
      </c>
      <c r="W1682">
        <v>0.19440460000000001</v>
      </c>
      <c r="X1682">
        <v>0.97586059999999997</v>
      </c>
      <c r="Y1682">
        <v>0.20138719999999999</v>
      </c>
      <c r="Z1682">
        <v>6.3384649999999997E-3</v>
      </c>
      <c r="AA1682">
        <v>0.97949120000000001</v>
      </c>
      <c r="AB1682">
        <v>14</v>
      </c>
      <c r="AC1682">
        <v>-31.409800000000001</v>
      </c>
      <c r="AD1682">
        <v>-1.1096809831208001</v>
      </c>
      <c r="AE1682">
        <v>3.89769999999998</v>
      </c>
      <c r="AF1682">
        <v>6.3973555872138803</v>
      </c>
      <c r="AG1682">
        <v>-1.1096809831208001</v>
      </c>
      <c r="AH1682">
        <v>30.9577646572303</v>
      </c>
      <c r="AI1682">
        <v>92.010446450841101</v>
      </c>
      <c r="AJ1682">
        <v>78.324295985169201</v>
      </c>
      <c r="AK1682">
        <v>31.631325343178599</v>
      </c>
      <c r="AL1682">
        <v>78.790056069212</v>
      </c>
      <c r="AM1682">
        <v>84.177374134511794</v>
      </c>
      <c r="AN1682">
        <v>1.00000001383005</v>
      </c>
    </row>
    <row r="1683" spans="1:40" x14ac:dyDescent="0.25">
      <c r="A1683" t="str">
        <f>"20190312172401813"</f>
        <v>20190312172401813</v>
      </c>
      <c r="B1683" t="str">
        <f>"1552382641801363"</f>
        <v>1552382641801363</v>
      </c>
      <c r="C1683" t="s">
        <v>40</v>
      </c>
      <c r="D1683">
        <v>3.8557670000000002</v>
      </c>
      <c r="E1683">
        <v>0.53604259999999904</v>
      </c>
      <c r="F1683" t="s">
        <v>47</v>
      </c>
      <c r="G1683">
        <v>-251.715</v>
      </c>
      <c r="H1683" s="1">
        <v>-6.2417359999999899E-7</v>
      </c>
      <c r="I1683">
        <v>285.96679999999998</v>
      </c>
      <c r="J1683">
        <v>-219.7784</v>
      </c>
      <c r="K1683">
        <v>1.109686</v>
      </c>
      <c r="L1683">
        <v>281.94729999999998</v>
      </c>
      <c r="M1683">
        <v>-0.99691359999999996</v>
      </c>
      <c r="N1683">
        <v>0</v>
      </c>
      <c r="O1683">
        <v>-7.7743110000000004E-2</v>
      </c>
      <c r="P1683">
        <v>-0.98268999999999995</v>
      </c>
      <c r="Q1683">
        <v>0.1839944</v>
      </c>
      <c r="R1683">
        <v>2.16026E-2</v>
      </c>
      <c r="S1683">
        <v>-3.0646969999999998</v>
      </c>
      <c r="T1683">
        <v>-0.10599649999999999</v>
      </c>
      <c r="U1683">
        <v>0.38308720000000002</v>
      </c>
      <c r="V1683">
        <v>9.8368029999999995E-2</v>
      </c>
      <c r="W1683">
        <v>0.19446069999999999</v>
      </c>
      <c r="X1683">
        <v>0.97596559999999999</v>
      </c>
      <c r="Y1683">
        <v>0.2006424</v>
      </c>
      <c r="Z1683">
        <v>6.134278E-3</v>
      </c>
      <c r="AA1683">
        <v>0.97964530000000005</v>
      </c>
      <c r="AB1683">
        <v>14</v>
      </c>
      <c r="AC1683">
        <v>-31.936599999999999</v>
      </c>
      <c r="AD1683">
        <v>-1.1096866241736001</v>
      </c>
      <c r="AE1683">
        <v>4.0194999999999901</v>
      </c>
      <c r="AF1683">
        <v>6.4826273476535201</v>
      </c>
      <c r="AG1683">
        <v>-1.1096866241736001</v>
      </c>
      <c r="AH1683">
        <v>31.489997098847599</v>
      </c>
      <c r="AI1683">
        <v>91.976810495463994</v>
      </c>
      <c r="AJ1683">
        <v>78.367426135379404</v>
      </c>
      <c r="AK1683">
        <v>32.1694852153068</v>
      </c>
      <c r="AL1683">
        <v>78.786779569401503</v>
      </c>
      <c r="AM1683">
        <v>84.244568296614403</v>
      </c>
      <c r="AN1683">
        <v>1.00000004277696</v>
      </c>
    </row>
    <row r="1684" spans="1:40" x14ac:dyDescent="0.25">
      <c r="A1684" t="str">
        <f>"20190312172401833"</f>
        <v>20190312172401833</v>
      </c>
      <c r="B1684" t="str">
        <f>"1552382641831619"</f>
        <v>1552382641831619</v>
      </c>
      <c r="C1684" t="s">
        <v>40</v>
      </c>
      <c r="D1684">
        <v>3.8392369999999998</v>
      </c>
      <c r="E1684">
        <v>0.53613949999999999</v>
      </c>
      <c r="F1684" t="s">
        <v>47</v>
      </c>
      <c r="G1684">
        <v>-252.12459999999999</v>
      </c>
      <c r="H1684" s="1">
        <v>-4.0619909999999999E-7</v>
      </c>
      <c r="I1684">
        <v>286.04469999999998</v>
      </c>
      <c r="J1684">
        <v>-219.91030000000001</v>
      </c>
      <c r="K1684">
        <v>1.1096870000000001</v>
      </c>
      <c r="L1684">
        <v>281.93970000000002</v>
      </c>
      <c r="M1684">
        <v>-0.9970831</v>
      </c>
      <c r="N1684">
        <v>0</v>
      </c>
      <c r="O1684">
        <v>-7.5528090000000006E-2</v>
      </c>
      <c r="P1684">
        <v>-0.98256659999999996</v>
      </c>
      <c r="Q1684">
        <v>0.1844961</v>
      </c>
      <c r="R1684">
        <v>2.2893480000000001E-2</v>
      </c>
      <c r="S1684">
        <v>-3.0639949999999998</v>
      </c>
      <c r="T1684">
        <v>-0.10511520000000001</v>
      </c>
      <c r="U1684">
        <v>0.38812259999999998</v>
      </c>
      <c r="V1684">
        <v>9.7474459999999999E-2</v>
      </c>
      <c r="W1684">
        <v>0.19501160000000001</v>
      </c>
      <c r="X1684">
        <v>0.97594530000000002</v>
      </c>
      <c r="Y1684">
        <v>0.20008280000000001</v>
      </c>
      <c r="Z1684">
        <v>5.9988639999999996E-3</v>
      </c>
      <c r="AA1684">
        <v>0.97976059999999998</v>
      </c>
      <c r="AB1684">
        <v>14</v>
      </c>
      <c r="AC1684">
        <v>-32.214299999999902</v>
      </c>
      <c r="AD1684">
        <v>-1.1096874061991</v>
      </c>
      <c r="AE1684">
        <v>4.1049999999999596</v>
      </c>
      <c r="AF1684">
        <v>6.5188931726895598</v>
      </c>
      <c r="AG1684">
        <v>-1.1096874061991</v>
      </c>
      <c r="AH1684">
        <v>31.7751109490024</v>
      </c>
      <c r="AI1684">
        <v>91.959360577273699</v>
      </c>
      <c r="AJ1684">
        <v>78.406229736511193</v>
      </c>
      <c r="AK1684">
        <v>32.455893920177701</v>
      </c>
      <c r="AL1684">
        <v>78.754598898761003</v>
      </c>
      <c r="AM1684">
        <v>84.296386222184196</v>
      </c>
      <c r="AN1684">
        <v>1.00000001153947</v>
      </c>
    </row>
    <row r="1685" spans="1:40" x14ac:dyDescent="0.25">
      <c r="A1685" t="str">
        <f>"20190312172401856"</f>
        <v>20190312172401856</v>
      </c>
      <c r="B1685" t="str">
        <f>"1552382641851140"</f>
        <v>1552382641851140</v>
      </c>
      <c r="C1685" t="s">
        <v>40</v>
      </c>
      <c r="D1685">
        <v>3.8636650000000001</v>
      </c>
      <c r="E1685">
        <v>0.53610449999999998</v>
      </c>
      <c r="F1685" t="s">
        <v>47</v>
      </c>
      <c r="G1685">
        <v>-252.9485</v>
      </c>
      <c r="H1685" s="1">
        <v>3.2250489999999998E-8</v>
      </c>
      <c r="I1685">
        <v>286.17090000000002</v>
      </c>
      <c r="J1685">
        <v>-220.0428</v>
      </c>
      <c r="K1685">
        <v>1.1096969999999999</v>
      </c>
      <c r="L1685">
        <v>281.9323</v>
      </c>
      <c r="M1685">
        <v>-0.99724820000000003</v>
      </c>
      <c r="N1685">
        <v>0</v>
      </c>
      <c r="O1685">
        <v>-7.3306919999999998E-2</v>
      </c>
      <c r="P1685">
        <v>-0.98243979999999997</v>
      </c>
      <c r="Q1685">
        <v>0.18500459999999999</v>
      </c>
      <c r="R1685">
        <v>2.418915E-2</v>
      </c>
      <c r="S1685">
        <v>-3.0634160000000001</v>
      </c>
      <c r="T1685">
        <v>-0.1028941</v>
      </c>
      <c r="U1685">
        <v>0.39233400000000002</v>
      </c>
      <c r="V1685">
        <v>9.6579830000000005E-2</v>
      </c>
      <c r="W1685">
        <v>0.19557939999999999</v>
      </c>
      <c r="X1685">
        <v>0.97592060000000003</v>
      </c>
      <c r="Y1685">
        <v>0.1992573</v>
      </c>
      <c r="Z1685">
        <v>5.7846969999999897E-3</v>
      </c>
      <c r="AA1685">
        <v>0.97993019999999997</v>
      </c>
      <c r="AB1685">
        <v>14</v>
      </c>
      <c r="AC1685">
        <v>-32.905700000000003</v>
      </c>
      <c r="AD1685">
        <v>-1.1096969677495101</v>
      </c>
      <c r="AE1685">
        <v>4.2386000000000204</v>
      </c>
      <c r="AF1685">
        <v>6.63213769455104</v>
      </c>
      <c r="AG1685">
        <v>-1.1096969677495101</v>
      </c>
      <c r="AH1685">
        <v>32.4700915309122</v>
      </c>
      <c r="AI1685">
        <v>91.917811279228999</v>
      </c>
      <c r="AJ1685">
        <v>78.455912820612397</v>
      </c>
      <c r="AK1685">
        <v>33.159063946160103</v>
      </c>
      <c r="AL1685">
        <v>78.721427393459393</v>
      </c>
      <c r="AM1685">
        <v>84.348251978967994</v>
      </c>
      <c r="AN1685">
        <v>0.999999991385774</v>
      </c>
    </row>
    <row r="1686" spans="1:40" x14ac:dyDescent="0.25">
      <c r="A1686" t="str">
        <f>"20190312172401878"</f>
        <v>20190312172401878</v>
      </c>
      <c r="B1686" t="str">
        <f>"1552382641871636"</f>
        <v>1552382641871636</v>
      </c>
      <c r="C1686" t="s">
        <v>40</v>
      </c>
      <c r="D1686">
        <v>3.8347699999999998</v>
      </c>
      <c r="E1686">
        <v>0.53596759999999999</v>
      </c>
      <c r="F1686" t="s">
        <v>47</v>
      </c>
      <c r="G1686">
        <v>-253.59030000000001</v>
      </c>
      <c r="H1686" s="1">
        <v>3.7378149999999999E-7</v>
      </c>
      <c r="I1686">
        <v>286.2602</v>
      </c>
      <c r="J1686">
        <v>-220.18770000000001</v>
      </c>
      <c r="K1686">
        <v>1.1097129999999999</v>
      </c>
      <c r="L1686">
        <v>281.92450000000002</v>
      </c>
      <c r="M1686">
        <v>-0.9974227</v>
      </c>
      <c r="N1686">
        <v>0</v>
      </c>
      <c r="O1686">
        <v>-7.0884009999999997E-2</v>
      </c>
      <c r="P1686">
        <v>-0.98241630000000002</v>
      </c>
      <c r="Q1686">
        <v>0.1850263</v>
      </c>
      <c r="R1686">
        <v>2.4967340000000001E-2</v>
      </c>
      <c r="S1686">
        <v>-3.0629430000000002</v>
      </c>
      <c r="T1686">
        <v>-0.1013172</v>
      </c>
      <c r="U1686">
        <v>0.39514159999999998</v>
      </c>
      <c r="V1686">
        <v>9.497746E-2</v>
      </c>
      <c r="W1686">
        <v>0.19567809999999999</v>
      </c>
      <c r="X1686">
        <v>0.97605810000000004</v>
      </c>
      <c r="Y1686">
        <v>0.19778599999999999</v>
      </c>
      <c r="Z1686">
        <v>5.5925999999999997E-3</v>
      </c>
      <c r="AA1686">
        <v>0.98022929999999997</v>
      </c>
      <c r="AB1686">
        <v>14</v>
      </c>
      <c r="AC1686">
        <v>-33.4026</v>
      </c>
      <c r="AD1686">
        <v>-1.1097126262185</v>
      </c>
      <c r="AE1686">
        <v>4.3356999999999699</v>
      </c>
      <c r="AF1686">
        <v>6.6853922640657899</v>
      </c>
      <c r="AG1686">
        <v>-1.1097126262185</v>
      </c>
      <c r="AH1686">
        <v>32.975424053757401</v>
      </c>
      <c r="AI1686">
        <v>91.889028593394599</v>
      </c>
      <c r="AJ1686">
        <v>78.539270480928593</v>
      </c>
      <c r="AK1686">
        <v>33.664588566657798</v>
      </c>
      <c r="AL1686">
        <v>78.715661271286393</v>
      </c>
      <c r="AM1686">
        <v>84.442206935351905</v>
      </c>
      <c r="AN1686">
        <v>1.0000000256516299</v>
      </c>
    </row>
    <row r="1687" spans="1:40" x14ac:dyDescent="0.25">
      <c r="A1687" t="str">
        <f>"20190312172401901"</f>
        <v>20190312172401901</v>
      </c>
      <c r="B1687" t="str">
        <f>"1552382641891155"</f>
        <v>1552382641891155</v>
      </c>
      <c r="C1687" t="s">
        <v>40</v>
      </c>
      <c r="D1687">
        <v>3.822371</v>
      </c>
      <c r="E1687">
        <v>0.53580469999999902</v>
      </c>
      <c r="F1687" t="s">
        <v>47</v>
      </c>
      <c r="G1687">
        <v>-253.72110000000001</v>
      </c>
      <c r="H1687" s="1">
        <v>4.4338629999999997E-7</v>
      </c>
      <c r="I1687">
        <v>286.26190000000003</v>
      </c>
      <c r="J1687">
        <v>-220.33</v>
      </c>
      <c r="K1687">
        <v>1.1097239999999999</v>
      </c>
      <c r="L1687">
        <v>281.91719999999998</v>
      </c>
      <c r="M1687">
        <v>-0.99758740000000001</v>
      </c>
      <c r="N1687">
        <v>0</v>
      </c>
      <c r="O1687">
        <v>-6.8514210000000006E-2</v>
      </c>
      <c r="P1687">
        <v>-0.98236950000000001</v>
      </c>
      <c r="Q1687">
        <v>0.1852047</v>
      </c>
      <c r="R1687">
        <v>2.5478710000000002E-2</v>
      </c>
      <c r="S1687">
        <v>-3.062729</v>
      </c>
      <c r="T1687">
        <v>-0.10135420000000001</v>
      </c>
      <c r="U1687">
        <v>0.39614870000000002</v>
      </c>
      <c r="V1687">
        <v>9.3158630000000006E-2</v>
      </c>
      <c r="W1687">
        <v>0.1959362</v>
      </c>
      <c r="X1687">
        <v>0.97618159999999998</v>
      </c>
      <c r="Y1687">
        <v>0.19578480000000001</v>
      </c>
      <c r="Z1687">
        <v>5.4838430000000004E-3</v>
      </c>
      <c r="AA1687">
        <v>0.98063149999999999</v>
      </c>
      <c r="AB1687">
        <v>14</v>
      </c>
      <c r="AC1687">
        <v>-33.391099999999902</v>
      </c>
      <c r="AD1687">
        <v>-1.1097235566137</v>
      </c>
      <c r="AE1687">
        <v>4.3447000000000404</v>
      </c>
      <c r="AF1687">
        <v>6.6152124286351803</v>
      </c>
      <c r="AG1687">
        <v>-1.1097235566137</v>
      </c>
      <c r="AH1687">
        <v>32.9791142375893</v>
      </c>
      <c r="AI1687">
        <v>91.889622762169395</v>
      </c>
      <c r="AJ1687">
        <v>78.657680610626599</v>
      </c>
      <c r="AK1687">
        <v>33.654338468376402</v>
      </c>
      <c r="AL1687">
        <v>78.700581260581103</v>
      </c>
      <c r="AM1687">
        <v>84.548677447338605</v>
      </c>
      <c r="AN1687">
        <v>1.00000002049623</v>
      </c>
    </row>
    <row r="1688" spans="1:40" x14ac:dyDescent="0.25">
      <c r="A1688" t="str">
        <f>"20190312172401924"</f>
        <v>20190312172401924</v>
      </c>
      <c r="B1688" t="str">
        <f>"1552382641921535"</f>
        <v>1552382641921535</v>
      </c>
      <c r="C1688" t="s">
        <v>40</v>
      </c>
      <c r="D1688">
        <v>3.8287879999999999</v>
      </c>
      <c r="E1688">
        <v>0.53561250000000005</v>
      </c>
      <c r="F1688" t="s">
        <v>47</v>
      </c>
      <c r="G1688">
        <v>-254.285</v>
      </c>
      <c r="H1688" s="1">
        <v>7.4346000000000001E-7</v>
      </c>
      <c r="I1688">
        <v>286.31270000000001</v>
      </c>
      <c r="J1688">
        <v>-220.47</v>
      </c>
      <c r="K1688">
        <v>1.109745</v>
      </c>
      <c r="L1688">
        <v>281.91050000000001</v>
      </c>
      <c r="M1688">
        <v>-0.99774320000000005</v>
      </c>
      <c r="N1688">
        <v>0</v>
      </c>
      <c r="O1688">
        <v>-6.6194530000000001E-2</v>
      </c>
      <c r="P1688">
        <v>-0.98230649999999997</v>
      </c>
      <c r="Q1688">
        <v>0.18542239999999999</v>
      </c>
      <c r="R1688">
        <v>2.6320630000000001E-2</v>
      </c>
      <c r="S1688">
        <v>-3.062408</v>
      </c>
      <c r="T1688">
        <v>-0.1000862</v>
      </c>
      <c r="U1688">
        <v>0.39642329999999998</v>
      </c>
      <c r="V1688">
        <v>9.1715690000000002E-2</v>
      </c>
      <c r="W1688">
        <v>0.1962373</v>
      </c>
      <c r="X1688">
        <v>0.97625770000000001</v>
      </c>
      <c r="Y1688">
        <v>0.1936098</v>
      </c>
      <c r="Z1688">
        <v>5.3049050000000004E-3</v>
      </c>
      <c r="AA1688">
        <v>0.9810643</v>
      </c>
      <c r="AB1688">
        <v>14</v>
      </c>
      <c r="AC1688">
        <v>-33.814999999999998</v>
      </c>
      <c r="AD1688">
        <v>-1.10974425654</v>
      </c>
      <c r="AE1688">
        <v>4.4021999999999899</v>
      </c>
      <c r="AF1688">
        <v>6.6240381615564603</v>
      </c>
      <c r="AG1688">
        <v>-1.10974425654</v>
      </c>
      <c r="AH1688">
        <v>33.414017283100499</v>
      </c>
      <c r="AI1688">
        <v>91.865919447865807</v>
      </c>
      <c r="AJ1688">
        <v>78.786990786495906</v>
      </c>
      <c r="AK1688">
        <v>34.082340953579099</v>
      </c>
      <c r="AL1688">
        <v>78.682987390332102</v>
      </c>
      <c r="AM1688">
        <v>84.6330323171956</v>
      </c>
      <c r="AN1688">
        <v>0.99999997125637696</v>
      </c>
    </row>
    <row r="1689" spans="1:40" x14ac:dyDescent="0.25">
      <c r="A1689" t="str">
        <f>"20190312172401945"</f>
        <v>20190312172401945</v>
      </c>
      <c r="B1689" t="str">
        <f>"1552382641942031"</f>
        <v>1552382641942031</v>
      </c>
      <c r="C1689" t="s">
        <v>40</v>
      </c>
      <c r="D1689">
        <v>3.810686</v>
      </c>
      <c r="E1689">
        <v>0.535450599999999</v>
      </c>
      <c r="F1689" t="s">
        <v>47</v>
      </c>
      <c r="G1689">
        <v>-254.34229999999999</v>
      </c>
      <c r="H1689" s="1">
        <v>7.7393990000000001E-7</v>
      </c>
      <c r="I1689">
        <v>286.30200000000002</v>
      </c>
      <c r="J1689">
        <v>-220.60720000000001</v>
      </c>
      <c r="K1689">
        <v>1.109766</v>
      </c>
      <c r="L1689">
        <v>281.90410000000003</v>
      </c>
      <c r="M1689">
        <v>-0.99788929999999998</v>
      </c>
      <c r="N1689">
        <v>0</v>
      </c>
      <c r="O1689">
        <v>-6.3939650000000001E-2</v>
      </c>
      <c r="P1689">
        <v>-0.982267</v>
      </c>
      <c r="Q1689">
        <v>0.18552959999999999</v>
      </c>
      <c r="R1689">
        <v>2.702531E-2</v>
      </c>
      <c r="S1689">
        <v>-3.0623320000000001</v>
      </c>
      <c r="T1689">
        <v>-0.10033019999999999</v>
      </c>
      <c r="U1689">
        <v>0.39703369999999999</v>
      </c>
      <c r="V1689">
        <v>9.0199039999999994E-2</v>
      </c>
      <c r="W1689">
        <v>0.19642950000000001</v>
      </c>
      <c r="X1689">
        <v>0.97636040000000002</v>
      </c>
      <c r="Y1689">
        <v>0.19158939999999999</v>
      </c>
      <c r="Z1689">
        <v>5.2113589999999996E-3</v>
      </c>
      <c r="AA1689">
        <v>0.98146129999999998</v>
      </c>
      <c r="AB1689">
        <v>14</v>
      </c>
      <c r="AC1689">
        <v>-33.735099999999903</v>
      </c>
      <c r="AD1689">
        <v>-1.1097652260601001</v>
      </c>
      <c r="AE1689">
        <v>4.3978999999999902</v>
      </c>
      <c r="AF1689">
        <v>6.53909078372424</v>
      </c>
      <c r="AG1689">
        <v>-1.1097652260601001</v>
      </c>
      <c r="AH1689">
        <v>33.349356161678301</v>
      </c>
      <c r="AI1689">
        <v>91.870337026944298</v>
      </c>
      <c r="AJ1689">
        <v>78.906274771066194</v>
      </c>
      <c r="AK1689">
        <v>34.002512312081201</v>
      </c>
      <c r="AL1689">
        <v>78.671757151467204</v>
      </c>
      <c r="AM1689">
        <v>84.721829369901201</v>
      </c>
      <c r="AN1689">
        <v>1.00000002298766</v>
      </c>
    </row>
    <row r="1690" spans="1:40" x14ac:dyDescent="0.25">
      <c r="A1690" t="str">
        <f>"20190312172401968"</f>
        <v>20190312172401968</v>
      </c>
      <c r="B1690" t="str">
        <f>"1552382641961550"</f>
        <v>1552382641961550</v>
      </c>
      <c r="C1690" t="s">
        <v>40</v>
      </c>
      <c r="D1690">
        <v>3.8184900000000002</v>
      </c>
      <c r="E1690">
        <v>0.53529419999999905</v>
      </c>
      <c r="F1690" t="s">
        <v>47</v>
      </c>
      <c r="G1690">
        <v>-254.2662</v>
      </c>
      <c r="H1690" s="1">
        <v>7.3345099999999997E-7</v>
      </c>
      <c r="I1690">
        <v>286.2697</v>
      </c>
      <c r="J1690">
        <v>-220.7458</v>
      </c>
      <c r="K1690">
        <v>1.1097889999999999</v>
      </c>
      <c r="L1690">
        <v>281.89789999999999</v>
      </c>
      <c r="M1690">
        <v>-0.9980308</v>
      </c>
      <c r="N1690">
        <v>0</v>
      </c>
      <c r="O1690">
        <v>-6.1676420000000003E-2</v>
      </c>
      <c r="P1690">
        <v>-0.98222589999999999</v>
      </c>
      <c r="Q1690">
        <v>0.1856912</v>
      </c>
      <c r="R1690">
        <v>2.7404040000000001E-2</v>
      </c>
      <c r="S1690">
        <v>-3.062271</v>
      </c>
      <c r="T1690">
        <v>-0.1009659</v>
      </c>
      <c r="U1690">
        <v>0.39718629999999999</v>
      </c>
      <c r="V1690">
        <v>8.8348819999999995E-2</v>
      </c>
      <c r="W1690">
        <v>0.1966754</v>
      </c>
      <c r="X1690">
        <v>0.97648009999999996</v>
      </c>
      <c r="Y1690">
        <v>0.18941450000000001</v>
      </c>
      <c r="Z1690">
        <v>5.1344169999999996E-3</v>
      </c>
      <c r="AA1690">
        <v>0.98188379999999997</v>
      </c>
      <c r="AB1690">
        <v>14</v>
      </c>
      <c r="AC1690">
        <v>-33.520399999999903</v>
      </c>
      <c r="AD1690">
        <v>-1.109788266549</v>
      </c>
      <c r="AE1690">
        <v>4.3718000000000004</v>
      </c>
      <c r="AF1690">
        <v>6.4241052153146203</v>
      </c>
      <c r="AG1690">
        <v>-1.109788266549</v>
      </c>
      <c r="AH1690">
        <v>33.151190630397998</v>
      </c>
      <c r="AI1690">
        <v>91.882359254401507</v>
      </c>
      <c r="AJ1690">
        <v>79.0330342102787</v>
      </c>
      <c r="AK1690">
        <v>33.7861243416138</v>
      </c>
      <c r="AL1690">
        <v>78.657388204729799</v>
      </c>
      <c r="AM1690">
        <v>84.830136001094601</v>
      </c>
      <c r="AN1690">
        <v>1.00000005632827</v>
      </c>
    </row>
    <row r="1691" spans="1:40" x14ac:dyDescent="0.25">
      <c r="A1691" t="str">
        <f>"20190312172401991"</f>
        <v>20190312172401991</v>
      </c>
      <c r="B1691" t="str">
        <f>"1552382641981071"</f>
        <v>1552382641981071</v>
      </c>
      <c r="C1691" t="s">
        <v>40</v>
      </c>
      <c r="D1691">
        <v>3.7644169999999999</v>
      </c>
      <c r="E1691">
        <v>0.53521319999999994</v>
      </c>
      <c r="F1691" t="s">
        <v>47</v>
      </c>
      <c r="G1691">
        <v>-254.34110000000001</v>
      </c>
      <c r="H1691" s="1">
        <v>7.7334310000000004E-7</v>
      </c>
      <c r="I1691">
        <v>286.2559</v>
      </c>
      <c r="J1691">
        <v>-220.89439999999999</v>
      </c>
      <c r="K1691">
        <v>1.1098110000000001</v>
      </c>
      <c r="L1691">
        <v>281.89159999999998</v>
      </c>
      <c r="M1691">
        <v>-0.99817560000000005</v>
      </c>
      <c r="N1691">
        <v>0</v>
      </c>
      <c r="O1691">
        <v>-5.9272569999999997E-2</v>
      </c>
      <c r="P1691">
        <v>-0.98210529999999996</v>
      </c>
      <c r="Q1691">
        <v>0.1862945</v>
      </c>
      <c r="R1691">
        <v>2.764115E-2</v>
      </c>
      <c r="S1691">
        <v>-3.0623320000000001</v>
      </c>
      <c r="T1691">
        <v>-0.10116120000000001</v>
      </c>
      <c r="U1691">
        <v>0.39724730000000003</v>
      </c>
      <c r="V1691">
        <v>8.621566E-2</v>
      </c>
      <c r="W1691">
        <v>0.19736819999999999</v>
      </c>
      <c r="X1691">
        <v>0.97653089999999998</v>
      </c>
      <c r="Y1691">
        <v>0.18706809999999999</v>
      </c>
      <c r="Z1691">
        <v>5.0265500000000003E-3</v>
      </c>
      <c r="AA1691">
        <v>0.98233409999999999</v>
      </c>
      <c r="AB1691">
        <v>14</v>
      </c>
      <c r="AC1691">
        <v>-33.4467</v>
      </c>
      <c r="AD1691">
        <v>-1.1098102266568901</v>
      </c>
      <c r="AE1691">
        <v>4.3643000000000098</v>
      </c>
      <c r="AF1691">
        <v>6.3323735028265498</v>
      </c>
      <c r="AG1691">
        <v>-1.1098102266568901</v>
      </c>
      <c r="AH1691">
        <v>33.093360937146002</v>
      </c>
      <c r="AI1691">
        <v>91.886535084855794</v>
      </c>
      <c r="AJ1691">
        <v>79.167465813605006</v>
      </c>
      <c r="AK1691">
        <v>33.712033030280402</v>
      </c>
      <c r="AL1691">
        <v>78.616899120181202</v>
      </c>
      <c r="AM1691">
        <v>84.954569920629893</v>
      </c>
      <c r="AN1691">
        <v>0.99999997252764194</v>
      </c>
    </row>
    <row r="1692" spans="1:40" x14ac:dyDescent="0.25">
      <c r="A1692" t="str">
        <f>"20190312172402015"</f>
        <v>20190312172402015</v>
      </c>
      <c r="B1692" t="str">
        <f>"1552382642012157"</f>
        <v>1552382642012157</v>
      </c>
      <c r="C1692" t="s">
        <v>40</v>
      </c>
      <c r="D1692">
        <v>3.7393529999999999</v>
      </c>
      <c r="E1692">
        <v>0.53501769999999904</v>
      </c>
      <c r="F1692" t="s">
        <v>47</v>
      </c>
      <c r="G1692">
        <v>-255.1472</v>
      </c>
      <c r="H1692" s="1">
        <v>1.2022760000000001E-6</v>
      </c>
      <c r="I1692">
        <v>286.33940000000001</v>
      </c>
      <c r="J1692">
        <v>-221.03880000000001</v>
      </c>
      <c r="K1692">
        <v>1.109831</v>
      </c>
      <c r="L1692">
        <v>281.88580000000002</v>
      </c>
      <c r="M1692">
        <v>-0.99830929999999996</v>
      </c>
      <c r="N1692">
        <v>0</v>
      </c>
      <c r="O1692">
        <v>-5.6960620000000003E-2</v>
      </c>
      <c r="P1692">
        <v>-0.98203180000000001</v>
      </c>
      <c r="Q1692">
        <v>0.18666540000000001</v>
      </c>
      <c r="R1692">
        <v>2.774517E-2</v>
      </c>
      <c r="S1692">
        <v>-3.0622859999999998</v>
      </c>
      <c r="T1692">
        <v>-9.9219920000000003E-2</v>
      </c>
      <c r="U1692">
        <v>0.397644</v>
      </c>
      <c r="V1692">
        <v>8.4042560000000002E-2</v>
      </c>
      <c r="W1692">
        <v>0.1978287</v>
      </c>
      <c r="X1692">
        <v>0.97662720000000003</v>
      </c>
      <c r="Y1692">
        <v>0.18492690000000001</v>
      </c>
      <c r="Z1692">
        <v>4.8210140000000002E-3</v>
      </c>
      <c r="AA1692">
        <v>0.98274050000000002</v>
      </c>
      <c r="AB1692">
        <v>14</v>
      </c>
      <c r="AC1692">
        <v>-34.108399999999897</v>
      </c>
      <c r="AD1692">
        <v>-1.1098297977239999</v>
      </c>
      <c r="AE1692">
        <v>4.45359999999999</v>
      </c>
      <c r="AF1692">
        <v>6.3826897620529701</v>
      </c>
      <c r="AG1692">
        <v>-1.1098297977239999</v>
      </c>
      <c r="AH1692">
        <v>33.7641699420425</v>
      </c>
      <c r="AI1692">
        <v>91.849897384318695</v>
      </c>
      <c r="AJ1692">
        <v>79.295275425744606</v>
      </c>
      <c r="AK1692">
        <v>34.380075954739503</v>
      </c>
      <c r="AL1692">
        <v>78.589984238562295</v>
      </c>
      <c r="AM1692">
        <v>85.081592687514799</v>
      </c>
      <c r="AN1692">
        <v>1.0000000171074399</v>
      </c>
    </row>
    <row r="1693" spans="1:40" x14ac:dyDescent="0.25">
      <c r="A1693" t="str">
        <f>"20190312172402038"</f>
        <v>20190312172402038</v>
      </c>
      <c r="B1693" t="str">
        <f>"1552382642031678"</f>
        <v>1552382642031678</v>
      </c>
      <c r="C1693" t="s">
        <v>40</v>
      </c>
      <c r="D1693">
        <v>3.76132</v>
      </c>
      <c r="E1693">
        <v>0.53494719999999996</v>
      </c>
      <c r="F1693" t="s">
        <v>47</v>
      </c>
      <c r="G1693">
        <v>-255.40710000000001</v>
      </c>
      <c r="H1693" s="1">
        <v>1.3406229999999999E-6</v>
      </c>
      <c r="I1693">
        <v>286.34050000000002</v>
      </c>
      <c r="J1693">
        <v>-221.18620000000001</v>
      </c>
      <c r="K1693">
        <v>1.1098479999999999</v>
      </c>
      <c r="L1693">
        <v>281.8802</v>
      </c>
      <c r="M1693">
        <v>-0.99843859999999995</v>
      </c>
      <c r="N1693">
        <v>0</v>
      </c>
      <c r="O1693">
        <v>-5.4627589999999997E-2</v>
      </c>
      <c r="P1693">
        <v>-0.98191439999999997</v>
      </c>
      <c r="Q1693">
        <v>0.1871988</v>
      </c>
      <c r="R1693">
        <v>2.8298830000000001E-2</v>
      </c>
      <c r="S1693">
        <v>-3.0624690000000001</v>
      </c>
      <c r="T1693">
        <v>-9.8893999999999996E-2</v>
      </c>
      <c r="U1693">
        <v>0.39694210000000002</v>
      </c>
      <c r="V1693">
        <v>8.2296179999999997E-2</v>
      </c>
      <c r="W1693">
        <v>0.1984503</v>
      </c>
      <c r="X1693">
        <v>0.97664980000000001</v>
      </c>
      <c r="Y1693">
        <v>0.18240419999999999</v>
      </c>
      <c r="Z1693">
        <v>4.6893610000000004E-3</v>
      </c>
      <c r="AA1693">
        <v>0.98321239999999999</v>
      </c>
      <c r="AB1693">
        <v>14</v>
      </c>
      <c r="AC1693">
        <v>-34.2209</v>
      </c>
      <c r="AD1693">
        <v>-1.109846659377</v>
      </c>
      <c r="AE1693">
        <v>4.4603000000000099</v>
      </c>
      <c r="AF1693">
        <v>6.3166385593790704</v>
      </c>
      <c r="AG1693">
        <v>-1.109846659377</v>
      </c>
      <c r="AH1693">
        <v>33.891070322269002</v>
      </c>
      <c r="AI1693">
        <v>91.843890884699903</v>
      </c>
      <c r="AJ1693">
        <v>79.442315047196004</v>
      </c>
      <c r="AK1693">
        <v>34.492554702227402</v>
      </c>
      <c r="AL1693">
        <v>78.553648675742295</v>
      </c>
      <c r="AM1693">
        <v>85.183420784783905</v>
      </c>
      <c r="AN1693">
        <v>1.00000000732636</v>
      </c>
    </row>
    <row r="1694" spans="1:40" x14ac:dyDescent="0.25">
      <c r="A1694" t="str">
        <f>"20190312172402059"</f>
        <v>20190312172402059</v>
      </c>
      <c r="B1694" t="str">
        <f>"1552382642052173"</f>
        <v>1552382642052173</v>
      </c>
      <c r="C1694" t="s">
        <v>40</v>
      </c>
      <c r="D1694">
        <v>3.7208770000000002</v>
      </c>
      <c r="E1694">
        <v>0.50785609999999903</v>
      </c>
      <c r="F1694" t="s">
        <v>47</v>
      </c>
      <c r="G1694">
        <v>-255.97620000000001</v>
      </c>
      <c r="H1694" s="1">
        <v>1.6434480000000001E-6</v>
      </c>
      <c r="I1694">
        <v>286.399</v>
      </c>
      <c r="J1694">
        <v>-221.31200000000001</v>
      </c>
      <c r="K1694">
        <v>1.1098699999999999</v>
      </c>
      <c r="L1694">
        <v>281.87569999999999</v>
      </c>
      <c r="M1694">
        <v>-0.99854379999999998</v>
      </c>
      <c r="N1694">
        <v>0</v>
      </c>
      <c r="O1694">
        <v>-5.2655639999999997E-2</v>
      </c>
      <c r="P1694">
        <v>-0.98191399999999995</v>
      </c>
      <c r="Q1694">
        <v>0.18725929999999999</v>
      </c>
      <c r="R1694">
        <v>2.7908180000000001E-2</v>
      </c>
      <c r="S1694">
        <v>-3.062408</v>
      </c>
      <c r="T1694">
        <v>-9.7694870000000003E-2</v>
      </c>
      <c r="U1694">
        <v>0.39776610000000001</v>
      </c>
      <c r="V1694">
        <v>7.9967940000000001E-2</v>
      </c>
      <c r="W1694">
        <v>0.19858390000000001</v>
      </c>
      <c r="X1694">
        <v>0.97681609999999996</v>
      </c>
      <c r="Y1694">
        <v>0.18072969999999999</v>
      </c>
      <c r="Z1694">
        <v>4.5432789999999999E-3</v>
      </c>
      <c r="AA1694">
        <v>0.98352229999999996</v>
      </c>
      <c r="AB1694">
        <v>14</v>
      </c>
      <c r="AC1694">
        <v>-34.664199999999902</v>
      </c>
      <c r="AD1694">
        <v>-1.109868356552</v>
      </c>
      <c r="AE1694">
        <v>4.5232999999999999</v>
      </c>
      <c r="AF1694">
        <v>6.3360288481867402</v>
      </c>
      <c r="AG1694">
        <v>-1.109868356552</v>
      </c>
      <c r="AH1694">
        <v>34.343294066031604</v>
      </c>
      <c r="AI1694">
        <v>91.820279085459603</v>
      </c>
      <c r="AJ1694">
        <v>79.546982586068694</v>
      </c>
      <c r="AK1694">
        <v>34.940505386153902</v>
      </c>
      <c r="AL1694">
        <v>78.545839186849406</v>
      </c>
      <c r="AM1694">
        <v>85.319865650308301</v>
      </c>
      <c r="AN1694">
        <v>1.00000006499312</v>
      </c>
    </row>
    <row r="1695" spans="1:40" x14ac:dyDescent="0.25">
      <c r="A1695" t="str">
        <f>"20190312172402092"</f>
        <v>20190312172402092</v>
      </c>
      <c r="B1695" t="str">
        <f>"1552382642081457"</f>
        <v>1552382642081457</v>
      </c>
      <c r="C1695" t="s">
        <v>40</v>
      </c>
      <c r="D1695">
        <v>3.6032739999999999</v>
      </c>
      <c r="E1695">
        <v>0.48715570000000002</v>
      </c>
      <c r="F1695" t="s">
        <v>47</v>
      </c>
      <c r="G1695">
        <v>-252.91550000000001</v>
      </c>
      <c r="H1695" s="1">
        <v>1.46961E-8</v>
      </c>
      <c r="I1695">
        <v>283.72660000000002</v>
      </c>
      <c r="J1695">
        <v>-221.51949999999999</v>
      </c>
      <c r="K1695">
        <v>1.10989</v>
      </c>
      <c r="L1695">
        <v>281.86869999999999</v>
      </c>
      <c r="M1695">
        <v>-0.99870709999999996</v>
      </c>
      <c r="N1695">
        <v>0</v>
      </c>
      <c r="O1695">
        <v>-4.9438639999999999E-2</v>
      </c>
      <c r="P1695">
        <v>-0.98212980000000005</v>
      </c>
      <c r="Q1695">
        <v>0.18637390000000001</v>
      </c>
      <c r="R1695">
        <v>2.6193540000000001E-2</v>
      </c>
      <c r="S1695">
        <v>-3.0707089999999999</v>
      </c>
      <c r="T1695">
        <v>-0.10783909999999999</v>
      </c>
      <c r="U1695">
        <v>0.1798401</v>
      </c>
      <c r="V1695">
        <v>7.5103820000000002E-2</v>
      </c>
      <c r="W1695">
        <v>0.19780900000000001</v>
      </c>
      <c r="X1695">
        <v>0.97735919999999998</v>
      </c>
      <c r="Y1695">
        <v>0.1076556</v>
      </c>
      <c r="Z1695">
        <v>3.6225760000000002E-3</v>
      </c>
      <c r="AA1695">
        <v>0.9941816</v>
      </c>
      <c r="AB1695">
        <v>14</v>
      </c>
      <c r="AC1695">
        <v>-31.396000000000001</v>
      </c>
      <c r="AD1695">
        <v>-1.1098899853038999</v>
      </c>
      <c r="AE1695">
        <v>1.8579000000000201</v>
      </c>
      <c r="AF1695">
        <v>3.4036731580425301</v>
      </c>
      <c r="AG1695">
        <v>-1.1098899853038999</v>
      </c>
      <c r="AH1695">
        <v>31.226855438007</v>
      </c>
      <c r="AI1695">
        <v>92.023620347602801</v>
      </c>
      <c r="AJ1695">
        <v>83.779416505087298</v>
      </c>
      <c r="AK1695">
        <v>31.431407020565398</v>
      </c>
      <c r="AL1695">
        <v>78.591135465174801</v>
      </c>
      <c r="AM1695">
        <v>85.605820379029197</v>
      </c>
      <c r="AN1695">
        <v>0.99999999504211601</v>
      </c>
    </row>
    <row r="1696" spans="1:40" x14ac:dyDescent="0.25">
      <c r="A1696" t="str">
        <f>"20190312172402113"</f>
        <v>20190312172402113</v>
      </c>
      <c r="B1696" t="str">
        <f>"1552382642101366"</f>
        <v>1552382642101366</v>
      </c>
      <c r="C1696" t="s">
        <v>40</v>
      </c>
      <c r="D1696">
        <v>3.707144</v>
      </c>
      <c r="E1696">
        <v>0.48153360000000001</v>
      </c>
      <c r="F1696" t="s">
        <v>47</v>
      </c>
      <c r="G1696">
        <v>-254.43989999999999</v>
      </c>
      <c r="H1696" s="1">
        <v>8.258953E-7</v>
      </c>
      <c r="I1696">
        <v>281.94720000000001</v>
      </c>
      <c r="J1696">
        <v>-221.65430000000001</v>
      </c>
      <c r="K1696">
        <v>1.1098950000000001</v>
      </c>
      <c r="L1696">
        <v>281.8646</v>
      </c>
      <c r="M1696">
        <v>-0.998807</v>
      </c>
      <c r="N1696">
        <v>0</v>
      </c>
      <c r="O1696">
        <v>-4.7364669999999998E-2</v>
      </c>
      <c r="P1696">
        <v>-0.98220660000000004</v>
      </c>
      <c r="Q1696">
        <v>0.186221</v>
      </c>
      <c r="R1696">
        <v>2.4332659999999999E-2</v>
      </c>
      <c r="S1696">
        <v>-3.0740660000000002</v>
      </c>
      <c r="T1696">
        <v>-0.1036401</v>
      </c>
      <c r="U1696">
        <v>7.3242189999999999E-3</v>
      </c>
      <c r="V1696">
        <v>7.1210999999999997E-2</v>
      </c>
      <c r="W1696">
        <v>0.1977198</v>
      </c>
      <c r="X1696">
        <v>0.9776686</v>
      </c>
      <c r="Y1696">
        <v>4.969266E-2</v>
      </c>
      <c r="Z1696">
        <v>2.4335379999999998E-3</v>
      </c>
      <c r="AA1696">
        <v>0.99876160000000003</v>
      </c>
      <c r="AB1696">
        <v>14</v>
      </c>
      <c r="AC1696">
        <v>-32.785599999999903</v>
      </c>
      <c r="AD1696">
        <v>-1.1098941741046999</v>
      </c>
      <c r="AE1696">
        <v>8.2600000000013496E-2</v>
      </c>
      <c r="AF1696">
        <v>1.63362385037645</v>
      </c>
      <c r="AG1696">
        <v>-1.1098941741046999</v>
      </c>
      <c r="AH1696">
        <v>32.707402248764303</v>
      </c>
      <c r="AI1696">
        <v>91.941113434574405</v>
      </c>
      <c r="AJ1696">
        <v>87.140646199407598</v>
      </c>
      <c r="AK1696">
        <v>32.766976574360697</v>
      </c>
      <c r="AL1696">
        <v>78.596349379651897</v>
      </c>
      <c r="AM1696">
        <v>85.834071734884105</v>
      </c>
      <c r="AN1696">
        <v>1.0000000086295</v>
      </c>
    </row>
    <row r="1697" spans="1:40" x14ac:dyDescent="0.25">
      <c r="A1697" t="str">
        <f>"20190312172402134"</f>
        <v>20190312172402134</v>
      </c>
      <c r="B1697" t="str">
        <f>"1552382642131620"</f>
        <v>1552382642131620</v>
      </c>
      <c r="C1697" t="s">
        <v>40</v>
      </c>
      <c r="D1697">
        <v>3.5797469999999998</v>
      </c>
      <c r="E1697">
        <v>0.4771938</v>
      </c>
      <c r="F1697" t="s">
        <v>47</v>
      </c>
      <c r="G1697">
        <v>-255.07929999999999</v>
      </c>
      <c r="H1697" s="1">
        <v>1.1661459999999999E-6</v>
      </c>
      <c r="I1697">
        <v>281.38350000000003</v>
      </c>
      <c r="J1697">
        <v>-221.78579999999999</v>
      </c>
      <c r="K1697">
        <v>1.1099000000000001</v>
      </c>
      <c r="L1697">
        <v>281.86070000000001</v>
      </c>
      <c r="M1697">
        <v>-0.9988998</v>
      </c>
      <c r="N1697">
        <v>0</v>
      </c>
      <c r="O1697">
        <v>-4.535467E-2</v>
      </c>
      <c r="P1697">
        <v>-0.98229460000000002</v>
      </c>
      <c r="Q1697">
        <v>0.1860291</v>
      </c>
      <c r="R1697">
        <v>2.2154500000000001E-2</v>
      </c>
      <c r="S1697">
        <v>-3.0748139999999999</v>
      </c>
      <c r="T1697">
        <v>-0.10210080000000001</v>
      </c>
      <c r="U1697">
        <v>-4.4250490000000003E-2</v>
      </c>
      <c r="V1697">
        <v>6.7064390000000002E-2</v>
      </c>
      <c r="W1697">
        <v>0.1975856</v>
      </c>
      <c r="X1697">
        <v>0.97798890000000005</v>
      </c>
      <c r="Y1697">
        <v>3.0936200000000001E-2</v>
      </c>
      <c r="Z1697">
        <v>2.0185889999999999E-3</v>
      </c>
      <c r="AA1697">
        <v>0.9995193</v>
      </c>
      <c r="AB1697">
        <v>14</v>
      </c>
      <c r="AC1697">
        <v>-33.293499999999902</v>
      </c>
      <c r="AD1697">
        <v>-1.1098988338539999</v>
      </c>
      <c r="AE1697">
        <v>-0.47719999999998203</v>
      </c>
      <c r="AF1697">
        <v>1.03226720355196</v>
      </c>
      <c r="AG1697">
        <v>-1.1098988338539999</v>
      </c>
      <c r="AH1697">
        <v>33.243941340571098</v>
      </c>
      <c r="AI1697">
        <v>91.911274745549406</v>
      </c>
      <c r="AJ1697">
        <v>88.221463701849302</v>
      </c>
      <c r="AK1697">
        <v>33.2784778326211</v>
      </c>
      <c r="AL1697">
        <v>78.604193059611205</v>
      </c>
      <c r="AM1697">
        <v>86.077153343789504</v>
      </c>
      <c r="AN1697">
        <v>0.99999999512832105</v>
      </c>
    </row>
    <row r="1698" spans="1:40" x14ac:dyDescent="0.25">
      <c r="A1698" t="str">
        <f>"20190312172402157"</f>
        <v>20190312172402157</v>
      </c>
      <c r="B1698" t="str">
        <f>"1552382642152115"</f>
        <v>1552382642152115</v>
      </c>
      <c r="C1698" t="s">
        <v>40</v>
      </c>
      <c r="D1698">
        <v>3.5812010000000001</v>
      </c>
      <c r="E1698">
        <v>0.47555829999999999</v>
      </c>
      <c r="F1698" t="s">
        <v>47</v>
      </c>
      <c r="G1698">
        <v>-255.46709999999999</v>
      </c>
      <c r="H1698" s="1">
        <v>1.372508E-6</v>
      </c>
      <c r="I1698">
        <v>280.89749999999998</v>
      </c>
      <c r="J1698">
        <v>-221.93010000000001</v>
      </c>
      <c r="K1698">
        <v>1.1099110000000001</v>
      </c>
      <c r="L1698">
        <v>281.85680000000002</v>
      </c>
      <c r="M1698">
        <v>-0.99899640000000001</v>
      </c>
      <c r="N1698">
        <v>0</v>
      </c>
      <c r="O1698">
        <v>-4.3161789999999998E-2</v>
      </c>
      <c r="P1698">
        <v>-0.98229319999999998</v>
      </c>
      <c r="Q1698">
        <v>0.1860754</v>
      </c>
      <c r="R1698">
        <v>2.182197E-2</v>
      </c>
      <c r="S1698">
        <v>-3.075272</v>
      </c>
      <c r="T1698">
        <v>-0.1013395</v>
      </c>
      <c r="U1698">
        <v>-8.7951660000000001E-2</v>
      </c>
      <c r="V1698">
        <v>6.4578029999999995E-2</v>
      </c>
      <c r="W1698">
        <v>0.19768279999999999</v>
      </c>
      <c r="X1698">
        <v>0.97813660000000002</v>
      </c>
      <c r="Y1698">
        <v>1.4554650000000001E-2</v>
      </c>
      <c r="Z1698">
        <v>1.660882E-3</v>
      </c>
      <c r="AA1698">
        <v>0.99989269999999997</v>
      </c>
      <c r="AB1698">
        <v>14</v>
      </c>
      <c r="AC1698">
        <v>-33.5369999999999</v>
      </c>
      <c r="AD1698">
        <v>-1.109909627492</v>
      </c>
      <c r="AE1698">
        <v>-0.95930000000004101</v>
      </c>
      <c r="AF1698">
        <v>0.48867994079488802</v>
      </c>
      <c r="AG1698">
        <v>-1.109909627492</v>
      </c>
      <c r="AH1698">
        <v>33.510476828596097</v>
      </c>
      <c r="AI1698">
        <v>91.896814098641997</v>
      </c>
      <c r="AJ1698">
        <v>89.164520584096394</v>
      </c>
      <c r="AK1698">
        <v>33.532413643303599</v>
      </c>
      <c r="AL1698">
        <v>78.598512022500103</v>
      </c>
      <c r="AM1698">
        <v>86.222729406431498</v>
      </c>
      <c r="AN1698">
        <v>1.0000000098170401</v>
      </c>
    </row>
    <row r="1699" spans="1:40" x14ac:dyDescent="0.25">
      <c r="A1699" t="str">
        <f>"20190312172402180"</f>
        <v>20190312172402180</v>
      </c>
      <c r="B1699" t="str">
        <f>"1552382642171635"</f>
        <v>1552382642171635</v>
      </c>
      <c r="C1699" t="s">
        <v>40</v>
      </c>
      <c r="D1699">
        <v>3.700888</v>
      </c>
      <c r="E1699">
        <v>0.47379529999999997</v>
      </c>
      <c r="F1699" t="s">
        <v>47</v>
      </c>
      <c r="G1699">
        <v>-255.9735</v>
      </c>
      <c r="H1699" s="1">
        <v>1.6420079999999999E-6</v>
      </c>
      <c r="I1699">
        <v>280.71190000000001</v>
      </c>
      <c r="J1699">
        <v>-222.071</v>
      </c>
      <c r="K1699">
        <v>1.109918</v>
      </c>
      <c r="L1699">
        <v>281.85329999999999</v>
      </c>
      <c r="M1699">
        <v>-0.99908549999999996</v>
      </c>
      <c r="N1699">
        <v>0</v>
      </c>
      <c r="O1699">
        <v>-4.1035769999999999E-2</v>
      </c>
      <c r="P1699">
        <v>-0.98246630000000001</v>
      </c>
      <c r="Q1699">
        <v>0.18540129999999999</v>
      </c>
      <c r="R1699">
        <v>1.9662519999999999E-2</v>
      </c>
      <c r="S1699">
        <v>-3.0753629999999998</v>
      </c>
      <c r="T1699">
        <v>-0.1002654</v>
      </c>
      <c r="U1699">
        <v>-0.1034241</v>
      </c>
      <c r="V1699">
        <v>6.0337519999999999E-2</v>
      </c>
      <c r="W1699">
        <v>0.19705880000000001</v>
      </c>
      <c r="X1699">
        <v>0.97853319999999999</v>
      </c>
      <c r="Y1699">
        <v>7.4073029999999996E-3</v>
      </c>
      <c r="Z1699">
        <v>1.4574150000000001E-3</v>
      </c>
      <c r="AA1699">
        <v>0.99997150000000001</v>
      </c>
      <c r="AB1699">
        <v>14</v>
      </c>
      <c r="AC1699">
        <v>-33.902500000000003</v>
      </c>
      <c r="AD1699">
        <v>-1.1099163579919999</v>
      </c>
      <c r="AE1699">
        <v>-1.14139999999997</v>
      </c>
      <c r="AF1699">
        <v>0.25060879485100901</v>
      </c>
      <c r="AG1699">
        <v>-1.1099163579919999</v>
      </c>
      <c r="AH1699">
        <v>33.884504095540997</v>
      </c>
      <c r="AI1699">
        <v>91.876050948224403</v>
      </c>
      <c r="AJ1699">
        <v>89.576249827624906</v>
      </c>
      <c r="AK1699">
        <v>33.903603597413202</v>
      </c>
      <c r="AL1699">
        <v>78.634981940676298</v>
      </c>
      <c r="AM1699">
        <v>86.471541473247697</v>
      </c>
      <c r="AN1699">
        <v>1.00000000523971</v>
      </c>
    </row>
    <row r="1700" spans="1:40" x14ac:dyDescent="0.25">
      <c r="A1700" t="str">
        <f>"20190312172402192"</f>
        <v>20190312172402192</v>
      </c>
      <c r="B1700" t="str">
        <f>"1552382642181395"</f>
        <v>1552382642181395</v>
      </c>
      <c r="C1700" t="s">
        <v>40</v>
      </c>
      <c r="D1700">
        <v>3.609521</v>
      </c>
      <c r="E1700">
        <v>0.47331649999999997</v>
      </c>
      <c r="F1700" t="s">
        <v>47</v>
      </c>
      <c r="G1700">
        <v>-253.36179999999999</v>
      </c>
      <c r="H1700" s="1">
        <v>2.5222189999999997E-7</v>
      </c>
      <c r="I1700">
        <v>280.5804</v>
      </c>
      <c r="J1700">
        <v>-222.14940000000001</v>
      </c>
      <c r="K1700">
        <v>1.1099209999999999</v>
      </c>
      <c r="L1700">
        <v>281.85140000000001</v>
      </c>
      <c r="M1700">
        <v>-0.9991331</v>
      </c>
      <c r="N1700">
        <v>0</v>
      </c>
      <c r="O1700">
        <v>-3.9858499999999998E-2</v>
      </c>
      <c r="P1700">
        <v>-0.98256869999999996</v>
      </c>
      <c r="Q1700">
        <v>0.18494730000000001</v>
      </c>
      <c r="R1700">
        <v>1.8799880000000001E-2</v>
      </c>
      <c r="S1700">
        <v>-3.0766450000000001</v>
      </c>
      <c r="T1700">
        <v>-0.10913150000000001</v>
      </c>
      <c r="U1700">
        <v>-0.1251526</v>
      </c>
      <c r="V1700">
        <v>5.8321570000000003E-2</v>
      </c>
      <c r="W1700">
        <v>0.19662769999999999</v>
      </c>
      <c r="X1700">
        <v>0.97874209999999995</v>
      </c>
      <c r="Y1700">
        <v>-8.0841279999999897E-4</v>
      </c>
      <c r="Z1700">
        <v>1.3979979999999999E-3</v>
      </c>
      <c r="AA1700">
        <v>0.99999870000000002</v>
      </c>
      <c r="AB1700">
        <v>14</v>
      </c>
      <c r="AC1700">
        <v>-31.212399999999899</v>
      </c>
      <c r="AD1700">
        <v>-1.1099207477780999</v>
      </c>
      <c r="AE1700">
        <v>-1.2710000000000099</v>
      </c>
      <c r="AF1700">
        <v>-2.5788032555943401E-2</v>
      </c>
      <c r="AG1700">
        <v>-1.1099207477780999</v>
      </c>
      <c r="AH1700">
        <v>31.1988701629855</v>
      </c>
      <c r="AI1700">
        <v>92.037475846794507</v>
      </c>
      <c r="AJ1700">
        <v>90.047358929447995</v>
      </c>
      <c r="AK1700">
        <v>31.218617658951501</v>
      </c>
      <c r="AL1700">
        <v>78.660174743725705</v>
      </c>
      <c r="AM1700">
        <v>86.589874732091999</v>
      </c>
      <c r="AN1700">
        <v>0.99999997812348196</v>
      </c>
    </row>
    <row r="1701" spans="1:40" x14ac:dyDescent="0.25">
      <c r="A1701" t="str">
        <f>"20190312172402216"</f>
        <v>20190312172402216</v>
      </c>
      <c r="B1701" t="str">
        <f>"1552382642211652"</f>
        <v>1552382642211652</v>
      </c>
      <c r="C1701" t="s">
        <v>40</v>
      </c>
      <c r="D1701">
        <v>3.6239949999999999</v>
      </c>
      <c r="E1701">
        <v>0.47234789999999999</v>
      </c>
      <c r="F1701" t="s">
        <v>47</v>
      </c>
      <c r="G1701">
        <v>-252.9006</v>
      </c>
      <c r="H1701" s="1">
        <v>6.7395829999999997E-9</v>
      </c>
      <c r="I1701">
        <v>280.53089999999997</v>
      </c>
      <c r="J1701">
        <v>-222.29349999999999</v>
      </c>
      <c r="K1701">
        <v>1.10992</v>
      </c>
      <c r="L1701">
        <v>281.84820000000002</v>
      </c>
      <c r="M1701">
        <v>-0.9992164</v>
      </c>
      <c r="N1701">
        <v>0</v>
      </c>
      <c r="O1701">
        <v>-3.7703319999999999E-2</v>
      </c>
      <c r="P1701">
        <v>-0.98272420000000005</v>
      </c>
      <c r="Q1701">
        <v>0.18432399999999999</v>
      </c>
      <c r="R1701">
        <v>1.6685999999999999E-2</v>
      </c>
      <c r="S1701">
        <v>-3.0766450000000001</v>
      </c>
      <c r="T1701">
        <v>-0.1110473</v>
      </c>
      <c r="U1701">
        <v>-0.13211059999999999</v>
      </c>
      <c r="V1701">
        <v>5.4094950000000003E-2</v>
      </c>
      <c r="W1701">
        <v>0.19603719999999999</v>
      </c>
      <c r="X1701">
        <v>0.97910330000000001</v>
      </c>
      <c r="Y1701">
        <v>-5.2195409999999899E-3</v>
      </c>
      <c r="Z1701">
        <v>1.2652399999999999E-3</v>
      </c>
      <c r="AA1701">
        <v>0.99998560000000003</v>
      </c>
      <c r="AB1701">
        <v>14</v>
      </c>
      <c r="AC1701">
        <v>-30.607099999999999</v>
      </c>
      <c r="AD1701">
        <v>-1.10991999326041</v>
      </c>
      <c r="AE1701">
        <v>-1.3173000000000401</v>
      </c>
      <c r="AF1701">
        <v>-0.16207750398828299</v>
      </c>
      <c r="AG1701">
        <v>-1.10991999326041</v>
      </c>
      <c r="AH1701">
        <v>30.594845618495</v>
      </c>
      <c r="AI1701">
        <v>92.077636358163502</v>
      </c>
      <c r="AJ1701">
        <v>90.303524004636301</v>
      </c>
      <c r="AK1701">
        <v>30.615400861792999</v>
      </c>
      <c r="AL1701">
        <v>78.694680389484404</v>
      </c>
      <c r="AM1701">
        <v>86.837652948489605</v>
      </c>
      <c r="AN1701">
        <v>1.00000005973511</v>
      </c>
    </row>
    <row r="1702" spans="1:40" x14ac:dyDescent="0.25">
      <c r="A1702" t="str">
        <f>"20190312172402238"</f>
        <v>20190312172402238</v>
      </c>
      <c r="B1702" t="str">
        <f>"1552382642232147"</f>
        <v>1552382642232147</v>
      </c>
      <c r="C1702" t="s">
        <v>40</v>
      </c>
      <c r="D1702">
        <v>3.5919479999999999</v>
      </c>
      <c r="E1702">
        <v>0.47197129999999998</v>
      </c>
      <c r="F1702" t="s">
        <v>47</v>
      </c>
      <c r="G1702">
        <v>-252.227</v>
      </c>
      <c r="H1702" s="1">
        <v>-3.5171439999999999E-7</v>
      </c>
      <c r="I1702">
        <v>280.41230000000002</v>
      </c>
      <c r="J1702">
        <v>-222.42349999999999</v>
      </c>
      <c r="K1702">
        <v>1.109923</v>
      </c>
      <c r="L1702">
        <v>281.84559999999999</v>
      </c>
      <c r="M1702">
        <v>-0.99928740000000005</v>
      </c>
      <c r="N1702">
        <v>0</v>
      </c>
      <c r="O1702">
        <v>-3.577135E-2</v>
      </c>
      <c r="P1702">
        <v>-0.98289769999999999</v>
      </c>
      <c r="Q1702">
        <v>0.18356819999999999</v>
      </c>
      <c r="R1702">
        <v>1.466245E-2</v>
      </c>
      <c r="S1702">
        <v>-3.0766450000000001</v>
      </c>
      <c r="T1702">
        <v>-0.1140809</v>
      </c>
      <c r="U1702">
        <v>-0.14758299999999999</v>
      </c>
      <c r="V1702">
        <v>5.0176909999999998E-2</v>
      </c>
      <c r="W1702">
        <v>0.19529930000000001</v>
      </c>
      <c r="X1702">
        <v>0.97945930000000003</v>
      </c>
      <c r="Y1702">
        <v>-1.2166369999999999E-2</v>
      </c>
      <c r="Z1702">
        <v>1.0994170000000001E-3</v>
      </c>
      <c r="AA1702">
        <v>0.99992539999999996</v>
      </c>
      <c r="AB1702">
        <v>14</v>
      </c>
      <c r="AC1702">
        <v>-29.8035</v>
      </c>
      <c r="AD1702">
        <v>-1.10992335171439</v>
      </c>
      <c r="AE1702">
        <v>-1.43329999999997</v>
      </c>
      <c r="AF1702">
        <v>-0.36568776011593601</v>
      </c>
      <c r="AG1702">
        <v>-1.10992335171439</v>
      </c>
      <c r="AH1702">
        <v>29.7944706015601</v>
      </c>
      <c r="AI1702">
        <v>92.133273264692903</v>
      </c>
      <c r="AJ1702">
        <v>90.703194681292501</v>
      </c>
      <c r="AK1702">
        <v>29.817379761002002</v>
      </c>
      <c r="AL1702">
        <v>78.737791946780305</v>
      </c>
      <c r="AM1702">
        <v>87.067347146184801</v>
      </c>
      <c r="AN1702">
        <v>1.0000000296170599</v>
      </c>
    </row>
    <row r="1703" spans="1:40" x14ac:dyDescent="0.25">
      <c r="A1703" t="str">
        <f>"20190312172402258"</f>
        <v>20190312172402258</v>
      </c>
      <c r="B1703" t="str">
        <f>"1552382642251667"</f>
        <v>1552382642251667</v>
      </c>
      <c r="C1703" t="s">
        <v>40</v>
      </c>
      <c r="D1703">
        <v>3.6646679999999998</v>
      </c>
      <c r="E1703">
        <v>0.47174440000000001</v>
      </c>
      <c r="F1703" t="s">
        <v>47</v>
      </c>
      <c r="G1703">
        <v>-251.65260000000001</v>
      </c>
      <c r="H1703" s="1">
        <v>-6.5735379999999996E-7</v>
      </c>
      <c r="I1703">
        <v>280.33789999999999</v>
      </c>
      <c r="J1703">
        <v>-222.55590000000001</v>
      </c>
      <c r="K1703">
        <v>1.1099209999999999</v>
      </c>
      <c r="L1703">
        <v>281.84320000000002</v>
      </c>
      <c r="M1703">
        <v>-0.9993554</v>
      </c>
      <c r="N1703">
        <v>0</v>
      </c>
      <c r="O1703">
        <v>-3.3814280000000002E-2</v>
      </c>
      <c r="P1703">
        <v>-0.98296329999999998</v>
      </c>
      <c r="Q1703">
        <v>0.1833552</v>
      </c>
      <c r="R1703">
        <v>1.2811360000000001E-2</v>
      </c>
      <c r="S1703">
        <v>-3.0763699999999998</v>
      </c>
      <c r="T1703">
        <v>-0.116819699999999</v>
      </c>
      <c r="U1703">
        <v>-0.15869140000000001</v>
      </c>
      <c r="V1703">
        <v>4.640333E-2</v>
      </c>
      <c r="W1703">
        <v>0.1950916</v>
      </c>
      <c r="X1703">
        <v>0.97968670000000002</v>
      </c>
      <c r="Y1703">
        <v>-1.7725729999999999E-2</v>
      </c>
      <c r="Z1703">
        <v>9.4614679999999998E-4</v>
      </c>
      <c r="AA1703">
        <v>0.99984249999999997</v>
      </c>
      <c r="AB1703">
        <v>14</v>
      </c>
      <c r="AC1703">
        <v>-29.096699999999998</v>
      </c>
      <c r="AD1703">
        <v>-1.1099216573538</v>
      </c>
      <c r="AE1703">
        <v>-1.5053000000000301</v>
      </c>
      <c r="AF1703">
        <v>-0.51972931082597096</v>
      </c>
      <c r="AG1703">
        <v>-1.1099216573538</v>
      </c>
      <c r="AH1703">
        <v>29.088748019104901</v>
      </c>
      <c r="AI1703">
        <v>92.184791788988605</v>
      </c>
      <c r="AJ1703">
        <v>91.023596061043605</v>
      </c>
      <c r="AK1703">
        <v>29.114554881724899</v>
      </c>
      <c r="AL1703">
        <v>78.7499255223549</v>
      </c>
      <c r="AM1703">
        <v>87.288184711628205</v>
      </c>
      <c r="AN1703">
        <v>1.0000000157912601</v>
      </c>
    </row>
    <row r="1704" spans="1:40" x14ac:dyDescent="0.25">
      <c r="A1704" t="str">
        <f>"20190312172402280"</f>
        <v>20190312172402280</v>
      </c>
      <c r="B1704" t="str">
        <f>"1552382642271187"</f>
        <v>1552382642271187</v>
      </c>
      <c r="C1704" t="s">
        <v>40</v>
      </c>
      <c r="D1704">
        <v>3.6315490000000001</v>
      </c>
      <c r="E1704">
        <v>0.47158909999999998</v>
      </c>
      <c r="F1704" t="s">
        <v>47</v>
      </c>
      <c r="G1704">
        <v>-251.51220000000001</v>
      </c>
      <c r="H1704" s="1">
        <v>-7.3207880000000002E-7</v>
      </c>
      <c r="I1704">
        <v>280.25749999999999</v>
      </c>
      <c r="J1704">
        <v>-222.70060000000001</v>
      </c>
      <c r="K1704">
        <v>1.1099220000000001</v>
      </c>
      <c r="L1704">
        <v>281.84089999999998</v>
      </c>
      <c r="M1704">
        <v>-0.99942540000000002</v>
      </c>
      <c r="N1704">
        <v>0</v>
      </c>
      <c r="O1704">
        <v>-3.168911E-2</v>
      </c>
      <c r="P1704">
        <v>-0.98305399999999998</v>
      </c>
      <c r="Q1704">
        <v>0.18297630000000001</v>
      </c>
      <c r="R1704">
        <v>1.1174130000000001E-2</v>
      </c>
      <c r="S1704">
        <v>-3.0761720000000001</v>
      </c>
      <c r="T1704">
        <v>-0.1179125</v>
      </c>
      <c r="U1704">
        <v>-0.168457</v>
      </c>
      <c r="V1704">
        <v>4.267787E-2</v>
      </c>
      <c r="W1704">
        <v>0.19470860000000001</v>
      </c>
      <c r="X1704">
        <v>0.97993220000000003</v>
      </c>
      <c r="Y1704">
        <v>-2.301487E-2</v>
      </c>
      <c r="Z1704">
        <v>7.7239270000000002E-4</v>
      </c>
      <c r="AA1704">
        <v>0.99973480000000003</v>
      </c>
      <c r="AB1704">
        <v>14</v>
      </c>
      <c r="AC1704">
        <v>-28.811599999999999</v>
      </c>
      <c r="AD1704">
        <v>-1.1099227320788001</v>
      </c>
      <c r="AE1704">
        <v>-1.5833999999999799</v>
      </c>
      <c r="AF1704">
        <v>-0.66853549094286202</v>
      </c>
      <c r="AG1704">
        <v>-1.1099227320788001</v>
      </c>
      <c r="AH1704">
        <v>28.804689044491099</v>
      </c>
      <c r="AI1704">
        <v>92.206076454905599</v>
      </c>
      <c r="AJ1704">
        <v>91.329553895435296</v>
      </c>
      <c r="AK1704">
        <v>28.833816589616799</v>
      </c>
      <c r="AL1704">
        <v>78.772298427667593</v>
      </c>
      <c r="AM1704">
        <v>87.506238127413596</v>
      </c>
      <c r="AN1704">
        <v>0.99999997804926799</v>
      </c>
    </row>
    <row r="1705" spans="1:40" x14ac:dyDescent="0.25">
      <c r="A1705" t="str">
        <f>"20190312172402293"</f>
        <v>20190312172402293</v>
      </c>
      <c r="B1705" t="str">
        <f>"1552382642291683"</f>
        <v>1552382642291683</v>
      </c>
      <c r="C1705" t="s">
        <v>40</v>
      </c>
      <c r="D1705">
        <v>3.6744889999999999</v>
      </c>
      <c r="E1705">
        <v>0.47146870000000002</v>
      </c>
      <c r="F1705" t="s">
        <v>47</v>
      </c>
      <c r="G1705">
        <v>-251.2388</v>
      </c>
      <c r="H1705" s="1">
        <v>-8.7757880000000004E-7</v>
      </c>
      <c r="I1705">
        <v>280.20260000000002</v>
      </c>
      <c r="J1705">
        <v>-222.7808</v>
      </c>
      <c r="K1705">
        <v>1.1099209999999999</v>
      </c>
      <c r="L1705">
        <v>281.83969999999999</v>
      </c>
      <c r="M1705">
        <v>-0.99946190000000001</v>
      </c>
      <c r="N1705">
        <v>0</v>
      </c>
      <c r="O1705">
        <v>-3.0518969999999999E-2</v>
      </c>
      <c r="P1705">
        <v>-0.98305160000000003</v>
      </c>
      <c r="Q1705">
        <v>0.1830079</v>
      </c>
      <c r="R1705">
        <v>1.085464E-2</v>
      </c>
      <c r="S1705">
        <v>-3.075958</v>
      </c>
      <c r="T1705">
        <v>-0.1196318</v>
      </c>
      <c r="U1705">
        <v>-0.1765747</v>
      </c>
      <c r="V1705">
        <v>4.1206590000000001E-2</v>
      </c>
      <c r="W1705">
        <v>0.1947315</v>
      </c>
      <c r="X1705">
        <v>0.97999069999999999</v>
      </c>
      <c r="Y1705">
        <v>-2.6815510000000001E-2</v>
      </c>
      <c r="Z1705">
        <v>6.6438879999999997E-4</v>
      </c>
      <c r="AA1705">
        <v>0.99964019999999998</v>
      </c>
      <c r="AB1705">
        <v>14</v>
      </c>
      <c r="AC1705">
        <v>-28.457999999999998</v>
      </c>
      <c r="AD1705">
        <v>-1.1099218775788</v>
      </c>
      <c r="AE1705">
        <v>-1.63709999999997</v>
      </c>
      <c r="AF1705">
        <v>-0.76660341920238495</v>
      </c>
      <c r="AG1705">
        <v>-1.1099218775788</v>
      </c>
      <c r="AH1705">
        <v>28.451571459187399</v>
      </c>
      <c r="AI1705">
        <v>92.233218365853304</v>
      </c>
      <c r="AJ1705">
        <v>91.543412670826896</v>
      </c>
      <c r="AK1705">
        <v>28.483530783136899</v>
      </c>
      <c r="AL1705">
        <v>78.770961637650899</v>
      </c>
      <c r="AM1705">
        <v>87.592248832886895</v>
      </c>
      <c r="AN1705">
        <v>1.00000005611908</v>
      </c>
    </row>
    <row r="1706" spans="1:40" x14ac:dyDescent="0.25">
      <c r="A1706" t="str">
        <f>"20190312172402314"</f>
        <v>20190312172402314</v>
      </c>
      <c r="B1706" t="str">
        <f>"1552382642311203"</f>
        <v>1552382642311203</v>
      </c>
      <c r="C1706" t="s">
        <v>40</v>
      </c>
      <c r="D1706">
        <v>3.650112</v>
      </c>
      <c r="E1706">
        <v>0.47149639999999998</v>
      </c>
      <c r="F1706" t="s">
        <v>47</v>
      </c>
      <c r="G1706">
        <v>-251.2971</v>
      </c>
      <c r="H1706" s="1">
        <v>-8.4655049999999998E-7</v>
      </c>
      <c r="I1706">
        <v>280.18239999999997</v>
      </c>
      <c r="J1706">
        <v>-222.90350000000001</v>
      </c>
      <c r="K1706">
        <v>1.109918</v>
      </c>
      <c r="L1706">
        <v>281.83800000000002</v>
      </c>
      <c r="M1706">
        <v>-0.99951489999999998</v>
      </c>
      <c r="N1706">
        <v>0</v>
      </c>
      <c r="O1706">
        <v>-2.8739899999999999E-2</v>
      </c>
      <c r="P1706">
        <v>-0.98308620000000002</v>
      </c>
      <c r="Q1706">
        <v>0.1828776</v>
      </c>
      <c r="R1706">
        <v>9.8801500000000007E-3</v>
      </c>
      <c r="S1706">
        <v>-3.0760040000000002</v>
      </c>
      <c r="T1706">
        <v>-0.1197256</v>
      </c>
      <c r="U1706">
        <v>-0.17877199999999999</v>
      </c>
      <c r="V1706">
        <v>3.8482379999999997E-2</v>
      </c>
      <c r="W1706">
        <v>0.1945837</v>
      </c>
      <c r="X1706">
        <v>0.98013070000000002</v>
      </c>
      <c r="Y1706">
        <v>-2.9302410000000001E-2</v>
      </c>
      <c r="Z1706">
        <v>5.4742910000000003E-4</v>
      </c>
      <c r="AA1706">
        <v>0.99957039999999997</v>
      </c>
      <c r="AB1706">
        <v>14</v>
      </c>
      <c r="AC1706">
        <v>-28.3935999999999</v>
      </c>
      <c r="AD1706">
        <v>-1.1099188465505001</v>
      </c>
      <c r="AE1706">
        <v>-1.65559999999999</v>
      </c>
      <c r="AF1706">
        <v>-0.837552537145973</v>
      </c>
      <c r="AG1706">
        <v>-1.1099188465505001</v>
      </c>
      <c r="AH1706">
        <v>28.386225800387301</v>
      </c>
      <c r="AI1706">
        <v>92.238186424252703</v>
      </c>
      <c r="AJ1706">
        <v>91.690055847466098</v>
      </c>
      <c r="AK1706">
        <v>28.4202608941048</v>
      </c>
      <c r="AL1706">
        <v>78.779593888615693</v>
      </c>
      <c r="AM1706">
        <v>87.751579422606</v>
      </c>
      <c r="AN1706">
        <v>0.99999994947932103</v>
      </c>
    </row>
    <row r="1707" spans="1:40" x14ac:dyDescent="0.25">
      <c r="A1707" t="str">
        <f>"20190312172402336"</f>
        <v>20190312172402336</v>
      </c>
      <c r="B1707" t="str">
        <f>"1552382642331700"</f>
        <v>1552382642331700</v>
      </c>
      <c r="C1707" t="s">
        <v>40</v>
      </c>
      <c r="D1707">
        <v>3.7042419999999998</v>
      </c>
      <c r="E1707">
        <v>0.47149720000000001</v>
      </c>
      <c r="F1707" t="s">
        <v>47</v>
      </c>
      <c r="G1707">
        <v>-251.23519999999999</v>
      </c>
      <c r="H1707" s="1">
        <v>-8.7947780000000005E-7</v>
      </c>
      <c r="I1707">
        <v>280.16520000000003</v>
      </c>
      <c r="J1707">
        <v>-223.0428</v>
      </c>
      <c r="K1707">
        <v>1.109912</v>
      </c>
      <c r="L1707">
        <v>281.83640000000003</v>
      </c>
      <c r="M1707">
        <v>-0.99957099999999999</v>
      </c>
      <c r="N1707">
        <v>0</v>
      </c>
      <c r="O1707">
        <v>-2.6735700000000001E-2</v>
      </c>
      <c r="P1707">
        <v>-0.98305319999999996</v>
      </c>
      <c r="Q1707">
        <v>0.183031</v>
      </c>
      <c r="R1707">
        <v>1.0304280000000001E-2</v>
      </c>
      <c r="S1707">
        <v>-3.0758670000000001</v>
      </c>
      <c r="T1707">
        <v>-0.1204996</v>
      </c>
      <c r="U1707">
        <v>-0.1816101</v>
      </c>
      <c r="V1707">
        <v>3.6932720000000002E-2</v>
      </c>
      <c r="W1707">
        <v>0.1947016</v>
      </c>
      <c r="X1707">
        <v>0.98016700000000001</v>
      </c>
      <c r="Y1707">
        <v>-3.2224509999999998E-2</v>
      </c>
      <c r="Z1707">
        <v>4.154362E-4</v>
      </c>
      <c r="AA1707">
        <v>0.99948049999999999</v>
      </c>
      <c r="AB1707">
        <v>14</v>
      </c>
      <c r="AC1707">
        <v>-28.1923999999999</v>
      </c>
      <c r="AD1707">
        <v>-1.1099128794777999</v>
      </c>
      <c r="AE1707">
        <v>-1.67119999999999</v>
      </c>
      <c r="AF1707">
        <v>-0.91539123933976796</v>
      </c>
      <c r="AG1707">
        <v>-1.1099128794777999</v>
      </c>
      <c r="AH1707">
        <v>28.183475108953399</v>
      </c>
      <c r="AI1707">
        <v>92.254051816274497</v>
      </c>
      <c r="AJ1707">
        <v>91.860296611326206</v>
      </c>
      <c r="AK1707">
        <v>28.220172163509002</v>
      </c>
      <c r="AL1707">
        <v>78.772708066552894</v>
      </c>
      <c r="AM1707">
        <v>87.842114281812201</v>
      </c>
      <c r="AN1707">
        <v>1.0000000433690699</v>
      </c>
    </row>
    <row r="1708" spans="1:40" x14ac:dyDescent="0.25">
      <c r="A1708" t="str">
        <f>"20190312172402359"</f>
        <v>20190312172402359</v>
      </c>
      <c r="B1708" t="str">
        <f>"1552382642351219"</f>
        <v>1552382642351219</v>
      </c>
      <c r="C1708" t="s">
        <v>40</v>
      </c>
      <c r="D1708">
        <v>3.633842</v>
      </c>
      <c r="E1708">
        <v>0.47158280000000002</v>
      </c>
      <c r="F1708" t="s">
        <v>47</v>
      </c>
      <c r="G1708">
        <v>-251.34059999999999</v>
      </c>
      <c r="H1708" s="1">
        <v>-8.2336710000000001E-7</v>
      </c>
      <c r="I1708">
        <v>280.17250000000001</v>
      </c>
      <c r="J1708">
        <v>-223.1849</v>
      </c>
      <c r="K1708">
        <v>1.1099129999999999</v>
      </c>
      <c r="L1708">
        <v>281.83499999999998</v>
      </c>
      <c r="M1708">
        <v>-0.99962390000000001</v>
      </c>
      <c r="N1708">
        <v>0</v>
      </c>
      <c r="O1708">
        <v>-2.470963E-2</v>
      </c>
      <c r="P1708">
        <v>-0.98296539999999999</v>
      </c>
      <c r="Q1708">
        <v>0.18337329999999999</v>
      </c>
      <c r="R1708">
        <v>1.2393619999999999E-2</v>
      </c>
      <c r="S1708">
        <v>-3.0760800000000001</v>
      </c>
      <c r="T1708">
        <v>-0.1206518</v>
      </c>
      <c r="U1708">
        <v>-0.1808777</v>
      </c>
      <c r="V1708">
        <v>3.7025089999999997E-2</v>
      </c>
      <c r="W1708">
        <v>0.19499059999999999</v>
      </c>
      <c r="X1708">
        <v>0.98010600000000003</v>
      </c>
      <c r="Y1708">
        <v>-3.4006139999999997E-2</v>
      </c>
      <c r="Z1708">
        <v>3.0171359999999999E-4</v>
      </c>
      <c r="AA1708">
        <v>0.99942160000000002</v>
      </c>
      <c r="AB1708">
        <v>14</v>
      </c>
      <c r="AC1708">
        <v>-28.1557</v>
      </c>
      <c r="AD1708">
        <v>-1.1099138233671</v>
      </c>
      <c r="AE1708">
        <v>-1.6624999999999599</v>
      </c>
      <c r="AF1708">
        <v>-0.96473219644844999</v>
      </c>
      <c r="AG1708">
        <v>-1.1099138233671</v>
      </c>
      <c r="AH1708">
        <v>28.1446004498343</v>
      </c>
      <c r="AI1708">
        <v>92.257028751647695</v>
      </c>
      <c r="AJ1708">
        <v>91.963198940394406</v>
      </c>
      <c r="AK1708">
        <v>28.1829940103421</v>
      </c>
      <c r="AL1708">
        <v>78.755825315855105</v>
      </c>
      <c r="AM1708">
        <v>87.836587946281398</v>
      </c>
      <c r="AN1708">
        <v>0.99999998130693302</v>
      </c>
    </row>
    <row r="1709" spans="1:40" x14ac:dyDescent="0.25">
      <c r="A1709" t="str">
        <f>"20190312172402381"</f>
        <v>20190312172402381</v>
      </c>
      <c r="B1709" t="str">
        <f>"1552382642371718"</f>
        <v>1552382642371718</v>
      </c>
      <c r="C1709" t="s">
        <v>40</v>
      </c>
      <c r="D1709">
        <v>3.6170550000000001</v>
      </c>
      <c r="E1709">
        <v>0.47164509999999998</v>
      </c>
      <c r="F1709" t="s">
        <v>47</v>
      </c>
      <c r="G1709">
        <v>-251.7157</v>
      </c>
      <c r="H1709" s="1">
        <v>-6.2379059999999996E-7</v>
      </c>
      <c r="I1709">
        <v>280.21480000000003</v>
      </c>
      <c r="J1709">
        <v>-223.32419999999999</v>
      </c>
      <c r="K1709">
        <v>1.1099129999999999</v>
      </c>
      <c r="L1709">
        <v>281.83390000000003</v>
      </c>
      <c r="M1709">
        <v>-0.99967119999999998</v>
      </c>
      <c r="N1709">
        <v>0</v>
      </c>
      <c r="O1709">
        <v>-2.27418E-2</v>
      </c>
      <c r="P1709">
        <v>-0.98299970000000003</v>
      </c>
      <c r="Q1709">
        <v>0.18306059999999999</v>
      </c>
      <c r="R1709">
        <v>1.414959E-2</v>
      </c>
      <c r="S1709">
        <v>-3.076508</v>
      </c>
      <c r="T1709">
        <v>-0.119683399999999</v>
      </c>
      <c r="U1709">
        <v>-0.17471310000000001</v>
      </c>
      <c r="V1709">
        <v>3.6843059999999997E-2</v>
      </c>
      <c r="W1709">
        <v>0.1946155</v>
      </c>
      <c r="X1709">
        <v>0.98018740000000004</v>
      </c>
      <c r="Y1709">
        <v>-3.3968140000000001E-2</v>
      </c>
      <c r="Z1709">
        <v>2.2358670000000001E-4</v>
      </c>
      <c r="AA1709">
        <v>0.9994229</v>
      </c>
      <c r="AB1709">
        <v>14</v>
      </c>
      <c r="AC1709">
        <v>-28.391500000000001</v>
      </c>
      <c r="AD1709">
        <v>-1.1099136237906</v>
      </c>
      <c r="AE1709">
        <v>-1.6191</v>
      </c>
      <c r="AF1709">
        <v>-0.97148220229915405</v>
      </c>
      <c r="AG1709">
        <v>-1.1099136237906</v>
      </c>
      <c r="AH1709">
        <v>28.377751518581999</v>
      </c>
      <c r="AI1709">
        <v>92.238506934939593</v>
      </c>
      <c r="AJ1709">
        <v>91.960694482016507</v>
      </c>
      <c r="AK1709">
        <v>28.416060021967201</v>
      </c>
      <c r="AL1709">
        <v>78.777736622646898</v>
      </c>
      <c r="AM1709">
        <v>87.847392714792505</v>
      </c>
      <c r="AN1709">
        <v>0.99999997151458597</v>
      </c>
    </row>
    <row r="1710" spans="1:40" x14ac:dyDescent="0.25">
      <c r="A1710" t="str">
        <f>"20190312172402395"</f>
        <v>20190312172402395</v>
      </c>
      <c r="B1710" t="str">
        <f>"1552382642392212"</f>
        <v>1552382642392212</v>
      </c>
      <c r="C1710" t="s">
        <v>40</v>
      </c>
      <c r="D1710">
        <v>3.6333299999999999</v>
      </c>
      <c r="E1710">
        <v>0.47169159999999999</v>
      </c>
      <c r="F1710" t="s">
        <v>47</v>
      </c>
      <c r="G1710">
        <v>-251.52959999999999</v>
      </c>
      <c r="H1710" s="1">
        <v>-7.2280969999999896E-7</v>
      </c>
      <c r="I1710">
        <v>280.28019999999998</v>
      </c>
      <c r="J1710">
        <v>-223.4119</v>
      </c>
      <c r="K1710">
        <v>1.109912</v>
      </c>
      <c r="L1710">
        <v>281.83339999999998</v>
      </c>
      <c r="M1710">
        <v>-0.99969909999999995</v>
      </c>
      <c r="N1710">
        <v>0</v>
      </c>
      <c r="O1710">
        <v>-2.1515490000000002E-2</v>
      </c>
      <c r="P1710">
        <v>-0.98302219999999996</v>
      </c>
      <c r="Q1710">
        <v>0.18284439999999999</v>
      </c>
      <c r="R1710">
        <v>1.535159E-2</v>
      </c>
      <c r="S1710">
        <v>-3.0768589999999998</v>
      </c>
      <c r="T1710">
        <v>-0.1210778</v>
      </c>
      <c r="U1710">
        <v>-0.1694946</v>
      </c>
      <c r="V1710">
        <v>3.6837210000000002E-2</v>
      </c>
      <c r="W1710">
        <v>0.19435359999999999</v>
      </c>
      <c r="X1710">
        <v>0.98023959999999999</v>
      </c>
      <c r="Y1710">
        <v>-3.349713E-2</v>
      </c>
      <c r="Z1710">
        <v>1.8725379999999999E-4</v>
      </c>
      <c r="AA1710">
        <v>0.99943879999999996</v>
      </c>
      <c r="AB1710">
        <v>14</v>
      </c>
      <c r="AC1710">
        <v>-28.1176999999999</v>
      </c>
      <c r="AD1710">
        <v>-1.1099127228096899</v>
      </c>
      <c r="AE1710">
        <v>-1.5531999999999999</v>
      </c>
      <c r="AF1710">
        <v>-0.94636220923662995</v>
      </c>
      <c r="AG1710">
        <v>-1.1099127228096899</v>
      </c>
      <c r="AH1710">
        <v>28.1009572578769</v>
      </c>
      <c r="AI1710">
        <v>92.260574258064395</v>
      </c>
      <c r="AJ1710">
        <v>91.928833775473805</v>
      </c>
      <c r="AK1710">
        <v>28.138786514211102</v>
      </c>
      <c r="AL1710">
        <v>78.793034674776706</v>
      </c>
      <c r="AM1710">
        <v>87.847848693053706</v>
      </c>
      <c r="AN1710">
        <v>0.99999998764085196</v>
      </c>
    </row>
    <row r="1711" spans="1:40" x14ac:dyDescent="0.25">
      <c r="A1711" t="str">
        <f>"20190312172402416"</f>
        <v>20190312172402416</v>
      </c>
      <c r="B1711" t="str">
        <f>"1552382642411731"</f>
        <v>1552382642411731</v>
      </c>
      <c r="C1711" t="s">
        <v>40</v>
      </c>
      <c r="D1711">
        <v>3.5963270000000001</v>
      </c>
      <c r="E1711">
        <v>0.47173110000000001</v>
      </c>
      <c r="F1711" t="s">
        <v>47</v>
      </c>
      <c r="G1711">
        <v>-251.3366</v>
      </c>
      <c r="H1711" s="1">
        <v>-8.2553119999999997E-7</v>
      </c>
      <c r="I1711">
        <v>280.33449999999999</v>
      </c>
      <c r="J1711">
        <v>-223.53829999999999</v>
      </c>
      <c r="K1711">
        <v>1.1099049999999999</v>
      </c>
      <c r="L1711">
        <v>281.83269999999999</v>
      </c>
      <c r="M1711">
        <v>-0.99973610000000002</v>
      </c>
      <c r="N1711">
        <v>0</v>
      </c>
      <c r="O1711">
        <v>-1.9758129999999999E-2</v>
      </c>
      <c r="P1711">
        <v>-0.9829696</v>
      </c>
      <c r="Q1711">
        <v>0.18291660000000001</v>
      </c>
      <c r="R1711">
        <v>1.7670290000000002E-2</v>
      </c>
      <c r="S1711">
        <v>-3.077118</v>
      </c>
      <c r="T1711">
        <v>-0.12230530000000001</v>
      </c>
      <c r="U1711">
        <v>-0.16516110000000001</v>
      </c>
      <c r="V1711">
        <v>3.7424109999999997E-2</v>
      </c>
      <c r="W1711">
        <v>0.19435549999999999</v>
      </c>
      <c r="X1711">
        <v>0.980217</v>
      </c>
      <c r="Y1711">
        <v>-3.3844180000000001E-2</v>
      </c>
      <c r="Z1711">
        <v>1.125094E-4</v>
      </c>
      <c r="AA1711">
        <v>0.99942710000000001</v>
      </c>
      <c r="AB1711">
        <v>14</v>
      </c>
      <c r="AC1711">
        <v>-27.798300000000001</v>
      </c>
      <c r="AD1711">
        <v>-1.1099058255312</v>
      </c>
      <c r="AE1711">
        <v>-1.49819999999999</v>
      </c>
      <c r="AF1711">
        <v>-0.94712184328820204</v>
      </c>
      <c r="AG1711">
        <v>-1.1099058255312</v>
      </c>
      <c r="AH1711">
        <v>27.778321160895501</v>
      </c>
      <c r="AI1711">
        <v>92.286755818805204</v>
      </c>
      <c r="AJ1711">
        <v>91.952784338965003</v>
      </c>
      <c r="AK1711">
        <v>27.8166147696918</v>
      </c>
      <c r="AL1711">
        <v>78.792923788524803</v>
      </c>
      <c r="AM1711">
        <v>87.813542715017306</v>
      </c>
      <c r="AN1711">
        <v>0.99999999573927101</v>
      </c>
    </row>
    <row r="1712" spans="1:40" x14ac:dyDescent="0.25">
      <c r="A1712" t="str">
        <f>"20190312172402438"</f>
        <v>20190312172402438</v>
      </c>
      <c r="B1712" t="str">
        <f>"1552382642431252"</f>
        <v>1552382642431252</v>
      </c>
      <c r="C1712" t="s">
        <v>40</v>
      </c>
      <c r="D1712">
        <v>3.6057809999999999</v>
      </c>
      <c r="E1712">
        <v>0.47164460000000002</v>
      </c>
      <c r="F1712" t="s">
        <v>47</v>
      </c>
      <c r="G1712">
        <v>-251.3194</v>
      </c>
      <c r="H1712" s="1">
        <v>-8.3468159999999999E-7</v>
      </c>
      <c r="I1712">
        <v>280.42009999999999</v>
      </c>
      <c r="J1712">
        <v>-223.67339999999999</v>
      </c>
      <c r="K1712">
        <v>1.109896</v>
      </c>
      <c r="L1712">
        <v>281.8322</v>
      </c>
      <c r="M1712">
        <v>-0.9997722</v>
      </c>
      <c r="N1712">
        <v>0</v>
      </c>
      <c r="O1712">
        <v>-1.7897730000000001E-2</v>
      </c>
      <c r="P1712">
        <v>-0.98301329999999998</v>
      </c>
      <c r="Q1712">
        <v>0.18243139999999999</v>
      </c>
      <c r="R1712">
        <v>2.0087939999999999E-2</v>
      </c>
      <c r="S1712">
        <v>-3.0776819999999998</v>
      </c>
      <c r="T1712">
        <v>-0.122958999999999</v>
      </c>
      <c r="U1712">
        <v>-0.1564941</v>
      </c>
      <c r="V1712">
        <v>3.8010240000000001E-2</v>
      </c>
      <c r="W1712">
        <v>0.1937932</v>
      </c>
      <c r="X1712">
        <v>0.9803058</v>
      </c>
      <c r="Y1712">
        <v>-3.2886529999999997E-2</v>
      </c>
      <c r="Z1712" s="1">
        <v>5.7986589999999997E-5</v>
      </c>
      <c r="AA1712">
        <v>0.99945910000000004</v>
      </c>
      <c r="AB1712">
        <v>14</v>
      </c>
      <c r="AC1712">
        <v>-27.646000000000001</v>
      </c>
      <c r="AD1712">
        <v>-1.1098968346816001</v>
      </c>
      <c r="AE1712">
        <v>-1.4120999999999999</v>
      </c>
      <c r="AF1712">
        <v>-0.91556784638780297</v>
      </c>
      <c r="AG1712">
        <v>-1.1098968346816001</v>
      </c>
      <c r="AH1712">
        <v>27.622441314949199</v>
      </c>
      <c r="AI1712">
        <v>92.299701371236907</v>
      </c>
      <c r="AJ1712">
        <v>91.898419280216501</v>
      </c>
      <c r="AK1712">
        <v>27.6598879184784</v>
      </c>
      <c r="AL1712">
        <v>78.8257659322948</v>
      </c>
      <c r="AM1712">
        <v>87.779533770521994</v>
      </c>
      <c r="AN1712">
        <v>1.0000000221123599</v>
      </c>
    </row>
    <row r="1713" spans="1:40" x14ac:dyDescent="0.25">
      <c r="A1713" t="str">
        <f>"20190312172402460"</f>
        <v>20190312172402460</v>
      </c>
      <c r="B1713" t="str">
        <f>"1552382642451748"</f>
        <v>1552382642451748</v>
      </c>
      <c r="C1713" t="s">
        <v>40</v>
      </c>
      <c r="D1713">
        <v>3.748802</v>
      </c>
      <c r="E1713">
        <v>0.4716899</v>
      </c>
      <c r="F1713" t="s">
        <v>47</v>
      </c>
      <c r="G1713">
        <v>-250.82740000000001</v>
      </c>
      <c r="H1713" s="1">
        <v>-1.0964950000000001E-6</v>
      </c>
      <c r="I1713">
        <v>280.52069999999998</v>
      </c>
      <c r="J1713">
        <v>-223.81610000000001</v>
      </c>
      <c r="K1713">
        <v>1.1098889999999999</v>
      </c>
      <c r="L1713">
        <v>281.83199999999999</v>
      </c>
      <c r="M1713">
        <v>-0.99980590000000003</v>
      </c>
      <c r="N1713">
        <v>0</v>
      </c>
      <c r="O1713">
        <v>-1.5951480000000001E-2</v>
      </c>
      <c r="P1713">
        <v>-0.98292330000000006</v>
      </c>
      <c r="Q1713">
        <v>0.1825619</v>
      </c>
      <c r="R1713">
        <v>2.30876E-2</v>
      </c>
      <c r="S1713">
        <v>-3.078217</v>
      </c>
      <c r="T1713">
        <v>-0.1258193</v>
      </c>
      <c r="U1713">
        <v>-0.1486816</v>
      </c>
      <c r="V1713">
        <v>3.9093210000000003E-2</v>
      </c>
      <c r="W1713">
        <v>0.19383900000000001</v>
      </c>
      <c r="X1713">
        <v>0.98025410000000002</v>
      </c>
      <c r="Y1713">
        <v>-3.2291260000000002E-2</v>
      </c>
      <c r="Z1713" s="1">
        <v>-7.9675809999999994E-6</v>
      </c>
      <c r="AA1713">
        <v>0.99947850000000005</v>
      </c>
      <c r="AB1713">
        <v>14</v>
      </c>
      <c r="AC1713">
        <v>-27.011299999999999</v>
      </c>
      <c r="AD1713">
        <v>-1.10989009649499</v>
      </c>
      <c r="AE1713">
        <v>-1.3113000000000099</v>
      </c>
      <c r="AF1713">
        <v>-0.87875393811267299</v>
      </c>
      <c r="AG1713">
        <v>-1.10989009649499</v>
      </c>
      <c r="AH1713">
        <v>26.9833305158607</v>
      </c>
      <c r="AI1713">
        <v>92.354140559100898</v>
      </c>
      <c r="AJ1713">
        <v>91.865266539127205</v>
      </c>
      <c r="AK1713">
        <v>27.0204402302817</v>
      </c>
      <c r="AL1713">
        <v>78.823090460692896</v>
      </c>
      <c r="AM1713">
        <v>87.7162150224312</v>
      </c>
      <c r="AN1713">
        <v>0.99999996877795605</v>
      </c>
    </row>
    <row r="1714" spans="1:40" x14ac:dyDescent="0.25">
      <c r="A1714" t="str">
        <f>"20190312172402482"</f>
        <v>20190312172402482</v>
      </c>
      <c r="B1714" t="str">
        <f>"1552382642471267"</f>
        <v>1552382642471267</v>
      </c>
      <c r="C1714" t="s">
        <v>40</v>
      </c>
      <c r="D1714">
        <v>3.5930970000000002</v>
      </c>
      <c r="E1714">
        <v>0.47164210000000001</v>
      </c>
      <c r="F1714" t="s">
        <v>47</v>
      </c>
      <c r="G1714">
        <v>-251.24879999999999</v>
      </c>
      <c r="H1714" s="1">
        <v>-8.7225679999999999E-7</v>
      </c>
      <c r="I1714">
        <v>280.5908</v>
      </c>
      <c r="J1714">
        <v>-223.9496</v>
      </c>
      <c r="K1714">
        <v>1.1098870000000001</v>
      </c>
      <c r="L1714">
        <v>281.83199999999999</v>
      </c>
      <c r="M1714">
        <v>-0.99983409999999995</v>
      </c>
      <c r="N1714">
        <v>0</v>
      </c>
      <c r="O1714">
        <v>-1.415319E-2</v>
      </c>
      <c r="P1714">
        <v>-0.98283989999999999</v>
      </c>
      <c r="Q1714">
        <v>0.18268899999999999</v>
      </c>
      <c r="R1714">
        <v>2.5515030000000001E-2</v>
      </c>
      <c r="S1714">
        <v>-3.078506</v>
      </c>
      <c r="T1714">
        <v>-0.1245525</v>
      </c>
      <c r="U1714">
        <v>-0.13928219999999999</v>
      </c>
      <c r="V1714">
        <v>3.9750099999999997E-2</v>
      </c>
      <c r="W1714">
        <v>0.19389100000000001</v>
      </c>
      <c r="X1714">
        <v>0.98021749999999996</v>
      </c>
      <c r="Y1714">
        <v>-3.1039239999999999E-2</v>
      </c>
      <c r="Z1714" s="1">
        <v>-5.5255479999999998E-5</v>
      </c>
      <c r="AA1714">
        <v>0.99951820000000002</v>
      </c>
      <c r="AB1714">
        <v>14</v>
      </c>
      <c r="AC1714">
        <v>-27.2991999999999</v>
      </c>
      <c r="AD1714">
        <v>-1.1098878722568</v>
      </c>
      <c r="AE1714">
        <v>-1.2411999999999901</v>
      </c>
      <c r="AF1714">
        <v>-0.85327199828599698</v>
      </c>
      <c r="AG1714">
        <v>-1.1098878722568</v>
      </c>
      <c r="AH1714">
        <v>27.269052153742699</v>
      </c>
      <c r="AI1714">
        <v>92.329591513920704</v>
      </c>
      <c r="AJ1714">
        <v>91.792249227416903</v>
      </c>
      <c r="AK1714">
        <v>27.3049652912356</v>
      </c>
      <c r="AL1714">
        <v>78.820054595658505</v>
      </c>
      <c r="AM1714">
        <v>87.677795238683998</v>
      </c>
      <c r="AN1714">
        <v>1.0000000688186199</v>
      </c>
    </row>
    <row r="1715" spans="1:40" x14ac:dyDescent="0.25">
      <c r="A1715" t="str">
        <f>"20190312172402494"</f>
        <v>20190312172402494</v>
      </c>
      <c r="B1715" t="str">
        <f>"1552382642491763"</f>
        <v>1552382642491763</v>
      </c>
      <c r="C1715" t="s">
        <v>40</v>
      </c>
      <c r="D1715">
        <v>3.6442060000000001</v>
      </c>
      <c r="E1715">
        <v>0.47156749999999997</v>
      </c>
      <c r="F1715" t="s">
        <v>47</v>
      </c>
      <c r="G1715">
        <v>-251.4299</v>
      </c>
      <c r="H1715" s="1">
        <v>-7.7583999999999999E-7</v>
      </c>
      <c r="I1715">
        <v>280.64690000000002</v>
      </c>
      <c r="J1715">
        <v>-224.0324</v>
      </c>
      <c r="K1715">
        <v>1.109888</v>
      </c>
      <c r="L1715">
        <v>281.83210000000003</v>
      </c>
      <c r="M1715">
        <v>-0.99984949999999995</v>
      </c>
      <c r="N1715">
        <v>0</v>
      </c>
      <c r="O1715">
        <v>-1.3048819999999999E-2</v>
      </c>
      <c r="P1715">
        <v>-0.9828036</v>
      </c>
      <c r="Q1715">
        <v>0.18271799999999999</v>
      </c>
      <c r="R1715">
        <v>2.6674070000000001E-2</v>
      </c>
      <c r="S1715">
        <v>-3.0789490000000002</v>
      </c>
      <c r="T1715">
        <v>-0.1243538</v>
      </c>
      <c r="U1715">
        <v>-0.13278199999999901</v>
      </c>
      <c r="V1715">
        <v>3.9822139999999999E-2</v>
      </c>
      <c r="W1715">
        <v>0.19387789999999999</v>
      </c>
      <c r="X1715">
        <v>0.98021709999999995</v>
      </c>
      <c r="Y1715">
        <v>-3.0030660000000001E-2</v>
      </c>
      <c r="Z1715" s="1">
        <v>-7.9368819999999898E-5</v>
      </c>
      <c r="AA1715">
        <v>0.99954900000000002</v>
      </c>
      <c r="AB1715">
        <v>14</v>
      </c>
      <c r="AC1715">
        <v>-27.397500000000001</v>
      </c>
      <c r="AD1715">
        <v>-1.10988877584</v>
      </c>
      <c r="AE1715">
        <v>-1.1852</v>
      </c>
      <c r="AF1715">
        <v>-0.82621728853617304</v>
      </c>
      <c r="AG1715">
        <v>-1.10988877584</v>
      </c>
      <c r="AH1715">
        <v>27.365807212294602</v>
      </c>
      <c r="AI1715">
        <v>92.321444167833306</v>
      </c>
      <c r="AJ1715">
        <v>91.729325485827204</v>
      </c>
      <c r="AK1715">
        <v>27.400764450706198</v>
      </c>
      <c r="AL1715">
        <v>78.820818943576498</v>
      </c>
      <c r="AM1715">
        <v>87.673590326416004</v>
      </c>
      <c r="AN1715">
        <v>1.00000000303749</v>
      </c>
    </row>
    <row r="1716" spans="1:40" x14ac:dyDescent="0.25">
      <c r="A1716" t="str">
        <f>"20190312172402514"</f>
        <v>20190312172402514</v>
      </c>
      <c r="B1716" t="str">
        <f>"1552382642511284"</f>
        <v>1552382642511284</v>
      </c>
      <c r="C1716" t="s">
        <v>40</v>
      </c>
      <c r="D1716">
        <v>3.5310990000000002</v>
      </c>
      <c r="E1716">
        <v>0.47147319999999998</v>
      </c>
      <c r="F1716" t="s">
        <v>47</v>
      </c>
      <c r="G1716">
        <v>-251.5018</v>
      </c>
      <c r="H1716" s="1">
        <v>-7.3762069999999996E-7</v>
      </c>
      <c r="I1716">
        <v>280.67559999999997</v>
      </c>
      <c r="J1716">
        <v>-224.1557</v>
      </c>
      <c r="K1716">
        <v>1.109888</v>
      </c>
      <c r="L1716">
        <v>281.83249999999998</v>
      </c>
      <c r="M1716">
        <v>-0.99987020000000004</v>
      </c>
      <c r="N1716">
        <v>0</v>
      </c>
      <c r="O1716">
        <v>-1.1412479999999999E-2</v>
      </c>
      <c r="P1716">
        <v>-0.98281370000000001</v>
      </c>
      <c r="Q1716">
        <v>0.18244099999999999</v>
      </c>
      <c r="R1716">
        <v>2.815732E-2</v>
      </c>
      <c r="S1716">
        <v>-3.0791780000000002</v>
      </c>
      <c r="T1716">
        <v>-0.12441290000000001</v>
      </c>
      <c r="U1716">
        <v>-0.1296387</v>
      </c>
      <c r="V1716">
        <v>3.9695229999999998E-2</v>
      </c>
      <c r="W1716">
        <v>0.19354289999999999</v>
      </c>
      <c r="X1716">
        <v>0.98028839999999995</v>
      </c>
      <c r="Y1716">
        <v>-3.064294E-2</v>
      </c>
      <c r="Z1716">
        <v>-1.5781230000000001E-4</v>
      </c>
      <c r="AA1716">
        <v>0.99953040000000004</v>
      </c>
      <c r="AB1716">
        <v>14</v>
      </c>
      <c r="AC1716">
        <v>-27.3461</v>
      </c>
      <c r="AD1716">
        <v>-1.1098887376207001</v>
      </c>
      <c r="AE1716">
        <v>-1.1569</v>
      </c>
      <c r="AF1716">
        <v>-0.84333092169151402</v>
      </c>
      <c r="AG1716">
        <v>-1.1098887376207001</v>
      </c>
      <c r="AH1716">
        <v>27.312611614688599</v>
      </c>
      <c r="AI1716">
        <v>92.325911925684494</v>
      </c>
      <c r="AJ1716">
        <v>91.768558654417404</v>
      </c>
      <c r="AK1716">
        <v>27.348159229977401</v>
      </c>
      <c r="AL1716">
        <v>78.840383080602805</v>
      </c>
      <c r="AM1716">
        <v>87.681164787758306</v>
      </c>
      <c r="AN1716">
        <v>0.99999995629986005</v>
      </c>
    </row>
    <row r="1717" spans="1:40" x14ac:dyDescent="0.25">
      <c r="A1717" t="str">
        <f>"20190312172402539"</f>
        <v>20190312172402539</v>
      </c>
      <c r="B1717" t="str">
        <f>"1552382642531780"</f>
        <v>1552382642531780</v>
      </c>
      <c r="C1717" t="s">
        <v>40</v>
      </c>
      <c r="D1717">
        <v>3.5735350000000001</v>
      </c>
      <c r="E1717">
        <v>0.47136549999999999</v>
      </c>
      <c r="F1717" t="s">
        <v>47</v>
      </c>
      <c r="G1717">
        <v>-251.55850000000001</v>
      </c>
      <c r="H1717" s="1">
        <v>-7.0744299999999896E-7</v>
      </c>
      <c r="I1717">
        <v>280.70920000000001</v>
      </c>
      <c r="J1717">
        <v>-224.3115</v>
      </c>
      <c r="K1717">
        <v>1.10988</v>
      </c>
      <c r="L1717">
        <v>281.8331</v>
      </c>
      <c r="M1717">
        <v>-0.99989229999999996</v>
      </c>
      <c r="N1717">
        <v>0</v>
      </c>
      <c r="O1717">
        <v>-9.3654350000000001E-3</v>
      </c>
      <c r="P1717">
        <v>-0.98279510000000003</v>
      </c>
      <c r="Q1717">
        <v>0.18228059999999999</v>
      </c>
      <c r="R1717">
        <v>2.9798580000000002E-2</v>
      </c>
      <c r="S1717">
        <v>-3.079224</v>
      </c>
      <c r="T1717">
        <v>-0.1247172</v>
      </c>
      <c r="U1717">
        <v>-0.12622069999999999</v>
      </c>
      <c r="V1717">
        <v>3.9322349999999999E-2</v>
      </c>
      <c r="W1717">
        <v>0.1933137</v>
      </c>
      <c r="X1717">
        <v>0.98034869999999996</v>
      </c>
      <c r="Y1717">
        <v>-3.1578540000000002E-2</v>
      </c>
      <c r="Z1717">
        <v>-2.5996580000000002E-4</v>
      </c>
      <c r="AA1717">
        <v>0.99950119999999998</v>
      </c>
      <c r="AB1717">
        <v>14</v>
      </c>
      <c r="AC1717">
        <v>-27.247</v>
      </c>
      <c r="AD1717">
        <v>-1.1098807074429999</v>
      </c>
      <c r="AE1717">
        <v>-1.1238999999999899</v>
      </c>
      <c r="AF1717">
        <v>-0.86721790546713695</v>
      </c>
      <c r="AG1717">
        <v>-1.1098807074429999</v>
      </c>
      <c r="AH1717">
        <v>27.211257428745899</v>
      </c>
      <c r="AI1717">
        <v>92.334476279877407</v>
      </c>
      <c r="AJ1717">
        <v>91.825388401864402</v>
      </c>
      <c r="AK1717">
        <v>27.247686744635701</v>
      </c>
      <c r="AL1717">
        <v>78.853768592174703</v>
      </c>
      <c r="AM1717">
        <v>87.703064628431406</v>
      </c>
      <c r="AN1717">
        <v>1.0000000037044501</v>
      </c>
    </row>
    <row r="1718" spans="1:40" x14ac:dyDescent="0.25">
      <c r="A1718" t="str">
        <f>"20190312172402685"</f>
        <v>20190312172402685</v>
      </c>
      <c r="B1718" t="str">
        <f>"1552382642682084"</f>
        <v>1552382642682084</v>
      </c>
      <c r="C1718" t="s">
        <v>40</v>
      </c>
      <c r="D1718">
        <v>3.707999</v>
      </c>
      <c r="E1718">
        <v>0.50758789999999998</v>
      </c>
      <c r="F1718" t="s">
        <v>47</v>
      </c>
      <c r="G1718">
        <v>-251.7381</v>
      </c>
      <c r="H1718" s="1">
        <v>-6.1186299999999995E-7</v>
      </c>
      <c r="I1718">
        <v>280.74180000000001</v>
      </c>
      <c r="J1718">
        <v>-225.2311</v>
      </c>
      <c r="K1718">
        <v>1.1099289999999999</v>
      </c>
      <c r="L1718">
        <v>281.8426</v>
      </c>
      <c r="M1718">
        <v>-0.99993779999999999</v>
      </c>
      <c r="N1718">
        <v>0</v>
      </c>
      <c r="O1718">
        <v>2.0288250000000002E-3</v>
      </c>
      <c r="P1718">
        <v>-0.98258630000000002</v>
      </c>
      <c r="Q1718">
        <v>0.18176149999999999</v>
      </c>
      <c r="R1718">
        <v>3.8563090000000001E-2</v>
      </c>
      <c r="S1718">
        <v>-3.079361</v>
      </c>
      <c r="T1718">
        <v>-0.1246136</v>
      </c>
      <c r="U1718">
        <v>-0.1225281</v>
      </c>
      <c r="V1718">
        <v>3.6852099999999999E-2</v>
      </c>
      <c r="W1718">
        <v>0.19249260000000001</v>
      </c>
      <c r="X1718">
        <v>0.98060619999999998</v>
      </c>
      <c r="Y1718">
        <v>-4.1750120000000002E-2</v>
      </c>
      <c r="Z1718">
        <v>-9.2612059999999999E-4</v>
      </c>
      <c r="AA1718">
        <v>0.9991276</v>
      </c>
      <c r="AB1718">
        <v>14</v>
      </c>
      <c r="AC1718">
        <v>-26.507000000000001</v>
      </c>
      <c r="AD1718">
        <v>-1.109929611863</v>
      </c>
      <c r="AE1718">
        <v>-1.10079999999999</v>
      </c>
      <c r="AF1718">
        <v>-1.1525616630794699</v>
      </c>
      <c r="AG1718">
        <v>-1.109929611863</v>
      </c>
      <c r="AH1718">
        <v>26.458400889843698</v>
      </c>
      <c r="AI1718">
        <v>92.399875608398204</v>
      </c>
      <c r="AJ1718">
        <v>92.494300259367606</v>
      </c>
      <c r="AK1718">
        <v>26.5067410252217</v>
      </c>
      <c r="AL1718">
        <v>78.901714637259701</v>
      </c>
      <c r="AM1718">
        <v>87.847783739085799</v>
      </c>
      <c r="AN1718">
        <v>0.99999999890380398</v>
      </c>
    </row>
    <row r="1719" spans="1:40" x14ac:dyDescent="0.25">
      <c r="A1719" t="str">
        <f>"20190312172402704"</f>
        <v>20190312172402704</v>
      </c>
      <c r="B1719" t="str">
        <f>"1552382642701604"</f>
        <v>1552382642701604</v>
      </c>
      <c r="C1719" t="s">
        <v>40</v>
      </c>
      <c r="D1719">
        <v>3.671351</v>
      </c>
      <c r="E1719">
        <v>0.50794570000000006</v>
      </c>
      <c r="F1719" t="s">
        <v>41</v>
      </c>
      <c r="G1719">
        <v>-226.01580000000001</v>
      </c>
      <c r="H1719">
        <v>0.94172160000000005</v>
      </c>
      <c r="I1719">
        <v>281.8922</v>
      </c>
      <c r="J1719">
        <v>-225.35560000000001</v>
      </c>
      <c r="K1719">
        <v>1.109937</v>
      </c>
      <c r="L1719">
        <v>281.84460000000001</v>
      </c>
      <c r="M1719">
        <v>-0.99993399999999999</v>
      </c>
      <c r="N1719">
        <v>0</v>
      </c>
      <c r="O1719">
        <v>3.464183E-3</v>
      </c>
      <c r="P1719">
        <v>-0.98254070000000004</v>
      </c>
      <c r="Q1719">
        <v>0.18181739999999999</v>
      </c>
      <c r="R1719">
        <v>3.9449989999999997E-2</v>
      </c>
      <c r="S1719">
        <v>-3.1710210000000001</v>
      </c>
      <c r="T1719">
        <v>-0.67966990000000005</v>
      </c>
      <c r="U1719">
        <v>0.20053099999999999</v>
      </c>
      <c r="V1719">
        <v>3.6323340000000003E-2</v>
      </c>
      <c r="W1719">
        <v>0.19252250000000001</v>
      </c>
      <c r="X1719">
        <v>0.98062009999999999</v>
      </c>
      <c r="Y1719">
        <v>5.8411699999999997E-2</v>
      </c>
      <c r="Z1719">
        <v>5.4501749999999998E-3</v>
      </c>
      <c r="AA1719">
        <v>0.99827770000000005</v>
      </c>
      <c r="AB1719">
        <v>14</v>
      </c>
      <c r="AC1719">
        <v>-0.66020000000000301</v>
      </c>
      <c r="AD1719">
        <v>-0.16821539999999999</v>
      </c>
      <c r="AE1719">
        <v>4.7599999999988499E-2</v>
      </c>
      <c r="AF1719">
        <v>4.2563573777572999E-2</v>
      </c>
      <c r="AG1719">
        <v>-0.16821539999999999</v>
      </c>
      <c r="AH1719">
        <v>0.62029919211567897</v>
      </c>
      <c r="AI1719">
        <v>105.138842153357</v>
      </c>
      <c r="AJ1719">
        <v>86.074641941250306</v>
      </c>
      <c r="AK1719">
        <v>0.64411114440695905</v>
      </c>
      <c r="AL1719">
        <v>78.899969293020106</v>
      </c>
      <c r="AM1719">
        <v>87.878665716124701</v>
      </c>
      <c r="AN1719">
        <v>1.0000000392795001</v>
      </c>
    </row>
    <row r="1720" spans="1:40" x14ac:dyDescent="0.25">
      <c r="A1720" t="str">
        <f>"20190312172402728"</f>
        <v>20190312172402728</v>
      </c>
      <c r="B1720" t="str">
        <f>"1552382642722100"</f>
        <v>1552382642722100</v>
      </c>
      <c r="C1720" t="s">
        <v>40</v>
      </c>
      <c r="D1720">
        <v>3.7594319999999999</v>
      </c>
      <c r="E1720">
        <v>0.50934780000000002</v>
      </c>
      <c r="F1720" t="s">
        <v>41</v>
      </c>
      <c r="G1720">
        <v>-226.14789999999999</v>
      </c>
      <c r="H1720">
        <v>0.95243979999999995</v>
      </c>
      <c r="I1720">
        <v>281.89589999999998</v>
      </c>
      <c r="J1720">
        <v>-225.50569999999999</v>
      </c>
      <c r="K1720">
        <v>1.1099429999999999</v>
      </c>
      <c r="L1720">
        <v>281.84719999999999</v>
      </c>
      <c r="M1720">
        <v>-0.99992709999999996</v>
      </c>
      <c r="N1720">
        <v>0</v>
      </c>
      <c r="O1720">
        <v>5.1523580000000001E-3</v>
      </c>
      <c r="P1720">
        <v>-0.98244819999999999</v>
      </c>
      <c r="Q1720">
        <v>0.182173</v>
      </c>
      <c r="R1720">
        <v>4.0112040000000002E-2</v>
      </c>
      <c r="S1720">
        <v>-3.1613920000000002</v>
      </c>
      <c r="T1720">
        <v>-0.62836979999999998</v>
      </c>
      <c r="U1720">
        <v>0.20397950000000001</v>
      </c>
      <c r="V1720">
        <v>3.5320039999999997E-2</v>
      </c>
      <c r="W1720">
        <v>0.1928472</v>
      </c>
      <c r="X1720">
        <v>0.98059289999999999</v>
      </c>
      <c r="Y1720">
        <v>5.8211730000000003E-2</v>
      </c>
      <c r="Z1720">
        <v>4.7101970000000002E-3</v>
      </c>
      <c r="AA1720">
        <v>0.99829319999999999</v>
      </c>
      <c r="AB1720">
        <v>14</v>
      </c>
      <c r="AC1720">
        <v>-0.64220000000000199</v>
      </c>
      <c r="AD1720">
        <v>-0.15750320000000001</v>
      </c>
      <c r="AE1720">
        <v>4.86999999999966E-2</v>
      </c>
      <c r="AF1720">
        <v>4.2828870306423197E-2</v>
      </c>
      <c r="AG1720">
        <v>-0.15750320000000001</v>
      </c>
      <c r="AH1720">
        <v>0.60618844618198597</v>
      </c>
      <c r="AI1720">
        <v>104.530167134278</v>
      </c>
      <c r="AJ1720">
        <v>85.958612283520097</v>
      </c>
      <c r="AK1720">
        <v>0.62777862533419804</v>
      </c>
      <c r="AL1720">
        <v>78.881009535091195</v>
      </c>
      <c r="AM1720">
        <v>87.937151344998298</v>
      </c>
      <c r="AN1720">
        <v>0.99999999165192499</v>
      </c>
    </row>
    <row r="1721" spans="1:40" x14ac:dyDescent="0.25">
      <c r="A1721" t="str">
        <f>"20190312172402750"</f>
        <v>20190312172402750</v>
      </c>
      <c r="B1721" t="str">
        <f>"1552382642741622"</f>
        <v>1552382642741622</v>
      </c>
      <c r="C1721" t="s">
        <v>40</v>
      </c>
      <c r="D1721">
        <v>3.674744</v>
      </c>
      <c r="E1721">
        <v>0.51061999999999996</v>
      </c>
      <c r="F1721" t="s">
        <v>47</v>
      </c>
      <c r="G1721">
        <v>-243.26689999999999</v>
      </c>
      <c r="H1721" s="1">
        <v>2.0167259999999999E-7</v>
      </c>
      <c r="I1721">
        <v>283.0446</v>
      </c>
      <c r="J1721">
        <v>-225.64760000000001</v>
      </c>
      <c r="K1721">
        <v>1.109953</v>
      </c>
      <c r="L1721">
        <v>281.84969999999998</v>
      </c>
      <c r="M1721">
        <v>-0.99991819999999998</v>
      </c>
      <c r="N1721">
        <v>0</v>
      </c>
      <c r="O1721">
        <v>6.7096369999999897E-3</v>
      </c>
      <c r="P1721">
        <v>-0.98227960000000003</v>
      </c>
      <c r="Q1721">
        <v>0.18283479999999999</v>
      </c>
      <c r="R1721">
        <v>4.1213109999999997E-2</v>
      </c>
      <c r="S1721">
        <v>-3.0807950000000002</v>
      </c>
      <c r="T1721">
        <v>-0.19252720000000001</v>
      </c>
      <c r="U1721">
        <v>0.20770259999999999</v>
      </c>
      <c r="V1721">
        <v>3.4885010000000001E-2</v>
      </c>
      <c r="W1721">
        <v>0.19347700000000001</v>
      </c>
      <c r="X1721">
        <v>0.98048440000000003</v>
      </c>
      <c r="Y1721">
        <v>6.0465089999999999E-2</v>
      </c>
      <c r="Z1721">
        <v>1.46691799999999E-3</v>
      </c>
      <c r="AA1721">
        <v>0.99816919999999998</v>
      </c>
      <c r="AB1721">
        <v>14</v>
      </c>
      <c r="AC1721">
        <v>-17.6192999999999</v>
      </c>
      <c r="AD1721">
        <v>-1.1099527983274</v>
      </c>
      <c r="AE1721">
        <v>1.1949000000000101</v>
      </c>
      <c r="AF1721">
        <v>1.0724105538639099</v>
      </c>
      <c r="AG1721">
        <v>-1.1099527983274</v>
      </c>
      <c r="AH1721">
        <v>17.557562122832302</v>
      </c>
      <c r="AI1721">
        <v>93.610596092528894</v>
      </c>
      <c r="AJ1721">
        <v>86.504733530451404</v>
      </c>
      <c r="AK1721">
        <v>17.6252672974815</v>
      </c>
      <c r="AL1721">
        <v>78.844231952582504</v>
      </c>
      <c r="AM1721">
        <v>87.962312224916005</v>
      </c>
      <c r="AN1721">
        <v>0.99999998604752904</v>
      </c>
    </row>
    <row r="1722" spans="1:40" x14ac:dyDescent="0.25">
      <c r="A1722" t="str">
        <f>"20190312172402772"</f>
        <v>20190312172402772</v>
      </c>
      <c r="B1722" t="str">
        <f>"1552382642762116"</f>
        <v>1552382642762116</v>
      </c>
      <c r="C1722" t="s">
        <v>40</v>
      </c>
      <c r="D1722">
        <v>3.6665390000000002</v>
      </c>
      <c r="E1722">
        <v>0.5105634</v>
      </c>
      <c r="F1722" t="s">
        <v>47</v>
      </c>
      <c r="G1722">
        <v>-244.80029999999999</v>
      </c>
      <c r="H1722" s="1">
        <v>1.017707E-6</v>
      </c>
      <c r="I1722">
        <v>283.21480000000003</v>
      </c>
      <c r="J1722">
        <v>-225.791</v>
      </c>
      <c r="K1722">
        <v>1.109974</v>
      </c>
      <c r="L1722">
        <v>281.85250000000002</v>
      </c>
      <c r="M1722">
        <v>-0.99990710000000005</v>
      </c>
      <c r="N1722">
        <v>0</v>
      </c>
      <c r="O1722">
        <v>8.2437629999999994E-3</v>
      </c>
      <c r="P1722">
        <v>-0.98219659999999998</v>
      </c>
      <c r="Q1722">
        <v>0.18316080000000001</v>
      </c>
      <c r="R1722">
        <v>4.1739140000000001E-2</v>
      </c>
      <c r="S1722">
        <v>-3.0781100000000001</v>
      </c>
      <c r="T1722">
        <v>-0.1783843</v>
      </c>
      <c r="U1722">
        <v>0.2193909</v>
      </c>
      <c r="V1722">
        <v>3.3895950000000001E-2</v>
      </c>
      <c r="W1722">
        <v>0.19377259999999999</v>
      </c>
      <c r="X1722">
        <v>0.98046069999999996</v>
      </c>
      <c r="Y1722">
        <v>6.2777360000000004E-2</v>
      </c>
      <c r="Z1722">
        <v>1.3385000000000001E-3</v>
      </c>
      <c r="AA1722">
        <v>0.99802670000000004</v>
      </c>
      <c r="AB1722">
        <v>14</v>
      </c>
      <c r="AC1722">
        <v>-19.0093</v>
      </c>
      <c r="AD1722">
        <v>-1.109972982293</v>
      </c>
      <c r="AE1722">
        <v>1.3623000000000001</v>
      </c>
      <c r="AF1722">
        <v>1.20146083830059</v>
      </c>
      <c r="AG1722">
        <v>-1.109972982293</v>
      </c>
      <c r="AH1722">
        <v>18.955586002815799</v>
      </c>
      <c r="AI1722">
        <v>93.3445180438992</v>
      </c>
      <c r="AJ1722">
        <v>86.373276310825801</v>
      </c>
      <c r="AK1722">
        <v>19.026029246207301</v>
      </c>
      <c r="AL1722">
        <v>78.826968442013893</v>
      </c>
      <c r="AM1722">
        <v>88.019990285301702</v>
      </c>
      <c r="AN1722">
        <v>0.99999997009082497</v>
      </c>
    </row>
    <row r="1723" spans="1:40" x14ac:dyDescent="0.25">
      <c r="A1723" t="str">
        <f>"20190312172402794"</f>
        <v>20190312172402794</v>
      </c>
      <c r="B1723" t="str">
        <f>"1552382642791395"</f>
        <v>1552382642791395</v>
      </c>
      <c r="C1723" t="s">
        <v>40</v>
      </c>
      <c r="D1723">
        <v>3.6627010000000002</v>
      </c>
      <c r="E1723">
        <v>0.5108355</v>
      </c>
      <c r="F1723" t="s">
        <v>47</v>
      </c>
      <c r="G1723">
        <v>-243.27930000000001</v>
      </c>
      <c r="H1723" s="1">
        <v>2.0827309999999999E-7</v>
      </c>
      <c r="I1723">
        <v>283.10090000000002</v>
      </c>
      <c r="J1723">
        <v>-225.9272</v>
      </c>
      <c r="K1723">
        <v>1.109998</v>
      </c>
      <c r="L1723">
        <v>281.8553</v>
      </c>
      <c r="M1723">
        <v>-0.99989490000000003</v>
      </c>
      <c r="N1723">
        <v>0</v>
      </c>
      <c r="O1723">
        <v>9.6564540000000001E-3</v>
      </c>
      <c r="P1723">
        <v>-0.98220819999999998</v>
      </c>
      <c r="Q1723">
        <v>0.18307180000000001</v>
      </c>
      <c r="R1723">
        <v>4.185651E-2</v>
      </c>
      <c r="S1723">
        <v>-3.0814970000000002</v>
      </c>
      <c r="T1723">
        <v>-0.19558159999999999</v>
      </c>
      <c r="U1723">
        <v>0.21997069999999999</v>
      </c>
      <c r="V1723">
        <v>3.261559E-2</v>
      </c>
      <c r="W1723">
        <v>0.1936571</v>
      </c>
      <c r="X1723">
        <v>0.98052700000000004</v>
      </c>
      <c r="Y1723">
        <v>6.146364E-2</v>
      </c>
      <c r="Z1723">
        <v>1.33463299999999E-3</v>
      </c>
      <c r="AA1723">
        <v>0.99810840000000001</v>
      </c>
      <c r="AB1723">
        <v>14</v>
      </c>
      <c r="AC1723">
        <v>-17.3521</v>
      </c>
      <c r="AD1723">
        <v>-1.1099977917268999</v>
      </c>
      <c r="AE1723">
        <v>1.24560000000002</v>
      </c>
      <c r="AF1723">
        <v>1.0736016620006901</v>
      </c>
      <c r="AG1723">
        <v>-1.1099977917268999</v>
      </c>
      <c r="AH1723">
        <v>17.292919059418001</v>
      </c>
      <c r="AI1723">
        <v>93.665624607726599</v>
      </c>
      <c r="AJ1723">
        <v>86.447447897902705</v>
      </c>
      <c r="AK1723">
        <v>17.361732782815</v>
      </c>
      <c r="AL1723">
        <v>78.833714480666501</v>
      </c>
      <c r="AM1723">
        <v>88.094854205599503</v>
      </c>
      <c r="AN1723">
        <v>1.00000002341022</v>
      </c>
    </row>
    <row r="1724" spans="1:40" x14ac:dyDescent="0.25">
      <c r="A1724" t="str">
        <f>"20190312172402816"</f>
        <v>20190312172402816</v>
      </c>
      <c r="B1724" t="str">
        <f>"1552382642811893"</f>
        <v>1552382642811893</v>
      </c>
      <c r="C1724" t="s">
        <v>40</v>
      </c>
      <c r="D1724">
        <v>3.6249220000000002</v>
      </c>
      <c r="E1724">
        <v>0.51087519999999997</v>
      </c>
      <c r="F1724" t="s">
        <v>47</v>
      </c>
      <c r="G1724">
        <v>-242.03149999999999</v>
      </c>
      <c r="H1724" s="1">
        <v>-4.5574739999999998E-7</v>
      </c>
      <c r="I1724">
        <v>283.01929999999999</v>
      </c>
      <c r="J1724">
        <v>-226.06710000000001</v>
      </c>
      <c r="K1724">
        <v>1.1100159999999999</v>
      </c>
      <c r="L1724">
        <v>281.85829999999999</v>
      </c>
      <c r="M1724">
        <v>-0.99988060000000001</v>
      </c>
      <c r="N1724">
        <v>0</v>
      </c>
      <c r="O1724">
        <v>1.106007E-2</v>
      </c>
      <c r="P1724">
        <v>-0.9821259</v>
      </c>
      <c r="Q1724">
        <v>0.18357109999999999</v>
      </c>
      <c r="R1724">
        <v>4.1600419999999999E-2</v>
      </c>
      <c r="S1724">
        <v>-3.084473</v>
      </c>
      <c r="T1724">
        <v>-0.21259939999999999</v>
      </c>
      <c r="U1724">
        <v>0.22293089999999999</v>
      </c>
      <c r="V1724">
        <v>3.0971510000000001E-2</v>
      </c>
      <c r="W1724">
        <v>0.1941272</v>
      </c>
      <c r="X1724">
        <v>0.98048729999999995</v>
      </c>
      <c r="Y1724">
        <v>6.0933149999999998E-2</v>
      </c>
      <c r="Z1724">
        <v>1.334331E-3</v>
      </c>
      <c r="AA1724">
        <v>0.9981409</v>
      </c>
      <c r="AB1724">
        <v>14</v>
      </c>
      <c r="AC1724">
        <v>-15.9643999999999</v>
      </c>
      <c r="AD1724">
        <v>-1.1100164557473999</v>
      </c>
      <c r="AE1724">
        <v>1.161</v>
      </c>
      <c r="AF1724">
        <v>0.97964013961192797</v>
      </c>
      <c r="AG1724">
        <v>-1.1100164557473999</v>
      </c>
      <c r="AH1724">
        <v>15.899801368292501</v>
      </c>
      <c r="AI1724">
        <v>93.985989509278696</v>
      </c>
      <c r="AJ1724">
        <v>86.474271632205003</v>
      </c>
      <c r="AK1724">
        <v>15.9685789876972</v>
      </c>
      <c r="AL1724">
        <v>78.806258151947205</v>
      </c>
      <c r="AM1724">
        <v>88.190749687480604</v>
      </c>
      <c r="AN1724">
        <v>0.99999997483640402</v>
      </c>
    </row>
    <row r="1725" spans="1:40" x14ac:dyDescent="0.25">
      <c r="A1725" t="str">
        <f>"20190312172402840"</f>
        <v>20190312172402840</v>
      </c>
      <c r="B1725" t="str">
        <f>"1552382642831411"</f>
        <v>1552382642831411</v>
      </c>
      <c r="C1725" t="s">
        <v>40</v>
      </c>
      <c r="D1725">
        <v>3.6318670000000002</v>
      </c>
      <c r="E1725">
        <v>0.5107391</v>
      </c>
      <c r="F1725" t="s">
        <v>41</v>
      </c>
      <c r="G1725">
        <v>-226.84630000000001</v>
      </c>
      <c r="H1725">
        <v>1.054478</v>
      </c>
      <c r="I1725">
        <v>281.91469999999998</v>
      </c>
      <c r="J1725">
        <v>-226.22229999999999</v>
      </c>
      <c r="K1725">
        <v>1.1100369999999999</v>
      </c>
      <c r="L1725">
        <v>281.86189999999999</v>
      </c>
      <c r="M1725">
        <v>-0.99986339999999996</v>
      </c>
      <c r="N1725">
        <v>0</v>
      </c>
      <c r="O1725">
        <v>1.2560460000000001E-2</v>
      </c>
      <c r="P1725">
        <v>-0.98199590000000003</v>
      </c>
      <c r="Q1725">
        <v>0.18427060000000001</v>
      </c>
      <c r="R1725">
        <v>4.1577940000000001E-2</v>
      </c>
      <c r="S1725">
        <v>-3.0863040000000002</v>
      </c>
      <c r="T1725">
        <v>-0.2201034</v>
      </c>
      <c r="U1725">
        <v>0.22271730000000001</v>
      </c>
      <c r="V1725">
        <v>2.9465060000000001E-2</v>
      </c>
      <c r="W1725">
        <v>0.19479189999999999</v>
      </c>
      <c r="X1725">
        <v>0.98040190000000005</v>
      </c>
      <c r="Y1725">
        <v>5.9323540000000001E-2</v>
      </c>
      <c r="Z1725">
        <v>1.216544E-3</v>
      </c>
      <c r="AA1725">
        <v>0.99823810000000002</v>
      </c>
      <c r="AB1725">
        <v>14</v>
      </c>
      <c r="AC1725">
        <v>-0.62400000000002298</v>
      </c>
      <c r="AD1725">
        <v>-5.5559000000000101E-2</v>
      </c>
      <c r="AE1725">
        <v>5.2799999999990598E-2</v>
      </c>
      <c r="AF1725">
        <v>4.46065476373829E-2</v>
      </c>
      <c r="AG1725">
        <v>-5.5559000000000101E-2</v>
      </c>
      <c r="AH1725">
        <v>0.61973593085846201</v>
      </c>
      <c r="AI1725">
        <v>95.109693214992902</v>
      </c>
      <c r="AJ1725">
        <v>85.883138362421903</v>
      </c>
      <c r="AK1725">
        <v>0.62381821917136304</v>
      </c>
      <c r="AL1725">
        <v>78.7674325408084</v>
      </c>
      <c r="AM1725">
        <v>88.278547234272395</v>
      </c>
      <c r="AN1725">
        <v>0.99999997979501098</v>
      </c>
    </row>
    <row r="1726" spans="1:40" x14ac:dyDescent="0.25">
      <c r="A1726" t="str">
        <f>"20190312172402862"</f>
        <v>20190312172402862</v>
      </c>
      <c r="B1726" t="str">
        <f>"1552382642851908"</f>
        <v>1552382642851908</v>
      </c>
      <c r="C1726" t="s">
        <v>40</v>
      </c>
      <c r="D1726">
        <v>3.6071710000000001</v>
      </c>
      <c r="E1726">
        <v>0.51063139999999996</v>
      </c>
      <c r="F1726" t="s">
        <v>47</v>
      </c>
      <c r="G1726">
        <v>-241.4564</v>
      </c>
      <c r="H1726" s="1">
        <v>-7.6175349999999899E-7</v>
      </c>
      <c r="I1726">
        <v>282.95269999999999</v>
      </c>
      <c r="J1726">
        <v>-226.364</v>
      </c>
      <c r="K1726">
        <v>1.110053</v>
      </c>
      <c r="L1726">
        <v>281.86520000000002</v>
      </c>
      <c r="M1726">
        <v>-0.99984629999999997</v>
      </c>
      <c r="N1726">
        <v>0</v>
      </c>
      <c r="O1726">
        <v>1.387613E-2</v>
      </c>
      <c r="P1726">
        <v>-0.98188470000000005</v>
      </c>
      <c r="Q1726">
        <v>0.18496319999999999</v>
      </c>
      <c r="R1726">
        <v>4.1126129999999997E-2</v>
      </c>
      <c r="S1726">
        <v>-3.0878749999999999</v>
      </c>
      <c r="T1726">
        <v>-0.224999</v>
      </c>
      <c r="U1726">
        <v>0.22109989999999999</v>
      </c>
      <c r="V1726">
        <v>2.7712580000000001E-2</v>
      </c>
      <c r="W1726">
        <v>0.19545080000000001</v>
      </c>
      <c r="X1726">
        <v>0.98032189999999997</v>
      </c>
      <c r="Y1726">
        <v>5.7456460000000001E-2</v>
      </c>
      <c r="Z1726">
        <v>1.079485E-3</v>
      </c>
      <c r="AA1726">
        <v>0.9983474</v>
      </c>
      <c r="AB1726">
        <v>14</v>
      </c>
      <c r="AC1726">
        <v>-15.0923999999999</v>
      </c>
      <c r="AD1726">
        <v>-1.1100537617535</v>
      </c>
      <c r="AE1726">
        <v>1.0874999999999699</v>
      </c>
      <c r="AF1726">
        <v>0.87325950435064403</v>
      </c>
      <c r="AG1726">
        <v>-1.1100537617535</v>
      </c>
      <c r="AH1726">
        <v>15.025176397460701</v>
      </c>
      <c r="AI1726">
        <v>94.218219306331093</v>
      </c>
      <c r="AJ1726">
        <v>86.673725499027498</v>
      </c>
      <c r="AK1726">
        <v>15.091412368984299</v>
      </c>
      <c r="AL1726">
        <v>78.728940900317397</v>
      </c>
      <c r="AM1726">
        <v>88.380745018106794</v>
      </c>
      <c r="AN1726">
        <v>1.0000000149652499</v>
      </c>
    </row>
    <row r="1727" spans="1:40" x14ac:dyDescent="0.25">
      <c r="A1727" t="str">
        <f>"20190312172402884"</f>
        <v>20190312172402884</v>
      </c>
      <c r="B1727" t="str">
        <f>"1552382642871428"</f>
        <v>1552382642871428</v>
      </c>
      <c r="C1727" t="s">
        <v>40</v>
      </c>
      <c r="D1727">
        <v>3.6349089999999999</v>
      </c>
      <c r="E1727">
        <v>0.51061840000000003</v>
      </c>
      <c r="F1727" t="s">
        <v>41</v>
      </c>
      <c r="G1727">
        <v>-227.21639999999999</v>
      </c>
      <c r="H1727">
        <v>1.046702</v>
      </c>
      <c r="I1727">
        <v>281.92520000000002</v>
      </c>
      <c r="J1727">
        <v>-226.4991</v>
      </c>
      <c r="K1727">
        <v>1.1100639999999999</v>
      </c>
      <c r="L1727">
        <v>281.86849999999998</v>
      </c>
      <c r="M1727">
        <v>-0.99982919999999997</v>
      </c>
      <c r="N1727">
        <v>0</v>
      </c>
      <c r="O1727">
        <v>1.508525E-2</v>
      </c>
      <c r="P1727">
        <v>-0.98198220000000003</v>
      </c>
      <c r="Q1727">
        <v>0.18463309999999999</v>
      </c>
      <c r="R1727">
        <v>4.0268079999999998E-2</v>
      </c>
      <c r="S1727">
        <v>-3.089569</v>
      </c>
      <c r="T1727">
        <v>-0.22973669999999999</v>
      </c>
      <c r="U1727">
        <v>0.21679689999999999</v>
      </c>
      <c r="V1727">
        <v>2.5655979999999998E-2</v>
      </c>
      <c r="W1727">
        <v>0.19508929999999999</v>
      </c>
      <c r="X1727">
        <v>0.98044989999999999</v>
      </c>
      <c r="Y1727">
        <v>5.4832230000000003E-2</v>
      </c>
      <c r="Z1727">
        <v>9.1464010000000002E-4</v>
      </c>
      <c r="AA1727">
        <v>0.99849520000000003</v>
      </c>
      <c r="AB1727">
        <v>14</v>
      </c>
      <c r="AC1727">
        <v>-0.71729999999999405</v>
      </c>
      <c r="AD1727">
        <v>-6.3361999999999905E-2</v>
      </c>
      <c r="AE1727">
        <v>5.6700000000034799E-2</v>
      </c>
      <c r="AF1727">
        <v>4.5519303651885799E-2</v>
      </c>
      <c r="AG1727">
        <v>-6.3361999999999905E-2</v>
      </c>
      <c r="AH1727">
        <v>0.71254833301742904</v>
      </c>
      <c r="AI1727">
        <v>95.071268883807406</v>
      </c>
      <c r="AJ1727">
        <v>86.344774489905106</v>
      </c>
      <c r="AK1727">
        <v>0.71680672216077201</v>
      </c>
      <c r="AL1727">
        <v>78.7500601072514</v>
      </c>
      <c r="AM1727">
        <v>88.501051412607694</v>
      </c>
      <c r="AN1727">
        <v>1.0000000353471199</v>
      </c>
    </row>
    <row r="1728" spans="1:40" x14ac:dyDescent="0.25">
      <c r="A1728" t="str">
        <f>"20190312172402906"</f>
        <v>20190312172402906</v>
      </c>
      <c r="B1728" t="str">
        <f>"1552382642901684"</f>
        <v>1552382642901684</v>
      </c>
      <c r="C1728" t="s">
        <v>40</v>
      </c>
      <c r="D1728">
        <v>3.6276619999999999</v>
      </c>
      <c r="E1728">
        <v>0.51049389999999994</v>
      </c>
      <c r="F1728" t="s">
        <v>41</v>
      </c>
      <c r="G1728">
        <v>-227.3443</v>
      </c>
      <c r="H1728">
        <v>1.045812</v>
      </c>
      <c r="I1728">
        <v>281.92700000000002</v>
      </c>
      <c r="J1728">
        <v>-226.64410000000001</v>
      </c>
      <c r="K1728">
        <v>1.1100680000000001</v>
      </c>
      <c r="L1728">
        <v>281.87220000000002</v>
      </c>
      <c r="M1728">
        <v>-0.99980990000000003</v>
      </c>
      <c r="N1728">
        <v>0</v>
      </c>
      <c r="O1728">
        <v>1.634184E-2</v>
      </c>
      <c r="P1728">
        <v>-0.982128</v>
      </c>
      <c r="Q1728">
        <v>0.18403140000000001</v>
      </c>
      <c r="R1728">
        <v>3.9458119999999999E-2</v>
      </c>
      <c r="S1728">
        <v>-3.0904690000000001</v>
      </c>
      <c r="T1728">
        <v>-0.23494670000000001</v>
      </c>
      <c r="U1728">
        <v>0.21334839999999999</v>
      </c>
      <c r="V1728">
        <v>2.3601670000000002E-2</v>
      </c>
      <c r="W1728">
        <v>0.19445319999999999</v>
      </c>
      <c r="X1728">
        <v>0.98062780000000005</v>
      </c>
      <c r="Y1728">
        <v>5.2453550000000002E-2</v>
      </c>
      <c r="Z1728">
        <v>7.4965679999999997E-4</v>
      </c>
      <c r="AA1728">
        <v>0.99862309999999999</v>
      </c>
      <c r="AB1728">
        <v>14</v>
      </c>
      <c r="AC1728">
        <v>-0.70019999999999505</v>
      </c>
      <c r="AD1728">
        <v>-6.4255999999999799E-2</v>
      </c>
      <c r="AE1728">
        <v>5.4800000000000099E-2</v>
      </c>
      <c r="AF1728">
        <v>4.2989649722546097E-2</v>
      </c>
      <c r="AG1728">
        <v>-6.4255999999999799E-2</v>
      </c>
      <c r="AH1728">
        <v>0.69518330982305998</v>
      </c>
      <c r="AI1728">
        <v>95.270849638932901</v>
      </c>
      <c r="AJ1728">
        <v>86.461375156517505</v>
      </c>
      <c r="AK1728">
        <v>0.69946892552550999</v>
      </c>
      <c r="AL1728">
        <v>78.7872169823478</v>
      </c>
      <c r="AM1728">
        <v>88.621276020756099</v>
      </c>
      <c r="AN1728">
        <v>0.99999998397493395</v>
      </c>
    </row>
    <row r="1729" spans="1:40" x14ac:dyDescent="0.25">
      <c r="A1729" t="str">
        <f>"20190312172402929"</f>
        <v>20190312172402929</v>
      </c>
      <c r="B1729" t="str">
        <f>"1552382642921204"</f>
        <v>1552382642921204</v>
      </c>
      <c r="C1729" t="s">
        <v>40</v>
      </c>
      <c r="D1729">
        <v>3.6129090000000001</v>
      </c>
      <c r="E1729">
        <v>0.51042129999999997</v>
      </c>
      <c r="F1729" t="s">
        <v>41</v>
      </c>
      <c r="G1729">
        <v>-227.47300000000001</v>
      </c>
      <c r="H1729">
        <v>1.045533</v>
      </c>
      <c r="I1729">
        <v>281.92849999999999</v>
      </c>
      <c r="J1729">
        <v>-226.79150000000001</v>
      </c>
      <c r="K1729">
        <v>1.110066</v>
      </c>
      <c r="L1729">
        <v>281.87610000000001</v>
      </c>
      <c r="M1729">
        <v>-0.99978929999999999</v>
      </c>
      <c r="N1729">
        <v>0</v>
      </c>
      <c r="O1729">
        <v>1.7583169999999999E-2</v>
      </c>
      <c r="P1729">
        <v>-0.98217909999999997</v>
      </c>
      <c r="Q1729">
        <v>0.1839278</v>
      </c>
      <c r="R1729">
        <v>3.8664480000000001E-2</v>
      </c>
      <c r="S1729">
        <v>-3.0912929999999998</v>
      </c>
      <c r="T1729">
        <v>-0.24073149999999999</v>
      </c>
      <c r="U1729">
        <v>0.2093506</v>
      </c>
      <c r="V1729">
        <v>2.1582939999999998E-2</v>
      </c>
      <c r="W1729">
        <v>0.1943115</v>
      </c>
      <c r="X1729">
        <v>0.98070239999999997</v>
      </c>
      <c r="Y1729">
        <v>4.9916040000000002E-2</v>
      </c>
      <c r="Z1729">
        <v>5.7296699999999996E-4</v>
      </c>
      <c r="AA1729">
        <v>0.99875320000000001</v>
      </c>
      <c r="AB1729">
        <v>14</v>
      </c>
      <c r="AC1729">
        <v>-0.68149999999997102</v>
      </c>
      <c r="AD1729">
        <v>-6.4532999999999896E-2</v>
      </c>
      <c r="AE1729">
        <v>5.2399999999977298E-2</v>
      </c>
      <c r="AF1729">
        <v>4.0051279084425601E-2</v>
      </c>
      <c r="AG1729">
        <v>-6.4532999999999896E-2</v>
      </c>
      <c r="AH1729">
        <v>0.676287621462908</v>
      </c>
      <c r="AI1729">
        <v>95.441321441786002</v>
      </c>
      <c r="AJ1729">
        <v>86.610773259425997</v>
      </c>
      <c r="AK1729">
        <v>0.68053916859300301</v>
      </c>
      <c r="AL1729">
        <v>78.795493731890701</v>
      </c>
      <c r="AM1729">
        <v>88.739258938944701</v>
      </c>
      <c r="AN1729">
        <v>0.99999998984852601</v>
      </c>
    </row>
    <row r="1730" spans="1:40" x14ac:dyDescent="0.25">
      <c r="A1730" t="str">
        <f>"20190312172402953"</f>
        <v>20190312172402953</v>
      </c>
      <c r="B1730" t="str">
        <f>"1552382642941700"</f>
        <v>1552382642941700</v>
      </c>
      <c r="C1730" t="s">
        <v>40</v>
      </c>
      <c r="D1730">
        <v>3.640946</v>
      </c>
      <c r="E1730">
        <v>0.51041639999999999</v>
      </c>
      <c r="F1730" t="s">
        <v>41</v>
      </c>
      <c r="G1730">
        <v>-227.60290000000001</v>
      </c>
      <c r="H1730">
        <v>1.0463009999999999</v>
      </c>
      <c r="I1730">
        <v>281.93029999999999</v>
      </c>
      <c r="J1730">
        <v>-226.9452</v>
      </c>
      <c r="K1730">
        <v>1.110063</v>
      </c>
      <c r="L1730">
        <v>281.8802</v>
      </c>
      <c r="M1730">
        <v>-0.99976699999999996</v>
      </c>
      <c r="N1730">
        <v>0</v>
      </c>
      <c r="O1730">
        <v>1.8836950000000002E-2</v>
      </c>
      <c r="P1730">
        <v>-0.98205290000000001</v>
      </c>
      <c r="Q1730">
        <v>0.18473149999999999</v>
      </c>
      <c r="R1730">
        <v>3.803376E-2</v>
      </c>
      <c r="S1730">
        <v>-3.0917970000000001</v>
      </c>
      <c r="T1730">
        <v>-0.24299319999999999</v>
      </c>
      <c r="U1730">
        <v>0.20632929999999999</v>
      </c>
      <c r="V1730">
        <v>1.971989E-2</v>
      </c>
      <c r="W1730">
        <v>0.19507060000000001</v>
      </c>
      <c r="X1730">
        <v>0.98059090000000004</v>
      </c>
      <c r="Y1730">
        <v>4.7689780000000001E-2</v>
      </c>
      <c r="Z1730">
        <v>3.9276270000000003E-4</v>
      </c>
      <c r="AA1730">
        <v>0.99886209999999997</v>
      </c>
      <c r="AB1730">
        <v>14</v>
      </c>
      <c r="AC1730">
        <v>-0.65770000000000495</v>
      </c>
      <c r="AD1730">
        <v>-6.3762000000000096E-2</v>
      </c>
      <c r="AE1730">
        <v>5.0099999999986197E-2</v>
      </c>
      <c r="AF1730">
        <v>3.7352321076992601E-2</v>
      </c>
      <c r="AG1730">
        <v>-6.3762000000000096E-2</v>
      </c>
      <c r="AH1730">
        <v>0.65243044673795303</v>
      </c>
      <c r="AI1730">
        <v>95.572720577034104</v>
      </c>
      <c r="AJ1730">
        <v>86.723333913726293</v>
      </c>
      <c r="AK1730">
        <v>0.65660206850460401</v>
      </c>
      <c r="AL1730">
        <v>78.751151703313695</v>
      </c>
      <c r="AM1730">
        <v>88.847925069816597</v>
      </c>
      <c r="AN1730">
        <v>0.99999996310438999</v>
      </c>
    </row>
    <row r="1731" spans="1:40" x14ac:dyDescent="0.25">
      <c r="A1731" t="str">
        <f>"20190312172402974"</f>
        <v>20190312172402974</v>
      </c>
      <c r="B1731" t="str">
        <f>"1552382642971957"</f>
        <v>1552382642971957</v>
      </c>
      <c r="C1731" t="s">
        <v>40</v>
      </c>
      <c r="D1731">
        <v>3.6510980000000002</v>
      </c>
      <c r="E1731">
        <v>0.51056389999999996</v>
      </c>
      <c r="F1731" t="s">
        <v>41</v>
      </c>
      <c r="G1731">
        <v>-227.73410000000001</v>
      </c>
      <c r="H1731">
        <v>1.048268</v>
      </c>
      <c r="I1731">
        <v>281.93259999999998</v>
      </c>
      <c r="J1731">
        <v>-227.0855</v>
      </c>
      <c r="K1731">
        <v>1.11006</v>
      </c>
      <c r="L1731">
        <v>281.88420000000002</v>
      </c>
      <c r="M1731">
        <v>-0.99974600000000002</v>
      </c>
      <c r="N1731">
        <v>0</v>
      </c>
      <c r="O1731">
        <v>1.9947389999999999E-2</v>
      </c>
      <c r="P1731">
        <v>-0.98198350000000001</v>
      </c>
      <c r="Q1731">
        <v>0.18507670000000001</v>
      </c>
      <c r="R1731">
        <v>3.8151570000000003E-2</v>
      </c>
      <c r="S1731">
        <v>-3.0924839999999998</v>
      </c>
      <c r="T1731">
        <v>-0.24232319999999999</v>
      </c>
      <c r="U1731">
        <v>0.20446780000000001</v>
      </c>
      <c r="V1731">
        <v>1.874493E-2</v>
      </c>
      <c r="W1731">
        <v>0.19536899999999999</v>
      </c>
      <c r="X1731">
        <v>0.98055060000000005</v>
      </c>
      <c r="Y1731">
        <v>4.5976049999999997E-2</v>
      </c>
      <c r="Z1731">
        <v>2.378852E-4</v>
      </c>
      <c r="AA1731">
        <v>0.99894249999999996</v>
      </c>
      <c r="AB1731">
        <v>14</v>
      </c>
      <c r="AC1731">
        <v>-0.64860000000001605</v>
      </c>
      <c r="AD1731">
        <v>-6.1792E-2</v>
      </c>
      <c r="AE1731">
        <v>4.8399999999958199E-2</v>
      </c>
      <c r="AF1731">
        <v>3.5134651785071198E-2</v>
      </c>
      <c r="AG1731">
        <v>-6.1792E-2</v>
      </c>
      <c r="AH1731">
        <v>0.64362701526954902</v>
      </c>
      <c r="AI1731">
        <v>95.475823216615595</v>
      </c>
      <c r="AJ1731">
        <v>86.875408898212996</v>
      </c>
      <c r="AK1731">
        <v>0.64754029203196795</v>
      </c>
      <c r="AL1731">
        <v>78.733719070250501</v>
      </c>
      <c r="AM1731">
        <v>88.904824928672099</v>
      </c>
      <c r="AN1731">
        <v>0.99999994886103105</v>
      </c>
    </row>
    <row r="1732" spans="1:40" x14ac:dyDescent="0.25">
      <c r="A1732" t="str">
        <f>"20190312172402996"</f>
        <v>20190312172402996</v>
      </c>
      <c r="B1732" t="str">
        <f>"1552382642991478"</f>
        <v>1552382642991478</v>
      </c>
      <c r="C1732" t="s">
        <v>40</v>
      </c>
      <c r="D1732">
        <v>3.6503079999999999</v>
      </c>
      <c r="E1732">
        <v>0.51065479999999996</v>
      </c>
      <c r="F1732" t="s">
        <v>41</v>
      </c>
      <c r="G1732">
        <v>-227.86410000000001</v>
      </c>
      <c r="H1732">
        <v>1.0486580000000001</v>
      </c>
      <c r="I1732">
        <v>281.93599999999998</v>
      </c>
      <c r="J1732">
        <v>-227.22489999999999</v>
      </c>
      <c r="K1732">
        <v>1.1100669999999999</v>
      </c>
      <c r="L1732">
        <v>281.88830000000002</v>
      </c>
      <c r="M1732">
        <v>-0.99972470000000002</v>
      </c>
      <c r="N1732">
        <v>0</v>
      </c>
      <c r="O1732">
        <v>2.1016900000000002E-2</v>
      </c>
      <c r="P1732">
        <v>-0.98197570000000001</v>
      </c>
      <c r="Q1732">
        <v>0.18517649999999999</v>
      </c>
      <c r="R1732">
        <v>3.7866190000000001E-2</v>
      </c>
      <c r="S1732">
        <v>-3.0930330000000001</v>
      </c>
      <c r="T1732">
        <v>-0.2439731</v>
      </c>
      <c r="U1732">
        <v>0.2052612</v>
      </c>
      <c r="V1732">
        <v>1.7404320000000001E-2</v>
      </c>
      <c r="W1732">
        <v>0.19541529999999999</v>
      </c>
      <c r="X1732">
        <v>0.9805661</v>
      </c>
      <c r="Y1732">
        <v>4.5155639999999997E-2</v>
      </c>
      <c r="Z1732">
        <v>1.230863E-4</v>
      </c>
      <c r="AA1732">
        <v>0.99897999999999998</v>
      </c>
      <c r="AB1732">
        <v>14</v>
      </c>
      <c r="AC1732">
        <v>-0.63920000000001598</v>
      </c>
      <c r="AD1732">
        <v>-6.1408999999999797E-2</v>
      </c>
      <c r="AE1732">
        <v>4.7699999999963397E-2</v>
      </c>
      <c r="AF1732">
        <v>3.39431769834019E-2</v>
      </c>
      <c r="AG1732">
        <v>-6.1408999999999797E-2</v>
      </c>
      <c r="AH1732">
        <v>0.63423989438278905</v>
      </c>
      <c r="AI1732">
        <v>95.522455769485404</v>
      </c>
      <c r="AJ1732">
        <v>86.936573616399002</v>
      </c>
      <c r="AK1732">
        <v>0.63810927604244805</v>
      </c>
      <c r="AL1732">
        <v>78.731014301604304</v>
      </c>
      <c r="AM1732">
        <v>88.983149240326497</v>
      </c>
      <c r="AN1732">
        <v>0.99999996314897999</v>
      </c>
    </row>
    <row r="1733" spans="1:40" x14ac:dyDescent="0.25">
      <c r="A1733" t="str">
        <f>"20190312172403018"</f>
        <v>20190312172403018</v>
      </c>
      <c r="B1733" t="str">
        <f>"1552382643011972"</f>
        <v>1552382643011972</v>
      </c>
      <c r="C1733" t="s">
        <v>40</v>
      </c>
      <c r="D1733">
        <v>3.6564890000000001</v>
      </c>
      <c r="E1733">
        <v>0.51070090000000001</v>
      </c>
      <c r="F1733" t="s">
        <v>41</v>
      </c>
      <c r="G1733">
        <v>-227.99440000000001</v>
      </c>
      <c r="H1733">
        <v>1.0490820000000001</v>
      </c>
      <c r="I1733">
        <v>281.93950000000001</v>
      </c>
      <c r="J1733">
        <v>-227.36869999999999</v>
      </c>
      <c r="K1733">
        <v>1.11007099999999</v>
      </c>
      <c r="L1733">
        <v>281.89260000000002</v>
      </c>
      <c r="M1733">
        <v>-0.99970219999999999</v>
      </c>
      <c r="N1733">
        <v>0</v>
      </c>
      <c r="O1733">
        <v>2.2086939999999999E-2</v>
      </c>
      <c r="P1733">
        <v>-0.981908</v>
      </c>
      <c r="Q1733">
        <v>0.18547159999999999</v>
      </c>
      <c r="R1733">
        <v>3.8173169999999999E-2</v>
      </c>
      <c r="S1733">
        <v>-3.0934140000000001</v>
      </c>
      <c r="T1733">
        <v>-0.24525259999999999</v>
      </c>
      <c r="U1733">
        <v>0.20501710000000001</v>
      </c>
      <c r="V1733">
        <v>1.665531E-2</v>
      </c>
      <c r="W1733">
        <v>0.19564809999999999</v>
      </c>
      <c r="X1733">
        <v>0.98053270000000003</v>
      </c>
      <c r="Y1733">
        <v>4.4005900000000001E-2</v>
      </c>
      <c r="Z1733" s="1">
        <v>-6.3099429999999996E-6</v>
      </c>
      <c r="AA1733">
        <v>0.99903120000000001</v>
      </c>
      <c r="AB1733">
        <v>14</v>
      </c>
      <c r="AC1733">
        <v>-0.62570000000002302</v>
      </c>
      <c r="AD1733">
        <v>-6.0988999999999703E-2</v>
      </c>
      <c r="AE1733">
        <v>4.6899999999993697E-2</v>
      </c>
      <c r="AF1733">
        <v>3.2758514479943199E-2</v>
      </c>
      <c r="AG1733">
        <v>-6.0988999999999703E-2</v>
      </c>
      <c r="AH1733">
        <v>0.62071876102224699</v>
      </c>
      <c r="AI1733">
        <v>95.603861524865295</v>
      </c>
      <c r="AJ1733">
        <v>86.979010300819496</v>
      </c>
      <c r="AK1733">
        <v>0.62456749729466898</v>
      </c>
      <c r="AL1733">
        <v>78.717413468021803</v>
      </c>
      <c r="AM1733">
        <v>89.026868550079101</v>
      </c>
      <c r="AN1733">
        <v>0.99999997707704702</v>
      </c>
    </row>
    <row r="1734" spans="1:40" x14ac:dyDescent="0.25">
      <c r="A1734" t="str">
        <f>"20190312172403042"</f>
        <v>20190312172403042</v>
      </c>
      <c r="B1734" t="str">
        <f>"1552382643031492"</f>
        <v>1552382643031492</v>
      </c>
      <c r="C1734" t="s">
        <v>40</v>
      </c>
      <c r="D1734">
        <v>3.6581030000000001</v>
      </c>
      <c r="E1734">
        <v>0.51073579999999996</v>
      </c>
      <c r="F1734" t="s">
        <v>41</v>
      </c>
      <c r="G1734">
        <v>-228.12530000000001</v>
      </c>
      <c r="H1734">
        <v>1.0499160000000001</v>
      </c>
      <c r="I1734">
        <v>281.94330000000002</v>
      </c>
      <c r="J1734">
        <v>-227.5239</v>
      </c>
      <c r="K1734">
        <v>1.11007099999999</v>
      </c>
      <c r="L1734">
        <v>281.89729999999997</v>
      </c>
      <c r="M1734">
        <v>-0.99967760000000006</v>
      </c>
      <c r="N1734">
        <v>0</v>
      </c>
      <c r="O1734">
        <v>2.3202589999999999E-2</v>
      </c>
      <c r="P1734">
        <v>-0.98182159999999996</v>
      </c>
      <c r="Q1734">
        <v>0.1858456</v>
      </c>
      <c r="R1734">
        <v>3.8570409999999999E-2</v>
      </c>
      <c r="S1734">
        <v>-3.0936889999999999</v>
      </c>
      <c r="T1734">
        <v>-0.2459691</v>
      </c>
      <c r="U1734">
        <v>0.20697019999999999</v>
      </c>
      <c r="V1734">
        <v>1.595065E-2</v>
      </c>
      <c r="W1734">
        <v>0.19595109999999999</v>
      </c>
      <c r="X1734">
        <v>0.98048389999999996</v>
      </c>
      <c r="Y1734">
        <v>4.3517720000000003E-2</v>
      </c>
      <c r="Z1734">
        <v>-1.1409550000000001E-4</v>
      </c>
      <c r="AA1734">
        <v>0.99905259999999996</v>
      </c>
      <c r="AB1734">
        <v>14</v>
      </c>
      <c r="AC1734">
        <v>-0.60140000000001204</v>
      </c>
      <c r="AD1734">
        <v>-6.0154999999999702E-2</v>
      </c>
      <c r="AE1734">
        <v>4.6000000000049099E-2</v>
      </c>
      <c r="AF1734">
        <v>3.1717349143478901E-2</v>
      </c>
      <c r="AG1734">
        <v>-6.0154999999999702E-2</v>
      </c>
      <c r="AH1734">
        <v>0.59637344706440998</v>
      </c>
      <c r="AI1734">
        <v>95.751755447741303</v>
      </c>
      <c r="AJ1734">
        <v>86.955666340803702</v>
      </c>
      <c r="AK1734">
        <v>0.60023820490299995</v>
      </c>
      <c r="AL1734">
        <v>78.699710070523693</v>
      </c>
      <c r="AM1734">
        <v>89.067986413736506</v>
      </c>
      <c r="AN1734">
        <v>0.99999996749291997</v>
      </c>
    </row>
    <row r="1735" spans="1:40" x14ac:dyDescent="0.25">
      <c r="A1735" t="str">
        <f>"20190312172403064"</f>
        <v>20190312172403064</v>
      </c>
      <c r="B1735" t="str">
        <f>"1552382643051988"</f>
        <v>1552382643051988</v>
      </c>
      <c r="C1735" t="s">
        <v>40</v>
      </c>
      <c r="D1735">
        <v>3.6638199999999999</v>
      </c>
      <c r="E1735">
        <v>0.51079649999999999</v>
      </c>
      <c r="F1735" t="s">
        <v>41</v>
      </c>
      <c r="G1735">
        <v>-228.37970000000001</v>
      </c>
      <c r="H1735">
        <v>1.04194599999999</v>
      </c>
      <c r="I1735">
        <v>281.95519999999999</v>
      </c>
      <c r="J1735">
        <v>-227.66749999999999</v>
      </c>
      <c r="K1735">
        <v>1.1100730000000001</v>
      </c>
      <c r="L1735">
        <v>281.90190000000001</v>
      </c>
      <c r="M1735">
        <v>-0.99965499999999996</v>
      </c>
      <c r="N1735">
        <v>0</v>
      </c>
      <c r="O1735">
        <v>2.419468E-2</v>
      </c>
      <c r="P1735">
        <v>-0.98165290000000005</v>
      </c>
      <c r="Q1735">
        <v>0.1864335</v>
      </c>
      <c r="R1735">
        <v>4.0008299999999997E-2</v>
      </c>
      <c r="S1735">
        <v>-3.0939640000000002</v>
      </c>
      <c r="T1735">
        <v>-0.2463098</v>
      </c>
      <c r="U1735">
        <v>0.2087097</v>
      </c>
      <c r="V1735">
        <v>1.6410879999999999E-2</v>
      </c>
      <c r="W1735">
        <v>0.1964669</v>
      </c>
      <c r="X1735">
        <v>0.9803731</v>
      </c>
      <c r="Y1735">
        <v>4.308385E-2</v>
      </c>
      <c r="Z1735">
        <v>-2.101827E-4</v>
      </c>
      <c r="AA1735">
        <v>0.99907140000000005</v>
      </c>
      <c r="AB1735">
        <v>15</v>
      </c>
      <c r="AC1735">
        <v>-0.71220000000002404</v>
      </c>
      <c r="AD1735">
        <v>-6.8126999999999993E-2</v>
      </c>
      <c r="AE1735">
        <v>5.3299999999978802E-2</v>
      </c>
      <c r="AF1735">
        <v>3.5726953134726097E-2</v>
      </c>
      <c r="AG1735">
        <v>-6.8126999999999993E-2</v>
      </c>
      <c r="AH1735">
        <v>0.70684928833191496</v>
      </c>
      <c r="AI1735">
        <v>95.498257153757507</v>
      </c>
      <c r="AJ1735">
        <v>87.1065074597049</v>
      </c>
      <c r="AK1735">
        <v>0.71102293895810897</v>
      </c>
      <c r="AL1735">
        <v>78.669571296664202</v>
      </c>
      <c r="AM1735">
        <v>89.040991279079606</v>
      </c>
      <c r="AN1735">
        <v>0.99999998749079699</v>
      </c>
    </row>
    <row r="1736" spans="1:40" x14ac:dyDescent="0.25">
      <c r="A1736" t="str">
        <f>"20190312172403084"</f>
        <v>20190312172403084</v>
      </c>
      <c r="B1736" t="str">
        <f>"1552382643081268"</f>
        <v>1552382643081268</v>
      </c>
      <c r="C1736" t="s">
        <v>40</v>
      </c>
      <c r="D1736">
        <v>3.704313</v>
      </c>
      <c r="E1736">
        <v>0.52763019999999905</v>
      </c>
      <c r="F1736" t="s">
        <v>41</v>
      </c>
      <c r="G1736">
        <v>-228.51130000000001</v>
      </c>
      <c r="H1736">
        <v>1.043053</v>
      </c>
      <c r="I1736">
        <v>281.96010000000001</v>
      </c>
      <c r="J1736">
        <v>-227.79929999999999</v>
      </c>
      <c r="K1736">
        <v>1.110066</v>
      </c>
      <c r="L1736">
        <v>281.90609999999998</v>
      </c>
      <c r="M1736">
        <v>-0.99963380000000002</v>
      </c>
      <c r="N1736">
        <v>0</v>
      </c>
      <c r="O1736">
        <v>2.507846E-2</v>
      </c>
      <c r="P1736">
        <v>-0.98152320000000004</v>
      </c>
      <c r="Q1736">
        <v>0.1868388</v>
      </c>
      <c r="R1736">
        <v>4.1276800000000002E-2</v>
      </c>
      <c r="S1736">
        <v>-3.0941010000000002</v>
      </c>
      <c r="T1736">
        <v>-0.24589730000000001</v>
      </c>
      <c r="U1736">
        <v>0.2129211</v>
      </c>
      <c r="V1736">
        <v>1.6809279999999999E-2</v>
      </c>
      <c r="W1736">
        <v>0.19680349999999999</v>
      </c>
      <c r="X1736">
        <v>0.98029889999999997</v>
      </c>
      <c r="Y1736">
        <v>4.35527E-2</v>
      </c>
      <c r="Z1736">
        <v>-2.612262E-4</v>
      </c>
      <c r="AA1736">
        <v>0.99905109999999997</v>
      </c>
      <c r="AB1736">
        <v>15</v>
      </c>
      <c r="AC1736">
        <v>-0.71200000000001695</v>
      </c>
      <c r="AD1736">
        <v>-6.7012999999999906E-2</v>
      </c>
      <c r="AE1736">
        <v>5.4000000000030399E-2</v>
      </c>
      <c r="AF1736">
        <v>3.5810814016299097E-2</v>
      </c>
      <c r="AG1736">
        <v>-6.7012999999999906E-2</v>
      </c>
      <c r="AH1736">
        <v>0.70690408368454904</v>
      </c>
      <c r="AI1736">
        <v>95.408440365365394</v>
      </c>
      <c r="AJ1736">
        <v>87.099951657204102</v>
      </c>
      <c r="AK1736">
        <v>0.71097576618292802</v>
      </c>
      <c r="AL1736">
        <v>78.649902253618805</v>
      </c>
      <c r="AM1736">
        <v>89.017640001366701</v>
      </c>
      <c r="AN1736">
        <v>1.0000000514237799</v>
      </c>
    </row>
    <row r="1737" spans="1:40" x14ac:dyDescent="0.25">
      <c r="A1737" t="str">
        <f>"20190312172403106"</f>
        <v>20190312172403106</v>
      </c>
      <c r="B1737" t="str">
        <f>"1552382643101764"</f>
        <v>1552382643101764</v>
      </c>
      <c r="C1737" t="s">
        <v>40</v>
      </c>
      <c r="D1737">
        <v>3.7042480000000002</v>
      </c>
      <c r="E1737">
        <v>0.52976780000000001</v>
      </c>
      <c r="F1737" t="s">
        <v>41</v>
      </c>
      <c r="G1737">
        <v>-228.60769999999999</v>
      </c>
      <c r="H1737">
        <v>0.97365469999999998</v>
      </c>
      <c r="I1737">
        <v>281.99689999999998</v>
      </c>
      <c r="J1737">
        <v>-227.9469</v>
      </c>
      <c r="K1737">
        <v>1.1100669999999999</v>
      </c>
      <c r="L1737">
        <v>281.91090000000003</v>
      </c>
      <c r="M1737">
        <v>-0.9996102</v>
      </c>
      <c r="N1737">
        <v>0</v>
      </c>
      <c r="O1737">
        <v>2.6034660000000001E-2</v>
      </c>
      <c r="P1737">
        <v>-0.98157260000000002</v>
      </c>
      <c r="Q1737">
        <v>0.18623609999999999</v>
      </c>
      <c r="R1737">
        <v>4.2796019999999997E-2</v>
      </c>
      <c r="S1737">
        <v>-3.1425930000000002</v>
      </c>
      <c r="T1737">
        <v>-0.53035330000000003</v>
      </c>
      <c r="U1737">
        <v>0.3528442</v>
      </c>
      <c r="V1737">
        <v>1.7382669999999999E-2</v>
      </c>
      <c r="W1737">
        <v>0.1961242</v>
      </c>
      <c r="X1737">
        <v>0.98042499999999999</v>
      </c>
      <c r="Y1737">
        <v>8.4844970000000006E-2</v>
      </c>
      <c r="Z1737">
        <v>2.7395399999999999E-3</v>
      </c>
      <c r="AA1737">
        <v>0.99639040000000001</v>
      </c>
      <c r="AB1737">
        <v>15</v>
      </c>
      <c r="AC1737">
        <v>-0.66079999999999395</v>
      </c>
      <c r="AD1737">
        <v>-0.13641229999999999</v>
      </c>
      <c r="AE1737">
        <v>8.5999999999955806E-2</v>
      </c>
      <c r="AF1737">
        <v>6.6000475818764101E-2</v>
      </c>
      <c r="AG1737">
        <v>-0.13641229999999999</v>
      </c>
      <c r="AH1737">
        <v>0.63615653298109598</v>
      </c>
      <c r="AI1737">
        <v>102.040044363269</v>
      </c>
      <c r="AJ1737">
        <v>84.076823059478301</v>
      </c>
      <c r="AK1737">
        <v>0.653956812682704</v>
      </c>
      <c r="AL1737">
        <v>78.689596519294696</v>
      </c>
      <c r="AM1737">
        <v>88.984267750997901</v>
      </c>
      <c r="AN1737">
        <v>1.00000001983348</v>
      </c>
    </row>
    <row r="1738" spans="1:40" x14ac:dyDescent="0.25">
      <c r="A1738" t="str">
        <f>"20190312172403130"</f>
        <v>20190312172403130</v>
      </c>
      <c r="B1738" t="str">
        <f>"1552382643121284"</f>
        <v>1552382643121284</v>
      </c>
      <c r="C1738" t="s">
        <v>40</v>
      </c>
      <c r="D1738">
        <v>3.7607699999999999</v>
      </c>
      <c r="E1738">
        <v>0.53069639999999996</v>
      </c>
      <c r="F1738" t="s">
        <v>41</v>
      </c>
      <c r="G1738">
        <v>-228.738</v>
      </c>
      <c r="H1738">
        <v>0.97096939999999998</v>
      </c>
      <c r="I1738">
        <v>282.00540000000001</v>
      </c>
      <c r="J1738">
        <v>-228.10140000000001</v>
      </c>
      <c r="K1738">
        <v>1.110066</v>
      </c>
      <c r="L1738">
        <v>281.91609999999997</v>
      </c>
      <c r="M1738">
        <v>-0.99958550000000002</v>
      </c>
      <c r="N1738">
        <v>0</v>
      </c>
      <c r="O1738">
        <v>2.699702E-2</v>
      </c>
      <c r="P1738">
        <v>-0.98155210000000004</v>
      </c>
      <c r="Q1738">
        <v>0.18612029999999999</v>
      </c>
      <c r="R1738">
        <v>4.3764490000000003E-2</v>
      </c>
      <c r="S1738">
        <v>-3.144882</v>
      </c>
      <c r="T1738">
        <v>-0.55295749999999999</v>
      </c>
      <c r="U1738">
        <v>0.37423709999999999</v>
      </c>
      <c r="V1738">
        <v>1.7401940000000001E-2</v>
      </c>
      <c r="W1738">
        <v>0.1959282</v>
      </c>
      <c r="X1738">
        <v>0.9804638</v>
      </c>
      <c r="Y1738">
        <v>9.0355050000000006E-2</v>
      </c>
      <c r="Z1738">
        <v>3.163463E-3</v>
      </c>
      <c r="AA1738">
        <v>0.99590460000000003</v>
      </c>
      <c r="AB1738">
        <v>15</v>
      </c>
      <c r="AC1738">
        <v>-0.63659999999998695</v>
      </c>
      <c r="AD1738">
        <v>-0.13909659999999999</v>
      </c>
      <c r="AE1738">
        <v>8.9300000000037003E-2</v>
      </c>
      <c r="AF1738">
        <v>6.8856388829037204E-2</v>
      </c>
      <c r="AG1738">
        <v>-0.13909659999999999</v>
      </c>
      <c r="AH1738">
        <v>0.61020857102513204</v>
      </c>
      <c r="AI1738">
        <v>102.762799606502</v>
      </c>
      <c r="AJ1738">
        <v>83.561934839157601</v>
      </c>
      <c r="AK1738">
        <v>0.62963764703730096</v>
      </c>
      <c r="AL1738">
        <v>78.701048166929993</v>
      </c>
      <c r="AM1738">
        <v>88.983182203316503</v>
      </c>
      <c r="AN1738">
        <v>0.99999997509072103</v>
      </c>
    </row>
    <row r="1739" spans="1:40" x14ac:dyDescent="0.25">
      <c r="A1739" t="str">
        <f>"20190312172403152"</f>
        <v>20190312172403152</v>
      </c>
      <c r="B1739" t="str">
        <f>"1552382643141783"</f>
        <v>1552382643141783</v>
      </c>
      <c r="C1739" t="s">
        <v>40</v>
      </c>
      <c r="D1739">
        <v>3.6886260000000002</v>
      </c>
      <c r="E1739">
        <v>0.53154639999999997</v>
      </c>
      <c r="F1739" t="s">
        <v>41</v>
      </c>
      <c r="G1739">
        <v>-228.86879999999999</v>
      </c>
      <c r="H1739">
        <v>0.96849940000000001</v>
      </c>
      <c r="I1739">
        <v>282.00970000000001</v>
      </c>
      <c r="J1739">
        <v>-228.25049999999999</v>
      </c>
      <c r="K1739">
        <v>1.110066</v>
      </c>
      <c r="L1739">
        <v>281.92110000000002</v>
      </c>
      <c r="M1739">
        <v>-0.9995619</v>
      </c>
      <c r="N1739">
        <v>0</v>
      </c>
      <c r="O1739">
        <v>2.7884889999999999E-2</v>
      </c>
      <c r="P1739">
        <v>-0.98149920000000002</v>
      </c>
      <c r="Q1739">
        <v>0.18612480000000001</v>
      </c>
      <c r="R1739">
        <v>4.4911199999999998E-2</v>
      </c>
      <c r="S1739">
        <v>-3.1494140000000002</v>
      </c>
      <c r="T1739">
        <v>-0.58099899999999904</v>
      </c>
      <c r="U1739">
        <v>0.38400269999999997</v>
      </c>
      <c r="V1739">
        <v>1.767204E-2</v>
      </c>
      <c r="W1739">
        <v>0.19585530000000001</v>
      </c>
      <c r="X1739">
        <v>0.98047359999999995</v>
      </c>
      <c r="Y1739">
        <v>9.2234430000000006E-2</v>
      </c>
      <c r="Z1739">
        <v>3.325709E-3</v>
      </c>
      <c r="AA1739">
        <v>0.99573179999999994</v>
      </c>
      <c r="AB1739">
        <v>15</v>
      </c>
      <c r="AC1739">
        <v>-0.61830000000000496</v>
      </c>
      <c r="AD1739">
        <v>-0.14156659999999999</v>
      </c>
      <c r="AE1739">
        <v>8.8599999999985302E-2</v>
      </c>
      <c r="AF1739">
        <v>6.7838704332982197E-2</v>
      </c>
      <c r="AG1739">
        <v>-0.14156659999999999</v>
      </c>
      <c r="AH1739">
        <v>0.59021204125980298</v>
      </c>
      <c r="AI1739">
        <v>103.40296692141099</v>
      </c>
      <c r="AJ1739">
        <v>83.4432221460617</v>
      </c>
      <c r="AK1739">
        <v>0.61073189345997003</v>
      </c>
      <c r="AL1739">
        <v>78.705308294545205</v>
      </c>
      <c r="AM1739">
        <v>88.967413621791806</v>
      </c>
      <c r="AN1739">
        <v>1.0000000399164</v>
      </c>
    </row>
    <row r="1740" spans="1:40" x14ac:dyDescent="0.25">
      <c r="A1740" t="str">
        <f>"20190312172403174"</f>
        <v>20190312172403174</v>
      </c>
      <c r="B1740" t="str">
        <f>"1552382643172036"</f>
        <v>1552382643172036</v>
      </c>
      <c r="C1740" t="s">
        <v>40</v>
      </c>
      <c r="D1740">
        <v>3.7048489999999998</v>
      </c>
      <c r="E1740">
        <v>0.53239899999999996</v>
      </c>
      <c r="F1740" t="s">
        <v>41</v>
      </c>
      <c r="G1740">
        <v>-229.0016</v>
      </c>
      <c r="H1740">
        <v>0.96913119999999997</v>
      </c>
      <c r="I1740">
        <v>282.01499999999999</v>
      </c>
      <c r="J1740">
        <v>-228.39879999999999</v>
      </c>
      <c r="K1740">
        <v>1.1100650000000001</v>
      </c>
      <c r="L1740">
        <v>281.92630000000003</v>
      </c>
      <c r="M1740">
        <v>-0.99953879999999995</v>
      </c>
      <c r="N1740">
        <v>0</v>
      </c>
      <c r="O1740">
        <v>2.8725440000000001E-2</v>
      </c>
      <c r="P1740">
        <v>-0.98138210000000003</v>
      </c>
      <c r="Q1740">
        <v>0.1864392</v>
      </c>
      <c r="R1740">
        <v>4.6147729999999998E-2</v>
      </c>
      <c r="S1740">
        <v>-3.1506959999999999</v>
      </c>
      <c r="T1740">
        <v>-0.59122419999999998</v>
      </c>
      <c r="U1740">
        <v>0.39251710000000001</v>
      </c>
      <c r="V1740">
        <v>1.807841E-2</v>
      </c>
      <c r="W1740">
        <v>0.19609289999999999</v>
      </c>
      <c r="X1740">
        <v>0.98041869999999998</v>
      </c>
      <c r="Y1740">
        <v>9.3947740000000002E-2</v>
      </c>
      <c r="Z1740">
        <v>3.3845780000000001E-3</v>
      </c>
      <c r="AA1740">
        <v>0.9955714</v>
      </c>
      <c r="AB1740">
        <v>15</v>
      </c>
      <c r="AC1740">
        <v>-0.602800000000002</v>
      </c>
      <c r="AD1740">
        <v>-0.140933799999999</v>
      </c>
      <c r="AE1740">
        <v>8.86999999999602E-2</v>
      </c>
      <c r="AF1740">
        <v>6.7723429247285694E-2</v>
      </c>
      <c r="AG1740">
        <v>-0.140933799999999</v>
      </c>
      <c r="AH1740">
        <v>0.574368659933707</v>
      </c>
      <c r="AI1740">
        <v>103.695125997849</v>
      </c>
      <c r="AJ1740">
        <v>83.275341229872495</v>
      </c>
      <c r="AK1740">
        <v>0.59527149802883605</v>
      </c>
      <c r="AL1740">
        <v>78.691425630317099</v>
      </c>
      <c r="AM1740">
        <v>88.943615396424406</v>
      </c>
      <c r="AN1740">
        <v>1.0000000408241101</v>
      </c>
    </row>
    <row r="1741" spans="1:40" x14ac:dyDescent="0.25">
      <c r="A1741" t="str">
        <f>"20190312172403196"</f>
        <v>20190312172403196</v>
      </c>
      <c r="B1741" t="str">
        <f>"1552382643191556"</f>
        <v>1552382643191556</v>
      </c>
      <c r="C1741" t="s">
        <v>40</v>
      </c>
      <c r="D1741">
        <v>3.647049</v>
      </c>
      <c r="E1741">
        <v>0.53277089999999905</v>
      </c>
      <c r="F1741" t="s">
        <v>41</v>
      </c>
      <c r="G1741">
        <v>-229.1337</v>
      </c>
      <c r="H1741">
        <v>0.96763920000000003</v>
      </c>
      <c r="I1741">
        <v>282.02</v>
      </c>
      <c r="J1741">
        <v>-228.5428</v>
      </c>
      <c r="K1741">
        <v>1.110069</v>
      </c>
      <c r="L1741">
        <v>281.9314</v>
      </c>
      <c r="M1741">
        <v>-0.99951710000000005</v>
      </c>
      <c r="N1741">
        <v>0</v>
      </c>
      <c r="O1741">
        <v>2.949649E-2</v>
      </c>
      <c r="P1741">
        <v>-0.98141049999999996</v>
      </c>
      <c r="Q1741">
        <v>0.18608830000000001</v>
      </c>
      <c r="R1741">
        <v>4.6955730000000001E-2</v>
      </c>
      <c r="S1741">
        <v>-3.1541290000000002</v>
      </c>
      <c r="T1741">
        <v>-0.61127719999999997</v>
      </c>
      <c r="U1741">
        <v>0.40222170000000002</v>
      </c>
      <c r="V1741">
        <v>1.8117899999999999E-2</v>
      </c>
      <c r="W1741">
        <v>0.19566919999999999</v>
      </c>
      <c r="X1741">
        <v>0.9805026</v>
      </c>
      <c r="Y1741">
        <v>9.5965800000000004E-2</v>
      </c>
      <c r="Z1741">
        <v>3.5387230000000001E-3</v>
      </c>
      <c r="AA1741">
        <v>0.99537830000000005</v>
      </c>
      <c r="AB1741">
        <v>15</v>
      </c>
      <c r="AC1741">
        <v>-0.59090000000000398</v>
      </c>
      <c r="AD1741">
        <v>-0.142429799999999</v>
      </c>
      <c r="AE1741">
        <v>8.8599999999985302E-2</v>
      </c>
      <c r="AF1741">
        <v>6.7306626549109794E-2</v>
      </c>
      <c r="AG1741">
        <v>-0.142429799999999</v>
      </c>
      <c r="AH1741">
        <v>0.56135874513119299</v>
      </c>
      <c r="AI1741">
        <v>104.139679242011</v>
      </c>
      <c r="AJ1741">
        <v>83.162903774489706</v>
      </c>
      <c r="AK1741">
        <v>0.58304379821822006</v>
      </c>
      <c r="AL1741">
        <v>78.716181206517703</v>
      </c>
      <c r="AM1741">
        <v>88.941398952389093</v>
      </c>
      <c r="AN1741">
        <v>1.0000000213678999</v>
      </c>
    </row>
    <row r="1742" spans="1:40" x14ac:dyDescent="0.25">
      <c r="A1742" t="str">
        <f>"20190312172403220"</f>
        <v>20190312172403220</v>
      </c>
      <c r="B1742" t="str">
        <f>"1552382643211239"</f>
        <v>1552382643211239</v>
      </c>
      <c r="C1742" t="s">
        <v>40</v>
      </c>
      <c r="D1742">
        <v>3.6425510000000001</v>
      </c>
      <c r="E1742">
        <v>0.53296199999999905</v>
      </c>
      <c r="F1742" t="s">
        <v>41</v>
      </c>
      <c r="G1742">
        <v>-229.26669999999999</v>
      </c>
      <c r="H1742">
        <v>0.96726210000000001</v>
      </c>
      <c r="I1742">
        <v>282.02499999999998</v>
      </c>
      <c r="J1742">
        <v>-228.69810000000001</v>
      </c>
      <c r="K1742">
        <v>1.110087</v>
      </c>
      <c r="L1742">
        <v>281.93689999999998</v>
      </c>
      <c r="M1742">
        <v>-0.99949469999999996</v>
      </c>
      <c r="N1742">
        <v>0</v>
      </c>
      <c r="O1742">
        <v>3.0274969999999998E-2</v>
      </c>
      <c r="P1742">
        <v>-0.98147289999999998</v>
      </c>
      <c r="Q1742">
        <v>0.18566759999999999</v>
      </c>
      <c r="R1742">
        <v>4.731606E-2</v>
      </c>
      <c r="S1742">
        <v>-3.1553650000000002</v>
      </c>
      <c r="T1742">
        <v>-0.6223767</v>
      </c>
      <c r="U1742">
        <v>0.40686040000000001</v>
      </c>
      <c r="V1742">
        <v>1.7697640000000001E-2</v>
      </c>
      <c r="W1742">
        <v>0.1951744</v>
      </c>
      <c r="X1742">
        <v>0.98060890000000001</v>
      </c>
      <c r="Y1742">
        <v>9.6542310000000006E-2</v>
      </c>
      <c r="Z1742">
        <v>3.5049209999999998E-3</v>
      </c>
      <c r="AA1742">
        <v>0.9953227</v>
      </c>
      <c r="AB1742">
        <v>15</v>
      </c>
      <c r="AC1742">
        <v>-0.56859999999997501</v>
      </c>
      <c r="AD1742">
        <v>-0.1428249</v>
      </c>
      <c r="AE1742">
        <v>8.8099999999997097E-2</v>
      </c>
      <c r="AF1742">
        <v>6.6732677741993596E-2</v>
      </c>
      <c r="AG1742">
        <v>-0.1428249</v>
      </c>
      <c r="AH1742">
        <v>0.53786572374303099</v>
      </c>
      <c r="AI1742">
        <v>104.762943320883</v>
      </c>
      <c r="AJ1742">
        <v>82.927488791011598</v>
      </c>
      <c r="AK1742">
        <v>0.560492407723995</v>
      </c>
      <c r="AL1742">
        <v>78.745088653329205</v>
      </c>
      <c r="AM1742">
        <v>88.966060772193799</v>
      </c>
      <c r="AN1742">
        <v>1.0000000338180599</v>
      </c>
    </row>
    <row r="1743" spans="1:40" x14ac:dyDescent="0.25">
      <c r="A1743" t="str">
        <f>"20190312172403244"</f>
        <v>20190312172403244</v>
      </c>
      <c r="B1743" t="str">
        <f>"1552382643231735"</f>
        <v>1552382643231735</v>
      </c>
      <c r="C1743" t="s">
        <v>40</v>
      </c>
      <c r="D1743">
        <v>3.6396860000000002</v>
      </c>
      <c r="E1743">
        <v>0.53310579999999996</v>
      </c>
      <c r="F1743" t="s">
        <v>41</v>
      </c>
      <c r="G1743">
        <v>-229.4014</v>
      </c>
      <c r="H1743">
        <v>0.96943250000000003</v>
      </c>
      <c r="I1743">
        <v>282.02800000000002</v>
      </c>
      <c r="J1743">
        <v>-228.8563</v>
      </c>
      <c r="K1743">
        <v>1.1101080000000001</v>
      </c>
      <c r="L1743">
        <v>281.94260000000003</v>
      </c>
      <c r="M1743">
        <v>-0.99947330000000001</v>
      </c>
      <c r="N1743">
        <v>0</v>
      </c>
      <c r="O1743">
        <v>3.0998979999999999E-2</v>
      </c>
      <c r="P1743">
        <v>-0.98145470000000001</v>
      </c>
      <c r="Q1743">
        <v>0.18568760000000001</v>
      </c>
      <c r="R1743">
        <v>4.7614499999999997E-2</v>
      </c>
      <c r="S1743">
        <v>-3.156326</v>
      </c>
      <c r="T1743">
        <v>-0.63122609999999901</v>
      </c>
      <c r="U1743">
        <v>0.40905760000000002</v>
      </c>
      <c r="V1743">
        <v>1.7269929999999999E-2</v>
      </c>
      <c r="W1743">
        <v>0.19512060000000001</v>
      </c>
      <c r="X1743">
        <v>0.98062720000000003</v>
      </c>
      <c r="Y1743">
        <v>9.6445810000000007E-2</v>
      </c>
      <c r="Z1743">
        <v>3.4004930000000001E-3</v>
      </c>
      <c r="AA1743">
        <v>0.99533240000000001</v>
      </c>
      <c r="AB1743">
        <v>15</v>
      </c>
      <c r="AC1743">
        <v>-0.54509999999999004</v>
      </c>
      <c r="AD1743">
        <v>-0.14067550000000001</v>
      </c>
      <c r="AE1743">
        <v>8.5399999999992801E-2</v>
      </c>
      <c r="AF1743">
        <v>6.4281920163893599E-2</v>
      </c>
      <c r="AG1743">
        <v>-0.14067550000000001</v>
      </c>
      <c r="AH1743">
        <v>0.51406793790473904</v>
      </c>
      <c r="AI1743">
        <v>105.191616845151</v>
      </c>
      <c r="AJ1743">
        <v>82.872412662590506</v>
      </c>
      <c r="AK1743">
        <v>0.53683107803278096</v>
      </c>
      <c r="AL1743">
        <v>78.748231232239704</v>
      </c>
      <c r="AM1743">
        <v>88.991062227350696</v>
      </c>
      <c r="AN1743">
        <v>1.0000000022032001</v>
      </c>
    </row>
    <row r="1744" spans="1:40" x14ac:dyDescent="0.25">
      <c r="A1744" t="str">
        <f>"20190312172403266"</f>
        <v>20190312172403266</v>
      </c>
      <c r="B1744" t="str">
        <f>"1552382643261991"</f>
        <v>1552382643261991</v>
      </c>
      <c r="C1744" t="s">
        <v>40</v>
      </c>
      <c r="D1744">
        <v>3.6937120000000001</v>
      </c>
      <c r="E1744">
        <v>0.53327380000000002</v>
      </c>
      <c r="F1744" t="s">
        <v>41</v>
      </c>
      <c r="G1744">
        <v>-229.6591</v>
      </c>
      <c r="H1744">
        <v>0.94806559999999995</v>
      </c>
      <c r="I1744">
        <v>282.04689999999999</v>
      </c>
      <c r="J1744">
        <v>-229.0068</v>
      </c>
      <c r="K1744">
        <v>1.1101219999999901</v>
      </c>
      <c r="L1744">
        <v>281.94799999999998</v>
      </c>
      <c r="M1744">
        <v>-0.99945459999999997</v>
      </c>
      <c r="N1744">
        <v>0</v>
      </c>
      <c r="O1744">
        <v>3.1618739999999999E-2</v>
      </c>
      <c r="P1744">
        <v>-0.98145789999999999</v>
      </c>
      <c r="Q1744">
        <v>0.18563769999999999</v>
      </c>
      <c r="R1744">
        <v>4.7742149999999997E-2</v>
      </c>
      <c r="S1744">
        <v>-3.157394</v>
      </c>
      <c r="T1744">
        <v>-0.63730909999999996</v>
      </c>
      <c r="U1744">
        <v>0.40963749999999999</v>
      </c>
      <c r="V1744">
        <v>1.6773239999999998E-2</v>
      </c>
      <c r="W1744">
        <v>0.19499949999999999</v>
      </c>
      <c r="X1744">
        <v>0.98065990000000003</v>
      </c>
      <c r="Y1744">
        <v>9.5963859999999998E-2</v>
      </c>
      <c r="Z1744">
        <v>3.260322E-3</v>
      </c>
      <c r="AA1744">
        <v>0.99537949999999997</v>
      </c>
      <c r="AB1744">
        <v>15</v>
      </c>
      <c r="AC1744">
        <v>-0.65229999999999599</v>
      </c>
      <c r="AD1744">
        <v>-0.16205639999999899</v>
      </c>
      <c r="AE1744">
        <v>9.8900000000014601E-2</v>
      </c>
      <c r="AF1744">
        <v>7.3773597822555603E-2</v>
      </c>
      <c r="AG1744">
        <v>-0.16205639999999899</v>
      </c>
      <c r="AH1744">
        <v>0.61782478474625202</v>
      </c>
      <c r="AI1744">
        <v>104.598434506114</v>
      </c>
      <c r="AJ1744">
        <v>83.190632152996201</v>
      </c>
      <c r="AK1744">
        <v>0.642971449726499</v>
      </c>
      <c r="AL1744">
        <v>78.755305536758399</v>
      </c>
      <c r="AM1744">
        <v>89.020106602866804</v>
      </c>
      <c r="AN1744">
        <v>0.99999999302417797</v>
      </c>
    </row>
    <row r="1745" spans="1:40" x14ac:dyDescent="0.25">
      <c r="A1745" t="str">
        <f>"20190312172403285"</f>
        <v>20190312172403285</v>
      </c>
      <c r="B1745" t="str">
        <f>"1552382643281511"</f>
        <v>1552382643281511</v>
      </c>
      <c r="C1745" t="s">
        <v>40</v>
      </c>
      <c r="D1745">
        <v>3.632612</v>
      </c>
      <c r="E1745">
        <v>0.53340929999999998</v>
      </c>
      <c r="F1745" t="s">
        <v>41</v>
      </c>
      <c r="G1745">
        <v>-229.7945</v>
      </c>
      <c r="H1745">
        <v>0.94925150000000003</v>
      </c>
      <c r="I1745">
        <v>282.05029999999999</v>
      </c>
      <c r="J1745">
        <v>-229.14009999999999</v>
      </c>
      <c r="K1745">
        <v>1.110131</v>
      </c>
      <c r="L1745">
        <v>281.95280000000002</v>
      </c>
      <c r="M1745">
        <v>-0.99943910000000002</v>
      </c>
      <c r="N1745">
        <v>0</v>
      </c>
      <c r="O1745">
        <v>3.2123209999999999E-2</v>
      </c>
      <c r="P1745">
        <v>-0.98146940000000005</v>
      </c>
      <c r="Q1745">
        <v>0.18554689999999999</v>
      </c>
      <c r="R1745">
        <v>4.7859060000000002E-2</v>
      </c>
      <c r="S1745">
        <v>-3.158722</v>
      </c>
      <c r="T1745">
        <v>-0.64507539999999997</v>
      </c>
      <c r="U1745">
        <v>0.4097595</v>
      </c>
      <c r="V1745">
        <v>1.638249E-2</v>
      </c>
      <c r="W1745">
        <v>0.1948442</v>
      </c>
      <c r="X1745">
        <v>0.98069740000000005</v>
      </c>
      <c r="Y1745">
        <v>9.5437010000000003E-2</v>
      </c>
      <c r="Z1745">
        <v>3.1434589999999999E-3</v>
      </c>
      <c r="AA1745">
        <v>0.9954305</v>
      </c>
      <c r="AB1745">
        <v>15</v>
      </c>
      <c r="AC1745">
        <v>-0.65440000000000897</v>
      </c>
      <c r="AD1745">
        <v>-0.16087950000000001</v>
      </c>
      <c r="AE1745">
        <v>9.7499999999968098E-2</v>
      </c>
      <c r="AF1745">
        <v>7.2160721281510104E-2</v>
      </c>
      <c r="AG1745">
        <v>-0.16087950000000001</v>
      </c>
      <c r="AH1745">
        <v>0.62050625100010703</v>
      </c>
      <c r="AI1745">
        <v>104.44188527787099</v>
      </c>
      <c r="AJ1745">
        <v>83.366680777559793</v>
      </c>
      <c r="AK1745">
        <v>0.64507161675764702</v>
      </c>
      <c r="AL1745">
        <v>78.764377883540902</v>
      </c>
      <c r="AM1745">
        <v>89.042966527586799</v>
      </c>
      <c r="AN1745">
        <v>1.0000000193095</v>
      </c>
    </row>
    <row r="1746" spans="1:40" x14ac:dyDescent="0.25">
      <c r="A1746" t="str">
        <f>"20190312172403308"</f>
        <v>20190312172403308</v>
      </c>
      <c r="B1746" t="str">
        <f>"1552382643302007"</f>
        <v>1552382643302007</v>
      </c>
      <c r="C1746" t="s">
        <v>40</v>
      </c>
      <c r="D1746">
        <v>3.7754029999999998</v>
      </c>
      <c r="E1746">
        <v>0.53365799999999997</v>
      </c>
      <c r="F1746" t="s">
        <v>41</v>
      </c>
      <c r="G1746">
        <v>-229.92910000000001</v>
      </c>
      <c r="H1746">
        <v>0.94782560000000005</v>
      </c>
      <c r="I1746">
        <v>282.05520000000001</v>
      </c>
      <c r="J1746">
        <v>-229.29669999999999</v>
      </c>
      <c r="K1746">
        <v>1.1101379999999901</v>
      </c>
      <c r="L1746">
        <v>281.95850000000002</v>
      </c>
      <c r="M1746">
        <v>-0.99942240000000004</v>
      </c>
      <c r="N1746">
        <v>0</v>
      </c>
      <c r="O1746">
        <v>3.2659109999999998E-2</v>
      </c>
      <c r="P1746">
        <v>-0.98147119999999999</v>
      </c>
      <c r="Q1746">
        <v>0.1853909</v>
      </c>
      <c r="R1746">
        <v>4.8425000000000003E-2</v>
      </c>
      <c r="S1746">
        <v>-3.1595149999999999</v>
      </c>
      <c r="T1746">
        <v>-0.64988760000000001</v>
      </c>
      <c r="U1746">
        <v>0.40978999999999999</v>
      </c>
      <c r="V1746">
        <v>1.641049E-2</v>
      </c>
      <c r="W1746">
        <v>0.19461039999999999</v>
      </c>
      <c r="X1746">
        <v>0.98074329999999998</v>
      </c>
      <c r="Y1746">
        <v>9.488489E-2</v>
      </c>
      <c r="Z1746">
        <v>3.0011980000000001E-3</v>
      </c>
      <c r="AA1746">
        <v>0.99548380000000003</v>
      </c>
      <c r="AB1746">
        <v>15</v>
      </c>
      <c r="AC1746">
        <v>-0.63240000000001795</v>
      </c>
      <c r="AD1746">
        <v>-0.162312399999999</v>
      </c>
      <c r="AE1746">
        <v>9.6699999999998398E-2</v>
      </c>
      <c r="AF1746">
        <v>7.1398002740935898E-2</v>
      </c>
      <c r="AG1746">
        <v>-0.162312399999999</v>
      </c>
      <c r="AH1746">
        <v>0.59680469019788296</v>
      </c>
      <c r="AI1746">
        <v>105.11189513068901</v>
      </c>
      <c r="AJ1746">
        <v>83.177912315238004</v>
      </c>
      <c r="AK1746">
        <v>0.62259041771564905</v>
      </c>
      <c r="AL1746">
        <v>78.778034466983996</v>
      </c>
      <c r="AM1746">
        <v>89.041375985108999</v>
      </c>
      <c r="AN1746">
        <v>0.99999996623254395</v>
      </c>
    </row>
    <row r="1747" spans="1:40" x14ac:dyDescent="0.25">
      <c r="A1747" t="str">
        <f>"20190312172403331"</f>
        <v>20190312172403331</v>
      </c>
      <c r="B1747" t="str">
        <f>"1552382643321526"</f>
        <v>1552382643321526</v>
      </c>
      <c r="C1747" t="s">
        <v>40</v>
      </c>
      <c r="D1747">
        <v>3.6570499999999999</v>
      </c>
      <c r="E1747">
        <v>0.56613139999999995</v>
      </c>
      <c r="F1747" t="s">
        <v>41</v>
      </c>
      <c r="G1747">
        <v>-230.06649999999999</v>
      </c>
      <c r="H1747">
        <v>0.95111730000000005</v>
      </c>
      <c r="I1747">
        <v>282.05919999999998</v>
      </c>
      <c r="J1747">
        <v>-229.45509999999999</v>
      </c>
      <c r="K1747">
        <v>1.1101490000000001</v>
      </c>
      <c r="L1747">
        <v>281.96429999999998</v>
      </c>
      <c r="M1747">
        <v>-0.99940739999999995</v>
      </c>
      <c r="N1747">
        <v>0</v>
      </c>
      <c r="O1747">
        <v>3.3138920000000002E-2</v>
      </c>
      <c r="P1747">
        <v>-0.9814446</v>
      </c>
      <c r="Q1747">
        <v>0.18536279999999999</v>
      </c>
      <c r="R1747">
        <v>4.906166E-2</v>
      </c>
      <c r="S1747">
        <v>-3.1595149999999999</v>
      </c>
      <c r="T1747">
        <v>-0.65262189999999998</v>
      </c>
      <c r="U1747">
        <v>0.41299439999999998</v>
      </c>
      <c r="V1747">
        <v>1.6566279999999999E-2</v>
      </c>
      <c r="W1747">
        <v>0.19449810000000001</v>
      </c>
      <c r="X1747">
        <v>0.98076300000000005</v>
      </c>
      <c r="Y1747">
        <v>9.5388860000000006E-2</v>
      </c>
      <c r="Z1747">
        <v>2.9671720000000001E-3</v>
      </c>
      <c r="AA1747">
        <v>0.99543570000000003</v>
      </c>
      <c r="AB1747">
        <v>15</v>
      </c>
      <c r="AC1747">
        <v>-0.61140000000000305</v>
      </c>
      <c r="AD1747">
        <v>-0.1590317</v>
      </c>
      <c r="AE1747">
        <v>9.4899999999995502E-2</v>
      </c>
      <c r="AF1747">
        <v>6.9963647158268499E-2</v>
      </c>
      <c r="AG1747">
        <v>-0.1590317</v>
      </c>
      <c r="AH1747">
        <v>0.57614560446723395</v>
      </c>
      <c r="AI1747">
        <v>105.323715572943</v>
      </c>
      <c r="AJ1747">
        <v>83.076246351824395</v>
      </c>
      <c r="AK1747">
        <v>0.60177217539156003</v>
      </c>
      <c r="AL1747">
        <v>78.784594593973395</v>
      </c>
      <c r="AM1747">
        <v>89.032296619378499</v>
      </c>
      <c r="AN1747">
        <v>1.0000000073528199</v>
      </c>
    </row>
    <row r="1748" spans="1:40" x14ac:dyDescent="0.25">
      <c r="A1748" t="str">
        <f>"20190312172403352"</f>
        <v>20190312172403352</v>
      </c>
      <c r="B1748" t="str">
        <f>"1552382643342022"</f>
        <v>1552382643342022</v>
      </c>
      <c r="C1748" t="s">
        <v>40</v>
      </c>
      <c r="D1748">
        <v>3.621346</v>
      </c>
      <c r="E1748">
        <v>0.56913950000000002</v>
      </c>
      <c r="F1748" t="s">
        <v>41</v>
      </c>
      <c r="G1748">
        <v>-230.1978</v>
      </c>
      <c r="H1748">
        <v>0.94140389999999996</v>
      </c>
      <c r="I1748">
        <v>282.12270000000001</v>
      </c>
      <c r="J1748">
        <v>-229.59989999999999</v>
      </c>
      <c r="K1748">
        <v>1.110155</v>
      </c>
      <c r="L1748">
        <v>281.96949999999998</v>
      </c>
      <c r="M1748">
        <v>-0.99939540000000004</v>
      </c>
      <c r="N1748">
        <v>0</v>
      </c>
      <c r="O1748">
        <v>3.352314E-2</v>
      </c>
      <c r="P1748">
        <v>-0.98135620000000001</v>
      </c>
      <c r="Q1748">
        <v>0.18577289999999999</v>
      </c>
      <c r="R1748">
        <v>4.9280119999999997E-2</v>
      </c>
      <c r="S1748">
        <v>-3.1585999999999999</v>
      </c>
      <c r="T1748">
        <v>-0.71776680000000004</v>
      </c>
      <c r="U1748">
        <v>0.67364499999999905</v>
      </c>
      <c r="V1748">
        <v>1.6401289999999999E-2</v>
      </c>
      <c r="W1748">
        <v>0.19482550000000001</v>
      </c>
      <c r="X1748">
        <v>0.98070080000000004</v>
      </c>
      <c r="Y1748">
        <v>0.1722979</v>
      </c>
      <c r="Z1748">
        <v>1.168895E-2</v>
      </c>
      <c r="AA1748">
        <v>0.9849755</v>
      </c>
      <c r="AB1748">
        <v>15</v>
      </c>
      <c r="AC1748">
        <v>-0.59790000000000898</v>
      </c>
      <c r="AD1748">
        <v>-0.16875109999999899</v>
      </c>
      <c r="AE1748">
        <v>0.15320000000002601</v>
      </c>
      <c r="AF1748">
        <v>0.12381424632256401</v>
      </c>
      <c r="AG1748">
        <v>-0.16875109999999899</v>
      </c>
      <c r="AH1748">
        <v>0.56078067983229096</v>
      </c>
      <c r="AI1748">
        <v>106.37515186345099</v>
      </c>
      <c r="AJ1748">
        <v>77.549465252065602</v>
      </c>
      <c r="AK1748">
        <v>0.598566514446641</v>
      </c>
      <c r="AL1748">
        <v>78.765470238742694</v>
      </c>
      <c r="AM1748">
        <v>89.0418717935963</v>
      </c>
      <c r="AN1748">
        <v>1.0000000184422699</v>
      </c>
    </row>
    <row r="1749" spans="1:40" x14ac:dyDescent="0.25">
      <c r="A1749" t="str">
        <f>"20190312172403374"</f>
        <v>20190312172403374</v>
      </c>
      <c r="B1749" t="str">
        <f>"1552382643371303"</f>
        <v>1552382643371303</v>
      </c>
      <c r="C1749" t="s">
        <v>40</v>
      </c>
      <c r="D1749">
        <v>3.6406239999999999</v>
      </c>
      <c r="E1749">
        <v>0.56952329999999995</v>
      </c>
      <c r="F1749" t="s">
        <v>41</v>
      </c>
      <c r="G1749">
        <v>-230.33500000000001</v>
      </c>
      <c r="H1749">
        <v>0.94253339999999997</v>
      </c>
      <c r="I1749">
        <v>282.13240000000002</v>
      </c>
      <c r="J1749">
        <v>-229.7456</v>
      </c>
      <c r="K1749">
        <v>1.110158</v>
      </c>
      <c r="L1749">
        <v>281.97480000000002</v>
      </c>
      <c r="M1749">
        <v>-0.99938499999999997</v>
      </c>
      <c r="N1749">
        <v>0</v>
      </c>
      <c r="O1749">
        <v>3.3858430000000002E-2</v>
      </c>
      <c r="P1749">
        <v>-0.98134089999999996</v>
      </c>
      <c r="Q1749">
        <v>0.18576599999999999</v>
      </c>
      <c r="R1749">
        <v>4.961339E-2</v>
      </c>
      <c r="S1749">
        <v>-3.1583100000000002</v>
      </c>
      <c r="T1749">
        <v>-0.72027750000000001</v>
      </c>
      <c r="U1749">
        <v>0.69787600000000005</v>
      </c>
      <c r="V1749">
        <v>1.6396029999999999E-2</v>
      </c>
      <c r="W1749">
        <v>0.1947306</v>
      </c>
      <c r="X1749">
        <v>0.98071969999999997</v>
      </c>
      <c r="Y1749">
        <v>0.1790252</v>
      </c>
      <c r="Z1749">
        <v>1.239524E-2</v>
      </c>
      <c r="AA1749">
        <v>0.98376640000000004</v>
      </c>
      <c r="AB1749">
        <v>15</v>
      </c>
      <c r="AC1749">
        <v>-0.58940000000001103</v>
      </c>
      <c r="AD1749">
        <v>-0.16762459999999901</v>
      </c>
      <c r="AE1749">
        <v>0.15760000000000199</v>
      </c>
      <c r="AF1749">
        <v>0.127898173789154</v>
      </c>
      <c r="AG1749">
        <v>-0.16762459999999901</v>
      </c>
      <c r="AH1749">
        <v>0.55267904520579103</v>
      </c>
      <c r="AI1749">
        <v>106.461660888038</v>
      </c>
      <c r="AJ1749">
        <v>76.9702637794569</v>
      </c>
      <c r="AK1749">
        <v>0.59153197410904701</v>
      </c>
      <c r="AL1749">
        <v>78.771013380492505</v>
      </c>
      <c r="AM1749">
        <v>89.042197469534599</v>
      </c>
      <c r="AN1749">
        <v>0.99999998317210503</v>
      </c>
    </row>
    <row r="1750" spans="1:40" x14ac:dyDescent="0.25">
      <c r="A1750" t="str">
        <f>"20190312172403397"</f>
        <v>20190312172403397</v>
      </c>
      <c r="B1750" t="str">
        <f>"1552382643391799"</f>
        <v>1552382643391799</v>
      </c>
      <c r="C1750" t="s">
        <v>40</v>
      </c>
      <c r="D1750">
        <v>3.6546789999999998</v>
      </c>
      <c r="E1750">
        <v>0.56977029999999995</v>
      </c>
      <c r="F1750" t="s">
        <v>41</v>
      </c>
      <c r="G1750">
        <v>-230.4735</v>
      </c>
      <c r="H1750">
        <v>0.94532919999999998</v>
      </c>
      <c r="I1750">
        <v>282.13659999999999</v>
      </c>
      <c r="J1750">
        <v>-229.90440000000001</v>
      </c>
      <c r="K1750">
        <v>1.110168</v>
      </c>
      <c r="L1750">
        <v>281.98059999999998</v>
      </c>
      <c r="M1750">
        <v>-0.99937540000000002</v>
      </c>
      <c r="N1750">
        <v>0</v>
      </c>
      <c r="O1750">
        <v>3.4168179999999999E-2</v>
      </c>
      <c r="P1750">
        <v>-0.98129549999999999</v>
      </c>
      <c r="Q1750">
        <v>0.18602659999999999</v>
      </c>
      <c r="R1750">
        <v>4.9532630000000001E-2</v>
      </c>
      <c r="S1750">
        <v>-3.1569210000000001</v>
      </c>
      <c r="T1750">
        <v>-0.71488869999999904</v>
      </c>
      <c r="U1750">
        <v>0.70135499999999995</v>
      </c>
      <c r="V1750">
        <v>1.600093E-2</v>
      </c>
      <c r="W1750">
        <v>0.19488910000000001</v>
      </c>
      <c r="X1750">
        <v>0.98069479999999998</v>
      </c>
      <c r="Y1750">
        <v>0.17988219999999999</v>
      </c>
      <c r="Z1750">
        <v>1.2334919999999999E-2</v>
      </c>
      <c r="AA1750">
        <v>0.98361080000000001</v>
      </c>
      <c r="AB1750">
        <v>15</v>
      </c>
      <c r="AC1750">
        <v>-0.56909999999999095</v>
      </c>
      <c r="AD1750">
        <v>-0.16483880000000001</v>
      </c>
      <c r="AE1750">
        <v>0.156000000000005</v>
      </c>
      <c r="AF1750">
        <v>0.12658521534348099</v>
      </c>
      <c r="AG1750">
        <v>-0.16483880000000001</v>
      </c>
      <c r="AH1750">
        <v>0.53254240462687097</v>
      </c>
      <c r="AI1750">
        <v>106.759215314027</v>
      </c>
      <c r="AJ1750">
        <v>76.628946376004905</v>
      </c>
      <c r="AK1750">
        <v>0.57166166519608896</v>
      </c>
      <c r="AL1750">
        <v>78.761755268008699</v>
      </c>
      <c r="AM1750">
        <v>89.065250047135294</v>
      </c>
      <c r="AN1750">
        <v>1.00000004090335</v>
      </c>
    </row>
    <row r="1751" spans="1:40" x14ac:dyDescent="0.25">
      <c r="A1751" t="str">
        <f>"20190312172403410"</f>
        <v>20190312172403410</v>
      </c>
      <c r="B1751" t="str">
        <f>"1552382643401560"</f>
        <v>1552382643401560</v>
      </c>
      <c r="C1751" t="s">
        <v>40</v>
      </c>
      <c r="D1751">
        <v>3.6354850000000001</v>
      </c>
      <c r="E1751">
        <v>0.5699111</v>
      </c>
      <c r="F1751" t="s">
        <v>41</v>
      </c>
      <c r="G1751">
        <v>-230.61330000000001</v>
      </c>
      <c r="H1751">
        <v>0.9499223</v>
      </c>
      <c r="I1751">
        <v>282.13839999999999</v>
      </c>
      <c r="J1751">
        <v>-229.9933</v>
      </c>
      <c r="K1751">
        <v>1.110171</v>
      </c>
      <c r="L1751">
        <v>281.98390000000001</v>
      </c>
      <c r="M1751">
        <v>-0.99937089999999995</v>
      </c>
      <c r="N1751">
        <v>0</v>
      </c>
      <c r="O1751">
        <v>3.4314579999999997E-2</v>
      </c>
      <c r="P1751">
        <v>-0.98126389999999997</v>
      </c>
      <c r="Q1751">
        <v>0.18623990000000001</v>
      </c>
      <c r="R1751">
        <v>4.9359809999999997E-2</v>
      </c>
      <c r="S1751">
        <v>-3.1570589999999998</v>
      </c>
      <c r="T1751">
        <v>-0.71377219999999997</v>
      </c>
      <c r="U1751">
        <v>0.70172119999999905</v>
      </c>
      <c r="V1751">
        <v>1.5679220000000001E-2</v>
      </c>
      <c r="W1751">
        <v>0.19504260000000001</v>
      </c>
      <c r="X1751">
        <v>0.98066940000000002</v>
      </c>
      <c r="Y1751">
        <v>0.17985329999999999</v>
      </c>
      <c r="Z1751">
        <v>1.2280050000000001E-2</v>
      </c>
      <c r="AA1751">
        <v>0.98361679999999996</v>
      </c>
      <c r="AB1751">
        <v>15</v>
      </c>
      <c r="AC1751">
        <v>-0.62000000000000399</v>
      </c>
      <c r="AD1751">
        <v>-0.16024869999999999</v>
      </c>
      <c r="AE1751">
        <v>0.15449999999998401</v>
      </c>
      <c r="AF1751">
        <v>0.12525475622409299</v>
      </c>
      <c r="AG1751">
        <v>-0.16024869999999999</v>
      </c>
      <c r="AH1751">
        <v>0.58795507841063999</v>
      </c>
      <c r="AI1751">
        <v>104.926286537408</v>
      </c>
      <c r="AJ1751">
        <v>77.973798692567001</v>
      </c>
      <c r="AK1751">
        <v>0.62214112067706095</v>
      </c>
      <c r="AL1751">
        <v>78.752787401717498</v>
      </c>
      <c r="AM1751">
        <v>89.084016900533996</v>
      </c>
      <c r="AN1751">
        <v>0.999999962925463</v>
      </c>
    </row>
    <row r="1752" spans="1:40" x14ac:dyDescent="0.25">
      <c r="A1752" t="str">
        <f>"20190312172403430"</f>
        <v>20190312172403430</v>
      </c>
      <c r="B1752" t="str">
        <f>"1552382643422055"</f>
        <v>1552382643422055</v>
      </c>
      <c r="C1752" t="s">
        <v>40</v>
      </c>
      <c r="D1752">
        <v>3.632647</v>
      </c>
      <c r="E1752">
        <v>0.56945469999999998</v>
      </c>
      <c r="F1752" t="s">
        <v>41</v>
      </c>
      <c r="G1752">
        <v>-230.74709999999999</v>
      </c>
      <c r="H1752">
        <v>0.94009790000000004</v>
      </c>
      <c r="I1752">
        <v>282.15159999999997</v>
      </c>
      <c r="J1752">
        <v>-230.13910000000001</v>
      </c>
      <c r="K1752">
        <v>1.1101719999999999</v>
      </c>
      <c r="L1752">
        <v>281.98910000000001</v>
      </c>
      <c r="M1752">
        <v>-0.99936469999999999</v>
      </c>
      <c r="N1752">
        <v>0</v>
      </c>
      <c r="O1752">
        <v>3.4521400000000001E-2</v>
      </c>
      <c r="P1752">
        <v>-0.98118720000000004</v>
      </c>
      <c r="Q1752">
        <v>0.1866507</v>
      </c>
      <c r="R1752">
        <v>4.9328289999999997E-2</v>
      </c>
      <c r="S1752">
        <v>-3.157181</v>
      </c>
      <c r="T1752">
        <v>-0.71239300000000005</v>
      </c>
      <c r="U1752">
        <v>0.70205689999999998</v>
      </c>
      <c r="V1752">
        <v>1.5436760000000001E-2</v>
      </c>
      <c r="W1752">
        <v>0.19535350000000001</v>
      </c>
      <c r="X1752">
        <v>0.98061140000000002</v>
      </c>
      <c r="Y1752">
        <v>0.17976239999999999</v>
      </c>
      <c r="Z1752">
        <v>1.2200849999999999E-2</v>
      </c>
      <c r="AA1752">
        <v>0.98363440000000002</v>
      </c>
      <c r="AB1752">
        <v>15</v>
      </c>
      <c r="AC1752">
        <v>-0.607999999999975</v>
      </c>
      <c r="AD1752">
        <v>-0.17007410000000001</v>
      </c>
      <c r="AE1752">
        <v>0.16249999999996501</v>
      </c>
      <c r="AF1752">
        <v>0.13178870863849601</v>
      </c>
      <c r="AG1752">
        <v>-0.17007410000000001</v>
      </c>
      <c r="AH1752">
        <v>0.57150988623338095</v>
      </c>
      <c r="AI1752">
        <v>106.170963733378</v>
      </c>
      <c r="AJ1752">
        <v>77.014729539183705</v>
      </c>
      <c r="AK1752">
        <v>0.61066931581495398</v>
      </c>
      <c r="AL1752">
        <v>78.734625194516795</v>
      </c>
      <c r="AM1752">
        <v>89.098125772511494</v>
      </c>
      <c r="AN1752">
        <v>1.0000000006657499</v>
      </c>
    </row>
    <row r="1753" spans="1:40" x14ac:dyDescent="0.25">
      <c r="A1753" t="str">
        <f>"20190312172403454"</f>
        <v>20190312172403454</v>
      </c>
      <c r="B1753" t="str">
        <f>"1552382643451335"</f>
        <v>1552382643451335</v>
      </c>
      <c r="C1753" t="s">
        <v>40</v>
      </c>
      <c r="D1753">
        <v>3.731338</v>
      </c>
      <c r="E1753">
        <v>0.568967</v>
      </c>
      <c r="F1753" t="s">
        <v>41</v>
      </c>
      <c r="G1753">
        <v>-230.887</v>
      </c>
      <c r="H1753">
        <v>0.94232229999999995</v>
      </c>
      <c r="I1753">
        <v>282.15460000000002</v>
      </c>
      <c r="J1753">
        <v>-230.30019999999999</v>
      </c>
      <c r="K1753">
        <v>1.1101760000000001</v>
      </c>
      <c r="L1753">
        <v>281.99489999999997</v>
      </c>
      <c r="M1753">
        <v>-0.99935949999999996</v>
      </c>
      <c r="N1753">
        <v>0</v>
      </c>
      <c r="O1753">
        <v>3.4700380000000003E-2</v>
      </c>
      <c r="P1753">
        <v>-0.98117129999999997</v>
      </c>
      <c r="Q1753">
        <v>0.1867173</v>
      </c>
      <c r="R1753">
        <v>4.9395960000000003E-2</v>
      </c>
      <c r="S1753">
        <v>-3.157257</v>
      </c>
      <c r="T1753">
        <v>-0.70862910000000001</v>
      </c>
      <c r="U1753">
        <v>0.69729609999999997</v>
      </c>
      <c r="V1753">
        <v>1.531919E-2</v>
      </c>
      <c r="W1753">
        <v>0.1953114</v>
      </c>
      <c r="X1753">
        <v>0.98062159999999998</v>
      </c>
      <c r="Y1753">
        <v>0.1782425</v>
      </c>
      <c r="Z1753">
        <v>1.193381E-2</v>
      </c>
      <c r="AA1753">
        <v>0.98391419999999996</v>
      </c>
      <c r="AB1753">
        <v>15</v>
      </c>
      <c r="AC1753">
        <v>-0.58680000000000998</v>
      </c>
      <c r="AD1753">
        <v>-0.16785369999999999</v>
      </c>
      <c r="AE1753">
        <v>0.159700000000043</v>
      </c>
      <c r="AF1753">
        <v>0.129384164593497</v>
      </c>
      <c r="AG1753">
        <v>-0.16785369999999999</v>
      </c>
      <c r="AH1753">
        <v>0.55008230760921895</v>
      </c>
      <c r="AI1753">
        <v>106.543366137578</v>
      </c>
      <c r="AJ1753">
        <v>76.764115519083902</v>
      </c>
      <c r="AK1753">
        <v>0.58949611686247005</v>
      </c>
      <c r="AL1753">
        <v>78.737084391407294</v>
      </c>
      <c r="AM1753">
        <v>89.105002845386693</v>
      </c>
      <c r="AN1753">
        <v>0.99999997146938702</v>
      </c>
    </row>
    <row r="1754" spans="1:40" x14ac:dyDescent="0.25">
      <c r="A1754" t="str">
        <f>"20190312172403476"</f>
        <v>20190312172403476</v>
      </c>
      <c r="B1754" t="str">
        <f>"1552382643471831"</f>
        <v>1552382643471831</v>
      </c>
      <c r="C1754" t="s">
        <v>40</v>
      </c>
      <c r="D1754">
        <v>3.6107140000000002</v>
      </c>
      <c r="E1754">
        <v>0.56872219999999996</v>
      </c>
      <c r="F1754" t="s">
        <v>41</v>
      </c>
      <c r="G1754">
        <v>-231.02889999999999</v>
      </c>
      <c r="H1754">
        <v>0.94758149999999997</v>
      </c>
      <c r="I1754">
        <v>282.1549</v>
      </c>
      <c r="J1754">
        <v>-230.45349999999999</v>
      </c>
      <c r="K1754">
        <v>1.110174</v>
      </c>
      <c r="L1754">
        <v>282.00040000000001</v>
      </c>
      <c r="M1754">
        <v>-0.99935589999999996</v>
      </c>
      <c r="N1754">
        <v>0</v>
      </c>
      <c r="O1754">
        <v>3.4827219999999999E-2</v>
      </c>
      <c r="P1754">
        <v>-0.98116400000000004</v>
      </c>
      <c r="Q1754">
        <v>0.1868726</v>
      </c>
      <c r="R1754">
        <v>4.8946259999999998E-2</v>
      </c>
      <c r="S1754">
        <v>-3.156784</v>
      </c>
      <c r="T1754">
        <v>-0.70449459999999997</v>
      </c>
      <c r="U1754">
        <v>0.69238279999999996</v>
      </c>
      <c r="V1754">
        <v>1.473783E-2</v>
      </c>
      <c r="W1754">
        <v>0.1953657</v>
      </c>
      <c r="X1754">
        <v>0.98061969999999998</v>
      </c>
      <c r="Y1754">
        <v>0.17676239999999999</v>
      </c>
      <c r="Z1754">
        <v>1.168046E-2</v>
      </c>
      <c r="AA1754">
        <v>0.98418430000000001</v>
      </c>
      <c r="AB1754">
        <v>16</v>
      </c>
      <c r="AC1754">
        <v>-0.57540000000000102</v>
      </c>
      <c r="AD1754">
        <v>-0.162592499999999</v>
      </c>
      <c r="AE1754">
        <v>0.15449999999998401</v>
      </c>
      <c r="AF1754">
        <v>0.12505230427533601</v>
      </c>
      <c r="AG1754">
        <v>-0.162592499999999</v>
      </c>
      <c r="AH1754">
        <v>0.54019904213096404</v>
      </c>
      <c r="AI1754">
        <v>106.342815426622</v>
      </c>
      <c r="AJ1754">
        <v>76.966016531375701</v>
      </c>
      <c r="AK1754">
        <v>0.57783164068786697</v>
      </c>
      <c r="AL1754">
        <v>78.733912196241107</v>
      </c>
      <c r="AM1754">
        <v>89.138960914525001</v>
      </c>
      <c r="AN1754">
        <v>0.99999997819884401</v>
      </c>
    </row>
    <row r="1755" spans="1:40" x14ac:dyDescent="0.25">
      <c r="A1755" t="str">
        <f>"20190312172403498"</f>
        <v>20190312172403498</v>
      </c>
      <c r="B1755" t="str">
        <f>"1552382643491352"</f>
        <v>1552382643491352</v>
      </c>
      <c r="C1755" t="s">
        <v>40</v>
      </c>
      <c r="D1755">
        <v>3.6700370000000002</v>
      </c>
      <c r="E1755">
        <v>0.56873459999999998</v>
      </c>
      <c r="F1755" t="s">
        <v>41</v>
      </c>
      <c r="G1755">
        <v>-231.1704</v>
      </c>
      <c r="H1755">
        <v>0.95060909999999998</v>
      </c>
      <c r="I1755">
        <v>282.15699999999998</v>
      </c>
      <c r="J1755">
        <v>-230.60730000000001</v>
      </c>
      <c r="K1755">
        <v>1.1101719999999999</v>
      </c>
      <c r="L1755">
        <v>282.00580000000002</v>
      </c>
      <c r="M1755">
        <v>-0.99935390000000002</v>
      </c>
      <c r="N1755">
        <v>0</v>
      </c>
      <c r="O1755">
        <v>3.4913850000000003E-2</v>
      </c>
      <c r="P1755">
        <v>-0.98126970000000002</v>
      </c>
      <c r="Q1755">
        <v>0.1865387</v>
      </c>
      <c r="R1755">
        <v>4.8097689999999999E-2</v>
      </c>
      <c r="S1755">
        <v>-3.1571039999999999</v>
      </c>
      <c r="T1755">
        <v>-0.702816199999999</v>
      </c>
      <c r="U1755">
        <v>0.688446</v>
      </c>
      <c r="V1755">
        <v>1.3795750000000001E-2</v>
      </c>
      <c r="W1755">
        <v>0.19493450000000001</v>
      </c>
      <c r="X1755">
        <v>0.98071920000000001</v>
      </c>
      <c r="Y1755">
        <v>0.17553079999999999</v>
      </c>
      <c r="Z1755">
        <v>1.15009E-2</v>
      </c>
      <c r="AA1755">
        <v>0.98440680000000003</v>
      </c>
      <c r="AB1755">
        <v>16</v>
      </c>
      <c r="AC1755">
        <v>-0.56309999999999105</v>
      </c>
      <c r="AD1755">
        <v>-0.15956289999999901</v>
      </c>
      <c r="AE1755">
        <v>0.15119999999996001</v>
      </c>
      <c r="AF1755">
        <v>0.122288226846037</v>
      </c>
      <c r="AG1755">
        <v>-0.15956289999999901</v>
      </c>
      <c r="AH1755">
        <v>0.52845663222185202</v>
      </c>
      <c r="AI1755">
        <v>106.39218812362699</v>
      </c>
      <c r="AJ1755">
        <v>76.970728863119504</v>
      </c>
      <c r="AK1755">
        <v>0.56540352105449398</v>
      </c>
      <c r="AL1755">
        <v>78.759102317446803</v>
      </c>
      <c r="AM1755">
        <v>89.194075002125899</v>
      </c>
      <c r="AN1755">
        <v>0.99999996562847504</v>
      </c>
    </row>
    <row r="1756" spans="1:40" x14ac:dyDescent="0.25">
      <c r="A1756" t="str">
        <f>"20190312172403522"</f>
        <v>20190312172403522</v>
      </c>
      <c r="B1756" t="str">
        <f>"1552382643511847"</f>
        <v>1552382643511847</v>
      </c>
      <c r="C1756" t="s">
        <v>40</v>
      </c>
      <c r="D1756">
        <v>3.6388250000000002</v>
      </c>
      <c r="E1756">
        <v>0.56908429999999999</v>
      </c>
      <c r="F1756" t="s">
        <v>41</v>
      </c>
      <c r="G1756">
        <v>-231.31229999999999</v>
      </c>
      <c r="H1756">
        <v>0.95326149999999998</v>
      </c>
      <c r="I1756">
        <v>282.15929999999997</v>
      </c>
      <c r="J1756">
        <v>-230.7764</v>
      </c>
      <c r="K1756">
        <v>1.1101639999999999</v>
      </c>
      <c r="L1756">
        <v>282.01179999999999</v>
      </c>
      <c r="M1756">
        <v>-0.99935280000000004</v>
      </c>
      <c r="N1756">
        <v>0</v>
      </c>
      <c r="O1756">
        <v>3.4967020000000001E-2</v>
      </c>
      <c r="P1756">
        <v>-0.98134849999999996</v>
      </c>
      <c r="Q1756">
        <v>0.18629119999999999</v>
      </c>
      <c r="R1756">
        <v>4.7444979999999998E-2</v>
      </c>
      <c r="S1756">
        <v>-3.1572269999999998</v>
      </c>
      <c r="T1756">
        <v>-0.70279590000000003</v>
      </c>
      <c r="U1756">
        <v>0.68658450000000004</v>
      </c>
      <c r="V1756">
        <v>1.308344E-2</v>
      </c>
      <c r="W1756">
        <v>0.19458420000000001</v>
      </c>
      <c r="X1756">
        <v>0.98079850000000002</v>
      </c>
      <c r="Y1756">
        <v>0.17493149999999999</v>
      </c>
      <c r="Z1756">
        <v>1.1424129999999999E-2</v>
      </c>
      <c r="AA1756">
        <v>0.98451429999999995</v>
      </c>
      <c r="AB1756">
        <v>16</v>
      </c>
      <c r="AC1756">
        <v>-0.53589999999999705</v>
      </c>
      <c r="AD1756">
        <v>-0.156902499999999</v>
      </c>
      <c r="AE1756">
        <v>0.14749999999997901</v>
      </c>
      <c r="AF1756">
        <v>0.11917388590216001</v>
      </c>
      <c r="AG1756">
        <v>-0.156902499999999</v>
      </c>
      <c r="AH1756">
        <v>0.50082190747049404</v>
      </c>
      <c r="AI1756">
        <v>106.950172114593</v>
      </c>
      <c r="AJ1756">
        <v>76.615018889572497</v>
      </c>
      <c r="AK1756">
        <v>0.53818527719518205</v>
      </c>
      <c r="AL1756">
        <v>78.779564602544994</v>
      </c>
      <c r="AM1756">
        <v>89.235743698271193</v>
      </c>
      <c r="AN1756">
        <v>0.99999994244706003</v>
      </c>
    </row>
    <row r="1757" spans="1:40" x14ac:dyDescent="0.25">
      <c r="A1757" t="str">
        <f>"20190312172403546"</f>
        <v>20190312172403546</v>
      </c>
      <c r="B1757" t="str">
        <f>"1552382643542103"</f>
        <v>1552382643542103</v>
      </c>
      <c r="C1757" t="s">
        <v>40</v>
      </c>
      <c r="D1757">
        <v>3.636415</v>
      </c>
      <c r="E1757">
        <v>0.56946839999999999</v>
      </c>
      <c r="F1757" t="s">
        <v>41</v>
      </c>
      <c r="G1757">
        <v>-231.5849</v>
      </c>
      <c r="H1757">
        <v>0.92993440000000005</v>
      </c>
      <c r="I1757">
        <v>282.18799999999999</v>
      </c>
      <c r="J1757">
        <v>-230.9402</v>
      </c>
      <c r="K1757">
        <v>1.110155</v>
      </c>
      <c r="L1757">
        <v>282.01749999999998</v>
      </c>
      <c r="M1757">
        <v>-0.9993533</v>
      </c>
      <c r="N1757">
        <v>0</v>
      </c>
      <c r="O1757">
        <v>3.4977849999999998E-2</v>
      </c>
      <c r="P1757">
        <v>-0.98140530000000004</v>
      </c>
      <c r="Q1757">
        <v>0.18608050000000001</v>
      </c>
      <c r="R1757">
        <v>4.7097430000000003E-2</v>
      </c>
      <c r="S1757">
        <v>-3.157394</v>
      </c>
      <c r="T1757">
        <v>-0.70385719999999996</v>
      </c>
      <c r="U1757">
        <v>0.68774409999999997</v>
      </c>
      <c r="V1757">
        <v>1.271917E-2</v>
      </c>
      <c r="W1757">
        <v>0.19427729999999999</v>
      </c>
      <c r="X1757">
        <v>0.98086419999999996</v>
      </c>
      <c r="Y1757">
        <v>0.17523920000000001</v>
      </c>
      <c r="Z1757">
        <v>1.1471139999999999E-2</v>
      </c>
      <c r="AA1757">
        <v>0.98445899999999997</v>
      </c>
      <c r="AB1757">
        <v>16</v>
      </c>
      <c r="AC1757">
        <v>-0.64470000000000005</v>
      </c>
      <c r="AD1757">
        <v>-0.18022059999999901</v>
      </c>
      <c r="AE1757">
        <v>0.17050000000000401</v>
      </c>
      <c r="AF1757">
        <v>0.13778171131723099</v>
      </c>
      <c r="AG1757">
        <v>-0.18022059999999901</v>
      </c>
      <c r="AH1757">
        <v>0.60600925708470299</v>
      </c>
      <c r="AI1757">
        <v>106.171554063741</v>
      </c>
      <c r="AJ1757">
        <v>77.191029010362598</v>
      </c>
      <c r="AK1757">
        <v>0.64707842207124999</v>
      </c>
      <c r="AL1757">
        <v>78.797491574419396</v>
      </c>
      <c r="AM1757">
        <v>89.257069513748704</v>
      </c>
      <c r="AN1757">
        <v>1.0000000127112001</v>
      </c>
    </row>
    <row r="1758" spans="1:40" x14ac:dyDescent="0.25">
      <c r="A1758" t="str">
        <f>"20190312172403566"</f>
        <v>20190312172403566</v>
      </c>
      <c r="B1758" t="str">
        <f>"1552382643561623"</f>
        <v>1552382643561623</v>
      </c>
      <c r="C1758" t="s">
        <v>40</v>
      </c>
      <c r="D1758">
        <v>3.6587960000000002</v>
      </c>
      <c r="E1758">
        <v>0.57982699999999998</v>
      </c>
      <c r="F1758" t="s">
        <v>41</v>
      </c>
      <c r="G1758">
        <v>-231.72919999999999</v>
      </c>
      <c r="H1758">
        <v>0.93421860000000001</v>
      </c>
      <c r="I1758">
        <v>282.19009999999997</v>
      </c>
      <c r="J1758">
        <v>-231.08869999999999</v>
      </c>
      <c r="K1758">
        <v>1.1101430000000001</v>
      </c>
      <c r="L1758">
        <v>282.02280000000002</v>
      </c>
      <c r="M1758">
        <v>-0.99935430000000003</v>
      </c>
      <c r="N1758">
        <v>0</v>
      </c>
      <c r="O1758">
        <v>3.496755E-2</v>
      </c>
      <c r="P1758">
        <v>-0.98144659999999995</v>
      </c>
      <c r="Q1758">
        <v>0.1859286</v>
      </c>
      <c r="R1758">
        <v>4.6829570000000001E-2</v>
      </c>
      <c r="S1758">
        <v>-3.157257</v>
      </c>
      <c r="T1758">
        <v>-0.70414189999999999</v>
      </c>
      <c r="U1758">
        <v>0.68978879999999998</v>
      </c>
      <c r="V1758">
        <v>1.2457589999999999E-2</v>
      </c>
      <c r="W1758">
        <v>0.19404250000000001</v>
      </c>
      <c r="X1758">
        <v>0.98091399999999995</v>
      </c>
      <c r="Y1758">
        <v>0.1758499</v>
      </c>
      <c r="Z1758">
        <v>1.1544169999999999E-2</v>
      </c>
      <c r="AA1758">
        <v>0.98434929999999998</v>
      </c>
      <c r="AB1758">
        <v>16</v>
      </c>
      <c r="AC1758">
        <v>-0.64050000000000296</v>
      </c>
      <c r="AD1758">
        <v>-0.17592440000000001</v>
      </c>
      <c r="AE1758">
        <v>0.16729999999995401</v>
      </c>
      <c r="AF1758">
        <v>0.13524845316801601</v>
      </c>
      <c r="AG1758">
        <v>-0.17592440000000001</v>
      </c>
      <c r="AH1758">
        <v>0.60334788128608496</v>
      </c>
      <c r="AI1758">
        <v>105.88208880326199</v>
      </c>
      <c r="AJ1758">
        <v>77.365253971936099</v>
      </c>
      <c r="AK1758">
        <v>0.64286095265781196</v>
      </c>
      <c r="AL1758">
        <v>78.811205224915398</v>
      </c>
      <c r="AM1758">
        <v>89.272383757173003</v>
      </c>
      <c r="AN1758">
        <v>0.99999997937542795</v>
      </c>
    </row>
    <row r="1759" spans="1:40" x14ac:dyDescent="0.25">
      <c r="A1759" t="str">
        <f>"20190312172403587"</f>
        <v>20190312172403587</v>
      </c>
      <c r="B1759" t="str">
        <f>"1552382643582120"</f>
        <v>1552382643582120</v>
      </c>
      <c r="C1759" t="s">
        <v>40</v>
      </c>
      <c r="D1759">
        <v>3.9429110000000001</v>
      </c>
      <c r="E1759">
        <v>0.57686610000000005</v>
      </c>
      <c r="F1759" t="s">
        <v>41</v>
      </c>
      <c r="G1759">
        <v>-231.86949999999999</v>
      </c>
      <c r="H1759">
        <v>0.92669369999999995</v>
      </c>
      <c r="I1759">
        <v>282.2133</v>
      </c>
      <c r="J1759">
        <v>-231.24610000000001</v>
      </c>
      <c r="K1759">
        <v>1.1101299999999901</v>
      </c>
      <c r="L1759">
        <v>282.0283</v>
      </c>
      <c r="M1759">
        <v>-0.99935589999999996</v>
      </c>
      <c r="N1759">
        <v>0</v>
      </c>
      <c r="O1759">
        <v>3.4944070000000001E-2</v>
      </c>
      <c r="P1759">
        <v>-0.98145879999999996</v>
      </c>
      <c r="Q1759">
        <v>0.18584339999999999</v>
      </c>
      <c r="R1759">
        <v>4.6916560000000003E-2</v>
      </c>
      <c r="S1759">
        <v>-3.1606749999999999</v>
      </c>
      <c r="T1759">
        <v>-0.74273040000000001</v>
      </c>
      <c r="U1759">
        <v>0.77029419999999904</v>
      </c>
      <c r="V1759">
        <v>1.2567149999999999E-2</v>
      </c>
      <c r="W1759">
        <v>0.19387460000000001</v>
      </c>
      <c r="X1759">
        <v>0.98094579999999998</v>
      </c>
      <c r="Y1759">
        <v>0.198486</v>
      </c>
      <c r="Z1759">
        <v>1.4709109999999999E-2</v>
      </c>
      <c r="AA1759">
        <v>0.97999329999999996</v>
      </c>
      <c r="AB1759">
        <v>16</v>
      </c>
      <c r="AC1759">
        <v>-0.62339999999997497</v>
      </c>
      <c r="AD1759">
        <v>-0.183436299999999</v>
      </c>
      <c r="AE1759">
        <v>0.185000000000002</v>
      </c>
      <c r="AF1759">
        <v>0.15107983278958301</v>
      </c>
      <c r="AG1759">
        <v>-0.183436299999999</v>
      </c>
      <c r="AH1759">
        <v>0.58308462557457896</v>
      </c>
      <c r="AI1759">
        <v>106.937576617193</v>
      </c>
      <c r="AJ1759">
        <v>75.473855438006893</v>
      </c>
      <c r="AK1759">
        <v>0.62965202502244499</v>
      </c>
      <c r="AL1759">
        <v>78.821011394887407</v>
      </c>
      <c r="AM1759">
        <v>89.266009124925802</v>
      </c>
      <c r="AN1759">
        <v>0.99999997816095998</v>
      </c>
    </row>
    <row r="1760" spans="1:40" x14ac:dyDescent="0.25">
      <c r="A1760" t="str">
        <f>"20190312172403610"</f>
        <v>20190312172403610</v>
      </c>
      <c r="B1760" t="str">
        <f>"1552382643601641"</f>
        <v>1552382643601641</v>
      </c>
      <c r="C1760" t="s">
        <v>40</v>
      </c>
      <c r="D1760">
        <v>3.6549170000000002</v>
      </c>
      <c r="E1760">
        <v>0.5756291</v>
      </c>
      <c r="F1760" t="s">
        <v>41</v>
      </c>
      <c r="G1760">
        <v>-232.01580000000001</v>
      </c>
      <c r="H1760">
        <v>0.93273470000000003</v>
      </c>
      <c r="I1760">
        <v>282.21050000000002</v>
      </c>
      <c r="J1760">
        <v>-231.40860000000001</v>
      </c>
      <c r="K1760">
        <v>1.1101219999999901</v>
      </c>
      <c r="L1760">
        <v>282.03390000000002</v>
      </c>
      <c r="M1760">
        <v>-0.99935779999999996</v>
      </c>
      <c r="N1760">
        <v>0</v>
      </c>
      <c r="O1760">
        <v>3.4909830000000003E-2</v>
      </c>
      <c r="P1760">
        <v>-0.98149909999999996</v>
      </c>
      <c r="Q1760">
        <v>0.185639</v>
      </c>
      <c r="R1760">
        <v>4.6881329999999999E-2</v>
      </c>
      <c r="S1760">
        <v>-3.1588440000000002</v>
      </c>
      <c r="T1760">
        <v>-0.72816800000000004</v>
      </c>
      <c r="U1760">
        <v>0.74667359999999905</v>
      </c>
      <c r="V1760">
        <v>1.2565669999999999E-2</v>
      </c>
      <c r="W1760">
        <v>0.19358829999999999</v>
      </c>
      <c r="X1760">
        <v>0.98100240000000005</v>
      </c>
      <c r="Y1760">
        <v>0.19202440000000001</v>
      </c>
      <c r="Z1760">
        <v>1.3729709999999999E-2</v>
      </c>
      <c r="AA1760">
        <v>0.98129409999999895</v>
      </c>
      <c r="AB1760">
        <v>16</v>
      </c>
      <c r="AC1760">
        <v>-0.60720000000000596</v>
      </c>
      <c r="AD1760">
        <v>-0.177387299999999</v>
      </c>
      <c r="AE1760">
        <v>0.176600000000007</v>
      </c>
      <c r="AF1760">
        <v>0.14396582944668601</v>
      </c>
      <c r="AG1760">
        <v>-0.177387299999999</v>
      </c>
      <c r="AH1760">
        <v>0.56827773281104699</v>
      </c>
      <c r="AI1760">
        <v>106.83528400927899</v>
      </c>
      <c r="AJ1760">
        <v>75.783944047653804</v>
      </c>
      <c r="AK1760">
        <v>0.61248020038073603</v>
      </c>
      <c r="AL1760">
        <v>78.837732398144794</v>
      </c>
      <c r="AM1760">
        <v>89.266137894417398</v>
      </c>
      <c r="AN1760">
        <v>1.00000001738259</v>
      </c>
    </row>
    <row r="1761" spans="1:40" x14ac:dyDescent="0.25">
      <c r="A1761" t="str">
        <f>"20190312172403631"</f>
        <v>20190312172403631</v>
      </c>
      <c r="B1761" t="str">
        <f>"1552382643621159"</f>
        <v>1552382643621159</v>
      </c>
      <c r="C1761" t="s">
        <v>40</v>
      </c>
      <c r="D1761">
        <v>3.9335800000000001</v>
      </c>
      <c r="E1761">
        <v>0.57506069999999998</v>
      </c>
      <c r="F1761" t="s">
        <v>41</v>
      </c>
      <c r="G1761">
        <v>-232.16239999999999</v>
      </c>
      <c r="H1761">
        <v>0.93800620000000001</v>
      </c>
      <c r="I1761">
        <v>282.20979999999997</v>
      </c>
      <c r="J1761">
        <v>-231.56700000000001</v>
      </c>
      <c r="K1761">
        <v>1.110112</v>
      </c>
      <c r="L1761">
        <v>282.0394</v>
      </c>
      <c r="M1761">
        <v>-0.99935989999999997</v>
      </c>
      <c r="N1761">
        <v>0</v>
      </c>
      <c r="O1761">
        <v>3.4862509999999999E-2</v>
      </c>
      <c r="P1761">
        <v>-0.98150550000000003</v>
      </c>
      <c r="Q1761">
        <v>0.18556110000000001</v>
      </c>
      <c r="R1761">
        <v>4.7052040000000003E-2</v>
      </c>
      <c r="S1761">
        <v>-3.1577299999999999</v>
      </c>
      <c r="T1761">
        <v>-0.72097599999999995</v>
      </c>
      <c r="U1761">
        <v>0.73666379999999998</v>
      </c>
      <c r="V1761">
        <v>1.278379E-2</v>
      </c>
      <c r="W1761">
        <v>0.19343060000000001</v>
      </c>
      <c r="X1761">
        <v>0.98103059999999997</v>
      </c>
      <c r="Y1761">
        <v>0.18933369999999999</v>
      </c>
      <c r="Z1761">
        <v>1.331764E-2</v>
      </c>
      <c r="AA1761">
        <v>0.98182250000000004</v>
      </c>
      <c r="AB1761">
        <v>16</v>
      </c>
      <c r="AC1761">
        <v>-0.59539999999998305</v>
      </c>
      <c r="AD1761">
        <v>-0.172105799999999</v>
      </c>
      <c r="AE1761">
        <v>0.17039999999997199</v>
      </c>
      <c r="AF1761">
        <v>0.138817772297818</v>
      </c>
      <c r="AG1761">
        <v>-0.172105799999999</v>
      </c>
      <c r="AH1761">
        <v>0.55789299381430602</v>
      </c>
      <c r="AI1761">
        <v>106.665820433645</v>
      </c>
      <c r="AJ1761">
        <v>76.027131767338304</v>
      </c>
      <c r="AK1761">
        <v>0.60011280010216195</v>
      </c>
      <c r="AL1761">
        <v>78.846941034284498</v>
      </c>
      <c r="AM1761">
        <v>89.253422106552705</v>
      </c>
      <c r="AN1761">
        <v>0.99999993021973899</v>
      </c>
    </row>
    <row r="1762" spans="1:40" x14ac:dyDescent="0.25">
      <c r="A1762" t="str">
        <f>"20190312172403655"</f>
        <v>20190312172403655</v>
      </c>
      <c r="B1762" t="str">
        <f>"1552382643651415"</f>
        <v>1552382643651415</v>
      </c>
      <c r="C1762" t="s">
        <v>40</v>
      </c>
      <c r="D1762">
        <v>3.6833680000000002</v>
      </c>
      <c r="E1762">
        <v>0.57590479999999999</v>
      </c>
      <c r="F1762" t="s">
        <v>41</v>
      </c>
      <c r="G1762">
        <v>-232.30889999999999</v>
      </c>
      <c r="H1762">
        <v>0.94120230000000005</v>
      </c>
      <c r="I1762">
        <v>282.21159999999998</v>
      </c>
      <c r="J1762">
        <v>-231.7353</v>
      </c>
      <c r="K1762">
        <v>1.1101030000000001</v>
      </c>
      <c r="L1762">
        <v>282.04520000000002</v>
      </c>
      <c r="M1762">
        <v>-0.99936320000000001</v>
      </c>
      <c r="N1762">
        <v>0</v>
      </c>
      <c r="O1762">
        <v>3.4790120000000001E-2</v>
      </c>
      <c r="P1762">
        <v>-0.98136699999999999</v>
      </c>
      <c r="Q1762">
        <v>0.1862279</v>
      </c>
      <c r="R1762">
        <v>4.7309419999999998E-2</v>
      </c>
      <c r="S1762">
        <v>-3.1573180000000001</v>
      </c>
      <c r="T1762">
        <v>-0.71884329999999996</v>
      </c>
      <c r="U1762">
        <v>0.73220830000000003</v>
      </c>
      <c r="V1762">
        <v>1.311578E-2</v>
      </c>
      <c r="W1762">
        <v>0.19401399999999999</v>
      </c>
      <c r="X1762">
        <v>0.98091110000000004</v>
      </c>
      <c r="Y1762">
        <v>0.18816469999999999</v>
      </c>
      <c r="Z1762">
        <v>1.3169119999999999E-2</v>
      </c>
      <c r="AA1762">
        <v>0.98204919999999996</v>
      </c>
      <c r="AB1762">
        <v>16</v>
      </c>
      <c r="AC1762">
        <v>-0.573599999999999</v>
      </c>
      <c r="AD1762">
        <v>-0.16890069999999899</v>
      </c>
      <c r="AE1762">
        <v>0.166399999999953</v>
      </c>
      <c r="AF1762">
        <v>0.13550597334265199</v>
      </c>
      <c r="AG1762">
        <v>-0.16890069999999899</v>
      </c>
      <c r="AH1762">
        <v>0.536162565280762</v>
      </c>
      <c r="AI1762">
        <v>106.983439265258</v>
      </c>
      <c r="AJ1762">
        <v>75.816473369144305</v>
      </c>
      <c r="AK1762">
        <v>0.57823836925655203</v>
      </c>
      <c r="AL1762">
        <v>78.812870259701597</v>
      </c>
      <c r="AM1762">
        <v>89.233942750098606</v>
      </c>
      <c r="AN1762">
        <v>1.0000000209921001</v>
      </c>
    </row>
    <row r="1763" spans="1:40" x14ac:dyDescent="0.25">
      <c r="A1763" t="str">
        <f>"20190312172403678"</f>
        <v>20190312172403678</v>
      </c>
      <c r="B1763" t="str">
        <f>"1552382643671913"</f>
        <v>1552382643671913</v>
      </c>
      <c r="C1763" t="s">
        <v>40</v>
      </c>
      <c r="D1763">
        <v>3.6640510000000002</v>
      </c>
      <c r="E1763">
        <v>0.57542479999999996</v>
      </c>
      <c r="F1763" t="s">
        <v>41</v>
      </c>
      <c r="G1763">
        <v>-232.45670000000001</v>
      </c>
      <c r="H1763">
        <v>0.94534439999999997</v>
      </c>
      <c r="I1763">
        <v>282.21409999999997</v>
      </c>
      <c r="J1763">
        <v>-231.90029999999999</v>
      </c>
      <c r="K1763">
        <v>1.1101049999999999</v>
      </c>
      <c r="L1763">
        <v>282.05079999999998</v>
      </c>
      <c r="M1763">
        <v>-0.99936709999999995</v>
      </c>
      <c r="N1763">
        <v>0</v>
      </c>
      <c r="O1763">
        <v>3.469473E-2</v>
      </c>
      <c r="P1763">
        <v>-0.98136849999999998</v>
      </c>
      <c r="Q1763">
        <v>0.18619550000000001</v>
      </c>
      <c r="R1763">
        <v>4.740801E-2</v>
      </c>
      <c r="S1763">
        <v>-3.1582490000000001</v>
      </c>
      <c r="T1763">
        <v>-0.72135249999999995</v>
      </c>
      <c r="U1763">
        <v>0.73864750000000001</v>
      </c>
      <c r="V1763">
        <v>1.330337E-2</v>
      </c>
      <c r="W1763">
        <v>0.19390830000000001</v>
      </c>
      <c r="X1763">
        <v>0.98092939999999995</v>
      </c>
      <c r="Y1763">
        <v>0.19002450000000001</v>
      </c>
      <c r="Z1763">
        <v>1.3435610000000001E-2</v>
      </c>
      <c r="AA1763">
        <v>0.98168739999999999</v>
      </c>
      <c r="AB1763">
        <v>16</v>
      </c>
      <c r="AC1763">
        <v>-0.55640000000002399</v>
      </c>
      <c r="AD1763">
        <v>-0.16476059999999901</v>
      </c>
      <c r="AE1763">
        <v>0.16329999999999201</v>
      </c>
      <c r="AF1763">
        <v>0.133147625851507</v>
      </c>
      <c r="AG1763">
        <v>-0.16476059999999901</v>
      </c>
      <c r="AH1763">
        <v>0.51976871361602806</v>
      </c>
      <c r="AI1763">
        <v>107.07031210173</v>
      </c>
      <c r="AJ1763">
        <v>75.631680431475999</v>
      </c>
      <c r="AK1763">
        <v>0.56127877319235298</v>
      </c>
      <c r="AL1763">
        <v>78.819042835987304</v>
      </c>
      <c r="AM1763">
        <v>89.223001953216794</v>
      </c>
      <c r="AN1763">
        <v>0.99999994812330195</v>
      </c>
    </row>
    <row r="1764" spans="1:40" x14ac:dyDescent="0.25">
      <c r="A1764" t="str">
        <f>"20190312172403699"</f>
        <v>20190312172403699</v>
      </c>
      <c r="B1764" t="str">
        <f>"1552382643691431"</f>
        <v>1552382643691431</v>
      </c>
      <c r="C1764" t="s">
        <v>40</v>
      </c>
      <c r="D1764">
        <v>4.0064310000000001</v>
      </c>
      <c r="E1764">
        <v>0.57500589999999996</v>
      </c>
      <c r="F1764" t="s">
        <v>41</v>
      </c>
      <c r="G1764">
        <v>-232.60509999999999</v>
      </c>
      <c r="H1764">
        <v>0.94959579999999999</v>
      </c>
      <c r="I1764">
        <v>282.21519999999998</v>
      </c>
      <c r="J1764">
        <v>-232.05760000000001</v>
      </c>
      <c r="K1764">
        <v>1.110112</v>
      </c>
      <c r="L1764">
        <v>282.05619999999999</v>
      </c>
      <c r="M1764">
        <v>-0.99937169999999997</v>
      </c>
      <c r="N1764">
        <v>0</v>
      </c>
      <c r="O1764">
        <v>3.4578739999999997E-2</v>
      </c>
      <c r="P1764">
        <v>-0.98133890000000001</v>
      </c>
      <c r="Q1764">
        <v>0.18654899999999999</v>
      </c>
      <c r="R1764">
        <v>4.6622080000000003E-2</v>
      </c>
      <c r="S1764">
        <v>-3.1579440000000001</v>
      </c>
      <c r="T1764">
        <v>-0.71923630000000005</v>
      </c>
      <c r="U1764">
        <v>0.73464969999999996</v>
      </c>
      <c r="V1764">
        <v>1.262519E-2</v>
      </c>
      <c r="W1764">
        <v>0.19419690000000001</v>
      </c>
      <c r="X1764">
        <v>0.98088129999999996</v>
      </c>
      <c r="Y1764">
        <v>0.189022</v>
      </c>
      <c r="Z1764">
        <v>1.3314589999999999E-2</v>
      </c>
      <c r="AA1764">
        <v>0.98188260000000005</v>
      </c>
      <c r="AB1764">
        <v>16</v>
      </c>
      <c r="AC1764">
        <v>-0.547499999999985</v>
      </c>
      <c r="AD1764">
        <v>-0.160516199999999</v>
      </c>
      <c r="AE1764">
        <v>0.15899999999999101</v>
      </c>
      <c r="AF1764">
        <v>0.12969189932735201</v>
      </c>
      <c r="AG1764">
        <v>-0.160516199999999</v>
      </c>
      <c r="AH1764">
        <v>0.51207866977194305</v>
      </c>
      <c r="AI1764">
        <v>106.902242923833</v>
      </c>
      <c r="AJ1764">
        <v>75.787794661128501</v>
      </c>
      <c r="AK1764">
        <v>0.552096009086263</v>
      </c>
      <c r="AL1764">
        <v>78.802187199272893</v>
      </c>
      <c r="AM1764">
        <v>89.262571159528704</v>
      </c>
      <c r="AN1764">
        <v>0.999999978040917</v>
      </c>
    </row>
    <row r="1765" spans="1:40" x14ac:dyDescent="0.25">
      <c r="A1765" t="str">
        <f>"20190312172403733"</f>
        <v>20190312172403733</v>
      </c>
      <c r="B1765" t="str">
        <f>"1552382643721809"</f>
        <v>1552382643721809</v>
      </c>
      <c r="C1765" t="s">
        <v>40</v>
      </c>
      <c r="D1765">
        <v>3.6585200000000002</v>
      </c>
      <c r="E1765">
        <v>0.57468149999999996</v>
      </c>
      <c r="F1765" t="s">
        <v>41</v>
      </c>
      <c r="G1765">
        <v>-232.75370000000001</v>
      </c>
      <c r="H1765">
        <v>0.95251770000000002</v>
      </c>
      <c r="I1765">
        <v>282.21730000000002</v>
      </c>
      <c r="J1765">
        <v>-232.30189999999999</v>
      </c>
      <c r="K1765">
        <v>1.110128</v>
      </c>
      <c r="L1765">
        <v>282.06439999999998</v>
      </c>
      <c r="M1765">
        <v>-0.99938059999999995</v>
      </c>
      <c r="N1765">
        <v>0</v>
      </c>
      <c r="O1765">
        <v>3.4344329999999999E-2</v>
      </c>
      <c r="P1765">
        <v>-0.98123819999999995</v>
      </c>
      <c r="Q1765">
        <v>0.18725359999999999</v>
      </c>
      <c r="R1765">
        <v>4.5906570000000001E-2</v>
      </c>
      <c r="S1765">
        <v>-3.1582949999999999</v>
      </c>
      <c r="T1765">
        <v>-0.71503909999999904</v>
      </c>
      <c r="U1765">
        <v>0.73001099999999997</v>
      </c>
      <c r="V1765">
        <v>1.213038E-2</v>
      </c>
      <c r="W1765">
        <v>0.1948059</v>
      </c>
      <c r="X1765">
        <v>0.98076680000000005</v>
      </c>
      <c r="Y1765">
        <v>0.1879226</v>
      </c>
      <c r="Z1765">
        <v>1.316966E-2</v>
      </c>
      <c r="AA1765">
        <v>0.98209550000000001</v>
      </c>
      <c r="AB1765">
        <v>16</v>
      </c>
      <c r="AC1765">
        <v>-0.45180000000002002</v>
      </c>
      <c r="AD1765">
        <v>-0.15761029999999901</v>
      </c>
      <c r="AE1765">
        <v>0.152900000000045</v>
      </c>
      <c r="AF1765">
        <v>0.123777272066408</v>
      </c>
      <c r="AG1765">
        <v>-0.15761029999999901</v>
      </c>
      <c r="AH1765">
        <v>0.411818235024065</v>
      </c>
      <c r="AI1765">
        <v>110.128928098711</v>
      </c>
      <c r="AJ1765">
        <v>73.271172944004803</v>
      </c>
      <c r="AK1765">
        <v>0.45799135193213802</v>
      </c>
      <c r="AL1765">
        <v>78.766614967645197</v>
      </c>
      <c r="AM1765">
        <v>89.291386962534006</v>
      </c>
      <c r="AN1765">
        <v>1.0000000003879901</v>
      </c>
    </row>
    <row r="1766" spans="1:40" x14ac:dyDescent="0.25">
      <c r="A1766" t="str">
        <f>"20190312172403754"</f>
        <v>20190312172403754</v>
      </c>
      <c r="B1766" t="str">
        <f>"1552382643752062"</f>
        <v>1552382643752062</v>
      </c>
      <c r="C1766" t="s">
        <v>40</v>
      </c>
      <c r="D1766">
        <v>3.6642250000000001</v>
      </c>
      <c r="E1766">
        <v>0.57448699999999997</v>
      </c>
      <c r="F1766" t="s">
        <v>41</v>
      </c>
      <c r="G1766">
        <v>-233.0455</v>
      </c>
      <c r="H1766">
        <v>0.94270929999999997</v>
      </c>
      <c r="I1766">
        <v>282.2355</v>
      </c>
      <c r="J1766">
        <v>-232.46080000000001</v>
      </c>
      <c r="K1766">
        <v>1.110134</v>
      </c>
      <c r="L1766">
        <v>282.06959999999998</v>
      </c>
      <c r="M1766">
        <v>-0.99938709999999997</v>
      </c>
      <c r="N1766">
        <v>0</v>
      </c>
      <c r="O1766">
        <v>3.4163010000000001E-2</v>
      </c>
      <c r="P1766">
        <v>-0.98121480000000005</v>
      </c>
      <c r="Q1766">
        <v>0.1873407</v>
      </c>
      <c r="R1766">
        <v>4.6055350000000002E-2</v>
      </c>
      <c r="S1766">
        <v>-3.1591640000000001</v>
      </c>
      <c r="T1766">
        <v>-0.71142709999999998</v>
      </c>
      <c r="U1766">
        <v>0.72604369999999996</v>
      </c>
      <c r="V1766">
        <v>1.2451429999999999E-2</v>
      </c>
      <c r="W1766">
        <v>0.19483159999999999</v>
      </c>
      <c r="X1766">
        <v>0.98075769999999995</v>
      </c>
      <c r="Y1766">
        <v>0.1869267</v>
      </c>
      <c r="Z1766">
        <v>1.3033360000000001E-2</v>
      </c>
      <c r="AA1766">
        <v>0.98228740000000003</v>
      </c>
      <c r="AB1766">
        <v>17</v>
      </c>
      <c r="AC1766">
        <v>-0.584699999999997</v>
      </c>
      <c r="AD1766">
        <v>-0.16742469999999901</v>
      </c>
      <c r="AE1766">
        <v>0.165900000000021</v>
      </c>
      <c r="AF1766">
        <v>0.13554208828073899</v>
      </c>
      <c r="AG1766">
        <v>-0.16742469999999901</v>
      </c>
      <c r="AH1766">
        <v>0.54841126555296205</v>
      </c>
      <c r="AI1766">
        <v>106.508380141293</v>
      </c>
      <c r="AJ1766">
        <v>76.117325848083098</v>
      </c>
      <c r="AK1766">
        <v>0.58920081810109104</v>
      </c>
      <c r="AL1766">
        <v>78.765114018266303</v>
      </c>
      <c r="AM1766">
        <v>89.272627620571896</v>
      </c>
      <c r="AN1766">
        <v>1.00000002828844</v>
      </c>
    </row>
    <row r="1767" spans="1:40" x14ac:dyDescent="0.25">
      <c r="A1767" t="str">
        <f>"20190312172403777"</f>
        <v>20190312172403777</v>
      </c>
      <c r="B1767" t="str">
        <f>"1552382643771582"</f>
        <v>1552382643771582</v>
      </c>
      <c r="C1767" t="s">
        <v>40</v>
      </c>
      <c r="D1767">
        <v>3.663249</v>
      </c>
      <c r="E1767">
        <v>0.57441279999999995</v>
      </c>
      <c r="F1767" t="s">
        <v>41</v>
      </c>
      <c r="G1767">
        <v>-233.19560000000001</v>
      </c>
      <c r="H1767">
        <v>0.94472750000000005</v>
      </c>
      <c r="I1767">
        <v>282.23860000000002</v>
      </c>
      <c r="J1767">
        <v>-232.6336</v>
      </c>
      <c r="K1767">
        <v>1.110123</v>
      </c>
      <c r="L1767">
        <v>282.07530000000003</v>
      </c>
      <c r="M1767">
        <v>-0.99939509999999998</v>
      </c>
      <c r="N1767">
        <v>0</v>
      </c>
      <c r="O1767">
        <v>3.394432E-2</v>
      </c>
      <c r="P1767">
        <v>-0.9812381</v>
      </c>
      <c r="Q1767">
        <v>0.18733649999999999</v>
      </c>
      <c r="R1767">
        <v>4.5572689999999999E-2</v>
      </c>
      <c r="S1767">
        <v>-3.1591800000000001</v>
      </c>
      <c r="T1767">
        <v>-0.71123080000000005</v>
      </c>
      <c r="U1767">
        <v>0.72500609999999999</v>
      </c>
      <c r="V1767">
        <v>1.217887E-2</v>
      </c>
      <c r="W1767">
        <v>0.19476379999999999</v>
      </c>
      <c r="X1767">
        <v>0.98077460000000005</v>
      </c>
      <c r="Y1767">
        <v>0.18683269999999999</v>
      </c>
      <c r="Z1767">
        <v>1.3067830000000001E-2</v>
      </c>
      <c r="AA1767">
        <v>0.98230479999999998</v>
      </c>
      <c r="AB1767">
        <v>17</v>
      </c>
      <c r="AC1767">
        <v>-0.56200000000001105</v>
      </c>
      <c r="AD1767">
        <v>-0.1653955</v>
      </c>
      <c r="AE1767">
        <v>0.16329999999999201</v>
      </c>
      <c r="AF1767">
        <v>0.13346874879825499</v>
      </c>
      <c r="AG1767">
        <v>-0.1653955</v>
      </c>
      <c r="AH1767">
        <v>0.525267313572233</v>
      </c>
      <c r="AI1767">
        <v>106.971181944877</v>
      </c>
      <c r="AJ1767">
        <v>75.743048095611201</v>
      </c>
      <c r="AK1767">
        <v>0.56663509336557305</v>
      </c>
      <c r="AL1767">
        <v>78.769074667687207</v>
      </c>
      <c r="AM1767">
        <v>89.288560299712103</v>
      </c>
      <c r="AN1767">
        <v>1.0000000393350299</v>
      </c>
    </row>
    <row r="1768" spans="1:40" x14ac:dyDescent="0.25">
      <c r="A1768" t="str">
        <f>"20190312172403799"</f>
        <v>20190312172403799</v>
      </c>
      <c r="B1768" t="str">
        <f>"1552382643792078"</f>
        <v>1552382643792078</v>
      </c>
      <c r="C1768" t="s">
        <v>40</v>
      </c>
      <c r="D1768">
        <v>3.8953310000000001</v>
      </c>
      <c r="E1768">
        <v>0.57437280000000002</v>
      </c>
      <c r="F1768" t="s">
        <v>41</v>
      </c>
      <c r="G1768">
        <v>-233.3477</v>
      </c>
      <c r="H1768">
        <v>0.94940789999999997</v>
      </c>
      <c r="I1768">
        <v>282.23860000000002</v>
      </c>
      <c r="J1768">
        <v>-232.8047</v>
      </c>
      <c r="K1768">
        <v>1.110117</v>
      </c>
      <c r="L1768">
        <v>282.08080000000001</v>
      </c>
      <c r="M1768">
        <v>-0.99940359999999995</v>
      </c>
      <c r="N1768">
        <v>0</v>
      </c>
      <c r="O1768">
        <v>3.3711089999999999E-2</v>
      </c>
      <c r="P1768">
        <v>-0.98127249999999999</v>
      </c>
      <c r="Q1768">
        <v>0.18729029999999999</v>
      </c>
      <c r="R1768">
        <v>4.5020770000000002E-2</v>
      </c>
      <c r="S1768">
        <v>-3.1595309999999999</v>
      </c>
      <c r="T1768">
        <v>-0.7110476</v>
      </c>
      <c r="U1768">
        <v>0.72305299999999995</v>
      </c>
      <c r="V1768">
        <v>1.185464E-2</v>
      </c>
      <c r="W1768">
        <v>0.19465759999999999</v>
      </c>
      <c r="X1768">
        <v>0.98079959999999999</v>
      </c>
      <c r="Y1768">
        <v>0.1864662</v>
      </c>
      <c r="Z1768">
        <v>1.3074860000000001E-2</v>
      </c>
      <c r="AA1768">
        <v>0.98237439999999998</v>
      </c>
      <c r="AB1768">
        <v>17</v>
      </c>
      <c r="AC1768">
        <v>-0.54300000000000603</v>
      </c>
      <c r="AD1768">
        <v>-0.16070909999999999</v>
      </c>
      <c r="AE1768">
        <v>0.15780000000000799</v>
      </c>
      <c r="AF1768">
        <v>0.12898598019992499</v>
      </c>
      <c r="AG1768">
        <v>-0.16070909999999999</v>
      </c>
      <c r="AH1768">
        <v>0.50705439281380105</v>
      </c>
      <c r="AI1768">
        <v>107.075065627374</v>
      </c>
      <c r="AJ1768">
        <v>75.727650137722804</v>
      </c>
      <c r="AK1768">
        <v>0.54732892777809405</v>
      </c>
      <c r="AL1768">
        <v>78.775277587590395</v>
      </c>
      <c r="AM1768">
        <v>89.3075162682741</v>
      </c>
      <c r="AN1768">
        <v>0.99999998454372396</v>
      </c>
    </row>
    <row r="1769" spans="1:40" x14ac:dyDescent="0.25">
      <c r="A1769" t="str">
        <f>"20190312172403822"</f>
        <v>20190312172403822</v>
      </c>
      <c r="B1769" t="str">
        <f>"1552382643812133"</f>
        <v>1552382643812133</v>
      </c>
      <c r="C1769" t="s">
        <v>40</v>
      </c>
      <c r="D1769">
        <v>3.6635399999999998</v>
      </c>
      <c r="E1769">
        <v>0.5742815</v>
      </c>
      <c r="F1769" t="s">
        <v>41</v>
      </c>
      <c r="G1769">
        <v>-233.50030000000001</v>
      </c>
      <c r="H1769">
        <v>0.95354799999999995</v>
      </c>
      <c r="I1769">
        <v>282.24</v>
      </c>
      <c r="J1769">
        <v>-232.9743</v>
      </c>
      <c r="K1769">
        <v>1.110101</v>
      </c>
      <c r="L1769">
        <v>282.08620000000002</v>
      </c>
      <c r="M1769">
        <v>-0.99941199999999997</v>
      </c>
      <c r="N1769">
        <v>0</v>
      </c>
      <c r="O1769">
        <v>3.3470390000000003E-2</v>
      </c>
      <c r="P1769">
        <v>-0.98126199999999997</v>
      </c>
      <c r="Q1769">
        <v>0.18747739999999999</v>
      </c>
      <c r="R1769">
        <v>4.446568E-2</v>
      </c>
      <c r="S1769">
        <v>-3.1598820000000001</v>
      </c>
      <c r="T1769">
        <v>-0.71131099999999903</v>
      </c>
      <c r="U1769">
        <v>0.72189329999999996</v>
      </c>
      <c r="V1769">
        <v>1.1538909999999999E-2</v>
      </c>
      <c r="W1769">
        <v>0.19478670000000001</v>
      </c>
      <c r="X1769">
        <v>0.98077769999999997</v>
      </c>
      <c r="Y1769">
        <v>0.18633150000000001</v>
      </c>
      <c r="Z1769">
        <v>1.3116650000000001E-2</v>
      </c>
      <c r="AA1769">
        <v>0.98239929999999998</v>
      </c>
      <c r="AB1769">
        <v>17</v>
      </c>
      <c r="AC1769">
        <v>-0.52600000000001002</v>
      </c>
      <c r="AD1769">
        <v>-0.156553</v>
      </c>
      <c r="AE1769">
        <v>0.153799999999989</v>
      </c>
      <c r="AF1769">
        <v>0.12583868619628499</v>
      </c>
      <c r="AG1769">
        <v>-0.156553</v>
      </c>
      <c r="AH1769">
        <v>0.49080074940523699</v>
      </c>
      <c r="AI1769">
        <v>107.170123013175</v>
      </c>
      <c r="AJ1769">
        <v>75.619444449481904</v>
      </c>
      <c r="AK1769">
        <v>0.53031084504217796</v>
      </c>
      <c r="AL1769">
        <v>78.7677359682733</v>
      </c>
      <c r="AM1769">
        <v>89.325942727010897</v>
      </c>
      <c r="AN1769">
        <v>0.999999950879082</v>
      </c>
    </row>
    <row r="1770" spans="1:40" x14ac:dyDescent="0.25">
      <c r="A1770" t="str">
        <f>"20190312172403843"</f>
        <v>20190312172403843</v>
      </c>
      <c r="B1770" t="str">
        <f>"1552382643831653"</f>
        <v>1552382643831653</v>
      </c>
      <c r="C1770" t="s">
        <v>40</v>
      </c>
      <c r="D1770">
        <v>3.6472310000000001</v>
      </c>
      <c r="E1770">
        <v>0.57431109999999996</v>
      </c>
      <c r="F1770" t="s">
        <v>41</v>
      </c>
      <c r="G1770">
        <v>-233.7919</v>
      </c>
      <c r="H1770">
        <v>0.92626949999999997</v>
      </c>
      <c r="I1770">
        <v>282.27260000000001</v>
      </c>
      <c r="J1770">
        <v>-233.13650000000001</v>
      </c>
      <c r="K1770">
        <v>1.1100829999999999</v>
      </c>
      <c r="L1770">
        <v>282.09140000000002</v>
      </c>
      <c r="M1770">
        <v>-0.99942019999999998</v>
      </c>
      <c r="N1770">
        <v>0</v>
      </c>
      <c r="O1770">
        <v>3.3238810000000001E-2</v>
      </c>
      <c r="P1770">
        <v>-0.98111309999999996</v>
      </c>
      <c r="Q1770">
        <v>0.18830050000000001</v>
      </c>
      <c r="R1770">
        <v>4.4273760000000002E-2</v>
      </c>
      <c r="S1770">
        <v>-3.1604770000000002</v>
      </c>
      <c r="T1770">
        <v>-0.71072389999999996</v>
      </c>
      <c r="U1770">
        <v>0.71960449999999998</v>
      </c>
      <c r="V1770">
        <v>1.1582780000000001E-2</v>
      </c>
      <c r="W1770">
        <v>0.19555739999999999</v>
      </c>
      <c r="X1770">
        <v>0.98062380000000005</v>
      </c>
      <c r="Y1770">
        <v>0.18585479999999999</v>
      </c>
      <c r="Z1770">
        <v>1.3103119999999999E-2</v>
      </c>
      <c r="AA1770">
        <v>0.98248979999999997</v>
      </c>
      <c r="AB1770">
        <v>17</v>
      </c>
      <c r="AC1770">
        <v>-0.65539999999998599</v>
      </c>
      <c r="AD1770">
        <v>-0.18381349999999999</v>
      </c>
      <c r="AE1770">
        <v>0.18119999999998901</v>
      </c>
      <c r="AF1770">
        <v>0.14846580931768799</v>
      </c>
      <c r="AG1770">
        <v>-0.18381349999999999</v>
      </c>
      <c r="AH1770">
        <v>0.61604498655120998</v>
      </c>
      <c r="AI1770">
        <v>106.175959820011</v>
      </c>
      <c r="AJ1770">
        <v>76.450194495401803</v>
      </c>
      <c r="AK1770">
        <v>0.65980370169732105</v>
      </c>
      <c r="AL1770">
        <v>78.7227122165868</v>
      </c>
      <c r="AM1770">
        <v>89.323274074278999</v>
      </c>
      <c r="AN1770">
        <v>0.99999994730686204</v>
      </c>
    </row>
    <row r="1771" spans="1:40" x14ac:dyDescent="0.25">
      <c r="A1771" t="str">
        <f>"20190312172403866"</f>
        <v>20190312172403866</v>
      </c>
      <c r="B1771" t="str">
        <f>"1552382643861910"</f>
        <v>1552382643861910</v>
      </c>
      <c r="C1771" t="s">
        <v>40</v>
      </c>
      <c r="D1771">
        <v>3.9849000000000001</v>
      </c>
      <c r="E1771">
        <v>0.57425289999999996</v>
      </c>
      <c r="F1771" t="s">
        <v>41</v>
      </c>
      <c r="G1771">
        <v>-233.94569999999999</v>
      </c>
      <c r="H1771">
        <v>0.92874769999999895</v>
      </c>
      <c r="I1771">
        <v>282.2756</v>
      </c>
      <c r="J1771">
        <v>-233.31540000000001</v>
      </c>
      <c r="K1771">
        <v>1.11007099999999</v>
      </c>
      <c r="L1771">
        <v>282.09710000000001</v>
      </c>
      <c r="M1771">
        <v>-0.99942889999999995</v>
      </c>
      <c r="N1771">
        <v>0</v>
      </c>
      <c r="O1771">
        <v>3.2987080000000002E-2</v>
      </c>
      <c r="P1771">
        <v>-0.98108209999999996</v>
      </c>
      <c r="Q1771">
        <v>0.18853220000000001</v>
      </c>
      <c r="R1771">
        <v>4.3971110000000001E-2</v>
      </c>
      <c r="S1771">
        <v>-3.1612550000000001</v>
      </c>
      <c r="T1771">
        <v>-0.70843590000000001</v>
      </c>
      <c r="U1771">
        <v>0.71932980000000002</v>
      </c>
      <c r="V1771">
        <v>1.153212E-2</v>
      </c>
      <c r="W1771">
        <v>0.19573650000000001</v>
      </c>
      <c r="X1771">
        <v>0.98058869999999998</v>
      </c>
      <c r="Y1771">
        <v>0.18598419999999999</v>
      </c>
      <c r="Z1771">
        <v>1.312805E-2</v>
      </c>
      <c r="AA1771">
        <v>0.98246500000000003</v>
      </c>
      <c r="AB1771">
        <v>17</v>
      </c>
      <c r="AC1771">
        <v>-0.63029999999997699</v>
      </c>
      <c r="AD1771">
        <v>-0.18132329999999999</v>
      </c>
      <c r="AE1771">
        <v>0.178499999999985</v>
      </c>
      <c r="AF1771">
        <v>0.14639466192030301</v>
      </c>
      <c r="AG1771">
        <v>-0.18132329999999999</v>
      </c>
      <c r="AH1771">
        <v>0.59059731390250803</v>
      </c>
      <c r="AI1771">
        <v>106.593972992687</v>
      </c>
      <c r="AJ1771">
        <v>76.078373023231194</v>
      </c>
      <c r="AK1771">
        <v>0.63491316205486503</v>
      </c>
      <c r="AL1771">
        <v>78.712248727789699</v>
      </c>
      <c r="AM1771">
        <v>89.326209504962904</v>
      </c>
      <c r="AN1771">
        <v>0.99999998289581704</v>
      </c>
    </row>
    <row r="1772" spans="1:40" x14ac:dyDescent="0.25">
      <c r="A1772" t="str">
        <f>"20190312172403889"</f>
        <v>20190312172403889</v>
      </c>
      <c r="B1772" t="str">
        <f>"1552382643881429"</f>
        <v>1552382643881429</v>
      </c>
      <c r="C1772" t="s">
        <v>40</v>
      </c>
      <c r="D1772">
        <v>3.6496620000000002</v>
      </c>
      <c r="E1772">
        <v>0.57423519999999995</v>
      </c>
      <c r="F1772" t="s">
        <v>41</v>
      </c>
      <c r="G1772">
        <v>-234.10149999999999</v>
      </c>
      <c r="H1772">
        <v>0.93410729999999997</v>
      </c>
      <c r="I1772">
        <v>282.2756</v>
      </c>
      <c r="J1772">
        <v>-233.48910000000001</v>
      </c>
      <c r="K1772">
        <v>1.1100570000000001</v>
      </c>
      <c r="L1772">
        <v>282.10250000000002</v>
      </c>
      <c r="M1772">
        <v>-0.99943709999999997</v>
      </c>
      <c r="N1772">
        <v>0</v>
      </c>
      <c r="O1772">
        <v>3.2749439999999998E-2</v>
      </c>
      <c r="P1772">
        <v>-0.98107060000000001</v>
      </c>
      <c r="Q1772">
        <v>0.18876899999999999</v>
      </c>
      <c r="R1772">
        <v>4.3202980000000002E-2</v>
      </c>
      <c r="S1772">
        <v>-3.1617130000000002</v>
      </c>
      <c r="T1772">
        <v>-0.70787359999999999</v>
      </c>
      <c r="U1772">
        <v>0.71740719999999902</v>
      </c>
      <c r="V1772">
        <v>1.1000889999999999E-2</v>
      </c>
      <c r="W1772">
        <v>0.1959236</v>
      </c>
      <c r="X1772">
        <v>0.98055740000000002</v>
      </c>
      <c r="Y1772">
        <v>0.1856276</v>
      </c>
      <c r="Z1772">
        <v>1.3129729999999999E-2</v>
      </c>
      <c r="AA1772">
        <v>0.98253239999999997</v>
      </c>
      <c r="AB1772">
        <v>17</v>
      </c>
      <c r="AC1772">
        <v>-0.61239999999997896</v>
      </c>
      <c r="AD1772">
        <v>-0.17594969999999999</v>
      </c>
      <c r="AE1772">
        <v>0.173099999999976</v>
      </c>
      <c r="AF1772">
        <v>0.14208943406280999</v>
      </c>
      <c r="AG1772">
        <v>-0.17594969999999999</v>
      </c>
      <c r="AH1772">
        <v>0.57387327027069002</v>
      </c>
      <c r="AI1772">
        <v>106.573713107302</v>
      </c>
      <c r="AJ1772">
        <v>76.093399848676995</v>
      </c>
      <c r="AK1772">
        <v>0.61682917775795598</v>
      </c>
      <c r="AL1772">
        <v>78.701316599677995</v>
      </c>
      <c r="AM1772">
        <v>89.357224650820896</v>
      </c>
      <c r="AN1772">
        <v>0.99999994565625405</v>
      </c>
    </row>
    <row r="1773" spans="1:40" x14ac:dyDescent="0.25">
      <c r="A1773" t="str">
        <f>"20190312172403912"</f>
        <v>20190312172403912</v>
      </c>
      <c r="B1773" t="str">
        <f>"1552382643901925"</f>
        <v>1552382643901925</v>
      </c>
      <c r="C1773" t="s">
        <v>40</v>
      </c>
      <c r="D1773">
        <v>3.990783</v>
      </c>
      <c r="E1773">
        <v>0.57422079999999998</v>
      </c>
      <c r="F1773" t="s">
        <v>41</v>
      </c>
      <c r="G1773">
        <v>-234.25749999999999</v>
      </c>
      <c r="H1773">
        <v>0.93832599999999999</v>
      </c>
      <c r="I1773">
        <v>282.2765</v>
      </c>
      <c r="J1773">
        <v>-233.6644</v>
      </c>
      <c r="K1773">
        <v>1.11005</v>
      </c>
      <c r="L1773">
        <v>282.108</v>
      </c>
      <c r="M1773">
        <v>-0.99944500000000003</v>
      </c>
      <c r="N1773">
        <v>0</v>
      </c>
      <c r="O1773">
        <v>3.2516690000000001E-2</v>
      </c>
      <c r="P1773">
        <v>-0.98106680000000002</v>
      </c>
      <c r="Q1773">
        <v>0.18896650000000001</v>
      </c>
      <c r="R1773">
        <v>4.2422010000000003E-2</v>
      </c>
      <c r="S1773">
        <v>-3.162369</v>
      </c>
      <c r="T1773">
        <v>-0.70685480000000001</v>
      </c>
      <c r="U1773">
        <v>0.71575929999999999</v>
      </c>
      <c r="V1773">
        <v>1.0450829999999999E-2</v>
      </c>
      <c r="W1773">
        <v>0.19606850000000001</v>
      </c>
      <c r="X1773">
        <v>0.98053449999999998</v>
      </c>
      <c r="Y1773">
        <v>0.18533769999999999</v>
      </c>
      <c r="Z1773">
        <v>1.312844E-2</v>
      </c>
      <c r="AA1773">
        <v>0.98258719999999999</v>
      </c>
      <c r="AB1773">
        <v>17</v>
      </c>
      <c r="AC1773">
        <v>-0.59309999999999197</v>
      </c>
      <c r="AD1773">
        <v>-0.17172399999999999</v>
      </c>
      <c r="AE1773">
        <v>0.16849999999999399</v>
      </c>
      <c r="AF1773">
        <v>0.138389793303758</v>
      </c>
      <c r="AG1773">
        <v>-0.17172399999999999</v>
      </c>
      <c r="AH1773">
        <v>0.55519860527046505</v>
      </c>
      <c r="AI1773">
        <v>106.70549952952599</v>
      </c>
      <c r="AJ1773">
        <v>76.003572211528095</v>
      </c>
      <c r="AK1773">
        <v>0.597399663844002</v>
      </c>
      <c r="AL1773">
        <v>78.692850753687296</v>
      </c>
      <c r="AM1773">
        <v>89.389347566084595</v>
      </c>
      <c r="AN1773">
        <v>0.99999999111509397</v>
      </c>
    </row>
    <row r="1774" spans="1:40" x14ac:dyDescent="0.25">
      <c r="A1774" t="str">
        <f>"20190312172403933"</f>
        <v>20190312172403933</v>
      </c>
      <c r="B1774" t="str">
        <f>"1552382643931712"</f>
        <v>1552382643931712</v>
      </c>
      <c r="C1774" t="s">
        <v>40</v>
      </c>
      <c r="D1774">
        <v>3.6417980000000001</v>
      </c>
      <c r="E1774">
        <v>0.574187</v>
      </c>
      <c r="F1774" t="s">
        <v>41</v>
      </c>
      <c r="G1774">
        <v>-234.4144</v>
      </c>
      <c r="H1774">
        <v>0.9426156</v>
      </c>
      <c r="I1774">
        <v>282.27749999999997</v>
      </c>
      <c r="J1774">
        <v>-233.83349999999999</v>
      </c>
      <c r="K1774">
        <v>1.1100369999999999</v>
      </c>
      <c r="L1774">
        <v>282.11329999999998</v>
      </c>
      <c r="M1774">
        <v>-0.99945269999999997</v>
      </c>
      <c r="N1774">
        <v>0</v>
      </c>
      <c r="O1774">
        <v>3.2297399999999997E-2</v>
      </c>
      <c r="P1774">
        <v>-0.98099970000000003</v>
      </c>
      <c r="Q1774">
        <v>0.18941330000000001</v>
      </c>
      <c r="R1774">
        <v>4.1981190000000002E-2</v>
      </c>
      <c r="S1774">
        <v>-3.163071</v>
      </c>
      <c r="T1774">
        <v>-0.70625689999999997</v>
      </c>
      <c r="U1774">
        <v>0.71356200000000003</v>
      </c>
      <c r="V1774">
        <v>1.0228660000000001E-2</v>
      </c>
      <c r="W1774">
        <v>0.19645940000000001</v>
      </c>
      <c r="X1774">
        <v>0.98045859999999996</v>
      </c>
      <c r="Y1774">
        <v>0.18486939999999999</v>
      </c>
      <c r="Z1774">
        <v>1.311241E-2</v>
      </c>
      <c r="AA1774">
        <v>0.98267559999999998</v>
      </c>
      <c r="AB1774">
        <v>17</v>
      </c>
      <c r="AC1774">
        <v>-0.58090000000001396</v>
      </c>
      <c r="AD1774">
        <v>-0.1674214</v>
      </c>
      <c r="AE1774">
        <v>0.16419999999999299</v>
      </c>
      <c r="AF1774">
        <v>0.13497044745713199</v>
      </c>
      <c r="AG1774">
        <v>-0.1674214</v>
      </c>
      <c r="AH1774">
        <v>0.54405213602106595</v>
      </c>
      <c r="AI1774">
        <v>106.629652419409</v>
      </c>
      <c r="AJ1774">
        <v>76.067142283452796</v>
      </c>
      <c r="AK1774">
        <v>0.58501254138165504</v>
      </c>
      <c r="AL1774">
        <v>78.670009628867703</v>
      </c>
      <c r="AM1774">
        <v>89.402281965083702</v>
      </c>
      <c r="AN1774">
        <v>0.99999999382385696</v>
      </c>
    </row>
    <row r="1775" spans="1:40" x14ac:dyDescent="0.25">
      <c r="A1775" t="str">
        <f>"20190312172403956"</f>
        <v>20190312172403956</v>
      </c>
      <c r="B1775" t="str">
        <f>"1552382643951232"</f>
        <v>1552382643951232</v>
      </c>
      <c r="C1775" t="s">
        <v>40</v>
      </c>
      <c r="D1775">
        <v>3.9926159999999999</v>
      </c>
      <c r="E1775">
        <v>0.57417209999999996</v>
      </c>
      <c r="F1775" t="s">
        <v>41</v>
      </c>
      <c r="G1775">
        <v>-234.57159999999999</v>
      </c>
      <c r="H1775">
        <v>0.9454863</v>
      </c>
      <c r="I1775">
        <v>282.27929999999998</v>
      </c>
      <c r="J1775">
        <v>-234.00659999999999</v>
      </c>
      <c r="K1775">
        <v>1.1100270000000001</v>
      </c>
      <c r="L1775">
        <v>282.11860000000001</v>
      </c>
      <c r="M1775">
        <v>-0.99946009999999996</v>
      </c>
      <c r="N1775">
        <v>0</v>
      </c>
      <c r="O1775">
        <v>3.2077250000000002E-2</v>
      </c>
      <c r="P1775">
        <v>-0.98085290000000003</v>
      </c>
      <c r="Q1775">
        <v>0.1902923</v>
      </c>
      <c r="R1775">
        <v>4.1430229999999998E-2</v>
      </c>
      <c r="S1775">
        <v>-3.1637729999999999</v>
      </c>
      <c r="T1775">
        <v>-0.70517489999999905</v>
      </c>
      <c r="U1775">
        <v>0.71252439999999995</v>
      </c>
      <c r="V1775">
        <v>9.8991979999999997E-3</v>
      </c>
      <c r="W1775">
        <v>0.19727239999999999</v>
      </c>
      <c r="X1775">
        <v>0.98029880000000003</v>
      </c>
      <c r="Y1775">
        <v>0.18474199999999999</v>
      </c>
      <c r="Z1775">
        <v>1.31244E-2</v>
      </c>
      <c r="AA1775">
        <v>0.9826994</v>
      </c>
      <c r="AB1775">
        <v>17</v>
      </c>
      <c r="AC1775">
        <v>-0.56499999999999695</v>
      </c>
      <c r="AD1775">
        <v>-0.16454069999999901</v>
      </c>
      <c r="AE1775">
        <v>0.16069999999996201</v>
      </c>
      <c r="AF1775">
        <v>0.13212616924948001</v>
      </c>
      <c r="AG1775">
        <v>-0.16454069999999901</v>
      </c>
      <c r="AH1775">
        <v>0.52840397864920496</v>
      </c>
      <c r="AI1775">
        <v>106.809099146337</v>
      </c>
      <c r="AJ1775">
        <v>75.961187407852506</v>
      </c>
      <c r="AK1775">
        <v>0.56898306759458295</v>
      </c>
      <c r="AL1775">
        <v>78.6224992109901</v>
      </c>
      <c r="AM1775">
        <v>89.421438659166597</v>
      </c>
      <c r="AN1775">
        <v>1.00000006560211</v>
      </c>
    </row>
    <row r="1776" spans="1:40" x14ac:dyDescent="0.25">
      <c r="A1776" t="str">
        <f>"20190312172403978"</f>
        <v>20190312172403978</v>
      </c>
      <c r="B1776" t="str">
        <f>"1552382643971728"</f>
        <v>1552382643971728</v>
      </c>
      <c r="C1776" t="s">
        <v>40</v>
      </c>
      <c r="D1776">
        <v>3.687862</v>
      </c>
      <c r="E1776">
        <v>0.57413819999999904</v>
      </c>
      <c r="F1776" t="s">
        <v>41</v>
      </c>
      <c r="G1776">
        <v>-234.73009999999999</v>
      </c>
      <c r="H1776">
        <v>0.94946339999999996</v>
      </c>
      <c r="I1776">
        <v>282.28129999999999</v>
      </c>
      <c r="J1776">
        <v>-234.18639999999999</v>
      </c>
      <c r="K1776">
        <v>1.110017</v>
      </c>
      <c r="L1776">
        <v>282.1241</v>
      </c>
      <c r="M1776">
        <v>-0.99946789999999996</v>
      </c>
      <c r="N1776">
        <v>0</v>
      </c>
      <c r="O1776">
        <v>3.1850620000000003E-2</v>
      </c>
      <c r="P1776">
        <v>-0.98070190000000002</v>
      </c>
      <c r="Q1776">
        <v>0.1912073</v>
      </c>
      <c r="R1776">
        <v>4.07883E-2</v>
      </c>
      <c r="S1776">
        <v>-3.164825</v>
      </c>
      <c r="T1776">
        <v>-0.70245049999999998</v>
      </c>
      <c r="U1776">
        <v>0.71102909999999997</v>
      </c>
      <c r="V1776">
        <v>9.4846300000000008E-3</v>
      </c>
      <c r="W1776">
        <v>0.1981096</v>
      </c>
      <c r="X1776">
        <v>0.98013399999999995</v>
      </c>
      <c r="Y1776">
        <v>0.18448239999999999</v>
      </c>
      <c r="Z1776">
        <v>1.309222E-2</v>
      </c>
      <c r="AA1776">
        <v>0.98274859999999997</v>
      </c>
      <c r="AB1776">
        <v>17</v>
      </c>
      <c r="AC1776">
        <v>-0.54370000000000096</v>
      </c>
      <c r="AD1776">
        <v>-0.16055359999999999</v>
      </c>
      <c r="AE1776">
        <v>0.15719999999998799</v>
      </c>
      <c r="AF1776">
        <v>0.129390126649783</v>
      </c>
      <c r="AG1776">
        <v>-0.16055359999999999</v>
      </c>
      <c r="AH1776">
        <v>0.50758401295007205</v>
      </c>
      <c r="AI1776">
        <v>107.04069778415</v>
      </c>
      <c r="AJ1776">
        <v>75.699090149611294</v>
      </c>
      <c r="AK1776">
        <v>0.54786932159950896</v>
      </c>
      <c r="AL1776">
        <v>78.573564860921195</v>
      </c>
      <c r="AM1776">
        <v>89.445573454623201</v>
      </c>
      <c r="AN1776">
        <v>1.0000000148871899</v>
      </c>
    </row>
    <row r="1777" spans="1:40" x14ac:dyDescent="0.25">
      <c r="A1777" t="str">
        <f>"20190312172404001"</f>
        <v>20190312172404001</v>
      </c>
      <c r="B1777" t="str">
        <f>"1552382643991248"</f>
        <v>1552382643991248</v>
      </c>
      <c r="C1777" t="s">
        <v>40</v>
      </c>
      <c r="D1777">
        <v>3.989814</v>
      </c>
      <c r="E1777">
        <v>0.57408729999999997</v>
      </c>
      <c r="F1777" t="s">
        <v>41</v>
      </c>
      <c r="G1777">
        <v>-234.88990000000001</v>
      </c>
      <c r="H1777">
        <v>0.95452090000000001</v>
      </c>
      <c r="I1777">
        <v>282.28160000000003</v>
      </c>
      <c r="J1777">
        <v>-234.36279999999999</v>
      </c>
      <c r="K1777">
        <v>1.109998</v>
      </c>
      <c r="L1777">
        <v>282.12950000000001</v>
      </c>
      <c r="M1777">
        <v>-0.99947560000000002</v>
      </c>
      <c r="N1777">
        <v>0</v>
      </c>
      <c r="O1777">
        <v>3.1629450000000003E-2</v>
      </c>
      <c r="P1777">
        <v>-0.98063480000000003</v>
      </c>
      <c r="Q1777">
        <v>0.19169810000000001</v>
      </c>
      <c r="R1777">
        <v>4.0092999999999997E-2</v>
      </c>
      <c r="S1777">
        <v>-3.1660159999999999</v>
      </c>
      <c r="T1777">
        <v>-0.69986079999999995</v>
      </c>
      <c r="U1777">
        <v>0.70855709999999905</v>
      </c>
      <c r="V1777">
        <v>9.0085889999999991E-3</v>
      </c>
      <c r="W1777">
        <v>0.19851569999999999</v>
      </c>
      <c r="X1777">
        <v>0.98005629999999999</v>
      </c>
      <c r="Y1777">
        <v>0.18392530000000001</v>
      </c>
      <c r="Z1777">
        <v>1.3028939999999999E-2</v>
      </c>
      <c r="AA1777">
        <v>0.98285389999999995</v>
      </c>
      <c r="AB1777">
        <v>18</v>
      </c>
      <c r="AC1777">
        <v>-0.527100000000018</v>
      </c>
      <c r="AD1777">
        <v>-0.15547709999999901</v>
      </c>
      <c r="AE1777">
        <v>0.152100000000018</v>
      </c>
      <c r="AF1777">
        <v>0.12528870806171399</v>
      </c>
      <c r="AG1777">
        <v>-0.15547709999999901</v>
      </c>
      <c r="AH1777">
        <v>0.49212116638681602</v>
      </c>
      <c r="AI1777">
        <v>107.02281508929001</v>
      </c>
      <c r="AJ1777">
        <v>75.716553218583101</v>
      </c>
      <c r="AK1777">
        <v>0.53108721637609002</v>
      </c>
      <c r="AL1777">
        <v>78.549825317584506</v>
      </c>
      <c r="AM1777">
        <v>89.473357201033195</v>
      </c>
      <c r="AN1777">
        <v>0.99999999449597499</v>
      </c>
    </row>
    <row r="1778" spans="1:40" x14ac:dyDescent="0.25">
      <c r="A1778" t="str">
        <f>"20190312172404022"</f>
        <v>20190312172404022</v>
      </c>
      <c r="B1778" t="str">
        <f>"1552382644011747"</f>
        <v>1552382644011747</v>
      </c>
      <c r="C1778" t="s">
        <v>40</v>
      </c>
      <c r="D1778">
        <v>3.9676130000000001</v>
      </c>
      <c r="E1778">
        <v>0.57411719999999999</v>
      </c>
      <c r="F1778" t="s">
        <v>41</v>
      </c>
      <c r="G1778">
        <v>-235.05</v>
      </c>
      <c r="H1778">
        <v>0.95851969999999997</v>
      </c>
      <c r="I1778">
        <v>282.28289999999998</v>
      </c>
      <c r="J1778">
        <v>-234.53210000000001</v>
      </c>
      <c r="K1778">
        <v>1.1099840000000001</v>
      </c>
      <c r="L1778">
        <v>282.1345</v>
      </c>
      <c r="M1778">
        <v>-0.99948289999999995</v>
      </c>
      <c r="N1778">
        <v>0</v>
      </c>
      <c r="O1778">
        <v>3.1417760000000003E-2</v>
      </c>
      <c r="P1778">
        <v>-0.98062349999999998</v>
      </c>
      <c r="Q1778">
        <v>0.19186139999999999</v>
      </c>
      <c r="R1778">
        <v>3.958619E-2</v>
      </c>
      <c r="S1778">
        <v>-3.1668240000000001</v>
      </c>
      <c r="T1778">
        <v>-0.69809080000000001</v>
      </c>
      <c r="U1778">
        <v>0.70639039999999997</v>
      </c>
      <c r="V1778">
        <v>8.709764E-3</v>
      </c>
      <c r="W1778">
        <v>0.19859189999999999</v>
      </c>
      <c r="X1778">
        <v>0.98004360000000001</v>
      </c>
      <c r="Y1778">
        <v>0.1834635</v>
      </c>
      <c r="Z1778">
        <v>1.299025E-2</v>
      </c>
      <c r="AA1778">
        <v>0.9829407</v>
      </c>
      <c r="AB1778">
        <v>18</v>
      </c>
      <c r="AC1778">
        <v>-0.51789999999999703</v>
      </c>
      <c r="AD1778">
        <v>-0.1514643</v>
      </c>
      <c r="AE1778">
        <v>0.14839999999998099</v>
      </c>
      <c r="AF1778">
        <v>0.12238177711199601</v>
      </c>
      <c r="AG1778">
        <v>-0.1514643</v>
      </c>
      <c r="AH1778">
        <v>0.48404672311932501</v>
      </c>
      <c r="AI1778">
        <v>106.876047923596</v>
      </c>
      <c r="AJ1778">
        <v>75.811222292021</v>
      </c>
      <c r="AK1778">
        <v>0.52174703037596304</v>
      </c>
      <c r="AL1778">
        <v>78.545371103309094</v>
      </c>
      <c r="AM1778">
        <v>89.490818999927399</v>
      </c>
      <c r="AN1778">
        <v>1.0000000303177501</v>
      </c>
    </row>
    <row r="1779" spans="1:40" x14ac:dyDescent="0.25">
      <c r="A1779" t="str">
        <f>"20190312172404043"</f>
        <v>20190312172404043</v>
      </c>
      <c r="B1779" t="str">
        <f>"1552382644042000"</f>
        <v>1552382644042000</v>
      </c>
      <c r="C1779" t="s">
        <v>40</v>
      </c>
      <c r="D1779">
        <v>3.6822849999999998</v>
      </c>
      <c r="E1779">
        <v>0.57411679999999998</v>
      </c>
      <c r="F1779" t="s">
        <v>41</v>
      </c>
      <c r="G1779">
        <v>-235.3561</v>
      </c>
      <c r="H1779">
        <v>0.92847749999999996</v>
      </c>
      <c r="I1779">
        <v>282.31819999999999</v>
      </c>
      <c r="J1779">
        <v>-234.70699999999999</v>
      </c>
      <c r="K1779">
        <v>1.1099699999999999</v>
      </c>
      <c r="L1779">
        <v>282.1397</v>
      </c>
      <c r="M1779">
        <v>-0.9994904</v>
      </c>
      <c r="N1779">
        <v>0</v>
      </c>
      <c r="O1779">
        <v>3.1197450000000002E-2</v>
      </c>
      <c r="P1779">
        <v>-0.98063829999999996</v>
      </c>
      <c r="Q1779">
        <v>0.19198699999999999</v>
      </c>
      <c r="R1779">
        <v>3.8600250000000003E-2</v>
      </c>
      <c r="S1779">
        <v>-3.167313</v>
      </c>
      <c r="T1779">
        <v>-0.69772990000000001</v>
      </c>
      <c r="U1779">
        <v>0.70550539999999995</v>
      </c>
      <c r="V1779">
        <v>7.9402099999999996E-3</v>
      </c>
      <c r="W1779">
        <v>0.1986232</v>
      </c>
      <c r="X1779">
        <v>0.98004380000000002</v>
      </c>
      <c r="Y1779">
        <v>0.1833872</v>
      </c>
      <c r="Z1779">
        <v>1.302124E-2</v>
      </c>
      <c r="AA1779">
        <v>0.98295449999999995</v>
      </c>
      <c r="AB1779">
        <v>18</v>
      </c>
      <c r="AC1779">
        <v>-0.64910000000000401</v>
      </c>
      <c r="AD1779">
        <v>-0.1814925</v>
      </c>
      <c r="AE1779">
        <v>0.178499999999985</v>
      </c>
      <c r="AF1779">
        <v>0.147445565084729</v>
      </c>
      <c r="AG1779">
        <v>-0.1814925</v>
      </c>
      <c r="AH1779">
        <v>0.61001504880458701</v>
      </c>
      <c r="AI1779">
        <v>106.129525988483</v>
      </c>
      <c r="AJ1779">
        <v>76.411767036497594</v>
      </c>
      <c r="AK1779">
        <v>0.65329785089763404</v>
      </c>
      <c r="AL1779">
        <v>78.543541362503305</v>
      </c>
      <c r="AM1779">
        <v>89.535805881696902</v>
      </c>
      <c r="AN1779">
        <v>1.0000000362157599</v>
      </c>
    </row>
    <row r="1780" spans="1:40" x14ac:dyDescent="0.25">
      <c r="A1780" t="str">
        <f>"20190312172404069"</f>
        <v>20190312172404069</v>
      </c>
      <c r="B1780" t="str">
        <f>"1552382644061519"</f>
        <v>1552382644061519</v>
      </c>
      <c r="C1780" t="s">
        <v>40</v>
      </c>
      <c r="D1780">
        <v>3.6807289999999999</v>
      </c>
      <c r="E1780">
        <v>0.57416290000000003</v>
      </c>
      <c r="F1780" t="s">
        <v>41</v>
      </c>
      <c r="G1780">
        <v>-235.51830000000001</v>
      </c>
      <c r="H1780">
        <v>0.9313593</v>
      </c>
      <c r="I1780">
        <v>282.31979999999999</v>
      </c>
      <c r="J1780">
        <v>-234.90199999999999</v>
      </c>
      <c r="K1780">
        <v>1.109952</v>
      </c>
      <c r="L1780">
        <v>282.14550000000003</v>
      </c>
      <c r="M1780">
        <v>-0.99949880000000002</v>
      </c>
      <c r="N1780">
        <v>0</v>
      </c>
      <c r="O1780">
        <v>3.095119E-2</v>
      </c>
      <c r="P1780">
        <v>-0.98057450000000002</v>
      </c>
      <c r="Q1780">
        <v>0.19253819999999999</v>
      </c>
      <c r="R1780">
        <v>3.7454010000000003E-2</v>
      </c>
      <c r="S1780">
        <v>-3.1681059999999999</v>
      </c>
      <c r="T1780">
        <v>-0.69748929999999998</v>
      </c>
      <c r="U1780">
        <v>0.70278929999999995</v>
      </c>
      <c r="V1780">
        <v>7.0378849999999998E-3</v>
      </c>
      <c r="W1780">
        <v>0.1990671</v>
      </c>
      <c r="X1780">
        <v>0.97996059999999996</v>
      </c>
      <c r="Y1780">
        <v>0.18278520000000001</v>
      </c>
      <c r="Z1780">
        <v>1.3003010000000001E-2</v>
      </c>
      <c r="AA1780">
        <v>0.98306689999999997</v>
      </c>
      <c r="AB1780">
        <v>18</v>
      </c>
      <c r="AC1780">
        <v>-0.61629999999999496</v>
      </c>
      <c r="AD1780">
        <v>-0.17859269999999899</v>
      </c>
      <c r="AE1780">
        <v>0.17429999999995899</v>
      </c>
      <c r="AF1780">
        <v>0.143948234378242</v>
      </c>
      <c r="AG1780">
        <v>-0.17859269999999899</v>
      </c>
      <c r="AH1780">
        <v>0.576568839260445</v>
      </c>
      <c r="AI1780">
        <v>106.726902985305</v>
      </c>
      <c r="AJ1780">
        <v>75.981900139096396</v>
      </c>
      <c r="AK1780">
        <v>0.620522419482198</v>
      </c>
      <c r="AL1780">
        <v>78.517589225574696</v>
      </c>
      <c r="AM1780">
        <v>89.588520013374506</v>
      </c>
      <c r="AN1780">
        <v>1.0000000098400199</v>
      </c>
    </row>
    <row r="1781" spans="1:40" x14ac:dyDescent="0.25">
      <c r="A1781" t="str">
        <f>"20190312172404091"</f>
        <v>20190312172404091</v>
      </c>
      <c r="B1781" t="str">
        <f>"1552382644082016"</f>
        <v>1552382644082016</v>
      </c>
      <c r="C1781" t="s">
        <v>40</v>
      </c>
      <c r="D1781">
        <v>3.9727229999999998</v>
      </c>
      <c r="E1781">
        <v>0.57423190000000002</v>
      </c>
      <c r="F1781" t="s">
        <v>41</v>
      </c>
      <c r="G1781">
        <v>-235.68299999999999</v>
      </c>
      <c r="H1781">
        <v>0.93835570000000001</v>
      </c>
      <c r="I1781">
        <v>282.31810000000002</v>
      </c>
      <c r="J1781">
        <v>-235.08940000000001</v>
      </c>
      <c r="K1781">
        <v>1.109936</v>
      </c>
      <c r="L1781">
        <v>282.15109999999999</v>
      </c>
      <c r="M1781">
        <v>-0.99950680000000003</v>
      </c>
      <c r="N1781">
        <v>0</v>
      </c>
      <c r="O1781">
        <v>3.0713919999999999E-2</v>
      </c>
      <c r="P1781">
        <v>-0.98057309999999998</v>
      </c>
      <c r="Q1781">
        <v>0.19283890000000001</v>
      </c>
      <c r="R1781">
        <v>3.5915999999999997E-2</v>
      </c>
      <c r="S1781">
        <v>-3.1694490000000002</v>
      </c>
      <c r="T1781">
        <v>-0.69643719999999998</v>
      </c>
      <c r="U1781">
        <v>0.69918819999999904</v>
      </c>
      <c r="V1781">
        <v>5.7332719999999898E-3</v>
      </c>
      <c r="W1781">
        <v>0.19926199999999999</v>
      </c>
      <c r="X1781">
        <v>0.97992950000000001</v>
      </c>
      <c r="Y1781">
        <v>0.18189240000000001</v>
      </c>
      <c r="Z1781">
        <v>1.293509E-2</v>
      </c>
      <c r="AA1781">
        <v>0.98323329999999998</v>
      </c>
      <c r="AB1781">
        <v>18</v>
      </c>
      <c r="AC1781">
        <v>-0.59359999999998003</v>
      </c>
      <c r="AD1781">
        <v>-0.17158029999999999</v>
      </c>
      <c r="AE1781">
        <v>0.16700000000003001</v>
      </c>
      <c r="AF1781">
        <v>0.13800442537377799</v>
      </c>
      <c r="AG1781">
        <v>-0.17158029999999999</v>
      </c>
      <c r="AH1781">
        <v>0.55544544720648203</v>
      </c>
      <c r="AI1781">
        <v>106.688263877624</v>
      </c>
      <c r="AJ1781">
        <v>76.046982386685201</v>
      </c>
      <c r="AK1781">
        <v>0.59749867413513602</v>
      </c>
      <c r="AL1781">
        <v>78.506194105226498</v>
      </c>
      <c r="AM1781">
        <v>89.664783496867003</v>
      </c>
      <c r="AN1781">
        <v>1.0000000200110299</v>
      </c>
    </row>
    <row r="1782" spans="1:40" x14ac:dyDescent="0.25">
      <c r="A1782" t="str">
        <f>"20190312172404112"</f>
        <v>20190312172404112</v>
      </c>
      <c r="B1782" t="str">
        <f>"1552382644101539"</f>
        <v>1552382644101539</v>
      </c>
      <c r="C1782" t="s">
        <v>40</v>
      </c>
      <c r="D1782">
        <v>3.9601380000000002</v>
      </c>
      <c r="E1782">
        <v>0.57426759999999999</v>
      </c>
      <c r="F1782" t="s">
        <v>41</v>
      </c>
      <c r="G1782">
        <v>-235.84800000000001</v>
      </c>
      <c r="H1782">
        <v>0.94342669999999995</v>
      </c>
      <c r="I1782">
        <v>282.31729999999999</v>
      </c>
      <c r="J1782">
        <v>-235.2594</v>
      </c>
      <c r="K1782">
        <v>1.1099209999999999</v>
      </c>
      <c r="L1782">
        <v>282.15609999999998</v>
      </c>
      <c r="M1782">
        <v>-0.99951400000000001</v>
      </c>
      <c r="N1782">
        <v>0</v>
      </c>
      <c r="O1782">
        <v>3.0498150000000002E-2</v>
      </c>
      <c r="P1782">
        <v>-0.98058690000000004</v>
      </c>
      <c r="Q1782">
        <v>0.19306719999999999</v>
      </c>
      <c r="R1782">
        <v>3.4268409999999999E-2</v>
      </c>
      <c r="S1782">
        <v>-3.170868</v>
      </c>
      <c r="T1782">
        <v>-0.69602350000000002</v>
      </c>
      <c r="U1782">
        <v>0.69467159999999994</v>
      </c>
      <c r="V1782">
        <v>4.2972469999999997E-3</v>
      </c>
      <c r="W1782">
        <v>0.1993895</v>
      </c>
      <c r="X1782">
        <v>0.97991090000000003</v>
      </c>
      <c r="Y1782">
        <v>0.18070359999999999</v>
      </c>
      <c r="Z1782">
        <v>1.2842610000000001E-2</v>
      </c>
      <c r="AA1782">
        <v>0.98345380000000004</v>
      </c>
      <c r="AB1782">
        <v>18</v>
      </c>
      <c r="AC1782">
        <v>-0.58859999999998502</v>
      </c>
      <c r="AD1782">
        <v>-0.16649429999999901</v>
      </c>
      <c r="AE1782">
        <v>0.161200000000008</v>
      </c>
      <c r="AF1782">
        <v>0.133255243229881</v>
      </c>
      <c r="AG1782">
        <v>-0.16649429999999901</v>
      </c>
      <c r="AH1782">
        <v>0.55214635828635505</v>
      </c>
      <c r="AI1782">
        <v>106.337149487093</v>
      </c>
      <c r="AJ1782">
        <v>76.431670303008801</v>
      </c>
      <c r="AK1782">
        <v>0.59189772152765396</v>
      </c>
      <c r="AL1782">
        <v>78.498739130757599</v>
      </c>
      <c r="AM1782">
        <v>89.748739871851001</v>
      </c>
      <c r="AN1782">
        <v>1.0000000054904099</v>
      </c>
    </row>
    <row r="1783" spans="1:40" x14ac:dyDescent="0.25">
      <c r="A1783" t="str">
        <f>"20190312172404134"</f>
        <v>20190312172404134</v>
      </c>
      <c r="B1783" t="str">
        <f>"1552382644131793"</f>
        <v>1552382644131793</v>
      </c>
      <c r="C1783" t="s">
        <v>40</v>
      </c>
      <c r="D1783">
        <v>4.0086839999999997</v>
      </c>
      <c r="E1783">
        <v>0.57468430000000004</v>
      </c>
      <c r="F1783" t="s">
        <v>41</v>
      </c>
      <c r="G1783">
        <v>-236.01249999999999</v>
      </c>
      <c r="H1783">
        <v>0.94486499999999995</v>
      </c>
      <c r="I1783">
        <v>282.3202</v>
      </c>
      <c r="J1783">
        <v>-235.43819999999999</v>
      </c>
      <c r="K1783">
        <v>1.1098950000000001</v>
      </c>
      <c r="L1783">
        <v>282.16129999999998</v>
      </c>
      <c r="M1783">
        <v>-0.99952169999999896</v>
      </c>
      <c r="N1783">
        <v>0</v>
      </c>
      <c r="O1783">
        <v>3.027096E-2</v>
      </c>
      <c r="P1783">
        <v>-0.98062729999999998</v>
      </c>
      <c r="Q1783">
        <v>0.19317509999999999</v>
      </c>
      <c r="R1783">
        <v>3.2460120000000002E-2</v>
      </c>
      <c r="S1783">
        <v>-3.1721499999999998</v>
      </c>
      <c r="T1783">
        <v>-0.69536469999999995</v>
      </c>
      <c r="U1783">
        <v>0.69009399999999999</v>
      </c>
      <c r="V1783">
        <v>2.7111869999999999E-3</v>
      </c>
      <c r="W1783">
        <v>0.19938349999999999</v>
      </c>
      <c r="X1783">
        <v>0.97991779999999995</v>
      </c>
      <c r="Y1783">
        <v>0.1795185</v>
      </c>
      <c r="Z1783">
        <v>1.274927E-2</v>
      </c>
      <c r="AA1783">
        <v>0.98367199999999999</v>
      </c>
      <c r="AB1783">
        <v>18</v>
      </c>
      <c r="AC1783">
        <v>-0.57429999999999304</v>
      </c>
      <c r="AD1783">
        <v>-0.16503000000000001</v>
      </c>
      <c r="AE1783">
        <v>0.158900000000016</v>
      </c>
      <c r="AF1783">
        <v>0.13136605111045299</v>
      </c>
      <c r="AG1783">
        <v>-0.16503000000000001</v>
      </c>
      <c r="AH1783">
        <v>0.537610624416057</v>
      </c>
      <c r="AI1783">
        <v>106.604376969873</v>
      </c>
      <c r="AJ1783">
        <v>76.268747951198606</v>
      </c>
      <c r="AK1783">
        <v>0.57750941444220305</v>
      </c>
      <c r="AL1783">
        <v>78.499090033387802</v>
      </c>
      <c r="AM1783">
        <v>89.841477340035198</v>
      </c>
      <c r="AN1783">
        <v>1.0000000126820101</v>
      </c>
    </row>
    <row r="1784" spans="1:40" x14ac:dyDescent="0.25">
      <c r="A1784" t="str">
        <f>"20190312172404168"</f>
        <v>20190312172404168</v>
      </c>
      <c r="B1784" t="str">
        <f>"1552382644162048"</f>
        <v>1552382644162048</v>
      </c>
      <c r="C1784" t="s">
        <v>40</v>
      </c>
      <c r="D1784">
        <v>3.7796150000000002</v>
      </c>
      <c r="E1784">
        <v>0.51540810000000004</v>
      </c>
      <c r="F1784" t="s">
        <v>41</v>
      </c>
      <c r="G1784">
        <v>-236.178</v>
      </c>
      <c r="H1784">
        <v>0.94654380000000005</v>
      </c>
      <c r="I1784">
        <v>282.32170000000002</v>
      </c>
      <c r="J1784">
        <v>-235.72059999999999</v>
      </c>
      <c r="K1784">
        <v>1.1098669999999999</v>
      </c>
      <c r="L1784">
        <v>282.16930000000002</v>
      </c>
      <c r="M1784">
        <v>-0.99953389999999998</v>
      </c>
      <c r="N1784">
        <v>0</v>
      </c>
      <c r="O1784">
        <v>2.9910809999999999E-2</v>
      </c>
      <c r="P1784">
        <v>-0.98065659999999999</v>
      </c>
      <c r="Q1784">
        <v>0.19342000000000001</v>
      </c>
      <c r="R1784">
        <v>3.002728E-2</v>
      </c>
      <c r="S1784">
        <v>-3.1745450000000002</v>
      </c>
      <c r="T1784">
        <v>-0.70091530000000002</v>
      </c>
      <c r="U1784">
        <v>0.6879883</v>
      </c>
      <c r="V1784">
        <v>6.3112330000000003E-4</v>
      </c>
      <c r="W1784">
        <v>0.19943810000000001</v>
      </c>
      <c r="X1784">
        <v>0.97991019999999895</v>
      </c>
      <c r="Y1784">
        <v>0.17904879999999901</v>
      </c>
      <c r="Z1784">
        <v>1.2867200000000001E-2</v>
      </c>
      <c r="AA1784">
        <v>0.98375610000000002</v>
      </c>
      <c r="AB1784">
        <v>18</v>
      </c>
      <c r="AC1784">
        <v>-0.45740000000000602</v>
      </c>
      <c r="AD1784">
        <v>-0.163323199999999</v>
      </c>
      <c r="AE1784">
        <v>0.15240000000000001</v>
      </c>
      <c r="AF1784">
        <v>0.124377056053012</v>
      </c>
      <c r="AG1784">
        <v>-0.163323199999999</v>
      </c>
      <c r="AH1784">
        <v>0.41421880529761501</v>
      </c>
      <c r="AI1784">
        <v>110.688309754351</v>
      </c>
      <c r="AJ1784">
        <v>73.286618164419096</v>
      </c>
      <c r="AK1784">
        <v>0.46230005233921101</v>
      </c>
      <c r="AL1784">
        <v>78.495897150860898</v>
      </c>
      <c r="AM1784">
        <v>89.963097948728006</v>
      </c>
      <c r="AN1784">
        <v>0.99999997705613397</v>
      </c>
    </row>
    <row r="1785" spans="1:40" x14ac:dyDescent="0.25">
      <c r="A1785" t="str">
        <f>"20190312172404191"</f>
        <v>20190312172404191</v>
      </c>
      <c r="B1785" t="str">
        <f>"1552382644181568"</f>
        <v>1552382644181568</v>
      </c>
      <c r="C1785" t="s">
        <v>40</v>
      </c>
      <c r="D1785">
        <v>3.7746059999999999</v>
      </c>
      <c r="E1785">
        <v>0.50349739999999998</v>
      </c>
      <c r="F1785" t="s">
        <v>41</v>
      </c>
      <c r="G1785">
        <v>-236.53919999999999</v>
      </c>
      <c r="H1785">
        <v>1.0016579999999999</v>
      </c>
      <c r="I1785">
        <v>282.22379999999998</v>
      </c>
      <c r="J1785">
        <v>-235.91130000000001</v>
      </c>
      <c r="K1785">
        <v>1.1098460000000001</v>
      </c>
      <c r="L1785">
        <v>282.1748</v>
      </c>
      <c r="M1785">
        <v>-0.99954180000000004</v>
      </c>
      <c r="N1785">
        <v>0</v>
      </c>
      <c r="O1785">
        <v>2.9667289999999999E-2</v>
      </c>
      <c r="P1785">
        <v>-0.98065349999999996</v>
      </c>
      <c r="Q1785">
        <v>0.19367190000000001</v>
      </c>
      <c r="R1785">
        <v>2.8460929999999999E-2</v>
      </c>
      <c r="S1785">
        <v>-3.134506</v>
      </c>
      <c r="T1785">
        <v>-0.4143618</v>
      </c>
      <c r="U1785">
        <v>0.20819090000000001</v>
      </c>
      <c r="V1785">
        <v>-6.9649309999999999E-4</v>
      </c>
      <c r="W1785">
        <v>0.1995545</v>
      </c>
      <c r="X1785">
        <v>0.97988649999999999</v>
      </c>
      <c r="Y1785">
        <v>3.6581339999999997E-2</v>
      </c>
      <c r="Z1785">
        <v>-1.4944610000000001E-3</v>
      </c>
      <c r="AA1785">
        <v>0.99932960000000004</v>
      </c>
      <c r="AB1785">
        <v>19</v>
      </c>
      <c r="AC1785">
        <v>-0.62789999999998203</v>
      </c>
      <c r="AD1785">
        <v>-0.10818799999999899</v>
      </c>
      <c r="AE1785">
        <v>4.8999999999978103E-2</v>
      </c>
      <c r="AF1785">
        <v>2.94801035562673E-2</v>
      </c>
      <c r="AG1785">
        <v>-0.10818799999999899</v>
      </c>
      <c r="AH1785">
        <v>0.61104654184636598</v>
      </c>
      <c r="AI1785">
        <v>100.02894501842501</v>
      </c>
      <c r="AJ1785">
        <v>87.237891524517295</v>
      </c>
      <c r="AK1785">
        <v>0.62125002708417698</v>
      </c>
      <c r="AL1785">
        <v>78.489091591292507</v>
      </c>
      <c r="AM1785">
        <v>90.040725235391506</v>
      </c>
      <c r="AN1785">
        <v>1.0000000182275599</v>
      </c>
    </row>
    <row r="1786" spans="1:40" x14ac:dyDescent="0.25">
      <c r="A1786" t="str">
        <f>"20190312172404212"</f>
        <v>20190312172404212</v>
      </c>
      <c r="B1786" t="str">
        <f>"1552382644202064"</f>
        <v>1552382644202064</v>
      </c>
      <c r="C1786" t="s">
        <v>40</v>
      </c>
      <c r="D1786">
        <v>3.7092209999999999</v>
      </c>
      <c r="E1786">
        <v>0.49825550000000002</v>
      </c>
      <c r="F1786" t="s">
        <v>41</v>
      </c>
      <c r="G1786">
        <v>-236.7209</v>
      </c>
      <c r="H1786">
        <v>1.028132</v>
      </c>
      <c r="I1786">
        <v>282.20330000000001</v>
      </c>
      <c r="J1786">
        <v>-236.0924</v>
      </c>
      <c r="K1786">
        <v>1.1098330000000001</v>
      </c>
      <c r="L1786">
        <v>282.17989999999998</v>
      </c>
      <c r="M1786">
        <v>-0.99954940000000003</v>
      </c>
      <c r="N1786">
        <v>0</v>
      </c>
      <c r="O1786">
        <v>2.9436190000000001E-2</v>
      </c>
      <c r="P1786">
        <v>-0.98062609999999995</v>
      </c>
      <c r="Q1786">
        <v>0.19398609999999999</v>
      </c>
      <c r="R1786">
        <v>2.7239619999999999E-2</v>
      </c>
      <c r="S1786">
        <v>-3.1181950000000001</v>
      </c>
      <c r="T1786">
        <v>-0.31494070000000002</v>
      </c>
      <c r="U1786">
        <v>0.10903930000000001</v>
      </c>
      <c r="V1786">
        <v>-1.689793E-3</v>
      </c>
      <c r="W1786">
        <v>0.1997381</v>
      </c>
      <c r="X1786">
        <v>0.97984780000000005</v>
      </c>
      <c r="Y1786">
        <v>5.6343900000000004E-3</v>
      </c>
      <c r="Z1786">
        <v>-2.6802589999999999E-3</v>
      </c>
      <c r="AA1786">
        <v>0.99998050000000005</v>
      </c>
      <c r="AB1786">
        <v>19</v>
      </c>
      <c r="AC1786">
        <v>-0.62850000000000195</v>
      </c>
      <c r="AD1786">
        <v>-8.1700999999999996E-2</v>
      </c>
      <c r="AE1786">
        <v>2.34000000000378E-2</v>
      </c>
      <c r="AF1786">
        <v>4.8077641022960102E-3</v>
      </c>
      <c r="AG1786">
        <v>-8.1700999999999996E-2</v>
      </c>
      <c r="AH1786">
        <v>0.61847964088108498</v>
      </c>
      <c r="AI1786">
        <v>97.524962339608706</v>
      </c>
      <c r="AJ1786">
        <v>89.554619060364999</v>
      </c>
      <c r="AK1786">
        <v>0.623871167935383</v>
      </c>
      <c r="AL1786">
        <v>78.478355014937193</v>
      </c>
      <c r="AM1786">
        <v>90.098809132571404</v>
      </c>
      <c r="AN1786">
        <v>0.99999993757841399</v>
      </c>
    </row>
    <row r="1787" spans="1:40" x14ac:dyDescent="0.25">
      <c r="A1787" t="str">
        <f>"20190312172404234"</f>
        <v>20190312172404234</v>
      </c>
      <c r="B1787" t="str">
        <f>"1552382644232320"</f>
        <v>1552382644232320</v>
      </c>
      <c r="C1787" t="s">
        <v>40</v>
      </c>
      <c r="D1787">
        <v>3.7619379999999998</v>
      </c>
      <c r="E1787">
        <v>0.494894</v>
      </c>
      <c r="F1787" t="s">
        <v>41</v>
      </c>
      <c r="G1787">
        <v>-236.90129999999999</v>
      </c>
      <c r="H1787">
        <v>1.043156</v>
      </c>
      <c r="I1787">
        <v>282.19659999999999</v>
      </c>
      <c r="J1787">
        <v>-236.2773</v>
      </c>
      <c r="K1787">
        <v>1.1098190000000001</v>
      </c>
      <c r="L1787">
        <v>282.18509999999998</v>
      </c>
      <c r="M1787">
        <v>-0.99955709999999998</v>
      </c>
      <c r="N1787">
        <v>0</v>
      </c>
      <c r="O1787">
        <v>2.920058E-2</v>
      </c>
      <c r="P1787">
        <v>-0.98062009999999999</v>
      </c>
      <c r="Q1787">
        <v>0.1941621</v>
      </c>
      <c r="R1787">
        <v>2.618496E-2</v>
      </c>
      <c r="S1787">
        <v>-3.108215</v>
      </c>
      <c r="T1787">
        <v>-0.25637199999999999</v>
      </c>
      <c r="U1787">
        <v>6.3598630000000003E-2</v>
      </c>
      <c r="V1787">
        <v>-2.5134950000000001E-3</v>
      </c>
      <c r="W1787">
        <v>0.19977780000000001</v>
      </c>
      <c r="X1787">
        <v>0.97983799999999999</v>
      </c>
      <c r="Y1787">
        <v>-8.6181580000000008E-3</v>
      </c>
      <c r="Z1787">
        <v>-2.7585769999999999E-3</v>
      </c>
      <c r="AA1787">
        <v>0.99995909999999999</v>
      </c>
      <c r="AB1787">
        <v>19</v>
      </c>
      <c r="AC1787">
        <v>-0.623999999999995</v>
      </c>
      <c r="AD1787">
        <v>-6.6663000000000097E-2</v>
      </c>
      <c r="AE1787">
        <v>1.15000000000122E-2</v>
      </c>
      <c r="AF1787">
        <v>-6.6504896290238398E-3</v>
      </c>
      <c r="AG1787">
        <v>-6.6663000000000097E-2</v>
      </c>
      <c r="AH1787">
        <v>0.61702992936456302</v>
      </c>
      <c r="AI1787">
        <v>96.165878611379497</v>
      </c>
      <c r="AJ1787">
        <v>90.617523097299994</v>
      </c>
      <c r="AK1787">
        <v>0.62065619977000397</v>
      </c>
      <c r="AL1787">
        <v>78.476034274466997</v>
      </c>
      <c r="AM1787">
        <v>90.146975662757498</v>
      </c>
      <c r="AN1787">
        <v>0.99999999663697703</v>
      </c>
    </row>
    <row r="1788" spans="1:40" x14ac:dyDescent="0.25">
      <c r="A1788" t="str">
        <f>"20190312172404256"</f>
        <v>20190312172404256</v>
      </c>
      <c r="B1788" t="str">
        <f>"1552382644251840"</f>
        <v>1552382644251840</v>
      </c>
      <c r="C1788" t="s">
        <v>40</v>
      </c>
      <c r="D1788">
        <v>3.7375910000000001</v>
      </c>
      <c r="E1788">
        <v>0.49380360000000001</v>
      </c>
      <c r="F1788" t="s">
        <v>47</v>
      </c>
      <c r="G1788">
        <v>-252.46279999999999</v>
      </c>
      <c r="H1788" s="1">
        <v>-2.262362E-7</v>
      </c>
      <c r="I1788">
        <v>282.36270000000002</v>
      </c>
      <c r="J1788">
        <v>-236.4699</v>
      </c>
      <c r="K1788">
        <v>1.1097889999999999</v>
      </c>
      <c r="L1788">
        <v>282.19040000000001</v>
      </c>
      <c r="M1788">
        <v>-0.99956520000000004</v>
      </c>
      <c r="N1788">
        <v>0</v>
      </c>
      <c r="O1788">
        <v>2.8955700000000001E-2</v>
      </c>
      <c r="P1788">
        <v>-0.98056449999999995</v>
      </c>
      <c r="Q1788">
        <v>0.19445319999999999</v>
      </c>
      <c r="R1788">
        <v>2.610645E-2</v>
      </c>
      <c r="S1788">
        <v>-3.100479</v>
      </c>
      <c r="T1788">
        <v>-0.2125959</v>
      </c>
      <c r="U1788">
        <v>3.4027099999999998E-2</v>
      </c>
      <c r="V1788">
        <v>-2.3512989999999998E-3</v>
      </c>
      <c r="W1788">
        <v>0.19991890000000001</v>
      </c>
      <c r="X1788">
        <v>0.97980959999999995</v>
      </c>
      <c r="Y1788">
        <v>-1.7874950000000001E-2</v>
      </c>
      <c r="Z1788">
        <v>-2.5949060000000001E-3</v>
      </c>
      <c r="AA1788">
        <v>0.99983690000000003</v>
      </c>
      <c r="AB1788">
        <v>19</v>
      </c>
      <c r="AC1788">
        <v>-15.992899999999899</v>
      </c>
      <c r="AD1788">
        <v>-1.1097892262361999</v>
      </c>
      <c r="AE1788">
        <v>0.172300000000007</v>
      </c>
      <c r="AF1788">
        <v>-0.289471296185355</v>
      </c>
      <c r="AG1788">
        <v>-1.1097892262361999</v>
      </c>
      <c r="AH1788">
        <v>15.9145580018107</v>
      </c>
      <c r="AI1788">
        <v>93.988361041023893</v>
      </c>
      <c r="AJ1788">
        <v>91.042043068957597</v>
      </c>
      <c r="AK1788">
        <v>15.955832229971101</v>
      </c>
      <c r="AL1788">
        <v>78.467783125671801</v>
      </c>
      <c r="AM1788">
        <v>90.137495336304497</v>
      </c>
      <c r="AN1788">
        <v>0.99999997371817795</v>
      </c>
    </row>
    <row r="1789" spans="1:40" x14ac:dyDescent="0.25">
      <c r="A1789" t="str">
        <f>"20190312172404281"</f>
        <v>20190312172404281</v>
      </c>
      <c r="B1789" t="str">
        <f>"1552382644271360"</f>
        <v>1552382644271360</v>
      </c>
      <c r="C1789" t="s">
        <v>40</v>
      </c>
      <c r="D1789">
        <v>3.7772459999999999</v>
      </c>
      <c r="E1789">
        <v>0.49297790000000002</v>
      </c>
      <c r="F1789" t="s">
        <v>47</v>
      </c>
      <c r="G1789">
        <v>-254.0994</v>
      </c>
      <c r="H1789" s="1">
        <v>6.4471789999999997E-7</v>
      </c>
      <c r="I1789">
        <v>282.33319999999998</v>
      </c>
      <c r="J1789">
        <v>-236.67580000000001</v>
      </c>
      <c r="K1789">
        <v>1.1097600000000001</v>
      </c>
      <c r="L1789">
        <v>282.19600000000003</v>
      </c>
      <c r="M1789">
        <v>-0.99957379999999996</v>
      </c>
      <c r="N1789">
        <v>0</v>
      </c>
      <c r="O1789">
        <v>2.8693529999999998E-2</v>
      </c>
      <c r="P1789">
        <v>-0.98050950000000003</v>
      </c>
      <c r="Q1789">
        <v>0.1947816</v>
      </c>
      <c r="R1789">
        <v>2.572296E-2</v>
      </c>
      <c r="S1789">
        <v>-3.097458</v>
      </c>
      <c r="T1789">
        <v>-0.19498660000000001</v>
      </c>
      <c r="U1789">
        <v>2.5085449999999999E-2</v>
      </c>
      <c r="V1789">
        <v>-2.4768979999999999E-3</v>
      </c>
      <c r="W1789">
        <v>0.20007449999999999</v>
      </c>
      <c r="X1789">
        <v>0.97977760000000003</v>
      </c>
      <c r="Y1789">
        <v>-2.0500529999999999E-2</v>
      </c>
      <c r="Z1789">
        <v>-2.4488560000000001E-3</v>
      </c>
      <c r="AA1789">
        <v>0.99978690000000003</v>
      </c>
      <c r="AB1789">
        <v>19</v>
      </c>
      <c r="AC1789">
        <v>-17.423599999999901</v>
      </c>
      <c r="AD1789">
        <v>-1.1097593552820999</v>
      </c>
      <c r="AE1789">
        <v>0.13720000000000701</v>
      </c>
      <c r="AF1789">
        <v>-0.36134250902204801</v>
      </c>
      <c r="AG1789">
        <v>-1.1097593552820999</v>
      </c>
      <c r="AH1789">
        <v>17.349981779298702</v>
      </c>
      <c r="AI1789">
        <v>93.659041087325704</v>
      </c>
      <c r="AJ1789">
        <v>91.193108350029704</v>
      </c>
      <c r="AK1789">
        <v>17.389192102494501</v>
      </c>
      <c r="AL1789">
        <v>78.458684880802593</v>
      </c>
      <c r="AM1789">
        <v>90.144844604900996</v>
      </c>
      <c r="AN1789">
        <v>1.0000000430178499</v>
      </c>
    </row>
    <row r="1790" spans="1:40" x14ac:dyDescent="0.25">
      <c r="A1790" t="str">
        <f>"20190312172404303"</f>
        <v>20190312172404303</v>
      </c>
      <c r="B1790" t="str">
        <f>"1552382644291856"</f>
        <v>1552382644291856</v>
      </c>
      <c r="C1790" t="s">
        <v>40</v>
      </c>
      <c r="D1790">
        <v>3.7747169999999999</v>
      </c>
      <c r="E1790">
        <v>0.49237219999999998</v>
      </c>
      <c r="F1790" t="s">
        <v>47</v>
      </c>
      <c r="G1790">
        <v>-255.48560000000001</v>
      </c>
      <c r="H1790" s="1">
        <v>1.3823779999999999E-6</v>
      </c>
      <c r="I1790">
        <v>282.3032</v>
      </c>
      <c r="J1790">
        <v>-236.86770000000001</v>
      </c>
      <c r="K1790">
        <v>1.109734</v>
      </c>
      <c r="L1790">
        <v>282.2013</v>
      </c>
      <c r="M1790">
        <v>-0.99958159999999896</v>
      </c>
      <c r="N1790">
        <v>0</v>
      </c>
      <c r="O1790">
        <v>2.8449789999999999E-2</v>
      </c>
      <c r="P1790">
        <v>-0.98041900000000004</v>
      </c>
      <c r="Q1790">
        <v>0.19530729999999999</v>
      </c>
      <c r="R1790">
        <v>2.516821E-2</v>
      </c>
      <c r="S1790">
        <v>-3.095459</v>
      </c>
      <c r="T1790">
        <v>-0.1826286</v>
      </c>
      <c r="U1790">
        <v>1.7639160000000001E-2</v>
      </c>
      <c r="V1790">
        <v>-2.7901860000000001E-3</v>
      </c>
      <c r="W1790">
        <v>0.20041790000000001</v>
      </c>
      <c r="X1790">
        <v>0.97970650000000004</v>
      </c>
      <c r="Y1790">
        <v>-2.2664859999999998E-2</v>
      </c>
      <c r="Z1790">
        <v>-2.344868E-3</v>
      </c>
      <c r="AA1790">
        <v>0.99974039999999997</v>
      </c>
      <c r="AB1790">
        <v>19</v>
      </c>
      <c r="AC1790">
        <v>-18.617899999999899</v>
      </c>
      <c r="AD1790">
        <v>-1.1097326176219999</v>
      </c>
      <c r="AE1790">
        <v>0.1019</v>
      </c>
      <c r="AF1790">
        <v>-0.42630924400203601</v>
      </c>
      <c r="AG1790">
        <v>-1.1097326176219999</v>
      </c>
      <c r="AH1790">
        <v>18.547368956690001</v>
      </c>
      <c r="AI1790">
        <v>93.423156955550397</v>
      </c>
      <c r="AJ1790">
        <v>91.316705375144494</v>
      </c>
      <c r="AK1790">
        <v>18.585428197104399</v>
      </c>
      <c r="AL1790">
        <v>78.438601938626704</v>
      </c>
      <c r="AM1790">
        <v>90.163176879641597</v>
      </c>
      <c r="AN1790">
        <v>0.99999997296028698</v>
      </c>
    </row>
    <row r="1791" spans="1:40" x14ac:dyDescent="0.25">
      <c r="A1791" t="str">
        <f>"20190312172404325"</f>
        <v>20190312172404325</v>
      </c>
      <c r="B1791" t="str">
        <f>"1552382644322113"</f>
        <v>1552382644322113</v>
      </c>
      <c r="C1791" t="s">
        <v>40</v>
      </c>
      <c r="D1791">
        <v>3.8101479999999999</v>
      </c>
      <c r="E1791">
        <v>0.49164550000000001</v>
      </c>
      <c r="F1791" t="s">
        <v>47</v>
      </c>
      <c r="G1791">
        <v>-256.76979999999998</v>
      </c>
      <c r="H1791" s="1">
        <v>2.065785E-6</v>
      </c>
      <c r="I1791">
        <v>282.27569999999997</v>
      </c>
      <c r="J1791">
        <v>-237.0574</v>
      </c>
      <c r="K1791">
        <v>1.109702</v>
      </c>
      <c r="L1791">
        <v>282.20639999999997</v>
      </c>
      <c r="M1791">
        <v>-0.99958959999999997</v>
      </c>
      <c r="N1791">
        <v>0</v>
      </c>
      <c r="O1791">
        <v>2.8208250000000001E-2</v>
      </c>
      <c r="P1791">
        <v>-0.98030910000000004</v>
      </c>
      <c r="Q1791">
        <v>0.19584019999999999</v>
      </c>
      <c r="R1791">
        <v>2.5310760000000002E-2</v>
      </c>
      <c r="S1791">
        <v>-3.0939939999999999</v>
      </c>
      <c r="T1791">
        <v>-0.17251910000000001</v>
      </c>
      <c r="U1791">
        <v>1.1566160000000001E-2</v>
      </c>
      <c r="V1791">
        <v>-2.4088170000000002E-3</v>
      </c>
      <c r="W1791">
        <v>0.20074629999999999</v>
      </c>
      <c r="X1791">
        <v>0.97964030000000002</v>
      </c>
      <c r="Y1791">
        <v>-2.4389959999999999E-2</v>
      </c>
      <c r="Z1791">
        <v>-2.2509439999999999E-3</v>
      </c>
      <c r="AA1791">
        <v>0.99970000000000003</v>
      </c>
      <c r="AB1791">
        <v>19</v>
      </c>
      <c r="AC1791">
        <v>-19.712399999999899</v>
      </c>
      <c r="AD1791">
        <v>-1.109699934215</v>
      </c>
      <c r="AE1791">
        <v>6.9299999999998294E-2</v>
      </c>
      <c r="AF1791">
        <v>-0.485249044748221</v>
      </c>
      <c r="AG1791">
        <v>-1.109699934215</v>
      </c>
      <c r="AH1791">
        <v>19.6442571714427</v>
      </c>
      <c r="AI1791">
        <v>93.232206379447504</v>
      </c>
      <c r="AJ1791">
        <v>91.415022681327599</v>
      </c>
      <c r="AK1791">
        <v>19.681558383349699</v>
      </c>
      <c r="AL1791">
        <v>78.419395971454307</v>
      </c>
      <c r="AM1791">
        <v>90.140883107371195</v>
      </c>
      <c r="AN1791">
        <v>0.99999999837355902</v>
      </c>
    </row>
    <row r="1792" spans="1:40" x14ac:dyDescent="0.25">
      <c r="A1792" t="str">
        <f>"20190312172404346"</f>
        <v>20190312172404346</v>
      </c>
      <c r="B1792" t="str">
        <f>"1552382644341632"</f>
        <v>1552382644341632</v>
      </c>
      <c r="C1792" t="s">
        <v>40</v>
      </c>
      <c r="D1792">
        <v>3.8593609999999998</v>
      </c>
      <c r="E1792">
        <v>0.49136229999999997</v>
      </c>
      <c r="F1792" t="s">
        <v>47</v>
      </c>
      <c r="G1792">
        <v>-258.11649999999997</v>
      </c>
      <c r="H1792" s="1">
        <v>2.7824240000000001E-6</v>
      </c>
      <c r="I1792">
        <v>282.24770000000001</v>
      </c>
      <c r="J1792">
        <v>-237.2499</v>
      </c>
      <c r="K1792">
        <v>1.109666</v>
      </c>
      <c r="L1792">
        <v>282.2115</v>
      </c>
      <c r="M1792">
        <v>-0.99959750000000003</v>
      </c>
      <c r="N1792">
        <v>0</v>
      </c>
      <c r="O1792">
        <v>2.7963390000000001E-2</v>
      </c>
      <c r="P1792">
        <v>-0.98026219999999997</v>
      </c>
      <c r="Q1792">
        <v>0.1960993</v>
      </c>
      <c r="R1792">
        <v>2.5123699999999999E-2</v>
      </c>
      <c r="S1792">
        <v>-3.092651</v>
      </c>
      <c r="T1792">
        <v>-0.16296569999999999</v>
      </c>
      <c r="U1792">
        <v>6.0729979999999996E-3</v>
      </c>
      <c r="V1792">
        <v>-2.3550799999999998E-3</v>
      </c>
      <c r="W1792">
        <v>0.20078370000000001</v>
      </c>
      <c r="X1792">
        <v>0.97963279999999997</v>
      </c>
      <c r="Y1792">
        <v>-2.5925980000000001E-2</v>
      </c>
      <c r="Z1792">
        <v>-2.15496E-3</v>
      </c>
      <c r="AA1792">
        <v>0.99966160000000004</v>
      </c>
      <c r="AB1792">
        <v>20</v>
      </c>
      <c r="AC1792">
        <v>-20.866599999999899</v>
      </c>
      <c r="AD1792">
        <v>-1.1096632175759999</v>
      </c>
      <c r="AE1792">
        <v>3.6200000000007997E-2</v>
      </c>
      <c r="AF1792">
        <v>-0.54577825272401304</v>
      </c>
      <c r="AG1792">
        <v>-1.1096632175759999</v>
      </c>
      <c r="AH1792">
        <v>20.800628228173998</v>
      </c>
      <c r="AI1792">
        <v>93.052647934156894</v>
      </c>
      <c r="AJ1792">
        <v>91.503013120938206</v>
      </c>
      <c r="AK1792">
        <v>20.837354943569402</v>
      </c>
      <c r="AL1792">
        <v>78.4172089641078</v>
      </c>
      <c r="AM1792">
        <v>90.1377412888435</v>
      </c>
      <c r="AN1792">
        <v>1.00000003171166</v>
      </c>
    </row>
    <row r="1793" spans="1:40" x14ac:dyDescent="0.25">
      <c r="A1793" t="str">
        <f>"20190312172404368"</f>
        <v>20190312172404368</v>
      </c>
      <c r="B1793" t="str">
        <f>"1552382644362128"</f>
        <v>1552382644362128</v>
      </c>
      <c r="C1793" t="s">
        <v>40</v>
      </c>
      <c r="D1793">
        <v>3.8148930000000001</v>
      </c>
      <c r="E1793">
        <v>0.49114249999999998</v>
      </c>
      <c r="F1793" t="s">
        <v>47</v>
      </c>
      <c r="G1793">
        <v>-258.95710000000003</v>
      </c>
      <c r="H1793" s="1">
        <v>3.2297059999999999E-6</v>
      </c>
      <c r="I1793">
        <v>282.23750000000001</v>
      </c>
      <c r="J1793">
        <v>-237.4563</v>
      </c>
      <c r="K1793">
        <v>1.1096239999999999</v>
      </c>
      <c r="L1793">
        <v>282.21699999999998</v>
      </c>
      <c r="M1793">
        <v>-0.99960610000000005</v>
      </c>
      <c r="N1793">
        <v>0</v>
      </c>
      <c r="O1793">
        <v>2.7701159999999999E-2</v>
      </c>
      <c r="P1793">
        <v>-0.98026190000000002</v>
      </c>
      <c r="Q1793">
        <v>0.196161</v>
      </c>
      <c r="R1793">
        <v>2.4651800000000001E-2</v>
      </c>
      <c r="S1793">
        <v>-3.091904</v>
      </c>
      <c r="T1793">
        <v>-0.15805729999999901</v>
      </c>
      <c r="U1793">
        <v>3.692627E-3</v>
      </c>
      <c r="V1793">
        <v>-2.5700559999999998E-3</v>
      </c>
      <c r="W1793">
        <v>0.20059769999999999</v>
      </c>
      <c r="X1793">
        <v>0.97967029999999999</v>
      </c>
      <c r="Y1793">
        <v>-2.6436910000000001E-2</v>
      </c>
      <c r="Z1793">
        <v>-2.0903079999999999E-3</v>
      </c>
      <c r="AA1793">
        <v>0.99964830000000005</v>
      </c>
      <c r="AB1793">
        <v>20</v>
      </c>
      <c r="AC1793">
        <v>-21.500800000000002</v>
      </c>
      <c r="AD1793">
        <v>-1.109620770294</v>
      </c>
      <c r="AE1793">
        <v>2.0500000000026799E-2</v>
      </c>
      <c r="AF1793">
        <v>-0.57358331777078997</v>
      </c>
      <c r="AG1793">
        <v>-1.109620770294</v>
      </c>
      <c r="AH1793">
        <v>21.436023647334501</v>
      </c>
      <c r="AI1793">
        <v>92.962172778706503</v>
      </c>
      <c r="AJ1793">
        <v>91.532749909687894</v>
      </c>
      <c r="AK1793">
        <v>21.472386124634099</v>
      </c>
      <c r="AL1793">
        <v>78.428086573241799</v>
      </c>
      <c r="AM1793">
        <v>90.150308756023506</v>
      </c>
      <c r="AN1793">
        <v>0.99999996956761095</v>
      </c>
    </row>
    <row r="1794" spans="1:40" x14ac:dyDescent="0.25">
      <c r="A1794" t="str">
        <f>"20190312172404381"</f>
        <v>20190312172404381</v>
      </c>
      <c r="B1794" t="str">
        <f>"1552382644371889"</f>
        <v>1552382644371889</v>
      </c>
      <c r="C1794" t="s">
        <v>40</v>
      </c>
      <c r="D1794">
        <v>3.7796919999999998</v>
      </c>
      <c r="E1794">
        <v>0.49100339999999998</v>
      </c>
      <c r="F1794" t="s">
        <v>47</v>
      </c>
      <c r="G1794">
        <v>-259.72789999999998</v>
      </c>
      <c r="H1794" s="1">
        <v>3.6399329999999999E-6</v>
      </c>
      <c r="I1794">
        <v>282.22559999999999</v>
      </c>
      <c r="J1794">
        <v>-237.56800000000001</v>
      </c>
      <c r="K1794">
        <v>1.1096010000000001</v>
      </c>
      <c r="L1794">
        <v>282.22000000000003</v>
      </c>
      <c r="M1794">
        <v>-0.99961069999999996</v>
      </c>
      <c r="N1794">
        <v>0</v>
      </c>
      <c r="O1794">
        <v>2.755958E-2</v>
      </c>
      <c r="P1794">
        <v>-0.9801938</v>
      </c>
      <c r="Q1794">
        <v>0.19652159999999999</v>
      </c>
      <c r="R1794">
        <v>2.4487689999999999E-2</v>
      </c>
      <c r="S1794">
        <v>-3.0911870000000001</v>
      </c>
      <c r="T1794">
        <v>-0.1540097</v>
      </c>
      <c r="U1794">
        <v>1.190186E-3</v>
      </c>
      <c r="V1794">
        <v>-2.5937600000000001E-3</v>
      </c>
      <c r="W1794">
        <v>0.200821</v>
      </c>
      <c r="X1794">
        <v>0.97962450000000001</v>
      </c>
      <c r="Y1794">
        <v>-2.7107160000000002E-2</v>
      </c>
      <c r="Z1794">
        <v>-2.0469590000000001E-3</v>
      </c>
      <c r="AA1794">
        <v>0.99963049999999998</v>
      </c>
      <c r="AB1794">
        <v>20</v>
      </c>
      <c r="AC1794">
        <v>-22.1599</v>
      </c>
      <c r="AD1794">
        <v>-1.1095973600669999</v>
      </c>
      <c r="AE1794">
        <v>5.5999999999585201E-3</v>
      </c>
      <c r="AF1794">
        <v>-0.60361204300452798</v>
      </c>
      <c r="AG1794">
        <v>-1.1095973600669999</v>
      </c>
      <c r="AH1794">
        <v>22.096236538852299</v>
      </c>
      <c r="AI1794">
        <v>92.873712842817199</v>
      </c>
      <c r="AJ1794">
        <v>91.564783375838104</v>
      </c>
      <c r="AK1794">
        <v>22.1323117405489</v>
      </c>
      <c r="AL1794">
        <v>78.415026805033705</v>
      </c>
      <c r="AM1794">
        <v>90.151702161183096</v>
      </c>
      <c r="AN1794">
        <v>0.99999998131609302</v>
      </c>
    </row>
    <row r="1795" spans="1:40" x14ac:dyDescent="0.25">
      <c r="A1795" t="str">
        <f>"20190312172404402"</f>
        <v>20190312172404402</v>
      </c>
      <c r="B1795" t="str">
        <f>"1552382644391412"</f>
        <v>1552382644391412</v>
      </c>
      <c r="C1795" t="s">
        <v>40</v>
      </c>
      <c r="D1795">
        <v>3.7971879999999998</v>
      </c>
      <c r="E1795">
        <v>0.4909538</v>
      </c>
      <c r="F1795" t="s">
        <v>47</v>
      </c>
      <c r="G1795">
        <v>-260.36849999999998</v>
      </c>
      <c r="H1795" s="1">
        <v>-1.3407149999999999E-6</v>
      </c>
      <c r="I1795">
        <v>282.21660000000003</v>
      </c>
      <c r="J1795">
        <v>-237.7516</v>
      </c>
      <c r="K1795">
        <v>1.109558</v>
      </c>
      <c r="L1795">
        <v>282.22480000000002</v>
      </c>
      <c r="M1795">
        <v>-0.99961809999999995</v>
      </c>
      <c r="N1795">
        <v>0</v>
      </c>
      <c r="O1795">
        <v>2.7326650000000001E-2</v>
      </c>
      <c r="P1795">
        <v>-0.98020240000000003</v>
      </c>
      <c r="Q1795">
        <v>0.19652059999999999</v>
      </c>
      <c r="R1795">
        <v>2.4151619999999999E-2</v>
      </c>
      <c r="S1795">
        <v>-3.0907900000000001</v>
      </c>
      <c r="T1795">
        <v>-0.15041589999999999</v>
      </c>
      <c r="U1795">
        <v>-4.577637E-4</v>
      </c>
      <c r="V1795">
        <v>-2.702262E-3</v>
      </c>
      <c r="W1795">
        <v>0.2005912</v>
      </c>
      <c r="X1795">
        <v>0.97967130000000002</v>
      </c>
      <c r="Y1795">
        <v>-2.7410159999999999E-2</v>
      </c>
      <c r="Z1795">
        <v>-1.9955509999999999E-3</v>
      </c>
      <c r="AA1795">
        <v>0.99962229999999996</v>
      </c>
      <c r="AB1795">
        <v>20</v>
      </c>
      <c r="AC1795">
        <v>-22.616899999999902</v>
      </c>
      <c r="AD1795">
        <v>-1.109559340715</v>
      </c>
      <c r="AE1795">
        <v>-8.1999999999879895E-3</v>
      </c>
      <c r="AF1795">
        <v>-0.62474266041157001</v>
      </c>
      <c r="AG1795">
        <v>-1.109559340715</v>
      </c>
      <c r="AH1795">
        <v>22.553947464796</v>
      </c>
      <c r="AI1795">
        <v>92.815362508954394</v>
      </c>
      <c r="AJ1795">
        <v>91.586683083409696</v>
      </c>
      <c r="AK1795">
        <v>22.589864354773901</v>
      </c>
      <c r="AL1795">
        <v>78.42846700794</v>
      </c>
      <c r="AM1795">
        <v>90.158040574501499</v>
      </c>
      <c r="AN1795">
        <v>0.99999999389052296</v>
      </c>
    </row>
    <row r="1796" spans="1:40" x14ac:dyDescent="0.25">
      <c r="A1796" t="str">
        <f>"20190312172404424"</f>
        <v>20190312172404424</v>
      </c>
      <c r="B1796" t="str">
        <f>"1552382644421664"</f>
        <v>1552382644421664</v>
      </c>
      <c r="C1796" t="s">
        <v>40</v>
      </c>
      <c r="D1796">
        <v>3.8052820000000001</v>
      </c>
      <c r="E1796">
        <v>0.49082209999999898</v>
      </c>
      <c r="F1796" t="s">
        <v>47</v>
      </c>
      <c r="G1796">
        <v>-260.9504</v>
      </c>
      <c r="H1796" s="1">
        <v>-1.0310439999999999E-6</v>
      </c>
      <c r="I1796">
        <v>282.20920000000001</v>
      </c>
      <c r="J1796">
        <v>-237.9522</v>
      </c>
      <c r="K1796">
        <v>1.1095200000000001</v>
      </c>
      <c r="L1796">
        <v>282.23</v>
      </c>
      <c r="M1796">
        <v>-0.99962580000000001</v>
      </c>
      <c r="N1796">
        <v>0</v>
      </c>
      <c r="O1796">
        <v>2.7073280000000002E-2</v>
      </c>
      <c r="P1796">
        <v>-0.9802071</v>
      </c>
      <c r="Q1796">
        <v>0.19652530000000001</v>
      </c>
      <c r="R1796">
        <v>2.3922769999999999E-2</v>
      </c>
      <c r="S1796">
        <v>-3.0902560000000001</v>
      </c>
      <c r="T1796">
        <v>-0.14780209999999999</v>
      </c>
      <c r="U1796">
        <v>-2.0751950000000002E-3</v>
      </c>
      <c r="V1796">
        <v>-2.683244E-3</v>
      </c>
      <c r="W1796">
        <v>0.20034969999999999</v>
      </c>
      <c r="X1796">
        <v>0.97972079999999995</v>
      </c>
      <c r="Y1796">
        <v>-2.7682180000000001E-2</v>
      </c>
      <c r="Z1796">
        <v>-1.9556460000000001E-3</v>
      </c>
      <c r="AA1796">
        <v>0.99961480000000003</v>
      </c>
      <c r="AB1796">
        <v>20</v>
      </c>
      <c r="AC1796">
        <v>-22.998200000000001</v>
      </c>
      <c r="AD1796">
        <v>-1.109521031044</v>
      </c>
      <c r="AE1796">
        <v>-2.0800000000008301E-2</v>
      </c>
      <c r="AF1796">
        <v>-0.64193975434958594</v>
      </c>
      <c r="AG1796">
        <v>-1.109521031044</v>
      </c>
      <c r="AH1796">
        <v>22.935824475728399</v>
      </c>
      <c r="AI1796">
        <v>92.768443182618498</v>
      </c>
      <c r="AJ1796">
        <v>91.603205461513895</v>
      </c>
      <c r="AK1796">
        <v>22.971616572369602</v>
      </c>
      <c r="AL1796">
        <v>78.442591005368897</v>
      </c>
      <c r="AM1796">
        <v>90.156920392228997</v>
      </c>
      <c r="AN1796">
        <v>1.00000002402054</v>
      </c>
    </row>
    <row r="1797" spans="1:40" x14ac:dyDescent="0.25">
      <c r="A1797" t="str">
        <f>"20190312172404447"</f>
        <v>20190312172404447</v>
      </c>
      <c r="B1797" t="str">
        <f>"1552382644442161"</f>
        <v>1552382644442161</v>
      </c>
      <c r="C1797" t="s">
        <v>40</v>
      </c>
      <c r="D1797">
        <v>3.8105120000000001</v>
      </c>
      <c r="E1797">
        <v>0.49073</v>
      </c>
      <c r="F1797" t="s">
        <v>47</v>
      </c>
      <c r="G1797">
        <v>-261.68549999999999</v>
      </c>
      <c r="H1797" s="1">
        <v>-6.3987280000000002E-7</v>
      </c>
      <c r="I1797">
        <v>282.19830000000002</v>
      </c>
      <c r="J1797">
        <v>-238.1593</v>
      </c>
      <c r="K1797">
        <v>1.1094850000000001</v>
      </c>
      <c r="L1797">
        <v>282.2353</v>
      </c>
      <c r="M1797">
        <v>-0.99963389999999996</v>
      </c>
      <c r="N1797">
        <v>0</v>
      </c>
      <c r="O1797">
        <v>2.681242E-2</v>
      </c>
      <c r="P1797">
        <v>-0.98019239999999996</v>
      </c>
      <c r="Q1797">
        <v>0.19664019999999999</v>
      </c>
      <c r="R1797">
        <v>2.3577819999999999E-2</v>
      </c>
      <c r="S1797">
        <v>-3.089645</v>
      </c>
      <c r="T1797">
        <v>-0.14443979999999901</v>
      </c>
      <c r="U1797">
        <v>-4.1198729999999996E-3</v>
      </c>
      <c r="V1797">
        <v>-2.7730139999999999E-3</v>
      </c>
      <c r="W1797">
        <v>0.20022309999999999</v>
      </c>
      <c r="X1797">
        <v>0.97974640000000002</v>
      </c>
      <c r="Y1797">
        <v>-2.8085579999999999E-2</v>
      </c>
      <c r="Z1797">
        <v>-1.9088250000000001E-3</v>
      </c>
      <c r="AA1797">
        <v>0.99960369999999998</v>
      </c>
      <c r="AB1797">
        <v>20</v>
      </c>
      <c r="AC1797">
        <v>-23.5261999999999</v>
      </c>
      <c r="AD1797">
        <v>-1.1094856398727999</v>
      </c>
      <c r="AE1797">
        <v>-3.6999999999977697E-2</v>
      </c>
      <c r="AF1797">
        <v>-0.66630333171114198</v>
      </c>
      <c r="AG1797">
        <v>-1.1094856398727999</v>
      </c>
      <c r="AH1797">
        <v>23.464564076109699</v>
      </c>
      <c r="AI1797">
        <v>92.706036949611004</v>
      </c>
      <c r="AJ1797">
        <v>91.626542583843005</v>
      </c>
      <c r="AK1797">
        <v>23.5002273562787</v>
      </c>
      <c r="AL1797">
        <v>78.449994315090606</v>
      </c>
      <c r="AM1797">
        <v>90.162166020180905</v>
      </c>
      <c r="AN1797">
        <v>0.99999999384660698</v>
      </c>
    </row>
    <row r="1798" spans="1:40" x14ac:dyDescent="0.25">
      <c r="A1798" t="str">
        <f>"20190312172404470"</f>
        <v>20190312172404470</v>
      </c>
      <c r="B1798" t="str">
        <f>"1552382644461683"</f>
        <v>1552382644461683</v>
      </c>
      <c r="C1798" t="s">
        <v>40</v>
      </c>
      <c r="D1798">
        <v>3.8023319999999998</v>
      </c>
      <c r="E1798">
        <v>0.49064999999999998</v>
      </c>
      <c r="F1798" t="s">
        <v>47</v>
      </c>
      <c r="G1798">
        <v>-262.20350000000002</v>
      </c>
      <c r="H1798" s="1">
        <v>-3.6419230000000001E-7</v>
      </c>
      <c r="I1798">
        <v>282.18639999999999</v>
      </c>
      <c r="J1798">
        <v>-238.37960000000001</v>
      </c>
      <c r="K1798">
        <v>1.109456</v>
      </c>
      <c r="L1798">
        <v>282.24090000000001</v>
      </c>
      <c r="M1798">
        <v>-0.99964209999999998</v>
      </c>
      <c r="N1798">
        <v>0</v>
      </c>
      <c r="O1798">
        <v>2.6536250000000001E-2</v>
      </c>
      <c r="P1798">
        <v>-0.98025669999999998</v>
      </c>
      <c r="Q1798">
        <v>0.1963743</v>
      </c>
      <c r="R1798">
        <v>2.311595E-2</v>
      </c>
      <c r="S1798">
        <v>-3.0893709999999999</v>
      </c>
      <c r="T1798">
        <v>-0.14255479999999901</v>
      </c>
      <c r="U1798">
        <v>-6.286621E-3</v>
      </c>
      <c r="V1798">
        <v>-2.9672029999999999E-3</v>
      </c>
      <c r="W1798">
        <v>0.1997227</v>
      </c>
      <c r="X1798">
        <v>0.97984800000000005</v>
      </c>
      <c r="Y1798">
        <v>-2.8511979999999999E-2</v>
      </c>
      <c r="Z1798">
        <v>-1.8812060000000001E-3</v>
      </c>
      <c r="AA1798">
        <v>0.99959169999999997</v>
      </c>
      <c r="AB1798">
        <v>21</v>
      </c>
      <c r="AC1798">
        <v>-23.823899999999998</v>
      </c>
      <c r="AD1798">
        <v>-1.1094563641923001</v>
      </c>
      <c r="AE1798">
        <v>-5.4500000000018603E-2</v>
      </c>
      <c r="AF1798">
        <v>-0.68519544966198498</v>
      </c>
      <c r="AG1798">
        <v>-1.1094563641923001</v>
      </c>
      <c r="AH1798">
        <v>23.762531155171999</v>
      </c>
      <c r="AI1798">
        <v>92.672050559175005</v>
      </c>
      <c r="AJ1798">
        <v>91.651673039874794</v>
      </c>
      <c r="AK1798">
        <v>23.798282986988799</v>
      </c>
      <c r="AL1798">
        <v>78.479256618677596</v>
      </c>
      <c r="AM1798">
        <v>90.173504144717995</v>
      </c>
      <c r="AN1798">
        <v>1.0000000321464599</v>
      </c>
    </row>
    <row r="1799" spans="1:40" x14ac:dyDescent="0.25">
      <c r="A1799" t="str">
        <f>"20190312172404493"</f>
        <v>20190312172404493</v>
      </c>
      <c r="B1799" t="str">
        <f>"1552382644482177"</f>
        <v>1552382644482177</v>
      </c>
      <c r="C1799" t="s">
        <v>40</v>
      </c>
      <c r="D1799">
        <v>3.8055780000000001</v>
      </c>
      <c r="E1799">
        <v>0.49059809999999998</v>
      </c>
      <c r="F1799" t="s">
        <v>47</v>
      </c>
      <c r="G1799">
        <v>-262.56009999999998</v>
      </c>
      <c r="H1799" s="1">
        <v>-1.7442409999999999E-7</v>
      </c>
      <c r="I1799">
        <v>282.17860000000002</v>
      </c>
      <c r="J1799">
        <v>-238.59389999999999</v>
      </c>
      <c r="K1799">
        <v>1.1094389999999901</v>
      </c>
      <c r="L1799">
        <v>282.24630000000002</v>
      </c>
      <c r="M1799">
        <v>-0.99964980000000003</v>
      </c>
      <c r="N1799">
        <v>0</v>
      </c>
      <c r="O1799">
        <v>2.626763E-2</v>
      </c>
      <c r="P1799">
        <v>-0.98020180000000001</v>
      </c>
      <c r="Q1799">
        <v>0.19664970000000001</v>
      </c>
      <c r="R1799">
        <v>2.3094489999999999E-2</v>
      </c>
      <c r="S1799">
        <v>-3.0890049999999998</v>
      </c>
      <c r="T1799">
        <v>-0.14173050000000001</v>
      </c>
      <c r="U1799">
        <v>-7.9650880000000004E-3</v>
      </c>
      <c r="V1799">
        <v>-2.7246700000000002E-3</v>
      </c>
      <c r="W1799">
        <v>0.19979559999999999</v>
      </c>
      <c r="X1799">
        <v>0.97983379999999998</v>
      </c>
      <c r="Y1799">
        <v>-2.878739E-2</v>
      </c>
      <c r="Z1799">
        <v>-1.8645630000000001E-3</v>
      </c>
      <c r="AA1799">
        <v>0.99958380000000002</v>
      </c>
      <c r="AB1799">
        <v>21</v>
      </c>
      <c r="AC1799">
        <v>-23.966199999999901</v>
      </c>
      <c r="AD1799">
        <v>-1.1094391744240999</v>
      </c>
      <c r="AE1799">
        <v>-6.7700000000001995E-2</v>
      </c>
      <c r="AF1799">
        <v>-0.69572427363580602</v>
      </c>
      <c r="AG1799">
        <v>-1.1094391744240999</v>
      </c>
      <c r="AH1799">
        <v>23.904925710238601</v>
      </c>
      <c r="AI1799">
        <v>92.656095086712099</v>
      </c>
      <c r="AJ1799">
        <v>91.667054563427897</v>
      </c>
      <c r="AK1799">
        <v>23.940767756250001</v>
      </c>
      <c r="AL1799">
        <v>78.474993355096601</v>
      </c>
      <c r="AM1799">
        <v>90.159324662188595</v>
      </c>
      <c r="AN1799">
        <v>0.99999999061420397</v>
      </c>
    </row>
    <row r="1800" spans="1:40" x14ac:dyDescent="0.25">
      <c r="A1800" t="str">
        <f>"20190312172404514"</f>
        <v>20190312172404514</v>
      </c>
      <c r="B1800" t="str">
        <f>"1552382644511458"</f>
        <v>1552382644511458</v>
      </c>
      <c r="C1800" t="s">
        <v>40</v>
      </c>
      <c r="D1800">
        <v>3.7771479999999999</v>
      </c>
      <c r="E1800">
        <v>0.49050840000000001</v>
      </c>
      <c r="F1800" t="s">
        <v>47</v>
      </c>
      <c r="G1800">
        <v>-263.15050000000002</v>
      </c>
      <c r="H1800" s="1">
        <v>1.397337E-7</v>
      </c>
      <c r="I1800">
        <v>282.1771</v>
      </c>
      <c r="J1800">
        <v>-238.79239999999999</v>
      </c>
      <c r="K1800">
        <v>1.1094219999999999</v>
      </c>
      <c r="L1800">
        <v>282.25119999999998</v>
      </c>
      <c r="M1800">
        <v>-0.99965700000000002</v>
      </c>
      <c r="N1800">
        <v>0</v>
      </c>
      <c r="O1800">
        <v>2.6019190000000001E-2</v>
      </c>
      <c r="P1800">
        <v>-0.98012189999999999</v>
      </c>
      <c r="Q1800">
        <v>0.1970402</v>
      </c>
      <c r="R1800">
        <v>2.3162930000000002E-2</v>
      </c>
      <c r="S1800">
        <v>-3.0887760000000002</v>
      </c>
      <c r="T1800">
        <v>-0.1395477</v>
      </c>
      <c r="U1800">
        <v>-8.6975100000000003E-3</v>
      </c>
      <c r="V1800">
        <v>-2.4115180000000001E-3</v>
      </c>
      <c r="W1800">
        <v>0.2000208</v>
      </c>
      <c r="X1800">
        <v>0.97978869999999896</v>
      </c>
      <c r="Y1800">
        <v>-2.8778189999999999E-2</v>
      </c>
      <c r="Z1800">
        <v>-1.8245869999999999E-3</v>
      </c>
      <c r="AA1800">
        <v>0.99958409999999998</v>
      </c>
      <c r="AB1800">
        <v>21</v>
      </c>
      <c r="AC1800">
        <v>-24.3581</v>
      </c>
      <c r="AD1800">
        <v>-1.1094218602663</v>
      </c>
      <c r="AE1800">
        <v>-7.4099999999987107E-2</v>
      </c>
      <c r="AF1800">
        <v>-0.70639038968490098</v>
      </c>
      <c r="AG1800">
        <v>-1.1094218602663</v>
      </c>
      <c r="AH1800">
        <v>24.2975213545581</v>
      </c>
      <c r="AI1800">
        <v>92.613199933886705</v>
      </c>
      <c r="AJ1800">
        <v>91.665264139463304</v>
      </c>
      <c r="AK1800">
        <v>24.333091628929601</v>
      </c>
      <c r="AL1800">
        <v>78.461824827607202</v>
      </c>
      <c r="AM1800">
        <v>90.1410197164127</v>
      </c>
      <c r="AN1800">
        <v>1.00000001624969</v>
      </c>
    </row>
    <row r="1801" spans="1:40" x14ac:dyDescent="0.25">
      <c r="A1801" t="str">
        <f>"20190312172404536"</f>
        <v>20190312172404536</v>
      </c>
      <c r="B1801" t="str">
        <f>"1552382644531952"</f>
        <v>1552382644531952</v>
      </c>
      <c r="C1801" t="s">
        <v>40</v>
      </c>
      <c r="D1801">
        <v>3.77475</v>
      </c>
      <c r="E1801">
        <v>0.49043740000000002</v>
      </c>
      <c r="F1801" t="s">
        <v>47</v>
      </c>
      <c r="G1801">
        <v>-263.79730000000001</v>
      </c>
      <c r="H1801" s="1">
        <v>4.839647E-7</v>
      </c>
      <c r="I1801">
        <v>282.17509999999999</v>
      </c>
      <c r="J1801">
        <v>-239.0035</v>
      </c>
      <c r="K1801">
        <v>1.1094010000000001</v>
      </c>
      <c r="L1801">
        <v>282.25639999999999</v>
      </c>
      <c r="M1801">
        <v>-0.9996642</v>
      </c>
      <c r="N1801">
        <v>0</v>
      </c>
      <c r="O1801">
        <v>2.5755400000000001E-2</v>
      </c>
      <c r="P1801">
        <v>-0.98020269999999998</v>
      </c>
      <c r="Q1801">
        <v>0.19669010000000001</v>
      </c>
      <c r="R1801">
        <v>2.2715530000000001E-2</v>
      </c>
      <c r="S1801">
        <v>-3.0886230000000001</v>
      </c>
      <c r="T1801">
        <v>-0.13703609999999999</v>
      </c>
      <c r="U1801">
        <v>-9.399414E-3</v>
      </c>
      <c r="V1801">
        <v>-2.6033459999999999E-3</v>
      </c>
      <c r="W1801">
        <v>0.19951240000000001</v>
      </c>
      <c r="X1801">
        <v>0.97989179999999998</v>
      </c>
      <c r="Y1801">
        <v>-2.8743990000000001E-2</v>
      </c>
      <c r="Z1801">
        <v>-1.7794149999999999E-3</v>
      </c>
      <c r="AA1801">
        <v>0.99958519999999895</v>
      </c>
      <c r="AB1801">
        <v>21</v>
      </c>
      <c r="AC1801">
        <v>-24.793800000000001</v>
      </c>
      <c r="AD1801">
        <v>-1.1094005160353</v>
      </c>
      <c r="AE1801">
        <v>-8.1299999999998804E-2</v>
      </c>
      <c r="AF1801">
        <v>-0.71841153607081998</v>
      </c>
      <c r="AG1801">
        <v>-1.1094005160353</v>
      </c>
      <c r="AH1801">
        <v>24.7339614027577</v>
      </c>
      <c r="AI1801">
        <v>92.567103963252706</v>
      </c>
      <c r="AJ1801">
        <v>91.663719725759904</v>
      </c>
      <c r="AK1801">
        <v>24.769249712360001</v>
      </c>
      <c r="AL1801">
        <v>78.491552535735806</v>
      </c>
      <c r="AM1801">
        <v>90.152221283479804</v>
      </c>
      <c r="AN1801">
        <v>0.99999995743569603</v>
      </c>
    </row>
    <row r="1802" spans="1:40" x14ac:dyDescent="0.25">
      <c r="A1802" t="str">
        <f>"20190312172404559"</f>
        <v>20190312172404559</v>
      </c>
      <c r="B1802" t="str">
        <f>"1552382644551473"</f>
        <v>1552382644551473</v>
      </c>
      <c r="C1802" t="s">
        <v>40</v>
      </c>
      <c r="D1802">
        <v>3.7560150000000001</v>
      </c>
      <c r="E1802">
        <v>0.4904135</v>
      </c>
      <c r="F1802" t="s">
        <v>47</v>
      </c>
      <c r="G1802">
        <v>-264.05470000000003</v>
      </c>
      <c r="H1802" s="1">
        <v>6.2092279999999997E-7</v>
      </c>
      <c r="I1802">
        <v>282.16489999999999</v>
      </c>
      <c r="J1802">
        <v>-239.22389999999999</v>
      </c>
      <c r="K1802">
        <v>1.109383</v>
      </c>
      <c r="L1802">
        <v>282.26179999999999</v>
      </c>
      <c r="M1802">
        <v>-0.99967169999999905</v>
      </c>
      <c r="N1802">
        <v>0</v>
      </c>
      <c r="O1802">
        <v>2.5479910000000001E-2</v>
      </c>
      <c r="P1802">
        <v>-0.98025329999999999</v>
      </c>
      <c r="Q1802">
        <v>0.196493</v>
      </c>
      <c r="R1802">
        <v>2.22223E-2</v>
      </c>
      <c r="S1802">
        <v>-3.088333</v>
      </c>
      <c r="T1802">
        <v>-0.13676759999999999</v>
      </c>
      <c r="U1802">
        <v>-1.1291499999999999E-2</v>
      </c>
      <c r="V1802">
        <v>-2.828765E-3</v>
      </c>
      <c r="W1802">
        <v>0.19916059999999999</v>
      </c>
      <c r="X1802">
        <v>0.97996280000000002</v>
      </c>
      <c r="Y1802">
        <v>-2.9081340000000001E-2</v>
      </c>
      <c r="Z1802">
        <v>-1.771374E-3</v>
      </c>
      <c r="AA1802">
        <v>0.99957549999999995</v>
      </c>
      <c r="AB1802">
        <v>21</v>
      </c>
      <c r="AC1802">
        <v>-24.8308</v>
      </c>
      <c r="AD1802">
        <v>-1.1093823790771999</v>
      </c>
      <c r="AE1802">
        <v>-9.6900000000005093E-2</v>
      </c>
      <c r="AF1802">
        <v>-0.72810404522817396</v>
      </c>
      <c r="AG1802">
        <v>-1.1093823790771999</v>
      </c>
      <c r="AH1802">
        <v>24.770825067031598</v>
      </c>
      <c r="AI1802">
        <v>92.563220865633298</v>
      </c>
      <c r="AJ1802">
        <v>91.683645198978496</v>
      </c>
      <c r="AK1802">
        <v>24.806342722480601</v>
      </c>
      <c r="AL1802">
        <v>78.512122703061607</v>
      </c>
      <c r="AM1802">
        <v>90.165389793949799</v>
      </c>
      <c r="AN1802">
        <v>1.00000001794381</v>
      </c>
    </row>
    <row r="1803" spans="1:40" x14ac:dyDescent="0.25">
      <c r="A1803" t="str">
        <f>"20190312172404581"</f>
        <v>20190312172404581</v>
      </c>
      <c r="B1803" t="str">
        <f>"1552382644571968"</f>
        <v>1552382644571968</v>
      </c>
      <c r="C1803" t="s">
        <v>40</v>
      </c>
      <c r="D1803">
        <v>3.7518829999999999</v>
      </c>
      <c r="E1803">
        <v>0.49032189999999998</v>
      </c>
      <c r="F1803" t="s">
        <v>47</v>
      </c>
      <c r="G1803">
        <v>-264.32100000000003</v>
      </c>
      <c r="H1803" s="1">
        <v>7.6261060000000003E-7</v>
      </c>
      <c r="I1803">
        <v>282.15940000000001</v>
      </c>
      <c r="J1803">
        <v>-239.44450000000001</v>
      </c>
      <c r="K1803">
        <v>1.109359</v>
      </c>
      <c r="L1803">
        <v>282.2672</v>
      </c>
      <c r="M1803">
        <v>-0.99967910000000004</v>
      </c>
      <c r="N1803">
        <v>0</v>
      </c>
      <c r="O1803">
        <v>2.5204529999999999E-2</v>
      </c>
      <c r="P1803">
        <v>-0.9802495</v>
      </c>
      <c r="Q1803">
        <v>0.19657459999999999</v>
      </c>
      <c r="R1803">
        <v>2.1666040000000001E-2</v>
      </c>
      <c r="S1803">
        <v>-3.0880890000000001</v>
      </c>
      <c r="T1803">
        <v>-0.13650499999999999</v>
      </c>
      <c r="U1803">
        <v>-1.260376E-2</v>
      </c>
      <c r="V1803">
        <v>-3.115254E-3</v>
      </c>
      <c r="W1803">
        <v>0.19909189999999999</v>
      </c>
      <c r="X1803">
        <v>0.97997590000000001</v>
      </c>
      <c r="Y1803">
        <v>-2.923133E-2</v>
      </c>
      <c r="Z1803">
        <v>-1.759264E-3</v>
      </c>
      <c r="AA1803">
        <v>0.99957110000000005</v>
      </c>
      <c r="AB1803">
        <v>21</v>
      </c>
      <c r="AC1803">
        <v>-24.876499999999901</v>
      </c>
      <c r="AD1803">
        <v>-1.10935823738939</v>
      </c>
      <c r="AE1803">
        <v>-0.107799999999997</v>
      </c>
      <c r="AF1803">
        <v>-0.73330996729415399</v>
      </c>
      <c r="AG1803">
        <v>-1.10935823738939</v>
      </c>
      <c r="AH1803">
        <v>24.816528784057201</v>
      </c>
      <c r="AI1803">
        <v>92.558439239084706</v>
      </c>
      <c r="AJ1803">
        <v>91.692555160261605</v>
      </c>
      <c r="AK1803">
        <v>24.852133109593201</v>
      </c>
      <c r="AL1803">
        <v>78.516139466874606</v>
      </c>
      <c r="AM1803">
        <v>90.182137443452007</v>
      </c>
      <c r="AN1803">
        <v>1.00000002701695</v>
      </c>
    </row>
    <row r="1804" spans="1:40" x14ac:dyDescent="0.25">
      <c r="A1804" t="str">
        <f>"20190312172404593"</f>
        <v>20190312172404593</v>
      </c>
      <c r="B1804" t="str">
        <f>"1552382644581728"</f>
        <v>1552382644581728</v>
      </c>
      <c r="C1804" t="s">
        <v>40</v>
      </c>
      <c r="D1804">
        <v>3.6729379999999998</v>
      </c>
      <c r="E1804">
        <v>0.49030980000000002</v>
      </c>
      <c r="F1804" t="s">
        <v>47</v>
      </c>
      <c r="G1804">
        <v>-264.83440000000002</v>
      </c>
      <c r="H1804" s="1">
        <v>1.0358520000000001E-6</v>
      </c>
      <c r="I1804">
        <v>282.1404</v>
      </c>
      <c r="J1804">
        <v>-239.5634</v>
      </c>
      <c r="K1804">
        <v>1.109348</v>
      </c>
      <c r="L1804">
        <v>282.27</v>
      </c>
      <c r="M1804">
        <v>-0.99968299999999999</v>
      </c>
      <c r="N1804">
        <v>0</v>
      </c>
      <c r="O1804">
        <v>2.5055810000000001E-2</v>
      </c>
      <c r="P1804">
        <v>-0.98027830000000005</v>
      </c>
      <c r="Q1804">
        <v>0.19646140000000001</v>
      </c>
      <c r="R1804">
        <v>2.1388299999999999E-2</v>
      </c>
      <c r="S1804">
        <v>-3.0878299999999999</v>
      </c>
      <c r="T1804">
        <v>-0.13491629999999999</v>
      </c>
      <c r="U1804">
        <v>-1.5411380000000001E-2</v>
      </c>
      <c r="V1804">
        <v>-3.2485629999999999E-3</v>
      </c>
      <c r="W1804">
        <v>0.19889699999999999</v>
      </c>
      <c r="X1804">
        <v>0.98001499999999997</v>
      </c>
      <c r="Y1804">
        <v>-2.9992439999999999E-2</v>
      </c>
      <c r="Z1804">
        <v>-1.7490800000000001E-3</v>
      </c>
      <c r="AA1804">
        <v>0.99954860000000001</v>
      </c>
      <c r="AB1804">
        <v>22</v>
      </c>
      <c r="AC1804">
        <v>-25.271000000000001</v>
      </c>
      <c r="AD1804">
        <v>-1.109346964148</v>
      </c>
      <c r="AE1804">
        <v>-0.12959999999998201</v>
      </c>
      <c r="AF1804">
        <v>-0.76127964485182897</v>
      </c>
      <c r="AG1804">
        <v>-1.109346964148</v>
      </c>
      <c r="AH1804">
        <v>25.2112372800872</v>
      </c>
      <c r="AI1804">
        <v>92.518362045465096</v>
      </c>
      <c r="AJ1804">
        <v>91.729580362472603</v>
      </c>
      <c r="AK1804">
        <v>25.247112361166899</v>
      </c>
      <c r="AL1804">
        <v>78.527533815106196</v>
      </c>
      <c r="AM1804">
        <v>90.189923896737199</v>
      </c>
      <c r="AN1804">
        <v>0.99999998499778198</v>
      </c>
    </row>
    <row r="1805" spans="1:40" x14ac:dyDescent="0.25">
      <c r="A1805" t="str">
        <f>"20190312172404615"</f>
        <v>20190312172404615</v>
      </c>
      <c r="B1805" t="str">
        <f>"1552382644611985"</f>
        <v>1552382644611985</v>
      </c>
      <c r="C1805" t="s">
        <v>40</v>
      </c>
      <c r="D1805">
        <v>3.7516310000000002</v>
      </c>
      <c r="E1805">
        <v>0.49026900000000001</v>
      </c>
      <c r="F1805" t="s">
        <v>47</v>
      </c>
      <c r="G1805">
        <v>-264.97280000000001</v>
      </c>
      <c r="H1805" s="1">
        <v>1.1094919999999999E-6</v>
      </c>
      <c r="I1805">
        <v>282.13409999999999</v>
      </c>
      <c r="J1805">
        <v>-239.7766</v>
      </c>
      <c r="K1805">
        <v>1.1093280000000001</v>
      </c>
      <c r="L1805">
        <v>282.27499999999998</v>
      </c>
      <c r="M1805">
        <v>-0.99969010000000003</v>
      </c>
      <c r="N1805">
        <v>0</v>
      </c>
      <c r="O1805">
        <v>2.478934E-2</v>
      </c>
      <c r="P1805">
        <v>-0.980402</v>
      </c>
      <c r="Q1805">
        <v>0.19589770000000001</v>
      </c>
      <c r="R1805">
        <v>2.0891130000000001E-2</v>
      </c>
      <c r="S1805">
        <v>-3.0877379999999999</v>
      </c>
      <c r="T1805">
        <v>-0.13480710000000001</v>
      </c>
      <c r="U1805">
        <v>-1.6510009999999999E-2</v>
      </c>
      <c r="V1805">
        <v>-3.4878679999999999E-3</v>
      </c>
      <c r="W1805">
        <v>0.19818810000000001</v>
      </c>
      <c r="X1805">
        <v>0.98015779999999997</v>
      </c>
      <c r="Y1805">
        <v>-3.0082029999999999E-2</v>
      </c>
      <c r="Z1805">
        <v>-1.7380449999999999E-3</v>
      </c>
      <c r="AA1805">
        <v>0.99954589999999999</v>
      </c>
      <c r="AB1805">
        <v>22</v>
      </c>
      <c r="AC1805">
        <v>-25.196200000000001</v>
      </c>
      <c r="AD1805">
        <v>-1.109326890508</v>
      </c>
      <c r="AE1805">
        <v>-0.14089999999998701</v>
      </c>
      <c r="AF1805">
        <v>-0.76397462978555997</v>
      </c>
      <c r="AG1805">
        <v>-1.109326890508</v>
      </c>
      <c r="AH1805">
        <v>25.1362410744741</v>
      </c>
      <c r="AI1805">
        <v>92.525805374467495</v>
      </c>
      <c r="AJ1805">
        <v>91.740874894661303</v>
      </c>
      <c r="AK1805">
        <v>25.1723038027718</v>
      </c>
      <c r="AL1805">
        <v>78.568975991142295</v>
      </c>
      <c r="AM1805">
        <v>90.203884795281496</v>
      </c>
      <c r="AN1805">
        <v>1.00000000055281</v>
      </c>
    </row>
    <row r="1806" spans="1:40" x14ac:dyDescent="0.25">
      <c r="A1806" t="str">
        <f>"20190312172404638"</f>
        <v>20190312172404638</v>
      </c>
      <c r="B1806" t="str">
        <f>"1552382644631505"</f>
        <v>1552382644631505</v>
      </c>
      <c r="C1806" t="s">
        <v>40</v>
      </c>
      <c r="D1806">
        <v>3.7701920000000002</v>
      </c>
      <c r="E1806">
        <v>0.49021779999999998</v>
      </c>
      <c r="F1806" t="s">
        <v>47</v>
      </c>
      <c r="G1806">
        <v>-265.02670000000001</v>
      </c>
      <c r="H1806" s="1">
        <v>1.1381759999999999E-6</v>
      </c>
      <c r="I1806">
        <v>282.12599999999998</v>
      </c>
      <c r="J1806">
        <v>-240.00229999999999</v>
      </c>
      <c r="K1806">
        <v>1.109302</v>
      </c>
      <c r="L1806">
        <v>282.28030000000001</v>
      </c>
      <c r="M1806">
        <v>-0.99969730000000001</v>
      </c>
      <c r="N1806">
        <v>0</v>
      </c>
      <c r="O1806">
        <v>2.4507500000000002E-2</v>
      </c>
      <c r="P1806">
        <v>-0.98049989999999998</v>
      </c>
      <c r="Q1806">
        <v>0.19548460000000001</v>
      </c>
      <c r="R1806">
        <v>2.0148320000000001E-2</v>
      </c>
      <c r="S1806">
        <v>-3.0874630000000001</v>
      </c>
      <c r="T1806">
        <v>-0.13564319999999999</v>
      </c>
      <c r="U1806">
        <v>-1.8218990000000001E-2</v>
      </c>
      <c r="V1806">
        <v>-3.957108E-3</v>
      </c>
      <c r="W1806">
        <v>0.19762160000000001</v>
      </c>
      <c r="X1806">
        <v>0.98027039999999999</v>
      </c>
      <c r="Y1806">
        <v>-3.03533E-2</v>
      </c>
      <c r="Z1806">
        <v>-1.742551E-3</v>
      </c>
      <c r="AA1806">
        <v>0.99953769999999997</v>
      </c>
      <c r="AB1806">
        <v>22</v>
      </c>
      <c r="AC1806">
        <v>-25.0244</v>
      </c>
      <c r="AD1806">
        <v>-1.1093008618239999</v>
      </c>
      <c r="AE1806">
        <v>-0.15430000000003399</v>
      </c>
      <c r="AF1806">
        <v>-0.76603534386667405</v>
      </c>
      <c r="AG1806">
        <v>-1.1093008618239999</v>
      </c>
      <c r="AH1806">
        <v>24.964048788075701</v>
      </c>
      <c r="AI1806">
        <v>92.543122363553394</v>
      </c>
      <c r="AJ1806">
        <v>91.757600479075606</v>
      </c>
      <c r="AK1806">
        <v>25.000421805312001</v>
      </c>
      <c r="AL1806">
        <v>78.602089051252904</v>
      </c>
      <c r="AM1806">
        <v>90.231287567149096</v>
      </c>
      <c r="AN1806">
        <v>1.0000000063032199</v>
      </c>
    </row>
    <row r="1807" spans="1:40" x14ac:dyDescent="0.25">
      <c r="A1807" t="str">
        <f>"20190312172404661"</f>
        <v>20190312172404661</v>
      </c>
      <c r="B1807" t="str">
        <f>"1552382644652000"</f>
        <v>1552382644652000</v>
      </c>
      <c r="C1807" t="s">
        <v>40</v>
      </c>
      <c r="D1807">
        <v>3.7441080000000002</v>
      </c>
      <c r="E1807">
        <v>0.49015890000000001</v>
      </c>
      <c r="F1807" t="s">
        <v>47</v>
      </c>
      <c r="G1807">
        <v>-265.05829999999997</v>
      </c>
      <c r="H1807" s="1">
        <v>1.1550130000000001E-6</v>
      </c>
      <c r="I1807">
        <v>282.11709999999999</v>
      </c>
      <c r="J1807">
        <v>-240.2268</v>
      </c>
      <c r="K1807">
        <v>1.109275</v>
      </c>
      <c r="L1807">
        <v>282.28550000000001</v>
      </c>
      <c r="M1807">
        <v>-0.9997045</v>
      </c>
      <c r="N1807">
        <v>0</v>
      </c>
      <c r="O1807">
        <v>2.4227430000000001E-2</v>
      </c>
      <c r="P1807">
        <v>-0.98054609999999998</v>
      </c>
      <c r="Q1807">
        <v>0.19530020000000001</v>
      </c>
      <c r="R1807">
        <v>1.9678109999999999E-2</v>
      </c>
      <c r="S1807">
        <v>-3.0872959999999998</v>
      </c>
      <c r="T1807">
        <v>-0.136683</v>
      </c>
      <c r="U1807">
        <v>-2.011108E-2</v>
      </c>
      <c r="V1807">
        <v>-4.1551189999999997E-3</v>
      </c>
      <c r="W1807">
        <v>0.19728219999999999</v>
      </c>
      <c r="X1807">
        <v>0.98033789999999998</v>
      </c>
      <c r="Y1807">
        <v>-3.0685270000000001E-2</v>
      </c>
      <c r="Z1807">
        <v>-1.7509429999999901E-3</v>
      </c>
      <c r="AA1807">
        <v>0.99952759999999996</v>
      </c>
      <c r="AB1807">
        <v>22</v>
      </c>
      <c r="AC1807">
        <v>-24.831499999999899</v>
      </c>
      <c r="AD1807">
        <v>-1.1092738449869901</v>
      </c>
      <c r="AE1807">
        <v>-0.16840000000001901</v>
      </c>
      <c r="AF1807">
        <v>-0.76842179886361806</v>
      </c>
      <c r="AG1807">
        <v>-1.1092738449869901</v>
      </c>
      <c r="AH1807">
        <v>24.7707014149813</v>
      </c>
      <c r="AI1807">
        <v>92.562857470295896</v>
      </c>
      <c r="AJ1807">
        <v>91.776825390410593</v>
      </c>
      <c r="AK1807">
        <v>24.807430522210399</v>
      </c>
      <c r="AL1807">
        <v>78.621925294365198</v>
      </c>
      <c r="AM1807">
        <v>90.242844183094107</v>
      </c>
      <c r="AN1807">
        <v>0.999999964813576</v>
      </c>
    </row>
    <row r="1808" spans="1:40" x14ac:dyDescent="0.25">
      <c r="A1808" t="str">
        <f>"20190312172404684"</f>
        <v>20190312172404684</v>
      </c>
      <c r="B1808" t="str">
        <f>"1552382644671520"</f>
        <v>1552382644671520</v>
      </c>
      <c r="C1808" t="s">
        <v>40</v>
      </c>
      <c r="D1808">
        <v>3.7786629999999999</v>
      </c>
      <c r="E1808">
        <v>0.4901585</v>
      </c>
      <c r="F1808" t="s">
        <v>47</v>
      </c>
      <c r="G1808">
        <v>-265.30250000000001</v>
      </c>
      <c r="H1808" s="1">
        <v>1.284915E-6</v>
      </c>
      <c r="I1808">
        <v>282.10629999999998</v>
      </c>
      <c r="J1808">
        <v>-240.45679999999999</v>
      </c>
      <c r="K1808">
        <v>1.109248</v>
      </c>
      <c r="L1808">
        <v>282.29079999999999</v>
      </c>
      <c r="M1808">
        <v>-0.99971169999999998</v>
      </c>
      <c r="N1808">
        <v>0</v>
      </c>
      <c r="O1808">
        <v>2.3940969999999999E-2</v>
      </c>
      <c r="P1808">
        <v>-0.98059070000000004</v>
      </c>
      <c r="Q1808">
        <v>0.19512640000000001</v>
      </c>
      <c r="R1808">
        <v>1.91787E-2</v>
      </c>
      <c r="S1808">
        <v>-3.0871580000000001</v>
      </c>
      <c r="T1808">
        <v>-0.13656689999999999</v>
      </c>
      <c r="U1808">
        <v>-2.2064210000000001E-2</v>
      </c>
      <c r="V1808">
        <v>-4.3751270000000004E-3</v>
      </c>
      <c r="W1808">
        <v>0.1969475</v>
      </c>
      <c r="X1808">
        <v>0.98040430000000001</v>
      </c>
      <c r="Y1808">
        <v>-3.103152E-2</v>
      </c>
      <c r="Z1808">
        <v>-1.7445239999999999E-3</v>
      </c>
      <c r="AA1808">
        <v>0.99951690000000004</v>
      </c>
      <c r="AB1808">
        <v>22</v>
      </c>
      <c r="AC1808">
        <v>-24.845700000000001</v>
      </c>
      <c r="AD1808">
        <v>-1.1092467150850001</v>
      </c>
      <c r="AE1808">
        <v>-0.18450000000001399</v>
      </c>
      <c r="AF1808">
        <v>-0.77772817818159801</v>
      </c>
      <c r="AG1808">
        <v>-1.1092467150850001</v>
      </c>
      <c r="AH1808">
        <v>24.784762832867301</v>
      </c>
      <c r="AI1808">
        <v>92.561314296323204</v>
      </c>
      <c r="AJ1808">
        <v>91.797310932430094</v>
      </c>
      <c r="AK1808">
        <v>24.821759769918501</v>
      </c>
      <c r="AL1808">
        <v>78.641486663237004</v>
      </c>
      <c r="AM1808">
        <v>90.255684973960896</v>
      </c>
      <c r="AN1808">
        <v>1.0000000254754999</v>
      </c>
    </row>
    <row r="1809" spans="1:40" x14ac:dyDescent="0.25">
      <c r="A1809" t="str">
        <f>"20190312172404705"</f>
        <v>20190312172404705</v>
      </c>
      <c r="B1809" t="str">
        <f>"1552382644701777"</f>
        <v>1552382644701777</v>
      </c>
      <c r="C1809" t="s">
        <v>40</v>
      </c>
      <c r="D1809">
        <v>3.7526769999999998</v>
      </c>
      <c r="E1809">
        <v>0.49009589999999997</v>
      </c>
      <c r="F1809" t="s">
        <v>47</v>
      </c>
      <c r="G1809">
        <v>-265.50290000000001</v>
      </c>
      <c r="H1809" s="1">
        <v>1.3915809999999901E-6</v>
      </c>
      <c r="I1809">
        <v>282.10109999999997</v>
      </c>
      <c r="J1809">
        <v>-240.67859999999999</v>
      </c>
      <c r="K1809">
        <v>1.1092249999999999</v>
      </c>
      <c r="L1809">
        <v>282.29579999999999</v>
      </c>
      <c r="M1809">
        <v>-0.99971860000000001</v>
      </c>
      <c r="N1809">
        <v>0</v>
      </c>
      <c r="O1809">
        <v>2.3665169999999999E-2</v>
      </c>
      <c r="P1809">
        <v>-0.98068900000000003</v>
      </c>
      <c r="Q1809">
        <v>0.19470309999999999</v>
      </c>
      <c r="R1809">
        <v>1.844908E-2</v>
      </c>
      <c r="S1809">
        <v>-3.0870669999999998</v>
      </c>
      <c r="T1809">
        <v>-0.13672089999999901</v>
      </c>
      <c r="U1809">
        <v>-2.3376460000000002E-2</v>
      </c>
      <c r="V1809">
        <v>-4.8371120000000002E-3</v>
      </c>
      <c r="W1809">
        <v>0.19637199999999999</v>
      </c>
      <c r="X1809">
        <v>0.98051759999999999</v>
      </c>
      <c r="Y1809">
        <v>-3.1180820000000001E-2</v>
      </c>
      <c r="Z1809">
        <v>-1.737637E-3</v>
      </c>
      <c r="AA1809">
        <v>0.99951230000000002</v>
      </c>
      <c r="AB1809">
        <v>23</v>
      </c>
      <c r="AC1809">
        <v>-24.824300000000001</v>
      </c>
      <c r="AD1809">
        <v>-1.1092236084189999</v>
      </c>
      <c r="AE1809">
        <v>-0.194700000000011</v>
      </c>
      <c r="AF1809">
        <v>-0.78055919536159502</v>
      </c>
      <c r="AG1809">
        <v>-1.1092236084189999</v>
      </c>
      <c r="AH1809">
        <v>24.763301505867101</v>
      </c>
      <c r="AI1809">
        <v>92.563466408805596</v>
      </c>
      <c r="AJ1809">
        <v>91.805411316925003</v>
      </c>
      <c r="AK1809">
        <v>24.800418366257801</v>
      </c>
      <c r="AL1809">
        <v>78.675117545351597</v>
      </c>
      <c r="AM1809">
        <v>90.282650565774603</v>
      </c>
      <c r="AN1809">
        <v>1.00000006197312</v>
      </c>
    </row>
    <row r="1810" spans="1:40" x14ac:dyDescent="0.25">
      <c r="A1810" t="str">
        <f>"20190312172404727"</f>
        <v>20190312172404727</v>
      </c>
      <c r="B1810" t="str">
        <f>"1552382644722273"</f>
        <v>1552382644722273</v>
      </c>
      <c r="C1810" t="s">
        <v>40</v>
      </c>
      <c r="D1810">
        <v>3.7752479999999999</v>
      </c>
      <c r="E1810">
        <v>0.49008109999999999</v>
      </c>
      <c r="F1810" t="s">
        <v>47</v>
      </c>
      <c r="G1810">
        <v>-265.79969999999997</v>
      </c>
      <c r="H1810" s="1">
        <v>1.549539E-6</v>
      </c>
      <c r="I1810">
        <v>282.08139999999997</v>
      </c>
      <c r="J1810">
        <v>-240.90309999999999</v>
      </c>
      <c r="K1810">
        <v>1.1092010000000001</v>
      </c>
      <c r="L1810">
        <v>282.30079999999998</v>
      </c>
      <c r="M1810">
        <v>-0.99972550000000004</v>
      </c>
      <c r="N1810">
        <v>0</v>
      </c>
      <c r="O1810">
        <v>2.3386899999999999E-2</v>
      </c>
      <c r="P1810">
        <v>-0.98065009999999997</v>
      </c>
      <c r="Q1810">
        <v>0.1949545</v>
      </c>
      <c r="R1810">
        <v>1.7843350000000001E-2</v>
      </c>
      <c r="S1810">
        <v>-3.0865939999999998</v>
      </c>
      <c r="T1810">
        <v>-0.13628879999999999</v>
      </c>
      <c r="U1810">
        <v>-2.633667E-2</v>
      </c>
      <c r="V1810">
        <v>-5.1703629999999999E-3</v>
      </c>
      <c r="W1810">
        <v>0.19647580000000001</v>
      </c>
      <c r="X1810">
        <v>0.98049500000000001</v>
      </c>
      <c r="Y1810">
        <v>-3.1862210000000002E-2</v>
      </c>
      <c r="Z1810">
        <v>-1.7351689999999999E-3</v>
      </c>
      <c r="AA1810">
        <v>0.99949069999999995</v>
      </c>
      <c r="AB1810">
        <v>23</v>
      </c>
      <c r="AC1810">
        <v>-24.8965999999999</v>
      </c>
      <c r="AD1810">
        <v>-1.1091994504610001</v>
      </c>
      <c r="AE1810">
        <v>-0.21940000000000701</v>
      </c>
      <c r="AF1810">
        <v>-0.80000704905064401</v>
      </c>
      <c r="AG1810">
        <v>-1.1091994504610001</v>
      </c>
      <c r="AH1810">
        <v>24.835367444618999</v>
      </c>
      <c r="AI1810">
        <v>92.555925965251106</v>
      </c>
      <c r="AJ1810">
        <v>91.844997194223794</v>
      </c>
      <c r="AK1810">
        <v>24.872993603679301</v>
      </c>
      <c r="AL1810">
        <v>78.669050898821993</v>
      </c>
      <c r="AM1810">
        <v>90.302130283852506</v>
      </c>
      <c r="AN1810">
        <v>0.99999995883209503</v>
      </c>
    </row>
    <row r="1811" spans="1:40" x14ac:dyDescent="0.25">
      <c r="A1811" t="str">
        <f>"20190312172404749"</f>
        <v>20190312172404749</v>
      </c>
      <c r="B1811" t="str">
        <f>"1552382644741793"</f>
        <v>1552382644741793</v>
      </c>
      <c r="C1811" t="s">
        <v>40</v>
      </c>
      <c r="D1811">
        <v>3.7387959999999998</v>
      </c>
      <c r="E1811">
        <v>0.49005979999999999</v>
      </c>
      <c r="F1811" t="s">
        <v>47</v>
      </c>
      <c r="G1811">
        <v>-266.25459999999998</v>
      </c>
      <c r="H1811" s="1">
        <v>1.791612E-6</v>
      </c>
      <c r="I1811">
        <v>282.07139999999998</v>
      </c>
      <c r="J1811">
        <v>-241.1344</v>
      </c>
      <c r="K1811">
        <v>1.1091770000000001</v>
      </c>
      <c r="L1811">
        <v>282.30590000000001</v>
      </c>
      <c r="M1811">
        <v>-0.99973219999999996</v>
      </c>
      <c r="N1811">
        <v>0</v>
      </c>
      <c r="O1811">
        <v>2.310129E-2</v>
      </c>
      <c r="P1811">
        <v>-0.98055829999999999</v>
      </c>
      <c r="Q1811">
        <v>0.195433</v>
      </c>
      <c r="R1811">
        <v>1.765098E-2</v>
      </c>
      <c r="S1811">
        <v>-3.0865330000000002</v>
      </c>
      <c r="T1811">
        <v>-0.13504430000000001</v>
      </c>
      <c r="U1811">
        <v>-2.792358E-2</v>
      </c>
      <c r="V1811">
        <v>-5.0816510000000004E-3</v>
      </c>
      <c r="W1811">
        <v>0.1968096</v>
      </c>
      <c r="X1811">
        <v>0.98042859999999998</v>
      </c>
      <c r="Y1811">
        <v>-3.2091700000000001E-2</v>
      </c>
      <c r="Z1811">
        <v>-1.711902E-3</v>
      </c>
      <c r="AA1811">
        <v>0.99948349999999997</v>
      </c>
      <c r="AB1811">
        <v>23</v>
      </c>
      <c r="AC1811">
        <v>-25.120199999999901</v>
      </c>
      <c r="AD1811">
        <v>-1.109175208388</v>
      </c>
      <c r="AE1811">
        <v>-0.23450000000002499</v>
      </c>
      <c r="AF1811">
        <v>-0.81316174971803701</v>
      </c>
      <c r="AG1811">
        <v>-1.109175208388</v>
      </c>
      <c r="AH1811">
        <v>25.0592267125886</v>
      </c>
      <c r="AI1811">
        <v>92.533048554422294</v>
      </c>
      <c r="AJ1811">
        <v>91.858572660663498</v>
      </c>
      <c r="AK1811">
        <v>25.096938958905302</v>
      </c>
      <c r="AL1811">
        <v>78.649545654937299</v>
      </c>
      <c r="AM1811">
        <v>90.296966600161198</v>
      </c>
      <c r="AN1811">
        <v>1.0000000407634999</v>
      </c>
    </row>
    <row r="1812" spans="1:40" x14ac:dyDescent="0.25">
      <c r="A1812" t="str">
        <f>"20190312172404782"</f>
        <v>20190312172404782</v>
      </c>
      <c r="B1812" t="str">
        <f>"1552382644772048"</f>
        <v>1552382644772048</v>
      </c>
      <c r="C1812" t="s">
        <v>40</v>
      </c>
      <c r="D1812">
        <v>3.7620330000000002</v>
      </c>
      <c r="E1812">
        <v>0.49002129999999999</v>
      </c>
      <c r="F1812" t="s">
        <v>47</v>
      </c>
      <c r="G1812">
        <v>-266.93</v>
      </c>
      <c r="H1812" s="1">
        <v>2.1509999999999998E-6</v>
      </c>
      <c r="I1812">
        <v>282.06920000000002</v>
      </c>
      <c r="J1812">
        <v>-241.4881</v>
      </c>
      <c r="K1812">
        <v>1.109146</v>
      </c>
      <c r="L1812">
        <v>282.31360000000001</v>
      </c>
      <c r="M1812">
        <v>-0.99974249999999998</v>
      </c>
      <c r="N1812">
        <v>0</v>
      </c>
      <c r="O1812">
        <v>2.2665339999999999E-2</v>
      </c>
      <c r="P1812">
        <v>-0.98050729999999997</v>
      </c>
      <c r="Q1812">
        <v>0.1957689</v>
      </c>
      <c r="R1812">
        <v>1.674171E-2</v>
      </c>
      <c r="S1812">
        <v>-3.0864560000000001</v>
      </c>
      <c r="T1812">
        <v>-0.13271369999999999</v>
      </c>
      <c r="U1812">
        <v>-2.8320310000000001E-2</v>
      </c>
      <c r="V1812">
        <v>-5.563971E-3</v>
      </c>
      <c r="W1812">
        <v>0.19693720000000001</v>
      </c>
      <c r="X1812">
        <v>0.9804003</v>
      </c>
      <c r="Y1812">
        <v>-3.1787019999999999E-2</v>
      </c>
      <c r="Z1812">
        <v>-1.6571439999999999E-3</v>
      </c>
      <c r="AA1812">
        <v>0.99949330000000003</v>
      </c>
      <c r="AB1812">
        <v>23</v>
      </c>
      <c r="AC1812">
        <v>-25.4419</v>
      </c>
      <c r="AD1812">
        <v>-1.1091438490000001</v>
      </c>
      <c r="AE1812">
        <v>-0.24439999999998399</v>
      </c>
      <c r="AF1812">
        <v>-0.81942966601412104</v>
      </c>
      <c r="AG1812">
        <v>-1.1091438490000001</v>
      </c>
      <c r="AH1812">
        <v>25.381590525195801</v>
      </c>
      <c r="AI1812">
        <v>92.500860911973703</v>
      </c>
      <c r="AJ1812">
        <v>91.849118160447603</v>
      </c>
      <c r="AK1812">
        <v>25.419024423530299</v>
      </c>
      <c r="AL1812">
        <v>78.642088114116405</v>
      </c>
      <c r="AM1812">
        <v>90.325161705024897</v>
      </c>
      <c r="AN1812">
        <v>0.99999998337860896</v>
      </c>
    </row>
    <row r="1813" spans="1:40" x14ac:dyDescent="0.25">
      <c r="A1813" t="str">
        <f>"20190312172404804"</f>
        <v>20190312172404804</v>
      </c>
      <c r="B1813" t="str">
        <f>"1552382644791568"</f>
        <v>1552382644791568</v>
      </c>
      <c r="C1813" t="s">
        <v>40</v>
      </c>
      <c r="D1813">
        <v>3.8028550000000001</v>
      </c>
      <c r="E1813">
        <v>0.48998009999999997</v>
      </c>
      <c r="F1813" t="s">
        <v>47</v>
      </c>
      <c r="G1813">
        <v>-267.7629</v>
      </c>
      <c r="H1813" s="1">
        <v>2.5942660000000002E-6</v>
      </c>
      <c r="I1813">
        <v>282.05169999999998</v>
      </c>
      <c r="J1813">
        <v>-241.71780000000001</v>
      </c>
      <c r="K1813">
        <v>1.109127</v>
      </c>
      <c r="L1813">
        <v>282.31849999999997</v>
      </c>
      <c r="M1813">
        <v>-0.99974890000000005</v>
      </c>
      <c r="N1813">
        <v>0</v>
      </c>
      <c r="O1813">
        <v>2.2383440000000001E-2</v>
      </c>
      <c r="P1813">
        <v>-0.98047379999999995</v>
      </c>
      <c r="Q1813">
        <v>0.19596050000000001</v>
      </c>
      <c r="R1813">
        <v>1.6458199999999999E-2</v>
      </c>
      <c r="S1813">
        <v>-3.0861969999999999</v>
      </c>
      <c r="T1813">
        <v>-0.13027810000000001</v>
      </c>
      <c r="U1813">
        <v>-3.0761719999999999E-2</v>
      </c>
      <c r="V1813">
        <v>-5.5718419999999996E-3</v>
      </c>
      <c r="W1813">
        <v>0.19700309999999999</v>
      </c>
      <c r="X1813">
        <v>0.98038700000000001</v>
      </c>
      <c r="Y1813">
        <v>-3.2298180000000003E-2</v>
      </c>
      <c r="Z1813">
        <v>-1.62578299999999E-3</v>
      </c>
      <c r="AA1813">
        <v>0.99947699999999995</v>
      </c>
      <c r="AB1813">
        <v>24</v>
      </c>
      <c r="AC1813">
        <v>-26.045099999999898</v>
      </c>
      <c r="AD1813">
        <v>-1.109124405734</v>
      </c>
      <c r="AE1813">
        <v>-0.26679999999998899</v>
      </c>
      <c r="AF1813">
        <v>-0.84817444413558296</v>
      </c>
      <c r="AG1813">
        <v>-1.109124405734</v>
      </c>
      <c r="AH1813">
        <v>25.985483989178</v>
      </c>
      <c r="AI1813">
        <v>92.442742100043802</v>
      </c>
      <c r="AJ1813">
        <v>91.869488703435593</v>
      </c>
      <c r="AK1813">
        <v>26.022969372977201</v>
      </c>
      <c r="AL1813">
        <v>78.638236700824393</v>
      </c>
      <c r="AM1813">
        <v>90.325626098262404</v>
      </c>
      <c r="AN1813">
        <v>0.99999996830093996</v>
      </c>
    </row>
    <row r="1814" spans="1:40" x14ac:dyDescent="0.25">
      <c r="A1814" t="str">
        <f>"20190312172404825"</f>
        <v>20190312172404825</v>
      </c>
      <c r="B1814" t="str">
        <f>"1552382644821824"</f>
        <v>1552382644821824</v>
      </c>
      <c r="C1814" t="s">
        <v>40</v>
      </c>
      <c r="D1814">
        <v>3.7849149999999998</v>
      </c>
      <c r="E1814">
        <v>0.48998989999999998</v>
      </c>
      <c r="F1814" t="s">
        <v>47</v>
      </c>
      <c r="G1814">
        <v>-268.20229999999998</v>
      </c>
      <c r="H1814" s="1">
        <v>2.8280849999999999E-6</v>
      </c>
      <c r="I1814">
        <v>282.04689999999999</v>
      </c>
      <c r="J1814">
        <v>-241.9469</v>
      </c>
      <c r="K1814">
        <v>1.1091120000000001</v>
      </c>
      <c r="L1814">
        <v>282.32330000000002</v>
      </c>
      <c r="M1814">
        <v>-0.99975530000000001</v>
      </c>
      <c r="N1814">
        <v>0</v>
      </c>
      <c r="O1814">
        <v>2.2102790000000001E-2</v>
      </c>
      <c r="P1814">
        <v>-0.98039949999999998</v>
      </c>
      <c r="Q1814">
        <v>0.19638269999999999</v>
      </c>
      <c r="R1814">
        <v>1.583911E-2</v>
      </c>
      <c r="S1814">
        <v>-3.0861209999999999</v>
      </c>
      <c r="T1814">
        <v>-0.12924089999999999</v>
      </c>
      <c r="U1814">
        <v>-3.1646729999999998E-2</v>
      </c>
      <c r="V1814">
        <v>-5.9155419999999898E-3</v>
      </c>
      <c r="W1814">
        <v>0.1973075</v>
      </c>
      <c r="X1814">
        <v>0.98032379999999997</v>
      </c>
      <c r="Y1814">
        <v>-3.2305449999999999E-2</v>
      </c>
      <c r="Z1814">
        <v>-1.6012940000000001E-3</v>
      </c>
      <c r="AA1814">
        <v>0.9994767</v>
      </c>
      <c r="AB1814">
        <v>24</v>
      </c>
      <c r="AC1814">
        <v>-26.255399999999899</v>
      </c>
      <c r="AD1814">
        <v>-1.1091091719149999</v>
      </c>
      <c r="AE1814">
        <v>-0.27640000000002302</v>
      </c>
      <c r="AF1814">
        <v>-0.85512452084608404</v>
      </c>
      <c r="AG1814">
        <v>-1.1091091719149999</v>
      </c>
      <c r="AH1814">
        <v>26.196135418955301</v>
      </c>
      <c r="AI1814">
        <v>92.423089278600102</v>
      </c>
      <c r="AJ1814">
        <v>91.8696511413781</v>
      </c>
      <c r="AK1814">
        <v>26.2335447850576</v>
      </c>
      <c r="AL1814">
        <v>78.620447030010595</v>
      </c>
      <c r="AM1814">
        <v>90.345734211896399</v>
      </c>
      <c r="AN1814">
        <v>0.99999999801992101</v>
      </c>
    </row>
    <row r="1815" spans="1:40" x14ac:dyDescent="0.25">
      <c r="A1815" t="str">
        <f>"20190312172404850"</f>
        <v>20190312172404850</v>
      </c>
      <c r="B1815" t="str">
        <f>"1552382644842322"</f>
        <v>1552382644842322</v>
      </c>
      <c r="C1815" t="s">
        <v>40</v>
      </c>
      <c r="D1815">
        <v>3.8499180000000002</v>
      </c>
      <c r="E1815">
        <v>0.49005929999999998</v>
      </c>
      <c r="F1815" t="s">
        <v>47</v>
      </c>
      <c r="G1815">
        <v>-268.79300000000001</v>
      </c>
      <c r="H1815" s="1">
        <v>3.1423899999999999E-6</v>
      </c>
      <c r="I1815">
        <v>282.03500000000003</v>
      </c>
      <c r="J1815">
        <v>-242.2158</v>
      </c>
      <c r="K1815">
        <v>1.1090930000000001</v>
      </c>
      <c r="L1815">
        <v>282.32889999999998</v>
      </c>
      <c r="M1815">
        <v>-0.9997627</v>
      </c>
      <c r="N1815">
        <v>0</v>
      </c>
      <c r="O1815">
        <v>2.1773730000000002E-2</v>
      </c>
      <c r="P1815">
        <v>-0.9804119</v>
      </c>
      <c r="Q1815">
        <v>0.19634499999999999</v>
      </c>
      <c r="R1815">
        <v>1.5536329999999999E-2</v>
      </c>
      <c r="S1815">
        <v>-3.0860599999999998</v>
      </c>
      <c r="T1815">
        <v>-0.12749649999999901</v>
      </c>
      <c r="U1815">
        <v>-3.3142089999999999E-2</v>
      </c>
      <c r="V1815">
        <v>-5.8970419999999999E-3</v>
      </c>
      <c r="W1815">
        <v>0.1971434</v>
      </c>
      <c r="X1815">
        <v>0.98035689999999998</v>
      </c>
      <c r="Y1815">
        <v>-3.2462339999999999E-2</v>
      </c>
      <c r="Z1815">
        <v>-1.5693809999999999E-3</v>
      </c>
      <c r="AA1815">
        <v>0.99947169999999996</v>
      </c>
      <c r="AB1815">
        <v>24</v>
      </c>
      <c r="AC1815">
        <v>-26.577200000000001</v>
      </c>
      <c r="AD1815">
        <v>-1.1090898576099999</v>
      </c>
      <c r="AE1815">
        <v>-0.29389999999995098</v>
      </c>
      <c r="AF1815">
        <v>-0.87099860104062898</v>
      </c>
      <c r="AG1815">
        <v>-1.1090898576099999</v>
      </c>
      <c r="AH1815">
        <v>26.518324770246601</v>
      </c>
      <c r="AI1815">
        <v>92.393626522678403</v>
      </c>
      <c r="AJ1815">
        <v>91.881212712041801</v>
      </c>
      <c r="AK1815">
        <v>26.555795365523199</v>
      </c>
      <c r="AL1815">
        <v>78.630037360230403</v>
      </c>
      <c r="AM1815">
        <v>90.344641368081994</v>
      </c>
      <c r="AN1815">
        <v>0.99999997332275903</v>
      </c>
    </row>
    <row r="1816" spans="1:40" x14ac:dyDescent="0.25">
      <c r="A1816" t="str">
        <f>"20190312172404871"</f>
        <v>20190312172404871</v>
      </c>
      <c r="B1816" t="str">
        <f>"1552382644861844"</f>
        <v>1552382644861844</v>
      </c>
      <c r="C1816" t="s">
        <v>40</v>
      </c>
      <c r="D1816">
        <v>3.8460510000000001</v>
      </c>
      <c r="E1816">
        <v>0.5107526</v>
      </c>
      <c r="F1816" t="s">
        <v>47</v>
      </c>
      <c r="G1816">
        <v>-268.98559999999998</v>
      </c>
      <c r="H1816" s="1">
        <v>3.2448740000000002E-6</v>
      </c>
      <c r="I1816">
        <v>282.04140000000001</v>
      </c>
      <c r="J1816">
        <v>-242.452</v>
      </c>
      <c r="K1816">
        <v>1.109073</v>
      </c>
      <c r="L1816">
        <v>282.33370000000002</v>
      </c>
      <c r="M1816">
        <v>-0.99976889999999996</v>
      </c>
      <c r="N1816">
        <v>0</v>
      </c>
      <c r="O1816">
        <v>2.1485839999999999E-2</v>
      </c>
      <c r="P1816">
        <v>-0.98042910000000005</v>
      </c>
      <c r="Q1816">
        <v>0.1962663</v>
      </c>
      <c r="R1816">
        <v>1.544822E-2</v>
      </c>
      <c r="S1816">
        <v>-3.0860750000000001</v>
      </c>
      <c r="T1816">
        <v>-0.12785839999999901</v>
      </c>
      <c r="U1816">
        <v>-3.3142089999999999E-2</v>
      </c>
      <c r="V1816">
        <v>-5.7046529999999996E-3</v>
      </c>
      <c r="W1816">
        <v>0.1969648</v>
      </c>
      <c r="X1816">
        <v>0.98039390000000004</v>
      </c>
      <c r="Y1816">
        <v>-3.2174710000000002E-2</v>
      </c>
      <c r="Z1816">
        <v>-1.5559479999999999E-3</v>
      </c>
      <c r="AA1816">
        <v>0.99948099999999995</v>
      </c>
      <c r="AB1816">
        <v>24</v>
      </c>
      <c r="AC1816">
        <v>-26.5335999999999</v>
      </c>
      <c r="AD1816">
        <v>-1.109069755126</v>
      </c>
      <c r="AE1816">
        <v>-0.292300000000011</v>
      </c>
      <c r="AF1816">
        <v>-0.86082555937522598</v>
      </c>
      <c r="AG1816">
        <v>-1.109069755126</v>
      </c>
      <c r="AH1816">
        <v>26.4749449007446</v>
      </c>
      <c r="AI1816">
        <v>92.397526394169205</v>
      </c>
      <c r="AJ1816">
        <v>91.862300434352903</v>
      </c>
      <c r="AK1816">
        <v>26.512143705533799</v>
      </c>
      <c r="AL1816">
        <v>78.640474628101401</v>
      </c>
      <c r="AM1816">
        <v>90.333385236013896</v>
      </c>
      <c r="AN1816">
        <v>0.99999993733104797</v>
      </c>
    </row>
    <row r="1817" spans="1:40" x14ac:dyDescent="0.25">
      <c r="A1817" t="str">
        <f>"20190312172404895"</f>
        <v>20190312172404895</v>
      </c>
      <c r="B1817" t="str">
        <f>"1552382644892097"</f>
        <v>1552382644892097</v>
      </c>
      <c r="C1817" t="s">
        <v>40</v>
      </c>
      <c r="D1817">
        <v>3.8522419999999999</v>
      </c>
      <c r="E1817">
        <v>0.51181030000000005</v>
      </c>
      <c r="F1817" t="s">
        <v>47</v>
      </c>
      <c r="G1817">
        <v>-272.78730000000002</v>
      </c>
      <c r="H1817" s="1">
        <v>-1.051048E-8</v>
      </c>
      <c r="I1817">
        <v>283.63200000000001</v>
      </c>
      <c r="J1817">
        <v>-242.71039999999999</v>
      </c>
      <c r="K1817">
        <v>1.109062</v>
      </c>
      <c r="L1817">
        <v>282.33890000000002</v>
      </c>
      <c r="M1817">
        <v>-0.99977570000000004</v>
      </c>
      <c r="N1817">
        <v>0</v>
      </c>
      <c r="O1817">
        <v>2.1170640000000001E-2</v>
      </c>
      <c r="P1817">
        <v>-0.98031559999999995</v>
      </c>
      <c r="Q1817">
        <v>0.19681509999999999</v>
      </c>
      <c r="R1817">
        <v>1.5662220000000001E-2</v>
      </c>
      <c r="S1817">
        <v>-3.0803530000000001</v>
      </c>
      <c r="T1817">
        <v>-0.1126192</v>
      </c>
      <c r="U1817">
        <v>0.13183590000000001</v>
      </c>
      <c r="V1817">
        <v>-5.180586E-3</v>
      </c>
      <c r="W1817">
        <v>0.19741500000000001</v>
      </c>
      <c r="X1817">
        <v>0.98030629999999996</v>
      </c>
      <c r="Y1817">
        <v>2.1598679999999999E-2</v>
      </c>
      <c r="Z1817">
        <v>-3.78749E-4</v>
      </c>
      <c r="AA1817">
        <v>0.99976659999999995</v>
      </c>
      <c r="AB1817">
        <v>24</v>
      </c>
      <c r="AC1817">
        <v>-30.076899999999998</v>
      </c>
      <c r="AD1817">
        <v>-1.10906201051048</v>
      </c>
      <c r="AE1817">
        <v>1.2930999999999799</v>
      </c>
      <c r="AF1817">
        <v>0.65517365051171494</v>
      </c>
      <c r="AG1817">
        <v>-1.10906201051048</v>
      </c>
      <c r="AH1817">
        <v>30.056741851262998</v>
      </c>
      <c r="AI1817">
        <v>92.112693594572605</v>
      </c>
      <c r="AJ1817">
        <v>88.751270466249196</v>
      </c>
      <c r="AK1817">
        <v>30.0843314994524</v>
      </c>
      <c r="AL1817">
        <v>78.614163961356695</v>
      </c>
      <c r="AM1817">
        <v>90.302785925212604</v>
      </c>
      <c r="AN1817">
        <v>0.99999998125799605</v>
      </c>
    </row>
    <row r="1818" spans="1:40" x14ac:dyDescent="0.25">
      <c r="A1818" t="str">
        <f>"20190312172404918"</f>
        <v>20190312172404918</v>
      </c>
      <c r="B1818" t="str">
        <f>"1552382644911616"</f>
        <v>1552382644911616</v>
      </c>
      <c r="C1818" t="s">
        <v>40</v>
      </c>
      <c r="D1818">
        <v>3.847912</v>
      </c>
      <c r="E1818">
        <v>0.51230290000000001</v>
      </c>
      <c r="F1818" t="s">
        <v>47</v>
      </c>
      <c r="G1818">
        <v>-273.74590000000001</v>
      </c>
      <c r="H1818" s="1">
        <v>4.9433630000000004E-7</v>
      </c>
      <c r="I1818">
        <v>283.75310000000002</v>
      </c>
      <c r="J1818">
        <v>-242.96510000000001</v>
      </c>
      <c r="K1818">
        <v>1.109048</v>
      </c>
      <c r="L1818">
        <v>282.34410000000003</v>
      </c>
      <c r="M1818">
        <v>-0.99978239999999996</v>
      </c>
      <c r="N1818">
        <v>0</v>
      </c>
      <c r="O1818">
        <v>2.0860980000000001E-2</v>
      </c>
      <c r="P1818">
        <v>-0.98028610000000005</v>
      </c>
      <c r="Q1818">
        <v>0.19697519999999999</v>
      </c>
      <c r="R1818">
        <v>1.5504810000000001E-2</v>
      </c>
      <c r="S1818">
        <v>-3.0800930000000002</v>
      </c>
      <c r="T1818">
        <v>-0.110068</v>
      </c>
      <c r="U1818">
        <v>0.14035029999999901</v>
      </c>
      <c r="V1818">
        <v>-5.0351349999999996E-3</v>
      </c>
      <c r="W1818">
        <v>0.19748740000000001</v>
      </c>
      <c r="X1818">
        <v>0.98029250000000001</v>
      </c>
      <c r="Y1818">
        <v>2.4667990000000001E-2</v>
      </c>
      <c r="Z1818">
        <v>-3.0432979999999999E-4</v>
      </c>
      <c r="AA1818">
        <v>0.99969569999999996</v>
      </c>
      <c r="AB1818">
        <v>25</v>
      </c>
      <c r="AC1818">
        <v>-30.780799999999999</v>
      </c>
      <c r="AD1818">
        <v>-1.1090475056636999</v>
      </c>
      <c r="AE1818">
        <v>1.40899999999999</v>
      </c>
      <c r="AF1818">
        <v>0.76558393741977904</v>
      </c>
      <c r="AG1818">
        <v>-1.1090475056636999</v>
      </c>
      <c r="AH1818">
        <v>30.763641042107299</v>
      </c>
      <c r="AI1818">
        <v>92.064014221520907</v>
      </c>
      <c r="AJ1818">
        <v>88.574431535943503</v>
      </c>
      <c r="AK1818">
        <v>30.793143965868101</v>
      </c>
      <c r="AL1818">
        <v>78.609932721216396</v>
      </c>
      <c r="AM1818">
        <v>90.294289151249998</v>
      </c>
      <c r="AN1818">
        <v>1.00000000564973</v>
      </c>
    </row>
    <row r="1819" spans="1:40" x14ac:dyDescent="0.25">
      <c r="A1819" t="str">
        <f>"20190312172404939"</f>
        <v>20190312172404939</v>
      </c>
      <c r="B1819" t="str">
        <f>"1552382644932114"</f>
        <v>1552382644932114</v>
      </c>
      <c r="C1819" t="s">
        <v>40</v>
      </c>
      <c r="D1819">
        <v>3.8416100000000002</v>
      </c>
      <c r="E1819">
        <v>0.51253389999999999</v>
      </c>
      <c r="F1819" t="s">
        <v>47</v>
      </c>
      <c r="G1819">
        <v>-274.21519999999998</v>
      </c>
      <c r="H1819" s="1">
        <v>7.4196369999999998E-7</v>
      </c>
      <c r="I1819">
        <v>283.80119999999999</v>
      </c>
      <c r="J1819">
        <v>-243.2105</v>
      </c>
      <c r="K1819">
        <v>1.109035</v>
      </c>
      <c r="L1819">
        <v>282.34890000000001</v>
      </c>
      <c r="M1819">
        <v>-0.99978849999999997</v>
      </c>
      <c r="N1819">
        <v>0</v>
      </c>
      <c r="O1819">
        <v>2.0563519999999998E-2</v>
      </c>
      <c r="P1819">
        <v>-0.98035090000000003</v>
      </c>
      <c r="Q1819">
        <v>0.19665369999999999</v>
      </c>
      <c r="R1819">
        <v>1.549209E-2</v>
      </c>
      <c r="S1819">
        <v>-3.0800019999999999</v>
      </c>
      <c r="T1819">
        <v>-0.1093073</v>
      </c>
      <c r="U1819">
        <v>0.14361570000000001</v>
      </c>
      <c r="V1819">
        <v>-4.7592659999999998E-3</v>
      </c>
      <c r="W1819">
        <v>0.1970915</v>
      </c>
      <c r="X1819">
        <v>0.98037359999999896</v>
      </c>
      <c r="Y1819">
        <v>2.6023370000000001E-2</v>
      </c>
      <c r="Z1819">
        <v>-2.6765449999999999E-4</v>
      </c>
      <c r="AA1819">
        <v>0.99966129999999997</v>
      </c>
      <c r="AB1819">
        <v>25</v>
      </c>
      <c r="AC1819">
        <v>-31.0046999999999</v>
      </c>
      <c r="AD1819">
        <v>-1.1090342580363</v>
      </c>
      <c r="AE1819">
        <v>1.4522999999999699</v>
      </c>
      <c r="AF1819">
        <v>0.81338867013413596</v>
      </c>
      <c r="AG1819">
        <v>-1.1090342580363</v>
      </c>
      <c r="AH1819">
        <v>30.988445993127598</v>
      </c>
      <c r="AI1819">
        <v>92.048957984087906</v>
      </c>
      <c r="AJ1819">
        <v>88.496438331685397</v>
      </c>
      <c r="AK1819">
        <v>31.0189513553116</v>
      </c>
      <c r="AL1819">
        <v>78.633071437506203</v>
      </c>
      <c r="AM1819">
        <v>90.278142652268997</v>
      </c>
      <c r="AN1819">
        <v>1.00000005278103</v>
      </c>
    </row>
    <row r="1820" spans="1:40" x14ac:dyDescent="0.25">
      <c r="A1820" t="str">
        <f>"20190312172404962"</f>
        <v>20190312172404962</v>
      </c>
      <c r="B1820" t="str">
        <f>"1552382644951633"</f>
        <v>1552382644951633</v>
      </c>
      <c r="C1820" t="s">
        <v>40</v>
      </c>
      <c r="D1820">
        <v>3.8624559999999999</v>
      </c>
      <c r="E1820">
        <v>0.51289689999999999</v>
      </c>
      <c r="F1820" t="s">
        <v>47</v>
      </c>
      <c r="G1820">
        <v>-274.43400000000003</v>
      </c>
      <c r="H1820" s="1">
        <v>8.5733969999999899E-7</v>
      </c>
      <c r="I1820">
        <v>283.82470000000001</v>
      </c>
      <c r="J1820">
        <v>-243.4684</v>
      </c>
      <c r="K1820">
        <v>1.10902099999999</v>
      </c>
      <c r="L1820">
        <v>282.35390000000001</v>
      </c>
      <c r="M1820">
        <v>-0.99979499999999999</v>
      </c>
      <c r="N1820">
        <v>0</v>
      </c>
      <c r="O1820">
        <v>2.0250859999999999E-2</v>
      </c>
      <c r="P1820">
        <v>-0.98040459999999996</v>
      </c>
      <c r="Q1820">
        <v>0.19636010000000001</v>
      </c>
      <c r="R1820">
        <v>1.5806480000000001E-2</v>
      </c>
      <c r="S1820">
        <v>-3.0797729999999999</v>
      </c>
      <c r="T1820">
        <v>-0.1093915</v>
      </c>
      <c r="U1820">
        <v>0.1455688</v>
      </c>
      <c r="V1820">
        <v>-4.140164E-3</v>
      </c>
      <c r="W1820">
        <v>0.19672870000000001</v>
      </c>
      <c r="X1820">
        <v>0.98044920000000002</v>
      </c>
      <c r="Y1820">
        <v>2.6971200000000001E-2</v>
      </c>
      <c r="Z1820">
        <v>-2.399651E-4</v>
      </c>
      <c r="AA1820">
        <v>0.99963619999999997</v>
      </c>
      <c r="AB1820">
        <v>25</v>
      </c>
      <c r="AC1820">
        <v>-30.965599999999998</v>
      </c>
      <c r="AD1820">
        <v>-1.1090201426602999</v>
      </c>
      <c r="AE1820">
        <v>1.4707999999999899</v>
      </c>
      <c r="AF1820">
        <v>0.84234037189691402</v>
      </c>
      <c r="AG1820">
        <v>-1.1090201426602999</v>
      </c>
      <c r="AH1820">
        <v>30.9494258664974</v>
      </c>
      <c r="AI1820">
        <v>92.0514599223537</v>
      </c>
      <c r="AJ1820">
        <v>88.440984432413401</v>
      </c>
      <c r="AK1820">
        <v>30.980742800081099</v>
      </c>
      <c r="AL1820">
        <v>78.654272588944906</v>
      </c>
      <c r="AM1820">
        <v>90.241942686838499</v>
      </c>
      <c r="AN1820">
        <v>0.99999997807113805</v>
      </c>
    </row>
    <row r="1821" spans="1:40" x14ac:dyDescent="0.25">
      <c r="A1821" t="str">
        <f>"20190312172404983"</f>
        <v>20190312172404983</v>
      </c>
      <c r="B1821" t="str">
        <f>"1552382644972129"</f>
        <v>1552382644972129</v>
      </c>
      <c r="C1821" t="s">
        <v>40</v>
      </c>
      <c r="D1821">
        <v>3.8698709999999998</v>
      </c>
      <c r="E1821">
        <v>0.51315949999999999</v>
      </c>
      <c r="F1821" t="s">
        <v>47</v>
      </c>
      <c r="G1821">
        <v>-274.59769999999997</v>
      </c>
      <c r="H1821" s="1">
        <v>9.4287210000000002E-7</v>
      </c>
      <c r="I1821">
        <v>283.86110000000002</v>
      </c>
      <c r="J1821">
        <v>-243.71260000000001</v>
      </c>
      <c r="K1821">
        <v>1.1090100000000001</v>
      </c>
      <c r="L1821">
        <v>282.35849999999999</v>
      </c>
      <c r="M1821">
        <v>-0.99980089999999999</v>
      </c>
      <c r="N1821">
        <v>0</v>
      </c>
      <c r="O1821">
        <v>1.9955480000000001E-2</v>
      </c>
      <c r="P1821">
        <v>-0.98036749999999995</v>
      </c>
      <c r="Q1821">
        <v>0.19655880000000001</v>
      </c>
      <c r="R1821">
        <v>1.5645969999999999E-2</v>
      </c>
      <c r="S1821">
        <v>-3.0794980000000001</v>
      </c>
      <c r="T1821">
        <v>-0.10971110000000001</v>
      </c>
      <c r="U1821">
        <v>0.14910889999999999</v>
      </c>
      <c r="V1821">
        <v>-4.0114790000000001E-3</v>
      </c>
      <c r="W1821">
        <v>0.1968713</v>
      </c>
      <c r="X1821">
        <v>0.98042110000000005</v>
      </c>
      <c r="Y1821">
        <v>2.8416090000000001E-2</v>
      </c>
      <c r="Z1821">
        <v>-2.044541E-4</v>
      </c>
      <c r="AA1821">
        <v>0.99959620000000005</v>
      </c>
      <c r="AB1821">
        <v>25</v>
      </c>
      <c r="AC1821">
        <v>-30.885099999999898</v>
      </c>
      <c r="AD1821">
        <v>-1.1090090571278901</v>
      </c>
      <c r="AE1821">
        <v>1.5026000000000199</v>
      </c>
      <c r="AF1821">
        <v>0.88483563769971296</v>
      </c>
      <c r="AG1821">
        <v>-1.1090090571278901</v>
      </c>
      <c r="AH1821">
        <v>30.869227564997299</v>
      </c>
      <c r="AI1821">
        <v>92.056681469927</v>
      </c>
      <c r="AJ1821">
        <v>88.358123163281604</v>
      </c>
      <c r="AK1821">
        <v>30.901812983288298</v>
      </c>
      <c r="AL1821">
        <v>78.645939113685898</v>
      </c>
      <c r="AM1821">
        <v>90.234429403572506</v>
      </c>
      <c r="AN1821">
        <v>0.99999996702633298</v>
      </c>
    </row>
    <row r="1822" spans="1:40" x14ac:dyDescent="0.25">
      <c r="A1822" t="str">
        <f>"20190312172405005"</f>
        <v>20190312172405005</v>
      </c>
      <c r="B1822" t="str">
        <f>"1552382645001409"</f>
        <v>1552382645001409</v>
      </c>
      <c r="C1822" t="s">
        <v>40</v>
      </c>
      <c r="D1822">
        <v>3.8567459999999998</v>
      </c>
      <c r="E1822">
        <v>0.51333830000000003</v>
      </c>
      <c r="F1822" t="s">
        <v>47</v>
      </c>
      <c r="G1822">
        <v>-275.11079999999998</v>
      </c>
      <c r="H1822" s="1">
        <v>1.214507E-6</v>
      </c>
      <c r="I1822">
        <v>283.89429999999999</v>
      </c>
      <c r="J1822">
        <v>-243.96080000000001</v>
      </c>
      <c r="K1822">
        <v>1.1089990000000001</v>
      </c>
      <c r="L1822">
        <v>282.36309999999997</v>
      </c>
      <c r="M1822">
        <v>-0.99980690000000005</v>
      </c>
      <c r="N1822">
        <v>0</v>
      </c>
      <c r="O1822">
        <v>1.9655570000000001E-2</v>
      </c>
      <c r="P1822">
        <v>-0.98039639999999995</v>
      </c>
      <c r="Q1822">
        <v>0.1964129</v>
      </c>
      <c r="R1822">
        <v>1.5651700000000001E-2</v>
      </c>
      <c r="S1822">
        <v>-3.0794980000000001</v>
      </c>
      <c r="T1822">
        <v>-0.1087703</v>
      </c>
      <c r="U1822">
        <v>0.15063480000000001</v>
      </c>
      <c r="V1822">
        <v>-3.7142960000000002E-3</v>
      </c>
      <c r="W1822">
        <v>0.1966763</v>
      </c>
      <c r="X1822">
        <v>0.98046140000000004</v>
      </c>
      <c r="Y1822">
        <v>2.9209479999999999E-2</v>
      </c>
      <c r="Z1822">
        <v>-1.78120299999999E-4</v>
      </c>
      <c r="AA1822">
        <v>0.9995733</v>
      </c>
      <c r="AB1822">
        <v>26</v>
      </c>
      <c r="AC1822">
        <v>-31.149999999999899</v>
      </c>
      <c r="AD1822">
        <v>-1.108997785493</v>
      </c>
      <c r="AE1822">
        <v>1.5312000000000101</v>
      </c>
      <c r="AF1822">
        <v>0.91747315083240499</v>
      </c>
      <c r="AG1822">
        <v>-1.108997785493</v>
      </c>
      <c r="AH1822">
        <v>31.134710882391001</v>
      </c>
      <c r="AI1822">
        <v>92.039090901081394</v>
      </c>
      <c r="AJ1822">
        <v>88.312104718575398</v>
      </c>
      <c r="AK1822">
        <v>31.167961993059599</v>
      </c>
      <c r="AL1822">
        <v>78.657334503418397</v>
      </c>
      <c r="AM1822">
        <v>90.217053385905004</v>
      </c>
      <c r="AN1822">
        <v>0.999999959933212</v>
      </c>
    </row>
    <row r="1823" spans="1:40" x14ac:dyDescent="0.25">
      <c r="A1823" t="str">
        <f>"20190312172405027"</f>
        <v>20190312172405027</v>
      </c>
      <c r="B1823" t="str">
        <f>"1552382645021905"</f>
        <v>1552382645021905</v>
      </c>
      <c r="C1823" t="s">
        <v>40</v>
      </c>
      <c r="D1823">
        <v>3.8533490000000001</v>
      </c>
      <c r="E1823">
        <v>0.51338709999999999</v>
      </c>
      <c r="F1823" t="s">
        <v>47</v>
      </c>
      <c r="G1823">
        <v>-275.2722</v>
      </c>
      <c r="H1823" s="1">
        <v>1.299668E-6</v>
      </c>
      <c r="I1823">
        <v>283.91090000000003</v>
      </c>
      <c r="J1823">
        <v>-244.22659999999999</v>
      </c>
      <c r="K1823">
        <v>1.108997</v>
      </c>
      <c r="L1823">
        <v>282.36799999999999</v>
      </c>
      <c r="M1823">
        <v>-0.99981310000000001</v>
      </c>
      <c r="N1823">
        <v>0</v>
      </c>
      <c r="O1823">
        <v>1.9335089999999999E-2</v>
      </c>
      <c r="P1823">
        <v>-0.98042549999999995</v>
      </c>
      <c r="Q1823">
        <v>0.1962873</v>
      </c>
      <c r="R1823">
        <v>1.540592E-2</v>
      </c>
      <c r="S1823">
        <v>-3.0794069999999998</v>
      </c>
      <c r="T1823">
        <v>-0.1090672</v>
      </c>
      <c r="U1823">
        <v>0.15222169999999999</v>
      </c>
      <c r="V1823">
        <v>-3.647567E-3</v>
      </c>
      <c r="W1823">
        <v>0.1965076</v>
      </c>
      <c r="X1823">
        <v>0.98049549999999996</v>
      </c>
      <c r="Y1823">
        <v>3.004443E-2</v>
      </c>
      <c r="Z1823">
        <v>-1.5249980000000001E-4</v>
      </c>
      <c r="AA1823">
        <v>0.99954860000000001</v>
      </c>
      <c r="AB1823">
        <v>26</v>
      </c>
      <c r="AC1823">
        <v>-31.0456</v>
      </c>
      <c r="AD1823">
        <v>-1.1089957003319999</v>
      </c>
      <c r="AE1823">
        <v>1.5429000000000299</v>
      </c>
      <c r="AF1823">
        <v>0.94114415806823504</v>
      </c>
      <c r="AG1823">
        <v>-1.1089957003319999</v>
      </c>
      <c r="AH1823">
        <v>31.0301307281192</v>
      </c>
      <c r="AI1823">
        <v>92.045900882211001</v>
      </c>
      <c r="AJ1823">
        <v>88.262751039511599</v>
      </c>
      <c r="AK1823">
        <v>31.064201853480601</v>
      </c>
      <c r="AL1823">
        <v>78.667192951611895</v>
      </c>
      <c r="AM1823">
        <v>90.213146547336294</v>
      </c>
      <c r="AN1823">
        <v>0.99999998356151398</v>
      </c>
    </row>
    <row r="1824" spans="1:40" x14ac:dyDescent="0.25">
      <c r="A1824" t="str">
        <f>"20190312172405050"</f>
        <v>20190312172405050</v>
      </c>
      <c r="B1824" t="str">
        <f>"1552382645041428"</f>
        <v>1552382645041428</v>
      </c>
      <c r="C1824" t="s">
        <v>40</v>
      </c>
      <c r="D1824">
        <v>3.8725269999999998</v>
      </c>
      <c r="E1824">
        <v>0.51349400000000001</v>
      </c>
      <c r="F1824" t="s">
        <v>47</v>
      </c>
      <c r="G1824">
        <v>-275.45409999999998</v>
      </c>
      <c r="H1824" s="1">
        <v>1.3967680000000001E-6</v>
      </c>
      <c r="I1824">
        <v>283.9033</v>
      </c>
      <c r="J1824">
        <v>-244.4956</v>
      </c>
      <c r="K1824">
        <v>1.1089869999999999</v>
      </c>
      <c r="L1824">
        <v>282.37290000000002</v>
      </c>
      <c r="M1824">
        <v>-0.99981940000000002</v>
      </c>
      <c r="N1824">
        <v>0</v>
      </c>
      <c r="O1824">
        <v>1.9010849999999999E-2</v>
      </c>
      <c r="P1824">
        <v>-0.9804155</v>
      </c>
      <c r="Q1824">
        <v>0.19634090000000001</v>
      </c>
      <c r="R1824">
        <v>1.535513E-2</v>
      </c>
      <c r="S1824">
        <v>-3.0793910000000002</v>
      </c>
      <c r="T1824">
        <v>-0.1093596</v>
      </c>
      <c r="U1824">
        <v>0.1513977</v>
      </c>
      <c r="V1824">
        <v>-3.3815260000000001E-3</v>
      </c>
      <c r="W1824">
        <v>0.1965258</v>
      </c>
      <c r="X1824">
        <v>0.98049280000000005</v>
      </c>
      <c r="Y1824">
        <v>3.0101739999999998E-2</v>
      </c>
      <c r="Z1824">
        <v>-1.4039399999999901E-4</v>
      </c>
      <c r="AA1824">
        <v>0.99954679999999996</v>
      </c>
      <c r="AB1824">
        <v>26</v>
      </c>
      <c r="AC1824">
        <v>-30.958499999999901</v>
      </c>
      <c r="AD1824">
        <v>-1.108985603232</v>
      </c>
      <c r="AE1824">
        <v>1.53039999999998</v>
      </c>
      <c r="AF1824">
        <v>0.94037235699865995</v>
      </c>
      <c r="AG1824">
        <v>-1.108985603232</v>
      </c>
      <c r="AH1824">
        <v>30.942391034242199</v>
      </c>
      <c r="AI1824">
        <v>92.051674790533497</v>
      </c>
      <c r="AJ1824">
        <v>88.259255776799293</v>
      </c>
      <c r="AK1824">
        <v>30.976534863569398</v>
      </c>
      <c r="AL1824">
        <v>78.666129364287002</v>
      </c>
      <c r="AM1824">
        <v>90.197601043027404</v>
      </c>
      <c r="AN1824">
        <v>0.99999997781778405</v>
      </c>
    </row>
    <row r="1825" spans="1:40" x14ac:dyDescent="0.25">
      <c r="A1825" t="str">
        <f>"20190312172405072"</f>
        <v>20190312172405072</v>
      </c>
      <c r="B1825" t="str">
        <f>"1552382645061923"</f>
        <v>1552382645061923</v>
      </c>
      <c r="C1825" t="s">
        <v>40</v>
      </c>
      <c r="D1825">
        <v>3.8725329999999998</v>
      </c>
      <c r="E1825">
        <v>0.51358320000000002</v>
      </c>
      <c r="F1825" t="s">
        <v>47</v>
      </c>
      <c r="G1825">
        <v>-275.72379999999998</v>
      </c>
      <c r="H1825" s="1">
        <v>1.539797E-6</v>
      </c>
      <c r="I1825">
        <v>283.91430000000003</v>
      </c>
      <c r="J1825">
        <v>-244.75219999999999</v>
      </c>
      <c r="K1825">
        <v>1.1089789999999999</v>
      </c>
      <c r="L1825">
        <v>282.37740000000002</v>
      </c>
      <c r="M1825">
        <v>-0.99982519999999997</v>
      </c>
      <c r="N1825">
        <v>0</v>
      </c>
      <c r="O1825">
        <v>1.870258E-2</v>
      </c>
      <c r="P1825">
        <v>-0.98057240000000001</v>
      </c>
      <c r="Q1825">
        <v>0.1955885</v>
      </c>
      <c r="R1825">
        <v>1.4947129999999999E-2</v>
      </c>
      <c r="S1825">
        <v>-3.079453</v>
      </c>
      <c r="T1825">
        <v>-0.1093585</v>
      </c>
      <c r="U1825">
        <v>0.15200810000000001</v>
      </c>
      <c r="V1825">
        <v>-3.4905489999999999E-3</v>
      </c>
      <c r="W1825">
        <v>0.19574730000000001</v>
      </c>
      <c r="X1825">
        <v>0.98064819999999997</v>
      </c>
      <c r="Y1825">
        <v>3.0606069999999999E-2</v>
      </c>
      <c r="Z1825">
        <v>-1.2050879999999999E-4</v>
      </c>
      <c r="AA1825">
        <v>0.99953150000000002</v>
      </c>
      <c r="AB1825">
        <v>26</v>
      </c>
      <c r="AC1825">
        <v>-30.971599999999899</v>
      </c>
      <c r="AD1825">
        <v>-1.108977460203</v>
      </c>
      <c r="AE1825">
        <v>1.5368999999999999</v>
      </c>
      <c r="AF1825">
        <v>0.95615954889673804</v>
      </c>
      <c r="AG1825">
        <v>-1.108977460203</v>
      </c>
      <c r="AH1825">
        <v>30.955336788312302</v>
      </c>
      <c r="AI1825">
        <v>92.050771260271304</v>
      </c>
      <c r="AJ1825">
        <v>88.230789924990802</v>
      </c>
      <c r="AK1825">
        <v>30.989949141101</v>
      </c>
      <c r="AL1825">
        <v>78.711618388897094</v>
      </c>
      <c r="AM1825">
        <v>90.203939477256199</v>
      </c>
      <c r="AN1825">
        <v>1.00000004077642</v>
      </c>
    </row>
    <row r="1826" spans="1:40" x14ac:dyDescent="0.25">
      <c r="A1826" t="str">
        <f>"20190312172405096"</f>
        <v>20190312172405096</v>
      </c>
      <c r="B1826" t="str">
        <f>"1552382645092179"</f>
        <v>1552382645092179</v>
      </c>
      <c r="C1826" t="s">
        <v>40</v>
      </c>
      <c r="D1826">
        <v>3.8542999999999998</v>
      </c>
      <c r="E1826">
        <v>0.51360459999999997</v>
      </c>
      <c r="F1826" t="s">
        <v>47</v>
      </c>
      <c r="G1826">
        <v>-275.37830000000002</v>
      </c>
      <c r="H1826" s="1">
        <v>1.3573429999999901E-6</v>
      </c>
      <c r="I1826">
        <v>283.88260000000002</v>
      </c>
      <c r="J1826">
        <v>-245.0334</v>
      </c>
      <c r="K1826">
        <v>1.108967</v>
      </c>
      <c r="L1826">
        <v>282.38240000000002</v>
      </c>
      <c r="M1826">
        <v>-0.99983140000000004</v>
      </c>
      <c r="N1826">
        <v>0</v>
      </c>
      <c r="O1826">
        <v>1.8365039999999999E-2</v>
      </c>
      <c r="P1826">
        <v>-0.980684</v>
      </c>
      <c r="Q1826">
        <v>0.19501270000000001</v>
      </c>
      <c r="R1826">
        <v>1.514098E-2</v>
      </c>
      <c r="S1826">
        <v>-3.0793759999999999</v>
      </c>
      <c r="T1826">
        <v>-0.1115048</v>
      </c>
      <c r="U1826">
        <v>0.15133669999999999</v>
      </c>
      <c r="V1826">
        <v>-2.969522E-3</v>
      </c>
      <c r="W1826">
        <v>0.19515289999999999</v>
      </c>
      <c r="X1826">
        <v>0.98076830000000004</v>
      </c>
      <c r="Y1826">
        <v>3.0726730000000001E-2</v>
      </c>
      <c r="Z1826">
        <v>-1.084873E-4</v>
      </c>
      <c r="AA1826">
        <v>0.99952779999999997</v>
      </c>
      <c r="AB1826">
        <v>26</v>
      </c>
      <c r="AC1826">
        <v>-30.344899999999999</v>
      </c>
      <c r="AD1826">
        <v>-1.108965642657</v>
      </c>
      <c r="AE1826">
        <v>1.5002</v>
      </c>
      <c r="AF1826">
        <v>0.94140747084252197</v>
      </c>
      <c r="AG1826">
        <v>-1.108965642657</v>
      </c>
      <c r="AH1826">
        <v>30.3269287127628</v>
      </c>
      <c r="AI1826">
        <v>92.093195905067901</v>
      </c>
      <c r="AJ1826">
        <v>88.221997346497204</v>
      </c>
      <c r="AK1826">
        <v>30.361796026779199</v>
      </c>
      <c r="AL1826">
        <v>78.746343884335005</v>
      </c>
      <c r="AM1826">
        <v>90.173476811866806</v>
      </c>
      <c r="AN1826">
        <v>0.999999965362103</v>
      </c>
    </row>
    <row r="1827" spans="1:40" x14ac:dyDescent="0.25">
      <c r="A1827" t="str">
        <f>"20190312172405118"</f>
        <v>20190312172405118</v>
      </c>
      <c r="B1827" t="str">
        <f>"1552382645111697"</f>
        <v>1552382645111697</v>
      </c>
      <c r="C1827" t="s">
        <v>40</v>
      </c>
      <c r="D1827">
        <v>3.8426450000000001</v>
      </c>
      <c r="E1827">
        <v>0.51360220000000001</v>
      </c>
      <c r="F1827" t="s">
        <v>47</v>
      </c>
      <c r="G1827">
        <v>-275.29599999999999</v>
      </c>
      <c r="H1827" s="1">
        <v>1.3138790000000001E-6</v>
      </c>
      <c r="I1827">
        <v>283.87540000000001</v>
      </c>
      <c r="J1827">
        <v>-245.2997</v>
      </c>
      <c r="K1827">
        <v>1.108962</v>
      </c>
      <c r="L1827">
        <v>282.38690000000003</v>
      </c>
      <c r="M1827">
        <v>-0.99983730000000004</v>
      </c>
      <c r="N1827">
        <v>0</v>
      </c>
      <c r="O1827">
        <v>1.8045800000000001E-2</v>
      </c>
      <c r="P1827">
        <v>-0.98072809999999999</v>
      </c>
      <c r="Q1827">
        <v>0.19483420000000001</v>
      </c>
      <c r="R1827">
        <v>1.4562510000000001E-2</v>
      </c>
      <c r="S1827">
        <v>-3.0791780000000002</v>
      </c>
      <c r="T1827">
        <v>-0.11283559999999999</v>
      </c>
      <c r="U1827">
        <v>0.15191650000000001</v>
      </c>
      <c r="V1827">
        <v>-3.2366830000000002E-3</v>
      </c>
      <c r="W1827">
        <v>0.19496540000000001</v>
      </c>
      <c r="X1827">
        <v>0.98080480000000003</v>
      </c>
      <c r="Y1827">
        <v>3.1236050000000001E-2</v>
      </c>
      <c r="Z1827" s="1">
        <v>-8.8781059999999993E-5</v>
      </c>
      <c r="AA1827">
        <v>0.99951199999999996</v>
      </c>
      <c r="AB1827">
        <v>27</v>
      </c>
      <c r="AC1827">
        <v>-29.996299999999898</v>
      </c>
      <c r="AD1827">
        <v>-1.108960686121</v>
      </c>
      <c r="AE1827">
        <v>1.48849999999998</v>
      </c>
      <c r="AF1827">
        <v>0.94566112837531502</v>
      </c>
      <c r="AG1827">
        <v>-1.108960686121</v>
      </c>
      <c r="AH1827">
        <v>29.9774048977145</v>
      </c>
      <c r="AI1827">
        <v>92.117536809913105</v>
      </c>
      <c r="AJ1827">
        <v>88.193158165592294</v>
      </c>
      <c r="AK1827">
        <v>30.012811817199001</v>
      </c>
      <c r="AL1827">
        <v>78.757297857855704</v>
      </c>
      <c r="AM1827">
        <v>90.189076972642795</v>
      </c>
      <c r="AN1827">
        <v>1.0000000195085199</v>
      </c>
    </row>
    <row r="1828" spans="1:40" x14ac:dyDescent="0.25">
      <c r="A1828" t="str">
        <f>"20190312172405140"</f>
        <v>20190312172405140</v>
      </c>
      <c r="B1828" t="str">
        <f>"1552382645132193"</f>
        <v>1552382645132193</v>
      </c>
      <c r="C1828" t="s">
        <v>40</v>
      </c>
      <c r="D1828">
        <v>3.8178290000000001</v>
      </c>
      <c r="E1828">
        <v>0.51362050000000004</v>
      </c>
      <c r="F1828" t="s">
        <v>47</v>
      </c>
      <c r="G1828">
        <v>-275.51549999999997</v>
      </c>
      <c r="H1828" s="1">
        <v>1.4312200000000001E-6</v>
      </c>
      <c r="I1828">
        <v>283.863</v>
      </c>
      <c r="J1828">
        <v>-245.57939999999999</v>
      </c>
      <c r="K1828">
        <v>1.1089639999999901</v>
      </c>
      <c r="L1828">
        <v>282.39170000000001</v>
      </c>
      <c r="M1828">
        <v>-0.99984309999999998</v>
      </c>
      <c r="N1828">
        <v>0</v>
      </c>
      <c r="O1828">
        <v>1.7711649999999999E-2</v>
      </c>
      <c r="P1828">
        <v>-0.98070310000000005</v>
      </c>
      <c r="Q1828">
        <v>0.19497200000000001</v>
      </c>
      <c r="R1828">
        <v>1.440235E-2</v>
      </c>
      <c r="S1828">
        <v>-3.0791629999999999</v>
      </c>
      <c r="T1828">
        <v>-0.1130095</v>
      </c>
      <c r="U1828">
        <v>0.1504211</v>
      </c>
      <c r="V1828">
        <v>-3.070569E-3</v>
      </c>
      <c r="W1828">
        <v>0.19510379999999999</v>
      </c>
      <c r="X1828">
        <v>0.98077780000000003</v>
      </c>
      <c r="Y1828">
        <v>3.1085930000000001E-2</v>
      </c>
      <c r="Z1828" s="1">
        <v>-7.9423999999999896E-5</v>
      </c>
      <c r="AA1828">
        <v>0.99951670000000004</v>
      </c>
      <c r="AB1828">
        <v>27</v>
      </c>
      <c r="AC1828">
        <v>-29.9360999999999</v>
      </c>
      <c r="AD1828">
        <v>-1.10896256877999</v>
      </c>
      <c r="AE1828">
        <v>1.4712999999999801</v>
      </c>
      <c r="AF1828">
        <v>0.93956522034105405</v>
      </c>
      <c r="AG1828">
        <v>-1.10896256877999</v>
      </c>
      <c r="AH1828">
        <v>29.9165083127019</v>
      </c>
      <c r="AI1828">
        <v>92.121856130088602</v>
      </c>
      <c r="AJ1828">
        <v>88.201145931423099</v>
      </c>
      <c r="AK1828">
        <v>29.951795445451801</v>
      </c>
      <c r="AL1828">
        <v>78.749212719008995</v>
      </c>
      <c r="AM1828">
        <v>90.179378111542803</v>
      </c>
      <c r="AN1828">
        <v>1.0000000070706301</v>
      </c>
    </row>
    <row r="1829" spans="1:40" x14ac:dyDescent="0.25">
      <c r="A1829" t="str">
        <f>"20190312172405162"</f>
        <v>20190312172405162</v>
      </c>
      <c r="B1829" t="str">
        <f>"1552382645151716"</f>
        <v>1552382645151716</v>
      </c>
      <c r="C1829" t="s">
        <v>40</v>
      </c>
      <c r="D1829">
        <v>3.8515480000000002</v>
      </c>
      <c r="E1829">
        <v>0.51368469999999999</v>
      </c>
      <c r="F1829" t="s">
        <v>47</v>
      </c>
      <c r="G1829">
        <v>-276.05470000000003</v>
      </c>
      <c r="H1829" s="1">
        <v>1.717573E-6</v>
      </c>
      <c r="I1829">
        <v>283.8768</v>
      </c>
      <c r="J1829">
        <v>-245.84010000000001</v>
      </c>
      <c r="K1829">
        <v>1.108965</v>
      </c>
      <c r="L1829">
        <v>282.39600000000002</v>
      </c>
      <c r="M1829">
        <v>-0.99984859999999998</v>
      </c>
      <c r="N1829">
        <v>0</v>
      </c>
      <c r="O1829">
        <v>1.740069E-2</v>
      </c>
      <c r="P1829">
        <v>-0.98063120000000004</v>
      </c>
      <c r="Q1829">
        <v>0.1953714</v>
      </c>
      <c r="R1829">
        <v>1.3879509999999999E-2</v>
      </c>
      <c r="S1829">
        <v>-3.0791019999999998</v>
      </c>
      <c r="T1829">
        <v>-0.1120449</v>
      </c>
      <c r="U1829">
        <v>0.15005489999999999</v>
      </c>
      <c r="V1829">
        <v>-3.2886980000000001E-3</v>
      </c>
      <c r="W1829">
        <v>0.19551209999999999</v>
      </c>
      <c r="X1829">
        <v>0.98069580000000001</v>
      </c>
      <c r="Y1829">
        <v>3.1278979999999998E-2</v>
      </c>
      <c r="Z1829" s="1">
        <v>-6.3937969999999995E-5</v>
      </c>
      <c r="AA1829">
        <v>0.99951069999999997</v>
      </c>
      <c r="AB1829">
        <v>27</v>
      </c>
      <c r="AC1829">
        <v>-30.214600000000001</v>
      </c>
      <c r="AD1829">
        <v>-1.1089632824269999</v>
      </c>
      <c r="AE1829">
        <v>1.4808000000000401</v>
      </c>
      <c r="AF1829">
        <v>0.95353947801433903</v>
      </c>
      <c r="AG1829">
        <v>-1.1089632824269999</v>
      </c>
      <c r="AH1829">
        <v>30.195213765766301</v>
      </c>
      <c r="AI1829">
        <v>92.102278723252098</v>
      </c>
      <c r="AJ1829">
        <v>88.191248523299805</v>
      </c>
      <c r="AK1829">
        <v>30.230613150550401</v>
      </c>
      <c r="AL1829">
        <v>78.725359684472394</v>
      </c>
      <c r="AM1829">
        <v>90.192136857497104</v>
      </c>
      <c r="AN1829">
        <v>1.0000000244592899</v>
      </c>
    </row>
    <row r="1830" spans="1:40" x14ac:dyDescent="0.25">
      <c r="A1830" t="str">
        <f>"20190312172405183"</f>
        <v>20190312172405183</v>
      </c>
      <c r="B1830" t="str">
        <f>"1552382645172209"</f>
        <v>1552382645172209</v>
      </c>
      <c r="C1830" t="s">
        <v>40</v>
      </c>
      <c r="D1830">
        <v>3.8217729999999999</v>
      </c>
      <c r="E1830">
        <v>0.51370530000000003</v>
      </c>
      <c r="F1830" t="s">
        <v>47</v>
      </c>
      <c r="G1830">
        <v>-276.74239999999998</v>
      </c>
      <c r="H1830" s="1">
        <v>2.0828129999999999E-6</v>
      </c>
      <c r="I1830">
        <v>283.89240000000001</v>
      </c>
      <c r="J1830">
        <v>-246.10679999999999</v>
      </c>
      <c r="K1830">
        <v>1.108967</v>
      </c>
      <c r="L1830">
        <v>282.40030000000002</v>
      </c>
      <c r="M1830">
        <v>-0.99985409999999997</v>
      </c>
      <c r="N1830">
        <v>0</v>
      </c>
      <c r="O1830">
        <v>1.708496E-2</v>
      </c>
      <c r="P1830">
        <v>-0.98067079999999995</v>
      </c>
      <c r="Q1830">
        <v>0.1951978</v>
      </c>
      <c r="R1830">
        <v>1.352735E-2</v>
      </c>
      <c r="S1830">
        <v>-3.0791780000000002</v>
      </c>
      <c r="T1830">
        <v>-0.1104999</v>
      </c>
      <c r="U1830">
        <v>0.14910889999999999</v>
      </c>
      <c r="V1830">
        <v>-3.3327610000000001E-3</v>
      </c>
      <c r="W1830">
        <v>0.1953559</v>
      </c>
      <c r="X1830">
        <v>0.98072680000000001</v>
      </c>
      <c r="Y1830">
        <v>3.1287099999999998E-2</v>
      </c>
      <c r="Z1830" s="1">
        <v>-5.1594159999999999E-5</v>
      </c>
      <c r="AA1830">
        <v>0.99951049999999997</v>
      </c>
      <c r="AB1830">
        <v>27</v>
      </c>
      <c r="AC1830">
        <v>-30.635599999999901</v>
      </c>
      <c r="AD1830">
        <v>-1.108964917187</v>
      </c>
      <c r="AE1830">
        <v>1.49209999999999</v>
      </c>
      <c r="AF1830">
        <v>0.96720987420608795</v>
      </c>
      <c r="AG1830">
        <v>-1.108964917187</v>
      </c>
      <c r="AH1830">
        <v>30.6165978349784</v>
      </c>
      <c r="AI1830">
        <v>92.0733722302068</v>
      </c>
      <c r="AJ1830">
        <v>88.190569058410105</v>
      </c>
      <c r="AK1830">
        <v>30.6519389454748</v>
      </c>
      <c r="AL1830">
        <v>78.734485495972194</v>
      </c>
      <c r="AM1830">
        <v>90.194704992643494</v>
      </c>
      <c r="AN1830">
        <v>1.00000004559946</v>
      </c>
    </row>
    <row r="1831" spans="1:40" x14ac:dyDescent="0.25">
      <c r="A1831" t="str">
        <f>"20190312172405206"</f>
        <v>20190312172405206</v>
      </c>
      <c r="B1831" t="str">
        <f>"1552382645201489"</f>
        <v>1552382645201489</v>
      </c>
      <c r="C1831" t="s">
        <v>40</v>
      </c>
      <c r="D1831">
        <v>3.8064450000000001</v>
      </c>
      <c r="E1831">
        <v>0.51380649999999894</v>
      </c>
      <c r="F1831" t="s">
        <v>47</v>
      </c>
      <c r="G1831">
        <v>-276.92700000000002</v>
      </c>
      <c r="H1831" s="1">
        <v>2.1814800000000001E-6</v>
      </c>
      <c r="I1831">
        <v>283.8827</v>
      </c>
      <c r="J1831">
        <v>-246.38159999999999</v>
      </c>
      <c r="K1831">
        <v>1.108967</v>
      </c>
      <c r="L1831">
        <v>282.40469999999999</v>
      </c>
      <c r="M1831">
        <v>-0.99985959999999996</v>
      </c>
      <c r="N1831">
        <v>0</v>
      </c>
      <c r="O1831">
        <v>1.676236E-2</v>
      </c>
      <c r="P1831">
        <v>-0.98072700000000002</v>
      </c>
      <c r="Q1831">
        <v>0.1949767</v>
      </c>
      <c r="R1831">
        <v>1.261991E-2</v>
      </c>
      <c r="S1831">
        <v>-3.079132</v>
      </c>
      <c r="T1831">
        <v>-0.1107928</v>
      </c>
      <c r="U1831">
        <v>0.14810179999999901</v>
      </c>
      <c r="V1831">
        <v>-3.9258940000000001E-3</v>
      </c>
      <c r="W1831">
        <v>0.19515950000000001</v>
      </c>
      <c r="X1831">
        <v>0.98076370000000002</v>
      </c>
      <c r="Y1831">
        <v>3.1283890000000002E-2</v>
      </c>
      <c r="Z1831" s="1">
        <v>-4.0196639999999997E-5</v>
      </c>
      <c r="AA1831">
        <v>0.99951049999999997</v>
      </c>
      <c r="AB1831">
        <v>28</v>
      </c>
      <c r="AC1831">
        <v>-30.545400000000001</v>
      </c>
      <c r="AD1831">
        <v>-1.1089648185200001</v>
      </c>
      <c r="AE1831">
        <v>1.478</v>
      </c>
      <c r="AF1831">
        <v>0.96451106338118597</v>
      </c>
      <c r="AG1831">
        <v>-1.1089648185200001</v>
      </c>
      <c r="AH1831">
        <v>30.5257416083466</v>
      </c>
      <c r="AI1831">
        <v>92.079537411963102</v>
      </c>
      <c r="AJ1831">
        <v>88.190247609117606</v>
      </c>
      <c r="AK1831">
        <v>30.561102488288</v>
      </c>
      <c r="AL1831">
        <v>78.745959159967697</v>
      </c>
      <c r="AM1831">
        <v>90.229347757900598</v>
      </c>
      <c r="AN1831">
        <v>1.0000000391608099</v>
      </c>
    </row>
    <row r="1832" spans="1:40" x14ac:dyDescent="0.25">
      <c r="A1832" t="str">
        <f>"20190312172405229"</f>
        <v>20190312172405229</v>
      </c>
      <c r="B1832" t="str">
        <f>"1552382645221985"</f>
        <v>1552382645221985</v>
      </c>
      <c r="C1832" t="s">
        <v>40</v>
      </c>
      <c r="D1832">
        <v>3.8168709999999999</v>
      </c>
      <c r="E1832">
        <v>0.51389649999999998</v>
      </c>
      <c r="F1832" t="s">
        <v>47</v>
      </c>
      <c r="G1832">
        <v>-277.1121</v>
      </c>
      <c r="H1832" s="1">
        <v>2.2805220000000002E-6</v>
      </c>
      <c r="I1832">
        <v>283.87079999999997</v>
      </c>
      <c r="J1832">
        <v>-246.6824</v>
      </c>
      <c r="K1832">
        <v>1.1089719999999901</v>
      </c>
      <c r="L1832">
        <v>282.40940000000001</v>
      </c>
      <c r="M1832">
        <v>-0.99986529999999996</v>
      </c>
      <c r="N1832">
        <v>0</v>
      </c>
      <c r="O1832">
        <v>1.64136E-2</v>
      </c>
      <c r="P1832">
        <v>-0.98069269999999997</v>
      </c>
      <c r="Q1832">
        <v>0.195186</v>
      </c>
      <c r="R1832">
        <v>1.201958E-2</v>
      </c>
      <c r="S1832">
        <v>-3.0791780000000002</v>
      </c>
      <c r="T1832">
        <v>-0.1111176</v>
      </c>
      <c r="U1832">
        <v>0.1469116</v>
      </c>
      <c r="V1832">
        <v>-4.1843039999999998E-3</v>
      </c>
      <c r="W1832">
        <v>0.19540450000000001</v>
      </c>
      <c r="X1832">
        <v>0.98071379999999997</v>
      </c>
      <c r="Y1832">
        <v>3.1246110000000001E-2</v>
      </c>
      <c r="Z1832" s="1">
        <v>-2.8425189999999999E-5</v>
      </c>
      <c r="AA1832">
        <v>0.9995117</v>
      </c>
      <c r="AB1832">
        <v>28</v>
      </c>
      <c r="AC1832">
        <v>-30.4297</v>
      </c>
      <c r="AD1832">
        <v>-1.1089697194779999</v>
      </c>
      <c r="AE1832">
        <v>1.4613999999999601</v>
      </c>
      <c r="AF1832">
        <v>0.96046951068306097</v>
      </c>
      <c r="AG1832">
        <v>-1.1089697194779999</v>
      </c>
      <c r="AH1832">
        <v>30.409292706169499</v>
      </c>
      <c r="AI1832">
        <v>92.087503731620302</v>
      </c>
      <c r="AJ1832">
        <v>88.1909292899701</v>
      </c>
      <c r="AK1832">
        <v>30.444661246418299</v>
      </c>
      <c r="AL1832">
        <v>78.731645592265906</v>
      </c>
      <c r="AM1832">
        <v>90.244456134574506</v>
      </c>
      <c r="AN1832">
        <v>0.99999999226532699</v>
      </c>
    </row>
    <row r="1833" spans="1:40" x14ac:dyDescent="0.25">
      <c r="A1833" t="str">
        <f>"20190312172405251"</f>
        <v>20190312172405251</v>
      </c>
      <c r="B1833" t="str">
        <f>"1552382645241508"</f>
        <v>1552382645241508</v>
      </c>
      <c r="C1833" t="s">
        <v>40</v>
      </c>
      <c r="D1833">
        <v>3.8116840000000001</v>
      </c>
      <c r="E1833">
        <v>0.5139167</v>
      </c>
      <c r="F1833" t="s">
        <v>47</v>
      </c>
      <c r="G1833">
        <v>-277.58519999999999</v>
      </c>
      <c r="H1833" s="1">
        <v>2.5322519999999998E-6</v>
      </c>
      <c r="I1833">
        <v>283.87150000000003</v>
      </c>
      <c r="J1833">
        <v>-246.95310000000001</v>
      </c>
      <c r="K1833">
        <v>1.108978</v>
      </c>
      <c r="L1833">
        <v>282.4135</v>
      </c>
      <c r="M1833">
        <v>-0.99987040000000005</v>
      </c>
      <c r="N1833">
        <v>0</v>
      </c>
      <c r="O1833">
        <v>1.6107759999999999E-2</v>
      </c>
      <c r="P1833">
        <v>-0.98064229999999997</v>
      </c>
      <c r="Q1833">
        <v>0.19544149999999999</v>
      </c>
      <c r="R1833">
        <v>1.197613E-2</v>
      </c>
      <c r="S1833">
        <v>-3.079269</v>
      </c>
      <c r="T1833">
        <v>-0.1105018</v>
      </c>
      <c r="U1833">
        <v>0.14569089999999901</v>
      </c>
      <c r="V1833">
        <v>-3.9264E-3</v>
      </c>
      <c r="W1833">
        <v>0.1956977</v>
      </c>
      <c r="X1833">
        <v>0.98065639999999998</v>
      </c>
      <c r="Y1833">
        <v>3.115505E-2</v>
      </c>
      <c r="Z1833" s="1">
        <v>-1.8937399999999999E-5</v>
      </c>
      <c r="AA1833">
        <v>0.99951460000000003</v>
      </c>
      <c r="AB1833">
        <v>28</v>
      </c>
      <c r="AC1833">
        <v>-30.632099999999902</v>
      </c>
      <c r="AD1833">
        <v>-1.1089754677479999</v>
      </c>
      <c r="AE1833">
        <v>1.4580000000000199</v>
      </c>
      <c r="AF1833">
        <v>0.96313690217341996</v>
      </c>
      <c r="AG1833">
        <v>-1.1089754677479999</v>
      </c>
      <c r="AH1833">
        <v>30.6115802412961</v>
      </c>
      <c r="AI1833">
        <v>92.073739839881995</v>
      </c>
      <c r="AJ1833">
        <v>88.197888490834998</v>
      </c>
      <c r="AK1833">
        <v>30.646799248040601</v>
      </c>
      <c r="AL1833">
        <v>78.714515733806394</v>
      </c>
      <c r="AM1833">
        <v>90.229402415119296</v>
      </c>
      <c r="AN1833">
        <v>0.99999999063160505</v>
      </c>
    </row>
    <row r="1834" spans="1:40" x14ac:dyDescent="0.25">
      <c r="A1834" t="str">
        <f>"20190312172405273"</f>
        <v>20190312172405273</v>
      </c>
      <c r="B1834" t="str">
        <f>"1552382645262001"</f>
        <v>1552382645262001</v>
      </c>
      <c r="C1834" t="s">
        <v>40</v>
      </c>
      <c r="D1834">
        <v>3.7548490000000001</v>
      </c>
      <c r="E1834">
        <v>0.48409170000000001</v>
      </c>
      <c r="F1834" t="s">
        <v>47</v>
      </c>
      <c r="G1834">
        <v>-278.0478</v>
      </c>
      <c r="H1834" s="1">
        <v>2.7779570000000002E-6</v>
      </c>
      <c r="I1834">
        <v>283.88130000000001</v>
      </c>
      <c r="J1834">
        <v>-247.23570000000001</v>
      </c>
      <c r="K1834">
        <v>1.108968</v>
      </c>
      <c r="L1834">
        <v>282.4178</v>
      </c>
      <c r="M1834">
        <v>-0.99987510000000002</v>
      </c>
      <c r="N1834">
        <v>0</v>
      </c>
      <c r="O1834">
        <v>1.5803520000000001E-2</v>
      </c>
      <c r="P1834">
        <v>-0.98067079999999995</v>
      </c>
      <c r="Q1834">
        <v>0.19532079999999999</v>
      </c>
      <c r="R1834">
        <v>1.1608530000000001E-2</v>
      </c>
      <c r="S1834">
        <v>-3.0793300000000001</v>
      </c>
      <c r="T1834">
        <v>-0.1098228</v>
      </c>
      <c r="U1834">
        <v>0.14535519999999999</v>
      </c>
      <c r="V1834">
        <v>-3.9933299999999998E-3</v>
      </c>
      <c r="W1834">
        <v>0.19562289999999999</v>
      </c>
      <c r="X1834">
        <v>0.98067099999999996</v>
      </c>
      <c r="Y1834">
        <v>3.134932E-2</v>
      </c>
      <c r="Z1834" s="1">
        <v>-4.5216879999999999E-6</v>
      </c>
      <c r="AA1834">
        <v>0.99950850000000002</v>
      </c>
      <c r="AB1834">
        <v>28</v>
      </c>
      <c r="AC1834">
        <v>-30.812099999999901</v>
      </c>
      <c r="AD1834">
        <v>-1.108965222043</v>
      </c>
      <c r="AE1834">
        <v>1.46350000000001</v>
      </c>
      <c r="AF1834">
        <v>0.97511729368474898</v>
      </c>
      <c r="AG1834">
        <v>-1.108965222043</v>
      </c>
      <c r="AH1834">
        <v>30.791583872566999</v>
      </c>
      <c r="AI1834">
        <v>92.061595159482906</v>
      </c>
      <c r="AJ1834">
        <v>88.186145932390303</v>
      </c>
      <c r="AK1834">
        <v>30.826973496947002</v>
      </c>
      <c r="AL1834">
        <v>78.718885324471103</v>
      </c>
      <c r="AM1834">
        <v>90.233309326568005</v>
      </c>
      <c r="AN1834">
        <v>0.99999993796494702</v>
      </c>
    </row>
    <row r="1835" spans="1:40" x14ac:dyDescent="0.25">
      <c r="A1835" t="str">
        <f>"20190312172405298"</f>
        <v>20190312172405298</v>
      </c>
      <c r="B1835" t="str">
        <f>"1552382645292257"</f>
        <v>1552382645292257</v>
      </c>
      <c r="C1835" t="s">
        <v>40</v>
      </c>
      <c r="D1835">
        <v>3.734909</v>
      </c>
      <c r="E1835">
        <v>0.47422599999999998</v>
      </c>
      <c r="F1835" t="s">
        <v>47</v>
      </c>
      <c r="G1835">
        <v>-276.02120000000002</v>
      </c>
      <c r="H1835" s="1">
        <v>1.801628E-6</v>
      </c>
      <c r="I1835">
        <v>281.54579999999999</v>
      </c>
      <c r="J1835">
        <v>-247.5453</v>
      </c>
      <c r="K1835">
        <v>1.1089580000000001</v>
      </c>
      <c r="L1835">
        <v>282.42230000000001</v>
      </c>
      <c r="M1835">
        <v>-0.99987979999999999</v>
      </c>
      <c r="N1835">
        <v>0</v>
      </c>
      <c r="O1835">
        <v>1.549494E-2</v>
      </c>
      <c r="P1835">
        <v>-0.98074600000000001</v>
      </c>
      <c r="Q1835">
        <v>0.19496379999999999</v>
      </c>
      <c r="R1835">
        <v>1.1237799999999999E-2</v>
      </c>
      <c r="S1835">
        <v>-3.0838930000000002</v>
      </c>
      <c r="T1835">
        <v>-0.1188073</v>
      </c>
      <c r="U1835">
        <v>-9.341431E-2</v>
      </c>
      <c r="V1835">
        <v>-4.0567069999999997E-3</v>
      </c>
      <c r="W1835">
        <v>0.1953213</v>
      </c>
      <c r="X1835">
        <v>0.98073100000000002</v>
      </c>
      <c r="Y1835">
        <v>-4.5715980000000003E-2</v>
      </c>
      <c r="Z1835">
        <v>-1.476682E-3</v>
      </c>
      <c r="AA1835">
        <v>0.99895339999999999</v>
      </c>
      <c r="AB1835">
        <v>28</v>
      </c>
      <c r="AC1835">
        <v>-28.475899999999999</v>
      </c>
      <c r="AD1835">
        <v>-1.108956198372</v>
      </c>
      <c r="AE1835">
        <v>-0.87650000000002104</v>
      </c>
      <c r="AF1835">
        <v>-1.3156337847694499</v>
      </c>
      <c r="AG1835">
        <v>-1.108956198372</v>
      </c>
      <c r="AH1835">
        <v>28.415845084097999</v>
      </c>
      <c r="AI1835">
        <v>92.2325006815704</v>
      </c>
      <c r="AJ1835">
        <v>92.650861512380004</v>
      </c>
      <c r="AK1835">
        <v>28.467892931318101</v>
      </c>
      <c r="AL1835">
        <v>78.736507270781104</v>
      </c>
      <c r="AM1835">
        <v>90.236997570387999</v>
      </c>
      <c r="AN1835">
        <v>1.0000000807331799</v>
      </c>
    </row>
    <row r="1836" spans="1:40" x14ac:dyDescent="0.25">
      <c r="A1836" t="str">
        <f>"20190312172405319"</f>
        <v>20190312172405319</v>
      </c>
      <c r="B1836" t="str">
        <f>"1552382645311777"</f>
        <v>1552382645311777</v>
      </c>
      <c r="C1836" t="s">
        <v>40</v>
      </c>
      <c r="D1836">
        <v>3.7002389999999998</v>
      </c>
      <c r="E1836">
        <v>0.47154020000000002</v>
      </c>
      <c r="F1836" t="s">
        <v>47</v>
      </c>
      <c r="G1836">
        <v>-276.68360000000001</v>
      </c>
      <c r="H1836" s="1">
        <v>2.1871760000000002E-6</v>
      </c>
      <c r="I1836">
        <v>280.78899999999999</v>
      </c>
      <c r="J1836">
        <v>-247.83</v>
      </c>
      <c r="K1836">
        <v>1.108941</v>
      </c>
      <c r="L1836">
        <v>282.42649999999998</v>
      </c>
      <c r="M1836">
        <v>-0.99988379999999999</v>
      </c>
      <c r="N1836">
        <v>0</v>
      </c>
      <c r="O1836">
        <v>1.5242800000000001E-2</v>
      </c>
      <c r="P1836">
        <v>-0.98071160000000002</v>
      </c>
      <c r="Q1836">
        <v>0.1951388</v>
      </c>
      <c r="R1836">
        <v>1.121574E-2</v>
      </c>
      <c r="S1836">
        <v>-3.0842130000000001</v>
      </c>
      <c r="T1836">
        <v>-0.11738</v>
      </c>
      <c r="U1836">
        <v>-0.17288210000000001</v>
      </c>
      <c r="V1836">
        <v>-3.8231699999999999E-3</v>
      </c>
      <c r="W1836">
        <v>0.19555230000000001</v>
      </c>
      <c r="X1836">
        <v>0.98068580000000005</v>
      </c>
      <c r="Y1836">
        <v>-7.1116090000000007E-2</v>
      </c>
      <c r="Z1836">
        <v>-1.931227E-3</v>
      </c>
      <c r="AA1836">
        <v>0.99746610000000002</v>
      </c>
      <c r="AB1836">
        <v>29</v>
      </c>
      <c r="AC1836">
        <v>-28.8536</v>
      </c>
      <c r="AD1836">
        <v>-1.1089388128240001</v>
      </c>
      <c r="AE1836">
        <v>-1.63749999999998</v>
      </c>
      <c r="AF1836">
        <v>-2.0740656180663999</v>
      </c>
      <c r="AG1836">
        <v>-1.1089388128240001</v>
      </c>
      <c r="AH1836">
        <v>28.782908500317799</v>
      </c>
      <c r="AI1836">
        <v>92.200681954035403</v>
      </c>
      <c r="AJ1836">
        <v>94.121548774812595</v>
      </c>
      <c r="AK1836">
        <v>28.878838536483801</v>
      </c>
      <c r="AL1836">
        <v>78.723010534184198</v>
      </c>
      <c r="AM1836">
        <v>90.223364502324401</v>
      </c>
      <c r="AN1836">
        <v>0.99999997849288902</v>
      </c>
    </row>
    <row r="1837" spans="1:40" x14ac:dyDescent="0.25">
      <c r="A1837" t="str">
        <f>"20190312172405342"</f>
        <v>20190312172405342</v>
      </c>
      <c r="B1837" t="str">
        <f>"1552382645332273"</f>
        <v>1552382645332273</v>
      </c>
      <c r="C1837" t="s">
        <v>40</v>
      </c>
      <c r="D1837">
        <v>3.663904</v>
      </c>
      <c r="E1837">
        <v>0.4699354</v>
      </c>
      <c r="F1837" t="s">
        <v>47</v>
      </c>
      <c r="G1837">
        <v>-277.59140000000002</v>
      </c>
      <c r="H1837" s="1">
        <v>2.6807329999999999E-6</v>
      </c>
      <c r="I1837">
        <v>280.55</v>
      </c>
      <c r="J1837">
        <v>-248.11519999999999</v>
      </c>
      <c r="K1837">
        <v>1.10891299999999</v>
      </c>
      <c r="L1837">
        <v>282.43060000000003</v>
      </c>
      <c r="M1837">
        <v>-0.99988699999999997</v>
      </c>
      <c r="N1837">
        <v>0</v>
      </c>
      <c r="O1837">
        <v>1.5026619999999999E-2</v>
      </c>
      <c r="P1837">
        <v>-0.98072219999999999</v>
      </c>
      <c r="Q1837">
        <v>0.19508490000000001</v>
      </c>
      <c r="R1837">
        <v>1.12324E-2</v>
      </c>
      <c r="S1837">
        <v>-3.0840909999999999</v>
      </c>
      <c r="T1837">
        <v>-0.1149163</v>
      </c>
      <c r="U1837">
        <v>-0.19445799999999999</v>
      </c>
      <c r="V1837">
        <v>-3.582806E-3</v>
      </c>
      <c r="W1837">
        <v>0.19555790000000001</v>
      </c>
      <c r="X1837">
        <v>0.98068560000000005</v>
      </c>
      <c r="Y1837">
        <v>-7.7852519999999995E-2</v>
      </c>
      <c r="Z1837">
        <v>-2.0076999999999998E-3</v>
      </c>
      <c r="AA1837">
        <v>0.99696280000000004</v>
      </c>
      <c r="AB1837">
        <v>29</v>
      </c>
      <c r="AC1837">
        <v>-29.476199999999999</v>
      </c>
      <c r="AD1837">
        <v>-1.10891031926699</v>
      </c>
      <c r="AE1837">
        <v>-1.88060000000001</v>
      </c>
      <c r="AF1837">
        <v>-2.32004510851805</v>
      </c>
      <c r="AG1837">
        <v>-1.10891031926699</v>
      </c>
      <c r="AH1837">
        <v>29.4031671678975</v>
      </c>
      <c r="AI1837">
        <v>92.153142059741498</v>
      </c>
      <c r="AJ1837">
        <v>94.511553109156694</v>
      </c>
      <c r="AK1837">
        <v>29.515394811946202</v>
      </c>
      <c r="AL1837">
        <v>78.722683462743703</v>
      </c>
      <c r="AM1837">
        <v>90.209321671823503</v>
      </c>
      <c r="AN1837">
        <v>0.99999998739930096</v>
      </c>
    </row>
    <row r="1838" spans="1:40" x14ac:dyDescent="0.25">
      <c r="A1838" t="str">
        <f>"20190312172405362"</f>
        <v>20190312172405362</v>
      </c>
      <c r="B1838" t="str">
        <f>"1552382645351797"</f>
        <v>1552382645351797</v>
      </c>
      <c r="C1838" t="s">
        <v>40</v>
      </c>
      <c r="D1838">
        <v>3.6841360000000001</v>
      </c>
      <c r="E1838">
        <v>0.46884730000000002</v>
      </c>
      <c r="F1838" t="s">
        <v>47</v>
      </c>
      <c r="G1838">
        <v>-277.74579999999997</v>
      </c>
      <c r="H1838" s="1">
        <v>2.7676969999999999E-6</v>
      </c>
      <c r="I1838">
        <v>280.4393</v>
      </c>
      <c r="J1838">
        <v>-248.39840000000001</v>
      </c>
      <c r="K1838">
        <v>1.108881</v>
      </c>
      <c r="L1838">
        <v>282.43470000000002</v>
      </c>
      <c r="M1838">
        <v>-0.99988960000000005</v>
      </c>
      <c r="N1838">
        <v>0</v>
      </c>
      <c r="O1838">
        <v>1.485615E-2</v>
      </c>
      <c r="P1838">
        <v>-0.98085619999999996</v>
      </c>
      <c r="Q1838">
        <v>0.19443160000000001</v>
      </c>
      <c r="R1838">
        <v>1.0841369999999999E-2</v>
      </c>
      <c r="S1838">
        <v>-3.08432</v>
      </c>
      <c r="T1838">
        <v>-0.1154293</v>
      </c>
      <c r="U1838">
        <v>-0.2072754</v>
      </c>
      <c r="V1838">
        <v>-3.7955630000000001E-3</v>
      </c>
      <c r="W1838">
        <v>0.19496720000000001</v>
      </c>
      <c r="X1838">
        <v>0.98080239999999996</v>
      </c>
      <c r="Y1838">
        <v>-8.1799659999999996E-2</v>
      </c>
      <c r="Z1838">
        <v>-2.0836190000000001E-3</v>
      </c>
      <c r="AA1838">
        <v>0.99664660000000005</v>
      </c>
      <c r="AB1838">
        <v>29</v>
      </c>
      <c r="AC1838">
        <v>-29.347399999999901</v>
      </c>
      <c r="AD1838">
        <v>-1.108878232303</v>
      </c>
      <c r="AE1838">
        <v>-1.9954000000000101</v>
      </c>
      <c r="AF1838">
        <v>-2.42771914744303</v>
      </c>
      <c r="AG1838">
        <v>-1.108878232303</v>
      </c>
      <c r="AH1838">
        <v>29.272917485049799</v>
      </c>
      <c r="AI1838">
        <v>92.161951084286798</v>
      </c>
      <c r="AJ1838">
        <v>94.740916693293897</v>
      </c>
      <c r="AK1838">
        <v>29.394338388190899</v>
      </c>
      <c r="AL1838">
        <v>78.757192275975896</v>
      </c>
      <c r="AM1838">
        <v>90.221725247810298</v>
      </c>
      <c r="AN1838">
        <v>0.999999981610043</v>
      </c>
    </row>
    <row r="1839" spans="1:40" x14ac:dyDescent="0.25">
      <c r="A1839" t="str">
        <f>"20190312172405384"</f>
        <v>20190312172405384</v>
      </c>
      <c r="B1839" t="str">
        <f>"1552382645372290"</f>
        <v>1552382645372290</v>
      </c>
      <c r="C1839" t="s">
        <v>40</v>
      </c>
      <c r="D1839">
        <v>3.6638549999999999</v>
      </c>
      <c r="E1839">
        <v>0.46804810000000002</v>
      </c>
      <c r="F1839" t="s">
        <v>47</v>
      </c>
      <c r="G1839">
        <v>-277.55220000000003</v>
      </c>
      <c r="H1839" s="1">
        <v>2.6671880000000002E-6</v>
      </c>
      <c r="I1839">
        <v>280.38189999999997</v>
      </c>
      <c r="J1839">
        <v>-248.68360000000001</v>
      </c>
      <c r="K1839">
        <v>1.1088549999999999</v>
      </c>
      <c r="L1839">
        <v>282.43880000000001</v>
      </c>
      <c r="M1839">
        <v>-0.99989150000000004</v>
      </c>
      <c r="N1839">
        <v>0</v>
      </c>
      <c r="O1839">
        <v>1.472043E-2</v>
      </c>
      <c r="P1839">
        <v>-0.98094009999999998</v>
      </c>
      <c r="Q1839">
        <v>0.19401570000000001</v>
      </c>
      <c r="R1839">
        <v>1.0717600000000001E-2</v>
      </c>
      <c r="S1839">
        <v>-3.0842130000000001</v>
      </c>
      <c r="T1839">
        <v>-0.11730980000000001</v>
      </c>
      <c r="U1839">
        <v>-0.2171631</v>
      </c>
      <c r="V1839">
        <v>-3.774318E-3</v>
      </c>
      <c r="W1839">
        <v>0.19461690000000001</v>
      </c>
      <c r="X1839">
        <v>0.98087199999999997</v>
      </c>
      <c r="Y1839">
        <v>-8.4842089999999995E-2</v>
      </c>
      <c r="Z1839">
        <v>-2.1699969999999999E-3</v>
      </c>
      <c r="AA1839">
        <v>0.9963921</v>
      </c>
      <c r="AB1839">
        <v>29</v>
      </c>
      <c r="AC1839">
        <v>-28.868600000000001</v>
      </c>
      <c r="AD1839">
        <v>-1.1088523328119999</v>
      </c>
      <c r="AE1839">
        <v>-2.0569000000000401</v>
      </c>
      <c r="AF1839">
        <v>-2.47799794454449</v>
      </c>
      <c r="AG1839">
        <v>-1.1088523328119999</v>
      </c>
      <c r="AH1839">
        <v>28.792928416119999</v>
      </c>
      <c r="AI1839">
        <v>92.197328976919493</v>
      </c>
      <c r="AJ1839">
        <v>94.918910487702604</v>
      </c>
      <c r="AK1839">
        <v>28.920628521609999</v>
      </c>
      <c r="AL1839">
        <v>78.777654393588193</v>
      </c>
      <c r="AM1839">
        <v>90.220468547002895</v>
      </c>
      <c r="AN1839">
        <v>0.99999993181298497</v>
      </c>
    </row>
    <row r="1840" spans="1:40" x14ac:dyDescent="0.25">
      <c r="A1840" t="str">
        <f>"20190312172405407"</f>
        <v>20190312172405407</v>
      </c>
      <c r="B1840" t="str">
        <f>"1552382645401569"</f>
        <v>1552382645401569</v>
      </c>
      <c r="C1840" t="s">
        <v>40</v>
      </c>
      <c r="D1840">
        <v>3.6873840000000002</v>
      </c>
      <c r="E1840">
        <v>0.46701549999999997</v>
      </c>
      <c r="F1840" t="s">
        <v>47</v>
      </c>
      <c r="G1840">
        <v>-277.30410000000001</v>
      </c>
      <c r="H1840" s="1">
        <v>2.5361190000000001E-6</v>
      </c>
      <c r="I1840">
        <v>280.3603</v>
      </c>
      <c r="J1840">
        <v>-248.98390000000001</v>
      </c>
      <c r="K1840">
        <v>1.10883</v>
      </c>
      <c r="L1840">
        <v>282.44310000000002</v>
      </c>
      <c r="M1840">
        <v>-0.99989300000000003</v>
      </c>
      <c r="N1840">
        <v>0</v>
      </c>
      <c r="O1840">
        <v>1.461617E-2</v>
      </c>
      <c r="P1840">
        <v>-0.98095639999999995</v>
      </c>
      <c r="Q1840">
        <v>0.19394539999999999</v>
      </c>
      <c r="R1840">
        <v>1.049363E-2</v>
      </c>
      <c r="S1840">
        <v>-3.0843959999999999</v>
      </c>
      <c r="T1840">
        <v>-0.1194996</v>
      </c>
      <c r="U1840">
        <v>-0.223999</v>
      </c>
      <c r="V1840">
        <v>-3.8828249999999999E-3</v>
      </c>
      <c r="W1840">
        <v>0.1946193</v>
      </c>
      <c r="X1840">
        <v>0.98087120000000005</v>
      </c>
      <c r="Y1840">
        <v>-8.692677E-2</v>
      </c>
      <c r="Z1840">
        <v>-2.2464529999999998E-3</v>
      </c>
      <c r="AA1840">
        <v>0.99621219999999999</v>
      </c>
      <c r="AB1840">
        <v>29</v>
      </c>
      <c r="AC1840">
        <v>-28.3202</v>
      </c>
      <c r="AD1840">
        <v>-1.1088274638810001</v>
      </c>
      <c r="AE1840">
        <v>-2.08280000000001</v>
      </c>
      <c r="AF1840">
        <v>-2.4927097360525199</v>
      </c>
      <c r="AG1840">
        <v>-1.1088274638810001</v>
      </c>
      <c r="AH1840">
        <v>28.243668279913202</v>
      </c>
      <c r="AI1840">
        <v>92.2395428073077</v>
      </c>
      <c r="AJ1840">
        <v>95.043701831479595</v>
      </c>
      <c r="AK1840">
        <v>28.3751281596866</v>
      </c>
      <c r="AL1840">
        <v>78.777515315100302</v>
      </c>
      <c r="AM1840">
        <v>90.226806866242299</v>
      </c>
      <c r="AN1840">
        <v>1.0000000296259499</v>
      </c>
    </row>
    <row r="1841" spans="1:40" x14ac:dyDescent="0.25">
      <c r="A1841" t="str">
        <f>"20190312172405430"</f>
        <v>20190312172405430</v>
      </c>
      <c r="B1841" t="str">
        <f>"1552382645422065"</f>
        <v>1552382645422065</v>
      </c>
      <c r="C1841" t="s">
        <v>40</v>
      </c>
      <c r="D1841">
        <v>3.6459899999999998</v>
      </c>
      <c r="E1841">
        <v>0.46646759999999898</v>
      </c>
      <c r="F1841" t="s">
        <v>47</v>
      </c>
      <c r="G1841">
        <v>-277.53199999999998</v>
      </c>
      <c r="H1841" s="1">
        <v>2.6606E-6</v>
      </c>
      <c r="I1841">
        <v>280.28649999999999</v>
      </c>
      <c r="J1841">
        <v>-249.2961</v>
      </c>
      <c r="K1841">
        <v>1.1088100000000001</v>
      </c>
      <c r="L1841">
        <v>282.44760000000002</v>
      </c>
      <c r="M1841">
        <v>-0.9998939</v>
      </c>
      <c r="N1841">
        <v>0</v>
      </c>
      <c r="O1841">
        <v>1.4546369999999999E-2</v>
      </c>
      <c r="P1841">
        <v>-0.98093140000000001</v>
      </c>
      <c r="Q1841">
        <v>0.1940827</v>
      </c>
      <c r="R1841">
        <v>1.027225E-2</v>
      </c>
      <c r="S1841">
        <v>-3.0844119999999999</v>
      </c>
      <c r="T1841">
        <v>-0.1198009</v>
      </c>
      <c r="U1841">
        <v>-0.23300170000000001</v>
      </c>
      <c r="V1841">
        <v>-4.0224980000000002E-3</v>
      </c>
      <c r="W1841">
        <v>0.19483400000000001</v>
      </c>
      <c r="X1841">
        <v>0.98082800000000003</v>
      </c>
      <c r="Y1841">
        <v>-8.9745969999999994E-2</v>
      </c>
      <c r="Z1841">
        <v>-2.3038080000000001E-3</v>
      </c>
      <c r="AA1841">
        <v>0.99596200000000001</v>
      </c>
      <c r="AB1841">
        <v>30</v>
      </c>
      <c r="AC1841">
        <v>-28.235899999999901</v>
      </c>
      <c r="AD1841">
        <v>-1.1088073394</v>
      </c>
      <c r="AE1841">
        <v>-2.16110000000003</v>
      </c>
      <c r="AF1841">
        <v>-2.5676648139974501</v>
      </c>
      <c r="AG1841">
        <v>-1.1088073394</v>
      </c>
      <c r="AH1841">
        <v>28.1583066803368</v>
      </c>
      <c r="AI1841">
        <v>92.245699268589405</v>
      </c>
      <c r="AJ1841">
        <v>95.210207498047794</v>
      </c>
      <c r="AK1841">
        <v>28.2968653991365</v>
      </c>
      <c r="AL1841">
        <v>78.764973691157607</v>
      </c>
      <c r="AM1841">
        <v>90.234975822867895</v>
      </c>
      <c r="AN1841">
        <v>1.00000001681507</v>
      </c>
    </row>
    <row r="1842" spans="1:40" x14ac:dyDescent="0.25">
      <c r="A1842" t="str">
        <f>"20190312172405442"</f>
        <v>20190312172405442</v>
      </c>
      <c r="B1842" t="str">
        <f>"1552382645431825"</f>
        <v>1552382645431825</v>
      </c>
      <c r="C1842" t="s">
        <v>40</v>
      </c>
      <c r="D1842">
        <v>3.6358410000000001</v>
      </c>
      <c r="E1842">
        <v>0.46628160000000002</v>
      </c>
      <c r="F1842" t="s">
        <v>47</v>
      </c>
      <c r="G1842">
        <v>-278.096</v>
      </c>
      <c r="H1842" s="1">
        <v>2.9634840000000001E-6</v>
      </c>
      <c r="I1842">
        <v>280.22410000000002</v>
      </c>
      <c r="J1842">
        <v>-249.4606</v>
      </c>
      <c r="K1842">
        <v>1.1088</v>
      </c>
      <c r="L1842">
        <v>282.45</v>
      </c>
      <c r="M1842">
        <v>-0.99989430000000001</v>
      </c>
      <c r="N1842">
        <v>0</v>
      </c>
      <c r="O1842">
        <v>1.451996E-2</v>
      </c>
      <c r="P1842">
        <v>-0.98093050000000004</v>
      </c>
      <c r="Q1842">
        <v>0.19407279999999999</v>
      </c>
      <c r="R1842">
        <v>1.0555180000000001E-2</v>
      </c>
      <c r="S1842">
        <v>-3.0842900000000002</v>
      </c>
      <c r="T1842">
        <v>-0.1187465</v>
      </c>
      <c r="U1842">
        <v>-0.2381287</v>
      </c>
      <c r="V1842">
        <v>-3.7081829999999999E-3</v>
      </c>
      <c r="W1842">
        <v>0.1948657</v>
      </c>
      <c r="X1842">
        <v>0.98082290000000005</v>
      </c>
      <c r="Y1842">
        <v>-9.1368649999999996E-2</v>
      </c>
      <c r="Z1842">
        <v>-2.3136580000000001E-3</v>
      </c>
      <c r="AA1842">
        <v>0.99581439999999999</v>
      </c>
      <c r="AB1842">
        <v>30</v>
      </c>
      <c r="AC1842">
        <v>-28.635400000000001</v>
      </c>
      <c r="AD1842">
        <v>-1.108797036516</v>
      </c>
      <c r="AE1842">
        <v>-2.2258999999999598</v>
      </c>
      <c r="AF1842">
        <v>-2.6375195594057601</v>
      </c>
      <c r="AG1842">
        <v>-1.108797036516</v>
      </c>
      <c r="AH1842">
        <v>28.557501267868702</v>
      </c>
      <c r="AI1842">
        <v>92.2140825799179</v>
      </c>
      <c r="AJ1842">
        <v>95.276765662186406</v>
      </c>
      <c r="AK1842">
        <v>28.7004672254435</v>
      </c>
      <c r="AL1842">
        <v>78.763121462350199</v>
      </c>
      <c r="AM1842">
        <v>90.2166162956471</v>
      </c>
      <c r="AN1842">
        <v>0.99999997641103</v>
      </c>
    </row>
    <row r="1843" spans="1:40" x14ac:dyDescent="0.25">
      <c r="A1843" t="str">
        <f>"20190312172405463"</f>
        <v>20190312172405463</v>
      </c>
      <c r="B1843" t="str">
        <f>"1552382645451345"</f>
        <v>1552382645451345</v>
      </c>
      <c r="C1843" t="s">
        <v>40</v>
      </c>
      <c r="D1843">
        <v>3.5990250000000001</v>
      </c>
      <c r="E1843">
        <v>0.46590199999999998</v>
      </c>
      <c r="F1843" t="s">
        <v>47</v>
      </c>
      <c r="G1843">
        <v>-278.29160000000002</v>
      </c>
      <c r="H1843" s="1">
        <v>3.0679529999999999E-6</v>
      </c>
      <c r="I1843">
        <v>280.2158</v>
      </c>
      <c r="J1843">
        <v>-249.73480000000001</v>
      </c>
      <c r="K1843">
        <v>1.1087929999999999</v>
      </c>
      <c r="L1843">
        <v>282.45389999999998</v>
      </c>
      <c r="M1843">
        <v>-0.99989459999999997</v>
      </c>
      <c r="N1843">
        <v>0</v>
      </c>
      <c r="O1843">
        <v>1.4492939999999999E-2</v>
      </c>
      <c r="P1843">
        <v>-0.98095429999999995</v>
      </c>
      <c r="Q1843">
        <v>0.19395770000000001</v>
      </c>
      <c r="R1843">
        <v>1.044984E-2</v>
      </c>
      <c r="S1843">
        <v>-3.0843509999999998</v>
      </c>
      <c r="T1843">
        <v>-0.11861960000000001</v>
      </c>
      <c r="U1843">
        <v>-0.2390137</v>
      </c>
      <c r="V1843">
        <v>-3.7793060000000001E-3</v>
      </c>
      <c r="W1843">
        <v>0.1948213</v>
      </c>
      <c r="X1843">
        <v>0.98083140000000002</v>
      </c>
      <c r="Y1843">
        <v>-9.1624269999999994E-2</v>
      </c>
      <c r="Z1843">
        <v>-2.3149849999999999E-3</v>
      </c>
      <c r="AA1843">
        <v>0.99579099999999998</v>
      </c>
      <c r="AB1843">
        <v>30</v>
      </c>
      <c r="AC1843">
        <v>-28.556799999999999</v>
      </c>
      <c r="AD1843">
        <v>-1.1087899320469901</v>
      </c>
      <c r="AE1843">
        <v>-2.23809999999997</v>
      </c>
      <c r="AF1843">
        <v>-2.64776973185324</v>
      </c>
      <c r="AG1843">
        <v>-1.1087899320469901</v>
      </c>
      <c r="AH1843">
        <v>28.478692357940901</v>
      </c>
      <c r="AI1843">
        <v>92.220063837996605</v>
      </c>
      <c r="AJ1843">
        <v>95.311731339599405</v>
      </c>
      <c r="AK1843">
        <v>28.622998062477102</v>
      </c>
      <c r="AL1843">
        <v>78.765714560396205</v>
      </c>
      <c r="AM1843">
        <v>90.220769045177605</v>
      </c>
      <c r="AN1843">
        <v>0.99999992865674303</v>
      </c>
    </row>
    <row r="1844" spans="1:40" x14ac:dyDescent="0.25">
      <c r="A1844" t="str">
        <f>"20190312172405475"</f>
        <v>20190312172405475</v>
      </c>
      <c r="B1844" t="str">
        <f>"1552382645471842"</f>
        <v>1552382645471842</v>
      </c>
      <c r="C1844" t="s">
        <v>40</v>
      </c>
      <c r="D1844">
        <v>3.573858</v>
      </c>
      <c r="E1844">
        <v>0.46558500000000003</v>
      </c>
      <c r="F1844" t="s">
        <v>47</v>
      </c>
      <c r="G1844">
        <v>-278.63119999999998</v>
      </c>
      <c r="H1844" s="1">
        <v>3.2500179999999999E-6</v>
      </c>
      <c r="I1844">
        <v>280.18430000000001</v>
      </c>
      <c r="J1844">
        <v>-249.91130000000001</v>
      </c>
      <c r="K1844">
        <v>1.108787</v>
      </c>
      <c r="L1844">
        <v>282.45650000000001</v>
      </c>
      <c r="M1844">
        <v>-0.99989470000000003</v>
      </c>
      <c r="N1844">
        <v>0</v>
      </c>
      <c r="O1844">
        <v>1.4484769999999999E-2</v>
      </c>
      <c r="P1844">
        <v>-0.98092409999999997</v>
      </c>
      <c r="Q1844">
        <v>0.19411049999999999</v>
      </c>
      <c r="R1844">
        <v>1.04414E-2</v>
      </c>
      <c r="S1844">
        <v>-3.0842130000000001</v>
      </c>
      <c r="T1844">
        <v>-0.11834500000000001</v>
      </c>
      <c r="U1844">
        <v>-0.24224850000000001</v>
      </c>
      <c r="V1844">
        <v>-3.774945E-3</v>
      </c>
      <c r="W1844">
        <v>0.1950201</v>
      </c>
      <c r="X1844">
        <v>0.980792</v>
      </c>
      <c r="Y1844">
        <v>-9.2657210000000004E-2</v>
      </c>
      <c r="Z1844">
        <v>-2.329107E-3</v>
      </c>
      <c r="AA1844">
        <v>0.99569540000000001</v>
      </c>
      <c r="AB1844">
        <v>30</v>
      </c>
      <c r="AC1844">
        <v>-28.7198999999999</v>
      </c>
      <c r="AD1844">
        <v>-1.1087837499819999</v>
      </c>
      <c r="AE1844">
        <v>-2.27219999999999</v>
      </c>
      <c r="AF1844">
        <v>-2.6839873711489202</v>
      </c>
      <c r="AG1844">
        <v>-1.1087837499819999</v>
      </c>
      <c r="AH1844">
        <v>28.641550413432299</v>
      </c>
      <c r="AI1844">
        <v>92.207290455416498</v>
      </c>
      <c r="AJ1844">
        <v>95.353528743648994</v>
      </c>
      <c r="AK1844">
        <v>28.788393489354299</v>
      </c>
      <c r="AL1844">
        <v>78.754102429570494</v>
      </c>
      <c r="AM1844">
        <v>90.220523157186605</v>
      </c>
      <c r="AN1844">
        <v>1.00000001843888</v>
      </c>
    </row>
    <row r="1845" spans="1:40" x14ac:dyDescent="0.25">
      <c r="A1845" t="str">
        <f>"20190312172405498"</f>
        <v>20190312172405498</v>
      </c>
      <c r="B1845" t="str">
        <f>"1552382645491362"</f>
        <v>1552382645491362</v>
      </c>
      <c r="C1845" t="s">
        <v>40</v>
      </c>
      <c r="D1845">
        <v>3.5812819999999999</v>
      </c>
      <c r="E1845">
        <v>0.465252</v>
      </c>
      <c r="F1845" t="s">
        <v>47</v>
      </c>
      <c r="G1845">
        <v>-278.90249999999997</v>
      </c>
      <c r="H1845" s="1">
        <v>3.395527E-6</v>
      </c>
      <c r="I1845">
        <v>280.15820000000002</v>
      </c>
      <c r="J1845">
        <v>-250.21090000000001</v>
      </c>
      <c r="K1845">
        <v>1.108781</v>
      </c>
      <c r="L1845">
        <v>282.46080000000001</v>
      </c>
      <c r="M1845">
        <v>-0.99989470000000003</v>
      </c>
      <c r="N1845">
        <v>0</v>
      </c>
      <c r="O1845">
        <v>1.4484210000000001E-2</v>
      </c>
      <c r="P1845">
        <v>-0.98090379999999999</v>
      </c>
      <c r="Q1845">
        <v>0.1942102</v>
      </c>
      <c r="R1845">
        <v>1.0502060000000001E-2</v>
      </c>
      <c r="S1845">
        <v>-3.0842900000000002</v>
      </c>
      <c r="T1845">
        <v>-0.1179602</v>
      </c>
      <c r="U1845">
        <v>-0.2445068</v>
      </c>
      <c r="V1845">
        <v>-3.7065290000000001E-3</v>
      </c>
      <c r="W1845">
        <v>0.19519919999999999</v>
      </c>
      <c r="X1845">
        <v>0.98075659999999998</v>
      </c>
      <c r="Y1845">
        <v>-9.3379240000000002E-2</v>
      </c>
      <c r="Z1845">
        <v>-2.3351750000000001E-3</v>
      </c>
      <c r="AA1845">
        <v>0.99562790000000001</v>
      </c>
      <c r="AB1845">
        <v>30</v>
      </c>
      <c r="AC1845">
        <v>-28.691599999999902</v>
      </c>
      <c r="AD1845">
        <v>-1.108777604473</v>
      </c>
      <c r="AE1845">
        <v>-2.30259999999998</v>
      </c>
      <c r="AF1845">
        <v>-2.7139067367407401</v>
      </c>
      <c r="AG1845">
        <v>-1.108777604473</v>
      </c>
      <c r="AH1845">
        <v>28.612781652272901</v>
      </c>
      <c r="AI1845">
        <v>92.209260234234193</v>
      </c>
      <c r="AJ1845">
        <v>95.418263916161294</v>
      </c>
      <c r="AK1845">
        <v>28.762579012191399</v>
      </c>
      <c r="AL1845">
        <v>78.743639320781298</v>
      </c>
      <c r="AM1845">
        <v>90.216534313693899</v>
      </c>
      <c r="AN1845">
        <v>0.99999998724071304</v>
      </c>
    </row>
    <row r="1846" spans="1:40" x14ac:dyDescent="0.25">
      <c r="A1846" t="str">
        <f>"20190312172405521"</f>
        <v>20190312172405521</v>
      </c>
      <c r="B1846" t="str">
        <f>"1552382645511857"</f>
        <v>1552382645511857</v>
      </c>
      <c r="C1846" t="s">
        <v>40</v>
      </c>
      <c r="D1846">
        <v>3.569477</v>
      </c>
      <c r="E1846">
        <v>0.464972</v>
      </c>
      <c r="F1846" t="s">
        <v>47</v>
      </c>
      <c r="G1846">
        <v>-279.25069999999999</v>
      </c>
      <c r="H1846" s="1">
        <v>3.5817010000000002E-6</v>
      </c>
      <c r="I1846">
        <v>280.13920000000002</v>
      </c>
      <c r="J1846">
        <v>-250.52289999999999</v>
      </c>
      <c r="K1846">
        <v>1.1087670000000001</v>
      </c>
      <c r="L1846">
        <v>282.46530000000001</v>
      </c>
      <c r="M1846">
        <v>-0.99989410000000001</v>
      </c>
      <c r="N1846">
        <v>0</v>
      </c>
      <c r="O1846">
        <v>1.451232E-2</v>
      </c>
      <c r="P1846">
        <v>-0.98078019999999999</v>
      </c>
      <c r="Q1846">
        <v>0.19480510000000001</v>
      </c>
      <c r="R1846">
        <v>1.1016059999999999E-2</v>
      </c>
      <c r="S1846">
        <v>-3.0843660000000002</v>
      </c>
      <c r="T1846">
        <v>-0.1177651</v>
      </c>
      <c r="U1846">
        <v>-0.246582</v>
      </c>
      <c r="V1846">
        <v>-3.2089620000000001E-3</v>
      </c>
      <c r="W1846">
        <v>0.19587769999999999</v>
      </c>
      <c r="X1846">
        <v>0.98062309999999997</v>
      </c>
      <c r="Y1846">
        <v>-9.4070680000000004E-2</v>
      </c>
      <c r="Z1846">
        <v>-2.3454420000000001E-3</v>
      </c>
      <c r="AA1846">
        <v>0.99556270000000002</v>
      </c>
      <c r="AB1846">
        <v>30</v>
      </c>
      <c r="AC1846">
        <v>-28.727799999999998</v>
      </c>
      <c r="AD1846">
        <v>-1.108763418299</v>
      </c>
      <c r="AE1846">
        <v>-2.3260999999999901</v>
      </c>
      <c r="AF1846">
        <v>-2.7387092720762798</v>
      </c>
      <c r="AG1846">
        <v>-1.108763418299</v>
      </c>
      <c r="AH1846">
        <v>28.6486202144897</v>
      </c>
      <c r="AI1846">
        <v>92.206315646394799</v>
      </c>
      <c r="AJ1846">
        <v>95.460684710154197</v>
      </c>
      <c r="AK1846">
        <v>28.800578553021801</v>
      </c>
      <c r="AL1846">
        <v>78.703999262625103</v>
      </c>
      <c r="AM1846">
        <v>90.187492343326895</v>
      </c>
      <c r="AN1846">
        <v>1.000000017524</v>
      </c>
    </row>
    <row r="1847" spans="1:40" x14ac:dyDescent="0.25">
      <c r="A1847" t="str">
        <f>"20190312172405542"</f>
        <v>20190312172405542</v>
      </c>
      <c r="B1847" t="str">
        <f>"1552382645531856"</f>
        <v>1552382645531856</v>
      </c>
      <c r="C1847" t="s">
        <v>40</v>
      </c>
      <c r="D1847">
        <v>3.5818400000000001</v>
      </c>
      <c r="E1847">
        <v>0.46471449999999997</v>
      </c>
      <c r="F1847" t="s">
        <v>48</v>
      </c>
      <c r="G1847">
        <v>-279.99619999999999</v>
      </c>
      <c r="H1847" s="1">
        <v>9.3368289999999994E-6</v>
      </c>
      <c r="I1847">
        <v>280.10169999999999</v>
      </c>
      <c r="J1847">
        <v>-250.821</v>
      </c>
      <c r="K1847">
        <v>1.108746</v>
      </c>
      <c r="L1847">
        <v>282.46969999999999</v>
      </c>
      <c r="M1847">
        <v>-0.99989300000000003</v>
      </c>
      <c r="N1847">
        <v>0</v>
      </c>
      <c r="O1847">
        <v>1.457907E-2</v>
      </c>
      <c r="P1847">
        <v>-0.98079309999999997</v>
      </c>
      <c r="Q1847">
        <v>0.1947381</v>
      </c>
      <c r="R1847">
        <v>1.104757E-2</v>
      </c>
      <c r="S1847">
        <v>-3.0845950000000002</v>
      </c>
      <c r="T1847">
        <v>-0.1160398</v>
      </c>
      <c r="U1847">
        <v>-0.2473755</v>
      </c>
      <c r="V1847">
        <v>-3.2304619999999999E-3</v>
      </c>
      <c r="W1847">
        <v>0.19589219999999999</v>
      </c>
      <c r="X1847">
        <v>0.98062009999999999</v>
      </c>
      <c r="Y1847">
        <v>-9.4387750000000006E-2</v>
      </c>
      <c r="Z1847">
        <v>-2.3193689999999999E-3</v>
      </c>
      <c r="AA1847">
        <v>0.9955328</v>
      </c>
      <c r="AB1847">
        <v>31</v>
      </c>
      <c r="AC1847">
        <v>-29.175199999999901</v>
      </c>
      <c r="AD1847">
        <v>-1.1087366631710001</v>
      </c>
      <c r="AE1847">
        <v>-2.3679999999999901</v>
      </c>
      <c r="AF1847">
        <v>-2.7890942524033902</v>
      </c>
      <c r="AG1847">
        <v>-1.1087366631710001</v>
      </c>
      <c r="AH1847">
        <v>29.095830619312199</v>
      </c>
      <c r="AI1847">
        <v>92.172330371551197</v>
      </c>
      <c r="AJ1847">
        <v>95.475579600761705</v>
      </c>
      <c r="AK1847">
        <v>29.250225694253199</v>
      </c>
      <c r="AL1847">
        <v>78.703151691103599</v>
      </c>
      <c r="AM1847">
        <v>90.188749107748507</v>
      </c>
      <c r="AN1847">
        <v>0.99999998521479105</v>
      </c>
    </row>
    <row r="1848" spans="1:40" x14ac:dyDescent="0.25">
      <c r="A1848" t="str">
        <f>"20190312172405563"</f>
        <v>20190312172405563</v>
      </c>
      <c r="B1848" t="str">
        <f>"1552382645551373"</f>
        <v>1552382645551373</v>
      </c>
      <c r="C1848" t="s">
        <v>40</v>
      </c>
      <c r="D1848">
        <v>3.5538050000000001</v>
      </c>
      <c r="E1848">
        <v>0.46449980000000002</v>
      </c>
      <c r="F1848" t="s">
        <v>48</v>
      </c>
      <c r="G1848">
        <v>-280.12599999999998</v>
      </c>
      <c r="H1848" s="1">
        <v>9.2783250000000007E-6</v>
      </c>
      <c r="I1848">
        <v>280.10599999999999</v>
      </c>
      <c r="J1848">
        <v>-251.11</v>
      </c>
      <c r="K1848">
        <v>1.1087100000000001</v>
      </c>
      <c r="L1848">
        <v>282.47399999999999</v>
      </c>
      <c r="M1848">
        <v>-0.99989159999999999</v>
      </c>
      <c r="N1848">
        <v>0</v>
      </c>
      <c r="O1848">
        <v>1.468654E-2</v>
      </c>
      <c r="P1848">
        <v>-0.98091130000000004</v>
      </c>
      <c r="Q1848">
        <v>0.19411439999999999</v>
      </c>
      <c r="R1848">
        <v>1.153329E-2</v>
      </c>
      <c r="S1848">
        <v>-3.0847630000000001</v>
      </c>
      <c r="T1848">
        <v>-0.1167101</v>
      </c>
      <c r="U1848">
        <v>-0.2488098</v>
      </c>
      <c r="V1848">
        <v>-2.8361250000000001E-3</v>
      </c>
      <c r="W1848">
        <v>0.19534750000000001</v>
      </c>
      <c r="X1848">
        <v>0.98072999999999999</v>
      </c>
      <c r="Y1848">
        <v>-9.4948980000000002E-2</v>
      </c>
      <c r="Z1848">
        <v>-2.3472430000000002E-3</v>
      </c>
      <c r="AA1848">
        <v>0.99547929999999996</v>
      </c>
      <c r="AB1848">
        <v>31</v>
      </c>
      <c r="AC1848">
        <v>-29.015999999999899</v>
      </c>
      <c r="AD1848">
        <v>-1.108700721675</v>
      </c>
      <c r="AE1848">
        <v>-2.3679999999999901</v>
      </c>
      <c r="AF1848">
        <v>-2.7898432522711198</v>
      </c>
      <c r="AG1848">
        <v>-1.108700721675</v>
      </c>
      <c r="AH1848">
        <v>28.936125484985102</v>
      </c>
      <c r="AI1848">
        <v>92.184122292161803</v>
      </c>
      <c r="AJ1848">
        <v>95.507084824416495</v>
      </c>
      <c r="AK1848">
        <v>29.091438615944899</v>
      </c>
      <c r="AL1848">
        <v>78.734975842076693</v>
      </c>
      <c r="AM1848">
        <v>90.165690393578501</v>
      </c>
      <c r="AN1848">
        <v>1.00000001113063</v>
      </c>
    </row>
    <row r="1849" spans="1:40" x14ac:dyDescent="0.25">
      <c r="A1849" t="str">
        <f>"20190312172405586"</f>
        <v>20190312172405586</v>
      </c>
      <c r="B1849" t="str">
        <f>"1552382645581629"</f>
        <v>1552382645581629</v>
      </c>
      <c r="C1849" t="s">
        <v>40</v>
      </c>
      <c r="D1849">
        <v>3.4937819999999999</v>
      </c>
      <c r="E1849">
        <v>0.46424209999999999</v>
      </c>
      <c r="F1849" t="s">
        <v>47</v>
      </c>
      <c r="G1849">
        <v>-279.92039999999997</v>
      </c>
      <c r="H1849" s="1">
        <v>3.9374800000000003E-6</v>
      </c>
      <c r="I1849">
        <v>280.15280000000001</v>
      </c>
      <c r="J1849">
        <v>-251.43770000000001</v>
      </c>
      <c r="K1849">
        <v>1.108676</v>
      </c>
      <c r="L1849">
        <v>282.47899999999998</v>
      </c>
      <c r="M1849">
        <v>-0.99988889999999997</v>
      </c>
      <c r="N1849">
        <v>0</v>
      </c>
      <c r="O1849">
        <v>1.485468E-2</v>
      </c>
      <c r="P1849">
        <v>-0.98090529999999998</v>
      </c>
      <c r="Q1849">
        <v>0.19413130000000001</v>
      </c>
      <c r="R1849">
        <v>1.175153E-2</v>
      </c>
      <c r="S1849">
        <v>-3.0848080000000002</v>
      </c>
      <c r="T1849">
        <v>-0.1187122</v>
      </c>
      <c r="U1849">
        <v>-0.24853520000000001</v>
      </c>
      <c r="V1849">
        <v>-2.764046E-3</v>
      </c>
      <c r="W1849">
        <v>0.19545499999999999</v>
      </c>
      <c r="X1849">
        <v>0.98070880000000005</v>
      </c>
      <c r="Y1849">
        <v>-9.5024269999999994E-2</v>
      </c>
      <c r="Z1849">
        <v>-2.3953580000000002E-3</v>
      </c>
      <c r="AA1849">
        <v>0.99547209999999997</v>
      </c>
      <c r="AB1849">
        <v>31</v>
      </c>
      <c r="AC1849">
        <v>-28.482699999999902</v>
      </c>
      <c r="AD1849">
        <v>-1.1086720625199999</v>
      </c>
      <c r="AE1849">
        <v>-2.32620000000002</v>
      </c>
      <c r="AF1849">
        <v>-2.7449137632712399</v>
      </c>
      <c r="AG1849">
        <v>-1.1086720625199999</v>
      </c>
      <c r="AH1849">
        <v>28.402254935991799</v>
      </c>
      <c r="AI1849">
        <v>92.2250294075791</v>
      </c>
      <c r="AJ1849">
        <v>95.5201621967649</v>
      </c>
      <c r="AK1849">
        <v>28.556116520967599</v>
      </c>
      <c r="AL1849">
        <v>78.728695625111797</v>
      </c>
      <c r="AM1849">
        <v>90.161482950750397</v>
      </c>
      <c r="AN1849">
        <v>1.00000002368636</v>
      </c>
    </row>
    <row r="1850" spans="1:40" x14ac:dyDescent="0.25">
      <c r="A1850" t="str">
        <f>"20190312172405608"</f>
        <v>20190312172405608</v>
      </c>
      <c r="B1850" t="str">
        <f>"1552382645602126"</f>
        <v>1552382645602126</v>
      </c>
      <c r="C1850" t="s">
        <v>40</v>
      </c>
      <c r="D1850">
        <v>3.515171</v>
      </c>
      <c r="E1850">
        <v>0.46400550000000002</v>
      </c>
      <c r="F1850" t="s">
        <v>48</v>
      </c>
      <c r="G1850">
        <v>-280.3467</v>
      </c>
      <c r="H1850" s="1">
        <v>9.1736050000000001E-6</v>
      </c>
      <c r="I1850">
        <v>280.13929999999999</v>
      </c>
      <c r="J1850">
        <v>-251.74629999999999</v>
      </c>
      <c r="K1850">
        <v>1.1086419999999999</v>
      </c>
      <c r="L1850">
        <v>282.48379999999997</v>
      </c>
      <c r="M1850">
        <v>-0.99988569999999999</v>
      </c>
      <c r="N1850">
        <v>0</v>
      </c>
      <c r="O1850">
        <v>1.506002E-2</v>
      </c>
      <c r="P1850">
        <v>-0.98088520000000001</v>
      </c>
      <c r="Q1850">
        <v>0.1942055</v>
      </c>
      <c r="R1850">
        <v>1.2201760000000001E-2</v>
      </c>
      <c r="S1850">
        <v>-3.0848080000000002</v>
      </c>
      <c r="T1850">
        <v>-0.1183028</v>
      </c>
      <c r="U1850">
        <v>-0.24966430000000001</v>
      </c>
      <c r="V1850">
        <v>-2.4969440000000001E-3</v>
      </c>
      <c r="W1850">
        <v>0.19561490000000001</v>
      </c>
      <c r="X1850">
        <v>0.98067760000000004</v>
      </c>
      <c r="Y1850">
        <v>-9.5590690000000006E-2</v>
      </c>
      <c r="Z1850">
        <v>-2.4057689999999999E-3</v>
      </c>
      <c r="AA1850">
        <v>0.99541780000000002</v>
      </c>
      <c r="AB1850">
        <v>31</v>
      </c>
      <c r="AC1850">
        <v>-28.6004</v>
      </c>
      <c r="AD1850">
        <v>-1.1086328263949901</v>
      </c>
      <c r="AE1850">
        <v>-2.34449999999998</v>
      </c>
      <c r="AF1850">
        <v>-2.7708215629087301</v>
      </c>
      <c r="AG1850">
        <v>-1.1086328263949901</v>
      </c>
      <c r="AH1850">
        <v>28.519282373672699</v>
      </c>
      <c r="AI1850">
        <v>92.215721119421005</v>
      </c>
      <c r="AJ1850">
        <v>95.549216591386497</v>
      </c>
      <c r="AK1850">
        <v>28.675006294446</v>
      </c>
      <c r="AL1850">
        <v>78.719353309663703</v>
      </c>
      <c r="AM1850">
        <v>90.145882850518205</v>
      </c>
      <c r="AN1850">
        <v>0.999999989486554</v>
      </c>
    </row>
    <row r="1851" spans="1:40" x14ac:dyDescent="0.25">
      <c r="A1851" t="str">
        <f>"20190312172405631"</f>
        <v>20190312172405631</v>
      </c>
      <c r="B1851" t="str">
        <f>"1552382645621645"</f>
        <v>1552382645621645</v>
      </c>
      <c r="C1851" t="s">
        <v>40</v>
      </c>
      <c r="D1851">
        <v>3.3075260000000002</v>
      </c>
      <c r="E1851">
        <v>0.46396100000000001</v>
      </c>
      <c r="F1851" t="s">
        <v>48</v>
      </c>
      <c r="G1851">
        <v>-280.68310000000002</v>
      </c>
      <c r="H1851" s="1">
        <v>9.0249289999999999E-6</v>
      </c>
      <c r="I1851">
        <v>280.13679999999999</v>
      </c>
      <c r="J1851">
        <v>-252.0675</v>
      </c>
      <c r="K1851">
        <v>1.108603</v>
      </c>
      <c r="L1851">
        <v>282.48880000000003</v>
      </c>
      <c r="M1851">
        <v>-0.99988140000000003</v>
      </c>
      <c r="N1851">
        <v>0</v>
      </c>
      <c r="O1851">
        <v>1.5326340000000001E-2</v>
      </c>
      <c r="P1851">
        <v>-0.98099460000000005</v>
      </c>
      <c r="Q1851">
        <v>0.19361800000000001</v>
      </c>
      <c r="R1851">
        <v>1.2714919999999999E-2</v>
      </c>
      <c r="S1851">
        <v>-3.0849760000000002</v>
      </c>
      <c r="T1851">
        <v>-0.1181923</v>
      </c>
      <c r="U1851">
        <v>-0.25021359999999998</v>
      </c>
      <c r="V1851">
        <v>-2.2268829999999998E-3</v>
      </c>
      <c r="W1851">
        <v>0.19511690000000001</v>
      </c>
      <c r="X1851">
        <v>0.98077740000000002</v>
      </c>
      <c r="Y1851">
        <v>-9.6027199999999993E-2</v>
      </c>
      <c r="Z1851">
        <v>-2.4219070000000001E-3</v>
      </c>
      <c r="AA1851">
        <v>0.99537580000000003</v>
      </c>
      <c r="AB1851">
        <v>31</v>
      </c>
      <c r="AC1851">
        <v>-28.615600000000001</v>
      </c>
      <c r="AD1851">
        <v>-1.1085939750710001</v>
      </c>
      <c r="AE1851">
        <v>-2.3520000000000301</v>
      </c>
      <c r="AF1851">
        <v>-2.7861431191208799</v>
      </c>
      <c r="AG1851">
        <v>-1.1085939750710001</v>
      </c>
      <c r="AH1851">
        <v>28.533653783065599</v>
      </c>
      <c r="AI1851">
        <v>92.214424546692598</v>
      </c>
      <c r="AJ1851">
        <v>95.576915887951898</v>
      </c>
      <c r="AK1851">
        <v>28.690782009099099</v>
      </c>
      <c r="AL1851">
        <v>78.748446626609393</v>
      </c>
      <c r="AM1851">
        <v>90.130091474490996</v>
      </c>
      <c r="AN1851">
        <v>0.99999993601213</v>
      </c>
    </row>
    <row r="1852" spans="1:40" x14ac:dyDescent="0.25">
      <c r="A1852" t="str">
        <f>"20190312172405731"</f>
        <v>20190312172405731</v>
      </c>
      <c r="B1852" t="str">
        <f>"1552382645722173"</f>
        <v>1552382645722173</v>
      </c>
      <c r="C1852" t="s">
        <v>40</v>
      </c>
      <c r="D1852">
        <v>3.622655</v>
      </c>
      <c r="E1852">
        <v>0.4804254</v>
      </c>
      <c r="F1852" t="s">
        <v>48</v>
      </c>
      <c r="G1852">
        <v>-280.60939999999999</v>
      </c>
      <c r="H1852" s="1">
        <v>9.0482139999999992E-6</v>
      </c>
      <c r="I1852">
        <v>280.18239999999997</v>
      </c>
      <c r="J1852">
        <v>-253.5129</v>
      </c>
      <c r="K1852">
        <v>1.108479</v>
      </c>
      <c r="L1852">
        <v>282.51350000000002</v>
      </c>
      <c r="M1852">
        <v>-0.99985049999999998</v>
      </c>
      <c r="N1852">
        <v>0</v>
      </c>
      <c r="O1852">
        <v>1.716312E-2</v>
      </c>
      <c r="P1852">
        <v>-0.98111479999999995</v>
      </c>
      <c r="Q1852">
        <v>0.1928455</v>
      </c>
      <c r="R1852">
        <v>1.4978679999999999E-2</v>
      </c>
      <c r="S1852">
        <v>-3.0850070000000001</v>
      </c>
      <c r="T1852">
        <v>-0.1198248</v>
      </c>
      <c r="U1852">
        <v>-0.24929809999999999</v>
      </c>
      <c r="V1852">
        <v>-1.675574E-3</v>
      </c>
      <c r="W1852">
        <v>0.19489380000000001</v>
      </c>
      <c r="X1852">
        <v>0.98082290000000005</v>
      </c>
      <c r="Y1852">
        <v>-9.7556580000000004E-2</v>
      </c>
      <c r="Z1852">
        <v>-2.5561960000000002E-3</v>
      </c>
      <c r="AA1852">
        <v>0.99522670000000002</v>
      </c>
      <c r="AB1852">
        <v>32</v>
      </c>
      <c r="AC1852">
        <v>-27.096499999999899</v>
      </c>
      <c r="AD1852">
        <v>-1.1084699517859999</v>
      </c>
      <c r="AE1852">
        <v>-2.3311000000000401</v>
      </c>
      <c r="AF1852">
        <v>-2.7911814595048998</v>
      </c>
      <c r="AG1852">
        <v>-1.1084699517859999</v>
      </c>
      <c r="AH1852">
        <v>27.0076349215229</v>
      </c>
      <c r="AI1852">
        <v>92.337824425543104</v>
      </c>
      <c r="AJ1852">
        <v>95.900448960497002</v>
      </c>
      <c r="AK1852">
        <v>27.174100603849901</v>
      </c>
      <c r="AL1852">
        <v>78.761480031173406</v>
      </c>
      <c r="AM1852">
        <v>90.097880285084798</v>
      </c>
      <c r="AN1852">
        <v>0.999999980995539</v>
      </c>
    </row>
    <row r="1853" spans="1:40" x14ac:dyDescent="0.25">
      <c r="A1853" t="str">
        <f>"20190312172405753"</f>
        <v>20190312172405753</v>
      </c>
      <c r="B1853" t="str">
        <f>"1552382645741697"</f>
        <v>1552382645741697</v>
      </c>
      <c r="C1853" t="s">
        <v>40</v>
      </c>
      <c r="D1853">
        <v>3.4821819999999999</v>
      </c>
      <c r="E1853">
        <v>0.48472110000000002</v>
      </c>
      <c r="F1853" t="s">
        <v>41</v>
      </c>
      <c r="G1853">
        <v>-254.3486</v>
      </c>
      <c r="H1853">
        <v>0.97607909999999998</v>
      </c>
      <c r="I1853">
        <v>282.48419999999999</v>
      </c>
      <c r="J1853">
        <v>-253.8254</v>
      </c>
      <c r="K1853">
        <v>1.108519</v>
      </c>
      <c r="L1853">
        <v>282.51929999999999</v>
      </c>
      <c r="M1853">
        <v>-0.99984099999999998</v>
      </c>
      <c r="N1853">
        <v>0</v>
      </c>
      <c r="O1853">
        <v>1.7666310000000001E-2</v>
      </c>
      <c r="P1853">
        <v>-0.98114840000000003</v>
      </c>
      <c r="Q1853">
        <v>0.19259970000000001</v>
      </c>
      <c r="R1853">
        <v>1.5929189999999999E-2</v>
      </c>
      <c r="S1853">
        <v>-3.1577609999999998</v>
      </c>
      <c r="T1853">
        <v>-0.500204599999999</v>
      </c>
      <c r="U1853">
        <v>-0.1109009</v>
      </c>
      <c r="V1853">
        <v>-1.199901E-3</v>
      </c>
      <c r="W1853">
        <v>0.1950103</v>
      </c>
      <c r="X1853">
        <v>0.98080040000000002</v>
      </c>
      <c r="Y1853">
        <v>-5.1882240000000003E-2</v>
      </c>
      <c r="Z1853">
        <v>-6.8628680000000003E-3</v>
      </c>
      <c r="AA1853">
        <v>0.99862960000000001</v>
      </c>
      <c r="AB1853">
        <v>32</v>
      </c>
      <c r="AC1853">
        <v>-0.523200000000002</v>
      </c>
      <c r="AD1853">
        <v>-0.1324399</v>
      </c>
      <c r="AE1853">
        <v>-3.5099999999999902E-2</v>
      </c>
      <c r="AF1853">
        <v>-4.16788713660977E-2</v>
      </c>
      <c r="AG1853">
        <v>-0.1324399</v>
      </c>
      <c r="AH1853">
        <v>0.49116677518530499</v>
      </c>
      <c r="AI1853">
        <v>105.038944976073</v>
      </c>
      <c r="AJ1853">
        <v>94.850320458286802</v>
      </c>
      <c r="AK1853">
        <v>0.51041380905721401</v>
      </c>
      <c r="AL1853">
        <v>78.754674034906202</v>
      </c>
      <c r="AM1853">
        <v>90.070095025282299</v>
      </c>
      <c r="AN1853">
        <v>0.99999994075432797</v>
      </c>
    </row>
    <row r="1854" spans="1:40" x14ac:dyDescent="0.25">
      <c r="A1854" t="str">
        <f>"20190312172405766"</f>
        <v>20190312172405766</v>
      </c>
      <c r="B1854" t="str">
        <f>"1552382645762191"</f>
        <v>1552382645762191</v>
      </c>
      <c r="C1854" t="s">
        <v>40</v>
      </c>
      <c r="D1854">
        <v>4.032159</v>
      </c>
      <c r="E1854">
        <v>0.4861839</v>
      </c>
      <c r="F1854" t="s">
        <v>41</v>
      </c>
      <c r="G1854">
        <v>-254.6464</v>
      </c>
      <c r="H1854">
        <v>0.99275409999999997</v>
      </c>
      <c r="I1854">
        <v>282.50020000000001</v>
      </c>
      <c r="J1854">
        <v>-254.00800000000001</v>
      </c>
      <c r="K1854">
        <v>1.108565</v>
      </c>
      <c r="L1854">
        <v>282.52280000000002</v>
      </c>
      <c r="M1854">
        <v>-0.99983469999999997</v>
      </c>
      <c r="N1854">
        <v>0</v>
      </c>
      <c r="O1854">
        <v>1.7974859999999999E-2</v>
      </c>
      <c r="P1854">
        <v>-0.98114190000000001</v>
      </c>
      <c r="Q1854">
        <v>0.19260150000000001</v>
      </c>
      <c r="R1854">
        <v>1.6286189999999999E-2</v>
      </c>
      <c r="S1854">
        <v>-3.145905</v>
      </c>
      <c r="T1854">
        <v>-0.44359349999999997</v>
      </c>
      <c r="U1854">
        <v>-7.3547360000000006E-2</v>
      </c>
      <c r="V1854">
        <v>-1.1338870000000001E-3</v>
      </c>
      <c r="W1854">
        <v>0.1953213</v>
      </c>
      <c r="X1854">
        <v>0.98073860000000002</v>
      </c>
      <c r="Y1854">
        <v>-4.0757870000000002E-2</v>
      </c>
      <c r="Z1854">
        <v>-5.380836E-3</v>
      </c>
      <c r="AA1854">
        <v>0.9991546</v>
      </c>
      <c r="AB1854">
        <v>32</v>
      </c>
      <c r="AC1854">
        <v>-0.63840000000001795</v>
      </c>
      <c r="AD1854">
        <v>-0.11581089999999999</v>
      </c>
      <c r="AE1854">
        <v>-2.2600000000011201E-2</v>
      </c>
      <c r="AF1854">
        <v>-3.2987325039021999E-2</v>
      </c>
      <c r="AG1854">
        <v>-0.11581089999999999</v>
      </c>
      <c r="AH1854">
        <v>0.61759180911715295</v>
      </c>
      <c r="AI1854">
        <v>100.605995199875</v>
      </c>
      <c r="AJ1854">
        <v>93.057424282316404</v>
      </c>
      <c r="AK1854">
        <v>0.62922171836375596</v>
      </c>
      <c r="AL1854">
        <v>78.736505764529596</v>
      </c>
      <c r="AM1854">
        <v>90.066242840444602</v>
      </c>
      <c r="AN1854">
        <v>0.99999994873168796</v>
      </c>
    </row>
    <row r="1855" spans="1:40" x14ac:dyDescent="0.25">
      <c r="A1855" t="str">
        <f>"20190312172405787"</f>
        <v>20190312172405787</v>
      </c>
      <c r="B1855" t="str">
        <f>"1552382645781710"</f>
        <v>1552382645781710</v>
      </c>
      <c r="C1855" t="s">
        <v>40</v>
      </c>
      <c r="D1855">
        <v>3.489811</v>
      </c>
      <c r="E1855">
        <v>0.48772539999999998</v>
      </c>
      <c r="F1855" t="s">
        <v>41</v>
      </c>
      <c r="G1855">
        <v>-254.93860000000001</v>
      </c>
      <c r="H1855">
        <v>0.99572039999999995</v>
      </c>
      <c r="I1855">
        <v>282.505</v>
      </c>
      <c r="J1855">
        <v>-254.3091</v>
      </c>
      <c r="K1855">
        <v>1.108695</v>
      </c>
      <c r="L1855">
        <v>282.52870000000001</v>
      </c>
      <c r="M1855">
        <v>-0.99982260000000001</v>
      </c>
      <c r="N1855">
        <v>0</v>
      </c>
      <c r="O1855">
        <v>1.8504550000000002E-2</v>
      </c>
      <c r="P1855">
        <v>-0.98128190000000004</v>
      </c>
      <c r="Q1855">
        <v>0.19187850000000001</v>
      </c>
      <c r="R1855">
        <v>1.639765E-2</v>
      </c>
      <c r="S1855">
        <v>-3.13327</v>
      </c>
      <c r="T1855">
        <v>-0.38002930000000001</v>
      </c>
      <c r="U1855">
        <v>-6.0516359999999998E-2</v>
      </c>
      <c r="V1855">
        <v>-1.5267099999999999E-3</v>
      </c>
      <c r="W1855">
        <v>0.1953358</v>
      </c>
      <c r="X1855">
        <v>0.98073520000000003</v>
      </c>
      <c r="Y1855">
        <v>-3.7398849999999997E-2</v>
      </c>
      <c r="Z1855">
        <v>-4.4955389999999998E-3</v>
      </c>
      <c r="AA1855">
        <v>0.99929029999999996</v>
      </c>
      <c r="AB1855">
        <v>32</v>
      </c>
      <c r="AC1855">
        <v>-0.62950000000000705</v>
      </c>
      <c r="AD1855">
        <v>-0.11297459999999999</v>
      </c>
      <c r="AE1855">
        <v>-2.3700000000019299E-2</v>
      </c>
      <c r="AF1855">
        <v>-3.4243265862810103E-2</v>
      </c>
      <c r="AG1855">
        <v>-0.11297459999999999</v>
      </c>
      <c r="AH1855">
        <v>0.60935503645514499</v>
      </c>
      <c r="AI1855">
        <v>100.487214242181</v>
      </c>
      <c r="AJ1855">
        <v>93.216406009470901</v>
      </c>
      <c r="AK1855">
        <v>0.620684639696651</v>
      </c>
      <c r="AL1855">
        <v>78.735658890617898</v>
      </c>
      <c r="AM1855">
        <v>90.089192239537695</v>
      </c>
      <c r="AN1855">
        <v>0.99999996906205102</v>
      </c>
    </row>
    <row r="1856" spans="1:40" x14ac:dyDescent="0.25">
      <c r="A1856" t="str">
        <f>"20190312172405810"</f>
        <v>20190312172405810</v>
      </c>
      <c r="B1856" t="str">
        <f>"1552382645802205"</f>
        <v>1552382645802205</v>
      </c>
      <c r="C1856" t="s">
        <v>40</v>
      </c>
      <c r="D1856">
        <v>3.6326299999999998</v>
      </c>
      <c r="E1856">
        <v>0.48826839999999999</v>
      </c>
      <c r="F1856" t="s">
        <v>41</v>
      </c>
      <c r="G1856">
        <v>-255.2346</v>
      </c>
      <c r="H1856">
        <v>1.0089889999999999</v>
      </c>
      <c r="I1856">
        <v>282.5147</v>
      </c>
      <c r="J1856">
        <v>-254.6551</v>
      </c>
      <c r="K1856">
        <v>1.1088880000000001</v>
      </c>
      <c r="L1856">
        <v>282.53590000000003</v>
      </c>
      <c r="M1856">
        <v>-0.99980590000000003</v>
      </c>
      <c r="N1856">
        <v>0</v>
      </c>
      <c r="O1856">
        <v>1.9143449999999999E-2</v>
      </c>
      <c r="P1856">
        <v>-0.98145769999999999</v>
      </c>
      <c r="Q1856">
        <v>0.19096160000000001</v>
      </c>
      <c r="R1856">
        <v>1.6574229999999999E-2</v>
      </c>
      <c r="S1856">
        <v>-3.12384</v>
      </c>
      <c r="T1856">
        <v>-0.336682599999999</v>
      </c>
      <c r="U1856">
        <v>-4.7821040000000002E-2</v>
      </c>
      <c r="V1856">
        <v>-1.9634119999999999E-3</v>
      </c>
      <c r="W1856">
        <v>0.19554569999999999</v>
      </c>
      <c r="X1856">
        <v>0.98069260000000003</v>
      </c>
      <c r="Y1856">
        <v>-3.4136729999999997E-2</v>
      </c>
      <c r="Z1856">
        <v>-3.8913609999999999E-3</v>
      </c>
      <c r="AA1856">
        <v>0.99940960000000001</v>
      </c>
      <c r="AB1856">
        <v>32</v>
      </c>
      <c r="AC1856">
        <v>-0.57949999999999502</v>
      </c>
      <c r="AD1856">
        <v>-9.9898999999999905E-2</v>
      </c>
      <c r="AE1856">
        <v>-2.1200000000021601E-2</v>
      </c>
      <c r="AF1856">
        <v>-3.13591867609554E-2</v>
      </c>
      <c r="AG1856">
        <v>-9.9898999999999905E-2</v>
      </c>
      <c r="AH1856">
        <v>0.56230002003505597</v>
      </c>
      <c r="AI1856">
        <v>100.058822724888</v>
      </c>
      <c r="AJ1856">
        <v>93.192049944039496</v>
      </c>
      <c r="AK1856">
        <v>0.57196548962916705</v>
      </c>
      <c r="AL1856">
        <v>78.723396099181798</v>
      </c>
      <c r="AM1856">
        <v>90.114709819103197</v>
      </c>
      <c r="AN1856">
        <v>0.99999997573496502</v>
      </c>
    </row>
    <row r="1857" spans="1:40" x14ac:dyDescent="0.25">
      <c r="A1857" t="str">
        <f>"20190312172405832"</f>
        <v>20190312172405832</v>
      </c>
      <c r="B1857" t="str">
        <f>"1552382645821725"</f>
        <v>1552382645821725</v>
      </c>
      <c r="C1857" t="s">
        <v>40</v>
      </c>
      <c r="D1857">
        <v>3.5037919999999998</v>
      </c>
      <c r="E1857">
        <v>0.4888632</v>
      </c>
      <c r="F1857" t="s">
        <v>41</v>
      </c>
      <c r="G1857">
        <v>-255.53100000000001</v>
      </c>
      <c r="H1857">
        <v>1.0219389999999999</v>
      </c>
      <c r="I1857">
        <v>282.52409999999998</v>
      </c>
      <c r="J1857">
        <v>-254.96860000000001</v>
      </c>
      <c r="K1857">
        <v>1.1090279999999999</v>
      </c>
      <c r="L1857">
        <v>282.54250000000002</v>
      </c>
      <c r="M1857">
        <v>-0.99978820000000002</v>
      </c>
      <c r="N1857">
        <v>0</v>
      </c>
      <c r="O1857">
        <v>1.9788190000000001E-2</v>
      </c>
      <c r="P1857">
        <v>-0.98160449999999999</v>
      </c>
      <c r="Q1857">
        <v>0.19017899999999999</v>
      </c>
      <c r="R1857">
        <v>1.686555E-2</v>
      </c>
      <c r="S1857">
        <v>-3.117645</v>
      </c>
      <c r="T1857">
        <v>-0.30959340000000002</v>
      </c>
      <c r="U1857">
        <v>-4.2724610000000003E-2</v>
      </c>
      <c r="V1857">
        <v>-2.2944150000000002E-3</v>
      </c>
      <c r="W1857">
        <v>0.19571830000000001</v>
      </c>
      <c r="X1857">
        <v>0.98065749999999996</v>
      </c>
      <c r="Y1857">
        <v>-3.3226110000000003E-2</v>
      </c>
      <c r="Z1857">
        <v>-3.6057419999999999E-3</v>
      </c>
      <c r="AA1857">
        <v>0.99944140000000004</v>
      </c>
      <c r="AB1857">
        <v>32</v>
      </c>
      <c r="AC1857">
        <v>-0.56239999999996804</v>
      </c>
      <c r="AD1857">
        <v>-8.7089000000000194E-2</v>
      </c>
      <c r="AE1857">
        <v>-1.8400000000042299E-2</v>
      </c>
      <c r="AF1857">
        <v>-2.8834755971782401E-2</v>
      </c>
      <c r="AG1857">
        <v>-8.7089000000000194E-2</v>
      </c>
      <c r="AH1857">
        <v>0.54878048155970904</v>
      </c>
      <c r="AI1857">
        <v>99.005167948598995</v>
      </c>
      <c r="AJ1857">
        <v>93.007745367798194</v>
      </c>
      <c r="AK1857">
        <v>0.55639550143208305</v>
      </c>
      <c r="AL1857">
        <v>78.713312557131204</v>
      </c>
      <c r="AM1857">
        <v>90.134052975762302</v>
      </c>
      <c r="AN1857">
        <v>1.00000002480066</v>
      </c>
    </row>
    <row r="1858" spans="1:40" x14ac:dyDescent="0.25">
      <c r="A1858" t="str">
        <f>"20190312172405853"</f>
        <v>20190312172405853</v>
      </c>
      <c r="B1858" t="str">
        <f>"1552382645842221"</f>
        <v>1552382645842221</v>
      </c>
      <c r="C1858" t="s">
        <v>40</v>
      </c>
      <c r="D1858">
        <v>3.4712670000000001</v>
      </c>
      <c r="E1858">
        <v>0.48943500000000001</v>
      </c>
      <c r="F1858" t="s">
        <v>41</v>
      </c>
      <c r="G1858">
        <v>-255.8263</v>
      </c>
      <c r="H1858">
        <v>1.0292399999999999</v>
      </c>
      <c r="I1858">
        <v>282.5326</v>
      </c>
      <c r="J1858">
        <v>-255.27430000000001</v>
      </c>
      <c r="K1858">
        <v>1.1091040000000001</v>
      </c>
      <c r="L1858">
        <v>282.54930000000002</v>
      </c>
      <c r="M1858">
        <v>-0.99976989999999999</v>
      </c>
      <c r="N1858">
        <v>0</v>
      </c>
      <c r="O1858">
        <v>2.046011E-2</v>
      </c>
      <c r="P1858">
        <v>-0.98170690000000005</v>
      </c>
      <c r="Q1858">
        <v>0.18960759999999999</v>
      </c>
      <c r="R1858">
        <v>1.734337E-2</v>
      </c>
      <c r="S1858">
        <v>-3.1129609999999999</v>
      </c>
      <c r="T1858">
        <v>-0.28969430000000002</v>
      </c>
      <c r="U1858">
        <v>-3.6376949999999998E-2</v>
      </c>
      <c r="V1858">
        <v>-2.4645069999999999E-3</v>
      </c>
      <c r="W1858">
        <v>0.19595580000000001</v>
      </c>
      <c r="X1858">
        <v>0.98060970000000003</v>
      </c>
      <c r="Y1858">
        <v>-3.1915270000000003E-2</v>
      </c>
      <c r="Z1858">
        <v>-3.3816380000000002E-3</v>
      </c>
      <c r="AA1858">
        <v>0.99948479999999995</v>
      </c>
      <c r="AB1858">
        <v>32</v>
      </c>
      <c r="AC1858">
        <v>-0.55199999999999205</v>
      </c>
      <c r="AD1858">
        <v>-7.9864000000000102E-2</v>
      </c>
      <c r="AE1858">
        <v>-1.6700000000014301E-2</v>
      </c>
      <c r="AF1858">
        <v>-2.74173271312519E-2</v>
      </c>
      <c r="AG1858">
        <v>-7.9864000000000102E-2</v>
      </c>
      <c r="AH1858">
        <v>0.54024435587303699</v>
      </c>
      <c r="AI1858">
        <v>98.398443703309695</v>
      </c>
      <c r="AJ1858">
        <v>92.905260467258401</v>
      </c>
      <c r="AK1858">
        <v>0.54680337633896703</v>
      </c>
      <c r="AL1858">
        <v>78.699436590507801</v>
      </c>
      <c r="AM1858">
        <v>90.143997711198097</v>
      </c>
      <c r="AN1858">
        <v>1.0000000665412301</v>
      </c>
    </row>
    <row r="1859" spans="1:40" x14ac:dyDescent="0.25">
      <c r="A1859" t="str">
        <f>"20190312172405876"</f>
        <v>20190312172405876</v>
      </c>
      <c r="B1859" t="str">
        <f>"1552382645871502"</f>
        <v>1552382645871502</v>
      </c>
      <c r="C1859" t="s">
        <v>40</v>
      </c>
      <c r="D1859">
        <v>3.4444539999999999</v>
      </c>
      <c r="E1859">
        <v>0.4896974</v>
      </c>
      <c r="F1859" t="s">
        <v>41</v>
      </c>
      <c r="G1859">
        <v>-256.12169999999998</v>
      </c>
      <c r="H1859">
        <v>1.0328900000000001</v>
      </c>
      <c r="I1859">
        <v>282.541</v>
      </c>
      <c r="J1859">
        <v>-255.59809999999999</v>
      </c>
      <c r="K1859">
        <v>1.1091569999999999</v>
      </c>
      <c r="L1859">
        <v>282.5566</v>
      </c>
      <c r="M1859">
        <v>-0.99974929999999995</v>
      </c>
      <c r="N1859">
        <v>0</v>
      </c>
      <c r="O1859">
        <v>2.1189530000000002E-2</v>
      </c>
      <c r="P1859">
        <v>-0.98189009999999999</v>
      </c>
      <c r="Q1859">
        <v>0.18859799999999999</v>
      </c>
      <c r="R1859">
        <v>1.7982100000000001E-2</v>
      </c>
      <c r="S1859">
        <v>-3.1104430000000001</v>
      </c>
      <c r="T1859">
        <v>-0.27967520000000001</v>
      </c>
      <c r="U1859">
        <v>-3.0029299999999998E-2</v>
      </c>
      <c r="V1859">
        <v>-2.5282210000000002E-3</v>
      </c>
      <c r="W1859">
        <v>0.1957197</v>
      </c>
      <c r="X1859">
        <v>0.98065659999999999</v>
      </c>
      <c r="Y1859">
        <v>-3.0631780000000001E-2</v>
      </c>
      <c r="Z1859">
        <v>-3.275689E-3</v>
      </c>
      <c r="AA1859">
        <v>0.99952540000000001</v>
      </c>
      <c r="AB1859">
        <v>32</v>
      </c>
      <c r="AC1859">
        <v>-0.52359999999998696</v>
      </c>
      <c r="AD1859">
        <v>-7.6267000000000001E-2</v>
      </c>
      <c r="AE1859">
        <v>-1.5600000000006199E-2</v>
      </c>
      <c r="AF1859">
        <v>-2.6137569214613399E-2</v>
      </c>
      <c r="AG1859">
        <v>-7.6267000000000001E-2</v>
      </c>
      <c r="AH1859">
        <v>0.512292447219027</v>
      </c>
      <c r="AI1859">
        <v>98.456816450805803</v>
      </c>
      <c r="AJ1859">
        <v>92.920743770911002</v>
      </c>
      <c r="AK1859">
        <v>0.51859751184430902</v>
      </c>
      <c r="AL1859">
        <v>78.713230248770202</v>
      </c>
      <c r="AM1859">
        <v>90.147713350469402</v>
      </c>
      <c r="AN1859">
        <v>0.999999979996537</v>
      </c>
    </row>
    <row r="1860" spans="1:40" x14ac:dyDescent="0.25">
      <c r="A1860" t="str">
        <f>"20190312172405899"</f>
        <v>20190312172405899</v>
      </c>
      <c r="B1860" t="str">
        <f>"1552382645891997"</f>
        <v>1552382645891997</v>
      </c>
      <c r="C1860" t="s">
        <v>40</v>
      </c>
      <c r="D1860">
        <v>3.6205729999999998</v>
      </c>
      <c r="E1860">
        <v>0.48977100000000001</v>
      </c>
      <c r="F1860" t="s">
        <v>47</v>
      </c>
      <c r="G1860">
        <v>-268.35770000000002</v>
      </c>
      <c r="H1860" s="1">
        <v>2.9107540000000002E-6</v>
      </c>
      <c r="I1860">
        <v>282.45159999999998</v>
      </c>
      <c r="J1860">
        <v>-255.94110000000001</v>
      </c>
      <c r="K1860">
        <v>1.1091869999999999</v>
      </c>
      <c r="L1860">
        <v>282.56470000000002</v>
      </c>
      <c r="M1860">
        <v>-0.99972629999999996</v>
      </c>
      <c r="N1860">
        <v>0</v>
      </c>
      <c r="O1860">
        <v>2.1980630000000001E-2</v>
      </c>
      <c r="P1860">
        <v>-0.98202520000000004</v>
      </c>
      <c r="Q1860">
        <v>0.1877857</v>
      </c>
      <c r="R1860">
        <v>1.9052199999999998E-2</v>
      </c>
      <c r="S1860">
        <v>-3.1076969999999999</v>
      </c>
      <c r="T1860">
        <v>-0.27014349999999998</v>
      </c>
      <c r="U1860">
        <v>-2.5573729999999999E-2</v>
      </c>
      <c r="V1860">
        <v>-2.2214940000000001E-3</v>
      </c>
      <c r="W1860">
        <v>0.19565750000000001</v>
      </c>
      <c r="X1860">
        <v>0.98066980000000004</v>
      </c>
      <c r="Y1860">
        <v>-3.0011429999999999E-2</v>
      </c>
      <c r="Z1860">
        <v>-3.2090059999999999E-3</v>
      </c>
      <c r="AA1860">
        <v>0.9995444</v>
      </c>
      <c r="AB1860">
        <v>32</v>
      </c>
      <c r="AC1860">
        <v>-12.416600000000001</v>
      </c>
      <c r="AD1860">
        <v>-1.1091840892460001</v>
      </c>
      <c r="AE1860">
        <v>-0.113100000000031</v>
      </c>
      <c r="AF1860">
        <v>-0.38295043768728798</v>
      </c>
      <c r="AG1860">
        <v>-1.1091840892460001</v>
      </c>
      <c r="AH1860">
        <v>12.3128655408557</v>
      </c>
      <c r="AI1860">
        <v>95.145026892396601</v>
      </c>
      <c r="AJ1860">
        <v>91.781419047195897</v>
      </c>
      <c r="AK1860">
        <v>12.368653855968001</v>
      </c>
      <c r="AL1860">
        <v>78.716864815481401</v>
      </c>
      <c r="AM1860">
        <v>90.129790896689002</v>
      </c>
      <c r="AN1860">
        <v>1.00000002448694</v>
      </c>
    </row>
    <row r="1861" spans="1:40" x14ac:dyDescent="0.25">
      <c r="A1861" t="str">
        <f>"20190312172405924"</f>
        <v>20190312172405924</v>
      </c>
      <c r="B1861" t="str">
        <f>"1552382645911517"</f>
        <v>1552382645911517</v>
      </c>
      <c r="C1861" t="s">
        <v>40</v>
      </c>
      <c r="D1861">
        <v>3.5066670000000002</v>
      </c>
      <c r="E1861">
        <v>0.4900832</v>
      </c>
      <c r="F1861" t="s">
        <v>47</v>
      </c>
      <c r="G1861">
        <v>-268.94929999999999</v>
      </c>
      <c r="H1861" s="1">
        <v>3.2255700000000001E-6</v>
      </c>
      <c r="I1861">
        <v>282.47309999999999</v>
      </c>
      <c r="J1861">
        <v>-256.28919999999999</v>
      </c>
      <c r="K1861">
        <v>1.109208</v>
      </c>
      <c r="L1861">
        <v>282.57319999999999</v>
      </c>
      <c r="M1861">
        <v>-0.99970190000000003</v>
      </c>
      <c r="N1861">
        <v>0</v>
      </c>
      <c r="O1861">
        <v>2.2815820000000001E-2</v>
      </c>
      <c r="P1861">
        <v>-0.98216119999999996</v>
      </c>
      <c r="Q1861">
        <v>0.1869479</v>
      </c>
      <c r="R1861">
        <v>2.0250250000000001E-2</v>
      </c>
      <c r="S1861">
        <v>-3.1059570000000001</v>
      </c>
      <c r="T1861">
        <v>-0.26484010000000002</v>
      </c>
      <c r="U1861">
        <v>-2.185059E-2</v>
      </c>
      <c r="V1861">
        <v>-1.83343E-3</v>
      </c>
      <c r="W1861">
        <v>0.19549520000000001</v>
      </c>
      <c r="X1861">
        <v>0.98070290000000004</v>
      </c>
      <c r="Y1861">
        <v>-2.9658759999999999E-2</v>
      </c>
      <c r="Z1861">
        <v>-3.2040810000000001E-3</v>
      </c>
      <c r="AA1861">
        <v>0.99955490000000002</v>
      </c>
      <c r="AB1861">
        <v>32</v>
      </c>
      <c r="AC1861">
        <v>-12.6601</v>
      </c>
      <c r="AD1861">
        <v>-1.10920477443</v>
      </c>
      <c r="AE1861">
        <v>-0.100099999999997</v>
      </c>
      <c r="AF1861">
        <v>-0.38597277634384097</v>
      </c>
      <c r="AG1861">
        <v>-1.10920477443</v>
      </c>
      <c r="AH1861">
        <v>12.5581268783498</v>
      </c>
      <c r="AI1861">
        <v>95.045218219178807</v>
      </c>
      <c r="AJ1861">
        <v>91.760425885523205</v>
      </c>
      <c r="AK1861">
        <v>12.6129243598948</v>
      </c>
      <c r="AL1861">
        <v>78.726346258491304</v>
      </c>
      <c r="AM1861">
        <v>90.107114681368202</v>
      </c>
      <c r="AN1861">
        <v>0.99999995637850603</v>
      </c>
    </row>
    <row r="1862" spans="1:40" x14ac:dyDescent="0.25">
      <c r="A1862" t="str">
        <f>"20190312172405943"</f>
        <v>20190312172405943</v>
      </c>
      <c r="B1862" t="str">
        <f>"1552382645932014"</f>
        <v>1552382645932014</v>
      </c>
      <c r="C1862" t="s">
        <v>40</v>
      </c>
      <c r="D1862">
        <v>3.5112100000000002</v>
      </c>
      <c r="E1862">
        <v>0.49039490000000002</v>
      </c>
      <c r="F1862" t="s">
        <v>41</v>
      </c>
      <c r="G1862">
        <v>-257.2731</v>
      </c>
      <c r="H1862">
        <v>1.0261039999999999</v>
      </c>
      <c r="I1862">
        <v>282.56849999999997</v>
      </c>
      <c r="J1862">
        <v>-256.57799999999997</v>
      </c>
      <c r="K1862">
        <v>1.1092139999999999</v>
      </c>
      <c r="L1862">
        <v>282.5806</v>
      </c>
      <c r="M1862">
        <v>-0.99968080000000004</v>
      </c>
      <c r="N1862">
        <v>0</v>
      </c>
      <c r="O1862">
        <v>2.3531719999999999E-2</v>
      </c>
      <c r="P1862">
        <v>-0.98230209999999996</v>
      </c>
      <c r="Q1862">
        <v>0.18615429999999999</v>
      </c>
      <c r="R1862">
        <v>2.0719080000000001E-2</v>
      </c>
      <c r="S1862">
        <v>-3.1047359999999999</v>
      </c>
      <c r="T1862">
        <v>-0.26233980000000001</v>
      </c>
      <c r="U1862">
        <v>-1.5747069999999998E-2</v>
      </c>
      <c r="V1862">
        <v>-2.0636309999999998E-3</v>
      </c>
      <c r="W1862">
        <v>0.19519919999999999</v>
      </c>
      <c r="X1862">
        <v>0.98076149999999995</v>
      </c>
      <c r="Y1862">
        <v>-2.841778E-2</v>
      </c>
      <c r="Z1862">
        <v>-3.1832399999999999E-3</v>
      </c>
      <c r="AA1862">
        <v>0.99959109999999995</v>
      </c>
      <c r="AB1862">
        <v>32</v>
      </c>
      <c r="AC1862">
        <v>-0.69510000000002403</v>
      </c>
      <c r="AD1862">
        <v>-8.3109999999999795E-2</v>
      </c>
      <c r="AE1862">
        <v>-1.2100000000032101E-2</v>
      </c>
      <c r="AF1862">
        <v>-2.80533129541733E-2</v>
      </c>
      <c r="AG1862">
        <v>-8.3109999999999795E-2</v>
      </c>
      <c r="AH1862">
        <v>0.68483537505411396</v>
      </c>
      <c r="AI1862">
        <v>96.913701430491599</v>
      </c>
      <c r="AJ1862">
        <v>92.345729135990993</v>
      </c>
      <c r="AK1862">
        <v>0.69043012057210595</v>
      </c>
      <c r="AL1862">
        <v>78.743640071438307</v>
      </c>
      <c r="AM1862">
        <v>90.120556498478706</v>
      </c>
      <c r="AN1862">
        <v>1.0000000530678901</v>
      </c>
    </row>
    <row r="1863" spans="1:40" x14ac:dyDescent="0.25">
      <c r="A1863" t="str">
        <f>"20190312172405966"</f>
        <v>20190312172405966</v>
      </c>
      <c r="B1863" t="str">
        <f>"1552382645962271"</f>
        <v>1552382645962271</v>
      </c>
      <c r="C1863" t="s">
        <v>40</v>
      </c>
      <c r="D1863">
        <v>3.545229</v>
      </c>
      <c r="E1863">
        <v>0.49071589999999998</v>
      </c>
      <c r="F1863" t="s">
        <v>41</v>
      </c>
      <c r="G1863">
        <v>-257.56290000000001</v>
      </c>
      <c r="H1863">
        <v>1.0266729999999999</v>
      </c>
      <c r="I1863">
        <v>282.5772</v>
      </c>
      <c r="J1863">
        <v>-256.90089999999998</v>
      </c>
      <c r="K1863">
        <v>1.109226</v>
      </c>
      <c r="L1863">
        <v>282.58909999999997</v>
      </c>
      <c r="M1863">
        <v>-0.99965649999999995</v>
      </c>
      <c r="N1863">
        <v>0</v>
      </c>
      <c r="O1863">
        <v>2.4349119999999998E-2</v>
      </c>
      <c r="P1863">
        <v>-0.98243670000000005</v>
      </c>
      <c r="Q1863">
        <v>0.1853186</v>
      </c>
      <c r="R1863">
        <v>2.181251E-2</v>
      </c>
      <c r="S1863">
        <v>-3.1036380000000001</v>
      </c>
      <c r="T1863">
        <v>-0.26029999999999998</v>
      </c>
      <c r="U1863">
        <v>-1.159668E-2</v>
      </c>
      <c r="V1863">
        <v>-1.7714650000000001E-3</v>
      </c>
      <c r="W1863">
        <v>0.1948531</v>
      </c>
      <c r="X1863">
        <v>0.9808308</v>
      </c>
      <c r="Y1863">
        <v>-2.7902E-2</v>
      </c>
      <c r="Z1863">
        <v>-3.2065330000000001E-3</v>
      </c>
      <c r="AA1863">
        <v>0.99960550000000004</v>
      </c>
      <c r="AB1863">
        <v>32</v>
      </c>
      <c r="AC1863">
        <v>-0.66200000000003401</v>
      </c>
      <c r="AD1863">
        <v>-8.2553000000000099E-2</v>
      </c>
      <c r="AE1863">
        <v>-1.18999999999687E-2</v>
      </c>
      <c r="AF1863">
        <v>-2.75874807638661E-2</v>
      </c>
      <c r="AG1863">
        <v>-8.2553000000000099E-2</v>
      </c>
      <c r="AH1863">
        <v>0.65138768349207199</v>
      </c>
      <c r="AI1863">
        <v>97.216419886175203</v>
      </c>
      <c r="AJ1863">
        <v>92.425133623289497</v>
      </c>
      <c r="AK1863">
        <v>0.657177282861379</v>
      </c>
      <c r="AL1863">
        <v>78.763857350574995</v>
      </c>
      <c r="AM1863">
        <v>90.103481005791707</v>
      </c>
      <c r="AN1863">
        <v>0.99999996344824704</v>
      </c>
    </row>
    <row r="1864" spans="1:40" x14ac:dyDescent="0.25">
      <c r="A1864" t="str">
        <f>"20190312172405989"</f>
        <v>20190312172405989</v>
      </c>
      <c r="B1864" t="str">
        <f>"1552382645981791"</f>
        <v>1552382645981791</v>
      </c>
      <c r="C1864" t="s">
        <v>40</v>
      </c>
      <c r="D1864">
        <v>3.4863699999999902</v>
      </c>
      <c r="E1864">
        <v>0.49078129999999998</v>
      </c>
      <c r="F1864" t="s">
        <v>41</v>
      </c>
      <c r="G1864">
        <v>-257.85469999999998</v>
      </c>
      <c r="H1864">
        <v>1.030378</v>
      </c>
      <c r="I1864">
        <v>282.58749999999998</v>
      </c>
      <c r="J1864">
        <v>-257.23540000000003</v>
      </c>
      <c r="K1864">
        <v>1.109232</v>
      </c>
      <c r="L1864">
        <v>282.59820000000002</v>
      </c>
      <c r="M1864">
        <v>-0.99963069999999998</v>
      </c>
      <c r="N1864">
        <v>0</v>
      </c>
      <c r="O1864">
        <v>2.5208330000000001E-2</v>
      </c>
      <c r="P1864">
        <v>-0.98245660000000001</v>
      </c>
      <c r="Q1864">
        <v>0.1851073</v>
      </c>
      <c r="R1864">
        <v>2.268158E-2</v>
      </c>
      <c r="S1864">
        <v>-3.1021420000000002</v>
      </c>
      <c r="T1864">
        <v>-0.25653150000000002</v>
      </c>
      <c r="U1864">
        <v>-5.9509280000000003E-3</v>
      </c>
      <c r="V1864">
        <v>-1.7437889999999999E-3</v>
      </c>
      <c r="W1864">
        <v>0.19508510000000001</v>
      </c>
      <c r="X1864">
        <v>0.98078480000000001</v>
      </c>
      <c r="Y1864">
        <v>-2.6949270000000001E-2</v>
      </c>
      <c r="Z1864">
        <v>-3.1933869999999998E-3</v>
      </c>
      <c r="AA1864">
        <v>0.99963170000000001</v>
      </c>
      <c r="AB1864">
        <v>32</v>
      </c>
      <c r="AC1864">
        <v>-0.619299999999952</v>
      </c>
      <c r="AD1864">
        <v>-7.8853999999999896E-2</v>
      </c>
      <c r="AE1864">
        <v>-1.07000000000425E-2</v>
      </c>
      <c r="AF1864">
        <v>-2.5889321420385501E-2</v>
      </c>
      <c r="AG1864">
        <v>-7.8853999999999896E-2</v>
      </c>
      <c r="AH1864">
        <v>0.60896366478922104</v>
      </c>
      <c r="AI1864">
        <v>97.371524431330798</v>
      </c>
      <c r="AJ1864">
        <v>92.434391784572298</v>
      </c>
      <c r="AK1864">
        <v>0.61459332514527598</v>
      </c>
      <c r="AL1864">
        <v>78.750305408314404</v>
      </c>
      <c r="AM1864">
        <v>90.101869079520796</v>
      </c>
      <c r="AN1864">
        <v>1.0000000304765599</v>
      </c>
    </row>
    <row r="1865" spans="1:40" x14ac:dyDescent="0.25">
      <c r="A1865" t="str">
        <f>"20190312172406011"</f>
        <v>20190312172406011</v>
      </c>
      <c r="B1865" t="str">
        <f>"1552382646001313"</f>
        <v>1552382646001313</v>
      </c>
      <c r="C1865" t="s">
        <v>40</v>
      </c>
      <c r="D1865">
        <v>3.592006</v>
      </c>
      <c r="E1865">
        <v>0.49082540000000002</v>
      </c>
      <c r="F1865" t="s">
        <v>47</v>
      </c>
      <c r="G1865">
        <v>-270.80309999999997</v>
      </c>
      <c r="H1865" s="1">
        <v>-1.0205629999999901E-6</v>
      </c>
      <c r="I1865">
        <v>282.58359999999999</v>
      </c>
      <c r="J1865">
        <v>-257.55329999999998</v>
      </c>
      <c r="K1865">
        <v>1.1092439999999999</v>
      </c>
      <c r="L1865">
        <v>282.6071</v>
      </c>
      <c r="M1865">
        <v>-0.99960570000000004</v>
      </c>
      <c r="N1865">
        <v>0</v>
      </c>
      <c r="O1865">
        <v>2.6030620000000001E-2</v>
      </c>
      <c r="P1865">
        <v>-0.98250440000000006</v>
      </c>
      <c r="Q1865">
        <v>0.1847481</v>
      </c>
      <c r="R1865">
        <v>2.352605E-2</v>
      </c>
      <c r="S1865">
        <v>-3.10141</v>
      </c>
      <c r="T1865">
        <v>-0.253556</v>
      </c>
      <c r="U1865">
        <v>-3.326416E-3</v>
      </c>
      <c r="V1865">
        <v>-1.7068389999999999E-3</v>
      </c>
      <c r="W1865">
        <v>0.19509489999999999</v>
      </c>
      <c r="X1865">
        <v>0.98078290000000001</v>
      </c>
      <c r="Y1865">
        <v>-2.692756E-2</v>
      </c>
      <c r="Z1865">
        <v>-3.2234350000000002E-3</v>
      </c>
      <c r="AA1865">
        <v>0.99963219999999997</v>
      </c>
      <c r="AB1865">
        <v>32</v>
      </c>
      <c r="AC1865">
        <v>-13.249799999999899</v>
      </c>
      <c r="AD1865">
        <v>-1.109245020563</v>
      </c>
      <c r="AE1865">
        <v>-2.3500000000012702E-2</v>
      </c>
      <c r="AF1865">
        <v>-0.365847561851952</v>
      </c>
      <c r="AG1865">
        <v>-1.109245020563</v>
      </c>
      <c r="AH1865">
        <v>13.1525164907657</v>
      </c>
      <c r="AI1865">
        <v>94.818896462013896</v>
      </c>
      <c r="AJ1865">
        <v>91.593316203874494</v>
      </c>
      <c r="AK1865">
        <v>13.2042780565247</v>
      </c>
      <c r="AL1865">
        <v>78.749732734288898</v>
      </c>
      <c r="AM1865">
        <v>90.099710723221307</v>
      </c>
      <c r="AN1865">
        <v>1.0000000151188899</v>
      </c>
    </row>
    <row r="1866" spans="1:40" x14ac:dyDescent="0.25">
      <c r="A1866" t="str">
        <f>"20190312172406032"</f>
        <v>20190312172406032</v>
      </c>
      <c r="B1866" t="str">
        <f>"1552382646021806"</f>
        <v>1552382646021806</v>
      </c>
      <c r="C1866" t="s">
        <v>40</v>
      </c>
      <c r="D1866">
        <v>3.6071650000000002</v>
      </c>
      <c r="E1866">
        <v>0.49081580000000002</v>
      </c>
      <c r="F1866" t="s">
        <v>47</v>
      </c>
      <c r="G1866">
        <v>-271.17540000000002</v>
      </c>
      <c r="H1866" s="1">
        <v>-8.2343140000000001E-7</v>
      </c>
      <c r="I1866">
        <v>282.60599999999999</v>
      </c>
      <c r="J1866">
        <v>-257.86439999999999</v>
      </c>
      <c r="K1866">
        <v>1.1092489999999999</v>
      </c>
      <c r="L1866">
        <v>282.61599999999999</v>
      </c>
      <c r="M1866">
        <v>-0.99958100000000005</v>
      </c>
      <c r="N1866">
        <v>0</v>
      </c>
      <c r="O1866">
        <v>2.6836559999999999E-2</v>
      </c>
      <c r="P1866">
        <v>-0.98261330000000002</v>
      </c>
      <c r="Q1866">
        <v>0.18408240000000001</v>
      </c>
      <c r="R1866">
        <v>2.418884E-2</v>
      </c>
      <c r="S1866">
        <v>-3.1009220000000002</v>
      </c>
      <c r="T1866">
        <v>-0.25250729999999999</v>
      </c>
      <c r="U1866">
        <v>-2.4414059999999999E-4</v>
      </c>
      <c r="V1866">
        <v>-1.8388530000000001E-3</v>
      </c>
      <c r="W1866">
        <v>0.194746</v>
      </c>
      <c r="X1866">
        <v>0.98085199999999995</v>
      </c>
      <c r="Y1866">
        <v>-2.6739519999999999E-2</v>
      </c>
      <c r="Z1866">
        <v>-3.268515E-3</v>
      </c>
      <c r="AA1866">
        <v>0.99963709999999995</v>
      </c>
      <c r="AB1866">
        <v>32</v>
      </c>
      <c r="AC1866">
        <v>-13.311</v>
      </c>
      <c r="AD1866">
        <v>-1.1092498234314001</v>
      </c>
      <c r="AE1866">
        <v>-9.9999999999908998E-3</v>
      </c>
      <c r="AF1866">
        <v>-0.364706179188377</v>
      </c>
      <c r="AG1866">
        <v>-1.1092498234314001</v>
      </c>
      <c r="AH1866">
        <v>13.2141718921768</v>
      </c>
      <c r="AI1866">
        <v>94.796566582789794</v>
      </c>
      <c r="AJ1866">
        <v>91.580940646482304</v>
      </c>
      <c r="AK1866">
        <v>13.2656618592484</v>
      </c>
      <c r="AL1866">
        <v>78.770114175591701</v>
      </c>
      <c r="AM1866">
        <v>90.107415178447894</v>
      </c>
      <c r="AN1866">
        <v>1.0000000159001701</v>
      </c>
    </row>
    <row r="1867" spans="1:40" x14ac:dyDescent="0.25">
      <c r="A1867" t="str">
        <f>"20190312172406054"</f>
        <v>20190312172406054</v>
      </c>
      <c r="B1867" t="str">
        <f>"1552382646041326"</f>
        <v>1552382646041326</v>
      </c>
      <c r="C1867" t="s">
        <v>40</v>
      </c>
      <c r="D1867">
        <v>3.58724</v>
      </c>
      <c r="E1867">
        <v>0.49089060000000001</v>
      </c>
      <c r="F1867" t="s">
        <v>47</v>
      </c>
      <c r="G1867">
        <v>-271.5351</v>
      </c>
      <c r="H1867" s="1">
        <v>-6.3274479999999998E-7</v>
      </c>
      <c r="I1867">
        <v>282.62329999999997</v>
      </c>
      <c r="J1867">
        <v>-258.17430000000002</v>
      </c>
      <c r="K1867">
        <v>1.109259</v>
      </c>
      <c r="L1867">
        <v>282.62520000000001</v>
      </c>
      <c r="M1867">
        <v>-0.999556</v>
      </c>
      <c r="N1867">
        <v>0</v>
      </c>
      <c r="O1867">
        <v>2.7639E-2</v>
      </c>
      <c r="P1867">
        <v>-0.98262110000000003</v>
      </c>
      <c r="Q1867">
        <v>0.1840174</v>
      </c>
      <c r="R1867">
        <v>2.4369869999999998E-2</v>
      </c>
      <c r="S1867">
        <v>-3.1001590000000001</v>
      </c>
      <c r="T1867">
        <v>-0.251548299999999</v>
      </c>
      <c r="U1867">
        <v>1.6479489999999999E-3</v>
      </c>
      <c r="V1867">
        <v>-2.4458320000000002E-3</v>
      </c>
      <c r="W1867">
        <v>0.19495699999999999</v>
      </c>
      <c r="X1867">
        <v>0.98080869999999998</v>
      </c>
      <c r="Y1867">
        <v>-2.6930019999999999E-2</v>
      </c>
      <c r="Z1867">
        <v>-3.3296469999999998E-3</v>
      </c>
      <c r="AA1867">
        <v>0.99963179999999996</v>
      </c>
      <c r="AB1867">
        <v>32</v>
      </c>
      <c r="AC1867">
        <v>-13.3607999999999</v>
      </c>
      <c r="AD1867">
        <v>-1.1092596327448001</v>
      </c>
      <c r="AE1867">
        <v>-1.90000000003465E-3</v>
      </c>
      <c r="AF1867">
        <v>-0.36866016733637202</v>
      </c>
      <c r="AG1867">
        <v>-1.1092596327448001</v>
      </c>
      <c r="AH1867">
        <v>13.264213826636199</v>
      </c>
      <c r="AI1867">
        <v>94.778571047772203</v>
      </c>
      <c r="AJ1867">
        <v>91.592045746872799</v>
      </c>
      <c r="AK1867">
        <v>13.3156199889657</v>
      </c>
      <c r="AL1867">
        <v>78.757787880394304</v>
      </c>
      <c r="AM1867">
        <v>90.142877566768604</v>
      </c>
      <c r="AN1867">
        <v>0.99999995996943003</v>
      </c>
    </row>
    <row r="1868" spans="1:40" x14ac:dyDescent="0.25">
      <c r="A1868" t="str">
        <f>"20190312172406077"</f>
        <v>20190312172406077</v>
      </c>
      <c r="B1868" t="str">
        <f>"1552382646071582"</f>
        <v>1552382646071582</v>
      </c>
      <c r="C1868" t="s">
        <v>40</v>
      </c>
      <c r="D1868">
        <v>3.5891470000000001</v>
      </c>
      <c r="E1868">
        <v>0.49100700000000003</v>
      </c>
      <c r="F1868" t="s">
        <v>47</v>
      </c>
      <c r="G1868">
        <v>-271.94929999999999</v>
      </c>
      <c r="H1868" s="1">
        <v>-4.1287779999999999E-7</v>
      </c>
      <c r="I1868">
        <v>282.63600000000002</v>
      </c>
      <c r="J1868">
        <v>-258.51440000000002</v>
      </c>
      <c r="K1868">
        <v>1.1092770000000001</v>
      </c>
      <c r="L1868">
        <v>282.63560000000001</v>
      </c>
      <c r="M1868">
        <v>-0.99952830000000004</v>
      </c>
      <c r="N1868">
        <v>0</v>
      </c>
      <c r="O1868">
        <v>2.8518760000000001E-2</v>
      </c>
      <c r="P1868">
        <v>-0.98257000000000005</v>
      </c>
      <c r="Q1868">
        <v>0.18419530000000001</v>
      </c>
      <c r="R1868">
        <v>2.5073089999999999E-2</v>
      </c>
      <c r="S1868">
        <v>-3.0997309999999998</v>
      </c>
      <c r="T1868">
        <v>-0.24961030000000001</v>
      </c>
      <c r="U1868">
        <v>2.4414060000000001E-3</v>
      </c>
      <c r="V1868">
        <v>-2.6055480000000001E-3</v>
      </c>
      <c r="W1868">
        <v>0.1953966</v>
      </c>
      <c r="X1868">
        <v>0.98072090000000001</v>
      </c>
      <c r="Y1868">
        <v>-2.7551820000000001E-2</v>
      </c>
      <c r="Z1868">
        <v>-3.4002440000000002E-3</v>
      </c>
      <c r="AA1868">
        <v>0.99961460000000002</v>
      </c>
      <c r="AB1868">
        <v>32</v>
      </c>
      <c r="AC1868">
        <v>-13.434899999999899</v>
      </c>
      <c r="AD1868">
        <v>-1.1092774128778</v>
      </c>
      <c r="AE1868">
        <v>3.9999999995643499E-4</v>
      </c>
      <c r="AF1868">
        <v>-0.38017993611095202</v>
      </c>
      <c r="AG1868">
        <v>-1.1092774128778</v>
      </c>
      <c r="AH1868">
        <v>13.338513700760201</v>
      </c>
      <c r="AI1868">
        <v>94.752056604564402</v>
      </c>
      <c r="AJ1868">
        <v>91.632626429531797</v>
      </c>
      <c r="AK1868">
        <v>13.3899582115819</v>
      </c>
      <c r="AL1868">
        <v>78.732107806814895</v>
      </c>
      <c r="AM1868">
        <v>90.152221241004597</v>
      </c>
      <c r="AN1868">
        <v>1.0000000519343699</v>
      </c>
    </row>
    <row r="1869" spans="1:40" x14ac:dyDescent="0.25">
      <c r="A1869" t="str">
        <f>"20190312172406100"</f>
        <v>20190312172406100</v>
      </c>
      <c r="B1869" t="str">
        <f>"1552382646092077"</f>
        <v>1552382646092077</v>
      </c>
      <c r="C1869" t="s">
        <v>40</v>
      </c>
      <c r="D1869">
        <v>3.6814230000000001</v>
      </c>
      <c r="E1869">
        <v>0.4909772</v>
      </c>
      <c r="F1869" t="s">
        <v>47</v>
      </c>
      <c r="G1869">
        <v>-272.4624</v>
      </c>
      <c r="H1869" s="1">
        <v>-1.408296E-7</v>
      </c>
      <c r="I1869">
        <v>282.65859999999998</v>
      </c>
      <c r="J1869">
        <v>-258.84859999999998</v>
      </c>
      <c r="K1869">
        <v>1.1092879999999901</v>
      </c>
      <c r="L1869">
        <v>282.64600000000002</v>
      </c>
      <c r="M1869">
        <v>-0.99950079999999997</v>
      </c>
      <c r="N1869">
        <v>0</v>
      </c>
      <c r="O1869">
        <v>2.938284E-2</v>
      </c>
      <c r="P1869">
        <v>-0.98238809999999999</v>
      </c>
      <c r="Q1869">
        <v>0.18512329999999999</v>
      </c>
      <c r="R1869">
        <v>2.5354870000000002E-2</v>
      </c>
      <c r="S1869">
        <v>-3.0993040000000001</v>
      </c>
      <c r="T1869">
        <v>-0.24648490000000001</v>
      </c>
      <c r="U1869">
        <v>5.1269530000000001E-3</v>
      </c>
      <c r="V1869">
        <v>-3.166458E-3</v>
      </c>
      <c r="W1869">
        <v>0.19652810000000001</v>
      </c>
      <c r="X1869">
        <v>0.98049310000000001</v>
      </c>
      <c r="Y1869">
        <v>-2.7551519999999999E-2</v>
      </c>
      <c r="Z1869">
        <v>-3.4268430000000002E-3</v>
      </c>
      <c r="AA1869">
        <v>0.99961449999999996</v>
      </c>
      <c r="AB1869">
        <v>32</v>
      </c>
      <c r="AC1869">
        <v>-13.613799999999999</v>
      </c>
      <c r="AD1869">
        <v>-1.10928814082959</v>
      </c>
      <c r="AE1869">
        <v>1.26000000000203E-2</v>
      </c>
      <c r="AF1869">
        <v>-0.38488907441937298</v>
      </c>
      <c r="AG1869">
        <v>-1.10928814082959</v>
      </c>
      <c r="AH1869">
        <v>13.518536305615401</v>
      </c>
      <c r="AI1869">
        <v>94.689108150317793</v>
      </c>
      <c r="AJ1869">
        <v>91.630839558401803</v>
      </c>
      <c r="AK1869">
        <v>13.5694319566161</v>
      </c>
      <c r="AL1869">
        <v>78.665995445621803</v>
      </c>
      <c r="AM1869">
        <v>90.185033478250801</v>
      </c>
      <c r="AN1869">
        <v>1.00000001984674</v>
      </c>
    </row>
    <row r="1870" spans="1:40" x14ac:dyDescent="0.25">
      <c r="A1870" t="str">
        <f>"20190312172406124"</f>
        <v>20190312172406124</v>
      </c>
      <c r="B1870" t="str">
        <f>"1552382646111597"</f>
        <v>1552382646111597</v>
      </c>
      <c r="C1870" t="s">
        <v>40</v>
      </c>
      <c r="D1870">
        <v>3.6992210000000001</v>
      </c>
      <c r="E1870">
        <v>0.49100850000000001</v>
      </c>
      <c r="F1870" t="s">
        <v>47</v>
      </c>
      <c r="G1870">
        <v>-273.02699999999999</v>
      </c>
      <c r="H1870" s="1">
        <v>1.59043E-7</v>
      </c>
      <c r="I1870">
        <v>282.67110000000002</v>
      </c>
      <c r="J1870">
        <v>-259.18470000000002</v>
      </c>
      <c r="K1870">
        <v>1.1090390000000001</v>
      </c>
      <c r="L1870">
        <v>282.6567</v>
      </c>
      <c r="M1870">
        <v>-0.99948610000000004</v>
      </c>
      <c r="N1870">
        <v>0</v>
      </c>
      <c r="O1870">
        <v>3.0228689999999999E-2</v>
      </c>
      <c r="P1870">
        <v>-0.98189769999999998</v>
      </c>
      <c r="Q1870">
        <v>0.18769330000000001</v>
      </c>
      <c r="R1870">
        <v>2.5462619999999998E-2</v>
      </c>
      <c r="S1870">
        <v>-3.099335</v>
      </c>
      <c r="T1870">
        <v>-0.2424858</v>
      </c>
      <c r="U1870">
        <v>5.493164E-3</v>
      </c>
      <c r="V1870">
        <v>-3.8888859999999998E-3</v>
      </c>
      <c r="W1870">
        <v>0.1981764</v>
      </c>
      <c r="X1870">
        <v>0.98015870000000005</v>
      </c>
      <c r="Y1870">
        <v>-2.8280030000000001E-2</v>
      </c>
      <c r="Z1870">
        <v>-3.4658689999999999E-3</v>
      </c>
      <c r="AA1870">
        <v>0.99959399999999998</v>
      </c>
      <c r="AB1870">
        <v>32</v>
      </c>
      <c r="AC1870">
        <v>-13.8422999999999</v>
      </c>
      <c r="AD1870">
        <v>-1.10903884095699</v>
      </c>
      <c r="AE1870">
        <v>1.44000000000232E-2</v>
      </c>
      <c r="AF1870">
        <v>-0.40148777571882899</v>
      </c>
      <c r="AG1870">
        <v>-1.10903884095699</v>
      </c>
      <c r="AH1870">
        <v>13.7481575049379</v>
      </c>
      <c r="AI1870">
        <v>94.610002807217896</v>
      </c>
      <c r="AJ1870">
        <v>91.672734629291597</v>
      </c>
      <c r="AK1870">
        <v>13.798659150996601</v>
      </c>
      <c r="AL1870">
        <v>78.569660409828998</v>
      </c>
      <c r="AM1870">
        <v>90.227326029581604</v>
      </c>
      <c r="AN1870">
        <v>1.0000000430684799</v>
      </c>
    </row>
    <row r="1871" spans="1:40" x14ac:dyDescent="0.25">
      <c r="A1871" t="str">
        <f>"20190312172406143"</f>
        <v>20190312172406143</v>
      </c>
      <c r="B1871" t="str">
        <f>"1552382646132094"</f>
        <v>1552382646132094</v>
      </c>
      <c r="C1871" t="s">
        <v>40</v>
      </c>
      <c r="D1871">
        <v>3.6885279999999998</v>
      </c>
      <c r="E1871">
        <v>0.4910119</v>
      </c>
      <c r="F1871" t="s">
        <v>47</v>
      </c>
      <c r="G1871">
        <v>-273.93810000000002</v>
      </c>
      <c r="H1871" s="1">
        <v>6.432898E-7</v>
      </c>
      <c r="I1871">
        <v>282.68520000000001</v>
      </c>
      <c r="J1871">
        <v>-259.48489999999998</v>
      </c>
      <c r="K1871">
        <v>1.108792</v>
      </c>
      <c r="L1871">
        <v>282.66649999999998</v>
      </c>
      <c r="M1871">
        <v>-0.99947520000000001</v>
      </c>
      <c r="N1871">
        <v>0</v>
      </c>
      <c r="O1871">
        <v>3.0958400000000001E-2</v>
      </c>
      <c r="P1871">
        <v>-0.98155950000000003</v>
      </c>
      <c r="Q1871">
        <v>0.18950159999999999</v>
      </c>
      <c r="R1871">
        <v>2.5108450000000001E-2</v>
      </c>
      <c r="S1871">
        <v>-3.099701</v>
      </c>
      <c r="T1871">
        <v>-0.23300989999999999</v>
      </c>
      <c r="U1871">
        <v>5.9814450000000002E-3</v>
      </c>
      <c r="V1871">
        <v>-4.9682759999999998E-3</v>
      </c>
      <c r="W1871">
        <v>0.19887089999999999</v>
      </c>
      <c r="X1871">
        <v>0.98001309999999997</v>
      </c>
      <c r="Y1871">
        <v>-2.8862240000000001E-2</v>
      </c>
      <c r="Z1871">
        <v>-3.4070089999999999E-3</v>
      </c>
      <c r="AA1871">
        <v>0.99957759999999996</v>
      </c>
      <c r="AB1871">
        <v>33</v>
      </c>
      <c r="AC1871">
        <v>-14.453200000000001</v>
      </c>
      <c r="AD1871">
        <v>-1.1087913567101999</v>
      </c>
      <c r="AE1871">
        <v>1.8700000000023899E-2</v>
      </c>
      <c r="AF1871">
        <v>-0.42626851801800703</v>
      </c>
      <c r="AG1871">
        <v>-1.1087913567101999</v>
      </c>
      <c r="AH1871">
        <v>14.362323490533001</v>
      </c>
      <c r="AI1871">
        <v>94.412622068835503</v>
      </c>
      <c r="AJ1871">
        <v>91.700018765211993</v>
      </c>
      <c r="AK1871">
        <v>14.4113656247034</v>
      </c>
      <c r="AL1871">
        <v>78.529059862086001</v>
      </c>
      <c r="AM1871">
        <v>90.290464288297798</v>
      </c>
      <c r="AN1871">
        <v>0.99999999740241596</v>
      </c>
    </row>
    <row r="1872" spans="1:40" x14ac:dyDescent="0.25">
      <c r="A1872" t="str">
        <f>"20190312172406166"</f>
        <v>20190312172406166</v>
      </c>
      <c r="B1872" t="str">
        <f>"1552382646161374"</f>
        <v>1552382646161374</v>
      </c>
      <c r="C1872" t="s">
        <v>40</v>
      </c>
      <c r="D1872">
        <v>3.6403300000000001</v>
      </c>
      <c r="E1872">
        <v>0.4910274</v>
      </c>
      <c r="F1872" t="s">
        <v>47</v>
      </c>
      <c r="G1872">
        <v>-274.66329999999999</v>
      </c>
      <c r="H1872" s="1">
        <v>1.0292499999999999E-6</v>
      </c>
      <c r="I1872">
        <v>282.68369999999999</v>
      </c>
      <c r="J1872">
        <v>-259.81209999999999</v>
      </c>
      <c r="K1872">
        <v>1.1085700000000001</v>
      </c>
      <c r="L1872">
        <v>282.6773</v>
      </c>
      <c r="M1872">
        <v>-0.99946179999999996</v>
      </c>
      <c r="N1872">
        <v>0</v>
      </c>
      <c r="O1872">
        <v>3.1741560000000002E-2</v>
      </c>
      <c r="P1872">
        <v>-0.98130110000000004</v>
      </c>
      <c r="Q1872">
        <v>0.1909159</v>
      </c>
      <c r="R1872">
        <v>2.4480450000000001E-2</v>
      </c>
      <c r="S1872">
        <v>-3.100006</v>
      </c>
      <c r="T1872">
        <v>-0.22645750000000001</v>
      </c>
      <c r="U1872">
        <v>3.5095209999999998E-3</v>
      </c>
      <c r="V1872">
        <v>-6.3783609999999999E-3</v>
      </c>
      <c r="W1872">
        <v>0.1990536</v>
      </c>
      <c r="X1872">
        <v>0.97996780000000006</v>
      </c>
      <c r="Y1872">
        <v>-3.0445420000000001E-2</v>
      </c>
      <c r="Z1872">
        <v>-3.4259820000000002E-3</v>
      </c>
      <c r="AA1872">
        <v>0.99953060000000005</v>
      </c>
      <c r="AB1872">
        <v>33</v>
      </c>
      <c r="AC1872">
        <v>-14.8512</v>
      </c>
      <c r="AD1872">
        <v>-1.1085689707499999</v>
      </c>
      <c r="AE1872">
        <v>6.39999999998508E-3</v>
      </c>
      <c r="AF1872">
        <v>-0.46244296727700501</v>
      </c>
      <c r="AG1872">
        <v>-1.1085689707499999</v>
      </c>
      <c r="AH1872">
        <v>14.7616689203576</v>
      </c>
      <c r="AI1872">
        <v>94.292627902601296</v>
      </c>
      <c r="AJ1872">
        <v>91.794334218664403</v>
      </c>
      <c r="AK1872">
        <v>14.810457385751</v>
      </c>
      <c r="AL1872">
        <v>78.518377865745293</v>
      </c>
      <c r="AM1872">
        <v>90.372918380567498</v>
      </c>
      <c r="AN1872">
        <v>0.99999995409942199</v>
      </c>
    </row>
    <row r="1873" spans="1:40" x14ac:dyDescent="0.25">
      <c r="A1873" t="str">
        <f>"20190312172406189"</f>
        <v>20190312172406189</v>
      </c>
      <c r="B1873" t="str">
        <f>"1552382646181873"</f>
        <v>1552382646181873</v>
      </c>
      <c r="C1873" t="s">
        <v>40</v>
      </c>
      <c r="D1873">
        <v>3.706242</v>
      </c>
      <c r="E1873">
        <v>0.49107899999999999</v>
      </c>
      <c r="F1873" t="s">
        <v>47</v>
      </c>
      <c r="G1873">
        <v>-275.31959999999998</v>
      </c>
      <c r="H1873" s="1">
        <v>1.378615E-6</v>
      </c>
      <c r="I1873">
        <v>282.6816</v>
      </c>
      <c r="J1873">
        <v>-260.16460000000001</v>
      </c>
      <c r="K1873">
        <v>1.108371</v>
      </c>
      <c r="L1873">
        <v>282.6891</v>
      </c>
      <c r="M1873">
        <v>-0.99944549999999999</v>
      </c>
      <c r="N1873">
        <v>0</v>
      </c>
      <c r="O1873">
        <v>3.2563929999999998E-2</v>
      </c>
      <c r="P1873">
        <v>-0.98088730000000002</v>
      </c>
      <c r="Q1873">
        <v>0.1932547</v>
      </c>
      <c r="R1873">
        <v>2.2645510000000001E-2</v>
      </c>
      <c r="S1873">
        <v>-3.10025</v>
      </c>
      <c r="T1873">
        <v>-0.22162380000000001</v>
      </c>
      <c r="U1873">
        <v>8.5449219999999995E-4</v>
      </c>
      <c r="V1873">
        <v>-9.0193459999999993E-3</v>
      </c>
      <c r="W1873">
        <v>0.2000951</v>
      </c>
      <c r="X1873">
        <v>0.97973500000000002</v>
      </c>
      <c r="Y1873">
        <v>-3.2124189999999997E-2</v>
      </c>
      <c r="Z1873">
        <v>-3.4713840000000001E-3</v>
      </c>
      <c r="AA1873">
        <v>0.99947790000000003</v>
      </c>
      <c r="AB1873">
        <v>33</v>
      </c>
      <c r="AC1873">
        <v>-15.1549999999999</v>
      </c>
      <c r="AD1873">
        <v>-1.1083696213850001</v>
      </c>
      <c r="AE1873">
        <v>-7.4999999999931797E-3</v>
      </c>
      <c r="AF1873">
        <v>-0.49834872272590203</v>
      </c>
      <c r="AG1873">
        <v>-1.1083696213850001</v>
      </c>
      <c r="AH1873">
        <v>15.066132101036001</v>
      </c>
      <c r="AI1873">
        <v>94.205205494922197</v>
      </c>
      <c r="AJ1873">
        <v>91.894505613614697</v>
      </c>
      <c r="AK1873">
        <v>15.1150643780606</v>
      </c>
      <c r="AL1873">
        <v>78.457480121738499</v>
      </c>
      <c r="AM1873">
        <v>90.527444525280302</v>
      </c>
      <c r="AN1873">
        <v>1.0000000339356301</v>
      </c>
    </row>
    <row r="1874" spans="1:40" x14ac:dyDescent="0.25">
      <c r="A1874" t="str">
        <f>"20190312172406211"</f>
        <v>20190312172406211</v>
      </c>
      <c r="B1874" t="str">
        <f>"1552382646201393"</f>
        <v>1552382646201393</v>
      </c>
      <c r="C1874" t="s">
        <v>40</v>
      </c>
      <c r="D1874">
        <v>3.647859</v>
      </c>
      <c r="E1874">
        <v>0.49116480000000001</v>
      </c>
      <c r="F1874" t="s">
        <v>47</v>
      </c>
      <c r="G1874">
        <v>-276.23419999999999</v>
      </c>
      <c r="H1874" s="1">
        <v>1.866178E-6</v>
      </c>
      <c r="I1874">
        <v>282.66210000000001</v>
      </c>
      <c r="J1874">
        <v>-260.49549999999999</v>
      </c>
      <c r="K1874">
        <v>1.108203</v>
      </c>
      <c r="L1874">
        <v>282.7004</v>
      </c>
      <c r="M1874">
        <v>-0.9994286</v>
      </c>
      <c r="N1874">
        <v>0</v>
      </c>
      <c r="O1874">
        <v>3.3307009999999998E-2</v>
      </c>
      <c r="P1874">
        <v>-0.98050530000000002</v>
      </c>
      <c r="Q1874">
        <v>0.1953637</v>
      </c>
      <c r="R1874">
        <v>2.10358E-2</v>
      </c>
      <c r="S1874">
        <v>-3.100708</v>
      </c>
      <c r="T1874">
        <v>-0.21386459999999999</v>
      </c>
      <c r="U1874">
        <v>-5.2185060000000004E-3</v>
      </c>
      <c r="V1874">
        <v>-1.1345010000000001E-2</v>
      </c>
      <c r="W1874">
        <v>0.2010373</v>
      </c>
      <c r="X1874">
        <v>0.97951790000000005</v>
      </c>
      <c r="Y1874">
        <v>-3.4827730000000001E-2</v>
      </c>
      <c r="Z1874">
        <v>-3.493945E-3</v>
      </c>
      <c r="AA1874">
        <v>0.99938720000000003</v>
      </c>
      <c r="AB1874">
        <v>33</v>
      </c>
      <c r="AC1874">
        <v>-15.7386999999999</v>
      </c>
      <c r="AD1874">
        <v>-1.1082011338219999</v>
      </c>
      <c r="AE1874">
        <v>-3.8299999999992403E-2</v>
      </c>
      <c r="AF1874">
        <v>-0.559721430397771</v>
      </c>
      <c r="AG1874">
        <v>-1.1082011338219999</v>
      </c>
      <c r="AH1874">
        <v>15.651095280736101</v>
      </c>
      <c r="AI1874">
        <v>94.047581936427605</v>
      </c>
      <c r="AJ1874">
        <v>92.048164279123597</v>
      </c>
      <c r="AK1874">
        <v>15.7002605494091</v>
      </c>
      <c r="AL1874">
        <v>78.402376065631202</v>
      </c>
      <c r="AM1874">
        <v>90.663583715490205</v>
      </c>
      <c r="AN1874">
        <v>1.0000000108317999</v>
      </c>
    </row>
    <row r="1875" spans="1:40" x14ac:dyDescent="0.25">
      <c r="A1875" t="str">
        <f>"20190312172406233"</f>
        <v>20190312172406233</v>
      </c>
      <c r="B1875" t="str">
        <f>"1552382646221886"</f>
        <v>1552382646221886</v>
      </c>
      <c r="C1875" t="s">
        <v>40</v>
      </c>
      <c r="D1875">
        <v>3.670817</v>
      </c>
      <c r="E1875">
        <v>0.49126360000000002</v>
      </c>
      <c r="F1875" t="s">
        <v>47</v>
      </c>
      <c r="G1875">
        <v>-277.14949999999999</v>
      </c>
      <c r="H1875" s="1">
        <v>2.3539570000000001E-6</v>
      </c>
      <c r="I1875">
        <v>282.64550000000003</v>
      </c>
      <c r="J1875">
        <v>-260.83659999999998</v>
      </c>
      <c r="K1875">
        <v>1.108047</v>
      </c>
      <c r="L1875">
        <v>282.71230000000003</v>
      </c>
      <c r="M1875">
        <v>-0.99940960000000001</v>
      </c>
      <c r="N1875">
        <v>0</v>
      </c>
      <c r="O1875">
        <v>3.4045779999999998E-2</v>
      </c>
      <c r="P1875">
        <v>-0.98004340000000001</v>
      </c>
      <c r="Q1875">
        <v>0.197798</v>
      </c>
      <c r="R1875">
        <v>1.977541E-2</v>
      </c>
      <c r="S1875">
        <v>-3.1009829999999998</v>
      </c>
      <c r="T1875">
        <v>-0.20634710000000001</v>
      </c>
      <c r="U1875">
        <v>-1.0223390000000001E-2</v>
      </c>
      <c r="V1875">
        <v>-1.3302980000000001E-2</v>
      </c>
      <c r="W1875">
        <v>0.20236129999999999</v>
      </c>
      <c r="X1875">
        <v>0.9792206</v>
      </c>
      <c r="Y1875">
        <v>-3.7183349999999997E-2</v>
      </c>
      <c r="Z1875">
        <v>-3.4984769999999998E-3</v>
      </c>
      <c r="AA1875">
        <v>0.99930229999999998</v>
      </c>
      <c r="AB1875">
        <v>34</v>
      </c>
      <c r="AC1875">
        <v>-16.312899999999999</v>
      </c>
      <c r="AD1875">
        <v>-1.108044646043</v>
      </c>
      <c r="AE1875">
        <v>-6.6800000000000595E-2</v>
      </c>
      <c r="AF1875">
        <v>-0.61929538931406802</v>
      </c>
      <c r="AG1875">
        <v>-1.108044646043</v>
      </c>
      <c r="AH1875">
        <v>16.226305971305699</v>
      </c>
      <c r="AI1875">
        <v>93.903655081226404</v>
      </c>
      <c r="AJ1875">
        <v>92.185697617317899</v>
      </c>
      <c r="AK1875">
        <v>16.275880780814301</v>
      </c>
      <c r="AL1875">
        <v>78.324924785432501</v>
      </c>
      <c r="AM1875">
        <v>90.778330974038099</v>
      </c>
      <c r="AN1875">
        <v>1.00000002423946</v>
      </c>
    </row>
    <row r="1876" spans="1:40" x14ac:dyDescent="0.25">
      <c r="A1876" t="str">
        <f>"20190312172406256"</f>
        <v>20190312172406256</v>
      </c>
      <c r="B1876" t="str">
        <f>"1552382646252142"</f>
        <v>1552382646252142</v>
      </c>
      <c r="C1876" t="s">
        <v>40</v>
      </c>
      <c r="D1876">
        <v>3.6821890000000002</v>
      </c>
      <c r="E1876">
        <v>0.49143750000000003</v>
      </c>
      <c r="F1876" t="s">
        <v>47</v>
      </c>
      <c r="G1876">
        <v>-278.20659999999998</v>
      </c>
      <c r="H1876" s="1">
        <v>2.917385E-6</v>
      </c>
      <c r="I1876">
        <v>282.62549999999999</v>
      </c>
      <c r="J1876">
        <v>-261.16849999999999</v>
      </c>
      <c r="K1876">
        <v>1.107925</v>
      </c>
      <c r="L1876">
        <v>282.72410000000002</v>
      </c>
      <c r="M1876">
        <v>-0.99938939999999998</v>
      </c>
      <c r="N1876">
        <v>0</v>
      </c>
      <c r="O1876">
        <v>3.4746329999999999E-2</v>
      </c>
      <c r="P1876">
        <v>-0.97982910000000001</v>
      </c>
      <c r="Q1876">
        <v>0.19893859999999999</v>
      </c>
      <c r="R1876">
        <v>1.8929419999999999E-2</v>
      </c>
      <c r="S1876">
        <v>-3.101318</v>
      </c>
      <c r="T1876">
        <v>-0.1978356</v>
      </c>
      <c r="U1876">
        <v>-1.550293E-2</v>
      </c>
      <c r="V1876">
        <v>-1.4813359999999999E-2</v>
      </c>
      <c r="W1876">
        <v>0.20254949999999999</v>
      </c>
      <c r="X1876">
        <v>0.97916000000000003</v>
      </c>
      <c r="Y1876">
        <v>-3.9590790000000001E-2</v>
      </c>
      <c r="Z1876">
        <v>-3.4754349999999998E-3</v>
      </c>
      <c r="AA1876">
        <v>0.99920989999999998</v>
      </c>
      <c r="AB1876">
        <v>34</v>
      </c>
      <c r="AC1876">
        <v>-17.038099999999901</v>
      </c>
      <c r="AD1876">
        <v>-1.107922082615</v>
      </c>
      <c r="AE1876">
        <v>-9.8600000000033106E-2</v>
      </c>
      <c r="AF1876">
        <v>-0.68764835285086001</v>
      </c>
      <c r="AG1876">
        <v>-1.107922082615</v>
      </c>
      <c r="AH1876">
        <v>16.952705204902699</v>
      </c>
      <c r="AI1876">
        <v>93.736110405528507</v>
      </c>
      <c r="AJ1876">
        <v>92.322801042071404</v>
      </c>
      <c r="AK1876">
        <v>17.002781106709001</v>
      </c>
      <c r="AL1876">
        <v>78.313913653455103</v>
      </c>
      <c r="AM1876">
        <v>90.866741150639996</v>
      </c>
      <c r="AN1876">
        <v>1.00000002059236</v>
      </c>
    </row>
    <row r="1877" spans="1:40" x14ac:dyDescent="0.25">
      <c r="A1877" t="str">
        <f>"20190312172406278"</f>
        <v>20190312172406278</v>
      </c>
      <c r="B1877" t="str">
        <f>"1552382646271662"</f>
        <v>1552382646271662</v>
      </c>
      <c r="C1877" t="s">
        <v>40</v>
      </c>
      <c r="D1877">
        <v>3.647853</v>
      </c>
      <c r="E1877">
        <v>0.49157190000000001</v>
      </c>
      <c r="F1877" t="s">
        <v>47</v>
      </c>
      <c r="G1877">
        <v>-278.92450000000002</v>
      </c>
      <c r="H1877" s="1">
        <v>3.2994699999999902E-6</v>
      </c>
      <c r="I1877">
        <v>282.62400000000002</v>
      </c>
      <c r="J1877">
        <v>-261.52190000000002</v>
      </c>
      <c r="K1877">
        <v>1.1078429999999999</v>
      </c>
      <c r="L1877">
        <v>282.73689999999999</v>
      </c>
      <c r="M1877">
        <v>-0.99936639999999999</v>
      </c>
      <c r="N1877">
        <v>0</v>
      </c>
      <c r="O1877">
        <v>3.5483279999999999E-2</v>
      </c>
      <c r="P1877">
        <v>-0.97973719999999997</v>
      </c>
      <c r="Q1877">
        <v>0.19955909999999999</v>
      </c>
      <c r="R1877">
        <v>1.7065070000000002E-2</v>
      </c>
      <c r="S1877">
        <v>-3.1013790000000001</v>
      </c>
      <c r="T1877">
        <v>-0.19351760000000001</v>
      </c>
      <c r="U1877">
        <v>-1.748657E-2</v>
      </c>
      <c r="V1877">
        <v>-1.7378350000000001E-2</v>
      </c>
      <c r="W1877">
        <v>0.202324</v>
      </c>
      <c r="X1877">
        <v>0.97916440000000005</v>
      </c>
      <c r="Y1877">
        <v>-4.0968869999999998E-2</v>
      </c>
      <c r="Z1877">
        <v>-3.488526E-3</v>
      </c>
      <c r="AA1877">
        <v>0.99915430000000005</v>
      </c>
      <c r="AB1877">
        <v>34</v>
      </c>
      <c r="AC1877">
        <v>-17.4026</v>
      </c>
      <c r="AD1877">
        <v>-1.10783970052999</v>
      </c>
      <c r="AE1877">
        <v>-0.112899999999967</v>
      </c>
      <c r="AF1877">
        <v>-0.72738499884613805</v>
      </c>
      <c r="AG1877">
        <v>-1.10783970052999</v>
      </c>
      <c r="AH1877">
        <v>17.3174584418366</v>
      </c>
      <c r="AI1877">
        <v>93.657145844370504</v>
      </c>
      <c r="AJ1877">
        <v>92.405180156094204</v>
      </c>
      <c r="AK1877">
        <v>17.368096171525401</v>
      </c>
      <c r="AL1877">
        <v>78.327106359010202</v>
      </c>
      <c r="AM1877">
        <v>91.016786947776197</v>
      </c>
      <c r="AN1877">
        <v>0.99999996512603995</v>
      </c>
    </row>
    <row r="1878" spans="1:40" x14ac:dyDescent="0.25">
      <c r="A1878" t="str">
        <f>"20190312172406290"</f>
        <v>20190312172406290</v>
      </c>
      <c r="B1878" t="str">
        <f>"1552382646282398"</f>
        <v>1552382646282398</v>
      </c>
      <c r="C1878" t="s">
        <v>40</v>
      </c>
      <c r="D1878">
        <v>3.7373069999999999</v>
      </c>
      <c r="E1878">
        <v>0.4916143</v>
      </c>
      <c r="F1878" t="s">
        <v>47</v>
      </c>
      <c r="G1878">
        <v>-279.46789999999999</v>
      </c>
      <c r="H1878" s="1">
        <v>3.5893469999999999E-6</v>
      </c>
      <c r="I1878">
        <v>282.6078</v>
      </c>
      <c r="J1878">
        <v>-261.71280000000002</v>
      </c>
      <c r="K1878">
        <v>1.107815</v>
      </c>
      <c r="L1878">
        <v>282.74400000000003</v>
      </c>
      <c r="M1878">
        <v>-0.99935320000000005</v>
      </c>
      <c r="N1878">
        <v>0</v>
      </c>
      <c r="O1878">
        <v>3.5880820000000001E-2</v>
      </c>
      <c r="P1878">
        <v>-0.97966719999999896</v>
      </c>
      <c r="Q1878">
        <v>0.19997019999999999</v>
      </c>
      <c r="R1878">
        <v>1.6252490000000001E-2</v>
      </c>
      <c r="S1878">
        <v>-3.1014400000000002</v>
      </c>
      <c r="T1878">
        <v>-0.19145719999999999</v>
      </c>
      <c r="U1878">
        <v>-2.2308350000000001E-2</v>
      </c>
      <c r="V1878">
        <v>-1.8567819999999999E-2</v>
      </c>
      <c r="W1878">
        <v>0.20236970000000001</v>
      </c>
      <c r="X1878">
        <v>0.97913309999999998</v>
      </c>
      <c r="Y1878">
        <v>-4.2918100000000001E-2</v>
      </c>
      <c r="Z1878">
        <v>-3.5359969999999999E-3</v>
      </c>
      <c r="AA1878">
        <v>0.99907230000000002</v>
      </c>
      <c r="AB1878">
        <v>35</v>
      </c>
      <c r="AC1878">
        <v>-17.755099999999899</v>
      </c>
      <c r="AD1878">
        <v>-1.1078114106529999</v>
      </c>
      <c r="AE1878">
        <v>-0.13620000000002999</v>
      </c>
      <c r="AF1878">
        <v>-0.77018352025107495</v>
      </c>
      <c r="AG1878">
        <v>-1.1078114106529999</v>
      </c>
      <c r="AH1878">
        <v>17.669994615747299</v>
      </c>
      <c r="AI1878">
        <v>93.584040649141002</v>
      </c>
      <c r="AJ1878">
        <v>92.495776171712905</v>
      </c>
      <c r="AK1878">
        <v>17.721431615334499</v>
      </c>
      <c r="AL1878">
        <v>78.324432376430494</v>
      </c>
      <c r="AM1878">
        <v>91.086400022327794</v>
      </c>
      <c r="AN1878">
        <v>0.99999994346662402</v>
      </c>
    </row>
    <row r="1879" spans="1:40" x14ac:dyDescent="0.25">
      <c r="A1879" t="str">
        <f>"20190312172406304"</f>
        <v>20190312172406304</v>
      </c>
      <c r="B1879" t="str">
        <f>"1552382646292158"</f>
        <v>1552382646292158</v>
      </c>
      <c r="C1879" t="s">
        <v>40</v>
      </c>
      <c r="D1879">
        <v>3.7594029999999998</v>
      </c>
      <c r="E1879">
        <v>0.49167339999999998</v>
      </c>
      <c r="F1879" t="s">
        <v>47</v>
      </c>
      <c r="G1879">
        <v>-279.78390000000002</v>
      </c>
      <c r="H1879" s="1">
        <v>3.757935E-6</v>
      </c>
      <c r="I1879">
        <v>282.59859999999998</v>
      </c>
      <c r="J1879">
        <v>-261.9323</v>
      </c>
      <c r="K1879">
        <v>1.1077980000000001</v>
      </c>
      <c r="L1879">
        <v>282.75220000000002</v>
      </c>
      <c r="M1879">
        <v>-0.99933749999999999</v>
      </c>
      <c r="N1879">
        <v>0</v>
      </c>
      <c r="O1879">
        <v>3.6337759999999997E-2</v>
      </c>
      <c r="P1879">
        <v>-0.97958400000000001</v>
      </c>
      <c r="Q1879">
        <v>0.20040450000000001</v>
      </c>
      <c r="R1879">
        <v>1.5912059999999999E-2</v>
      </c>
      <c r="S1879">
        <v>-3.1015009999999998</v>
      </c>
      <c r="T1879">
        <v>-0.1901311</v>
      </c>
      <c r="U1879">
        <v>-2.496338E-2</v>
      </c>
      <c r="V1879">
        <v>-1.9342100000000001E-2</v>
      </c>
      <c r="W1879">
        <v>0.20243649999999999</v>
      </c>
      <c r="X1879">
        <v>0.97910430000000004</v>
      </c>
      <c r="Y1879">
        <v>-4.4228660000000003E-2</v>
      </c>
      <c r="Z1879">
        <v>-3.5795829999999999E-3</v>
      </c>
      <c r="AA1879">
        <v>0.99901499999999999</v>
      </c>
      <c r="AB1879">
        <v>35</v>
      </c>
      <c r="AC1879">
        <v>-17.851600000000001</v>
      </c>
      <c r="AD1879">
        <v>-1.107794242065</v>
      </c>
      <c r="AE1879">
        <v>-0.15360000000003901</v>
      </c>
      <c r="AF1879">
        <v>-0.79910997560421004</v>
      </c>
      <c r="AG1879">
        <v>-1.107794242065</v>
      </c>
      <c r="AH1879">
        <v>17.765819056181702</v>
      </c>
      <c r="AI1879">
        <v>93.564485188201601</v>
      </c>
      <c r="AJ1879">
        <v>92.575439283396804</v>
      </c>
      <c r="AK1879">
        <v>17.8182522030881</v>
      </c>
      <c r="AL1879">
        <v>78.320524106841106</v>
      </c>
      <c r="AM1879">
        <v>91.1317247483165</v>
      </c>
      <c r="AN1879">
        <v>0.99999994182157304</v>
      </c>
    </row>
    <row r="1880" spans="1:40" x14ac:dyDescent="0.25">
      <c r="A1880" t="str">
        <f>"20190312172406324"</f>
        <v>20190312172406324</v>
      </c>
      <c r="B1880" t="str">
        <f>"1552382646311678"</f>
        <v>1552382646311678</v>
      </c>
      <c r="C1880" t="s">
        <v>40</v>
      </c>
      <c r="D1880">
        <v>3.7336429999999998</v>
      </c>
      <c r="E1880">
        <v>0.49180940000000001</v>
      </c>
      <c r="F1880" t="s">
        <v>48</v>
      </c>
      <c r="G1880">
        <v>-280.12029999999999</v>
      </c>
      <c r="H1880" s="1">
        <v>8.7650809999999998E-6</v>
      </c>
      <c r="I1880">
        <v>282.60230000000001</v>
      </c>
      <c r="J1880">
        <v>-262.23930000000001</v>
      </c>
      <c r="K1880">
        <v>1.107796</v>
      </c>
      <c r="L1880">
        <v>282.76389999999998</v>
      </c>
      <c r="M1880">
        <v>-0.99931479999999995</v>
      </c>
      <c r="N1880">
        <v>0</v>
      </c>
      <c r="O1880">
        <v>3.6979310000000001E-2</v>
      </c>
      <c r="P1880">
        <v>-0.97941279999999997</v>
      </c>
      <c r="Q1880">
        <v>0.20130120000000001</v>
      </c>
      <c r="R1880">
        <v>1.5132720000000001E-2</v>
      </c>
      <c r="S1880">
        <v>-3.1015929999999998</v>
      </c>
      <c r="T1880">
        <v>-0.1889111</v>
      </c>
      <c r="U1880">
        <v>-2.5573729999999999E-2</v>
      </c>
      <c r="V1880">
        <v>-2.0728739999999999E-2</v>
      </c>
      <c r="W1880">
        <v>0.202959</v>
      </c>
      <c r="X1880">
        <v>0.97896780000000005</v>
      </c>
      <c r="Y1880">
        <v>-4.5065519999999998E-2</v>
      </c>
      <c r="Z1880">
        <v>-3.621034E-3</v>
      </c>
      <c r="AA1880">
        <v>0.99897749999999996</v>
      </c>
      <c r="AB1880">
        <v>35</v>
      </c>
      <c r="AC1880">
        <v>-17.880999999999901</v>
      </c>
      <c r="AD1880">
        <v>-1.1077872349189899</v>
      </c>
      <c r="AE1880">
        <v>-0.16159999999996399</v>
      </c>
      <c r="AF1880">
        <v>-0.81957189137062303</v>
      </c>
      <c r="AG1880">
        <v>-1.1077872349189899</v>
      </c>
      <c r="AH1880">
        <v>17.794500552900999</v>
      </c>
      <c r="AI1880">
        <v>93.558558496328402</v>
      </c>
      <c r="AJ1880">
        <v>92.637042180558495</v>
      </c>
      <c r="AK1880">
        <v>17.847776908348202</v>
      </c>
      <c r="AL1880">
        <v>78.289953063396396</v>
      </c>
      <c r="AM1880">
        <v>91.213004013532696</v>
      </c>
      <c r="AN1880">
        <v>0.99999999488991298</v>
      </c>
    </row>
    <row r="1881" spans="1:40" x14ac:dyDescent="0.25">
      <c r="A1881" t="str">
        <f>"20190312172406344"</f>
        <v>20190312172406344</v>
      </c>
      <c r="B1881" t="str">
        <f>"1552382646341934"</f>
        <v>1552382646341934</v>
      </c>
      <c r="C1881" t="s">
        <v>40</v>
      </c>
      <c r="D1881">
        <v>3.732634</v>
      </c>
      <c r="E1881">
        <v>0.49198340000000002</v>
      </c>
      <c r="F1881" t="s">
        <v>48</v>
      </c>
      <c r="G1881">
        <v>-280.68799999999999</v>
      </c>
      <c r="H1881" s="1">
        <v>8.5138210000000005E-6</v>
      </c>
      <c r="I1881">
        <v>282.59989999999999</v>
      </c>
      <c r="J1881">
        <v>-262.56779999999998</v>
      </c>
      <c r="K1881">
        <v>1.1078250000000001</v>
      </c>
      <c r="L1881">
        <v>282.77679999999998</v>
      </c>
      <c r="M1881">
        <v>-0.99928919999999999</v>
      </c>
      <c r="N1881">
        <v>0</v>
      </c>
      <c r="O1881">
        <v>3.7676649999999999E-2</v>
      </c>
      <c r="P1881">
        <v>-0.97943800000000003</v>
      </c>
      <c r="Q1881">
        <v>0.2011607</v>
      </c>
      <c r="R1881">
        <v>1.536064E-2</v>
      </c>
      <c r="S1881">
        <v>-3.1017760000000001</v>
      </c>
      <c r="T1881">
        <v>-0.186252</v>
      </c>
      <c r="U1881">
        <v>-2.758789E-2</v>
      </c>
      <c r="V1881">
        <v>-2.1175369999999999E-2</v>
      </c>
      <c r="W1881">
        <v>0.20256640000000001</v>
      </c>
      <c r="X1881">
        <v>0.97903949999999995</v>
      </c>
      <c r="Y1881">
        <v>-4.6411309999999997E-2</v>
      </c>
      <c r="Z1881">
        <v>-3.6521259999999999E-3</v>
      </c>
      <c r="AA1881">
        <v>0.99891569999999996</v>
      </c>
      <c r="AB1881">
        <v>35</v>
      </c>
      <c r="AC1881">
        <v>-18.120200000000001</v>
      </c>
      <c r="AD1881">
        <v>-1.1078164861790001</v>
      </c>
      <c r="AE1881">
        <v>-0.17689999999998901</v>
      </c>
      <c r="AF1881">
        <v>-0.85628310236400196</v>
      </c>
      <c r="AG1881">
        <v>-1.1078164861790001</v>
      </c>
      <c r="AH1881">
        <v>18.033271975093101</v>
      </c>
      <c r="AI1881">
        <v>93.511419119298196</v>
      </c>
      <c r="AJ1881">
        <v>92.718562945538693</v>
      </c>
      <c r="AK1881">
        <v>18.0875475464785</v>
      </c>
      <c r="AL1881">
        <v>78.312923933353204</v>
      </c>
      <c r="AM1881">
        <v>91.239041116873693</v>
      </c>
      <c r="AN1881">
        <v>0.99999994263192105</v>
      </c>
    </row>
    <row r="1882" spans="1:40" x14ac:dyDescent="0.25">
      <c r="A1882" t="str">
        <f>"20190312172406356"</f>
        <v>20190312172406356</v>
      </c>
      <c r="B1882" t="str">
        <f>"1552382646351695"</f>
        <v>1552382646351695</v>
      </c>
      <c r="C1882" t="s">
        <v>40</v>
      </c>
      <c r="D1882">
        <v>3.7699639999999999</v>
      </c>
      <c r="E1882">
        <v>0.49204239999999999</v>
      </c>
      <c r="F1882" t="s">
        <v>48</v>
      </c>
      <c r="G1882">
        <v>-280.97969999999998</v>
      </c>
      <c r="H1882" s="1">
        <v>8.3790939999999994E-6</v>
      </c>
      <c r="I1882">
        <v>282.6259</v>
      </c>
      <c r="J1882">
        <v>-262.76760000000002</v>
      </c>
      <c r="K1882">
        <v>1.1078509999999999</v>
      </c>
      <c r="L1882">
        <v>282.78469999999999</v>
      </c>
      <c r="M1882">
        <v>-0.99927279999999996</v>
      </c>
      <c r="N1882">
        <v>0</v>
      </c>
      <c r="O1882">
        <v>3.8108219999999998E-2</v>
      </c>
      <c r="P1882">
        <v>-0.97943959999999997</v>
      </c>
      <c r="Q1882">
        <v>0.20114299999999999</v>
      </c>
      <c r="R1882">
        <v>1.548247E-2</v>
      </c>
      <c r="S1882">
        <v>-3.1017459999999999</v>
      </c>
      <c r="T1882">
        <v>-0.1866276</v>
      </c>
      <c r="U1882">
        <v>-2.5421139999999998E-2</v>
      </c>
      <c r="V1882">
        <v>-2.1472310000000001E-2</v>
      </c>
      <c r="W1882">
        <v>0.2024562</v>
      </c>
      <c r="X1882">
        <v>0.97905589999999998</v>
      </c>
      <c r="Y1882">
        <v>-4.6144150000000002E-2</v>
      </c>
      <c r="Z1882">
        <v>-3.6774189999999999E-3</v>
      </c>
      <c r="AA1882">
        <v>0.99892800000000004</v>
      </c>
      <c r="AB1882">
        <v>35</v>
      </c>
      <c r="AC1882">
        <v>-18.2120999999999</v>
      </c>
      <c r="AD1882">
        <v>-1.1078426209059999</v>
      </c>
      <c r="AE1882">
        <v>-0.15879999999998501</v>
      </c>
      <c r="AF1882">
        <v>-0.84957250310020205</v>
      </c>
      <c r="AG1882">
        <v>-1.1078426209059999</v>
      </c>
      <c r="AH1882">
        <v>18.1257539487199</v>
      </c>
      <c r="AI1882">
        <v>93.493730189518203</v>
      </c>
      <c r="AJ1882">
        <v>92.683547392738902</v>
      </c>
      <c r="AK1882">
        <v>18.179440170705298</v>
      </c>
      <c r="AL1882">
        <v>78.319372370557204</v>
      </c>
      <c r="AM1882">
        <v>91.256389490853095</v>
      </c>
      <c r="AN1882">
        <v>1.0000000141699901</v>
      </c>
    </row>
    <row r="1883" spans="1:40" x14ac:dyDescent="0.25">
      <c r="A1883" t="str">
        <f>"20190312172406379"</f>
        <v>20190312172406379</v>
      </c>
      <c r="B1883" t="str">
        <f>"1552382646372190"</f>
        <v>1552382646372190</v>
      </c>
      <c r="C1883" t="s">
        <v>40</v>
      </c>
      <c r="D1883">
        <v>3.7187079999999999</v>
      </c>
      <c r="E1883">
        <v>0.49216389999999999</v>
      </c>
      <c r="F1883" t="s">
        <v>48</v>
      </c>
      <c r="G1883">
        <v>-281.15390000000002</v>
      </c>
      <c r="H1883" s="1">
        <v>8.2988829999999996E-6</v>
      </c>
      <c r="I1883">
        <v>282.64010000000002</v>
      </c>
      <c r="J1883">
        <v>-263.11750000000001</v>
      </c>
      <c r="K1883">
        <v>1.1079030000000001</v>
      </c>
      <c r="L1883">
        <v>282.79880000000003</v>
      </c>
      <c r="M1883">
        <v>-0.99924310000000005</v>
      </c>
      <c r="N1883">
        <v>0</v>
      </c>
      <c r="O1883">
        <v>3.8882510000000002E-2</v>
      </c>
      <c r="P1883">
        <v>-0.97943060000000004</v>
      </c>
      <c r="Q1883">
        <v>0.20111889999999999</v>
      </c>
      <c r="R1883">
        <v>1.634151E-2</v>
      </c>
      <c r="S1883">
        <v>-3.1017459999999999</v>
      </c>
      <c r="T1883">
        <v>-0.1868918</v>
      </c>
      <c r="U1883">
        <v>-2.4383539999999999E-2</v>
      </c>
      <c r="V1883">
        <v>-2.136685E-2</v>
      </c>
      <c r="W1883">
        <v>0.2023441</v>
      </c>
      <c r="X1883">
        <v>0.97908139999999999</v>
      </c>
      <c r="Y1883">
        <v>-4.6581409999999997E-2</v>
      </c>
      <c r="Z1883">
        <v>-3.7423650000000001E-3</v>
      </c>
      <c r="AA1883">
        <v>0.99890749999999995</v>
      </c>
      <c r="AB1883">
        <v>35</v>
      </c>
      <c r="AC1883">
        <v>-18.0364</v>
      </c>
      <c r="AD1883">
        <v>-1.1078947011169999</v>
      </c>
      <c r="AE1883">
        <v>-0.15870000000001</v>
      </c>
      <c r="AF1883">
        <v>-0.85664901132155202</v>
      </c>
      <c r="AG1883">
        <v>-1.1078947011169999</v>
      </c>
      <c r="AH1883">
        <v>17.948872520951401</v>
      </c>
      <c r="AI1883">
        <v>93.528096682461197</v>
      </c>
      <c r="AJ1883">
        <v>92.732492288521996</v>
      </c>
      <c r="AK1883">
        <v>18.003424756715798</v>
      </c>
      <c r="AL1883">
        <v>78.325931187796897</v>
      </c>
      <c r="AM1883">
        <v>91.250188218954605</v>
      </c>
      <c r="AN1883">
        <v>1.0000000324548399</v>
      </c>
    </row>
    <row r="1884" spans="1:40" x14ac:dyDescent="0.25">
      <c r="A1884" t="str">
        <f>"20190312172406402"</f>
        <v>20190312172406402</v>
      </c>
      <c r="B1884" t="str">
        <f>"1552382646391714"</f>
        <v>1552382646391714</v>
      </c>
      <c r="C1884" t="s">
        <v>40</v>
      </c>
      <c r="D1884">
        <v>3.7219159999999998</v>
      </c>
      <c r="E1884">
        <v>0.49229119999999998</v>
      </c>
      <c r="F1884" t="s">
        <v>48</v>
      </c>
      <c r="G1884">
        <v>-281.45069999999998</v>
      </c>
      <c r="H1884" s="1">
        <v>8.1591139999999995E-6</v>
      </c>
      <c r="I1884">
        <v>282.67950000000002</v>
      </c>
      <c r="J1884">
        <v>-263.48899999999998</v>
      </c>
      <c r="K1884">
        <v>1.107961</v>
      </c>
      <c r="L1884">
        <v>282.81400000000002</v>
      </c>
      <c r="M1884">
        <v>-0.99920969999999998</v>
      </c>
      <c r="N1884">
        <v>0</v>
      </c>
      <c r="O1884">
        <v>3.9733770000000002E-2</v>
      </c>
      <c r="P1884">
        <v>-0.97934319999999997</v>
      </c>
      <c r="Q1884">
        <v>0.20145370000000001</v>
      </c>
      <c r="R1884">
        <v>1.7427160000000001E-2</v>
      </c>
      <c r="S1884">
        <v>-3.1018370000000002</v>
      </c>
      <c r="T1884">
        <v>-0.18744659999999999</v>
      </c>
      <c r="U1884">
        <v>-2.0172120000000002E-2</v>
      </c>
      <c r="V1884">
        <v>-2.111004E-2</v>
      </c>
      <c r="W1884">
        <v>0.20266529999999999</v>
      </c>
      <c r="X1884">
        <v>0.97902049999999996</v>
      </c>
      <c r="Y1884">
        <v>-4.6074450000000003E-2</v>
      </c>
      <c r="Z1884">
        <v>-3.7894109999999999E-3</v>
      </c>
      <c r="AA1884">
        <v>0.99893080000000001</v>
      </c>
      <c r="AB1884">
        <v>36</v>
      </c>
      <c r="AC1884">
        <v>-17.961699999999901</v>
      </c>
      <c r="AD1884">
        <v>-1.107952840886</v>
      </c>
      <c r="AE1884">
        <v>-0.13450000000000201</v>
      </c>
      <c r="AF1884">
        <v>-0.84486578899389997</v>
      </c>
      <c r="AG1884">
        <v>-1.107952840886</v>
      </c>
      <c r="AH1884">
        <v>17.874165177152001</v>
      </c>
      <c r="AI1884">
        <v>93.543067773099395</v>
      </c>
      <c r="AJ1884">
        <v>92.706209833665</v>
      </c>
      <c r="AK1884">
        <v>17.928389176921499</v>
      </c>
      <c r="AL1884">
        <v>78.307138019661096</v>
      </c>
      <c r="AM1884">
        <v>91.235243592784002</v>
      </c>
      <c r="AN1884">
        <v>0.99999999851656995</v>
      </c>
    </row>
    <row r="1885" spans="1:40" x14ac:dyDescent="0.25">
      <c r="A1885" t="str">
        <f>"20190312172406422"</f>
        <v>20190312172406422</v>
      </c>
      <c r="B1885" t="str">
        <f>"1552382646412206"</f>
        <v>1552382646412206</v>
      </c>
      <c r="C1885" t="s">
        <v>40</v>
      </c>
      <c r="D1885">
        <v>3.6777510000000002</v>
      </c>
      <c r="E1885">
        <v>0.49243900000000002</v>
      </c>
      <c r="F1885" t="s">
        <v>48</v>
      </c>
      <c r="G1885">
        <v>-281.90269999999998</v>
      </c>
      <c r="H1885" s="1">
        <v>7.9500780000000002E-6</v>
      </c>
      <c r="I1885">
        <v>282.72129999999999</v>
      </c>
      <c r="J1885">
        <v>-263.8272</v>
      </c>
      <c r="K1885">
        <v>1.108004</v>
      </c>
      <c r="L1885">
        <v>282.82810000000001</v>
      </c>
      <c r="M1885">
        <v>-0.9991776</v>
      </c>
      <c r="N1885">
        <v>0</v>
      </c>
      <c r="O1885">
        <v>4.0531589999999999E-2</v>
      </c>
      <c r="P1885">
        <v>-0.97922039999999999</v>
      </c>
      <c r="Q1885">
        <v>0.20185710000000001</v>
      </c>
      <c r="R1885">
        <v>1.952885E-2</v>
      </c>
      <c r="S1885">
        <v>-3.1019290000000002</v>
      </c>
      <c r="T1885">
        <v>-0.1866428</v>
      </c>
      <c r="U1885">
        <v>-1.5625E-2</v>
      </c>
      <c r="V1885">
        <v>-1.9785179999999999E-2</v>
      </c>
      <c r="W1885">
        <v>0.20310329999999999</v>
      </c>
      <c r="X1885">
        <v>0.97895739999999998</v>
      </c>
      <c r="Y1885">
        <v>-4.5408690000000002E-2</v>
      </c>
      <c r="Z1885">
        <v>-3.801001E-3</v>
      </c>
      <c r="AA1885">
        <v>0.99896130000000005</v>
      </c>
      <c r="AB1885">
        <v>36</v>
      </c>
      <c r="AC1885">
        <v>-18.075499999999899</v>
      </c>
      <c r="AD1885">
        <v>-1.1079960499220001</v>
      </c>
      <c r="AE1885">
        <v>-0.106800000000021</v>
      </c>
      <c r="AF1885">
        <v>-0.83619958703627995</v>
      </c>
      <c r="AG1885">
        <v>-1.1079960499220001</v>
      </c>
      <c r="AH1885">
        <v>17.988728009612601</v>
      </c>
      <c r="AI1885">
        <v>93.520825896107297</v>
      </c>
      <c r="AJ1885">
        <v>92.661457940633198</v>
      </c>
      <c r="AK1885">
        <v>18.0422066388738</v>
      </c>
      <c r="AL1885">
        <v>78.281509450552207</v>
      </c>
      <c r="AM1885">
        <v>91.157816472178098</v>
      </c>
      <c r="AN1885">
        <v>0.99999999741664103</v>
      </c>
    </row>
    <row r="1886" spans="1:40" x14ac:dyDescent="0.25">
      <c r="A1886" t="str">
        <f>"20190312172406445"</f>
        <v>20190312172406445</v>
      </c>
      <c r="B1886" t="str">
        <f>"1552382646441486"</f>
        <v>1552382646441486</v>
      </c>
      <c r="C1886" t="s">
        <v>40</v>
      </c>
      <c r="D1886">
        <v>3.694928</v>
      </c>
      <c r="E1886">
        <v>0.49253130000000001</v>
      </c>
      <c r="F1886" t="s">
        <v>48</v>
      </c>
      <c r="G1886">
        <v>-282.37400000000002</v>
      </c>
      <c r="H1886" s="1">
        <v>7.7299539999999997E-6</v>
      </c>
      <c r="I1886">
        <v>282.77499999999998</v>
      </c>
      <c r="J1886">
        <v>-264.18130000000002</v>
      </c>
      <c r="K1886">
        <v>1.108033</v>
      </c>
      <c r="L1886">
        <v>282.8433</v>
      </c>
      <c r="M1886">
        <v>-0.9991428</v>
      </c>
      <c r="N1886">
        <v>0</v>
      </c>
      <c r="O1886">
        <v>4.1380559999999997E-2</v>
      </c>
      <c r="P1886">
        <v>-0.97922629999999999</v>
      </c>
      <c r="Q1886">
        <v>0.20163739999999999</v>
      </c>
      <c r="R1886">
        <v>2.1412919999999998E-2</v>
      </c>
      <c r="S1886">
        <v>-3.1020509999999999</v>
      </c>
      <c r="T1886">
        <v>-0.1853186</v>
      </c>
      <c r="U1886">
        <v>-8.8806149999999997E-3</v>
      </c>
      <c r="V1886">
        <v>-1.8732209999999999E-2</v>
      </c>
      <c r="W1886">
        <v>0.2029464</v>
      </c>
      <c r="X1886">
        <v>0.97901059999999995</v>
      </c>
      <c r="Y1886">
        <v>-4.4088429999999998E-2</v>
      </c>
      <c r="Z1886">
        <v>-3.7851650000000001E-3</v>
      </c>
      <c r="AA1886">
        <v>0.99902049999999998</v>
      </c>
      <c r="AB1886">
        <v>36</v>
      </c>
      <c r="AC1886">
        <v>-18.192699999999999</v>
      </c>
      <c r="AD1886">
        <v>-1.108025270046</v>
      </c>
      <c r="AE1886">
        <v>-6.8300000000021996E-2</v>
      </c>
      <c r="AF1886">
        <v>-0.818031733229169</v>
      </c>
      <c r="AG1886">
        <v>-1.108025270046</v>
      </c>
      <c r="AH1886">
        <v>18.107125038785899</v>
      </c>
      <c r="AI1886">
        <v>93.498162267477994</v>
      </c>
      <c r="AJ1886">
        <v>92.586712013878099</v>
      </c>
      <c r="AK1886">
        <v>18.1594293160842</v>
      </c>
      <c r="AL1886">
        <v>78.290689752591902</v>
      </c>
      <c r="AM1886">
        <v>91.096153224629703</v>
      </c>
      <c r="AN1886">
        <v>0.99999994593840003</v>
      </c>
    </row>
    <row r="1887" spans="1:40" x14ac:dyDescent="0.25">
      <c r="A1887" t="str">
        <f>"20190312172406459"</f>
        <v>20190312172406459</v>
      </c>
      <c r="B1887" t="str">
        <f>"1552382646452222"</f>
        <v>1552382646452222</v>
      </c>
      <c r="C1887" t="s">
        <v>40</v>
      </c>
      <c r="D1887">
        <v>3.6521530000000002</v>
      </c>
      <c r="E1887">
        <v>0.4925831</v>
      </c>
      <c r="F1887" t="s">
        <v>48</v>
      </c>
      <c r="G1887">
        <v>-282.71390000000002</v>
      </c>
      <c r="H1887" s="1">
        <v>7.5677450000000002E-6</v>
      </c>
      <c r="I1887">
        <v>282.83069999999998</v>
      </c>
      <c r="J1887">
        <v>-264.4196</v>
      </c>
      <c r="K1887">
        <v>1.1080460000000001</v>
      </c>
      <c r="L1887">
        <v>282.8535</v>
      </c>
      <c r="M1887">
        <v>-0.99911859999999997</v>
      </c>
      <c r="N1887">
        <v>0</v>
      </c>
      <c r="O1887">
        <v>4.1957370000000001E-2</v>
      </c>
      <c r="P1887">
        <v>-0.97923839999999995</v>
      </c>
      <c r="Q1887">
        <v>0.2015275</v>
      </c>
      <c r="R1887">
        <v>2.1888370000000001E-2</v>
      </c>
      <c r="S1887">
        <v>-3.1018370000000002</v>
      </c>
      <c r="T1887">
        <v>-0.1854526</v>
      </c>
      <c r="U1887">
        <v>-2.1057129999999999E-3</v>
      </c>
      <c r="V1887">
        <v>-1.8820670000000001E-2</v>
      </c>
      <c r="W1887">
        <v>0.2028904</v>
      </c>
      <c r="X1887">
        <v>0.97902049999999996</v>
      </c>
      <c r="Y1887">
        <v>-4.2484899999999999E-2</v>
      </c>
      <c r="Z1887">
        <v>-3.7746759999999998E-3</v>
      </c>
      <c r="AA1887">
        <v>0.99909000000000003</v>
      </c>
      <c r="AB1887">
        <v>36</v>
      </c>
      <c r="AC1887">
        <v>-18.2943</v>
      </c>
      <c r="AD1887">
        <v>-1.1080384322550001</v>
      </c>
      <c r="AE1887">
        <v>-2.28000000000179E-2</v>
      </c>
      <c r="AF1887">
        <v>-0.78747248256148605</v>
      </c>
      <c r="AG1887">
        <v>-1.1080384322550001</v>
      </c>
      <c r="AH1887">
        <v>18.210430169129101</v>
      </c>
      <c r="AI1887">
        <v>93.4787039568414</v>
      </c>
      <c r="AJ1887">
        <v>92.476095153779298</v>
      </c>
      <c r="AK1887">
        <v>18.261096052068599</v>
      </c>
      <c r="AL1887">
        <v>78.293966365506606</v>
      </c>
      <c r="AM1887">
        <v>91.101317234763002</v>
      </c>
      <c r="AN1887">
        <v>0.99999993572582702</v>
      </c>
    </row>
    <row r="1888" spans="1:40" x14ac:dyDescent="0.25">
      <c r="A1888" t="str">
        <f>"20190312172406479"</f>
        <v>20190312172406479</v>
      </c>
      <c r="B1888" t="str">
        <f>"1552382646471742"</f>
        <v>1552382646471742</v>
      </c>
      <c r="C1888" t="s">
        <v>40</v>
      </c>
      <c r="D1888">
        <v>3.7063980000000001</v>
      </c>
      <c r="E1888">
        <v>0.49265639999999999</v>
      </c>
      <c r="F1888" t="s">
        <v>48</v>
      </c>
      <c r="G1888">
        <v>-282.90570000000002</v>
      </c>
      <c r="H1888" s="1">
        <v>7.4775489999999999E-6</v>
      </c>
      <c r="I1888">
        <v>282.85539999999997</v>
      </c>
      <c r="J1888">
        <v>-264.74990000000003</v>
      </c>
      <c r="K1888">
        <v>1.1080490000000001</v>
      </c>
      <c r="L1888">
        <v>282.86810000000003</v>
      </c>
      <c r="M1888">
        <v>-0.99908450000000004</v>
      </c>
      <c r="N1888">
        <v>0</v>
      </c>
      <c r="O1888">
        <v>4.2760140000000002E-2</v>
      </c>
      <c r="P1888">
        <v>-0.97924350000000004</v>
      </c>
      <c r="Q1888">
        <v>0.20137360000000001</v>
      </c>
      <c r="R1888">
        <v>2.3046549999999999E-2</v>
      </c>
      <c r="S1888">
        <v>-3.1018979999999998</v>
      </c>
      <c r="T1888">
        <v>-0.18592420000000001</v>
      </c>
      <c r="U1888">
        <v>3.0517579999999998E-4</v>
      </c>
      <c r="V1888">
        <v>-1.8446089999999998E-2</v>
      </c>
      <c r="W1888">
        <v>0.202818</v>
      </c>
      <c r="X1888">
        <v>0.97904270000000004</v>
      </c>
      <c r="Y1888">
        <v>-4.2508890000000001E-2</v>
      </c>
      <c r="Z1888">
        <v>-3.8329340000000001E-3</v>
      </c>
      <c r="AA1888">
        <v>0.9990888</v>
      </c>
      <c r="AB1888">
        <v>36</v>
      </c>
      <c r="AC1888">
        <v>-18.155799999999999</v>
      </c>
      <c r="AD1888">
        <v>-1.1080415224510001</v>
      </c>
      <c r="AE1888">
        <v>-1.27000000000521E-2</v>
      </c>
      <c r="AF1888">
        <v>-0.78610566750657096</v>
      </c>
      <c r="AG1888">
        <v>-1.1080415224510001</v>
      </c>
      <c r="AH1888">
        <v>18.071342277501898</v>
      </c>
      <c r="AI1888">
        <v>93.505382461770296</v>
      </c>
      <c r="AJ1888">
        <v>92.490803341345895</v>
      </c>
      <c r="AK1888">
        <v>18.1223378692317</v>
      </c>
      <c r="AL1888">
        <v>78.298203466104795</v>
      </c>
      <c r="AM1888">
        <v>91.079378942575602</v>
      </c>
      <c r="AN1888">
        <v>1.00000000389178</v>
      </c>
    </row>
    <row r="1889" spans="1:40" x14ac:dyDescent="0.25">
      <c r="A1889" t="str">
        <f>"20190312172406492"</f>
        <v>20190312172406492</v>
      </c>
      <c r="B1889" t="str">
        <f>"1552382646481502"</f>
        <v>1552382646481502</v>
      </c>
      <c r="C1889" t="s">
        <v>40</v>
      </c>
      <c r="D1889">
        <v>3.720326</v>
      </c>
      <c r="E1889">
        <v>0.49267939999999999</v>
      </c>
      <c r="F1889" t="s">
        <v>48</v>
      </c>
      <c r="G1889">
        <v>-283.13979999999998</v>
      </c>
      <c r="H1889" s="1">
        <v>7.3649789999999998E-6</v>
      </c>
      <c r="I1889">
        <v>282.89789999999999</v>
      </c>
      <c r="J1889">
        <v>-264.94990000000001</v>
      </c>
      <c r="K1889">
        <v>1.1080479999999999</v>
      </c>
      <c r="L1889">
        <v>282.87700000000001</v>
      </c>
      <c r="M1889">
        <v>-0.99906329999999999</v>
      </c>
      <c r="N1889">
        <v>0</v>
      </c>
      <c r="O1889">
        <v>4.3247180000000003E-2</v>
      </c>
      <c r="P1889">
        <v>-0.97917650000000001</v>
      </c>
      <c r="Q1889">
        <v>0.2016154</v>
      </c>
      <c r="R1889">
        <v>2.3766969999999998E-2</v>
      </c>
      <c r="S1889">
        <v>-3.1019290000000002</v>
      </c>
      <c r="T1889">
        <v>-0.18690010000000001</v>
      </c>
      <c r="U1889">
        <v>5.0353999999999998E-3</v>
      </c>
      <c r="V1889">
        <v>-1.8196589999999999E-2</v>
      </c>
      <c r="W1889">
        <v>0.20311270000000001</v>
      </c>
      <c r="X1889">
        <v>0.97898629999999998</v>
      </c>
      <c r="Y1889">
        <v>-4.147178E-2</v>
      </c>
      <c r="Z1889">
        <v>-3.85104E-3</v>
      </c>
      <c r="AA1889">
        <v>0.99913229999999997</v>
      </c>
      <c r="AB1889">
        <v>36</v>
      </c>
      <c r="AC1889">
        <v>-18.189899999999898</v>
      </c>
      <c r="AD1889">
        <v>-1.1080406350209999</v>
      </c>
      <c r="AE1889">
        <v>2.0899999999983199E-2</v>
      </c>
      <c r="AF1889">
        <v>-0.76295125412440901</v>
      </c>
      <c r="AG1889">
        <v>-1.1080406350209999</v>
      </c>
      <c r="AH1889">
        <v>18.106598137183202</v>
      </c>
      <c r="AI1889">
        <v>93.498774588660595</v>
      </c>
      <c r="AJ1889">
        <v>92.412824471153897</v>
      </c>
      <c r="AK1889">
        <v>18.156506953885</v>
      </c>
      <c r="AL1889">
        <v>78.280959794766204</v>
      </c>
      <c r="AM1889">
        <v>91.064844082013593</v>
      </c>
      <c r="AN1889">
        <v>1.0000000301883001</v>
      </c>
    </row>
    <row r="1890" spans="1:40" x14ac:dyDescent="0.25">
      <c r="A1890" t="str">
        <f>"20190312172406504"</f>
        <v>20190312172406504</v>
      </c>
      <c r="B1890" t="str">
        <f>"1552382646501998"</f>
        <v>1552382646501998</v>
      </c>
      <c r="C1890" t="s">
        <v>40</v>
      </c>
      <c r="D1890">
        <v>3.6489569999999998</v>
      </c>
      <c r="E1890">
        <v>0.49273420000000001</v>
      </c>
      <c r="F1890" t="s">
        <v>48</v>
      </c>
      <c r="G1890">
        <v>-283.38819999999998</v>
      </c>
      <c r="H1890" s="1">
        <v>7.2502689999999899E-6</v>
      </c>
      <c r="I1890">
        <v>282.92</v>
      </c>
      <c r="J1890">
        <v>-265.15940000000001</v>
      </c>
      <c r="K1890">
        <v>1.1080479999999999</v>
      </c>
      <c r="L1890">
        <v>282.88639999999998</v>
      </c>
      <c r="M1890">
        <v>-0.99904110000000002</v>
      </c>
      <c r="N1890">
        <v>0</v>
      </c>
      <c r="O1890">
        <v>4.3757339999999999E-2</v>
      </c>
      <c r="P1890">
        <v>-0.97914540000000005</v>
      </c>
      <c r="Q1890">
        <v>0.20166829999999999</v>
      </c>
      <c r="R1890">
        <v>2.4586859999999999E-2</v>
      </c>
      <c r="S1890">
        <v>-3.10202</v>
      </c>
      <c r="T1890">
        <v>-0.186415</v>
      </c>
      <c r="U1890">
        <v>7.2326659999999996E-3</v>
      </c>
      <c r="V1890">
        <v>-1.7872200000000001E-2</v>
      </c>
      <c r="W1890">
        <v>0.20322190000000001</v>
      </c>
      <c r="X1890">
        <v>0.9789696</v>
      </c>
      <c r="Y1890">
        <v>-4.127455E-2</v>
      </c>
      <c r="Z1890">
        <v>-3.8656210000000001E-3</v>
      </c>
      <c r="AA1890">
        <v>0.99914040000000004</v>
      </c>
      <c r="AB1890">
        <v>37</v>
      </c>
      <c r="AC1890">
        <v>-18.2287999999999</v>
      </c>
      <c r="AD1890">
        <v>-1.1080407497310001</v>
      </c>
      <c r="AE1890">
        <v>3.3600000000035303E-2</v>
      </c>
      <c r="AF1890">
        <v>-0.761264112248488</v>
      </c>
      <c r="AG1890">
        <v>-1.1080407497310001</v>
      </c>
      <c r="AH1890">
        <v>18.145765043672501</v>
      </c>
      <c r="AI1890">
        <v>93.491268568082205</v>
      </c>
      <c r="AJ1890">
        <v>92.402304802265405</v>
      </c>
      <c r="AK1890">
        <v>18.1954957715317</v>
      </c>
      <c r="AL1890">
        <v>78.274569669464597</v>
      </c>
      <c r="AM1890">
        <v>91.0458832341793</v>
      </c>
      <c r="AN1890">
        <v>1.0000000169483001</v>
      </c>
    </row>
    <row r="1891" spans="1:40" x14ac:dyDescent="0.25">
      <c r="A1891" t="str">
        <f>"20190312172406524"</f>
        <v>20190312172406524</v>
      </c>
      <c r="B1891" t="str">
        <f>"1552382646521518"</f>
        <v>1552382646521518</v>
      </c>
      <c r="C1891" t="s">
        <v>40</v>
      </c>
      <c r="D1891">
        <v>3.695897</v>
      </c>
      <c r="E1891">
        <v>0.49275960000000002</v>
      </c>
      <c r="F1891" t="s">
        <v>48</v>
      </c>
      <c r="G1891">
        <v>-283.57060000000001</v>
      </c>
      <c r="H1891" s="1">
        <v>7.16384699999999E-6</v>
      </c>
      <c r="I1891">
        <v>282.94659999999999</v>
      </c>
      <c r="J1891">
        <v>-265.48829999999998</v>
      </c>
      <c r="K1891">
        <v>1.1080369999999999</v>
      </c>
      <c r="L1891">
        <v>282.90140000000002</v>
      </c>
      <c r="M1891">
        <v>-0.99900549999999999</v>
      </c>
      <c r="N1891">
        <v>0</v>
      </c>
      <c r="O1891">
        <v>4.4559040000000001E-2</v>
      </c>
      <c r="P1891">
        <v>-0.9790432</v>
      </c>
      <c r="Q1891">
        <v>0.2020131</v>
      </c>
      <c r="R1891">
        <v>2.5790690000000002E-2</v>
      </c>
      <c r="S1891">
        <v>-3.1020810000000001</v>
      </c>
      <c r="T1891">
        <v>-0.18669160000000001</v>
      </c>
      <c r="U1891">
        <v>1.013184E-2</v>
      </c>
      <c r="V1891">
        <v>-1.7442989999999998E-2</v>
      </c>
      <c r="W1891">
        <v>0.20365749999999999</v>
      </c>
      <c r="X1891">
        <v>0.97888679999999995</v>
      </c>
      <c r="Y1891">
        <v>-4.1140959999999997E-2</v>
      </c>
      <c r="Z1891">
        <v>-3.9154050000000003E-3</v>
      </c>
      <c r="AA1891">
        <v>0.99914570000000003</v>
      </c>
      <c r="AB1891">
        <v>37</v>
      </c>
      <c r="AC1891">
        <v>-18.0823</v>
      </c>
      <c r="AD1891">
        <v>-1.1080298361530001</v>
      </c>
      <c r="AE1891">
        <v>4.5199999999965698E-2</v>
      </c>
      <c r="AF1891">
        <v>-0.75773066551031198</v>
      </c>
      <c r="AG1891">
        <v>-1.1080298361530001</v>
      </c>
      <c r="AH1891">
        <v>17.998771103980399</v>
      </c>
      <c r="AI1891">
        <v>93.519653847643298</v>
      </c>
      <c r="AJ1891">
        <v>92.410672802698102</v>
      </c>
      <c r="AK1891">
        <v>18.048757495537998</v>
      </c>
      <c r="AL1891">
        <v>78.249078356815801</v>
      </c>
      <c r="AM1891">
        <v>91.020857519268105</v>
      </c>
      <c r="AN1891">
        <v>1.0000000012103101</v>
      </c>
    </row>
    <row r="1892" spans="1:40" x14ac:dyDescent="0.25">
      <c r="A1892" t="str">
        <f>"20190312172406546"</f>
        <v>20190312172406546</v>
      </c>
      <c r="B1892" t="str">
        <f>"1552382646542014"</f>
        <v>1552382646542014</v>
      </c>
      <c r="C1892" t="s">
        <v>40</v>
      </c>
      <c r="D1892">
        <v>3.6378689999999998</v>
      </c>
      <c r="E1892">
        <v>0.49283510000000003</v>
      </c>
      <c r="F1892" t="s">
        <v>48</v>
      </c>
      <c r="G1892">
        <v>-283.9692</v>
      </c>
      <c r="H1892" s="1">
        <v>6.9792629999999999E-6</v>
      </c>
      <c r="I1892">
        <v>282.98450000000003</v>
      </c>
      <c r="J1892">
        <v>-265.84780000000001</v>
      </c>
      <c r="K1892">
        <v>1.1080239999999999</v>
      </c>
      <c r="L1892">
        <v>282.91820000000001</v>
      </c>
      <c r="M1892">
        <v>-0.99896580000000001</v>
      </c>
      <c r="N1892">
        <v>0</v>
      </c>
      <c r="O1892">
        <v>4.5435709999999997E-2</v>
      </c>
      <c r="P1892">
        <v>-0.97900830000000005</v>
      </c>
      <c r="Q1892">
        <v>0.20200190000000001</v>
      </c>
      <c r="R1892">
        <v>2.7167119999999999E-2</v>
      </c>
      <c r="S1892">
        <v>-3.1022340000000002</v>
      </c>
      <c r="T1892">
        <v>-0.18599550000000001</v>
      </c>
      <c r="U1892">
        <v>1.394653E-2</v>
      </c>
      <c r="V1892">
        <v>-1.691755E-2</v>
      </c>
      <c r="W1892">
        <v>0.2037457</v>
      </c>
      <c r="X1892">
        <v>0.97887769999999996</v>
      </c>
      <c r="Y1892">
        <v>-4.0789590000000001E-2</v>
      </c>
      <c r="Z1892">
        <v>-3.9425600000000003E-3</v>
      </c>
      <c r="AA1892">
        <v>0.99916000000000005</v>
      </c>
      <c r="AB1892">
        <v>37</v>
      </c>
      <c r="AC1892">
        <v>-18.121399999999898</v>
      </c>
      <c r="AD1892">
        <v>-1.1080170207369999</v>
      </c>
      <c r="AE1892">
        <v>6.6300000000012405E-2</v>
      </c>
      <c r="AF1892">
        <v>-0.75430832883144705</v>
      </c>
      <c r="AG1892">
        <v>-1.1080170207369999</v>
      </c>
      <c r="AH1892">
        <v>18.0382607344756</v>
      </c>
      <c r="AI1892">
        <v>93.511968718596904</v>
      </c>
      <c r="AJ1892">
        <v>92.394550059613394</v>
      </c>
      <c r="AK1892">
        <v>18.0879941701149</v>
      </c>
      <c r="AL1892">
        <v>78.243917018563394</v>
      </c>
      <c r="AM1892">
        <v>90.990121365943395</v>
      </c>
      <c r="AN1892">
        <v>1.0000000326618901</v>
      </c>
    </row>
    <row r="1893" spans="1:40" x14ac:dyDescent="0.25">
      <c r="A1893" t="str">
        <f>"20190312172406569"</f>
        <v>20190312172406569</v>
      </c>
      <c r="B1893" t="str">
        <f>"1552382646561538"</f>
        <v>1552382646561538</v>
      </c>
      <c r="C1893" t="s">
        <v>40</v>
      </c>
      <c r="D1893">
        <v>3.712691</v>
      </c>
      <c r="E1893">
        <v>0.4928382</v>
      </c>
      <c r="F1893" t="s">
        <v>48</v>
      </c>
      <c r="G1893">
        <v>-284.2987</v>
      </c>
      <c r="H1893" s="1">
        <v>6.8233660000000001E-6</v>
      </c>
      <c r="I1893">
        <v>283.03179999999998</v>
      </c>
      <c r="J1893">
        <v>-266.22719999999998</v>
      </c>
      <c r="K1893">
        <v>1.1080049999999999</v>
      </c>
      <c r="L1893">
        <v>282.93619999999999</v>
      </c>
      <c r="M1893">
        <v>-0.99892309999999995</v>
      </c>
      <c r="N1893">
        <v>0</v>
      </c>
      <c r="O1893">
        <v>4.6361319999999998E-2</v>
      </c>
      <c r="P1893">
        <v>-0.97906910000000003</v>
      </c>
      <c r="Q1893">
        <v>0.20149149999999999</v>
      </c>
      <c r="R1893">
        <v>2.8725199999999999E-2</v>
      </c>
      <c r="S1893">
        <v>-3.1022639999999999</v>
      </c>
      <c r="T1893">
        <v>-0.1862974</v>
      </c>
      <c r="U1893">
        <v>1.9103999999999999E-2</v>
      </c>
      <c r="V1893">
        <v>-1.6264089999999998E-2</v>
      </c>
      <c r="W1893">
        <v>0.2033363</v>
      </c>
      <c r="X1893">
        <v>0.97897389999999995</v>
      </c>
      <c r="Y1893">
        <v>-4.0053569999999997E-2</v>
      </c>
      <c r="Z1893">
        <v>-3.9822750000000004E-3</v>
      </c>
      <c r="AA1893">
        <v>0.99918960000000001</v>
      </c>
      <c r="AB1893">
        <v>37</v>
      </c>
      <c r="AC1893">
        <v>-18.0715</v>
      </c>
      <c r="AD1893">
        <v>-1.1079981766339999</v>
      </c>
      <c r="AE1893">
        <v>9.5599999999990304E-2</v>
      </c>
      <c r="AF1893">
        <v>-0.73954278442258004</v>
      </c>
      <c r="AG1893">
        <v>-1.1079981766339999</v>
      </c>
      <c r="AH1893">
        <v>17.988879442136401</v>
      </c>
      <c r="AI1893">
        <v>93.521628114916396</v>
      </c>
      <c r="AJ1893">
        <v>92.354167359166098</v>
      </c>
      <c r="AK1893">
        <v>18.038136463424799</v>
      </c>
      <c r="AL1893">
        <v>78.267875463976296</v>
      </c>
      <c r="AM1893">
        <v>90.951790436629196</v>
      </c>
      <c r="AN1893">
        <v>1.0000000342012101</v>
      </c>
    </row>
    <row r="1894" spans="1:40" x14ac:dyDescent="0.25">
      <c r="A1894" t="str">
        <f>"20190312172406581"</f>
        <v>20190312172406581</v>
      </c>
      <c r="B1894" t="str">
        <f>"1552382646572271"</f>
        <v>1552382646572271</v>
      </c>
      <c r="C1894" t="s">
        <v>40</v>
      </c>
      <c r="D1894">
        <v>3.6497489999999999</v>
      </c>
      <c r="E1894">
        <v>0.49285459999999898</v>
      </c>
      <c r="F1894" t="s">
        <v>48</v>
      </c>
      <c r="G1894">
        <v>-284.44740000000002</v>
      </c>
      <c r="H1894" s="1">
        <v>6.7478099999999999E-6</v>
      </c>
      <c r="I1894">
        <v>283.07830000000001</v>
      </c>
      <c r="J1894">
        <v>-266.42880000000002</v>
      </c>
      <c r="K1894">
        <v>1.1079920000000001</v>
      </c>
      <c r="L1894">
        <v>282.94580000000002</v>
      </c>
      <c r="M1894">
        <v>-0.99889989999999995</v>
      </c>
      <c r="N1894">
        <v>0</v>
      </c>
      <c r="O1894">
        <v>4.6853829999999999E-2</v>
      </c>
      <c r="P1894">
        <v>-0.97900030000000005</v>
      </c>
      <c r="Q1894">
        <v>0.20165959999999999</v>
      </c>
      <c r="R1894">
        <v>2.9867339999999999E-2</v>
      </c>
      <c r="S1894">
        <v>-3.1022639999999999</v>
      </c>
      <c r="T1894">
        <v>-0.18865290000000001</v>
      </c>
      <c r="U1894">
        <v>2.420044E-2</v>
      </c>
      <c r="V1894">
        <v>-1.5598620000000001E-2</v>
      </c>
      <c r="W1894">
        <v>0.20355570000000001</v>
      </c>
      <c r="X1894">
        <v>0.97893909999999995</v>
      </c>
      <c r="Y1894">
        <v>-3.8902060000000002E-2</v>
      </c>
      <c r="Z1894">
        <v>-4.0273990000000001E-3</v>
      </c>
      <c r="AA1894">
        <v>0.99923490000000004</v>
      </c>
      <c r="AB1894">
        <v>37</v>
      </c>
      <c r="AC1894">
        <v>-18.0185999999999</v>
      </c>
      <c r="AD1894">
        <v>-1.10798525219</v>
      </c>
      <c r="AE1894">
        <v>0.13249999999999301</v>
      </c>
      <c r="AF1894">
        <v>-0.70920602298432101</v>
      </c>
      <c r="AG1894">
        <v>-1.10798525219</v>
      </c>
      <c r="AH1894">
        <v>17.937199374604301</v>
      </c>
      <c r="AI1894">
        <v>93.531930847892895</v>
      </c>
      <c r="AJ1894">
        <v>92.264197247214298</v>
      </c>
      <c r="AK1894">
        <v>17.985375334043301</v>
      </c>
      <c r="AL1894">
        <v>78.255035854543806</v>
      </c>
      <c r="AM1894">
        <v>90.912885657814897</v>
      </c>
      <c r="AN1894">
        <v>1.0000000007286001</v>
      </c>
    </row>
    <row r="1895" spans="1:40" x14ac:dyDescent="0.25">
      <c r="A1895" t="str">
        <f>"20190312172406592"</f>
        <v>20190312172406592</v>
      </c>
      <c r="B1895" t="str">
        <f>"1552382646582032"</f>
        <v>1552382646582032</v>
      </c>
      <c r="C1895" t="s">
        <v>40</v>
      </c>
      <c r="D1895">
        <v>3.6519110000000001</v>
      </c>
      <c r="E1895">
        <v>0.49286219999999997</v>
      </c>
      <c r="F1895" t="s">
        <v>48</v>
      </c>
      <c r="G1895">
        <v>-284.69940000000003</v>
      </c>
      <c r="H1895" s="1">
        <v>6.6291849999999998E-6</v>
      </c>
      <c r="I1895">
        <v>283.11169999999998</v>
      </c>
      <c r="J1895">
        <v>-266.62540000000001</v>
      </c>
      <c r="K1895">
        <v>1.1079829999999999</v>
      </c>
      <c r="L1895">
        <v>282.9554</v>
      </c>
      <c r="M1895">
        <v>-0.99887720000000002</v>
      </c>
      <c r="N1895">
        <v>0</v>
      </c>
      <c r="O1895">
        <v>4.7333710000000001E-2</v>
      </c>
      <c r="P1895">
        <v>-0.97898169999999995</v>
      </c>
      <c r="Q1895">
        <v>0.20156959999999999</v>
      </c>
      <c r="R1895">
        <v>3.1055409999999999E-2</v>
      </c>
      <c r="S1895">
        <v>-3.1022340000000002</v>
      </c>
      <c r="T1895">
        <v>-0.1881294</v>
      </c>
      <c r="U1895">
        <v>2.816772E-2</v>
      </c>
      <c r="V1895">
        <v>-1.487802E-2</v>
      </c>
      <c r="W1895">
        <v>0.20351420000000001</v>
      </c>
      <c r="X1895">
        <v>0.97895900000000002</v>
      </c>
      <c r="Y1895">
        <v>-3.8105699999999999E-2</v>
      </c>
      <c r="Z1895">
        <v>-4.0211639999999998E-3</v>
      </c>
      <c r="AA1895">
        <v>0.99926559999999998</v>
      </c>
      <c r="AB1895">
        <v>37</v>
      </c>
      <c r="AC1895">
        <v>-18.074000000000002</v>
      </c>
      <c r="AD1895">
        <v>-1.1079763708149999</v>
      </c>
      <c r="AE1895">
        <v>0.156299999999987</v>
      </c>
      <c r="AF1895">
        <v>-0.69676808519539501</v>
      </c>
      <c r="AG1895">
        <v>-1.1079763708149999</v>
      </c>
      <c r="AH1895">
        <v>17.993525684459499</v>
      </c>
      <c r="AI1895">
        <v>93.520986154980704</v>
      </c>
      <c r="AJ1895">
        <v>92.217571755964201</v>
      </c>
      <c r="AK1895">
        <v>18.0410660427852</v>
      </c>
      <c r="AL1895">
        <v>78.257465104843803</v>
      </c>
      <c r="AM1895">
        <v>90.870702584880306</v>
      </c>
      <c r="AN1895">
        <v>1.00000005438087</v>
      </c>
    </row>
    <row r="1896" spans="1:40" x14ac:dyDescent="0.25">
      <c r="A1896" t="str">
        <f>"20190312172406605"</f>
        <v>20190312172406605</v>
      </c>
      <c r="B1896" t="str">
        <f>"1552382646601552"</f>
        <v>1552382646601552</v>
      </c>
      <c r="C1896" t="s">
        <v>40</v>
      </c>
      <c r="D1896">
        <v>3.6520779999999999</v>
      </c>
      <c r="E1896">
        <v>0.4928958</v>
      </c>
      <c r="F1896" t="s">
        <v>48</v>
      </c>
      <c r="G1896">
        <v>-284.863</v>
      </c>
      <c r="H1896" s="1">
        <v>6.5500769999999998E-6</v>
      </c>
      <c r="I1896">
        <v>283.14339999999999</v>
      </c>
      <c r="J1896">
        <v>-266.82920000000001</v>
      </c>
      <c r="K1896">
        <v>1.10797099999999</v>
      </c>
      <c r="L1896">
        <v>282.96539999999999</v>
      </c>
      <c r="M1896">
        <v>-0.99885349999999995</v>
      </c>
      <c r="N1896">
        <v>0</v>
      </c>
      <c r="O1896">
        <v>4.7830940000000002E-2</v>
      </c>
      <c r="P1896">
        <v>-0.97896170000000005</v>
      </c>
      <c r="Q1896">
        <v>0.2014735</v>
      </c>
      <c r="R1896">
        <v>3.2289099999999897E-2</v>
      </c>
      <c r="S1896">
        <v>-3.1022029999999998</v>
      </c>
      <c r="T1896">
        <v>-0.1884661</v>
      </c>
      <c r="U1896">
        <v>3.1982419999999998E-2</v>
      </c>
      <c r="V1896">
        <v>-1.4128470000000001E-2</v>
      </c>
      <c r="W1896">
        <v>0.20346700000000001</v>
      </c>
      <c r="X1896">
        <v>0.97897990000000001</v>
      </c>
      <c r="Y1896">
        <v>-3.7374249999999998E-2</v>
      </c>
      <c r="Z1896">
        <v>-4.0362929999999998E-3</v>
      </c>
      <c r="AA1896">
        <v>0.99929319999999999</v>
      </c>
      <c r="AB1896">
        <v>37</v>
      </c>
      <c r="AC1896">
        <v>-18.0337999999999</v>
      </c>
      <c r="AD1896">
        <v>-1.1079644499229999</v>
      </c>
      <c r="AE1896">
        <v>0.17799999999999699</v>
      </c>
      <c r="AF1896">
        <v>-0.68220417962769497</v>
      </c>
      <c r="AG1896">
        <v>-1.1079644499229999</v>
      </c>
      <c r="AH1896">
        <v>17.953909981022701</v>
      </c>
      <c r="AI1896">
        <v>93.528795656527095</v>
      </c>
      <c r="AJ1896">
        <v>92.176051063531503</v>
      </c>
      <c r="AK1896">
        <v>18.0009963994125</v>
      </c>
      <c r="AL1896">
        <v>78.260227077287695</v>
      </c>
      <c r="AM1896">
        <v>90.826825462527196</v>
      </c>
      <c r="AN1896">
        <v>1.00000003917877</v>
      </c>
    </row>
    <row r="1897" spans="1:40" x14ac:dyDescent="0.25">
      <c r="A1897" t="str">
        <f>"20190312172406624"</f>
        <v>20190312172406624</v>
      </c>
      <c r="B1897" t="str">
        <f>"1552382646622048"</f>
        <v>1552382646622048</v>
      </c>
      <c r="C1897" t="s">
        <v>40</v>
      </c>
      <c r="D1897">
        <v>3.71522</v>
      </c>
      <c r="E1897">
        <v>0.4928882</v>
      </c>
      <c r="F1897" t="s">
        <v>48</v>
      </c>
      <c r="G1897">
        <v>-285.01929999999999</v>
      </c>
      <c r="H1897" s="1">
        <v>6.4742760000000002E-6</v>
      </c>
      <c r="I1897">
        <v>283.17469999999997</v>
      </c>
      <c r="J1897">
        <v>-267.16199999999998</v>
      </c>
      <c r="K1897">
        <v>1.1079600000000001</v>
      </c>
      <c r="L1897">
        <v>282.98200000000003</v>
      </c>
      <c r="M1897">
        <v>-0.99881419999999999</v>
      </c>
      <c r="N1897">
        <v>0</v>
      </c>
      <c r="O1897">
        <v>4.8641440000000001E-2</v>
      </c>
      <c r="P1897">
        <v>-0.97885869999999997</v>
      </c>
      <c r="Q1897">
        <v>0.2015932</v>
      </c>
      <c r="R1897">
        <v>3.4579760000000001E-2</v>
      </c>
      <c r="S1897">
        <v>-3.1022029999999998</v>
      </c>
      <c r="T1897">
        <v>-0.1889557</v>
      </c>
      <c r="U1897">
        <v>3.5705569999999999E-2</v>
      </c>
      <c r="V1897">
        <v>-1.262478E-2</v>
      </c>
      <c r="W1897">
        <v>0.2036654</v>
      </c>
      <c r="X1897">
        <v>0.97895909999999997</v>
      </c>
      <c r="Y1897">
        <v>-3.6984370000000003E-2</v>
      </c>
      <c r="Z1897">
        <v>-4.0841209999999996E-3</v>
      </c>
      <c r="AA1897">
        <v>0.99930750000000002</v>
      </c>
      <c r="AB1897">
        <v>38</v>
      </c>
      <c r="AC1897">
        <v>-17.857299999999899</v>
      </c>
      <c r="AD1897">
        <v>-1.1079535257240001</v>
      </c>
      <c r="AE1897">
        <v>0.192699999999945</v>
      </c>
      <c r="AF1897">
        <v>-0.67354216995570204</v>
      </c>
      <c r="AG1897">
        <v>-1.1079535257240001</v>
      </c>
      <c r="AH1897">
        <v>17.777109387260701</v>
      </c>
      <c r="AI1897">
        <v>93.563780641522797</v>
      </c>
      <c r="AJ1897">
        <v>92.169794463432495</v>
      </c>
      <c r="AK1897">
        <v>17.824332757118999</v>
      </c>
      <c r="AL1897">
        <v>78.248615418270205</v>
      </c>
      <c r="AM1897">
        <v>90.738852639850407</v>
      </c>
      <c r="AN1897">
        <v>0.99999994985000795</v>
      </c>
    </row>
    <row r="1898" spans="1:40" x14ac:dyDescent="0.25">
      <c r="A1898" t="str">
        <f>"20190312172406646"</f>
        <v>20190312172406646</v>
      </c>
      <c r="B1898" t="str">
        <f>"1552382646641566"</f>
        <v>1552382646641566</v>
      </c>
      <c r="C1898" t="s">
        <v>40</v>
      </c>
      <c r="D1898">
        <v>3.6721379999999999</v>
      </c>
      <c r="E1898">
        <v>0.49286799999999997</v>
      </c>
      <c r="F1898" t="s">
        <v>48</v>
      </c>
      <c r="G1898">
        <v>-285.33199999999999</v>
      </c>
      <c r="H1898" s="1">
        <v>6.3240150000000001E-6</v>
      </c>
      <c r="I1898">
        <v>283.23099999999999</v>
      </c>
      <c r="J1898">
        <v>-267.52870000000001</v>
      </c>
      <c r="K1898">
        <v>1.1079410000000001</v>
      </c>
      <c r="L1898">
        <v>283.00049999999999</v>
      </c>
      <c r="M1898">
        <v>-0.99877039999999995</v>
      </c>
      <c r="N1898">
        <v>0</v>
      </c>
      <c r="O1898">
        <v>4.952836E-2</v>
      </c>
      <c r="P1898">
        <v>-0.97885690000000003</v>
      </c>
      <c r="Q1898">
        <v>0.2012265</v>
      </c>
      <c r="R1898">
        <v>3.6704750000000001E-2</v>
      </c>
      <c r="S1898">
        <v>-3.1022340000000002</v>
      </c>
      <c r="T1898">
        <v>-0.1891661</v>
      </c>
      <c r="U1898">
        <v>4.2510989999999999E-2</v>
      </c>
      <c r="V1898">
        <v>-1.1368349999999999E-2</v>
      </c>
      <c r="W1898">
        <v>0.20338339999999999</v>
      </c>
      <c r="X1898">
        <v>0.97903320000000005</v>
      </c>
      <c r="Y1898">
        <v>-3.5680429999999999E-2</v>
      </c>
      <c r="Z1898">
        <v>-4.102779E-3</v>
      </c>
      <c r="AA1898">
        <v>0.99935479999999999</v>
      </c>
      <c r="AB1898">
        <v>38</v>
      </c>
      <c r="AC1898">
        <v>-17.803299999999901</v>
      </c>
      <c r="AD1898">
        <v>-1.107934675985</v>
      </c>
      <c r="AE1898">
        <v>0.23050000000000601</v>
      </c>
      <c r="AF1898">
        <v>-0.64903998897417503</v>
      </c>
      <c r="AG1898">
        <v>-1.107934675985</v>
      </c>
      <c r="AH1898">
        <v>17.7242352717095</v>
      </c>
      <c r="AI1898">
        <v>93.574492129507604</v>
      </c>
      <c r="AJ1898">
        <v>92.097164870111698</v>
      </c>
      <c r="AK1898">
        <v>17.770686202858101</v>
      </c>
      <c r="AL1898">
        <v>78.265119150155797</v>
      </c>
      <c r="AM1898">
        <v>90.6652779520293</v>
      </c>
      <c r="AN1898">
        <v>1.00000002673976</v>
      </c>
    </row>
    <row r="1899" spans="1:40" x14ac:dyDescent="0.25">
      <c r="A1899" t="str">
        <f>"20190312172406658"</f>
        <v>20190312172406658</v>
      </c>
      <c r="B1899" t="str">
        <f>"1552382646652302"</f>
        <v>1552382646652302</v>
      </c>
      <c r="C1899" t="s">
        <v>40</v>
      </c>
      <c r="D1899">
        <v>3.7464240000000002</v>
      </c>
      <c r="E1899">
        <v>0.49285459999999898</v>
      </c>
      <c r="F1899" t="s">
        <v>48</v>
      </c>
      <c r="G1899">
        <v>-285.52780000000001</v>
      </c>
      <c r="H1899" s="1">
        <v>6.2251080000000001E-6</v>
      </c>
      <c r="I1899">
        <v>283.28930000000003</v>
      </c>
      <c r="J1899">
        <v>-267.73320000000001</v>
      </c>
      <c r="K1899">
        <v>1.107936</v>
      </c>
      <c r="L1899">
        <v>283.01089999999999</v>
      </c>
      <c r="M1899">
        <v>-0.99874580000000002</v>
      </c>
      <c r="N1899">
        <v>0</v>
      </c>
      <c r="O1899">
        <v>5.001974E-2</v>
      </c>
      <c r="P1899">
        <v>-0.97888790000000003</v>
      </c>
      <c r="Q1899">
        <v>0.20087340000000001</v>
      </c>
      <c r="R1899">
        <v>3.7796919999999998E-2</v>
      </c>
      <c r="S1899">
        <v>-3.1022029999999998</v>
      </c>
      <c r="T1899">
        <v>-0.19095619999999999</v>
      </c>
      <c r="U1899">
        <v>4.977417E-2</v>
      </c>
      <c r="V1899">
        <v>-1.076029E-2</v>
      </c>
      <c r="W1899">
        <v>0.2030767</v>
      </c>
      <c r="X1899">
        <v>0.97910370000000002</v>
      </c>
      <c r="Y1899">
        <v>-3.3832210000000001E-2</v>
      </c>
      <c r="Z1899">
        <v>-4.114815E-3</v>
      </c>
      <c r="AA1899">
        <v>0.99941899999999995</v>
      </c>
      <c r="AB1899">
        <v>38</v>
      </c>
      <c r="AC1899">
        <v>-17.794599999999999</v>
      </c>
      <c r="AD1899">
        <v>-1.1079297748920001</v>
      </c>
      <c r="AE1899">
        <v>0.27840000000003301</v>
      </c>
      <c r="AF1899">
        <v>-0.60966907113241897</v>
      </c>
      <c r="AG1899">
        <v>-1.1079297748920001</v>
      </c>
      <c r="AH1899">
        <v>17.717583956671401</v>
      </c>
      <c r="AI1899">
        <v>93.576094144709302</v>
      </c>
      <c r="AJ1899">
        <v>91.970792822879901</v>
      </c>
      <c r="AK1899">
        <v>17.7626570654304</v>
      </c>
      <c r="AL1899">
        <v>78.283065898967195</v>
      </c>
      <c r="AM1899">
        <v>90.629651776749398</v>
      </c>
      <c r="AN1899">
        <v>0.99999999263873196</v>
      </c>
    </row>
    <row r="1900" spans="1:40" x14ac:dyDescent="0.25">
      <c r="A1900" t="str">
        <f>"20190312172406670"</f>
        <v>20190312172406670</v>
      </c>
      <c r="B1900" t="str">
        <f>"1552382646662062"</f>
        <v>1552382646662062</v>
      </c>
      <c r="C1900" t="s">
        <v>40</v>
      </c>
      <c r="D1900">
        <v>3.7871990000000002</v>
      </c>
      <c r="E1900">
        <v>0.49285459999999898</v>
      </c>
      <c r="F1900" t="s">
        <v>48</v>
      </c>
      <c r="G1900">
        <v>-285.5865</v>
      </c>
      <c r="H1900" s="1">
        <v>6.1929529999999996E-6</v>
      </c>
      <c r="I1900">
        <v>283.31900000000002</v>
      </c>
      <c r="J1900">
        <v>-267.94119999999998</v>
      </c>
      <c r="K1900">
        <v>1.1079289999999999</v>
      </c>
      <c r="L1900">
        <v>283.02170000000001</v>
      </c>
      <c r="M1900">
        <v>-0.99872079999999996</v>
      </c>
      <c r="N1900">
        <v>0</v>
      </c>
      <c r="O1900">
        <v>5.0515230000000001E-2</v>
      </c>
      <c r="P1900">
        <v>-0.97890290000000002</v>
      </c>
      <c r="Q1900">
        <v>0.20057269999999999</v>
      </c>
      <c r="R1900">
        <v>3.8984329999999998E-2</v>
      </c>
      <c r="S1900">
        <v>-3.102112</v>
      </c>
      <c r="T1900">
        <v>-0.19250909999999999</v>
      </c>
      <c r="U1900">
        <v>5.3527829999999998E-2</v>
      </c>
      <c r="V1900">
        <v>-1.0060980000000001E-2</v>
      </c>
      <c r="W1900">
        <v>0.2028208</v>
      </c>
      <c r="X1900">
        <v>0.97916420000000004</v>
      </c>
      <c r="Y1900">
        <v>-3.3116409999999999E-2</v>
      </c>
      <c r="Z1900">
        <v>-4.1567619999999996E-3</v>
      </c>
      <c r="AA1900">
        <v>0.99944290000000002</v>
      </c>
      <c r="AB1900">
        <v>38</v>
      </c>
      <c r="AC1900">
        <v>-17.645299999999999</v>
      </c>
      <c r="AD1900">
        <v>-1.107922807047</v>
      </c>
      <c r="AE1900">
        <v>0.297300000000007</v>
      </c>
      <c r="AF1900">
        <v>-0.59210452119393597</v>
      </c>
      <c r="AG1900">
        <v>-1.107922807047</v>
      </c>
      <c r="AH1900">
        <v>17.568547564301799</v>
      </c>
      <c r="AI1900">
        <v>93.606414904366204</v>
      </c>
      <c r="AJ1900">
        <v>91.930282170068494</v>
      </c>
      <c r="AK1900">
        <v>17.613402403554201</v>
      </c>
      <c r="AL1900">
        <v>78.298039769369097</v>
      </c>
      <c r="AM1900">
        <v>90.588697387385096</v>
      </c>
      <c r="AN1900">
        <v>1.0000000153964199</v>
      </c>
    </row>
    <row r="1901" spans="1:40" x14ac:dyDescent="0.25">
      <c r="A1901" t="str">
        <f>"20190312172406691"</f>
        <v>20190312172406691</v>
      </c>
      <c r="B1901" t="str">
        <f>"1552382646681586"</f>
        <v>1552382646681586</v>
      </c>
      <c r="C1901" t="s">
        <v>40</v>
      </c>
      <c r="D1901">
        <v>3.8654299999999999</v>
      </c>
      <c r="E1901">
        <v>0.5282964</v>
      </c>
      <c r="F1901" t="s">
        <v>48</v>
      </c>
      <c r="G1901">
        <v>-285.70139999999998</v>
      </c>
      <c r="H1901" s="1">
        <v>6.1347919999999999E-6</v>
      </c>
      <c r="I1901">
        <v>283.35390000000001</v>
      </c>
      <c r="J1901">
        <v>-268.3</v>
      </c>
      <c r="K1901">
        <v>1.1079220000000001</v>
      </c>
      <c r="L1901">
        <v>283.04050000000001</v>
      </c>
      <c r="M1901">
        <v>-0.99867760000000005</v>
      </c>
      <c r="N1901">
        <v>0</v>
      </c>
      <c r="O1901">
        <v>5.1358630000000002E-2</v>
      </c>
      <c r="P1901">
        <v>-0.97887290000000005</v>
      </c>
      <c r="Q1901">
        <v>0.20010849999999999</v>
      </c>
      <c r="R1901">
        <v>4.2007650000000001E-2</v>
      </c>
      <c r="S1901">
        <v>-3.1019899999999998</v>
      </c>
      <c r="T1901">
        <v>-0.19350980000000001</v>
      </c>
      <c r="U1901">
        <v>5.8013919999999997E-2</v>
      </c>
      <c r="V1901">
        <v>-7.8685709999999996E-3</v>
      </c>
      <c r="W1901">
        <v>0.2024309</v>
      </c>
      <c r="X1901">
        <v>0.97926489999999999</v>
      </c>
      <c r="Y1901">
        <v>-3.2512689999999997E-2</v>
      </c>
      <c r="Z1901">
        <v>-4.2120940000000004E-3</v>
      </c>
      <c r="AA1901">
        <v>0.99946239999999997</v>
      </c>
      <c r="AB1901">
        <v>38</v>
      </c>
      <c r="AC1901">
        <v>-17.401399999999899</v>
      </c>
      <c r="AD1901">
        <v>-1.1079158652079999</v>
      </c>
      <c r="AE1901">
        <v>0.31340000000000101</v>
      </c>
      <c r="AF1901">
        <v>-0.57838425413946004</v>
      </c>
      <c r="AG1901">
        <v>-1.1079158652079999</v>
      </c>
      <c r="AH1901">
        <v>17.3243268337133</v>
      </c>
      <c r="AI1901">
        <v>93.6571333250414</v>
      </c>
      <c r="AJ1901">
        <v>91.912147754853805</v>
      </c>
      <c r="AK1901">
        <v>17.369349617966002</v>
      </c>
      <c r="AL1901">
        <v>78.320852009698399</v>
      </c>
      <c r="AM1901">
        <v>90.4603720677257</v>
      </c>
      <c r="AN1901">
        <v>0.99999996402820002</v>
      </c>
    </row>
    <row r="1902" spans="1:40" x14ac:dyDescent="0.25">
      <c r="A1902" t="str">
        <f>"20190312172406704"</f>
        <v>20190312172406704</v>
      </c>
      <c r="B1902" t="str">
        <f>"1552382646692320"</f>
        <v>1552382646692320</v>
      </c>
      <c r="C1902" t="s">
        <v>40</v>
      </c>
      <c r="D1902">
        <v>3.793676</v>
      </c>
      <c r="E1902">
        <v>0.53844269999999905</v>
      </c>
      <c r="F1902" t="s">
        <v>41</v>
      </c>
      <c r="G1902">
        <v>-269.19209999999998</v>
      </c>
      <c r="H1902">
        <v>1.04589</v>
      </c>
      <c r="I1902">
        <v>283.14179999999999</v>
      </c>
      <c r="J1902">
        <v>-268.50819999999999</v>
      </c>
      <c r="K1902">
        <v>1.10792</v>
      </c>
      <c r="L1902">
        <v>283.05149999999998</v>
      </c>
      <c r="M1902">
        <v>-0.9986526</v>
      </c>
      <c r="N1902">
        <v>0</v>
      </c>
      <c r="O1902">
        <v>5.1839990000000002E-2</v>
      </c>
      <c r="P1902">
        <v>-0.97877959999999997</v>
      </c>
      <c r="Q1902">
        <v>0.20017989999999999</v>
      </c>
      <c r="R1902">
        <v>4.3804349999999999E-2</v>
      </c>
      <c r="S1902">
        <v>-3.093658</v>
      </c>
      <c r="T1902">
        <v>-0.21517990000000001</v>
      </c>
      <c r="U1902">
        <v>0.35110469999999999</v>
      </c>
      <c r="V1902">
        <v>-6.5422700000000002E-3</v>
      </c>
      <c r="W1902">
        <v>0.20254440000000001</v>
      </c>
      <c r="X1902">
        <v>0.97925119999999999</v>
      </c>
      <c r="Y1902">
        <v>6.1084640000000003E-2</v>
      </c>
      <c r="Z1902">
        <v>-1.4710350000000001E-3</v>
      </c>
      <c r="AA1902">
        <v>0.99813149999999995</v>
      </c>
      <c r="AB1902">
        <v>38</v>
      </c>
      <c r="AC1902">
        <v>-0.68389999999999396</v>
      </c>
      <c r="AD1902">
        <v>-6.2030000000000002E-2</v>
      </c>
      <c r="AE1902">
        <v>9.03000000000133E-2</v>
      </c>
      <c r="AF1902">
        <v>5.4286177559931599E-2</v>
      </c>
      <c r="AG1902">
        <v>-6.2030000000000002E-2</v>
      </c>
      <c r="AH1902">
        <v>0.68214603009878405</v>
      </c>
      <c r="AI1902">
        <v>95.179535976965695</v>
      </c>
      <c r="AJ1902">
        <v>85.449907561361897</v>
      </c>
      <c r="AK1902">
        <v>0.68710837307778405</v>
      </c>
      <c r="AL1902">
        <v>78.314211494531506</v>
      </c>
      <c r="AM1902">
        <v>90.382781131757994</v>
      </c>
      <c r="AN1902">
        <v>0.99999997398477602</v>
      </c>
    </row>
    <row r="1903" spans="1:40" x14ac:dyDescent="0.25">
      <c r="A1903" t="str">
        <f>"20190312172406726"</f>
        <v>20190312172406726</v>
      </c>
      <c r="B1903" t="str">
        <f>"1552382646721599"</f>
        <v>1552382646721599</v>
      </c>
      <c r="C1903" t="s">
        <v>40</v>
      </c>
      <c r="D1903">
        <v>3.7775460000000001</v>
      </c>
      <c r="E1903">
        <v>0.55005340000000003</v>
      </c>
      <c r="F1903" t="s">
        <v>41</v>
      </c>
      <c r="G1903">
        <v>-269.52960000000002</v>
      </c>
      <c r="H1903">
        <v>1.0368539999999999</v>
      </c>
      <c r="I1903">
        <v>283.19630000000001</v>
      </c>
      <c r="J1903">
        <v>-268.88420000000002</v>
      </c>
      <c r="K1903">
        <v>1.10792</v>
      </c>
      <c r="L1903">
        <v>283.07170000000002</v>
      </c>
      <c r="M1903">
        <v>-0.99860819999999995</v>
      </c>
      <c r="N1903">
        <v>0</v>
      </c>
      <c r="O1903">
        <v>5.2685339999999997E-2</v>
      </c>
      <c r="P1903">
        <v>-0.9786279</v>
      </c>
      <c r="Q1903">
        <v>0.20013030000000001</v>
      </c>
      <c r="R1903">
        <v>4.7281320000000002E-2</v>
      </c>
      <c r="S1903">
        <v>-3.0894469999999998</v>
      </c>
      <c r="T1903">
        <v>-0.2150648</v>
      </c>
      <c r="U1903">
        <v>0.43737789999999999</v>
      </c>
      <c r="V1903">
        <v>-3.8965279999999998E-3</v>
      </c>
      <c r="W1903">
        <v>0.2025692</v>
      </c>
      <c r="X1903">
        <v>0.97926020000000003</v>
      </c>
      <c r="Y1903">
        <v>8.7730749999999996E-2</v>
      </c>
      <c r="Z1903">
        <v>-6.0558019999999897E-4</v>
      </c>
      <c r="AA1903">
        <v>0.99614409999999998</v>
      </c>
      <c r="AB1903">
        <v>38</v>
      </c>
      <c r="AC1903">
        <v>-0.64539999999999498</v>
      </c>
      <c r="AD1903">
        <v>-7.1065999999999796E-2</v>
      </c>
      <c r="AE1903">
        <v>0.124599999999986</v>
      </c>
      <c r="AF1903">
        <v>8.9378989525819505E-2</v>
      </c>
      <c r="AG1903">
        <v>-7.1065999999999796E-2</v>
      </c>
      <c r="AH1903">
        <v>0.64354591371478098</v>
      </c>
      <c r="AI1903">
        <v>96.242136507596896</v>
      </c>
      <c r="AJ1903">
        <v>82.093045826238196</v>
      </c>
      <c r="AK1903">
        <v>0.653597982848516</v>
      </c>
      <c r="AL1903">
        <v>78.312760806635595</v>
      </c>
      <c r="AM1903">
        <v>90.227981726320195</v>
      </c>
      <c r="AN1903">
        <v>1.00000000151156</v>
      </c>
    </row>
    <row r="1904" spans="1:40" x14ac:dyDescent="0.25">
      <c r="A1904" t="str">
        <f>"20190312172406748"</f>
        <v>20190312172406748</v>
      </c>
      <c r="B1904" t="str">
        <f>"1552382646742095"</f>
        <v>1552382646742095</v>
      </c>
      <c r="C1904" t="s">
        <v>40</v>
      </c>
      <c r="D1904">
        <v>3.7864770000000001</v>
      </c>
      <c r="E1904">
        <v>0.55339589999999905</v>
      </c>
      <c r="F1904" t="s">
        <v>41</v>
      </c>
      <c r="G1904">
        <v>-269.8759</v>
      </c>
      <c r="H1904">
        <v>1.042195</v>
      </c>
      <c r="I1904">
        <v>283.24579999999997</v>
      </c>
      <c r="J1904">
        <v>-269.2749</v>
      </c>
      <c r="K1904">
        <v>1.1079330000000001</v>
      </c>
      <c r="L1904">
        <v>283.09289999999999</v>
      </c>
      <c r="M1904">
        <v>-0.99856310000000004</v>
      </c>
      <c r="N1904">
        <v>0</v>
      </c>
      <c r="O1904">
        <v>5.3528359999999997E-2</v>
      </c>
      <c r="P1904">
        <v>-0.97845590000000005</v>
      </c>
      <c r="Q1904">
        <v>0.2002883</v>
      </c>
      <c r="R1904">
        <v>5.0087380000000001E-2</v>
      </c>
      <c r="S1904">
        <v>-3.0811769999999998</v>
      </c>
      <c r="T1904">
        <v>-0.20428650000000001</v>
      </c>
      <c r="U1904">
        <v>0.54058839999999997</v>
      </c>
      <c r="V1904">
        <v>-1.9198349999999999E-3</v>
      </c>
      <c r="W1904">
        <v>0.20280590000000001</v>
      </c>
      <c r="X1904">
        <v>0.97921709999999995</v>
      </c>
      <c r="Y1904">
        <v>0.119697499999999</v>
      </c>
      <c r="Z1904">
        <v>4.2076530000000002E-4</v>
      </c>
      <c r="AA1904">
        <v>0.99281030000000003</v>
      </c>
      <c r="AB1904">
        <v>38</v>
      </c>
      <c r="AC1904">
        <v>-0.60099999999999898</v>
      </c>
      <c r="AD1904">
        <v>-6.5738000000000005E-2</v>
      </c>
      <c r="AE1904">
        <v>0.15289999999998799</v>
      </c>
      <c r="AF1904">
        <v>0.119171028026923</v>
      </c>
      <c r="AG1904">
        <v>-6.5738000000000005E-2</v>
      </c>
      <c r="AH1904">
        <v>0.60156315943838401</v>
      </c>
      <c r="AI1904">
        <v>96.1184831782017</v>
      </c>
      <c r="AJ1904">
        <v>78.794655447360896</v>
      </c>
      <c r="AK1904">
        <v>0.61676693601269195</v>
      </c>
      <c r="AL1904">
        <v>78.298911696017797</v>
      </c>
      <c r="AM1904">
        <v>90.112332905462395</v>
      </c>
      <c r="AN1904">
        <v>1.0000000238868201</v>
      </c>
    </row>
    <row r="1905" spans="1:40" x14ac:dyDescent="0.25">
      <c r="A1905" t="str">
        <f>"20190312172406770"</f>
        <v>20190312172406770</v>
      </c>
      <c r="B1905" t="str">
        <f>"1552382646761617"</f>
        <v>1552382646761617</v>
      </c>
      <c r="C1905" t="s">
        <v>40</v>
      </c>
      <c r="D1905">
        <v>3.7658480000000001</v>
      </c>
      <c r="E1905">
        <v>0.55540269999999903</v>
      </c>
      <c r="F1905" t="s">
        <v>41</v>
      </c>
      <c r="G1905">
        <v>-270.22559999999999</v>
      </c>
      <c r="H1905">
        <v>1.04565</v>
      </c>
      <c r="I1905">
        <v>283.27109999999999</v>
      </c>
      <c r="J1905">
        <v>-269.66079999999999</v>
      </c>
      <c r="K1905">
        <v>1.1079559999999999</v>
      </c>
      <c r="L1905">
        <v>283.11430000000001</v>
      </c>
      <c r="M1905">
        <v>-0.99852030000000003</v>
      </c>
      <c r="N1905">
        <v>0</v>
      </c>
      <c r="O1905">
        <v>5.431706E-2</v>
      </c>
      <c r="P1905">
        <v>-0.97849790000000003</v>
      </c>
      <c r="Q1905">
        <v>0.1996221</v>
      </c>
      <c r="R1905">
        <v>5.1893839999999997E-2</v>
      </c>
      <c r="S1905">
        <v>-3.0778810000000001</v>
      </c>
      <c r="T1905">
        <v>-0.20180809999999999</v>
      </c>
      <c r="U1905">
        <v>0.57617189999999996</v>
      </c>
      <c r="V1905">
        <v>-9.048471E-4</v>
      </c>
      <c r="W1905">
        <v>0.20221890000000001</v>
      </c>
      <c r="X1905">
        <v>0.97933990000000004</v>
      </c>
      <c r="Y1905">
        <v>0.13018279999999999</v>
      </c>
      <c r="Z1905">
        <v>7.0534969999999999E-4</v>
      </c>
      <c r="AA1905">
        <v>0.99148979999999998</v>
      </c>
      <c r="AB1905">
        <v>39</v>
      </c>
      <c r="AC1905">
        <v>-0.56479999999999098</v>
      </c>
      <c r="AD1905">
        <v>-6.2305999999999903E-2</v>
      </c>
      <c r="AE1905">
        <v>0.15679999999997499</v>
      </c>
      <c r="AF1905">
        <v>0.12448364708342401</v>
      </c>
      <c r="AG1905">
        <v>-6.2305999999999903E-2</v>
      </c>
      <c r="AH1905">
        <v>0.56608714576103503</v>
      </c>
      <c r="AI1905">
        <v>96.135502627910796</v>
      </c>
      <c r="AJ1905">
        <v>77.597942026985706</v>
      </c>
      <c r="AK1905">
        <v>0.582951861325672</v>
      </c>
      <c r="AL1905">
        <v>78.333255315739805</v>
      </c>
      <c r="AM1905">
        <v>90.0529376013193</v>
      </c>
      <c r="AN1905">
        <v>0.99999997099874605</v>
      </c>
    </row>
    <row r="1906" spans="1:40" x14ac:dyDescent="0.25">
      <c r="A1906" t="str">
        <f>"20190312172406783"</f>
        <v>20190312172406783</v>
      </c>
      <c r="B1906" t="str">
        <f>"1552382646772352"</f>
        <v>1552382646772352</v>
      </c>
      <c r="C1906" t="s">
        <v>40</v>
      </c>
      <c r="D1906">
        <v>3.7751039999999998</v>
      </c>
      <c r="E1906">
        <v>0.55610700000000002</v>
      </c>
      <c r="F1906" t="s">
        <v>41</v>
      </c>
      <c r="G1906">
        <v>-270.57510000000002</v>
      </c>
      <c r="H1906">
        <v>1.0477449999999999</v>
      </c>
      <c r="I1906">
        <v>283.2921</v>
      </c>
      <c r="J1906">
        <v>-269.87099999999998</v>
      </c>
      <c r="K1906">
        <v>1.107972</v>
      </c>
      <c r="L1906">
        <v>283.1259</v>
      </c>
      <c r="M1906">
        <v>-0.99849770000000004</v>
      </c>
      <c r="N1906">
        <v>0</v>
      </c>
      <c r="O1906">
        <v>5.4728310000000002E-2</v>
      </c>
      <c r="P1906">
        <v>-0.97851520000000003</v>
      </c>
      <c r="Q1906">
        <v>0.19938910000000001</v>
      </c>
      <c r="R1906">
        <v>5.246145E-2</v>
      </c>
      <c r="S1906">
        <v>-3.0755919999999999</v>
      </c>
      <c r="T1906">
        <v>-0.20263110000000001</v>
      </c>
      <c r="U1906">
        <v>0.59786989999999995</v>
      </c>
      <c r="V1906">
        <v>-7.5123889999999997E-4</v>
      </c>
      <c r="W1906">
        <v>0.20202980000000001</v>
      </c>
      <c r="X1906">
        <v>0.97937909999999995</v>
      </c>
      <c r="Y1906">
        <v>0.13664029999999999</v>
      </c>
      <c r="Z1906">
        <v>8.9225199999999995E-4</v>
      </c>
      <c r="AA1906">
        <v>0.99062030000000001</v>
      </c>
      <c r="AB1906">
        <v>39</v>
      </c>
      <c r="AC1906">
        <v>-0.70410000000003903</v>
      </c>
      <c r="AD1906">
        <v>-6.0226999999999802E-2</v>
      </c>
      <c r="AE1906">
        <v>0.16620000000000301</v>
      </c>
      <c r="AF1906">
        <v>0.12653958510594501</v>
      </c>
      <c r="AG1906">
        <v>-6.0226999999999802E-2</v>
      </c>
      <c r="AH1906">
        <v>0.707239087224658</v>
      </c>
      <c r="AI1906">
        <v>94.791714697539803</v>
      </c>
      <c r="AJ1906">
        <v>79.855946154337602</v>
      </c>
      <c r="AK1906">
        <v>0.72099007248793101</v>
      </c>
      <c r="AL1906">
        <v>78.344318785459706</v>
      </c>
      <c r="AM1906">
        <v>90.043949079507897</v>
      </c>
      <c r="AN1906">
        <v>1.0000000129823601</v>
      </c>
    </row>
    <row r="1907" spans="1:40" x14ac:dyDescent="0.25">
      <c r="A1907" t="str">
        <f>"20190312172406795"</f>
        <v>20190312172406795</v>
      </c>
      <c r="B1907" t="str">
        <f>"1552382646791871"</f>
        <v>1552382646791871</v>
      </c>
      <c r="C1907" t="s">
        <v>40</v>
      </c>
      <c r="D1907">
        <v>3.8233229999999998</v>
      </c>
      <c r="E1907">
        <v>0.55748219999999904</v>
      </c>
      <c r="F1907" t="s">
        <v>41</v>
      </c>
      <c r="G1907">
        <v>-270.91860000000003</v>
      </c>
      <c r="H1907">
        <v>1.039029</v>
      </c>
      <c r="I1907">
        <v>283.33249999999998</v>
      </c>
      <c r="J1907">
        <v>-270.09660000000002</v>
      </c>
      <c r="K1907">
        <v>1.1079920000000001</v>
      </c>
      <c r="L1907">
        <v>283.13850000000002</v>
      </c>
      <c r="M1907">
        <v>-0.99847509999999995</v>
      </c>
      <c r="N1907">
        <v>0</v>
      </c>
      <c r="O1907">
        <v>5.5136549999999999E-2</v>
      </c>
      <c r="P1907">
        <v>-0.97849790000000003</v>
      </c>
      <c r="Q1907">
        <v>0.1994031</v>
      </c>
      <c r="R1907">
        <v>5.2730499999999902E-2</v>
      </c>
      <c r="S1907">
        <v>-3.0746769999999999</v>
      </c>
      <c r="T1907">
        <v>-0.20249890000000001</v>
      </c>
      <c r="U1907">
        <v>0.60562130000000003</v>
      </c>
      <c r="V1907">
        <v>-8.9413039999999995E-4</v>
      </c>
      <c r="W1907">
        <v>0.2020914</v>
      </c>
      <c r="X1907">
        <v>0.97936619999999996</v>
      </c>
      <c r="Y1907">
        <v>0.13869229999999999</v>
      </c>
      <c r="Z1907">
        <v>9.3213699999999998E-4</v>
      </c>
      <c r="AA1907">
        <v>0.99033510000000002</v>
      </c>
      <c r="AB1907">
        <v>39</v>
      </c>
      <c r="AC1907">
        <v>-0.82200000000000195</v>
      </c>
      <c r="AD1907">
        <v>-6.8963000000000094E-2</v>
      </c>
      <c r="AE1907">
        <v>0.19399999999996001</v>
      </c>
      <c r="AF1907">
        <v>0.14739972354223599</v>
      </c>
      <c r="AG1907">
        <v>-6.8963000000000094E-2</v>
      </c>
      <c r="AH1907">
        <v>0.82593935527411899</v>
      </c>
      <c r="AI1907">
        <v>94.699019832806499</v>
      </c>
      <c r="AJ1907">
        <v>79.881341689808494</v>
      </c>
      <c r="AK1907">
        <v>0.84181850327725305</v>
      </c>
      <c r="AL1907">
        <v>78.340714210176003</v>
      </c>
      <c r="AM1907">
        <v>90.052309222046603</v>
      </c>
      <c r="AN1907">
        <v>0.99999994356278399</v>
      </c>
    </row>
    <row r="1908" spans="1:40" x14ac:dyDescent="0.25">
      <c r="A1908" t="str">
        <f>"20190312172406813"</f>
        <v>20190312172406813</v>
      </c>
      <c r="B1908" t="str">
        <f>"1552382646801631"</f>
        <v>1552382646801631</v>
      </c>
      <c r="C1908" t="s">
        <v>40</v>
      </c>
      <c r="D1908">
        <v>3.7488459999999999</v>
      </c>
      <c r="E1908">
        <v>0.55799100000000001</v>
      </c>
      <c r="F1908" t="s">
        <v>41</v>
      </c>
      <c r="G1908">
        <v>-270.93560000000002</v>
      </c>
      <c r="H1908">
        <v>1.0521769999999999</v>
      </c>
      <c r="I1908">
        <v>283.30739999999997</v>
      </c>
      <c r="J1908">
        <v>-270.41219999999998</v>
      </c>
      <c r="K1908">
        <v>1.108036</v>
      </c>
      <c r="L1908">
        <v>283.15640000000002</v>
      </c>
      <c r="M1908">
        <v>-0.9984459</v>
      </c>
      <c r="N1908">
        <v>0</v>
      </c>
      <c r="O1908">
        <v>5.5662250000000003E-2</v>
      </c>
      <c r="P1908">
        <v>-0.97833689999999995</v>
      </c>
      <c r="Q1908">
        <v>0.2000142</v>
      </c>
      <c r="R1908">
        <v>5.3400820000000002E-2</v>
      </c>
      <c r="S1908">
        <v>-3.074341</v>
      </c>
      <c r="T1908">
        <v>-0.2046576</v>
      </c>
      <c r="U1908">
        <v>0.61773679999999997</v>
      </c>
      <c r="V1908">
        <v>-7.5158910000000002E-4</v>
      </c>
      <c r="W1908">
        <v>0.20276669999999999</v>
      </c>
      <c r="X1908">
        <v>0.97922679999999995</v>
      </c>
      <c r="Y1908">
        <v>0.14193539999999999</v>
      </c>
      <c r="Z1908">
        <v>1.014177E-3</v>
      </c>
      <c r="AA1908">
        <v>0.98987539999999996</v>
      </c>
      <c r="AB1908">
        <v>39</v>
      </c>
      <c r="AC1908">
        <v>-0.52340000000003695</v>
      </c>
      <c r="AD1908">
        <v>-5.5858999999999798E-2</v>
      </c>
      <c r="AE1908">
        <v>0.15099999999995301</v>
      </c>
      <c r="AF1908">
        <v>0.12036654483187199</v>
      </c>
      <c r="AG1908">
        <v>-5.5858999999999798E-2</v>
      </c>
      <c r="AH1908">
        <v>0.52546842161591201</v>
      </c>
      <c r="AI1908">
        <v>95.915847464233096</v>
      </c>
      <c r="AJ1908">
        <v>77.098113350499403</v>
      </c>
      <c r="AK1908">
        <v>0.54196438546391701</v>
      </c>
      <c r="AL1908">
        <v>78.3012052126398</v>
      </c>
      <c r="AM1908">
        <v>90.043976405570007</v>
      </c>
      <c r="AN1908">
        <v>1.00000001267665</v>
      </c>
    </row>
    <row r="1909" spans="1:40" x14ac:dyDescent="0.25">
      <c r="A1909" t="str">
        <f>"20190312172406826"</f>
        <v>20190312172406826</v>
      </c>
      <c r="B1909" t="str">
        <f>"1552382646822127"</f>
        <v>1552382646822127</v>
      </c>
      <c r="C1909" t="s">
        <v>40</v>
      </c>
      <c r="D1909">
        <v>3.757431</v>
      </c>
      <c r="E1909">
        <v>0.55874190000000001</v>
      </c>
      <c r="F1909" t="s">
        <v>41</v>
      </c>
      <c r="G1909">
        <v>-271.27589999999998</v>
      </c>
      <c r="H1909">
        <v>1.049839</v>
      </c>
      <c r="I1909">
        <v>283.33170000000001</v>
      </c>
      <c r="J1909">
        <v>-270.61779999999999</v>
      </c>
      <c r="K1909">
        <v>1.1080719999999999</v>
      </c>
      <c r="L1909">
        <v>283.16800000000001</v>
      </c>
      <c r="M1909">
        <v>-0.99842819999999999</v>
      </c>
      <c r="N1909">
        <v>0</v>
      </c>
      <c r="O1909">
        <v>5.5971640000000003E-2</v>
      </c>
      <c r="P1909">
        <v>-0.97827660000000005</v>
      </c>
      <c r="Q1909">
        <v>0.2002573</v>
      </c>
      <c r="R1909">
        <v>5.3590279999999997E-2</v>
      </c>
      <c r="S1909">
        <v>-3.0747680000000002</v>
      </c>
      <c r="T1909">
        <v>-0.207257</v>
      </c>
      <c r="U1909">
        <v>0.62347410000000003</v>
      </c>
      <c r="V1909">
        <v>-8.7900800000000002E-4</v>
      </c>
      <c r="W1909">
        <v>0.20305239999999999</v>
      </c>
      <c r="X1909">
        <v>0.97916749999999997</v>
      </c>
      <c r="Y1909">
        <v>0.14336969999999999</v>
      </c>
      <c r="Z1909">
        <v>1.054007E-3</v>
      </c>
      <c r="AA1909">
        <v>0.98966869999999996</v>
      </c>
      <c r="AB1909">
        <v>39</v>
      </c>
      <c r="AC1909">
        <v>-0.65809999999999003</v>
      </c>
      <c r="AD1909">
        <v>-5.8232999999999903E-2</v>
      </c>
      <c r="AE1909">
        <v>0.16370000000000501</v>
      </c>
      <c r="AF1909">
        <v>0.12568155670206599</v>
      </c>
      <c r="AG1909">
        <v>-5.8232999999999903E-2</v>
      </c>
      <c r="AH1909">
        <v>0.66135434126399095</v>
      </c>
      <c r="AI1909">
        <v>94.9439501989782</v>
      </c>
      <c r="AJ1909">
        <v>79.240006766166701</v>
      </c>
      <c r="AK1909">
        <v>0.67570444773790095</v>
      </c>
      <c r="AL1909">
        <v>78.284488153532905</v>
      </c>
      <c r="AM1909">
        <v>90.051434953702199</v>
      </c>
      <c r="AN1909">
        <v>1.0000000214285301</v>
      </c>
    </row>
    <row r="1910" spans="1:40" x14ac:dyDescent="0.25">
      <c r="A1910" t="str">
        <f>"20190312172406848"</f>
        <v>20190312172406848</v>
      </c>
      <c r="B1910" t="str">
        <f>"1552382646841647"</f>
        <v>1552382646841647</v>
      </c>
      <c r="C1910" t="s">
        <v>40</v>
      </c>
      <c r="D1910">
        <v>3.7300870000000002</v>
      </c>
      <c r="E1910">
        <v>0.55942550000000002</v>
      </c>
      <c r="F1910" t="s">
        <v>41</v>
      </c>
      <c r="G1910">
        <v>-271.6216</v>
      </c>
      <c r="H1910">
        <v>1.0406249999999999</v>
      </c>
      <c r="I1910">
        <v>283.37349999999998</v>
      </c>
      <c r="J1910">
        <v>-271.01229999999998</v>
      </c>
      <c r="K1910">
        <v>1.1081589999999999</v>
      </c>
      <c r="L1910">
        <v>283.19049999999999</v>
      </c>
      <c r="M1910">
        <v>-0.99840090000000004</v>
      </c>
      <c r="N1910">
        <v>0</v>
      </c>
      <c r="O1910">
        <v>5.6455270000000002E-2</v>
      </c>
      <c r="P1910">
        <v>-0.97824339999999999</v>
      </c>
      <c r="Q1910">
        <v>0.2004312</v>
      </c>
      <c r="R1910">
        <v>5.3549039999999999E-2</v>
      </c>
      <c r="S1910">
        <v>-3.0745239999999998</v>
      </c>
      <c r="T1910">
        <v>-0.2066405</v>
      </c>
      <c r="U1910">
        <v>0.62890630000000003</v>
      </c>
      <c r="V1910">
        <v>-1.434545E-3</v>
      </c>
      <c r="W1910">
        <v>0.20331009999999999</v>
      </c>
      <c r="X1910">
        <v>0.97911329999999996</v>
      </c>
      <c r="Y1910">
        <v>0.14458409999999999</v>
      </c>
      <c r="Z1910">
        <v>1.059162E-3</v>
      </c>
      <c r="AA1910">
        <v>0.98949189999999998</v>
      </c>
      <c r="AB1910">
        <v>39</v>
      </c>
      <c r="AC1910">
        <v>-0.60930000000001805</v>
      </c>
      <c r="AD1910">
        <v>-6.7534000000000205E-2</v>
      </c>
      <c r="AE1910">
        <v>0.182999999999992</v>
      </c>
      <c r="AF1910">
        <v>0.146657160018211</v>
      </c>
      <c r="AG1910">
        <v>-6.7534000000000205E-2</v>
      </c>
      <c r="AH1910">
        <v>0.61176579251291596</v>
      </c>
      <c r="AI1910">
        <v>96.127255846022905</v>
      </c>
      <c r="AJ1910">
        <v>76.519023666020203</v>
      </c>
      <c r="AK1910">
        <v>0.63271363872573805</v>
      </c>
      <c r="AL1910">
        <v>78.269407690081707</v>
      </c>
      <c r="AM1910">
        <v>90.083946684421505</v>
      </c>
      <c r="AN1910">
        <v>0.99999995445912704</v>
      </c>
    </row>
    <row r="1911" spans="1:40" x14ac:dyDescent="0.25">
      <c r="A1911" t="str">
        <f>"20190312172406860"</f>
        <v>20190312172406860</v>
      </c>
      <c r="B1911" t="str">
        <f>"1552382646851406"</f>
        <v>1552382646851406</v>
      </c>
      <c r="C1911" t="s">
        <v>40</v>
      </c>
      <c r="D1911">
        <v>3.7147070000000002</v>
      </c>
      <c r="E1911">
        <v>0.55973119999999998</v>
      </c>
      <c r="F1911" t="s">
        <v>41</v>
      </c>
      <c r="G1911">
        <v>-271.97579999999999</v>
      </c>
      <c r="H1911">
        <v>1.0433079999999999</v>
      </c>
      <c r="I1911">
        <v>283.38909999999998</v>
      </c>
      <c r="J1911">
        <v>-271.245</v>
      </c>
      <c r="K1911">
        <v>1.1082240000000001</v>
      </c>
      <c r="L1911">
        <v>283.2038</v>
      </c>
      <c r="M1911">
        <v>-0.99838749999999998</v>
      </c>
      <c r="N1911">
        <v>0</v>
      </c>
      <c r="O1911">
        <v>5.6687929999999997E-2</v>
      </c>
      <c r="P1911">
        <v>-0.97829759999999999</v>
      </c>
      <c r="Q1911">
        <v>0.2003665</v>
      </c>
      <c r="R1911">
        <v>5.279756E-2</v>
      </c>
      <c r="S1911">
        <v>-3.0745239999999998</v>
      </c>
      <c r="T1911">
        <v>-0.20711280000000001</v>
      </c>
      <c r="U1911">
        <v>0.63339230000000002</v>
      </c>
      <c r="V1911">
        <v>-2.4453399999999998E-3</v>
      </c>
      <c r="W1911">
        <v>0.20329800000000001</v>
      </c>
      <c r="X1911">
        <v>0.97911389999999998</v>
      </c>
      <c r="Y1911">
        <v>0.14573599999999901</v>
      </c>
      <c r="Z1911">
        <v>1.084383E-3</v>
      </c>
      <c r="AA1911">
        <v>0.98932290000000001</v>
      </c>
      <c r="AB1911">
        <v>39</v>
      </c>
      <c r="AC1911">
        <v>-0.73079999999998702</v>
      </c>
      <c r="AD1911">
        <v>-6.4915999999999904E-2</v>
      </c>
      <c r="AE1911">
        <v>0.18529999999998301</v>
      </c>
      <c r="AF1911">
        <v>0.14251769214658699</v>
      </c>
      <c r="AG1911">
        <v>-6.4915999999999904E-2</v>
      </c>
      <c r="AH1911">
        <v>0.73468229430693799</v>
      </c>
      <c r="AI1911">
        <v>94.957557577128895</v>
      </c>
      <c r="AJ1911">
        <v>79.021800432352194</v>
      </c>
      <c r="AK1911">
        <v>0.75118802785913497</v>
      </c>
      <c r="AL1911">
        <v>78.270116807890304</v>
      </c>
      <c r="AM1911">
        <v>90.143096089400203</v>
      </c>
      <c r="AN1911">
        <v>1.00000004283246</v>
      </c>
    </row>
    <row r="1912" spans="1:40" x14ac:dyDescent="0.25">
      <c r="A1912" t="str">
        <f>"20190312172406872"</f>
        <v>20190312172406872</v>
      </c>
      <c r="B1912" t="str">
        <f>"1552382646862143"</f>
        <v>1552382646862143</v>
      </c>
      <c r="C1912" t="s">
        <v>40</v>
      </c>
      <c r="D1912">
        <v>3.7899829999999999</v>
      </c>
      <c r="E1912">
        <v>0.55992629999999999</v>
      </c>
      <c r="F1912" t="s">
        <v>48</v>
      </c>
      <c r="G1912">
        <v>-287.65750000000003</v>
      </c>
      <c r="H1912" s="1">
        <v>4.5995989999999997E-6</v>
      </c>
      <c r="I1912">
        <v>286.58539999999999</v>
      </c>
      <c r="J1912">
        <v>-271.44670000000002</v>
      </c>
      <c r="K1912">
        <v>1.1082780000000001</v>
      </c>
      <c r="L1912">
        <v>283.21539999999999</v>
      </c>
      <c r="M1912">
        <v>-0.99837889999999996</v>
      </c>
      <c r="N1912">
        <v>0</v>
      </c>
      <c r="O1912">
        <v>5.6836320000000003E-2</v>
      </c>
      <c r="P1912">
        <v>-0.97838919999999996</v>
      </c>
      <c r="Q1912">
        <v>0.2000971</v>
      </c>
      <c r="R1912">
        <v>5.2113630000000001E-2</v>
      </c>
      <c r="S1912">
        <v>-3.0749209999999998</v>
      </c>
      <c r="T1912">
        <v>-0.20762739999999999</v>
      </c>
      <c r="U1912">
        <v>0.63354489999999997</v>
      </c>
      <c r="V1912">
        <v>-3.305484E-3</v>
      </c>
      <c r="W1912">
        <v>0.2030767</v>
      </c>
      <c r="X1912">
        <v>0.97915730000000001</v>
      </c>
      <c r="Y1912">
        <v>0.1456105</v>
      </c>
      <c r="Z1912">
        <v>1.072878E-3</v>
      </c>
      <c r="AA1912">
        <v>0.98934140000000004</v>
      </c>
      <c r="AB1912">
        <v>39</v>
      </c>
      <c r="AC1912">
        <v>-16.210799999999999</v>
      </c>
      <c r="AD1912">
        <v>-1.108273400401</v>
      </c>
      <c r="AE1912">
        <v>3.37</v>
      </c>
      <c r="AF1912">
        <v>2.4322884557901001</v>
      </c>
      <c r="AG1912">
        <v>-1.108273400401</v>
      </c>
      <c r="AH1912">
        <v>16.3030911410908</v>
      </c>
      <c r="AI1912">
        <v>93.846503579300204</v>
      </c>
      <c r="AJ1912">
        <v>81.514523989789495</v>
      </c>
      <c r="AK1912">
        <v>16.5207468904078</v>
      </c>
      <c r="AL1912">
        <v>78.283066523856107</v>
      </c>
      <c r="AM1912">
        <v>90.193420978428307</v>
      </c>
      <c r="AN1912">
        <v>1.0000000452253199</v>
      </c>
    </row>
    <row r="1913" spans="1:40" x14ac:dyDescent="0.25">
      <c r="A1913" t="str">
        <f>"20190312172406885"</f>
        <v>20190312172406885</v>
      </c>
      <c r="B1913" t="str">
        <f>"1552382646881663"</f>
        <v>1552382646881663</v>
      </c>
      <c r="C1913" t="s">
        <v>40</v>
      </c>
      <c r="D1913">
        <v>3.7122030000000001</v>
      </c>
      <c r="E1913">
        <v>0.56048710000000002</v>
      </c>
      <c r="F1913" t="s">
        <v>41</v>
      </c>
      <c r="G1913">
        <v>-272.33170000000001</v>
      </c>
      <c r="H1913">
        <v>1.04714</v>
      </c>
      <c r="I1913">
        <v>283.39760000000001</v>
      </c>
      <c r="J1913">
        <v>-271.67250000000001</v>
      </c>
      <c r="K1913">
        <v>1.1083419999999999</v>
      </c>
      <c r="L1913">
        <v>283.22829999999999</v>
      </c>
      <c r="M1913">
        <v>-0.9983708</v>
      </c>
      <c r="N1913">
        <v>0</v>
      </c>
      <c r="O1913">
        <v>5.6974759999999999E-2</v>
      </c>
      <c r="P1913">
        <v>-0.97846420000000001</v>
      </c>
      <c r="Q1913">
        <v>0.19988040000000001</v>
      </c>
      <c r="R1913">
        <v>5.1534400000000001E-2</v>
      </c>
      <c r="S1913">
        <v>-3.0759889999999999</v>
      </c>
      <c r="T1913">
        <v>-0.21261569999999999</v>
      </c>
      <c r="U1913">
        <v>0.63308719999999996</v>
      </c>
      <c r="V1913">
        <v>-4.0554600000000003E-3</v>
      </c>
      <c r="W1913">
        <v>0.20291419999999999</v>
      </c>
      <c r="X1913">
        <v>0.97918810000000001</v>
      </c>
      <c r="Y1913">
        <v>0.145256</v>
      </c>
      <c r="Z1913">
        <v>1.0767000000000001E-3</v>
      </c>
      <c r="AA1913">
        <v>0.98939350000000004</v>
      </c>
      <c r="AB1913">
        <v>39</v>
      </c>
      <c r="AC1913">
        <v>-0.65919999999999801</v>
      </c>
      <c r="AD1913">
        <v>-6.1201999999999902E-2</v>
      </c>
      <c r="AE1913">
        <v>0.16930000000002099</v>
      </c>
      <c r="AF1913">
        <v>0.13041247782776899</v>
      </c>
      <c r="AG1913">
        <v>-6.1201999999999902E-2</v>
      </c>
      <c r="AH1913">
        <v>0.66241848070721698</v>
      </c>
      <c r="AI1913">
        <v>95.179799732211507</v>
      </c>
      <c r="AJ1913">
        <v>78.862429968338105</v>
      </c>
      <c r="AK1913">
        <v>0.67790216311768503</v>
      </c>
      <c r="AL1913">
        <v>78.292574251237198</v>
      </c>
      <c r="AM1913">
        <v>90.237298036416405</v>
      </c>
      <c r="AN1913">
        <v>0.99999997724953005</v>
      </c>
    </row>
    <row r="1914" spans="1:40" x14ac:dyDescent="0.25">
      <c r="A1914" t="str">
        <f>"20190312172406898"</f>
        <v>20190312172406898</v>
      </c>
      <c r="B1914" t="str">
        <f>"1552382646891423"</f>
        <v>1552382646891423</v>
      </c>
      <c r="C1914" t="s">
        <v>40</v>
      </c>
      <c r="D1914">
        <v>3.7290380000000001</v>
      </c>
      <c r="E1914">
        <v>0.56075269999999899</v>
      </c>
      <c r="F1914" t="s">
        <v>41</v>
      </c>
      <c r="G1914">
        <v>-272.6816</v>
      </c>
      <c r="H1914">
        <v>1.038206</v>
      </c>
      <c r="I1914">
        <v>283.43700000000001</v>
      </c>
      <c r="J1914">
        <v>-271.90269999999998</v>
      </c>
      <c r="K1914">
        <v>1.1084130000000001</v>
      </c>
      <c r="L1914">
        <v>283.24149999999997</v>
      </c>
      <c r="M1914">
        <v>-0.99836619999999998</v>
      </c>
      <c r="N1914">
        <v>0</v>
      </c>
      <c r="O1914">
        <v>5.7053960000000001E-2</v>
      </c>
      <c r="P1914">
        <v>-0.97858659999999997</v>
      </c>
      <c r="Q1914">
        <v>0.19941880000000001</v>
      </c>
      <c r="R1914">
        <v>5.099393E-2</v>
      </c>
      <c r="S1914">
        <v>-3.0762330000000002</v>
      </c>
      <c r="T1914">
        <v>-0.2138977</v>
      </c>
      <c r="U1914">
        <v>0.63574219999999904</v>
      </c>
      <c r="V1914">
        <v>-4.7156100000000003E-3</v>
      </c>
      <c r="W1914">
        <v>0.2025112</v>
      </c>
      <c r="X1914">
        <v>0.97926860000000004</v>
      </c>
      <c r="Y1914">
        <v>0.1459772</v>
      </c>
      <c r="Z1914">
        <v>1.102385E-3</v>
      </c>
      <c r="AA1914">
        <v>0.98928729999999998</v>
      </c>
      <c r="AB1914">
        <v>40</v>
      </c>
      <c r="AC1914">
        <v>-0.77890000000002102</v>
      </c>
      <c r="AD1914">
        <v>-7.0206999999999894E-2</v>
      </c>
      <c r="AE1914">
        <v>0.195500000000038</v>
      </c>
      <c r="AF1914">
        <v>0.14959861488055501</v>
      </c>
      <c r="AG1914">
        <v>-7.0206999999999894E-2</v>
      </c>
      <c r="AH1914">
        <v>0.78280236695208105</v>
      </c>
      <c r="AI1914">
        <v>95.034334434871496</v>
      </c>
      <c r="AJ1914">
        <v>79.180856885691199</v>
      </c>
      <c r="AK1914">
        <v>0.80005519442658601</v>
      </c>
      <c r="AL1914">
        <v>78.316154360785504</v>
      </c>
      <c r="AM1914">
        <v>90.275902303484301</v>
      </c>
      <c r="AN1914">
        <v>1.0000000070245301</v>
      </c>
    </row>
    <row r="1915" spans="1:40" x14ac:dyDescent="0.25">
      <c r="A1915" t="str">
        <f>"20190312172406916"</f>
        <v>20190312172406916</v>
      </c>
      <c r="B1915" t="str">
        <f>"1552382646911919"</f>
        <v>1552382646911919</v>
      </c>
      <c r="C1915" t="s">
        <v>40</v>
      </c>
      <c r="D1915">
        <v>3.7409659999999998</v>
      </c>
      <c r="E1915">
        <v>0.56122430000000001</v>
      </c>
      <c r="F1915" t="s">
        <v>41</v>
      </c>
      <c r="G1915">
        <v>-272.69639999999998</v>
      </c>
      <c r="H1915">
        <v>1.0528010000000001</v>
      </c>
      <c r="I1915">
        <v>283.40570000000002</v>
      </c>
      <c r="J1915">
        <v>-272.2133</v>
      </c>
      <c r="K1915">
        <v>1.1085229999999999</v>
      </c>
      <c r="L1915">
        <v>283.25920000000002</v>
      </c>
      <c r="M1915">
        <v>-0.99836550000000002</v>
      </c>
      <c r="N1915">
        <v>0</v>
      </c>
      <c r="O1915">
        <v>5.7060699999999999E-2</v>
      </c>
      <c r="P1915">
        <v>-0.97851969999999999</v>
      </c>
      <c r="Q1915">
        <v>0.20003609999999999</v>
      </c>
      <c r="R1915">
        <v>4.9850039999999998E-2</v>
      </c>
      <c r="S1915">
        <v>-3.0764469999999999</v>
      </c>
      <c r="T1915">
        <v>-0.2156671</v>
      </c>
      <c r="U1915">
        <v>0.63626099999999997</v>
      </c>
      <c r="V1915">
        <v>-5.9124599999999996E-3</v>
      </c>
      <c r="W1915">
        <v>0.20321259999999999</v>
      </c>
      <c r="X1915">
        <v>0.97911680000000001</v>
      </c>
      <c r="Y1915">
        <v>0.1461132</v>
      </c>
      <c r="Z1915">
        <v>1.1156359999999999E-3</v>
      </c>
      <c r="AA1915">
        <v>0.98926720000000001</v>
      </c>
      <c r="AB1915">
        <v>40</v>
      </c>
      <c r="AC1915">
        <v>-0.48309999999997899</v>
      </c>
      <c r="AD1915">
        <v>-5.5721999999999799E-2</v>
      </c>
      <c r="AE1915">
        <v>0.14650000000000299</v>
      </c>
      <c r="AF1915">
        <v>0.117266422533778</v>
      </c>
      <c r="AG1915">
        <v>-5.5721999999999799E-2</v>
      </c>
      <c r="AH1915">
        <v>0.48476616520682098</v>
      </c>
      <c r="AI1915">
        <v>96.374862287268499</v>
      </c>
      <c r="AJ1915">
        <v>76.401212098133101</v>
      </c>
      <c r="AK1915">
        <v>0.50185116326177504</v>
      </c>
      <c r="AL1915">
        <v>78.275113828985496</v>
      </c>
      <c r="AM1915">
        <v>90.345980057841501</v>
      </c>
      <c r="AN1915">
        <v>1.00000001301212</v>
      </c>
    </row>
    <row r="1916" spans="1:40" x14ac:dyDescent="0.25">
      <c r="A1916" t="str">
        <f>"20190312172406938"</f>
        <v>20190312172406938</v>
      </c>
      <c r="B1916" t="str">
        <f>"1552382646931975"</f>
        <v>1552382646931975</v>
      </c>
      <c r="C1916" t="s">
        <v>40</v>
      </c>
      <c r="D1916">
        <v>3.711036</v>
      </c>
      <c r="E1916">
        <v>0.56171919999999897</v>
      </c>
      <c r="F1916" t="s">
        <v>41</v>
      </c>
      <c r="G1916">
        <v>-273.0455</v>
      </c>
      <c r="H1916">
        <v>1.0507010000000001</v>
      </c>
      <c r="I1916">
        <v>283.43110000000001</v>
      </c>
      <c r="J1916">
        <v>-272.61579999999998</v>
      </c>
      <c r="K1916">
        <v>1.1086910000000001</v>
      </c>
      <c r="L1916">
        <v>283.28210000000001</v>
      </c>
      <c r="M1916">
        <v>-0.99837399999999998</v>
      </c>
      <c r="N1916">
        <v>0</v>
      </c>
      <c r="O1916">
        <v>5.690402E-2</v>
      </c>
      <c r="P1916">
        <v>-0.97852249999999996</v>
      </c>
      <c r="Q1916">
        <v>0.20026430000000001</v>
      </c>
      <c r="R1916">
        <v>4.8865819999999997E-2</v>
      </c>
      <c r="S1916">
        <v>-3.0772089999999999</v>
      </c>
      <c r="T1916">
        <v>-0.21393100000000001</v>
      </c>
      <c r="U1916">
        <v>0.63537600000000005</v>
      </c>
      <c r="V1916">
        <v>-6.8191069999999996E-3</v>
      </c>
      <c r="W1916">
        <v>0.20355619999999999</v>
      </c>
      <c r="X1916">
        <v>0.97903949999999995</v>
      </c>
      <c r="Y1916">
        <v>0.14595039999999901</v>
      </c>
      <c r="Z1916">
        <v>1.111557E-3</v>
      </c>
      <c r="AA1916">
        <v>0.98929129999999998</v>
      </c>
      <c r="AB1916">
        <v>40</v>
      </c>
      <c r="AC1916">
        <v>-0.42970000000002501</v>
      </c>
      <c r="AD1916">
        <v>-5.7989999999999903E-2</v>
      </c>
      <c r="AE1916">
        <v>0.14899999999999999</v>
      </c>
      <c r="AF1916">
        <v>0.122318130849237</v>
      </c>
      <c r="AG1916">
        <v>-5.7989999999999903E-2</v>
      </c>
      <c r="AH1916">
        <v>0.430483702954642</v>
      </c>
      <c r="AI1916">
        <v>97.383222538232502</v>
      </c>
      <c r="AJ1916">
        <v>74.137970589824803</v>
      </c>
      <c r="AK1916">
        <v>0.45126575733595398</v>
      </c>
      <c r="AL1916">
        <v>78.255006402734693</v>
      </c>
      <c r="AM1916">
        <v>90.399064320975896</v>
      </c>
      <c r="AN1916">
        <v>0.99999998466948303</v>
      </c>
    </row>
    <row r="1917" spans="1:40" x14ac:dyDescent="0.25">
      <c r="A1917" t="str">
        <f>"20190312172406961"</f>
        <v>20190312172406961</v>
      </c>
      <c r="B1917" t="str">
        <f>"1552382646951494"</f>
        <v>1552382646951494</v>
      </c>
      <c r="C1917" t="s">
        <v>40</v>
      </c>
      <c r="D1917">
        <v>3.649095</v>
      </c>
      <c r="E1917">
        <v>0.56198219999999899</v>
      </c>
      <c r="F1917" t="s">
        <v>48</v>
      </c>
      <c r="G1917">
        <v>-288.57260000000002</v>
      </c>
      <c r="H1917" s="1">
        <v>4.1955790000000002E-6</v>
      </c>
      <c r="I1917">
        <v>286.57679999999999</v>
      </c>
      <c r="J1917">
        <v>-273.02609999999999</v>
      </c>
      <c r="K1917">
        <v>1.108892</v>
      </c>
      <c r="L1917">
        <v>283.30520000000001</v>
      </c>
      <c r="M1917">
        <v>-0.99839500000000003</v>
      </c>
      <c r="N1917">
        <v>0</v>
      </c>
      <c r="O1917">
        <v>5.652745E-2</v>
      </c>
      <c r="P1917">
        <v>-0.97861120000000001</v>
      </c>
      <c r="Q1917">
        <v>0.20018050000000001</v>
      </c>
      <c r="R1917">
        <v>4.7410439999999998E-2</v>
      </c>
      <c r="S1917">
        <v>-3.0778500000000002</v>
      </c>
      <c r="T1917">
        <v>-0.21385100000000001</v>
      </c>
      <c r="U1917">
        <v>0.63549800000000001</v>
      </c>
      <c r="V1917">
        <v>-7.9973409999999998E-3</v>
      </c>
      <c r="W1917">
        <v>0.20359820000000001</v>
      </c>
      <c r="X1917">
        <v>0.97902180000000005</v>
      </c>
      <c r="Y1917">
        <v>0.1463188</v>
      </c>
      <c r="Z1917">
        <v>1.149319E-3</v>
      </c>
      <c r="AA1917">
        <v>0.98923680000000003</v>
      </c>
      <c r="AB1917">
        <v>40</v>
      </c>
      <c r="AC1917">
        <v>-15.5465</v>
      </c>
      <c r="AD1917">
        <v>-1.108887804421</v>
      </c>
      <c r="AE1917">
        <v>3.2715999999999701</v>
      </c>
      <c r="AF1917">
        <v>2.37598413104093</v>
      </c>
      <c r="AG1917">
        <v>-1.108887804421</v>
      </c>
      <c r="AH1917">
        <v>15.630429280411199</v>
      </c>
      <c r="AI1917">
        <v>94.012066692896695</v>
      </c>
      <c r="AJ1917">
        <v>81.3566281717994</v>
      </c>
      <c r="AK1917">
        <v>15.8488249483578</v>
      </c>
      <c r="AL1917">
        <v>78.252547913458898</v>
      </c>
      <c r="AM1917">
        <v>90.468021953314903</v>
      </c>
      <c r="AN1917">
        <v>0.99999993469077297</v>
      </c>
    </row>
    <row r="1918" spans="1:40" x14ac:dyDescent="0.25">
      <c r="A1918" t="str">
        <f>"20190312172406984"</f>
        <v>20190312172406984</v>
      </c>
      <c r="B1918" t="str">
        <f>"1552382646971991"</f>
        <v>1552382646971991</v>
      </c>
      <c r="C1918" t="s">
        <v>40</v>
      </c>
      <c r="D1918">
        <v>3.70817</v>
      </c>
      <c r="E1918">
        <v>0.56217280000000003</v>
      </c>
      <c r="F1918" t="s">
        <v>48</v>
      </c>
      <c r="G1918">
        <v>-289.08710000000002</v>
      </c>
      <c r="H1918" s="1">
        <v>3.9611159999999997E-6</v>
      </c>
      <c r="I1918">
        <v>286.60730000000001</v>
      </c>
      <c r="J1918">
        <v>-273.4289</v>
      </c>
      <c r="K1918">
        <v>1.1091059999999999</v>
      </c>
      <c r="L1918">
        <v>283.32760000000002</v>
      </c>
      <c r="M1918">
        <v>-0.99842920000000002</v>
      </c>
      <c r="N1918">
        <v>0</v>
      </c>
      <c r="O1918">
        <v>5.5910099999999997E-2</v>
      </c>
      <c r="P1918">
        <v>-0.97869779999999995</v>
      </c>
      <c r="Q1918">
        <v>0.20028570000000001</v>
      </c>
      <c r="R1918">
        <v>4.5124619999999997E-2</v>
      </c>
      <c r="S1918">
        <v>-3.0783689999999999</v>
      </c>
      <c r="T1918">
        <v>-0.2125378</v>
      </c>
      <c r="U1918">
        <v>0.63290409999999997</v>
      </c>
      <c r="V1918">
        <v>-9.7768690000000005E-3</v>
      </c>
      <c r="W1918">
        <v>0.2038363</v>
      </c>
      <c r="X1918">
        <v>0.97895620000000005</v>
      </c>
      <c r="Y1918">
        <v>0.14609949999999999</v>
      </c>
      <c r="Z1918">
        <v>1.1766369999999999E-3</v>
      </c>
      <c r="AA1918">
        <v>0.98926919999999996</v>
      </c>
      <c r="AB1918">
        <v>40</v>
      </c>
      <c r="AC1918">
        <v>-15.658200000000001</v>
      </c>
      <c r="AD1918">
        <v>-1.1091020388839901</v>
      </c>
      <c r="AE1918">
        <v>3.2796999999999898</v>
      </c>
      <c r="AF1918">
        <v>2.3876368115763502</v>
      </c>
      <c r="AG1918">
        <v>-1.1091020388839901</v>
      </c>
      <c r="AH1918">
        <v>15.7414185823107</v>
      </c>
      <c r="AI1918">
        <v>93.984832537448895</v>
      </c>
      <c r="AJ1918">
        <v>81.375195588947506</v>
      </c>
      <c r="AK1918">
        <v>15.960049368976501</v>
      </c>
      <c r="AL1918">
        <v>78.238614753253501</v>
      </c>
      <c r="AM1918">
        <v>90.572195883341706</v>
      </c>
      <c r="AN1918">
        <v>1.00000003294178</v>
      </c>
    </row>
    <row r="1919" spans="1:40" x14ac:dyDescent="0.25">
      <c r="A1919" t="str">
        <f>"20190312172407003"</f>
        <v>20190312172407003</v>
      </c>
      <c r="B1919" t="str">
        <f>"1552382646991510"</f>
        <v>1552382646991510</v>
      </c>
      <c r="C1919" t="s">
        <v>40</v>
      </c>
      <c r="D1919">
        <v>3.62703</v>
      </c>
      <c r="E1919">
        <v>0.54727599999999998</v>
      </c>
      <c r="F1919" t="s">
        <v>41</v>
      </c>
      <c r="G1919">
        <v>-274.47329999999999</v>
      </c>
      <c r="H1919">
        <v>1.0374589999999999</v>
      </c>
      <c r="I1919">
        <v>283.54070000000002</v>
      </c>
      <c r="J1919">
        <v>-273.78120000000001</v>
      </c>
      <c r="K1919">
        <v>1.109305</v>
      </c>
      <c r="L1919">
        <v>283.34679999999997</v>
      </c>
      <c r="M1919">
        <v>-0.9984691</v>
      </c>
      <c r="N1919">
        <v>0</v>
      </c>
      <c r="O1919">
        <v>5.5185310000000001E-2</v>
      </c>
      <c r="P1919">
        <v>-0.97878960000000004</v>
      </c>
      <c r="Q1919">
        <v>0.2002649</v>
      </c>
      <c r="R1919">
        <v>4.3183949999999999E-2</v>
      </c>
      <c r="S1919">
        <v>-3.0796510000000001</v>
      </c>
      <c r="T1919">
        <v>-0.2114936</v>
      </c>
      <c r="U1919">
        <v>0.62762450000000003</v>
      </c>
      <c r="V1919">
        <v>-1.1101400000000001E-2</v>
      </c>
      <c r="W1919">
        <v>0.2039395</v>
      </c>
      <c r="X1919">
        <v>0.97892060000000003</v>
      </c>
      <c r="Y1919">
        <v>0.1451112</v>
      </c>
      <c r="Z1919">
        <v>1.1860099999999999E-3</v>
      </c>
      <c r="AA1919">
        <v>0.98941460000000003</v>
      </c>
      <c r="AB1919">
        <v>40</v>
      </c>
      <c r="AC1919">
        <v>-0.69209999999998195</v>
      </c>
      <c r="AD1919">
        <v>-7.1845999999999993E-2</v>
      </c>
      <c r="AE1919">
        <v>0.19390000000004101</v>
      </c>
      <c r="AF1919">
        <v>0.15387300189931499</v>
      </c>
      <c r="AG1919">
        <v>-7.1845999999999993E-2</v>
      </c>
      <c r="AH1919">
        <v>0.69480336711118595</v>
      </c>
      <c r="AI1919">
        <v>95.764969925411904</v>
      </c>
      <c r="AJ1919">
        <v>77.512670675320194</v>
      </c>
      <c r="AK1919">
        <v>0.71525552593359898</v>
      </c>
      <c r="AL1919">
        <v>78.232575173158693</v>
      </c>
      <c r="AM1919">
        <v>90.649732063707305</v>
      </c>
      <c r="AN1919">
        <v>1.00000005092328</v>
      </c>
    </row>
    <row r="1920" spans="1:40" x14ac:dyDescent="0.25">
      <c r="A1920" t="str">
        <f>"20190312172407026"</f>
        <v>20190312172407026</v>
      </c>
      <c r="B1920" t="str">
        <f>"1552382647021767"</f>
        <v>1552382647021767</v>
      </c>
      <c r="C1920" t="s">
        <v>40</v>
      </c>
      <c r="D1920">
        <v>3.5812650000000001</v>
      </c>
      <c r="E1920">
        <v>0.54567060000000001</v>
      </c>
      <c r="F1920" t="s">
        <v>41</v>
      </c>
      <c r="G1920">
        <v>-274.83530000000002</v>
      </c>
      <c r="H1920">
        <v>1.0419560000000001</v>
      </c>
      <c r="I1920">
        <v>283.51839999999999</v>
      </c>
      <c r="J1920">
        <v>-274.20600000000002</v>
      </c>
      <c r="K1920">
        <v>1.1095389999999901</v>
      </c>
      <c r="L1920">
        <v>283.36939999999998</v>
      </c>
      <c r="M1920">
        <v>-0.99852810000000003</v>
      </c>
      <c r="N1920">
        <v>0</v>
      </c>
      <c r="O1920">
        <v>5.4096409999999998E-2</v>
      </c>
      <c r="P1920">
        <v>-0.97886479999999998</v>
      </c>
      <c r="Q1920">
        <v>0.20036039999999999</v>
      </c>
      <c r="R1920">
        <v>4.0984550000000002E-2</v>
      </c>
      <c r="S1920">
        <v>-3.0831599999999999</v>
      </c>
      <c r="T1920">
        <v>-0.19693099999999999</v>
      </c>
      <c r="U1920">
        <v>0.50225829999999905</v>
      </c>
      <c r="V1920">
        <v>-1.234146E-2</v>
      </c>
      <c r="W1920">
        <v>0.2041878</v>
      </c>
      <c r="X1920">
        <v>0.97885390000000005</v>
      </c>
      <c r="Y1920">
        <v>0.1070509</v>
      </c>
      <c r="Z1920" s="1">
        <v>-3.1223049999999999E-5</v>
      </c>
      <c r="AA1920">
        <v>0.99425350000000001</v>
      </c>
      <c r="AB1920">
        <v>40</v>
      </c>
      <c r="AC1920">
        <v>-0.62930000000005704</v>
      </c>
      <c r="AD1920">
        <v>-6.7582999999999893E-2</v>
      </c>
      <c r="AE1920">
        <v>0.14899999999999999</v>
      </c>
      <c r="AF1920">
        <v>0.113499141102248</v>
      </c>
      <c r="AG1920">
        <v>-6.7582999999999893E-2</v>
      </c>
      <c r="AH1920">
        <v>0.62956334713648299</v>
      </c>
      <c r="AI1920">
        <v>96.030694170919404</v>
      </c>
      <c r="AJ1920">
        <v>79.780358925882496</v>
      </c>
      <c r="AK1920">
        <v>0.64327251221985204</v>
      </c>
      <c r="AL1920">
        <v>78.218041791226099</v>
      </c>
      <c r="AM1920">
        <v>90.722351012949204</v>
      </c>
      <c r="AN1920">
        <v>0.99999996342449005</v>
      </c>
    </row>
    <row r="1921" spans="1:40" x14ac:dyDescent="0.25">
      <c r="A1921" t="str">
        <f>"20190312172407038"</f>
        <v>20190312172407038</v>
      </c>
      <c r="B1921" t="str">
        <f>"1552382647031659"</f>
        <v>1552382647031659</v>
      </c>
      <c r="C1921" t="s">
        <v>40</v>
      </c>
      <c r="D1921">
        <v>3.5749140000000001</v>
      </c>
      <c r="E1921">
        <v>0.54533589999999998</v>
      </c>
      <c r="F1921" t="s">
        <v>41</v>
      </c>
      <c r="G1921">
        <v>-275.20229999999998</v>
      </c>
      <c r="H1921">
        <v>1.0485610000000001</v>
      </c>
      <c r="I1921">
        <v>283.52539999999999</v>
      </c>
      <c r="J1921">
        <v>-274.43740000000003</v>
      </c>
      <c r="K1921">
        <v>1.1096629999999901</v>
      </c>
      <c r="L1921">
        <v>283.38150000000002</v>
      </c>
      <c r="M1921">
        <v>-0.99856389999999995</v>
      </c>
      <c r="N1921">
        <v>0</v>
      </c>
      <c r="O1921">
        <v>5.3424640000000002E-2</v>
      </c>
      <c r="P1921">
        <v>-0.97883359999999997</v>
      </c>
      <c r="Q1921">
        <v>0.200767</v>
      </c>
      <c r="R1921">
        <v>3.9721369999999999E-2</v>
      </c>
      <c r="S1921">
        <v>-3.0832820000000001</v>
      </c>
      <c r="T1921">
        <v>-0.18893190000000001</v>
      </c>
      <c r="U1921">
        <v>0.48193359999999902</v>
      </c>
      <c r="V1921">
        <v>-1.300055E-2</v>
      </c>
      <c r="W1921">
        <v>0.204677</v>
      </c>
      <c r="X1921">
        <v>0.97874329999999998</v>
      </c>
      <c r="Y1921">
        <v>0.10133789999999999</v>
      </c>
      <c r="Z1921">
        <v>-1.63184E-4</v>
      </c>
      <c r="AA1921">
        <v>0.99485210000000002</v>
      </c>
      <c r="AB1921">
        <v>41</v>
      </c>
      <c r="AC1921">
        <v>-0.76489999999995395</v>
      </c>
      <c r="AD1921">
        <v>-6.1101999999999698E-2</v>
      </c>
      <c r="AE1921">
        <v>0.14389999999997299</v>
      </c>
      <c r="AF1921">
        <v>0.102199794323608</v>
      </c>
      <c r="AG1921">
        <v>-6.1101999999999698E-2</v>
      </c>
      <c r="AH1921">
        <v>0.76676983434261603</v>
      </c>
      <c r="AI1921">
        <v>94.516358922498398</v>
      </c>
      <c r="AJ1921">
        <v>82.408013187391504</v>
      </c>
      <c r="AK1921">
        <v>0.77596019950870598</v>
      </c>
      <c r="AL1921">
        <v>78.189409220167093</v>
      </c>
      <c r="AM1921">
        <v>90.761009391775303</v>
      </c>
      <c r="AN1921">
        <v>1.00000006796209</v>
      </c>
    </row>
    <row r="1922" spans="1:40" x14ac:dyDescent="0.25">
      <c r="A1922" t="str">
        <f>"20190312172407051"</f>
        <v>20190312172407051</v>
      </c>
      <c r="B1922" t="str">
        <f>"1552382647042395"</f>
        <v>1552382647042395</v>
      </c>
      <c r="C1922" t="s">
        <v>40</v>
      </c>
      <c r="D1922">
        <v>3.7146460000000001</v>
      </c>
      <c r="E1922">
        <v>0.54508679999999998</v>
      </c>
      <c r="F1922" t="s">
        <v>48</v>
      </c>
      <c r="G1922">
        <v>-292.61500000000001</v>
      </c>
      <c r="H1922" s="1">
        <v>2.5327849999999999E-6</v>
      </c>
      <c r="I1922">
        <v>286.18150000000003</v>
      </c>
      <c r="J1922">
        <v>-274.65350000000001</v>
      </c>
      <c r="K1922">
        <v>1.109777</v>
      </c>
      <c r="L1922">
        <v>283.39260000000002</v>
      </c>
      <c r="M1922">
        <v>-0.99860079999999996</v>
      </c>
      <c r="N1922">
        <v>0</v>
      </c>
      <c r="O1922">
        <v>5.2722669999999999E-2</v>
      </c>
      <c r="P1922">
        <v>-0.97885299999999997</v>
      </c>
      <c r="Q1922">
        <v>0.20095959999999999</v>
      </c>
      <c r="R1922">
        <v>3.823965E-2</v>
      </c>
      <c r="S1922">
        <v>-3.0842290000000001</v>
      </c>
      <c r="T1922">
        <v>-0.18827840000000001</v>
      </c>
      <c r="U1922">
        <v>0.47506710000000002</v>
      </c>
      <c r="V1922">
        <v>-1.384589E-2</v>
      </c>
      <c r="W1922">
        <v>0.2049454</v>
      </c>
      <c r="X1922">
        <v>0.97867550000000003</v>
      </c>
      <c r="Y1922">
        <v>9.9829879999999996E-2</v>
      </c>
      <c r="Z1922">
        <v>-1.6593559999999999E-4</v>
      </c>
      <c r="AA1922">
        <v>0.99500449999999996</v>
      </c>
      <c r="AB1922">
        <v>41</v>
      </c>
      <c r="AC1922">
        <v>-17.961500000000001</v>
      </c>
      <c r="AD1922">
        <v>-1.1097744672149901</v>
      </c>
      <c r="AE1922">
        <v>2.7889000000000101</v>
      </c>
      <c r="AF1922">
        <v>1.83120878771893</v>
      </c>
      <c r="AG1922">
        <v>-1.1097744672149901</v>
      </c>
      <c r="AH1922">
        <v>18.016398806876701</v>
      </c>
      <c r="AI1922">
        <v>93.506830412226094</v>
      </c>
      <c r="AJ1922">
        <v>84.196318027394696</v>
      </c>
      <c r="AK1922">
        <v>18.143195720730301</v>
      </c>
      <c r="AL1922">
        <v>78.173697523478594</v>
      </c>
      <c r="AM1922">
        <v>90.810542553506806</v>
      </c>
      <c r="AN1922">
        <v>1.00000002997565</v>
      </c>
    </row>
    <row r="1923" spans="1:40" x14ac:dyDescent="0.25">
      <c r="A1923" t="str">
        <f>"20190312172407062"</f>
        <v>20190312172407062</v>
      </c>
      <c r="B1923" t="str">
        <f>"1552382647052155"</f>
        <v>1552382647052155</v>
      </c>
      <c r="C1923" t="s">
        <v>40</v>
      </c>
      <c r="D1923">
        <v>3.583307</v>
      </c>
      <c r="E1923">
        <v>0.54512689999999997</v>
      </c>
      <c r="F1923" t="s">
        <v>41</v>
      </c>
      <c r="G1923">
        <v>-275.57049999999998</v>
      </c>
      <c r="H1923">
        <v>1.05427</v>
      </c>
      <c r="I1923">
        <v>283.53199999999998</v>
      </c>
      <c r="J1923">
        <v>-274.87819999999999</v>
      </c>
      <c r="K1923">
        <v>1.109893</v>
      </c>
      <c r="L1923">
        <v>283.404</v>
      </c>
      <c r="M1923">
        <v>-0.99864050000000004</v>
      </c>
      <c r="N1923">
        <v>0</v>
      </c>
      <c r="O1923">
        <v>5.1958740000000003E-2</v>
      </c>
      <c r="P1923">
        <v>-0.97895330000000003</v>
      </c>
      <c r="Q1923">
        <v>0.20079469999999999</v>
      </c>
      <c r="R1923">
        <v>3.6498790000000003E-2</v>
      </c>
      <c r="S1923">
        <v>-3.0849000000000002</v>
      </c>
      <c r="T1923">
        <v>-0.1869479</v>
      </c>
      <c r="U1923">
        <v>0.46832279999999998</v>
      </c>
      <c r="V1923">
        <v>-1.4895220000000001E-2</v>
      </c>
      <c r="W1923">
        <v>0.2048595</v>
      </c>
      <c r="X1923">
        <v>0.97867800000000005</v>
      </c>
      <c r="Y1923">
        <v>9.8435040000000001E-2</v>
      </c>
      <c r="Z1923">
        <v>-1.6093699999999999E-4</v>
      </c>
      <c r="AA1923">
        <v>0.99514349999999996</v>
      </c>
      <c r="AB1923">
        <v>41</v>
      </c>
      <c r="AC1923">
        <v>-0.69229999999998804</v>
      </c>
      <c r="AD1923">
        <v>-5.5622999999999902E-2</v>
      </c>
      <c r="AE1923">
        <v>0.12799999999998499</v>
      </c>
      <c r="AF1923">
        <v>9.12859447006453E-2</v>
      </c>
      <c r="AG1923">
        <v>-5.5622999999999902E-2</v>
      </c>
      <c r="AH1923">
        <v>0.69368565508880198</v>
      </c>
      <c r="AI1923">
        <v>94.545416196299101</v>
      </c>
      <c r="AJ1923">
        <v>82.503207339829601</v>
      </c>
      <c r="AK1923">
        <v>0.70187379912977899</v>
      </c>
      <c r="AL1923">
        <v>78.178725022238893</v>
      </c>
      <c r="AM1923">
        <v>90.871959269089501</v>
      </c>
      <c r="AN1923">
        <v>0.99999995500154804</v>
      </c>
    </row>
    <row r="1924" spans="1:40" x14ac:dyDescent="0.25">
      <c r="A1924" t="str">
        <f>"20190312172407082"</f>
        <v>20190312172407082</v>
      </c>
      <c r="B1924" t="str">
        <f>"1552382647071674"</f>
        <v>1552382647071674</v>
      </c>
      <c r="C1924" t="s">
        <v>40</v>
      </c>
      <c r="D1924">
        <v>3.5816849999999998</v>
      </c>
      <c r="E1924">
        <v>0.5445681</v>
      </c>
      <c r="F1924" t="s">
        <v>41</v>
      </c>
      <c r="G1924">
        <v>-275.92849999999999</v>
      </c>
      <c r="H1924">
        <v>1.046184</v>
      </c>
      <c r="I1924">
        <v>283.56189999999998</v>
      </c>
      <c r="J1924">
        <v>-275.22300000000001</v>
      </c>
      <c r="K1924">
        <v>1.1100760000000001</v>
      </c>
      <c r="L1924">
        <v>283.42110000000002</v>
      </c>
      <c r="M1924">
        <v>-0.99870689999999995</v>
      </c>
      <c r="N1924">
        <v>0</v>
      </c>
      <c r="O1924">
        <v>5.0654400000000002E-2</v>
      </c>
      <c r="P1924">
        <v>-0.97908450000000002</v>
      </c>
      <c r="Q1924">
        <v>0.20076649999999999</v>
      </c>
      <c r="R1924">
        <v>3.295737E-2</v>
      </c>
      <c r="S1924">
        <v>-3.085693</v>
      </c>
      <c r="T1924">
        <v>-0.18745110000000001</v>
      </c>
      <c r="U1924">
        <v>0.46304319999999999</v>
      </c>
      <c r="V1924">
        <v>-1.7244990000000002E-2</v>
      </c>
      <c r="W1924">
        <v>0.20494950000000001</v>
      </c>
      <c r="X1924">
        <v>0.97862059999999995</v>
      </c>
      <c r="Y1924">
        <v>9.8029950000000005E-2</v>
      </c>
      <c r="Z1924" s="1">
        <v>-9.5113409999999997E-5</v>
      </c>
      <c r="AA1924">
        <v>0.9951835</v>
      </c>
      <c r="AB1924">
        <v>41</v>
      </c>
      <c r="AC1924">
        <v>-0.70549999999997204</v>
      </c>
      <c r="AD1924">
        <v>-6.3892000000000004E-2</v>
      </c>
      <c r="AE1924">
        <v>0.14079999999995599</v>
      </c>
      <c r="AF1924">
        <v>0.10406145149328</v>
      </c>
      <c r="AG1924">
        <v>-6.3892000000000004E-2</v>
      </c>
      <c r="AH1924">
        <v>0.70615672283332198</v>
      </c>
      <c r="AI1924">
        <v>95.115016551977803</v>
      </c>
      <c r="AJ1924">
        <v>81.617049298891899</v>
      </c>
      <c r="AK1924">
        <v>0.71663679123638702</v>
      </c>
      <c r="AL1924">
        <v>78.173456952411001</v>
      </c>
      <c r="AM1924">
        <v>91.009546386694296</v>
      </c>
      <c r="AN1924">
        <v>0.99999998298735404</v>
      </c>
    </row>
    <row r="1925" spans="1:40" x14ac:dyDescent="0.25">
      <c r="A1925" t="str">
        <f>"20190312172407094"</f>
        <v>20190312172407094</v>
      </c>
      <c r="B1925" t="str">
        <f>"1552382647082411"</f>
        <v>1552382647082411</v>
      </c>
      <c r="C1925" t="s">
        <v>40</v>
      </c>
      <c r="D1925">
        <v>3.57884</v>
      </c>
      <c r="E1925">
        <v>0.54447049999999997</v>
      </c>
      <c r="F1925" t="s">
        <v>41</v>
      </c>
      <c r="G1925">
        <v>-276.2937</v>
      </c>
      <c r="H1925">
        <v>1.0455749999999999</v>
      </c>
      <c r="I1925">
        <v>283.57650000000001</v>
      </c>
      <c r="J1925">
        <v>-275.4384</v>
      </c>
      <c r="K1925">
        <v>1.110188</v>
      </c>
      <c r="L1925">
        <v>283.4314</v>
      </c>
      <c r="M1925">
        <v>-0.99875159999999996</v>
      </c>
      <c r="N1925">
        <v>0</v>
      </c>
      <c r="O1925">
        <v>4.9759419999999999E-2</v>
      </c>
      <c r="P1925">
        <v>-0.97918179999999999</v>
      </c>
      <c r="Q1925">
        <v>0.2006165</v>
      </c>
      <c r="R1925">
        <v>3.092491E-2</v>
      </c>
      <c r="S1925">
        <v>-3.0871580000000001</v>
      </c>
      <c r="T1925">
        <v>-0.18608820000000001</v>
      </c>
      <c r="U1925">
        <v>0.44796750000000002</v>
      </c>
      <c r="V1925">
        <v>-1.8453879999999999E-2</v>
      </c>
      <c r="W1925">
        <v>0.2048739</v>
      </c>
      <c r="X1925">
        <v>0.9786144</v>
      </c>
      <c r="Y1925">
        <v>9.410201E-2</v>
      </c>
      <c r="Z1925">
        <v>-1.586976E-4</v>
      </c>
      <c r="AA1925">
        <v>0.99556259999999996</v>
      </c>
      <c r="AB1925">
        <v>41</v>
      </c>
      <c r="AC1925">
        <v>-0.85529999999999895</v>
      </c>
      <c r="AD1925">
        <v>-6.4613000000000004E-2</v>
      </c>
      <c r="AE1925">
        <v>0.145100000000013</v>
      </c>
      <c r="AF1925">
        <v>0.10179591947261001</v>
      </c>
      <c r="AG1925">
        <v>-6.4613000000000004E-2</v>
      </c>
      <c r="AH1925">
        <v>0.85670822216718301</v>
      </c>
      <c r="AI1925">
        <v>94.283070156219495</v>
      </c>
      <c r="AJ1925">
        <v>83.223763226816004</v>
      </c>
      <c r="AK1925">
        <v>0.86515098504199295</v>
      </c>
      <c r="AL1925">
        <v>78.177882650654794</v>
      </c>
      <c r="AM1925">
        <v>91.080307157090999</v>
      </c>
      <c r="AN1925">
        <v>1.0000000022378099</v>
      </c>
    </row>
    <row r="1926" spans="1:40" x14ac:dyDescent="0.25">
      <c r="A1926" t="str">
        <f>"20190312172407114"</f>
        <v>20190312172407114</v>
      </c>
      <c r="B1926" t="str">
        <f>"1552382647111691"</f>
        <v>1552382647111691</v>
      </c>
      <c r="C1926" t="s">
        <v>40</v>
      </c>
      <c r="D1926">
        <v>3.5837409999999998</v>
      </c>
      <c r="E1926">
        <v>0.54427269999999905</v>
      </c>
      <c r="F1926" t="s">
        <v>41</v>
      </c>
      <c r="G1926">
        <v>-276.30369999999999</v>
      </c>
      <c r="H1926">
        <v>1.0580609999999999</v>
      </c>
      <c r="I1926">
        <v>283.55509999999998</v>
      </c>
      <c r="J1926">
        <v>-275.81849999999997</v>
      </c>
      <c r="K1926">
        <v>1.110379</v>
      </c>
      <c r="L1926">
        <v>283.44920000000002</v>
      </c>
      <c r="M1926">
        <v>-0.9988321</v>
      </c>
      <c r="N1926">
        <v>0</v>
      </c>
      <c r="O1926">
        <v>4.8101570000000003E-2</v>
      </c>
      <c r="P1926">
        <v>-0.97933340000000002</v>
      </c>
      <c r="Q1926">
        <v>0.20038520000000001</v>
      </c>
      <c r="R1926">
        <v>2.7425540000000002E-2</v>
      </c>
      <c r="S1926">
        <v>-3.0880130000000001</v>
      </c>
      <c r="T1926">
        <v>-0.18613669999999999</v>
      </c>
      <c r="U1926">
        <v>0.4413147</v>
      </c>
      <c r="V1926">
        <v>-2.0419779999999998E-2</v>
      </c>
      <c r="W1926">
        <v>0.2047708</v>
      </c>
      <c r="X1926">
        <v>0.97859689999999999</v>
      </c>
      <c r="Y1926">
        <v>9.3611899999999998E-2</v>
      </c>
      <c r="Z1926" s="1">
        <v>-7.4368669999999996E-5</v>
      </c>
      <c r="AA1926">
        <v>0.99560870000000001</v>
      </c>
      <c r="AB1926">
        <v>41</v>
      </c>
      <c r="AC1926">
        <v>-0.48520000000002</v>
      </c>
      <c r="AD1926">
        <v>-5.2317999999999802E-2</v>
      </c>
      <c r="AE1926">
        <v>0.105899999999962</v>
      </c>
      <c r="AF1926">
        <v>8.1533421785463606E-2</v>
      </c>
      <c r="AG1926">
        <v>-5.2317999999999802E-2</v>
      </c>
      <c r="AH1926">
        <v>0.48435690072082899</v>
      </c>
      <c r="AI1926">
        <v>96.080037700426004</v>
      </c>
      <c r="AJ1926">
        <v>80.444789733842399</v>
      </c>
      <c r="AK1926">
        <v>0.493949875258546</v>
      </c>
      <c r="AL1926">
        <v>78.183917413028297</v>
      </c>
      <c r="AM1926">
        <v>91.195382341121402</v>
      </c>
      <c r="AN1926">
        <v>0.99999997031874799</v>
      </c>
    </row>
    <row r="1927" spans="1:40" x14ac:dyDescent="0.25">
      <c r="A1927" t="str">
        <f>"20190312172407139"</f>
        <v>20190312172407139</v>
      </c>
      <c r="B1927" t="str">
        <f>"1552382647132186"</f>
        <v>1552382647132186</v>
      </c>
      <c r="C1927" t="s">
        <v>40</v>
      </c>
      <c r="D1927">
        <v>3.5569220000000001</v>
      </c>
      <c r="E1927">
        <v>0.54423429999999995</v>
      </c>
      <c r="F1927" t="s">
        <v>41</v>
      </c>
      <c r="G1927">
        <v>-276.67140000000001</v>
      </c>
      <c r="H1927">
        <v>1.059307</v>
      </c>
      <c r="I1927">
        <v>283.56810000000002</v>
      </c>
      <c r="J1927">
        <v>-276.2724</v>
      </c>
      <c r="K1927">
        <v>1.1105989999999999</v>
      </c>
      <c r="L1927">
        <v>283.46949999999998</v>
      </c>
      <c r="M1927">
        <v>-0.99893109999999996</v>
      </c>
      <c r="N1927">
        <v>0</v>
      </c>
      <c r="O1927">
        <v>4.5982500000000003E-2</v>
      </c>
      <c r="P1927">
        <v>-0.97942079999999998</v>
      </c>
      <c r="Q1927">
        <v>0.2004264</v>
      </c>
      <c r="R1927">
        <v>2.375766E-2</v>
      </c>
      <c r="S1927">
        <v>-3.0892330000000001</v>
      </c>
      <c r="T1927">
        <v>-0.18544859999999999</v>
      </c>
      <c r="U1927">
        <v>0.42932130000000002</v>
      </c>
      <c r="V1927">
        <v>-2.21085E-2</v>
      </c>
      <c r="W1927">
        <v>0.20496500000000001</v>
      </c>
      <c r="X1927">
        <v>0.97851960000000004</v>
      </c>
      <c r="Y1927">
        <v>9.1878619999999994E-2</v>
      </c>
      <c r="Z1927" s="1">
        <v>2.949964E-7</v>
      </c>
      <c r="AA1927">
        <v>0.99577020000000005</v>
      </c>
      <c r="AB1927">
        <v>41</v>
      </c>
      <c r="AC1927">
        <v>-0.39900000000000002</v>
      </c>
      <c r="AD1927">
        <v>-5.1291999999999803E-2</v>
      </c>
      <c r="AE1927">
        <v>9.8600000000033106E-2</v>
      </c>
      <c r="AF1927">
        <v>7.8919361692241105E-2</v>
      </c>
      <c r="AG1927">
        <v>-5.1291999999999803E-2</v>
      </c>
      <c r="AH1927">
        <v>0.39692993643541502</v>
      </c>
      <c r="AI1927">
        <v>97.223210811397294</v>
      </c>
      <c r="AJ1927">
        <v>78.754847684134404</v>
      </c>
      <c r="AK1927">
        <v>0.40793689383596199</v>
      </c>
      <c r="AL1927">
        <v>78.172550077257796</v>
      </c>
      <c r="AM1927">
        <v>91.294310570036799</v>
      </c>
      <c r="AN1927">
        <v>1.0000000222907</v>
      </c>
    </row>
    <row r="1928" spans="1:40" x14ac:dyDescent="0.25">
      <c r="A1928" t="str">
        <f>"20190312172407162"</f>
        <v>20190312172407162</v>
      </c>
      <c r="B1928" t="str">
        <f>"1552382647151706"</f>
        <v>1552382647151706</v>
      </c>
      <c r="C1928" t="s">
        <v>40</v>
      </c>
      <c r="D1928">
        <v>3.5493139999999999</v>
      </c>
      <c r="E1928">
        <v>0.54431879999999999</v>
      </c>
      <c r="F1928" t="s">
        <v>48</v>
      </c>
      <c r="G1928">
        <v>-294.84480000000002</v>
      </c>
      <c r="H1928" s="1">
        <v>2.9458830000000002E-6</v>
      </c>
      <c r="I1928">
        <v>285.98039999999997</v>
      </c>
      <c r="J1928">
        <v>-276.67930000000001</v>
      </c>
      <c r="K1928">
        <v>1.1107769999999999</v>
      </c>
      <c r="L1928">
        <v>283.48689999999999</v>
      </c>
      <c r="M1928">
        <v>-0.99902069999999998</v>
      </c>
      <c r="N1928">
        <v>0</v>
      </c>
      <c r="O1928">
        <v>4.3976950000000001E-2</v>
      </c>
      <c r="P1928">
        <v>-0.97938440000000004</v>
      </c>
      <c r="Q1928">
        <v>0.2009562</v>
      </c>
      <c r="R1928">
        <v>2.0571309999999999E-2</v>
      </c>
      <c r="S1928">
        <v>-3.0907290000000001</v>
      </c>
      <c r="T1928">
        <v>-0.18482029999999999</v>
      </c>
      <c r="U1928">
        <v>0.41784670000000002</v>
      </c>
      <c r="V1928">
        <v>-2.3403650000000002E-2</v>
      </c>
      <c r="W1928">
        <v>0.20563509999999999</v>
      </c>
      <c r="X1928">
        <v>0.97834889999999997</v>
      </c>
      <c r="Y1928">
        <v>9.0183200000000005E-2</v>
      </c>
      <c r="Z1928" s="1">
        <v>6.8826599999999996E-5</v>
      </c>
      <c r="AA1928">
        <v>0.99592519999999995</v>
      </c>
      <c r="AB1928">
        <v>41</v>
      </c>
      <c r="AC1928">
        <v>-18.165500000000002</v>
      </c>
      <c r="AD1928">
        <v>-1.1107740541169999</v>
      </c>
      <c r="AE1928">
        <v>2.4934999999999801</v>
      </c>
      <c r="AF1928">
        <v>1.68602736578974</v>
      </c>
      <c r="AG1928">
        <v>-1.1107740541169999</v>
      </c>
      <c r="AH1928">
        <v>18.190825267214301</v>
      </c>
      <c r="AI1928">
        <v>93.479398536863201</v>
      </c>
      <c r="AJ1928">
        <v>84.704635795455701</v>
      </c>
      <c r="AK1928">
        <v>18.302530731563198</v>
      </c>
      <c r="AL1928">
        <v>78.133320855852006</v>
      </c>
      <c r="AM1928">
        <v>91.370344137076799</v>
      </c>
      <c r="AN1928">
        <v>1.00000004765827</v>
      </c>
    </row>
    <row r="1929" spans="1:40" x14ac:dyDescent="0.25">
      <c r="A1929" t="str">
        <f>"20190312172407182"</f>
        <v>20190312172407182</v>
      </c>
      <c r="B1929" t="str">
        <f>"1552382647172202"</f>
        <v>1552382647172202</v>
      </c>
      <c r="C1929" t="s">
        <v>40</v>
      </c>
      <c r="D1929">
        <v>3.4939469999999999</v>
      </c>
      <c r="E1929">
        <v>0.54459019999999903</v>
      </c>
      <c r="F1929" t="s">
        <v>41</v>
      </c>
      <c r="G1929">
        <v>-277.76569999999998</v>
      </c>
      <c r="H1929">
        <v>1.046389</v>
      </c>
      <c r="I1929">
        <v>283.63040000000001</v>
      </c>
      <c r="J1929">
        <v>-277.072</v>
      </c>
      <c r="K1929">
        <v>1.1109230000000001</v>
      </c>
      <c r="L1929">
        <v>283.50279999999998</v>
      </c>
      <c r="M1929">
        <v>-0.99910620000000006</v>
      </c>
      <c r="N1929">
        <v>0</v>
      </c>
      <c r="O1929">
        <v>4.1972790000000003E-2</v>
      </c>
      <c r="P1929">
        <v>-0.97935039999999995</v>
      </c>
      <c r="Q1929">
        <v>0.20145560000000001</v>
      </c>
      <c r="R1929">
        <v>1.6991240000000001E-2</v>
      </c>
      <c r="S1929">
        <v>-3.0921940000000001</v>
      </c>
      <c r="T1929">
        <v>-0.1833004</v>
      </c>
      <c r="U1929">
        <v>0.40829470000000001</v>
      </c>
      <c r="V1929">
        <v>-2.508057E-2</v>
      </c>
      <c r="W1929">
        <v>0.2062697</v>
      </c>
      <c r="X1929">
        <v>0.97817370000000003</v>
      </c>
      <c r="Y1929">
        <v>8.9095549999999996E-2</v>
      </c>
      <c r="Z1929">
        <v>1.5406799999999999E-4</v>
      </c>
      <c r="AA1929">
        <v>0.99602310000000005</v>
      </c>
      <c r="AB1929">
        <v>41</v>
      </c>
      <c r="AC1929">
        <v>-0.693699999999978</v>
      </c>
      <c r="AD1929">
        <v>-6.45339999999998E-2</v>
      </c>
      <c r="AE1929">
        <v>0.127600000000029</v>
      </c>
      <c r="AF1929">
        <v>9.75540255231956E-2</v>
      </c>
      <c r="AG1929">
        <v>-6.45339999999998E-2</v>
      </c>
      <c r="AH1929">
        <v>0.69264624476203096</v>
      </c>
      <c r="AI1929">
        <v>95.271166571037298</v>
      </c>
      <c r="AJ1929">
        <v>81.983051595993004</v>
      </c>
      <c r="AK1929">
        <v>0.702453020090827</v>
      </c>
      <c r="AL1929">
        <v>78.096163889298197</v>
      </c>
      <c r="AM1929">
        <v>91.468753480534602</v>
      </c>
      <c r="AN1929">
        <v>1.00000000575065</v>
      </c>
    </row>
    <row r="1930" spans="1:40" x14ac:dyDescent="0.25">
      <c r="A1930" t="str">
        <f>"20190312172407204"</f>
        <v>20190312172407204</v>
      </c>
      <c r="B1930" t="str">
        <f>"1552382647201483"</f>
        <v>1552382647201483</v>
      </c>
      <c r="C1930" t="s">
        <v>40</v>
      </c>
      <c r="D1930">
        <v>3.4797250000000002</v>
      </c>
      <c r="E1930">
        <v>0.54506489999999996</v>
      </c>
      <c r="F1930" t="s">
        <v>41</v>
      </c>
      <c r="G1930">
        <v>-278.13709999999998</v>
      </c>
      <c r="H1930">
        <v>1.0485679999999999</v>
      </c>
      <c r="I1930">
        <v>283.64069999999998</v>
      </c>
      <c r="J1930">
        <v>-277.4753</v>
      </c>
      <c r="K1930">
        <v>1.111046</v>
      </c>
      <c r="L1930">
        <v>283.51819999999998</v>
      </c>
      <c r="M1930">
        <v>-0.99919159999999996</v>
      </c>
      <c r="N1930">
        <v>0</v>
      </c>
      <c r="O1930">
        <v>3.9867159999999999E-2</v>
      </c>
      <c r="P1930">
        <v>-0.97930709999999999</v>
      </c>
      <c r="Q1930">
        <v>0.20194580000000001</v>
      </c>
      <c r="R1930">
        <v>1.325631E-2</v>
      </c>
      <c r="S1930">
        <v>-3.0936279999999998</v>
      </c>
      <c r="T1930">
        <v>-0.1814154</v>
      </c>
      <c r="U1930">
        <v>0.3995667</v>
      </c>
      <c r="V1930">
        <v>-2.6805499999999999E-2</v>
      </c>
      <c r="W1930">
        <v>0.2068962</v>
      </c>
      <c r="X1930">
        <v>0.97799559999999996</v>
      </c>
      <c r="Y1930">
        <v>8.8370959999999998E-2</v>
      </c>
      <c r="Z1930">
        <v>2.5389130000000001E-4</v>
      </c>
      <c r="AA1930">
        <v>0.99608759999999996</v>
      </c>
      <c r="AB1930">
        <v>41</v>
      </c>
      <c r="AC1930">
        <v>-0.66179999999997097</v>
      </c>
      <c r="AD1930">
        <v>-6.2477999999999999E-2</v>
      </c>
      <c r="AE1930">
        <v>0.122500000000002</v>
      </c>
      <c r="AF1930">
        <v>9.5197823242859206E-2</v>
      </c>
      <c r="AG1930">
        <v>-6.2477999999999999E-2</v>
      </c>
      <c r="AH1930">
        <v>0.66046622093601604</v>
      </c>
      <c r="AI1930">
        <v>95.348964707138606</v>
      </c>
      <c r="AJ1930">
        <v>81.798029454175904</v>
      </c>
      <c r="AK1930">
        <v>0.67021023196582197</v>
      </c>
      <c r="AL1930">
        <v>78.059476431547495</v>
      </c>
      <c r="AM1930">
        <v>91.570004609244904</v>
      </c>
      <c r="AN1930">
        <v>0.99999998301202397</v>
      </c>
    </row>
    <row r="1931" spans="1:40" x14ac:dyDescent="0.25">
      <c r="A1931" t="str">
        <f>"20190312172407226"</f>
        <v>20190312172407226</v>
      </c>
      <c r="B1931" t="str">
        <f>"1552382647221979"</f>
        <v>1552382647221979</v>
      </c>
      <c r="C1931" t="s">
        <v>40</v>
      </c>
      <c r="D1931">
        <v>3.4987840000000001</v>
      </c>
      <c r="E1931">
        <v>0.51418330000000001</v>
      </c>
      <c r="F1931" t="s">
        <v>41</v>
      </c>
      <c r="G1931">
        <v>-278.51010000000002</v>
      </c>
      <c r="H1931">
        <v>1.050997</v>
      </c>
      <c r="I1931">
        <v>283.64920000000001</v>
      </c>
      <c r="J1931">
        <v>-277.8886</v>
      </c>
      <c r="K1931">
        <v>1.111151</v>
      </c>
      <c r="L1931">
        <v>283.53320000000002</v>
      </c>
      <c r="M1931">
        <v>-0.99927580000000005</v>
      </c>
      <c r="N1931">
        <v>0</v>
      </c>
      <c r="O1931">
        <v>3.7677000000000002E-2</v>
      </c>
      <c r="P1931">
        <v>-0.97928599999999999</v>
      </c>
      <c r="Q1931">
        <v>0.20222509999999999</v>
      </c>
      <c r="R1931">
        <v>1.0218649999999999E-2</v>
      </c>
      <c r="S1931">
        <v>-3.0951840000000002</v>
      </c>
      <c r="T1931">
        <v>-0.17969070000000001</v>
      </c>
      <c r="U1931">
        <v>0.39144899999999999</v>
      </c>
      <c r="V1931">
        <v>-2.774312E-2</v>
      </c>
      <c r="W1931">
        <v>0.20731569999999999</v>
      </c>
      <c r="X1931">
        <v>0.97788070000000005</v>
      </c>
      <c r="Y1931">
        <v>8.7918819999999995E-2</v>
      </c>
      <c r="Z1931">
        <v>3.6462119999999999E-4</v>
      </c>
      <c r="AA1931">
        <v>0.9961276</v>
      </c>
      <c r="AB1931">
        <v>41</v>
      </c>
      <c r="AC1931">
        <v>-0.62150000000002503</v>
      </c>
      <c r="AD1931">
        <v>-6.0153999999999999E-2</v>
      </c>
      <c r="AE1931">
        <v>0.115999999999985</v>
      </c>
      <c r="AF1931">
        <v>9.1671181275363001E-2</v>
      </c>
      <c r="AG1931">
        <v>-6.0153999999999999E-2</v>
      </c>
      <c r="AH1931">
        <v>0.61981830822356498</v>
      </c>
      <c r="AI1931">
        <v>95.483968333384794</v>
      </c>
      <c r="AJ1931">
        <v>81.586939132035397</v>
      </c>
      <c r="AK1931">
        <v>0.62944169261460803</v>
      </c>
      <c r="AL1931">
        <v>78.034909253346498</v>
      </c>
      <c r="AM1931">
        <v>91.625083116428797</v>
      </c>
      <c r="AN1931">
        <v>1.0000000718031501</v>
      </c>
    </row>
    <row r="1932" spans="1:40" x14ac:dyDescent="0.25">
      <c r="A1932" t="str">
        <f>"20190312172407250"</f>
        <v>20190312172407250</v>
      </c>
      <c r="B1932" t="str">
        <f>"1552382647241498"</f>
        <v>1552382647241498</v>
      </c>
      <c r="C1932" t="s">
        <v>40</v>
      </c>
      <c r="D1932">
        <v>3.5375860000000001</v>
      </c>
      <c r="E1932">
        <v>0.49706640000000002</v>
      </c>
      <c r="F1932" t="s">
        <v>48</v>
      </c>
      <c r="G1932">
        <v>-296.7242</v>
      </c>
      <c r="H1932" s="1">
        <v>3.4216739999999999E-6</v>
      </c>
      <c r="I1932">
        <v>284.35129999999998</v>
      </c>
      <c r="J1932">
        <v>-278.32049999999998</v>
      </c>
      <c r="K1932">
        <v>1.111243</v>
      </c>
      <c r="L1932">
        <v>283.54790000000003</v>
      </c>
      <c r="M1932">
        <v>-0.99935929999999995</v>
      </c>
      <c r="N1932">
        <v>0</v>
      </c>
      <c r="O1932">
        <v>3.536765E-2</v>
      </c>
      <c r="P1932">
        <v>-0.97947550000000005</v>
      </c>
      <c r="Q1932">
        <v>0.20144509999999999</v>
      </c>
      <c r="R1932">
        <v>6.8924199999999998E-3</v>
      </c>
      <c r="S1932">
        <v>-3.0998230000000002</v>
      </c>
      <c r="T1932">
        <v>-0.18286450000000001</v>
      </c>
      <c r="U1932">
        <v>0.1346436</v>
      </c>
      <c r="V1932">
        <v>-2.885076E-2</v>
      </c>
      <c r="W1932">
        <v>0.20668259999999999</v>
      </c>
      <c r="X1932">
        <v>0.97798260000000004</v>
      </c>
      <c r="Y1932">
        <v>8.0802640000000002E-3</v>
      </c>
      <c r="Z1932">
        <v>-1.8449040000000001E-3</v>
      </c>
      <c r="AA1932">
        <v>0.99996569999999996</v>
      </c>
      <c r="AB1932">
        <v>42</v>
      </c>
      <c r="AC1932">
        <v>-18.403700000000001</v>
      </c>
      <c r="AD1932">
        <v>-1.1112395783260001</v>
      </c>
      <c r="AE1932">
        <v>0.80339999999995304</v>
      </c>
      <c r="AF1932">
        <v>0.15144084182699999</v>
      </c>
      <c r="AG1932">
        <v>-1.1112395783260001</v>
      </c>
      <c r="AH1932">
        <v>18.3538115873944</v>
      </c>
      <c r="AI1932">
        <v>93.464650939343699</v>
      </c>
      <c r="AJ1932">
        <v>89.527252193107699</v>
      </c>
      <c r="AK1932">
        <v>18.3880446898137</v>
      </c>
      <c r="AL1932">
        <v>78.071985564451893</v>
      </c>
      <c r="AM1932">
        <v>91.689751442789799</v>
      </c>
      <c r="AN1932">
        <v>1.00000001469904</v>
      </c>
    </row>
    <row r="1933" spans="1:40" x14ac:dyDescent="0.25">
      <c r="A1933" t="str">
        <f>"20190312172407271"</f>
        <v>20190312172407271</v>
      </c>
      <c r="B1933" t="str">
        <f>"1552382647261994"</f>
        <v>1552382647261994</v>
      </c>
      <c r="C1933" t="s">
        <v>40</v>
      </c>
      <c r="D1933">
        <v>3.4797400000000001</v>
      </c>
      <c r="E1933">
        <v>0.48962489999999997</v>
      </c>
      <c r="F1933" t="s">
        <v>48</v>
      </c>
      <c r="G1933">
        <v>-298.01569999999998</v>
      </c>
      <c r="H1933" s="1">
        <v>3.7281770000000002E-6</v>
      </c>
      <c r="I1933">
        <v>283.46600000000001</v>
      </c>
      <c r="J1933">
        <v>-278.71949999999998</v>
      </c>
      <c r="K1933">
        <v>1.111318</v>
      </c>
      <c r="L1933">
        <v>283.56049999999999</v>
      </c>
      <c r="M1933">
        <v>-0.99943199999999999</v>
      </c>
      <c r="N1933">
        <v>0</v>
      </c>
      <c r="O1933">
        <v>3.3223699999999898E-2</v>
      </c>
      <c r="P1933">
        <v>-0.97968699999999997</v>
      </c>
      <c r="Q1933">
        <v>0.20049069999999999</v>
      </c>
      <c r="R1933">
        <v>4.1168929999999999E-3</v>
      </c>
      <c r="S1933">
        <v>-3.0989070000000001</v>
      </c>
      <c r="T1933">
        <v>-0.17484559999999999</v>
      </c>
      <c r="U1933">
        <v>-1.287842E-2</v>
      </c>
      <c r="V1933">
        <v>-2.9560590000000001E-2</v>
      </c>
      <c r="W1933">
        <v>0.20586650000000001</v>
      </c>
      <c r="X1933">
        <v>0.97813349999999999</v>
      </c>
      <c r="Y1933">
        <v>-3.7265300000000001E-2</v>
      </c>
      <c r="Z1933">
        <v>-2.9232889999999999E-3</v>
      </c>
      <c r="AA1933">
        <v>0.99930110000000005</v>
      </c>
      <c r="AB1933">
        <v>42</v>
      </c>
      <c r="AC1933">
        <v>-19.296199999999999</v>
      </c>
      <c r="AD1933">
        <v>-1.111314271823</v>
      </c>
      <c r="AE1933">
        <v>-9.4499999999982195E-2</v>
      </c>
      <c r="AF1933">
        <v>-0.73311759525061404</v>
      </c>
      <c r="AG1933">
        <v>-1.111314271823</v>
      </c>
      <c r="AH1933">
        <v>19.218662786182399</v>
      </c>
      <c r="AI1933">
        <v>93.307028679195497</v>
      </c>
      <c r="AJ1933">
        <v>92.184553022586698</v>
      </c>
      <c r="AK1933">
        <v>19.264721127185201</v>
      </c>
      <c r="AL1933">
        <v>78.119772097344296</v>
      </c>
      <c r="AM1933">
        <v>91.731033332268098</v>
      </c>
      <c r="AN1933">
        <v>0.99999999406282403</v>
      </c>
    </row>
    <row r="1934" spans="1:40" x14ac:dyDescent="0.25">
      <c r="A1934" t="str">
        <f>"20190312172407293"</f>
        <v>20190312172407293</v>
      </c>
      <c r="B1934" t="str">
        <f>"1552382647281517"</f>
        <v>1552382647281517</v>
      </c>
      <c r="C1934" t="s">
        <v>40</v>
      </c>
      <c r="D1934">
        <v>3.3406250000000002</v>
      </c>
      <c r="E1934">
        <v>0.48616880000000001</v>
      </c>
      <c r="F1934" t="s">
        <v>48</v>
      </c>
      <c r="G1934">
        <v>-299.12150000000003</v>
      </c>
      <c r="H1934" s="1">
        <v>3.9631829999999998E-6</v>
      </c>
      <c r="I1934">
        <v>283.0215</v>
      </c>
      <c r="J1934">
        <v>-279.12639999999999</v>
      </c>
      <c r="K1934">
        <v>1.1113869999999999</v>
      </c>
      <c r="L1934">
        <v>283.57249999999999</v>
      </c>
      <c r="M1934">
        <v>-0.99950150000000004</v>
      </c>
      <c r="N1934">
        <v>0</v>
      </c>
      <c r="O1934">
        <v>3.103092E-2</v>
      </c>
      <c r="P1934">
        <v>-0.97992310000000005</v>
      </c>
      <c r="Q1934">
        <v>0.1993684</v>
      </c>
      <c r="R1934">
        <v>1.69583E-3</v>
      </c>
      <c r="S1934">
        <v>-3.0970759999999999</v>
      </c>
      <c r="T1934">
        <v>-0.16869960000000001</v>
      </c>
      <c r="U1934">
        <v>-8.1817630000000002E-2</v>
      </c>
      <c r="V1934">
        <v>-2.9863029999999999E-2</v>
      </c>
      <c r="W1934">
        <v>0.2048874</v>
      </c>
      <c r="X1934">
        <v>0.97832980000000003</v>
      </c>
      <c r="Y1934">
        <v>-5.7285540000000003E-2</v>
      </c>
      <c r="Z1934">
        <v>-3.2474869999999999E-3</v>
      </c>
      <c r="AA1934">
        <v>0.99835249999999998</v>
      </c>
      <c r="AB1934">
        <v>42</v>
      </c>
      <c r="AC1934">
        <v>-19.995100000000001</v>
      </c>
      <c r="AD1934">
        <v>-1.1113830368169999</v>
      </c>
      <c r="AE1934">
        <v>-0.55099999999998694</v>
      </c>
      <c r="AF1934">
        <v>-1.1676069687636099</v>
      </c>
      <c r="AG1934">
        <v>-1.1113830368169999</v>
      </c>
      <c r="AH1934">
        <v>19.906917563089301</v>
      </c>
      <c r="AI1934">
        <v>93.189977094249699</v>
      </c>
      <c r="AJ1934">
        <v>93.356742380917296</v>
      </c>
      <c r="AK1934">
        <v>19.9720766359351</v>
      </c>
      <c r="AL1934">
        <v>78.177091436388196</v>
      </c>
      <c r="AM1934">
        <v>91.748382259289102</v>
      </c>
      <c r="AN1934">
        <v>0.99999992240378699</v>
      </c>
    </row>
    <row r="1935" spans="1:40" x14ac:dyDescent="0.25">
      <c r="A1935" t="str">
        <f>"20190312172407316"</f>
        <v>20190312172407316</v>
      </c>
      <c r="B1935" t="str">
        <f>"1552382647311770"</f>
        <v>1552382647311770</v>
      </c>
      <c r="C1935" t="s">
        <v>40</v>
      </c>
      <c r="D1935">
        <v>3.4276070000000001</v>
      </c>
      <c r="E1935">
        <v>0.48370279999999999</v>
      </c>
      <c r="F1935" t="s">
        <v>48</v>
      </c>
      <c r="G1935">
        <v>-299.40629999999999</v>
      </c>
      <c r="H1935" s="1">
        <v>4.0325680000000001E-6</v>
      </c>
      <c r="I1935">
        <v>282.8057</v>
      </c>
      <c r="J1935">
        <v>-279.55220000000003</v>
      </c>
      <c r="K1935">
        <v>1.1114569999999999</v>
      </c>
      <c r="L1935">
        <v>283.58420000000001</v>
      </c>
      <c r="M1935">
        <v>-0.99956929999999999</v>
      </c>
      <c r="N1935">
        <v>0</v>
      </c>
      <c r="O1935">
        <v>2.873452E-2</v>
      </c>
      <c r="P1935">
        <v>-0.98006470000000001</v>
      </c>
      <c r="Q1935">
        <v>0.1986764</v>
      </c>
      <c r="R1935">
        <v>-8.8911320000000004E-4</v>
      </c>
      <c r="S1935">
        <v>-3.0961609999999999</v>
      </c>
      <c r="T1935">
        <v>-0.16967639999999901</v>
      </c>
      <c r="U1935">
        <v>-0.1170654</v>
      </c>
      <c r="V1935">
        <v>-3.02248E-2</v>
      </c>
      <c r="W1935">
        <v>0.2043451</v>
      </c>
      <c r="X1935">
        <v>0.97843219999999997</v>
      </c>
      <c r="Y1935">
        <v>-6.6339300000000004E-2</v>
      </c>
      <c r="Z1935">
        <v>-3.3888120000000002E-3</v>
      </c>
      <c r="AA1935">
        <v>0.99779130000000005</v>
      </c>
      <c r="AB1935">
        <v>42</v>
      </c>
      <c r="AC1935">
        <v>-19.854099999999899</v>
      </c>
      <c r="AD1935">
        <v>-1.1114529674319999</v>
      </c>
      <c r="AE1935">
        <v>-0.77850000000000796</v>
      </c>
      <c r="AF1935">
        <v>-1.3444797370416599</v>
      </c>
      <c r="AG1935">
        <v>-1.1114529674319999</v>
      </c>
      <c r="AH1935">
        <v>19.761695675424502</v>
      </c>
      <c r="AI1935">
        <v>93.211674512346804</v>
      </c>
      <c r="AJ1935">
        <v>93.892099661025298</v>
      </c>
      <c r="AK1935">
        <v>19.838537482138701</v>
      </c>
      <c r="AL1935">
        <v>78.208835650943001</v>
      </c>
      <c r="AM1935">
        <v>91.769364239839106</v>
      </c>
      <c r="AN1935">
        <v>1.0000000142129399</v>
      </c>
    </row>
    <row r="1936" spans="1:40" x14ac:dyDescent="0.25">
      <c r="A1936" t="str">
        <f>"20190312172407340"</f>
        <v>20190312172407340</v>
      </c>
      <c r="B1936" t="str">
        <f>"1552382647332266"</f>
        <v>1552382647332266</v>
      </c>
      <c r="C1936" t="s">
        <v>40</v>
      </c>
      <c r="D1936">
        <v>3.464235</v>
      </c>
      <c r="E1936">
        <v>0.4825682</v>
      </c>
      <c r="F1936" t="s">
        <v>48</v>
      </c>
      <c r="G1936">
        <v>-299.46820000000002</v>
      </c>
      <c r="H1936" s="1">
        <v>4.057098E-6</v>
      </c>
      <c r="I1936">
        <v>282.65069999999997</v>
      </c>
      <c r="J1936">
        <v>-279.9939</v>
      </c>
      <c r="K1936">
        <v>1.111515</v>
      </c>
      <c r="L1936">
        <v>283.59519999999998</v>
      </c>
      <c r="M1936">
        <v>-0.99963400000000002</v>
      </c>
      <c r="N1936">
        <v>0</v>
      </c>
      <c r="O1936">
        <v>2.635086E-2</v>
      </c>
      <c r="P1936">
        <v>-0.98007089999999997</v>
      </c>
      <c r="Q1936">
        <v>0.19863030000000001</v>
      </c>
      <c r="R1936">
        <v>-2.6965100000000001E-3</v>
      </c>
      <c r="S1936">
        <v>-3.0959469999999998</v>
      </c>
      <c r="T1936">
        <v>-0.17277600000000001</v>
      </c>
      <c r="U1936">
        <v>-0.14511109999999999</v>
      </c>
      <c r="V1936">
        <v>-2.971973E-2</v>
      </c>
      <c r="W1936">
        <v>0.2044599</v>
      </c>
      <c r="X1936">
        <v>0.97842370000000001</v>
      </c>
      <c r="Y1936">
        <v>-7.2971850000000005E-2</v>
      </c>
      <c r="Z1936">
        <v>-3.502224E-3</v>
      </c>
      <c r="AA1936">
        <v>0.99732790000000004</v>
      </c>
      <c r="AB1936">
        <v>42</v>
      </c>
      <c r="AC1936">
        <v>-19.474299999999999</v>
      </c>
      <c r="AD1936">
        <v>-1.111510942902</v>
      </c>
      <c r="AE1936">
        <v>-0.944500000000005</v>
      </c>
      <c r="AF1936">
        <v>-1.4526251577868501</v>
      </c>
      <c r="AG1936">
        <v>-1.111510942902</v>
      </c>
      <c r="AH1936">
        <v>19.379664637314601</v>
      </c>
      <c r="AI1936">
        <v>93.273411680584601</v>
      </c>
      <c r="AJ1936">
        <v>94.286655272378397</v>
      </c>
      <c r="AK1936">
        <v>19.465789937220801</v>
      </c>
      <c r="AL1936">
        <v>78.202116355669602</v>
      </c>
      <c r="AM1936">
        <v>91.739830798915406</v>
      </c>
      <c r="AN1936">
        <v>1.0000000248904799</v>
      </c>
    </row>
    <row r="1937" spans="1:40" x14ac:dyDescent="0.25">
      <c r="A1937" t="str">
        <f>"20190312172407363"</f>
        <v>20190312172407363</v>
      </c>
      <c r="B1937" t="str">
        <f>"1552382647351786"</f>
        <v>1552382647351786</v>
      </c>
      <c r="C1937" t="s">
        <v>40</v>
      </c>
      <c r="D1937">
        <v>3.451133</v>
      </c>
      <c r="E1937">
        <v>0.48188310000000001</v>
      </c>
      <c r="F1937" t="s">
        <v>48</v>
      </c>
      <c r="G1937">
        <v>-299.51740000000001</v>
      </c>
      <c r="H1937" s="1">
        <v>4.0718949999999996E-6</v>
      </c>
      <c r="I1937">
        <v>282.58109999999999</v>
      </c>
      <c r="J1937">
        <v>-280.42649999999998</v>
      </c>
      <c r="K1937">
        <v>1.111567</v>
      </c>
      <c r="L1937">
        <v>283.60500000000002</v>
      </c>
      <c r="M1937">
        <v>-0.99969189999999997</v>
      </c>
      <c r="N1937">
        <v>0</v>
      </c>
      <c r="O1937">
        <v>2.4014500000000001E-2</v>
      </c>
      <c r="P1937">
        <v>-0.98015640000000004</v>
      </c>
      <c r="Q1937">
        <v>0.19817009999999999</v>
      </c>
      <c r="R1937">
        <v>-4.7151509999999999E-3</v>
      </c>
      <c r="S1937">
        <v>-3.096222</v>
      </c>
      <c r="T1937">
        <v>-0.17627409999999999</v>
      </c>
      <c r="U1937">
        <v>-0.16082759999999999</v>
      </c>
      <c r="V1937">
        <v>-2.9469229999999999E-2</v>
      </c>
      <c r="W1937">
        <v>0.20415700000000001</v>
      </c>
      <c r="X1937">
        <v>0.97849450000000004</v>
      </c>
      <c r="Y1937">
        <v>-7.567989E-2</v>
      </c>
      <c r="Z1937">
        <v>-3.5164240000000002E-3</v>
      </c>
      <c r="AA1937">
        <v>0.99712599999999996</v>
      </c>
      <c r="AB1937">
        <v>42</v>
      </c>
      <c r="AC1937">
        <v>-19.090900000000001</v>
      </c>
      <c r="AD1937">
        <v>-1.1115629281049999</v>
      </c>
      <c r="AE1937">
        <v>-1.02390000000002</v>
      </c>
      <c r="AF1937">
        <v>-1.47707904289004</v>
      </c>
      <c r="AG1937">
        <v>-1.1115629281049999</v>
      </c>
      <c r="AH1937">
        <v>18.9965891984269</v>
      </c>
      <c r="AI1937">
        <v>93.338721702048602</v>
      </c>
      <c r="AJ1937">
        <v>94.446085375484103</v>
      </c>
      <c r="AK1937">
        <v>19.086323266042399</v>
      </c>
      <c r="AL1937">
        <v>78.219844928078103</v>
      </c>
      <c r="AM1937">
        <v>91.725050358239699</v>
      </c>
      <c r="AN1937">
        <v>1.0000000013480199</v>
      </c>
    </row>
    <row r="1938" spans="1:40" x14ac:dyDescent="0.25">
      <c r="A1938" t="str">
        <f>"20190312172407383"</f>
        <v>20190312172407383</v>
      </c>
      <c r="B1938" t="str">
        <f>"1552382647372283"</f>
        <v>1552382647372283</v>
      </c>
      <c r="C1938" t="s">
        <v>40</v>
      </c>
      <c r="D1938">
        <v>3.4585409999999999</v>
      </c>
      <c r="E1938">
        <v>0.48118919999999998</v>
      </c>
      <c r="F1938" t="s">
        <v>48</v>
      </c>
      <c r="G1938">
        <v>-299.57600000000002</v>
      </c>
      <c r="H1938" s="1">
        <v>4.0865669999999997E-6</v>
      </c>
      <c r="I1938">
        <v>282.53230000000002</v>
      </c>
      <c r="J1938">
        <v>-280.80650000000003</v>
      </c>
      <c r="K1938">
        <v>1.1116079999999999</v>
      </c>
      <c r="L1938">
        <v>283.61270000000002</v>
      </c>
      <c r="M1938">
        <v>-0.99973820000000002</v>
      </c>
      <c r="N1938">
        <v>0</v>
      </c>
      <c r="O1938">
        <v>2.1961040000000001E-2</v>
      </c>
      <c r="P1938">
        <v>-0.98020759999999996</v>
      </c>
      <c r="Q1938">
        <v>0.1978906</v>
      </c>
      <c r="R1938">
        <v>-5.7337009999999999E-3</v>
      </c>
      <c r="S1938">
        <v>-3.0962519999999998</v>
      </c>
      <c r="T1938">
        <v>-0.1797262</v>
      </c>
      <c r="U1938">
        <v>-0.17343140000000001</v>
      </c>
      <c r="V1938">
        <v>-2.8490700000000001E-2</v>
      </c>
      <c r="W1938">
        <v>0.2040179</v>
      </c>
      <c r="X1938">
        <v>0.97855250000000005</v>
      </c>
      <c r="Y1938">
        <v>-7.7672069999999996E-2</v>
      </c>
      <c r="Z1938">
        <v>-3.5234730000000001E-3</v>
      </c>
      <c r="AA1938">
        <v>0.99697270000000004</v>
      </c>
      <c r="AB1938">
        <v>42</v>
      </c>
      <c r="AC1938">
        <v>-18.769499999999901</v>
      </c>
      <c r="AD1938">
        <v>-1.111603913433</v>
      </c>
      <c r="AE1938">
        <v>-1.08039999999999</v>
      </c>
      <c r="AF1938">
        <v>-1.4871467610213001</v>
      </c>
      <c r="AG1938">
        <v>-1.111603913433</v>
      </c>
      <c r="AH1938">
        <v>18.675956775970999</v>
      </c>
      <c r="AI1938">
        <v>93.395536900763304</v>
      </c>
      <c r="AJ1938">
        <v>94.552796029808405</v>
      </c>
      <c r="AK1938">
        <v>18.768021479290599</v>
      </c>
      <c r="AL1938">
        <v>78.227986217385293</v>
      </c>
      <c r="AM1938">
        <v>91.667703923252802</v>
      </c>
      <c r="AN1938">
        <v>1.00000000938157</v>
      </c>
    </row>
    <row r="1939" spans="1:40" x14ac:dyDescent="0.25">
      <c r="A1939" t="str">
        <f>"20190312172407405"</f>
        <v>20190312172407405</v>
      </c>
      <c r="B1939" t="str">
        <f>"1552382647401562"</f>
        <v>1552382647401562</v>
      </c>
      <c r="C1939" t="s">
        <v>40</v>
      </c>
      <c r="D1939">
        <v>3.4324560000000002</v>
      </c>
      <c r="E1939">
        <v>0.48049900000000001</v>
      </c>
      <c r="F1939" t="s">
        <v>48</v>
      </c>
      <c r="G1939">
        <v>-299.69119999999998</v>
      </c>
      <c r="H1939" s="1">
        <v>4.1095280000000001E-6</v>
      </c>
      <c r="I1939">
        <v>282.5034</v>
      </c>
      <c r="J1939">
        <v>-281.22919999999999</v>
      </c>
      <c r="K1939">
        <v>1.1116549999999901</v>
      </c>
      <c r="L1939">
        <v>283.62040000000002</v>
      </c>
      <c r="M1939">
        <v>-0.99978480000000003</v>
      </c>
      <c r="N1939">
        <v>0</v>
      </c>
      <c r="O1939">
        <v>1.967406E-2</v>
      </c>
      <c r="P1939">
        <v>-0.98028879999999996</v>
      </c>
      <c r="Q1939">
        <v>0.19742499999999999</v>
      </c>
      <c r="R1939">
        <v>-7.5602100000000004E-3</v>
      </c>
      <c r="S1939">
        <v>-3.0963129999999999</v>
      </c>
      <c r="T1939">
        <v>-0.1822569</v>
      </c>
      <c r="U1939">
        <v>-0.18188480000000001</v>
      </c>
      <c r="V1939">
        <v>-2.808898E-2</v>
      </c>
      <c r="W1939">
        <v>0.20369950000000001</v>
      </c>
      <c r="X1939">
        <v>0.97863040000000001</v>
      </c>
      <c r="Y1939">
        <v>-7.810185E-2</v>
      </c>
      <c r="Z1939">
        <v>-3.4508830000000001E-3</v>
      </c>
      <c r="AA1939">
        <v>0.99693940000000003</v>
      </c>
      <c r="AB1939">
        <v>42</v>
      </c>
      <c r="AC1939">
        <v>-18.4619999999999</v>
      </c>
      <c r="AD1939">
        <v>-1.1116508904719999</v>
      </c>
      <c r="AE1939">
        <v>-1.11700000000001</v>
      </c>
      <c r="AF1939">
        <v>-1.4746870305697399</v>
      </c>
      <c r="AG1939">
        <v>-1.1116508904719999</v>
      </c>
      <c r="AH1939">
        <v>18.370090465277201</v>
      </c>
      <c r="AI1939">
        <v>93.451906153653496</v>
      </c>
      <c r="AJ1939">
        <v>94.589663886593002</v>
      </c>
      <c r="AK1939">
        <v>18.4626838039026</v>
      </c>
      <c r="AL1939">
        <v>78.246620019651999</v>
      </c>
      <c r="AM1939">
        <v>91.644071423116202</v>
      </c>
      <c r="AN1939">
        <v>0.99999996845092398</v>
      </c>
    </row>
    <row r="1940" spans="1:40" x14ac:dyDescent="0.25">
      <c r="A1940" t="str">
        <f>"20190312172407428"</f>
        <v>20190312172407428</v>
      </c>
      <c r="B1940" t="str">
        <f>"1552382647422059"</f>
        <v>1552382647422059</v>
      </c>
      <c r="C1940" t="s">
        <v>40</v>
      </c>
      <c r="D1940">
        <v>3.483867</v>
      </c>
      <c r="E1940">
        <v>0.48030689999999998</v>
      </c>
      <c r="F1940" t="s">
        <v>48</v>
      </c>
      <c r="G1940">
        <v>-300.03579999999999</v>
      </c>
      <c r="H1940" s="1">
        <v>4.1477899999999996E-6</v>
      </c>
      <c r="I1940">
        <v>282.44830000000002</v>
      </c>
      <c r="J1940">
        <v>-281.66849999999999</v>
      </c>
      <c r="K1940">
        <v>1.1116999999999999</v>
      </c>
      <c r="L1940">
        <v>283.62729999999999</v>
      </c>
      <c r="M1940">
        <v>-0.99982789999999999</v>
      </c>
      <c r="N1940">
        <v>0</v>
      </c>
      <c r="O1940">
        <v>1.7294730000000001E-2</v>
      </c>
      <c r="P1940">
        <v>-0.98025390000000001</v>
      </c>
      <c r="Q1940">
        <v>0.1975296</v>
      </c>
      <c r="R1940">
        <v>-9.1801150000000008E-3</v>
      </c>
      <c r="S1940">
        <v>-3.0956730000000001</v>
      </c>
      <c r="T1940">
        <v>-0.18298410000000001</v>
      </c>
      <c r="U1940">
        <v>-0.1929321</v>
      </c>
      <c r="V1940">
        <v>-2.7390319999999999E-2</v>
      </c>
      <c r="W1940">
        <v>0.203953</v>
      </c>
      <c r="X1940">
        <v>0.97859750000000001</v>
      </c>
      <c r="Y1940">
        <v>-7.9286850000000006E-2</v>
      </c>
      <c r="Z1940">
        <v>-3.3595309999999998E-3</v>
      </c>
      <c r="AA1940">
        <v>0.99684620000000002</v>
      </c>
      <c r="AB1940">
        <v>42</v>
      </c>
      <c r="AC1940">
        <v>-18.3673</v>
      </c>
      <c r="AD1940">
        <v>-1.11169585221</v>
      </c>
      <c r="AE1940">
        <v>-1.1789999999999701</v>
      </c>
      <c r="AF1940">
        <v>-1.49104845191497</v>
      </c>
      <c r="AG1940">
        <v>-1.11169585221</v>
      </c>
      <c r="AH1940">
        <v>18.2774793276207</v>
      </c>
      <c r="AI1940">
        <v>93.469131898856304</v>
      </c>
      <c r="AJ1940">
        <v>94.663773367146405</v>
      </c>
      <c r="AK1940">
        <v>18.371862826762602</v>
      </c>
      <c r="AL1940">
        <v>78.231785199263996</v>
      </c>
      <c r="AM1940">
        <v>91.6032537546876</v>
      </c>
      <c r="AN1940">
        <v>1.00000006142247</v>
      </c>
    </row>
    <row r="1941" spans="1:40" x14ac:dyDescent="0.25">
      <c r="A1941" t="str">
        <f>"20190312172407450"</f>
        <v>20190312172407450</v>
      </c>
      <c r="B1941" t="str">
        <f>"1552382647441581"</f>
        <v>1552382647441581</v>
      </c>
      <c r="C1941" t="s">
        <v>40</v>
      </c>
      <c r="D1941">
        <v>3.3905430000000001</v>
      </c>
      <c r="E1941">
        <v>0.4804059</v>
      </c>
      <c r="F1941" t="s">
        <v>48</v>
      </c>
      <c r="G1941">
        <v>-300.35849999999999</v>
      </c>
      <c r="H1941" s="1">
        <v>4.092676E-6</v>
      </c>
      <c r="I1941">
        <v>282.42399999999998</v>
      </c>
      <c r="J1941">
        <v>-282.09140000000002</v>
      </c>
      <c r="K1941">
        <v>1.1117319999999999</v>
      </c>
      <c r="L1941">
        <v>283.63310000000001</v>
      </c>
      <c r="M1941">
        <v>-0.99986399999999998</v>
      </c>
      <c r="N1941">
        <v>0</v>
      </c>
      <c r="O1941">
        <v>1.500313E-2</v>
      </c>
      <c r="P1941">
        <v>-0.98022160000000003</v>
      </c>
      <c r="Q1941">
        <v>0.19760069999999999</v>
      </c>
      <c r="R1941">
        <v>-1.0949769999999999E-2</v>
      </c>
      <c r="S1941">
        <v>-3.0956730000000001</v>
      </c>
      <c r="T1941">
        <v>-0.18413350000000001</v>
      </c>
      <c r="U1941">
        <v>-0.1993103</v>
      </c>
      <c r="V1941">
        <v>-2.692435E-2</v>
      </c>
      <c r="W1941">
        <v>0.2041626</v>
      </c>
      <c r="X1941">
        <v>0.97856659999999995</v>
      </c>
      <c r="Y1941">
        <v>-7.9050170000000003E-2</v>
      </c>
      <c r="Z1941">
        <v>-3.2372870000000002E-3</v>
      </c>
      <c r="AA1941">
        <v>0.99686540000000001</v>
      </c>
      <c r="AB1941">
        <v>42</v>
      </c>
      <c r="AC1941">
        <v>-18.2670999999999</v>
      </c>
      <c r="AD1941">
        <v>-1.1117279073239901</v>
      </c>
      <c r="AE1941">
        <v>-1.2090999999999701</v>
      </c>
      <c r="AF1941">
        <v>-1.4775850701576601</v>
      </c>
      <c r="AG1941">
        <v>-1.1117279073239901</v>
      </c>
      <c r="AH1941">
        <v>18.1798607312911</v>
      </c>
      <c r="AI1941">
        <v>93.487899352608693</v>
      </c>
      <c r="AJ1941">
        <v>94.646554302372095</v>
      </c>
      <c r="AK1941">
        <v>18.2736567984795</v>
      </c>
      <c r="AL1941">
        <v>78.219516426250394</v>
      </c>
      <c r="AM1941">
        <v>91.576042471772595</v>
      </c>
      <c r="AN1941">
        <v>0.99999993924861896</v>
      </c>
    </row>
    <row r="1942" spans="1:40" x14ac:dyDescent="0.25">
      <c r="A1942" t="str">
        <f>"20190312172407471"</f>
        <v>20190312172407471</v>
      </c>
      <c r="B1942" t="str">
        <f>"1552382647462075"</f>
        <v>1552382647462075</v>
      </c>
      <c r="C1942" t="s">
        <v>40</v>
      </c>
      <c r="D1942">
        <v>3.4668960000000002</v>
      </c>
      <c r="E1942">
        <v>0.4804985</v>
      </c>
      <c r="F1942" t="s">
        <v>48</v>
      </c>
      <c r="G1942">
        <v>-300.6934</v>
      </c>
      <c r="H1942" s="1">
        <v>4.0349339999999998E-6</v>
      </c>
      <c r="I1942">
        <v>282.4049</v>
      </c>
      <c r="J1942">
        <v>-282.50110000000001</v>
      </c>
      <c r="K1942">
        <v>1.1117509999999999</v>
      </c>
      <c r="L1942">
        <v>283.63760000000002</v>
      </c>
      <c r="M1942">
        <v>-0.99989380000000005</v>
      </c>
      <c r="N1942">
        <v>0</v>
      </c>
      <c r="O1942">
        <v>1.278195E-2</v>
      </c>
      <c r="P1942">
        <v>-0.98032719999999995</v>
      </c>
      <c r="Q1942">
        <v>0.19693840000000001</v>
      </c>
      <c r="R1942">
        <v>-1.318941E-2</v>
      </c>
      <c r="S1942">
        <v>-3.0955810000000001</v>
      </c>
      <c r="T1942">
        <v>-0.18500420000000001</v>
      </c>
      <c r="U1942">
        <v>-0.20437620000000001</v>
      </c>
      <c r="V1942">
        <v>-2.6993679999999999E-2</v>
      </c>
      <c r="W1942">
        <v>0.20362810000000001</v>
      </c>
      <c r="X1942">
        <v>0.97867610000000005</v>
      </c>
      <c r="Y1942">
        <v>-7.8465489999999999E-2</v>
      </c>
      <c r="Z1942">
        <v>-3.1025499999999999E-3</v>
      </c>
      <c r="AA1942">
        <v>0.99691200000000002</v>
      </c>
      <c r="AB1942">
        <v>42</v>
      </c>
      <c r="AC1942">
        <v>-18.1922999999999</v>
      </c>
      <c r="AD1942">
        <v>-1.1117469650659999</v>
      </c>
      <c r="AE1942">
        <v>-1.2327000000000199</v>
      </c>
      <c r="AF1942">
        <v>-1.4597116287544101</v>
      </c>
      <c r="AG1942">
        <v>-1.1117469650659999</v>
      </c>
      <c r="AH1942">
        <v>18.107742103003201</v>
      </c>
      <c r="AI1942">
        <v>93.502002514656297</v>
      </c>
      <c r="AJ1942">
        <v>94.608794039428304</v>
      </c>
      <c r="AK1942">
        <v>18.2004687693018</v>
      </c>
      <c r="AL1942">
        <v>78.250798716697403</v>
      </c>
      <c r="AM1942">
        <v>91.579922013572798</v>
      </c>
      <c r="AN1942">
        <v>0.99999998529038103</v>
      </c>
    </row>
    <row r="1943" spans="1:40" x14ac:dyDescent="0.25">
      <c r="A1943" t="str">
        <f>"20190312172407494"</f>
        <v>20190312172407494</v>
      </c>
      <c r="B1943" t="str">
        <f>"1552382647492330"</f>
        <v>1552382647492330</v>
      </c>
      <c r="C1943" t="s">
        <v>40</v>
      </c>
      <c r="D1943">
        <v>3.4383780000000002</v>
      </c>
      <c r="E1943">
        <v>0.48067349999999998</v>
      </c>
      <c r="F1943" t="s">
        <v>48</v>
      </c>
      <c r="G1943">
        <v>-300.79930000000002</v>
      </c>
      <c r="H1943" s="1">
        <v>4.0170900000000002E-6</v>
      </c>
      <c r="I1943">
        <v>282.39400000000001</v>
      </c>
      <c r="J1943">
        <v>-282.92290000000003</v>
      </c>
      <c r="K1943">
        <v>1.1117779999999999</v>
      </c>
      <c r="L1943">
        <v>283.64139999999998</v>
      </c>
      <c r="M1943">
        <v>-0.99991949999999996</v>
      </c>
      <c r="N1943">
        <v>0</v>
      </c>
      <c r="O1943">
        <v>1.0496999999999999E-2</v>
      </c>
      <c r="P1943">
        <v>-0.98046270000000002</v>
      </c>
      <c r="Q1943">
        <v>0.19608709999999999</v>
      </c>
      <c r="R1943">
        <v>-1.557891E-2</v>
      </c>
      <c r="S1943">
        <v>-3.0951840000000002</v>
      </c>
      <c r="T1943">
        <v>-0.18805459999999999</v>
      </c>
      <c r="U1943">
        <v>-0.21035770000000001</v>
      </c>
      <c r="V1943">
        <v>-2.7147669999999999E-2</v>
      </c>
      <c r="W1943">
        <v>0.2029012</v>
      </c>
      <c r="X1943">
        <v>0.97882279999999999</v>
      </c>
      <c r="Y1943">
        <v>-7.8113180000000004E-2</v>
      </c>
      <c r="Z1943">
        <v>-3.0045689999999999E-3</v>
      </c>
      <c r="AA1943">
        <v>0.99694000000000005</v>
      </c>
      <c r="AB1943">
        <v>43</v>
      </c>
      <c r="AC1943">
        <v>-17.876399999999901</v>
      </c>
      <c r="AD1943">
        <v>-1.11177398291</v>
      </c>
      <c r="AE1943">
        <v>-1.2473999999999701</v>
      </c>
      <c r="AF1943">
        <v>-1.4294823353409001</v>
      </c>
      <c r="AG1943">
        <v>-1.11177398291</v>
      </c>
      <c r="AH1943">
        <v>17.793829868016299</v>
      </c>
      <c r="AI1943">
        <v>93.563790756254207</v>
      </c>
      <c r="AJ1943">
        <v>94.593040807743407</v>
      </c>
      <c r="AK1943">
        <v>17.885744113903499</v>
      </c>
      <c r="AL1943">
        <v>78.293334992628701</v>
      </c>
      <c r="AM1943">
        <v>91.588692320767805</v>
      </c>
      <c r="AN1943">
        <v>0.99999998337385398</v>
      </c>
    </row>
    <row r="1944" spans="1:40" x14ac:dyDescent="0.25">
      <c r="A1944" t="str">
        <f>"20190312172407517"</f>
        <v>20190312172407517</v>
      </c>
      <c r="B1944" t="str">
        <f>"1552382647511851"</f>
        <v>1552382647511851</v>
      </c>
      <c r="C1944" t="s">
        <v>40</v>
      </c>
      <c r="D1944">
        <v>3.4449920000000001</v>
      </c>
      <c r="E1944">
        <v>0.48081049999999997</v>
      </c>
      <c r="F1944" t="s">
        <v>48</v>
      </c>
      <c r="G1944">
        <v>-300.96839999999997</v>
      </c>
      <c r="H1944" s="1">
        <v>3.9882430000000003E-6</v>
      </c>
      <c r="I1944">
        <v>282.3809</v>
      </c>
      <c r="J1944">
        <v>-283.36750000000001</v>
      </c>
      <c r="K1944">
        <v>1.1117939999999999</v>
      </c>
      <c r="L1944">
        <v>283.64440000000002</v>
      </c>
      <c r="M1944">
        <v>-0.99994110000000003</v>
      </c>
      <c r="N1944">
        <v>0</v>
      </c>
      <c r="O1944">
        <v>8.0949349999999993E-3</v>
      </c>
      <c r="P1944">
        <v>-0.98045420000000005</v>
      </c>
      <c r="Q1944">
        <v>0.1959349</v>
      </c>
      <c r="R1944">
        <v>-1.78678E-2</v>
      </c>
      <c r="S1944">
        <v>-3.0944820000000002</v>
      </c>
      <c r="T1944">
        <v>-0.1906486</v>
      </c>
      <c r="U1944">
        <v>-0.21615599999999999</v>
      </c>
      <c r="V1944">
        <v>-2.7086229999999999E-2</v>
      </c>
      <c r="W1944">
        <v>0.20287079999999999</v>
      </c>
      <c r="X1944">
        <v>0.9788308</v>
      </c>
      <c r="Y1944">
        <v>-7.7593770000000006E-2</v>
      </c>
      <c r="Z1944">
        <v>-2.8827729999999999E-3</v>
      </c>
      <c r="AA1944">
        <v>0.99698089999999995</v>
      </c>
      <c r="AB1944">
        <v>43</v>
      </c>
      <c r="AC1944">
        <v>-17.6008999999999</v>
      </c>
      <c r="AD1944">
        <v>-1.1117900117570001</v>
      </c>
      <c r="AE1944">
        <v>-1.2635000000000201</v>
      </c>
      <c r="AF1944">
        <v>-1.4003815518832701</v>
      </c>
      <c r="AG1944">
        <v>-1.1117900117570001</v>
      </c>
      <c r="AH1944">
        <v>17.520546026532099</v>
      </c>
      <c r="AI1944">
        <v>93.619401080875505</v>
      </c>
      <c r="AJ1944">
        <v>94.569820059172997</v>
      </c>
      <c r="AK1944">
        <v>17.611549579435799</v>
      </c>
      <c r="AL1944">
        <v>78.295113741092095</v>
      </c>
      <c r="AM1944">
        <v>91.585085715755199</v>
      </c>
      <c r="AN1944">
        <v>0.99999998018844605</v>
      </c>
    </row>
    <row r="1945" spans="1:40" x14ac:dyDescent="0.25">
      <c r="A1945" t="str">
        <f>"20190312172407541"</f>
        <v>20190312172407541</v>
      </c>
      <c r="B1945" t="str">
        <f>"1552382647532347"</f>
        <v>1552382647532347</v>
      </c>
      <c r="C1945" t="s">
        <v>40</v>
      </c>
      <c r="D1945">
        <v>3.5135800000000001</v>
      </c>
      <c r="E1945">
        <v>0.4809098</v>
      </c>
      <c r="F1945" t="s">
        <v>48</v>
      </c>
      <c r="G1945">
        <v>-301.36360000000002</v>
      </c>
      <c r="H1945" s="1">
        <v>3.9209300000000004E-6</v>
      </c>
      <c r="I1945">
        <v>282.34899999999999</v>
      </c>
      <c r="J1945">
        <v>-283.8116</v>
      </c>
      <c r="K1945">
        <v>1.1118030000000001</v>
      </c>
      <c r="L1945">
        <v>283.64640000000003</v>
      </c>
      <c r="M1945">
        <v>-0.99995670000000003</v>
      </c>
      <c r="N1945">
        <v>0</v>
      </c>
      <c r="O1945">
        <v>5.7106989999999996E-3</v>
      </c>
      <c r="P1945">
        <v>-0.98052280000000003</v>
      </c>
      <c r="Q1945">
        <v>0.19539889999999999</v>
      </c>
      <c r="R1945">
        <v>-1.9861090000000001E-2</v>
      </c>
      <c r="S1945">
        <v>-3.0939939999999999</v>
      </c>
      <c r="T1945">
        <v>-0.19114490000000001</v>
      </c>
      <c r="U1945">
        <v>-0.22271730000000001</v>
      </c>
      <c r="V1945">
        <v>-2.6741359999999999E-2</v>
      </c>
      <c r="W1945">
        <v>0.20244819999999999</v>
      </c>
      <c r="X1945">
        <v>0.97892780000000001</v>
      </c>
      <c r="Y1945">
        <v>-7.7335390000000004E-2</v>
      </c>
      <c r="Z1945">
        <v>-2.7355550000000002E-3</v>
      </c>
      <c r="AA1945">
        <v>0.99700140000000004</v>
      </c>
      <c r="AB1945">
        <v>43</v>
      </c>
      <c r="AC1945">
        <v>-17.552</v>
      </c>
      <c r="AD1945">
        <v>-1.1117990790700001</v>
      </c>
      <c r="AE1945">
        <v>-1.2974000000000301</v>
      </c>
      <c r="AF1945">
        <v>-1.3920606475713799</v>
      </c>
      <c r="AG1945">
        <v>-1.1117990790700001</v>
      </c>
      <c r="AH1945">
        <v>17.474571334167599</v>
      </c>
      <c r="AI1945">
        <v>93.6290039439304</v>
      </c>
      <c r="AJ1945">
        <v>94.554682309442597</v>
      </c>
      <c r="AK1945">
        <v>17.565152243907502</v>
      </c>
      <c r="AL1945">
        <v>78.319840330320304</v>
      </c>
      <c r="AM1945">
        <v>91.564759042316197</v>
      </c>
      <c r="AN1945">
        <v>1.00000000581536</v>
      </c>
    </row>
    <row r="1946" spans="1:40" x14ac:dyDescent="0.25">
      <c r="A1946" t="str">
        <f>"20190312172407564"</f>
        <v>20190312172407564</v>
      </c>
      <c r="B1946" t="str">
        <f>"1552382647551867"</f>
        <v>1552382647551867</v>
      </c>
      <c r="C1946" t="s">
        <v>40</v>
      </c>
      <c r="D1946">
        <v>3.5259100000000001</v>
      </c>
      <c r="E1946">
        <v>0.48091309999999898</v>
      </c>
      <c r="F1946" t="s">
        <v>48</v>
      </c>
      <c r="G1946">
        <v>-301.56900000000002</v>
      </c>
      <c r="H1946" s="1">
        <v>3.885626E-6</v>
      </c>
      <c r="I1946">
        <v>282.33620000000002</v>
      </c>
      <c r="J1946">
        <v>-284.24180000000001</v>
      </c>
      <c r="K1946">
        <v>1.111807</v>
      </c>
      <c r="L1946">
        <v>283.6472</v>
      </c>
      <c r="M1946">
        <v>-0.99996629999999997</v>
      </c>
      <c r="N1946">
        <v>0</v>
      </c>
      <c r="O1946">
        <v>3.4335989999999999E-3</v>
      </c>
      <c r="P1946">
        <v>-0.9806319</v>
      </c>
      <c r="Q1946">
        <v>0.1946609</v>
      </c>
      <c r="R1946">
        <v>-2.1640260000000001E-2</v>
      </c>
      <c r="S1946">
        <v>-3.0935359999999998</v>
      </c>
      <c r="T1946">
        <v>-0.19368840000000001</v>
      </c>
      <c r="U1946">
        <v>-0.228241</v>
      </c>
      <c r="V1946">
        <v>-2.628088E-2</v>
      </c>
      <c r="W1946">
        <v>0.20181360000000001</v>
      </c>
      <c r="X1946">
        <v>0.97907129999999998</v>
      </c>
      <c r="Y1946">
        <v>-7.6847570000000004E-2</v>
      </c>
      <c r="Z1946">
        <v>-2.6146250000000002E-3</v>
      </c>
      <c r="AA1946">
        <v>0.99703940000000002</v>
      </c>
      <c r="AB1946">
        <v>43</v>
      </c>
      <c r="AC1946">
        <v>-17.327200000000001</v>
      </c>
      <c r="AD1946">
        <v>-1.1118031143739999</v>
      </c>
      <c r="AE1946">
        <v>-1.31099999999997</v>
      </c>
      <c r="AF1946">
        <v>-1.36490103692705</v>
      </c>
      <c r="AG1946">
        <v>-1.1118031143739999</v>
      </c>
      <c r="AH1946">
        <v>17.251971252829399</v>
      </c>
      <c r="AI1946">
        <v>93.675872310404102</v>
      </c>
      <c r="AJ1946">
        <v>94.523570821132694</v>
      </c>
      <c r="AK1946">
        <v>17.3415562483356</v>
      </c>
      <c r="AL1946">
        <v>78.356966647996799</v>
      </c>
      <c r="AM1946">
        <v>91.537602020246894</v>
      </c>
      <c r="AN1946">
        <v>1.0000000121411099</v>
      </c>
    </row>
    <row r="1947" spans="1:40" x14ac:dyDescent="0.25">
      <c r="A1947" t="str">
        <f>"20190312172407584"</f>
        <v>20190312172407584</v>
      </c>
      <c r="B1947" t="str">
        <f>"1552382647572362"</f>
        <v>1552382647572362</v>
      </c>
      <c r="C1947" t="s">
        <v>40</v>
      </c>
      <c r="D1947">
        <v>3.5012500000000002</v>
      </c>
      <c r="E1947">
        <v>0.48093069999999999</v>
      </c>
      <c r="F1947" t="s">
        <v>48</v>
      </c>
      <c r="G1947">
        <v>-301.63420000000002</v>
      </c>
      <c r="H1947" s="1">
        <v>3.8741099999999997E-6</v>
      </c>
      <c r="I1947">
        <v>282.3356</v>
      </c>
      <c r="J1947">
        <v>-284.63749999999999</v>
      </c>
      <c r="K1947">
        <v>1.1117919999999999</v>
      </c>
      <c r="L1947">
        <v>283.6472</v>
      </c>
      <c r="M1947">
        <v>-0.99997060000000004</v>
      </c>
      <c r="N1947">
        <v>0</v>
      </c>
      <c r="O1947">
        <v>1.377178E-3</v>
      </c>
      <c r="P1947">
        <v>-0.98060259999999999</v>
      </c>
      <c r="Q1947">
        <v>0.19459779999999999</v>
      </c>
      <c r="R1947">
        <v>-2.3460140000000001E-2</v>
      </c>
      <c r="S1947">
        <v>-3.093353</v>
      </c>
      <c r="T1947">
        <v>-0.1977419</v>
      </c>
      <c r="U1947">
        <v>-0.23327639999999999</v>
      </c>
      <c r="V1947">
        <v>-2.60758E-2</v>
      </c>
      <c r="W1947">
        <v>0.20183780000000001</v>
      </c>
      <c r="X1947">
        <v>0.97907180000000005</v>
      </c>
      <c r="Y1947">
        <v>-7.6413960000000003E-2</v>
      </c>
      <c r="Z1947">
        <v>-2.5242590000000001E-3</v>
      </c>
      <c r="AA1947">
        <v>0.99707299999999999</v>
      </c>
      <c r="AB1947">
        <v>43</v>
      </c>
      <c r="AC1947">
        <v>-16.996700000000001</v>
      </c>
      <c r="AD1947">
        <v>-1.11178812589</v>
      </c>
      <c r="AE1947">
        <v>-1.3115999999999901</v>
      </c>
      <c r="AF1947">
        <v>-1.32935263347874</v>
      </c>
      <c r="AG1947">
        <v>-1.11178812589</v>
      </c>
      <c r="AH1947">
        <v>16.922897651310802</v>
      </c>
      <c r="AI1947">
        <v>93.747263843721001</v>
      </c>
      <c r="AJ1947">
        <v>94.491559852558495</v>
      </c>
      <c r="AK1947">
        <v>17.0113995949113</v>
      </c>
      <c r="AL1947">
        <v>78.355551017085503</v>
      </c>
      <c r="AM1947">
        <v>91.525608423422099</v>
      </c>
      <c r="AN1947">
        <v>1.00000001720486</v>
      </c>
    </row>
    <row r="1948" spans="1:40" x14ac:dyDescent="0.25">
      <c r="A1948" t="str">
        <f>"20190312172407607"</f>
        <v>20190312172407607</v>
      </c>
      <c r="B1948" t="str">
        <f>"1552382647601643"</f>
        <v>1552382647601643</v>
      </c>
      <c r="C1948" t="s">
        <v>40</v>
      </c>
      <c r="D1948">
        <v>3.4662269999999902</v>
      </c>
      <c r="E1948">
        <v>0.48109370000000001</v>
      </c>
      <c r="F1948" t="s">
        <v>48</v>
      </c>
      <c r="G1948">
        <v>-301.93270000000001</v>
      </c>
      <c r="H1948" s="1">
        <v>3.8231470000000001E-6</v>
      </c>
      <c r="I1948">
        <v>282.31279999999998</v>
      </c>
      <c r="J1948">
        <v>-285.07279999999997</v>
      </c>
      <c r="K1948">
        <v>1.111774</v>
      </c>
      <c r="L1948">
        <v>283.64609999999999</v>
      </c>
      <c r="M1948">
        <v>-0.99997060000000004</v>
      </c>
      <c r="N1948">
        <v>0</v>
      </c>
      <c r="O1948">
        <v>-8.4170539999999904E-4</v>
      </c>
      <c r="P1948">
        <v>-0.98060360000000002</v>
      </c>
      <c r="Q1948">
        <v>0.19438430000000001</v>
      </c>
      <c r="R1948">
        <v>-2.5133369999999999E-2</v>
      </c>
      <c r="S1948">
        <v>-3.09314</v>
      </c>
      <c r="T1948">
        <v>-0.19883609999999999</v>
      </c>
      <c r="U1948">
        <v>-0.23864750000000001</v>
      </c>
      <c r="V1948">
        <v>-2.5559169999999999E-2</v>
      </c>
      <c r="W1948">
        <v>0.2017169</v>
      </c>
      <c r="X1948">
        <v>0.97911029999999999</v>
      </c>
      <c r="Y1948">
        <v>-7.5931849999999995E-2</v>
      </c>
      <c r="Z1948">
        <v>-2.3804659999999999E-3</v>
      </c>
      <c r="AA1948">
        <v>0.99711019999999995</v>
      </c>
      <c r="AB1948">
        <v>43</v>
      </c>
      <c r="AC1948">
        <v>-16.8599</v>
      </c>
      <c r="AD1948">
        <v>-1.1117701768529999</v>
      </c>
      <c r="AE1948">
        <v>-1.3332999999999999</v>
      </c>
      <c r="AF1948">
        <v>-1.3134323364162299</v>
      </c>
      <c r="AG1948">
        <v>-1.1117701768529999</v>
      </c>
      <c r="AH1948">
        <v>16.788468615515601</v>
      </c>
      <c r="AI1948">
        <v>93.777215401643005</v>
      </c>
      <c r="AJ1948">
        <v>94.473377497349205</v>
      </c>
      <c r="AK1948">
        <v>16.876427817599101</v>
      </c>
      <c r="AL1948">
        <v>78.362623100688296</v>
      </c>
      <c r="AM1948">
        <v>91.495337207468197</v>
      </c>
      <c r="AN1948">
        <v>0.99999997924139405</v>
      </c>
    </row>
    <row r="1949" spans="1:40" x14ac:dyDescent="0.25">
      <c r="A1949" t="str">
        <f>"20190312172407618"</f>
        <v>20190312172407618</v>
      </c>
      <c r="B1949" t="str">
        <f>"1552382647612380"</f>
        <v>1552382647612380</v>
      </c>
      <c r="C1949" t="s">
        <v>40</v>
      </c>
      <c r="D1949">
        <v>3.550379</v>
      </c>
      <c r="E1949">
        <v>0.48113109999999998</v>
      </c>
      <c r="F1949" t="s">
        <v>48</v>
      </c>
      <c r="G1949">
        <v>-302.3091</v>
      </c>
      <c r="H1949" s="1">
        <v>3.7579320000000001E-6</v>
      </c>
      <c r="I1949">
        <v>282.29520000000002</v>
      </c>
      <c r="J1949">
        <v>-285.30520000000001</v>
      </c>
      <c r="K1949">
        <v>1.111761</v>
      </c>
      <c r="L1949">
        <v>283.64530000000002</v>
      </c>
      <c r="M1949">
        <v>-0.99996839999999998</v>
      </c>
      <c r="N1949">
        <v>0</v>
      </c>
      <c r="O1949">
        <v>-2.0062840000000001E-3</v>
      </c>
      <c r="P1949">
        <v>-0.98052640000000002</v>
      </c>
      <c r="Q1949">
        <v>0.19466910000000001</v>
      </c>
      <c r="R1949">
        <v>-2.5922219999999999E-2</v>
      </c>
      <c r="S1949">
        <v>-3.0926819999999999</v>
      </c>
      <c r="T1949">
        <v>-0.19948289999999999</v>
      </c>
      <c r="U1949">
        <v>-0.24240110000000001</v>
      </c>
      <c r="V1949">
        <v>-2.519977E-2</v>
      </c>
      <c r="W1949">
        <v>0.20204939999999999</v>
      </c>
      <c r="X1949">
        <v>0.97905109999999995</v>
      </c>
      <c r="Y1949">
        <v>-7.5986129999999999E-2</v>
      </c>
      <c r="Z1949">
        <v>-2.315255E-3</v>
      </c>
      <c r="AA1949">
        <v>0.99710620000000005</v>
      </c>
      <c r="AB1949">
        <v>43</v>
      </c>
      <c r="AC1949">
        <v>-17.003899999999899</v>
      </c>
      <c r="AD1949">
        <v>-1.111757242068</v>
      </c>
      <c r="AE1949">
        <v>-1.3500999999999901</v>
      </c>
      <c r="AF1949">
        <v>-1.3104148627068699</v>
      </c>
      <c r="AG1949">
        <v>-1.111757242068</v>
      </c>
      <c r="AH1949">
        <v>16.9346347168125</v>
      </c>
      <c r="AI1949">
        <v>93.744909715492994</v>
      </c>
      <c r="AJ1949">
        <v>94.424773353472503</v>
      </c>
      <c r="AK1949">
        <v>17.021605220118499</v>
      </c>
      <c r="AL1949">
        <v>78.343172253032407</v>
      </c>
      <c r="AM1949">
        <v>91.474408993370403</v>
      </c>
      <c r="AN1949">
        <v>1.00000002242981</v>
      </c>
    </row>
    <row r="1950" spans="1:40" x14ac:dyDescent="0.25">
      <c r="A1950" t="str">
        <f>"20190312172407630"</f>
        <v>20190312172407630</v>
      </c>
      <c r="B1950" t="str">
        <f>"1552382647622139"</f>
        <v>1552382647622139</v>
      </c>
      <c r="C1950" t="s">
        <v>40</v>
      </c>
      <c r="D1950">
        <v>3.5432950000000001</v>
      </c>
      <c r="E1950">
        <v>0.48115760000000002</v>
      </c>
      <c r="F1950" t="s">
        <v>48</v>
      </c>
      <c r="G1950">
        <v>-302.59249999999997</v>
      </c>
      <c r="H1950" s="1">
        <v>3.7093530000000002E-6</v>
      </c>
      <c r="I1950">
        <v>282.2758</v>
      </c>
      <c r="J1950">
        <v>-285.53440000000001</v>
      </c>
      <c r="K1950">
        <v>1.111745</v>
      </c>
      <c r="L1950">
        <v>283.64420000000001</v>
      </c>
      <c r="M1950">
        <v>-0.99996529999999995</v>
      </c>
      <c r="N1950">
        <v>0</v>
      </c>
      <c r="O1950">
        <v>-3.1276250000000002E-3</v>
      </c>
      <c r="P1950">
        <v>-0.98047010000000001</v>
      </c>
      <c r="Q1950">
        <v>0.19481979999999999</v>
      </c>
      <c r="R1950">
        <v>-2.690886E-2</v>
      </c>
      <c r="S1950">
        <v>-3.0925600000000002</v>
      </c>
      <c r="T1950">
        <v>-0.19888520000000001</v>
      </c>
      <c r="U1950">
        <v>-0.24499509999999999</v>
      </c>
      <c r="V1950">
        <v>-2.507736E-2</v>
      </c>
      <c r="W1950">
        <v>0.20224549999999999</v>
      </c>
      <c r="X1950">
        <v>0.97901369999999999</v>
      </c>
      <c r="Y1950">
        <v>-7.5706060000000006E-2</v>
      </c>
      <c r="Z1950">
        <v>-2.2274389999999999E-3</v>
      </c>
      <c r="AA1950">
        <v>0.99712769999999995</v>
      </c>
      <c r="AB1950">
        <v>43</v>
      </c>
      <c r="AC1950">
        <v>-17.0580999999999</v>
      </c>
      <c r="AD1950">
        <v>-1.1117412906469999</v>
      </c>
      <c r="AE1950">
        <v>-1.3684000000000001</v>
      </c>
      <c r="AF1950">
        <v>-1.3095136196461401</v>
      </c>
      <c r="AG1950">
        <v>-1.1117412906469999</v>
      </c>
      <c r="AH1950">
        <v>16.990588346030599</v>
      </c>
      <c r="AI1950">
        <v>93.732646418915493</v>
      </c>
      <c r="AJ1950">
        <v>94.407237996415006</v>
      </c>
      <c r="AK1950">
        <v>17.077203721969202</v>
      </c>
      <c r="AL1950">
        <v>78.331699087006996</v>
      </c>
      <c r="AM1950">
        <v>91.467306093190203</v>
      </c>
      <c r="AN1950">
        <v>0.999999970521254</v>
      </c>
    </row>
    <row r="1951" spans="1:40" x14ac:dyDescent="0.25">
      <c r="A1951" t="str">
        <f>"20190312172407642"</f>
        <v>20190312172407642</v>
      </c>
      <c r="B1951" t="str">
        <f>"1552382647631900"</f>
        <v>1552382647631900</v>
      </c>
      <c r="C1951" t="s">
        <v>40</v>
      </c>
      <c r="D1951">
        <v>3.5636139999999998</v>
      </c>
      <c r="E1951">
        <v>0.48119600000000001</v>
      </c>
      <c r="F1951" t="s">
        <v>48</v>
      </c>
      <c r="G1951">
        <v>-302.83960000000002</v>
      </c>
      <c r="H1951" s="1">
        <v>3.6671500000000001E-6</v>
      </c>
      <c r="I1951">
        <v>282.25709999999998</v>
      </c>
      <c r="J1951">
        <v>-285.7715</v>
      </c>
      <c r="K1951">
        <v>1.111726</v>
      </c>
      <c r="L1951">
        <v>283.64280000000002</v>
      </c>
      <c r="M1951">
        <v>-0.99996070000000004</v>
      </c>
      <c r="N1951">
        <v>0</v>
      </c>
      <c r="O1951">
        <v>-4.2719180000000004E-3</v>
      </c>
      <c r="P1951">
        <v>-0.98040159999999998</v>
      </c>
      <c r="Q1951">
        <v>0.19509940000000001</v>
      </c>
      <c r="R1951">
        <v>-2.7372839999999999E-2</v>
      </c>
      <c r="S1951">
        <v>-3.092438</v>
      </c>
      <c r="T1951">
        <v>-0.19866839999999999</v>
      </c>
      <c r="U1951">
        <v>-0.2478638</v>
      </c>
      <c r="V1951">
        <v>-2.440902E-2</v>
      </c>
      <c r="W1951">
        <v>0.2025757</v>
      </c>
      <c r="X1951">
        <v>0.97896240000000001</v>
      </c>
      <c r="Y1951">
        <v>-7.5490390000000004E-2</v>
      </c>
      <c r="Z1951">
        <v>-2.1447950000000001E-3</v>
      </c>
      <c r="AA1951">
        <v>0.99714420000000004</v>
      </c>
      <c r="AB1951">
        <v>43</v>
      </c>
      <c r="AC1951">
        <v>-17.068100000000001</v>
      </c>
      <c r="AD1951">
        <v>-1.1117223328500001</v>
      </c>
      <c r="AE1951">
        <v>-1.3857000000000399</v>
      </c>
      <c r="AF1951">
        <v>-1.3072618831553</v>
      </c>
      <c r="AG1951">
        <v>-1.1117223328500001</v>
      </c>
      <c r="AH1951">
        <v>17.002204424342899</v>
      </c>
      <c r="AI1951">
        <v>93.730092697879201</v>
      </c>
      <c r="AJ1951">
        <v>94.396695316159096</v>
      </c>
      <c r="AK1951">
        <v>17.0885872869484</v>
      </c>
      <c r="AL1951">
        <v>78.312381044941304</v>
      </c>
      <c r="AM1951">
        <v>91.428291956282905</v>
      </c>
      <c r="AN1951">
        <v>1.0000000475508</v>
      </c>
    </row>
    <row r="1952" spans="1:40" x14ac:dyDescent="0.25">
      <c r="A1952" t="str">
        <f>"20190312172407654"</f>
        <v>20190312172407654</v>
      </c>
      <c r="B1952" t="str">
        <f>"1552382647641659"</f>
        <v>1552382647641659</v>
      </c>
      <c r="C1952" t="s">
        <v>40</v>
      </c>
      <c r="D1952">
        <v>3.5613809999999999</v>
      </c>
      <c r="E1952">
        <v>0.48122549999999997</v>
      </c>
      <c r="F1952" t="s">
        <v>48</v>
      </c>
      <c r="G1952">
        <v>-303.13569999999999</v>
      </c>
      <c r="H1952" s="1">
        <v>3.6159590000000001E-6</v>
      </c>
      <c r="I1952">
        <v>282.24189999999999</v>
      </c>
      <c r="J1952">
        <v>-285.99290000000002</v>
      </c>
      <c r="K1952">
        <v>1.111696</v>
      </c>
      <c r="L1952">
        <v>283.64120000000003</v>
      </c>
      <c r="M1952">
        <v>-0.9999555</v>
      </c>
      <c r="N1952">
        <v>0</v>
      </c>
      <c r="O1952">
        <v>-5.2958750000000002E-3</v>
      </c>
      <c r="P1952">
        <v>-0.9804349</v>
      </c>
      <c r="Q1952">
        <v>0.194801</v>
      </c>
      <c r="R1952">
        <v>-2.8288069999999998E-2</v>
      </c>
      <c r="S1952">
        <v>-3.0924070000000001</v>
      </c>
      <c r="T1952">
        <v>-0.19798779999999999</v>
      </c>
      <c r="U1952">
        <v>-0.24948119999999999</v>
      </c>
      <c r="V1952">
        <v>-2.430156E-2</v>
      </c>
      <c r="W1952">
        <v>0.20232169999999999</v>
      </c>
      <c r="X1952">
        <v>0.97901760000000004</v>
      </c>
      <c r="Y1952">
        <v>-7.4992359999999994E-2</v>
      </c>
      <c r="Z1952">
        <v>-2.0561569999999999E-3</v>
      </c>
      <c r="AA1952">
        <v>0.99718200000000001</v>
      </c>
      <c r="AB1952">
        <v>43</v>
      </c>
      <c r="AC1952">
        <v>-17.142799999999902</v>
      </c>
      <c r="AD1952">
        <v>-1.111692384041</v>
      </c>
      <c r="AE1952">
        <v>-1.39930000000003</v>
      </c>
      <c r="AF1952">
        <v>-1.30304793458574</v>
      </c>
      <c r="AG1952">
        <v>-1.111692384041</v>
      </c>
      <c r="AH1952">
        <v>17.0786235181519</v>
      </c>
      <c r="AI1952">
        <v>93.7135158544517</v>
      </c>
      <c r="AJ1952">
        <v>94.363043749893606</v>
      </c>
      <c r="AK1952">
        <v>17.164299436660201</v>
      </c>
      <c r="AL1952">
        <v>78.327241910418493</v>
      </c>
      <c r="AM1952">
        <v>91.4219263859015</v>
      </c>
      <c r="AN1952">
        <v>1.0000000486095399</v>
      </c>
    </row>
    <row r="1953" spans="1:40" x14ac:dyDescent="0.25">
      <c r="A1953" t="str">
        <f>"20190312172407666"</f>
        <v>20190312172407666</v>
      </c>
      <c r="B1953" t="str">
        <f>"1552382647662155"</f>
        <v>1552382647662155</v>
      </c>
      <c r="C1953" t="s">
        <v>40</v>
      </c>
      <c r="D1953">
        <v>3.6141200000000002</v>
      </c>
      <c r="E1953">
        <v>0.48127300000000001</v>
      </c>
      <c r="F1953" t="s">
        <v>48</v>
      </c>
      <c r="G1953">
        <v>-303.21300000000002</v>
      </c>
      <c r="H1953" s="1">
        <v>3.6027869999999999E-6</v>
      </c>
      <c r="I1953">
        <v>282.23570000000001</v>
      </c>
      <c r="J1953">
        <v>-286.22089999999997</v>
      </c>
      <c r="K1953">
        <v>1.111659</v>
      </c>
      <c r="L1953">
        <v>283.63940000000002</v>
      </c>
      <c r="M1953">
        <v>-0.99994919999999998</v>
      </c>
      <c r="N1953">
        <v>0</v>
      </c>
      <c r="O1953">
        <v>-6.325949E-3</v>
      </c>
      <c r="P1953">
        <v>-0.9804794</v>
      </c>
      <c r="Q1953">
        <v>0.1944736</v>
      </c>
      <c r="R1953">
        <v>-2.8988409999999999E-2</v>
      </c>
      <c r="S1953">
        <v>-3.0922550000000002</v>
      </c>
      <c r="T1953">
        <v>-0.19962969999999999</v>
      </c>
      <c r="U1953">
        <v>-0.2523804</v>
      </c>
      <c r="V1953">
        <v>-2.3971059999999999E-2</v>
      </c>
      <c r="W1953">
        <v>0.2020401</v>
      </c>
      <c r="X1953">
        <v>0.97908379999999995</v>
      </c>
      <c r="Y1953">
        <v>-7.4897870000000005E-2</v>
      </c>
      <c r="Z1953">
        <v>-2.003842E-3</v>
      </c>
      <c r="AA1953">
        <v>0.9971892</v>
      </c>
      <c r="AB1953">
        <v>43</v>
      </c>
      <c r="AC1953">
        <v>-16.992099999999901</v>
      </c>
      <c r="AD1953">
        <v>-1.1116553972130001</v>
      </c>
      <c r="AE1953">
        <v>-1.4037000000000099</v>
      </c>
      <c r="AF1953">
        <v>-1.2906906989342199</v>
      </c>
      <c r="AG1953">
        <v>-1.1116553972130001</v>
      </c>
      <c r="AH1953">
        <v>16.928675944891001</v>
      </c>
      <c r="AI1953">
        <v>93.7462065113818</v>
      </c>
      <c r="AJ1953">
        <v>94.359959140022596</v>
      </c>
      <c r="AK1953">
        <v>17.014162613822599</v>
      </c>
      <c r="AL1953">
        <v>78.343715475220407</v>
      </c>
      <c r="AM1953">
        <v>91.402501238714507</v>
      </c>
      <c r="AN1953">
        <v>0.99999995057398505</v>
      </c>
    </row>
    <row r="1954" spans="1:40" x14ac:dyDescent="0.25">
      <c r="A1954" t="str">
        <f>"20190312172407685"</f>
        <v>20190312172407685</v>
      </c>
      <c r="B1954" t="str">
        <f>"1552382647681675"</f>
        <v>1552382647681675</v>
      </c>
      <c r="C1954" t="s">
        <v>40</v>
      </c>
      <c r="D1954">
        <v>3.5748470000000001</v>
      </c>
      <c r="E1954">
        <v>0.48138649999999999</v>
      </c>
      <c r="F1954" t="s">
        <v>48</v>
      </c>
      <c r="G1954">
        <v>-303.2509</v>
      </c>
      <c r="H1954" s="1">
        <v>3.5958789999999998E-6</v>
      </c>
      <c r="I1954">
        <v>282.23790000000002</v>
      </c>
      <c r="J1954">
        <v>-286.5881</v>
      </c>
      <c r="K1954">
        <v>1.111586</v>
      </c>
      <c r="L1954">
        <v>283.6361</v>
      </c>
      <c r="M1954">
        <v>-0.99993730000000003</v>
      </c>
      <c r="N1954">
        <v>0</v>
      </c>
      <c r="O1954">
        <v>-7.9102530000000008E-3</v>
      </c>
      <c r="P1954">
        <v>-0.98050919999999997</v>
      </c>
      <c r="Q1954">
        <v>0.19415299999999999</v>
      </c>
      <c r="R1954">
        <v>-3.0110339999999999E-2</v>
      </c>
      <c r="S1954">
        <v>-3.092285</v>
      </c>
      <c r="T1954">
        <v>-0.20185330000000001</v>
      </c>
      <c r="U1954">
        <v>-0.25448609999999999</v>
      </c>
      <c r="V1954">
        <v>-2.350029E-2</v>
      </c>
      <c r="W1954">
        <v>0.2017902</v>
      </c>
      <c r="X1954">
        <v>0.97914679999999998</v>
      </c>
      <c r="Y1954">
        <v>-7.3993719999999999E-2</v>
      </c>
      <c r="Z1954">
        <v>-1.8934900000000001E-3</v>
      </c>
      <c r="AA1954">
        <v>0.9972569</v>
      </c>
      <c r="AB1954">
        <v>43</v>
      </c>
      <c r="AC1954">
        <v>-16.662800000000001</v>
      </c>
      <c r="AD1954">
        <v>-1.1115824041210001</v>
      </c>
      <c r="AE1954">
        <v>-1.3981999999999699</v>
      </c>
      <c r="AF1954">
        <v>-1.26077358254102</v>
      </c>
      <c r="AG1954">
        <v>-1.1115824041210001</v>
      </c>
      <c r="AH1954">
        <v>16.599981064547801</v>
      </c>
      <c r="AI1954">
        <v>93.820001528760002</v>
      </c>
      <c r="AJ1954">
        <v>94.343293236665602</v>
      </c>
      <c r="AK1954">
        <v>16.684859508276698</v>
      </c>
      <c r="AL1954">
        <v>78.358335414779404</v>
      </c>
      <c r="AM1954">
        <v>91.374879624826903</v>
      </c>
      <c r="AN1954">
        <v>1.0000000021981801</v>
      </c>
    </row>
    <row r="1955" spans="1:40" x14ac:dyDescent="0.25">
      <c r="A1955" t="str">
        <f>"20190312172407708"</f>
        <v>20190312172407708</v>
      </c>
      <c r="B1955" t="str">
        <f>"1552382647702171"</f>
        <v>1552382647702171</v>
      </c>
      <c r="C1955" t="s">
        <v>40</v>
      </c>
      <c r="D1955">
        <v>3.524934</v>
      </c>
      <c r="E1955">
        <v>0.48144609999999899</v>
      </c>
      <c r="F1955" t="s">
        <v>48</v>
      </c>
      <c r="G1955">
        <v>-303.4599</v>
      </c>
      <c r="H1955" s="1">
        <v>3.5590900000000001E-6</v>
      </c>
      <c r="I1955">
        <v>282.2346</v>
      </c>
      <c r="J1955">
        <v>-287.02510000000001</v>
      </c>
      <c r="K1955">
        <v>1.1114850000000001</v>
      </c>
      <c r="L1955">
        <v>283.63139999999999</v>
      </c>
      <c r="M1955">
        <v>-0.99992130000000001</v>
      </c>
      <c r="N1955">
        <v>0</v>
      </c>
      <c r="O1955">
        <v>-9.6579649999999993E-3</v>
      </c>
      <c r="P1955">
        <v>-0.98052329999999999</v>
      </c>
      <c r="Q1955">
        <v>0.1938793</v>
      </c>
      <c r="R1955">
        <v>-3.138407E-2</v>
      </c>
      <c r="S1955">
        <v>-3.0921020000000001</v>
      </c>
      <c r="T1955">
        <v>-0.2037205</v>
      </c>
      <c r="U1955">
        <v>-0.2568665</v>
      </c>
      <c r="V1955">
        <v>-2.3005390000000001E-2</v>
      </c>
      <c r="W1955">
        <v>0.20159550000000001</v>
      </c>
      <c r="X1955">
        <v>0.97919860000000003</v>
      </c>
      <c r="Y1955">
        <v>-7.3021260000000004E-2</v>
      </c>
      <c r="Z1955">
        <v>-1.764271E-3</v>
      </c>
      <c r="AA1955">
        <v>0.99732880000000002</v>
      </c>
      <c r="AB1955">
        <v>43</v>
      </c>
      <c r="AC1955">
        <v>-16.4347999999999</v>
      </c>
      <c r="AD1955">
        <v>-1.11148144091</v>
      </c>
      <c r="AE1955">
        <v>-1.3967999999999801</v>
      </c>
      <c r="AF1955">
        <v>-1.2324067013387701</v>
      </c>
      <c r="AG1955">
        <v>-1.11148144091</v>
      </c>
      <c r="AH1955">
        <v>16.373173832779301</v>
      </c>
      <c r="AI1955">
        <v>93.872604474569002</v>
      </c>
      <c r="AJ1955">
        <v>94.304529064819604</v>
      </c>
      <c r="AK1955">
        <v>16.4570665256418</v>
      </c>
      <c r="AL1955">
        <v>78.369724308141897</v>
      </c>
      <c r="AM1955">
        <v>91.345865192978195</v>
      </c>
      <c r="AN1955">
        <v>0.99999994591562902</v>
      </c>
    </row>
    <row r="1956" spans="1:40" x14ac:dyDescent="0.25">
      <c r="A1956" t="str">
        <f>"20190312172407719"</f>
        <v>20190312172407719</v>
      </c>
      <c r="B1956" t="str">
        <f>"1552382647711931"</f>
        <v>1552382647711931</v>
      </c>
      <c r="C1956" t="s">
        <v>40</v>
      </c>
      <c r="D1956">
        <v>3.577887</v>
      </c>
      <c r="E1956">
        <v>0.48144609999999899</v>
      </c>
      <c r="F1956" t="s">
        <v>48</v>
      </c>
      <c r="G1956">
        <v>-303.74329999999998</v>
      </c>
      <c r="H1956" s="1">
        <v>3.5097250000000001E-6</v>
      </c>
      <c r="I1956">
        <v>282.2242</v>
      </c>
      <c r="J1956">
        <v>-287.26139999999998</v>
      </c>
      <c r="K1956">
        <v>1.111423</v>
      </c>
      <c r="L1956">
        <v>283.62869999999998</v>
      </c>
      <c r="M1956">
        <v>-0.99991209999999997</v>
      </c>
      <c r="N1956">
        <v>0</v>
      </c>
      <c r="O1956">
        <v>-1.055349E-2</v>
      </c>
      <c r="P1956">
        <v>-0.98054680000000005</v>
      </c>
      <c r="Q1956">
        <v>0.1936097</v>
      </c>
      <c r="R1956">
        <v>-3.2303430000000001E-2</v>
      </c>
      <c r="S1956">
        <v>-3.091888</v>
      </c>
      <c r="T1956">
        <v>-0.20555880000000001</v>
      </c>
      <c r="U1956">
        <v>-0.26025389999999998</v>
      </c>
      <c r="V1956">
        <v>-2.3013499999999999E-2</v>
      </c>
      <c r="W1956">
        <v>0.20136519999999999</v>
      </c>
      <c r="X1956">
        <v>0.97924580000000006</v>
      </c>
      <c r="Y1956">
        <v>-7.3217870000000004E-2</v>
      </c>
      <c r="Z1956">
        <v>-1.727361E-3</v>
      </c>
      <c r="AA1956">
        <v>0.99731449999999999</v>
      </c>
      <c r="AB1956">
        <v>43</v>
      </c>
      <c r="AC1956">
        <v>-16.4818999999999</v>
      </c>
      <c r="AD1956">
        <v>-1.1114194902750001</v>
      </c>
      <c r="AE1956">
        <v>-1.4044999999999801</v>
      </c>
      <c r="AF1956">
        <v>-1.22494472945361</v>
      </c>
      <c r="AG1956">
        <v>-1.1114194902750001</v>
      </c>
      <c r="AH1956">
        <v>16.421671072770501</v>
      </c>
      <c r="AI1956">
        <v>93.861181900415801</v>
      </c>
      <c r="AJ1956">
        <v>94.265974157266996</v>
      </c>
      <c r="AK1956">
        <v>16.5047576079095</v>
      </c>
      <c r="AL1956">
        <v>78.383195851184993</v>
      </c>
      <c r="AM1956">
        <v>91.346274600799205</v>
      </c>
      <c r="AN1956">
        <v>0.99999995088546301</v>
      </c>
    </row>
    <row r="1957" spans="1:40" x14ac:dyDescent="0.25">
      <c r="A1957" t="str">
        <f>"20190312172407732"</f>
        <v>20190312172407732</v>
      </c>
      <c r="B1957" t="str">
        <f>"1552382647721691"</f>
        <v>1552382647721691</v>
      </c>
      <c r="C1957" t="s">
        <v>40</v>
      </c>
      <c r="D1957">
        <v>3.2645840000000002</v>
      </c>
      <c r="E1957">
        <v>0.48139340000000003</v>
      </c>
      <c r="F1957" t="s">
        <v>48</v>
      </c>
      <c r="G1957">
        <v>-303.90640000000002</v>
      </c>
      <c r="H1957" s="1">
        <v>3.4817809999999898E-6</v>
      </c>
      <c r="I1957">
        <v>282.21300000000002</v>
      </c>
      <c r="J1957">
        <v>-287.5</v>
      </c>
      <c r="K1957">
        <v>1.1113550000000001</v>
      </c>
      <c r="L1957">
        <v>283.62560000000002</v>
      </c>
      <c r="M1957">
        <v>-0.99990259999999997</v>
      </c>
      <c r="N1957">
        <v>0</v>
      </c>
      <c r="O1957">
        <v>-1.1388209999999999E-2</v>
      </c>
      <c r="P1957">
        <v>-0.98061659999999995</v>
      </c>
      <c r="Q1957">
        <v>0.19314210000000001</v>
      </c>
      <c r="R1957">
        <v>-3.2973309999999999E-2</v>
      </c>
      <c r="S1957">
        <v>-3.0916139999999999</v>
      </c>
      <c r="T1957">
        <v>-0.2064339</v>
      </c>
      <c r="U1957">
        <v>-0.26293949999999999</v>
      </c>
      <c r="V1957">
        <v>-2.2826920000000001E-2</v>
      </c>
      <c r="W1957">
        <v>0.200936</v>
      </c>
      <c r="X1957">
        <v>0.97933840000000005</v>
      </c>
      <c r="Y1957">
        <v>-7.3253479999999996E-2</v>
      </c>
      <c r="Z1957">
        <v>-1.6804140000000001E-3</v>
      </c>
      <c r="AA1957">
        <v>0.99731190000000003</v>
      </c>
      <c r="AB1957">
        <v>43</v>
      </c>
      <c r="AC1957">
        <v>-16.406400000000001</v>
      </c>
      <c r="AD1957">
        <v>-1.1113515182189999</v>
      </c>
      <c r="AE1957">
        <v>-1.41260000000005</v>
      </c>
      <c r="AF1957">
        <v>-1.2201054522205399</v>
      </c>
      <c r="AG1957">
        <v>-1.1113515182189999</v>
      </c>
      <c r="AH1957">
        <v>16.3469664770241</v>
      </c>
      <c r="AI1957">
        <v>93.878524153391396</v>
      </c>
      <c r="AJ1957">
        <v>94.268529697488603</v>
      </c>
      <c r="AK1957">
        <v>16.430066114064601</v>
      </c>
      <c r="AL1957">
        <v>78.408301176553195</v>
      </c>
      <c r="AM1957">
        <v>91.335237544117305</v>
      </c>
      <c r="AN1957">
        <v>1.0000000230436199</v>
      </c>
    </row>
    <row r="1958" spans="1:40" x14ac:dyDescent="0.25">
      <c r="A1958" t="str">
        <f>"20190312172407852"</f>
        <v>20190312172407852</v>
      </c>
      <c r="B1958" t="str">
        <f>"1552382647841739"</f>
        <v>1552382647841739</v>
      </c>
      <c r="C1958" t="s">
        <v>40</v>
      </c>
      <c r="D1958">
        <v>3.686633</v>
      </c>
      <c r="E1958">
        <v>0.49059390000000003</v>
      </c>
      <c r="F1958" t="s">
        <v>41</v>
      </c>
      <c r="G1958">
        <v>-290.31869999999998</v>
      </c>
      <c r="H1958">
        <v>0.95727320000000005</v>
      </c>
      <c r="I1958">
        <v>283.52719999999999</v>
      </c>
      <c r="J1958">
        <v>-289.8526</v>
      </c>
      <c r="K1958">
        <v>1.110379</v>
      </c>
      <c r="L1958">
        <v>283.58969999999999</v>
      </c>
      <c r="M1958">
        <v>-0.99983100000000003</v>
      </c>
      <c r="N1958">
        <v>0</v>
      </c>
      <c r="O1958">
        <v>-1.63898E-2</v>
      </c>
      <c r="P1958">
        <v>-0.9804737</v>
      </c>
      <c r="Q1958">
        <v>0.1934158</v>
      </c>
      <c r="R1958">
        <v>-3.55216E-2</v>
      </c>
      <c r="S1958">
        <v>-3.1587519999999998</v>
      </c>
      <c r="T1958">
        <v>-0.54862549999999999</v>
      </c>
      <c r="U1958">
        <v>-0.249115</v>
      </c>
      <c r="V1958">
        <v>-1.9980879999999999E-2</v>
      </c>
      <c r="W1958">
        <v>0.20152590000000001</v>
      </c>
      <c r="X1958">
        <v>0.97927940000000002</v>
      </c>
      <c r="Y1958">
        <v>-6.1598229999999997E-2</v>
      </c>
      <c r="Z1958">
        <v>-2.4807589999999999E-3</v>
      </c>
      <c r="AA1958">
        <v>0.99809800000000004</v>
      </c>
      <c r="AB1958">
        <v>44</v>
      </c>
      <c r="AC1958">
        <v>-0.46609999999998297</v>
      </c>
      <c r="AD1958">
        <v>-0.15310579999999899</v>
      </c>
      <c r="AE1958">
        <v>-6.25E-2</v>
      </c>
      <c r="AF1958">
        <v>-4.9595206775419502E-2</v>
      </c>
      <c r="AG1958">
        <v>-0.15310579999999899</v>
      </c>
      <c r="AH1958">
        <v>0.42230006595411401</v>
      </c>
      <c r="AI1958">
        <v>109.802807738719</v>
      </c>
      <c r="AJ1958">
        <v>96.698173303528804</v>
      </c>
      <c r="AK1958">
        <v>0.45192744576268601</v>
      </c>
      <c r="AL1958">
        <v>78.373796688504996</v>
      </c>
      <c r="AM1958">
        <v>91.168881187796998</v>
      </c>
      <c r="AN1958">
        <v>1.00000003360037</v>
      </c>
    </row>
    <row r="1959" spans="1:40" x14ac:dyDescent="0.25">
      <c r="A1959" t="str">
        <f>"20190312172407865"</f>
        <v>20190312172407865</v>
      </c>
      <c r="B1959" t="str">
        <f>"1552382647862236"</f>
        <v>1552382647862236</v>
      </c>
      <c r="C1959" t="s">
        <v>40</v>
      </c>
      <c r="D1959">
        <v>3.5946220000000002</v>
      </c>
      <c r="E1959">
        <v>0.50238629999999995</v>
      </c>
      <c r="F1959" t="s">
        <v>41</v>
      </c>
      <c r="G1959">
        <v>-290.72070000000002</v>
      </c>
      <c r="H1959">
        <v>0.97843809999999998</v>
      </c>
      <c r="I1959">
        <v>283.53390000000002</v>
      </c>
      <c r="J1959">
        <v>-290.09019999999998</v>
      </c>
      <c r="K1959">
        <v>1.1102609999999999</v>
      </c>
      <c r="L1959">
        <v>283.58569999999997</v>
      </c>
      <c r="M1959">
        <v>-0.99982819999999994</v>
      </c>
      <c r="N1959">
        <v>0</v>
      </c>
      <c r="O1959">
        <v>-1.654914E-2</v>
      </c>
      <c r="P1959">
        <v>-0.9804969</v>
      </c>
      <c r="Q1959">
        <v>0.1933503</v>
      </c>
      <c r="R1959">
        <v>-3.5236789999999997E-2</v>
      </c>
      <c r="S1959">
        <v>-3.1467900000000002</v>
      </c>
      <c r="T1959">
        <v>-0.47828480000000001</v>
      </c>
      <c r="U1959">
        <v>-0.20245360000000001</v>
      </c>
      <c r="V1959">
        <v>-1.9480460000000002E-2</v>
      </c>
      <c r="W1959">
        <v>0.20148759999999999</v>
      </c>
      <c r="X1959">
        <v>0.97929730000000004</v>
      </c>
      <c r="Y1959">
        <v>-4.7327510000000003E-2</v>
      </c>
      <c r="Z1959">
        <v>-1.074424E-3</v>
      </c>
      <c r="AA1959">
        <v>0.99887879999999996</v>
      </c>
      <c r="AB1959">
        <v>44</v>
      </c>
      <c r="AC1959">
        <v>-0.63050000000004003</v>
      </c>
      <c r="AD1959">
        <v>-0.13182289999999999</v>
      </c>
      <c r="AE1959">
        <v>-5.1799999999957401E-2</v>
      </c>
      <c r="AF1959">
        <v>-3.9637258786313002E-2</v>
      </c>
      <c r="AG1959">
        <v>-0.13182289999999999</v>
      </c>
      <c r="AH1959">
        <v>0.60500173820620096</v>
      </c>
      <c r="AI1959">
        <v>102.26647165186</v>
      </c>
      <c r="AJ1959">
        <v>93.748429915235207</v>
      </c>
      <c r="AK1959">
        <v>0.620463933263673</v>
      </c>
      <c r="AL1959">
        <v>78.376036341968202</v>
      </c>
      <c r="AM1959">
        <v>91.139593619705806</v>
      </c>
      <c r="AN1959">
        <v>0.99999997153143005</v>
      </c>
    </row>
    <row r="1960" spans="1:40" x14ac:dyDescent="0.25">
      <c r="A1960" t="str">
        <f>"20190312172407878"</f>
        <v>20190312172407878</v>
      </c>
      <c r="B1960" t="str">
        <f>"1552382647871996"</f>
        <v>1552382647871996</v>
      </c>
      <c r="C1960" t="s">
        <v>40</v>
      </c>
      <c r="D1960">
        <v>3.6329929999999999</v>
      </c>
      <c r="E1960">
        <v>0.50292420000000004</v>
      </c>
      <c r="F1960" t="s">
        <v>47</v>
      </c>
      <c r="G1960">
        <v>-328.61669999999998</v>
      </c>
      <c r="H1960" s="1">
        <v>3.1483380000000002E-6</v>
      </c>
      <c r="I1960">
        <v>282.33479999999997</v>
      </c>
      <c r="J1960">
        <v>-290.35930000000002</v>
      </c>
      <c r="K1960">
        <v>1.1101240000000001</v>
      </c>
      <c r="L1960">
        <v>283.58120000000002</v>
      </c>
      <c r="M1960">
        <v>-0.99982660000000001</v>
      </c>
      <c r="N1960">
        <v>0</v>
      </c>
      <c r="O1960">
        <v>-1.6641639999999999E-2</v>
      </c>
      <c r="P1960">
        <v>-0.98051860000000002</v>
      </c>
      <c r="Q1960">
        <v>0.19327530000000001</v>
      </c>
      <c r="R1960">
        <v>-3.5048509999999998E-2</v>
      </c>
      <c r="S1960">
        <v>-3.0735779999999999</v>
      </c>
      <c r="T1960">
        <v>-8.857429E-2</v>
      </c>
      <c r="U1960">
        <v>-9.9792480000000003E-2</v>
      </c>
      <c r="V1960">
        <v>-1.9133219999999999E-2</v>
      </c>
      <c r="W1960">
        <v>0.20144129999999999</v>
      </c>
      <c r="X1960">
        <v>0.97931369999999895</v>
      </c>
      <c r="Y1960">
        <v>-1.5813150000000002E-2</v>
      </c>
      <c r="Z1960">
        <v>2.5157620000000001E-4</v>
      </c>
      <c r="AA1960">
        <v>0.99987490000000001</v>
      </c>
      <c r="AB1960">
        <v>44</v>
      </c>
      <c r="AC1960">
        <v>-38.257399999999897</v>
      </c>
      <c r="AD1960">
        <v>-1.11012085166199</v>
      </c>
      <c r="AE1960">
        <v>-1.2464000000000499</v>
      </c>
      <c r="AF1960">
        <v>-0.60902702312540302</v>
      </c>
      <c r="AG1960">
        <v>-1.11012085166199</v>
      </c>
      <c r="AH1960">
        <v>38.240680215639301</v>
      </c>
      <c r="AI1960">
        <v>91.662609625870004</v>
      </c>
      <c r="AJ1960">
        <v>90.912424361429998</v>
      </c>
      <c r="AK1960">
        <v>38.261637518211103</v>
      </c>
      <c r="AL1960">
        <v>78.3787450068059</v>
      </c>
      <c r="AM1960">
        <v>91.119266791864803</v>
      </c>
      <c r="AN1960">
        <v>1.0000000002304701</v>
      </c>
    </row>
    <row r="1961" spans="1:40" x14ac:dyDescent="0.25">
      <c r="A1961" t="str">
        <f>"20190312172407890"</f>
        <v>20190312172407890</v>
      </c>
      <c r="B1961" t="str">
        <f>"1552382647881755"</f>
        <v>1552382647881755</v>
      </c>
      <c r="C1961" t="s">
        <v>40</v>
      </c>
      <c r="D1961">
        <v>3.659713</v>
      </c>
      <c r="E1961">
        <v>0.5031909</v>
      </c>
      <c r="F1961" t="s">
        <v>47</v>
      </c>
      <c r="G1961">
        <v>-324.64370000000002</v>
      </c>
      <c r="H1961" s="1">
        <v>1.025923E-6</v>
      </c>
      <c r="I1961">
        <v>282.52159999999998</v>
      </c>
      <c r="J1961">
        <v>-290.59809999999999</v>
      </c>
      <c r="K1961">
        <v>1.1100000000000001</v>
      </c>
      <c r="L1961">
        <v>283.57729999999998</v>
      </c>
      <c r="M1961">
        <v>-0.9998264</v>
      </c>
      <c r="N1961">
        <v>0</v>
      </c>
      <c r="O1961">
        <v>-1.6640530000000001E-2</v>
      </c>
      <c r="P1961">
        <v>-0.98045159999999998</v>
      </c>
      <c r="Q1961">
        <v>0.1936601</v>
      </c>
      <c r="R1961">
        <v>-3.4794140000000001E-2</v>
      </c>
      <c r="S1961">
        <v>-3.0758359999999998</v>
      </c>
      <c r="T1961">
        <v>-9.9595069999999994E-2</v>
      </c>
      <c r="U1961">
        <v>-9.5062259999999996E-2</v>
      </c>
      <c r="V1961">
        <v>-1.8820130000000001E-2</v>
      </c>
      <c r="W1961">
        <v>0.20185</v>
      </c>
      <c r="X1961">
        <v>0.97923559999999998</v>
      </c>
      <c r="Y1961">
        <v>-1.4255200000000001E-2</v>
      </c>
      <c r="Z1961">
        <v>3.078388E-4</v>
      </c>
      <c r="AA1961">
        <v>0.99989830000000002</v>
      </c>
      <c r="AB1961">
        <v>44</v>
      </c>
      <c r="AC1961">
        <v>-34.0456</v>
      </c>
      <c r="AD1961">
        <v>-1.109998974077</v>
      </c>
      <c r="AE1961">
        <v>-1.0557000000000001</v>
      </c>
      <c r="AF1961">
        <v>-0.488478340097659</v>
      </c>
      <c r="AG1961">
        <v>-1.109998974077</v>
      </c>
      <c r="AH1961">
        <v>34.022323481205703</v>
      </c>
      <c r="AI1961">
        <v>91.868454355095693</v>
      </c>
      <c r="AJ1961">
        <v>90.822572402828598</v>
      </c>
      <c r="AK1961">
        <v>34.043930499738103</v>
      </c>
      <c r="AL1961">
        <v>78.354836998397303</v>
      </c>
      <c r="AM1961">
        <v>91.101043793614593</v>
      </c>
      <c r="AN1961">
        <v>0.99999999005028795</v>
      </c>
    </row>
    <row r="1962" spans="1:40" x14ac:dyDescent="0.25">
      <c r="A1962" t="str">
        <f>"20190312172407910"</f>
        <v>20190312172407910</v>
      </c>
      <c r="B1962" t="str">
        <f>"1552382647902251"</f>
        <v>1552382647902251</v>
      </c>
      <c r="C1962" t="s">
        <v>40</v>
      </c>
      <c r="D1962">
        <v>3.627834</v>
      </c>
      <c r="E1962">
        <v>0.50374160000000001</v>
      </c>
      <c r="F1962" t="s">
        <v>47</v>
      </c>
      <c r="G1962">
        <v>-329.7439</v>
      </c>
      <c r="H1962" s="1">
        <v>3.7451400000000002E-6</v>
      </c>
      <c r="I1962">
        <v>282.40350000000001</v>
      </c>
      <c r="J1962">
        <v>-290.97489999999999</v>
      </c>
      <c r="K1962">
        <v>1.109801</v>
      </c>
      <c r="L1962">
        <v>283.5711</v>
      </c>
      <c r="M1962">
        <v>-0.99982819999999994</v>
      </c>
      <c r="N1962">
        <v>0</v>
      </c>
      <c r="O1962">
        <v>-1.6526220000000001E-2</v>
      </c>
      <c r="P1962">
        <v>-0.98037410000000003</v>
      </c>
      <c r="Q1962">
        <v>0.1942276</v>
      </c>
      <c r="R1962">
        <v>-3.3800549999999999E-2</v>
      </c>
      <c r="S1962">
        <v>-3.0737610000000002</v>
      </c>
      <c r="T1962">
        <v>-8.7157960000000007E-2</v>
      </c>
      <c r="U1962">
        <v>-9.2163090000000003E-2</v>
      </c>
      <c r="V1962">
        <v>-1.784382E-2</v>
      </c>
      <c r="W1962">
        <v>0.20245469999999999</v>
      </c>
      <c r="X1962">
        <v>0.97912900000000003</v>
      </c>
      <c r="Y1962">
        <v>-1.3448119999999999E-2</v>
      </c>
      <c r="Z1962">
        <v>2.7779829999999999E-4</v>
      </c>
      <c r="AA1962">
        <v>0.99990950000000001</v>
      </c>
      <c r="AB1962">
        <v>44</v>
      </c>
      <c r="AC1962">
        <v>-38.768999999999998</v>
      </c>
      <c r="AD1962">
        <v>-1.1097972548599999</v>
      </c>
      <c r="AE1962">
        <v>-1.16759999999999</v>
      </c>
      <c r="AF1962">
        <v>-0.52628207142286898</v>
      </c>
      <c r="AG1962">
        <v>-1.1097972548599999</v>
      </c>
      <c r="AH1962">
        <v>38.751276105454302</v>
      </c>
      <c r="AI1962">
        <v>91.640293452198904</v>
      </c>
      <c r="AJ1962">
        <v>90.778087610694797</v>
      </c>
      <c r="AK1962">
        <v>38.770736678153902</v>
      </c>
      <c r="AL1962">
        <v>78.319459407686907</v>
      </c>
      <c r="AM1962">
        <v>91.044052841798006</v>
      </c>
      <c r="AN1962">
        <v>0.99999995305264</v>
      </c>
    </row>
    <row r="1963" spans="1:40" x14ac:dyDescent="0.25">
      <c r="A1963" t="str">
        <f>"20190312172407932"</f>
        <v>20190312172407932</v>
      </c>
      <c r="B1963" t="str">
        <f>"1552382647921771"</f>
        <v>1552382647921771</v>
      </c>
      <c r="C1963" t="s">
        <v>40</v>
      </c>
      <c r="D1963">
        <v>3.6290969999999998</v>
      </c>
      <c r="E1963">
        <v>0.50412319999999999</v>
      </c>
      <c r="F1963" t="s">
        <v>47</v>
      </c>
      <c r="G1963">
        <v>-326.94319999999999</v>
      </c>
      <c r="H1963" s="1">
        <v>2.2472799999999999E-6</v>
      </c>
      <c r="I1963">
        <v>282.57440000000003</v>
      </c>
      <c r="J1963">
        <v>-291.41449999999998</v>
      </c>
      <c r="K1963">
        <v>1.109567</v>
      </c>
      <c r="L1963">
        <v>283.5641</v>
      </c>
      <c r="M1963">
        <v>-0.99983299999999997</v>
      </c>
      <c r="N1963">
        <v>0</v>
      </c>
      <c r="O1963">
        <v>-1.6204730000000001E-2</v>
      </c>
      <c r="P1963">
        <v>-0.98036369999999895</v>
      </c>
      <c r="Q1963">
        <v>0.19455169999999999</v>
      </c>
      <c r="R1963">
        <v>-3.2199239999999997E-2</v>
      </c>
      <c r="S1963">
        <v>-3.075958</v>
      </c>
      <c r="T1963">
        <v>-9.4908359999999997E-2</v>
      </c>
      <c r="U1963">
        <v>-8.5235599999999995E-2</v>
      </c>
      <c r="V1963">
        <v>-1.644468E-2</v>
      </c>
      <c r="W1963">
        <v>0.20281940000000001</v>
      </c>
      <c r="X1963">
        <v>0.97907809999999995</v>
      </c>
      <c r="Y1963">
        <v>-1.149913E-2</v>
      </c>
      <c r="Z1963">
        <v>3.2242780000000002E-4</v>
      </c>
      <c r="AA1963">
        <v>0.99993379999999998</v>
      </c>
      <c r="AB1963">
        <v>44</v>
      </c>
      <c r="AC1963">
        <v>-35.528700000000001</v>
      </c>
      <c r="AD1963">
        <v>-1.1095647527200001</v>
      </c>
      <c r="AE1963">
        <v>-0.98969999999997005</v>
      </c>
      <c r="AF1963">
        <v>-0.41341360099482599</v>
      </c>
      <c r="AG1963">
        <v>-1.1095647527200001</v>
      </c>
      <c r="AH1963">
        <v>35.505470647124497</v>
      </c>
      <c r="AI1963">
        <v>91.789819664270993</v>
      </c>
      <c r="AJ1963">
        <v>90.667102385599193</v>
      </c>
      <c r="AK1963">
        <v>35.525209226967</v>
      </c>
      <c r="AL1963">
        <v>78.298121873656299</v>
      </c>
      <c r="AM1963">
        <v>90.962254362085503</v>
      </c>
      <c r="AN1963">
        <v>1.0000000312081301</v>
      </c>
    </row>
    <row r="1964" spans="1:40" x14ac:dyDescent="0.25">
      <c r="A1964" t="str">
        <f>"20190312172407955"</f>
        <v>20190312172407955</v>
      </c>
      <c r="B1964" t="str">
        <f>"1552382647952028"</f>
        <v>1552382647952028</v>
      </c>
      <c r="C1964" t="s">
        <v>40</v>
      </c>
      <c r="D1964">
        <v>3.6190600000000002</v>
      </c>
      <c r="E1964">
        <v>0.50370779999999904</v>
      </c>
      <c r="F1964" t="s">
        <v>47</v>
      </c>
      <c r="G1964">
        <v>-326.4203</v>
      </c>
      <c r="H1964" s="1">
        <v>1.9648670000000002E-6</v>
      </c>
      <c r="I1964">
        <v>282.66969999999998</v>
      </c>
      <c r="J1964">
        <v>-291.86500000000001</v>
      </c>
      <c r="K1964">
        <v>1.109343</v>
      </c>
      <c r="L1964">
        <v>283.55709999999999</v>
      </c>
      <c r="M1964">
        <v>-0.99984090000000003</v>
      </c>
      <c r="N1964">
        <v>0</v>
      </c>
      <c r="O1964">
        <v>-1.5701670000000001E-2</v>
      </c>
      <c r="P1964">
        <v>-0.98044739999999997</v>
      </c>
      <c r="Q1964">
        <v>0.194355</v>
      </c>
      <c r="R1964">
        <v>-3.0808619999999998E-2</v>
      </c>
      <c r="S1964">
        <v>-3.0768740000000001</v>
      </c>
      <c r="T1964">
        <v>-9.7526310000000005E-2</v>
      </c>
      <c r="U1964">
        <v>-7.8613279999999994E-2</v>
      </c>
      <c r="V1964">
        <v>-1.5436770000000001E-2</v>
      </c>
      <c r="W1964">
        <v>0.20266110000000001</v>
      </c>
      <c r="X1964">
        <v>0.97912719999999998</v>
      </c>
      <c r="Y1964">
        <v>-9.8440760000000002E-3</v>
      </c>
      <c r="Z1964">
        <v>3.4151329999999999E-4</v>
      </c>
      <c r="AA1964">
        <v>0.99995149999999999</v>
      </c>
      <c r="AB1964">
        <v>44</v>
      </c>
      <c r="AC1964">
        <v>-34.555299999999903</v>
      </c>
      <c r="AD1964">
        <v>-1.109341035133</v>
      </c>
      <c r="AE1964">
        <v>-0.88740000000001296</v>
      </c>
      <c r="AF1964">
        <v>-0.34434059092553099</v>
      </c>
      <c r="AG1964">
        <v>-1.109341035133</v>
      </c>
      <c r="AH1964">
        <v>34.529410487277602</v>
      </c>
      <c r="AI1964">
        <v>91.840041475370498</v>
      </c>
      <c r="AJ1964">
        <v>90.571356658589906</v>
      </c>
      <c r="AK1964">
        <v>34.548942047097597</v>
      </c>
      <c r="AL1964">
        <v>78.307383121533505</v>
      </c>
      <c r="AM1964">
        <v>90.903241683064493</v>
      </c>
      <c r="AN1964">
        <v>0.99999994455053898</v>
      </c>
    </row>
    <row r="1965" spans="1:40" x14ac:dyDescent="0.25">
      <c r="A1965" t="str">
        <f>"20190312172407977"</f>
        <v>20190312172407977</v>
      </c>
      <c r="B1965" t="str">
        <f>"1552382647971547"</f>
        <v>1552382647971547</v>
      </c>
      <c r="C1965" t="s">
        <v>40</v>
      </c>
      <c r="D1965">
        <v>3.6229300000000002</v>
      </c>
      <c r="E1965">
        <v>0.50352819999999998</v>
      </c>
      <c r="F1965" t="s">
        <v>47</v>
      </c>
      <c r="G1965">
        <v>-323.97899999999998</v>
      </c>
      <c r="H1965" s="1">
        <v>6.6273359999999898E-7</v>
      </c>
      <c r="I1965">
        <v>282.73860000000002</v>
      </c>
      <c r="J1965">
        <v>-292.29849999999999</v>
      </c>
      <c r="K1965">
        <v>1.1091530000000001</v>
      </c>
      <c r="L1965">
        <v>283.55070000000001</v>
      </c>
      <c r="M1965">
        <v>-0.99985000000000002</v>
      </c>
      <c r="N1965">
        <v>0</v>
      </c>
      <c r="O1965">
        <v>-1.5084470000000001E-2</v>
      </c>
      <c r="P1965">
        <v>-0.98059600000000002</v>
      </c>
      <c r="Q1965">
        <v>0.1937296</v>
      </c>
      <c r="R1965">
        <v>-3.0009060000000001E-2</v>
      </c>
      <c r="S1965">
        <v>-3.07843</v>
      </c>
      <c r="T1965">
        <v>-0.1063409</v>
      </c>
      <c r="U1965">
        <v>-7.846069E-2</v>
      </c>
      <c r="V1965">
        <v>-1.514545E-2</v>
      </c>
      <c r="W1965">
        <v>0.20207040000000001</v>
      </c>
      <c r="X1965">
        <v>0.97925390000000001</v>
      </c>
      <c r="Y1965">
        <v>-1.039875E-2</v>
      </c>
      <c r="Z1965">
        <v>3.4129119999999998E-4</v>
      </c>
      <c r="AA1965">
        <v>0.99994590000000005</v>
      </c>
      <c r="AB1965">
        <v>44</v>
      </c>
      <c r="AC1965">
        <v>-31.680499999999999</v>
      </c>
      <c r="AD1965">
        <v>-1.1091523372663901</v>
      </c>
      <c r="AE1965">
        <v>-0.81209999999998606</v>
      </c>
      <c r="AF1965">
        <v>-0.333697975761506</v>
      </c>
      <c r="AG1965">
        <v>-1.1091523372663901</v>
      </c>
      <c r="AH1965">
        <v>31.650376110701799</v>
      </c>
      <c r="AI1965">
        <v>92.006934281356095</v>
      </c>
      <c r="AJ1965">
        <v>90.604061613091005</v>
      </c>
      <c r="AK1965">
        <v>31.671562657929801</v>
      </c>
      <c r="AL1965">
        <v>78.341943623803999</v>
      </c>
      <c r="AM1965">
        <v>90.886083968140895</v>
      </c>
      <c r="AN1965">
        <v>1.0000000159385301</v>
      </c>
    </row>
    <row r="1966" spans="1:40" x14ac:dyDescent="0.25">
      <c r="A1966" t="str">
        <f>"20190312172407998"</f>
        <v>20190312172407998</v>
      </c>
      <c r="B1966" t="str">
        <f>"1552382647992045"</f>
        <v>1552382647992045</v>
      </c>
      <c r="C1966" t="s">
        <v>40</v>
      </c>
      <c r="D1966">
        <v>3.7293729999999998</v>
      </c>
      <c r="E1966">
        <v>0.5033839</v>
      </c>
      <c r="F1966" t="s">
        <v>47</v>
      </c>
      <c r="G1966">
        <v>-322.29349999999999</v>
      </c>
      <c r="H1966" s="1">
        <v>-2.3678359999999999E-7</v>
      </c>
      <c r="I1966">
        <v>282.7978</v>
      </c>
      <c r="J1966">
        <v>-292.72089999999997</v>
      </c>
      <c r="K1966">
        <v>1.108992</v>
      </c>
      <c r="L1966">
        <v>283.54480000000001</v>
      </c>
      <c r="M1966">
        <v>-0.99986019999999998</v>
      </c>
      <c r="N1966">
        <v>0</v>
      </c>
      <c r="O1966">
        <v>-1.438765E-2</v>
      </c>
      <c r="P1966">
        <v>-0.98069229999999996</v>
      </c>
      <c r="Q1966">
        <v>0.1933849</v>
      </c>
      <c r="R1966">
        <v>-2.9070209999999999E-2</v>
      </c>
      <c r="S1966">
        <v>-3.0794980000000001</v>
      </c>
      <c r="T1966">
        <v>-0.1138731</v>
      </c>
      <c r="U1966">
        <v>-7.7301030000000007E-2</v>
      </c>
      <c r="V1966">
        <v>-1.4809299999999999E-2</v>
      </c>
      <c r="W1966">
        <v>0.20175560000000001</v>
      </c>
      <c r="X1966">
        <v>0.97932390000000002</v>
      </c>
      <c r="Y1966">
        <v>-1.07102E-2</v>
      </c>
      <c r="Z1966">
        <v>3.3381889999999998E-4</v>
      </c>
      <c r="AA1966">
        <v>0.99994260000000001</v>
      </c>
      <c r="AB1966">
        <v>44</v>
      </c>
      <c r="AC1966">
        <v>-29.572600000000001</v>
      </c>
      <c r="AD1966">
        <v>-1.1089922367836</v>
      </c>
      <c r="AE1966">
        <v>-0.74700000000001399</v>
      </c>
      <c r="AF1966">
        <v>-0.32097591454577001</v>
      </c>
      <c r="AG1966">
        <v>-1.1089922367836</v>
      </c>
      <c r="AH1966">
        <v>29.538772864221301</v>
      </c>
      <c r="AI1966">
        <v>92.149953911377906</v>
      </c>
      <c r="AJ1966">
        <v>90.6225661959364</v>
      </c>
      <c r="AK1966">
        <v>29.561325945278998</v>
      </c>
      <c r="AL1966">
        <v>78.3603590907978</v>
      </c>
      <c r="AM1966">
        <v>90.866358636870501</v>
      </c>
      <c r="AN1966">
        <v>0.99999996930452895</v>
      </c>
    </row>
    <row r="1967" spans="1:40" x14ac:dyDescent="0.25">
      <c r="A1967" t="str">
        <f>"20190312172408011"</f>
        <v>20190312172408011</v>
      </c>
      <c r="B1967" t="str">
        <f>"1552382648001804"</f>
        <v>1552382648001804</v>
      </c>
      <c r="C1967" t="s">
        <v>40</v>
      </c>
      <c r="D1967">
        <v>3.6466069999999999</v>
      </c>
      <c r="E1967">
        <v>0.50339020000000001</v>
      </c>
      <c r="F1967" t="s">
        <v>47</v>
      </c>
      <c r="G1967">
        <v>-321.51799999999997</v>
      </c>
      <c r="H1967" s="1">
        <v>-6.5127280000000003E-7</v>
      </c>
      <c r="I1967">
        <v>282.83839999999998</v>
      </c>
      <c r="J1967">
        <v>-292.98169999999999</v>
      </c>
      <c r="K1967">
        <v>1.1089070000000001</v>
      </c>
      <c r="L1967">
        <v>283.54129999999998</v>
      </c>
      <c r="M1967">
        <v>-0.99986679999999994</v>
      </c>
      <c r="N1967">
        <v>0</v>
      </c>
      <c r="O1967">
        <v>-1.391972E-2</v>
      </c>
      <c r="P1967">
        <v>-0.98072199999999998</v>
      </c>
      <c r="Q1967">
        <v>0.19333339999999999</v>
      </c>
      <c r="R1967">
        <v>-2.8400999999999999E-2</v>
      </c>
      <c r="S1967">
        <v>-3.0802</v>
      </c>
      <c r="T1967">
        <v>-0.1186205</v>
      </c>
      <c r="U1967">
        <v>-7.5561519999999993E-2</v>
      </c>
      <c r="V1967">
        <v>-1.455677E-2</v>
      </c>
      <c r="W1967">
        <v>0.2017206</v>
      </c>
      <c r="X1967">
        <v>0.97933499999999996</v>
      </c>
      <c r="Y1967">
        <v>-1.0608029999999999E-2</v>
      </c>
      <c r="Z1967">
        <v>3.316072E-4</v>
      </c>
      <c r="AA1967">
        <v>0.99994369999999999</v>
      </c>
      <c r="AB1967">
        <v>44</v>
      </c>
      <c r="AC1967">
        <v>-28.536299999999901</v>
      </c>
      <c r="AD1967">
        <v>-1.10890765127279</v>
      </c>
      <c r="AE1967">
        <v>-0.70289999999999897</v>
      </c>
      <c r="AF1967">
        <v>-0.305139663874825</v>
      </c>
      <c r="AG1967">
        <v>-1.10890765127279</v>
      </c>
      <c r="AH1967">
        <v>28.500308413040901</v>
      </c>
      <c r="AI1967">
        <v>92.228048163168495</v>
      </c>
      <c r="AJ1967">
        <v>90.613416060666196</v>
      </c>
      <c r="AK1967">
        <v>28.523505500410899</v>
      </c>
      <c r="AL1967">
        <v>78.362407741181102</v>
      </c>
      <c r="AM1967">
        <v>90.8515779269391</v>
      </c>
      <c r="AN1967">
        <v>1.0000000711210899</v>
      </c>
    </row>
    <row r="1968" spans="1:40" x14ac:dyDescent="0.25">
      <c r="A1968" t="str">
        <f>"20190312172408031"</f>
        <v>20190312172408031</v>
      </c>
      <c r="B1968" t="str">
        <f>"1552382648022299"</f>
        <v>1552382648022299</v>
      </c>
      <c r="C1968" t="s">
        <v>40</v>
      </c>
      <c r="D1968">
        <v>3.6158800000000002</v>
      </c>
      <c r="E1968">
        <v>0.50331359999999903</v>
      </c>
      <c r="F1968" t="s">
        <v>47</v>
      </c>
      <c r="G1968">
        <v>-321.45049999999998</v>
      </c>
      <c r="H1968" s="1">
        <v>-6.8842410000000002E-7</v>
      </c>
      <c r="I1968">
        <v>282.86669999999998</v>
      </c>
      <c r="J1968">
        <v>-293.38510000000002</v>
      </c>
      <c r="K1968">
        <v>1.108792</v>
      </c>
      <c r="L1968">
        <v>283.53620000000001</v>
      </c>
      <c r="M1968">
        <v>-0.99987669999999995</v>
      </c>
      <c r="N1968">
        <v>0</v>
      </c>
      <c r="O1968">
        <v>-1.3161630000000001E-2</v>
      </c>
      <c r="P1968">
        <v>-0.98076649999999999</v>
      </c>
      <c r="Q1968">
        <v>0.19321099999999999</v>
      </c>
      <c r="R1968">
        <v>-2.7686659999999998E-2</v>
      </c>
      <c r="S1968">
        <v>-3.080505</v>
      </c>
      <c r="T1968">
        <v>-0.11999079999999999</v>
      </c>
      <c r="U1968">
        <v>-7.2998049999999995E-2</v>
      </c>
      <c r="V1968">
        <v>-1.4527180000000001E-2</v>
      </c>
      <c r="W1968">
        <v>0.20162350000000001</v>
      </c>
      <c r="X1968">
        <v>0.97935539999999999</v>
      </c>
      <c r="Y1968">
        <v>-1.053164E-2</v>
      </c>
      <c r="Z1968">
        <v>3.0738309999999997E-4</v>
      </c>
      <c r="AA1968">
        <v>0.99994450000000001</v>
      </c>
      <c r="AB1968">
        <v>44</v>
      </c>
      <c r="AC1968">
        <v>-28.065399999999901</v>
      </c>
      <c r="AD1968">
        <v>-1.1087926884240999</v>
      </c>
      <c r="AE1968">
        <v>-0.66950000000002696</v>
      </c>
      <c r="AF1968">
        <v>-0.29957472312351602</v>
      </c>
      <c r="AG1968">
        <v>-1.1087926884240999</v>
      </c>
      <c r="AH1968">
        <v>28.028058468491398</v>
      </c>
      <c r="AI1968">
        <v>92.265315974043801</v>
      </c>
      <c r="AJ1968">
        <v>90.612376120150103</v>
      </c>
      <c r="AK1968">
        <v>28.051581555302899</v>
      </c>
      <c r="AL1968">
        <v>78.368087468834403</v>
      </c>
      <c r="AM1968">
        <v>90.849829452346199</v>
      </c>
      <c r="AN1968">
        <v>1.0000000371100799</v>
      </c>
    </row>
    <row r="1969" spans="1:40" x14ac:dyDescent="0.25">
      <c r="A1969" t="str">
        <f>"20190312172408043"</f>
        <v>20190312172408043</v>
      </c>
      <c r="B1969" t="str">
        <f>"1552382648032060"</f>
        <v>1552382648032060</v>
      </c>
      <c r="C1969" t="s">
        <v>40</v>
      </c>
      <c r="D1969">
        <v>3.624323</v>
      </c>
      <c r="E1969">
        <v>0.50337379999999998</v>
      </c>
      <c r="F1969" t="s">
        <v>47</v>
      </c>
      <c r="G1969">
        <v>-321.3922</v>
      </c>
      <c r="H1969" s="1">
        <v>-7.2049219999999905E-7</v>
      </c>
      <c r="I1969">
        <v>282.89030000000002</v>
      </c>
      <c r="J1969">
        <v>-293.63670000000002</v>
      </c>
      <c r="K1969">
        <v>1.108727</v>
      </c>
      <c r="L1969">
        <v>283.53309999999999</v>
      </c>
      <c r="M1969">
        <v>-0.99988290000000002</v>
      </c>
      <c r="N1969">
        <v>0</v>
      </c>
      <c r="O1969">
        <v>-1.2672950000000001E-2</v>
      </c>
      <c r="P1969">
        <v>-0.9807072</v>
      </c>
      <c r="Q1969">
        <v>0.1935558</v>
      </c>
      <c r="R1969">
        <v>-2.7377789999999999E-2</v>
      </c>
      <c r="S1969">
        <v>-3.0808719999999998</v>
      </c>
      <c r="T1969">
        <v>-0.121971</v>
      </c>
      <c r="U1969">
        <v>-7.1044919999999998E-2</v>
      </c>
      <c r="V1969">
        <v>-1.466571E-2</v>
      </c>
      <c r="W1969">
        <v>0.2019822</v>
      </c>
      <c r="X1969">
        <v>0.97927940000000002</v>
      </c>
      <c r="Y1969">
        <v>-1.038378E-2</v>
      </c>
      <c r="Z1969">
        <v>2.9600809999999998E-4</v>
      </c>
      <c r="AA1969">
        <v>0.99994609999999995</v>
      </c>
      <c r="AB1969">
        <v>44</v>
      </c>
      <c r="AC1969">
        <v>-27.755499999999898</v>
      </c>
      <c r="AD1969">
        <v>-1.1087277204921999</v>
      </c>
      <c r="AE1969">
        <v>-0.64279999999996495</v>
      </c>
      <c r="AF1969">
        <v>-0.29052802301271202</v>
      </c>
      <c r="AG1969">
        <v>-1.1087277204921999</v>
      </c>
      <c r="AH1969">
        <v>27.717212707698199</v>
      </c>
      <c r="AI1969">
        <v>92.290565276737993</v>
      </c>
      <c r="AJ1969">
        <v>90.600544511260793</v>
      </c>
      <c r="AK1969">
        <v>27.740900561699998</v>
      </c>
      <c r="AL1969">
        <v>78.347103528779996</v>
      </c>
      <c r="AM1969">
        <v>90.857998723438101</v>
      </c>
      <c r="AN1969">
        <v>1.0000000177155</v>
      </c>
    </row>
    <row r="1970" spans="1:40" x14ac:dyDescent="0.25">
      <c r="A1970" t="str">
        <f>"20190312172408064"</f>
        <v>20190312172408064</v>
      </c>
      <c r="B1970" t="str">
        <f>"1552382648051580"</f>
        <v>1552382648051580</v>
      </c>
      <c r="C1970" t="s">
        <v>40</v>
      </c>
      <c r="D1970">
        <v>3.611278</v>
      </c>
      <c r="E1970">
        <v>0.50334619999999997</v>
      </c>
      <c r="F1970" t="s">
        <v>47</v>
      </c>
      <c r="G1970">
        <v>-321.63189999999997</v>
      </c>
      <c r="H1970" s="1">
        <v>-5.9362449999999996E-7</v>
      </c>
      <c r="I1970">
        <v>282.90620000000001</v>
      </c>
      <c r="J1970">
        <v>-294.04079999999999</v>
      </c>
      <c r="K1970">
        <v>1.108641</v>
      </c>
      <c r="L1970">
        <v>283.52839999999998</v>
      </c>
      <c r="M1970">
        <v>-0.99989280000000003</v>
      </c>
      <c r="N1970">
        <v>0</v>
      </c>
      <c r="O1970">
        <v>-1.186531E-2</v>
      </c>
      <c r="P1970">
        <v>-0.98059799999999997</v>
      </c>
      <c r="Q1970">
        <v>0.19418289999999999</v>
      </c>
      <c r="R1970">
        <v>-2.6848609999999998E-2</v>
      </c>
      <c r="S1970">
        <v>-3.0811769999999998</v>
      </c>
      <c r="T1970">
        <v>-0.12202739999999999</v>
      </c>
      <c r="U1970">
        <v>-6.9000240000000004E-2</v>
      </c>
      <c r="V1970">
        <v>-1.488454E-2</v>
      </c>
      <c r="W1970">
        <v>0.2026308</v>
      </c>
      <c r="X1970">
        <v>0.97914210000000002</v>
      </c>
      <c r="Y1970">
        <v>-1.052521E-2</v>
      </c>
      <c r="Z1970">
        <v>2.6135299999999998E-4</v>
      </c>
      <c r="AA1970">
        <v>0.99994459999999996</v>
      </c>
      <c r="AB1970">
        <v>44</v>
      </c>
      <c r="AC1970">
        <v>-27.591099999999901</v>
      </c>
      <c r="AD1970">
        <v>-1.1086415936245</v>
      </c>
      <c r="AE1970">
        <v>-0.622199999999963</v>
      </c>
      <c r="AF1970">
        <v>-0.29429229323414502</v>
      </c>
      <c r="AG1970">
        <v>-1.1086415936245</v>
      </c>
      <c r="AH1970">
        <v>27.5520795783581</v>
      </c>
      <c r="AI1970">
        <v>92.304095341457</v>
      </c>
      <c r="AJ1970">
        <v>90.611970689496502</v>
      </c>
      <c r="AK1970">
        <v>27.5759457358972</v>
      </c>
      <c r="AL1970">
        <v>78.309156876735898</v>
      </c>
      <c r="AM1970">
        <v>90.8709212263892</v>
      </c>
      <c r="AN1970">
        <v>1.0000000213160301</v>
      </c>
    </row>
    <row r="1971" spans="1:40" x14ac:dyDescent="0.25">
      <c r="A1971" t="str">
        <f>"20190312172408086"</f>
        <v>20190312172408086</v>
      </c>
      <c r="B1971" t="str">
        <f>"1552382648081836"</f>
        <v>1552382648081836</v>
      </c>
      <c r="C1971" t="s">
        <v>40</v>
      </c>
      <c r="D1971">
        <v>3.647599</v>
      </c>
      <c r="E1971">
        <v>0.50330600000000003</v>
      </c>
      <c r="F1971" t="s">
        <v>47</v>
      </c>
      <c r="G1971">
        <v>-322.24439999999998</v>
      </c>
      <c r="H1971" s="1">
        <v>-2.681321E-7</v>
      </c>
      <c r="I1971">
        <v>282.9162</v>
      </c>
      <c r="J1971">
        <v>-294.49020000000002</v>
      </c>
      <c r="K1971">
        <v>1.108554</v>
      </c>
      <c r="L1971">
        <v>283.52370000000002</v>
      </c>
      <c r="M1971">
        <v>-0.99990310000000004</v>
      </c>
      <c r="N1971">
        <v>0</v>
      </c>
      <c r="O1971">
        <v>-1.0950349999999999E-2</v>
      </c>
      <c r="P1971">
        <v>-0.98052139999999999</v>
      </c>
      <c r="Q1971">
        <v>0.19468050000000001</v>
      </c>
      <c r="R1971">
        <v>-2.603434E-2</v>
      </c>
      <c r="S1971">
        <v>-3.081512</v>
      </c>
      <c r="T1971">
        <v>-0.1211299</v>
      </c>
      <c r="U1971">
        <v>-6.6894529999999994E-2</v>
      </c>
      <c r="V1971">
        <v>-1.4924440000000001E-2</v>
      </c>
      <c r="W1971">
        <v>0.20315420000000001</v>
      </c>
      <c r="X1971">
        <v>0.97903300000000004</v>
      </c>
      <c r="Y1971">
        <v>-1.075391E-2</v>
      </c>
      <c r="Z1971">
        <v>2.189685E-4</v>
      </c>
      <c r="AA1971">
        <v>0.99994209999999994</v>
      </c>
      <c r="AB1971">
        <v>45</v>
      </c>
      <c r="AC1971">
        <v>-27.754199999999901</v>
      </c>
      <c r="AD1971">
        <v>-1.1085542681320999</v>
      </c>
      <c r="AE1971">
        <v>-0.60750000000001503</v>
      </c>
      <c r="AF1971">
        <v>-0.30305090080582803</v>
      </c>
      <c r="AG1971">
        <v>-1.1085542681320999</v>
      </c>
      <c r="AH1971">
        <v>27.714994410397701</v>
      </c>
      <c r="AI1971">
        <v>92.290379338813807</v>
      </c>
      <c r="AJ1971">
        <v>90.626478409720704</v>
      </c>
      <c r="AK1971">
        <v>27.738811214294099</v>
      </c>
      <c r="AL1971">
        <v>78.278530930275906</v>
      </c>
      <c r="AM1971">
        <v>90.873352783614294</v>
      </c>
      <c r="AN1971">
        <v>0.99999999148797603</v>
      </c>
    </row>
    <row r="1972" spans="1:40" x14ac:dyDescent="0.25">
      <c r="A1972" t="str">
        <f>"20190312172408099"</f>
        <v>20190312172408099</v>
      </c>
      <c r="B1972" t="str">
        <f>"1552382648091595"</f>
        <v>1552382648091595</v>
      </c>
      <c r="C1972" t="s">
        <v>40</v>
      </c>
      <c r="D1972">
        <v>3.6162559999999999</v>
      </c>
      <c r="E1972">
        <v>0.50331700000000001</v>
      </c>
      <c r="F1972" t="s">
        <v>47</v>
      </c>
      <c r="G1972">
        <v>-322.49829999999997</v>
      </c>
      <c r="H1972" s="1">
        <v>-1.3364460000000001E-7</v>
      </c>
      <c r="I1972">
        <v>282.93020000000001</v>
      </c>
      <c r="J1972">
        <v>-294.75630000000001</v>
      </c>
      <c r="K1972">
        <v>1.108508</v>
      </c>
      <c r="L1972">
        <v>283.52100000000002</v>
      </c>
      <c r="M1972">
        <v>-0.99990869999999998</v>
      </c>
      <c r="N1972">
        <v>0</v>
      </c>
      <c r="O1972">
        <v>-1.040428E-2</v>
      </c>
      <c r="P1972">
        <v>-0.98050870000000001</v>
      </c>
      <c r="Q1972">
        <v>0.19476679999999999</v>
      </c>
      <c r="R1972">
        <v>-2.5860149999999998E-2</v>
      </c>
      <c r="S1972">
        <v>-3.0820919999999998</v>
      </c>
      <c r="T1972">
        <v>-0.12198870000000001</v>
      </c>
      <c r="U1972">
        <v>-6.5307619999999997E-2</v>
      </c>
      <c r="V1972">
        <v>-1.526256E-2</v>
      </c>
      <c r="W1972">
        <v>0.20325779999999999</v>
      </c>
      <c r="X1972">
        <v>0.9790063</v>
      </c>
      <c r="Y1972">
        <v>-1.078085E-2</v>
      </c>
      <c r="Z1972">
        <v>1.983462E-4</v>
      </c>
      <c r="AA1972">
        <v>0.99994190000000005</v>
      </c>
      <c r="AB1972">
        <v>45</v>
      </c>
      <c r="AC1972">
        <v>-27.741999999999901</v>
      </c>
      <c r="AD1972">
        <v>-1.1085081336446001</v>
      </c>
      <c r="AE1972">
        <v>-0.59079999999994404</v>
      </c>
      <c r="AF1972">
        <v>-0.30164036720961201</v>
      </c>
      <c r="AG1972">
        <v>-1.1085081336446001</v>
      </c>
      <c r="AH1972">
        <v>27.702435123017999</v>
      </c>
      <c r="AI1972">
        <v>92.291322495734804</v>
      </c>
      <c r="AJ1972">
        <v>90.623845410088407</v>
      </c>
      <c r="AK1972">
        <v>27.726245489400601</v>
      </c>
      <c r="AL1972">
        <v>78.2724687902234</v>
      </c>
      <c r="AM1972">
        <v>90.893160174094405</v>
      </c>
      <c r="AN1972">
        <v>1.00000000721914</v>
      </c>
    </row>
    <row r="1973" spans="1:40" x14ac:dyDescent="0.25">
      <c r="A1973" t="str">
        <f>"20190312172408112"</f>
        <v>20190312172408112</v>
      </c>
      <c r="B1973" t="str">
        <f>"1552382648102331"</f>
        <v>1552382648102331</v>
      </c>
      <c r="C1973" t="s">
        <v>40</v>
      </c>
      <c r="D1973">
        <v>3.6416059999999999</v>
      </c>
      <c r="E1973">
        <v>0.50333729999999999</v>
      </c>
      <c r="F1973" t="s">
        <v>47</v>
      </c>
      <c r="G1973">
        <v>-322.62380000000002</v>
      </c>
      <c r="H1973" s="1">
        <v>-6.7114539999999896E-8</v>
      </c>
      <c r="I1973">
        <v>282.93689999999998</v>
      </c>
      <c r="J1973">
        <v>-294.98860000000002</v>
      </c>
      <c r="K1973">
        <v>1.108474</v>
      </c>
      <c r="L1973">
        <v>283.5188</v>
      </c>
      <c r="M1973">
        <v>-0.99991339999999995</v>
      </c>
      <c r="N1973">
        <v>0</v>
      </c>
      <c r="O1973">
        <v>-9.9250680000000004E-3</v>
      </c>
      <c r="P1973">
        <v>-0.98059850000000004</v>
      </c>
      <c r="Q1973">
        <v>0.19435640000000001</v>
      </c>
      <c r="R1973">
        <v>-2.554408E-2</v>
      </c>
      <c r="S1973">
        <v>-3.0822750000000001</v>
      </c>
      <c r="T1973">
        <v>-0.12260600000000001</v>
      </c>
      <c r="U1973">
        <v>-6.4605709999999997E-2</v>
      </c>
      <c r="V1973">
        <v>-1.539829E-2</v>
      </c>
      <c r="W1973">
        <v>0.20286470000000001</v>
      </c>
      <c r="X1973">
        <v>0.97908569999999995</v>
      </c>
      <c r="Y1973">
        <v>-1.103063E-2</v>
      </c>
      <c r="Z1973">
        <v>1.753212E-4</v>
      </c>
      <c r="AA1973">
        <v>0.99993909999999997</v>
      </c>
      <c r="AB1973">
        <v>45</v>
      </c>
      <c r="AC1973">
        <v>-27.635200000000001</v>
      </c>
      <c r="AD1973">
        <v>-1.1084740671145401</v>
      </c>
      <c r="AE1973">
        <v>-0.58190000000001796</v>
      </c>
      <c r="AF1973">
        <v>-0.307086006288808</v>
      </c>
      <c r="AG1973">
        <v>-1.1084740671145401</v>
      </c>
      <c r="AH1973">
        <v>27.5952363751402</v>
      </c>
      <c r="AI1973">
        <v>92.300137340407304</v>
      </c>
      <c r="AJ1973">
        <v>90.637574022826996</v>
      </c>
      <c r="AK1973">
        <v>27.619197801033</v>
      </c>
      <c r="AL1973">
        <v>78.295470912986701</v>
      </c>
      <c r="AM1973">
        <v>90.901028683001698</v>
      </c>
      <c r="AN1973">
        <v>1.0000000008927501</v>
      </c>
    </row>
    <row r="1974" spans="1:40" x14ac:dyDescent="0.25">
      <c r="A1974" t="str">
        <f>"20190312172408131"</f>
        <v>20190312172408131</v>
      </c>
      <c r="B1974" t="str">
        <f>"1552382648121851"</f>
        <v>1552382648121851</v>
      </c>
      <c r="C1974" t="s">
        <v>40</v>
      </c>
      <c r="D1974">
        <v>3.6294230000000001</v>
      </c>
      <c r="E1974">
        <v>0.50335770000000002</v>
      </c>
      <c r="F1974" t="s">
        <v>47</v>
      </c>
      <c r="G1974">
        <v>-322.3424</v>
      </c>
      <c r="H1974" s="1">
        <v>-2.1794899999999999E-7</v>
      </c>
      <c r="I1974">
        <v>282.96120000000002</v>
      </c>
      <c r="J1974">
        <v>-295.38529999999997</v>
      </c>
      <c r="K1974">
        <v>1.108412</v>
      </c>
      <c r="L1974">
        <v>283.5154</v>
      </c>
      <c r="M1974">
        <v>-0.9999209</v>
      </c>
      <c r="N1974">
        <v>0</v>
      </c>
      <c r="O1974">
        <v>-9.1053950000000005E-3</v>
      </c>
      <c r="P1974">
        <v>-0.9807207</v>
      </c>
      <c r="Q1974">
        <v>0.19372719999999999</v>
      </c>
      <c r="R1974">
        <v>-2.5624640000000001E-2</v>
      </c>
      <c r="S1974">
        <v>-3.0824889999999998</v>
      </c>
      <c r="T1974">
        <v>-0.1249136</v>
      </c>
      <c r="U1974">
        <v>-6.283569E-2</v>
      </c>
      <c r="V1974">
        <v>-1.625563E-2</v>
      </c>
      <c r="W1974">
        <v>0.20226749999999999</v>
      </c>
      <c r="X1974">
        <v>0.97919540000000005</v>
      </c>
      <c r="Y1974">
        <v>-1.1274019999999999E-2</v>
      </c>
      <c r="Z1974">
        <v>1.4048070000000001E-4</v>
      </c>
      <c r="AA1974">
        <v>0.99993650000000001</v>
      </c>
      <c r="AB1974">
        <v>45</v>
      </c>
      <c r="AC1974">
        <v>-26.957100000000001</v>
      </c>
      <c r="AD1974">
        <v>-1.1084122179489999</v>
      </c>
      <c r="AE1974">
        <v>-0.55419999999998004</v>
      </c>
      <c r="AF1974">
        <v>-0.30819191264631801</v>
      </c>
      <c r="AG1974">
        <v>-1.1084122179489999</v>
      </c>
      <c r="AH1974">
        <v>26.915543003782101</v>
      </c>
      <c r="AI1974">
        <v>92.358017535776398</v>
      </c>
      <c r="AJ1974">
        <v>90.656027047814604</v>
      </c>
      <c r="AK1974">
        <v>26.940119062252901</v>
      </c>
      <c r="AL1974">
        <v>78.330412436585604</v>
      </c>
      <c r="AM1974">
        <v>90.951080290842199</v>
      </c>
      <c r="AN1974">
        <v>1.00000000922205</v>
      </c>
    </row>
    <row r="1975" spans="1:40" x14ac:dyDescent="0.25">
      <c r="A1975" t="str">
        <f>"20190312172408144"</f>
        <v>20190312172408144</v>
      </c>
      <c r="B1975" t="str">
        <f>"1552382648131611"</f>
        <v>1552382648131611</v>
      </c>
      <c r="C1975" t="s">
        <v>40</v>
      </c>
      <c r="D1975">
        <v>3.6479910000000002</v>
      </c>
      <c r="E1975">
        <v>0.50333899999999998</v>
      </c>
      <c r="F1975" t="s">
        <v>47</v>
      </c>
      <c r="G1975">
        <v>-321.99180000000001</v>
      </c>
      <c r="H1975" s="1">
        <v>-4.0522480000000002E-7</v>
      </c>
      <c r="I1975">
        <v>282.9778</v>
      </c>
      <c r="J1975">
        <v>-295.62560000000002</v>
      </c>
      <c r="K1975">
        <v>1.1083780000000001</v>
      </c>
      <c r="L1975">
        <v>283.51339999999999</v>
      </c>
      <c r="M1975">
        <v>-0.99992510000000001</v>
      </c>
      <c r="N1975">
        <v>0</v>
      </c>
      <c r="O1975">
        <v>-8.6079920000000001E-3</v>
      </c>
      <c r="P1975">
        <v>-0.98076909999999895</v>
      </c>
      <c r="Q1975">
        <v>0.19351160000000001</v>
      </c>
      <c r="R1975">
        <v>-2.5397920000000001E-2</v>
      </c>
      <c r="S1975">
        <v>-3.082703</v>
      </c>
      <c r="T1975">
        <v>-0.1284236</v>
      </c>
      <c r="U1975">
        <v>-6.2286380000000002E-2</v>
      </c>
      <c r="V1975">
        <v>-1.6501439999999999E-2</v>
      </c>
      <c r="W1975">
        <v>0.2020718</v>
      </c>
      <c r="X1975">
        <v>0.97923170000000004</v>
      </c>
      <c r="Y1975">
        <v>-1.15911E-2</v>
      </c>
      <c r="Z1975">
        <v>1.171044E-4</v>
      </c>
      <c r="AA1975">
        <v>0.99993279999999995</v>
      </c>
      <c r="AB1975">
        <v>45</v>
      </c>
      <c r="AC1975">
        <v>-26.3661999999999</v>
      </c>
      <c r="AD1975">
        <v>-1.1083784052248</v>
      </c>
      <c r="AE1975">
        <v>-0.53559999999998797</v>
      </c>
      <c r="AF1975">
        <v>-0.30806733939243702</v>
      </c>
      <c r="AG1975">
        <v>-1.1083784052248</v>
      </c>
      <c r="AH1975">
        <v>26.3233347794243</v>
      </c>
      <c r="AI1975">
        <v>92.4109245206064</v>
      </c>
      <c r="AJ1975">
        <v>90.670513546737496</v>
      </c>
      <c r="AK1975">
        <v>26.348460336126202</v>
      </c>
      <c r="AL1975">
        <v>78.341861721796107</v>
      </c>
      <c r="AM1975">
        <v>90.965423595568097</v>
      </c>
      <c r="AN1975">
        <v>1.0000000160811</v>
      </c>
    </row>
    <row r="1976" spans="1:40" x14ac:dyDescent="0.25">
      <c r="A1976" t="str">
        <f>"20190312172408156"</f>
        <v>20190312172408156</v>
      </c>
      <c r="B1976" t="str">
        <f>"1552382648152108"</f>
        <v>1552382648152108</v>
      </c>
      <c r="C1976" t="s">
        <v>40</v>
      </c>
      <c r="D1976">
        <v>3.6444529999999999</v>
      </c>
      <c r="E1976">
        <v>0.50336139999999996</v>
      </c>
      <c r="F1976" t="s">
        <v>47</v>
      </c>
      <c r="G1976">
        <v>-321.93060000000003</v>
      </c>
      <c r="H1976" s="1">
        <v>-4.3835839999999998E-7</v>
      </c>
      <c r="I1976">
        <v>282.9905</v>
      </c>
      <c r="J1976">
        <v>-295.89389999999997</v>
      </c>
      <c r="K1976">
        <v>1.1083480000000001</v>
      </c>
      <c r="L1976">
        <v>283.51139999999998</v>
      </c>
      <c r="M1976">
        <v>-0.99992959999999997</v>
      </c>
      <c r="N1976">
        <v>0</v>
      </c>
      <c r="O1976">
        <v>-8.0520769999999995E-3</v>
      </c>
      <c r="P1976">
        <v>-0.98081439999999998</v>
      </c>
      <c r="Q1976">
        <v>0.19328380000000001</v>
      </c>
      <c r="R1976">
        <v>-2.5396100000000001E-2</v>
      </c>
      <c r="S1976">
        <v>-3.0828859999999998</v>
      </c>
      <c r="T1976">
        <v>-0.1298995</v>
      </c>
      <c r="U1976">
        <v>-6.1279300000000002E-2</v>
      </c>
      <c r="V1976">
        <v>-1.702934E-2</v>
      </c>
      <c r="W1976">
        <v>0.20186770000000001</v>
      </c>
      <c r="X1976">
        <v>0.97926469999999999</v>
      </c>
      <c r="Y1976">
        <v>-1.1818550000000001E-2</v>
      </c>
      <c r="Z1976" s="1">
        <v>9.024286E-5</v>
      </c>
      <c r="AA1976">
        <v>0.99993010000000004</v>
      </c>
      <c r="AB1976">
        <v>45</v>
      </c>
      <c r="AC1976">
        <v>-26.0367</v>
      </c>
      <c r="AD1976">
        <v>-1.1083484383583999</v>
      </c>
      <c r="AE1976">
        <v>-0.52089999999998304</v>
      </c>
      <c r="AF1976">
        <v>-0.31066291065052698</v>
      </c>
      <c r="AG1976">
        <v>-1.1083484383583999</v>
      </c>
      <c r="AH1976">
        <v>25.9929674932072</v>
      </c>
      <c r="AI1976">
        <v>92.441457113258906</v>
      </c>
      <c r="AJ1976">
        <v>90.684755450617999</v>
      </c>
      <c r="AK1976">
        <v>26.018441667551699</v>
      </c>
      <c r="AL1976">
        <v>78.353801189479</v>
      </c>
      <c r="AM1976">
        <v>90.996268907830995</v>
      </c>
      <c r="AN1976">
        <v>0.99999995969510702</v>
      </c>
    </row>
    <row r="1977" spans="1:40" x14ac:dyDescent="0.25">
      <c r="A1977" t="str">
        <f>"20190312172408176"</f>
        <v>20190312172408176</v>
      </c>
      <c r="B1977" t="str">
        <f>"1552382648171627"</f>
        <v>1552382648171627</v>
      </c>
      <c r="C1977" t="s">
        <v>40</v>
      </c>
      <c r="D1977">
        <v>3.6149330000000002</v>
      </c>
      <c r="E1977">
        <v>0.50334799999999902</v>
      </c>
      <c r="F1977" t="s">
        <v>47</v>
      </c>
      <c r="G1977">
        <v>-321.80399999999997</v>
      </c>
      <c r="H1977" s="1">
        <v>-5.0605309999999897E-7</v>
      </c>
      <c r="I1977">
        <v>282.99869999999999</v>
      </c>
      <c r="J1977">
        <v>-296.2903</v>
      </c>
      <c r="K1977">
        <v>1.108309</v>
      </c>
      <c r="L1977">
        <v>283.50869999999998</v>
      </c>
      <c r="M1977">
        <v>-0.99993569999999998</v>
      </c>
      <c r="N1977">
        <v>0</v>
      </c>
      <c r="O1977">
        <v>-7.2291109999999999E-3</v>
      </c>
      <c r="P1977">
        <v>-0.9809582</v>
      </c>
      <c r="Q1977">
        <v>0.19261739999999999</v>
      </c>
      <c r="R1977">
        <v>-2.4903000000000002E-2</v>
      </c>
      <c r="S1977">
        <v>-3.0830690000000001</v>
      </c>
      <c r="T1977">
        <v>-0.13188329999999901</v>
      </c>
      <c r="U1977">
        <v>-6.1004639999999999E-2</v>
      </c>
      <c r="V1977">
        <v>-1.73244E-2</v>
      </c>
      <c r="W1977">
        <v>0.201241</v>
      </c>
      <c r="X1977">
        <v>0.9793885</v>
      </c>
      <c r="Y1977">
        <v>-1.254976E-2</v>
      </c>
      <c r="Z1977" s="1">
        <v>4.0800309999999997E-5</v>
      </c>
      <c r="AA1977">
        <v>0.99992130000000001</v>
      </c>
      <c r="AB1977">
        <v>45</v>
      </c>
      <c r="AC1977">
        <v>-25.5137</v>
      </c>
      <c r="AD1977">
        <v>-1.1083095060531001</v>
      </c>
      <c r="AE1977">
        <v>-0.50999999999999002</v>
      </c>
      <c r="AF1977">
        <v>-0.324925369057325</v>
      </c>
      <c r="AG1977">
        <v>-1.1083095060531001</v>
      </c>
      <c r="AH1977">
        <v>25.468679683024</v>
      </c>
      <c r="AI1977">
        <v>92.4915410564262</v>
      </c>
      <c r="AJ1977">
        <v>90.730930797833196</v>
      </c>
      <c r="AK1977">
        <v>25.4948538190189</v>
      </c>
      <c r="AL1977">
        <v>78.390460747873107</v>
      </c>
      <c r="AM1977">
        <v>91.013399169056498</v>
      </c>
      <c r="AN1977">
        <v>0.99999995442430301</v>
      </c>
    </row>
    <row r="1978" spans="1:40" x14ac:dyDescent="0.25">
      <c r="A1978" t="str">
        <f>"20190312172408199"</f>
        <v>20190312172408199</v>
      </c>
      <c r="B1978" t="str">
        <f>"1552382648192124"</f>
        <v>1552382648192124</v>
      </c>
      <c r="C1978" t="s">
        <v>40</v>
      </c>
      <c r="D1978">
        <v>3.6149520000000002</v>
      </c>
      <c r="E1978">
        <v>0.50329999999999997</v>
      </c>
      <c r="F1978" t="s">
        <v>47</v>
      </c>
      <c r="G1978">
        <v>-321.60849999999999</v>
      </c>
      <c r="H1978" s="1">
        <v>-6.1136639999999997E-7</v>
      </c>
      <c r="I1978">
        <v>283.02710000000002</v>
      </c>
      <c r="J1978">
        <v>-296.7509</v>
      </c>
      <c r="K1978">
        <v>1.1082719999999999</v>
      </c>
      <c r="L1978">
        <v>283.50599999999997</v>
      </c>
      <c r="M1978">
        <v>-0.99994170000000004</v>
      </c>
      <c r="N1978">
        <v>0</v>
      </c>
      <c r="O1978">
        <v>-6.2699409999999898E-3</v>
      </c>
      <c r="P1978">
        <v>-0.98108709999999999</v>
      </c>
      <c r="Q1978">
        <v>0.19202430000000001</v>
      </c>
      <c r="R1978">
        <v>-2.4395920000000001E-2</v>
      </c>
      <c r="S1978">
        <v>-3.0832820000000001</v>
      </c>
      <c r="T1978">
        <v>-0.13497139999999999</v>
      </c>
      <c r="U1978">
        <v>-5.8654789999999998E-2</v>
      </c>
      <c r="V1978">
        <v>-1.7740180000000001E-2</v>
      </c>
      <c r="W1978">
        <v>0.20069819999999999</v>
      </c>
      <c r="X1978">
        <v>0.97949249999999999</v>
      </c>
      <c r="Y1978">
        <v>-1.2744429999999999E-2</v>
      </c>
      <c r="Z1978" s="1">
        <v>-4.4692420000000002E-6</v>
      </c>
      <c r="AA1978">
        <v>0.9999188</v>
      </c>
      <c r="AB1978">
        <v>45</v>
      </c>
      <c r="AC1978">
        <v>-24.857599999999898</v>
      </c>
      <c r="AD1978">
        <v>-1.1082726113664001</v>
      </c>
      <c r="AE1978">
        <v>-0.47889999999995297</v>
      </c>
      <c r="AF1978">
        <v>-0.32238826876072102</v>
      </c>
      <c r="AG1978">
        <v>-1.1082726113664001</v>
      </c>
      <c r="AH1978">
        <v>24.810813268282601</v>
      </c>
      <c r="AI1978">
        <v>92.557425667715904</v>
      </c>
      <c r="AJ1978">
        <v>90.7444515216864</v>
      </c>
      <c r="AK1978">
        <v>24.837645971599802</v>
      </c>
      <c r="AL1978">
        <v>78.422209399896005</v>
      </c>
      <c r="AM1978">
        <v>91.037605007643904</v>
      </c>
      <c r="AN1978">
        <v>1.0000000195129599</v>
      </c>
    </row>
    <row r="1979" spans="1:40" x14ac:dyDescent="0.25">
      <c r="A1979" t="str">
        <f>"20190312172408211"</f>
        <v>20190312172408211</v>
      </c>
      <c r="B1979" t="str">
        <f>"1552382648201883"</f>
        <v>1552382648201883</v>
      </c>
      <c r="C1979" t="s">
        <v>40</v>
      </c>
      <c r="D1979">
        <v>3.6307369999999999</v>
      </c>
      <c r="E1979">
        <v>0.50329539999999995</v>
      </c>
      <c r="F1979" t="s">
        <v>47</v>
      </c>
      <c r="G1979">
        <v>-321.6003</v>
      </c>
      <c r="H1979" s="1">
        <v>-6.1656590000000002E-7</v>
      </c>
      <c r="I1979">
        <v>283.04660000000001</v>
      </c>
      <c r="J1979">
        <v>-296.99439999999998</v>
      </c>
      <c r="K1979">
        <v>1.1082609999999999</v>
      </c>
      <c r="L1979">
        <v>283.50479999999999</v>
      </c>
      <c r="M1979">
        <v>-0.99994439999999996</v>
      </c>
      <c r="N1979">
        <v>0</v>
      </c>
      <c r="O1979">
        <v>-5.7608869999999897E-3</v>
      </c>
      <c r="P1979">
        <v>-0.98119469999999998</v>
      </c>
      <c r="Q1979">
        <v>0.19152430000000001</v>
      </c>
      <c r="R1979">
        <v>-2.3983649999999999E-2</v>
      </c>
      <c r="S1979">
        <v>-3.083313</v>
      </c>
      <c r="T1979">
        <v>-0.1375141</v>
      </c>
      <c r="U1979">
        <v>-5.7006840000000003E-2</v>
      </c>
      <c r="V1979">
        <v>-1.7819459999999999E-2</v>
      </c>
      <c r="W1979">
        <v>0.2002292</v>
      </c>
      <c r="X1979">
        <v>0.97958699999999999</v>
      </c>
      <c r="Y1979">
        <v>-1.271832E-2</v>
      </c>
      <c r="Z1979" s="1">
        <v>-2.666161E-5</v>
      </c>
      <c r="AA1979">
        <v>0.99991909999999895</v>
      </c>
      <c r="AB1979">
        <v>45</v>
      </c>
      <c r="AC1979">
        <v>-24.605899999999998</v>
      </c>
      <c r="AD1979">
        <v>-1.1082616165658901</v>
      </c>
      <c r="AE1979">
        <v>-0.45819999999997602</v>
      </c>
      <c r="AF1979">
        <v>-0.31579464410834301</v>
      </c>
      <c r="AG1979">
        <v>-1.1082616165658901</v>
      </c>
      <c r="AH1979">
        <v>24.558328535115699</v>
      </c>
      <c r="AI1979">
        <v>92.583662072150304</v>
      </c>
      <c r="AJ1979">
        <v>90.736723718438199</v>
      </c>
      <c r="AK1979">
        <v>24.585350729787901</v>
      </c>
      <c r="AL1979">
        <v>78.449637402931003</v>
      </c>
      <c r="AM1979">
        <v>91.042140471289002</v>
      </c>
      <c r="AN1979">
        <v>0.99999997812816499</v>
      </c>
    </row>
    <row r="1980" spans="1:40" x14ac:dyDescent="0.25">
      <c r="A1980" t="str">
        <f>"20190312172408232"</f>
        <v>20190312172408232</v>
      </c>
      <c r="B1980" t="str">
        <f>"1552382648222379"</f>
        <v>1552382648222379</v>
      </c>
      <c r="C1980" t="s">
        <v>40</v>
      </c>
      <c r="D1980">
        <v>3.6310060000000002</v>
      </c>
      <c r="E1980">
        <v>0.50336559999999997</v>
      </c>
      <c r="F1980" t="s">
        <v>47</v>
      </c>
      <c r="G1980">
        <v>-321.52280000000002</v>
      </c>
      <c r="H1980" s="1">
        <v>-6.5851279999999998E-7</v>
      </c>
      <c r="I1980">
        <v>283.06290000000001</v>
      </c>
      <c r="J1980">
        <v>-297.40989999999999</v>
      </c>
      <c r="K1980">
        <v>1.1082430000000001</v>
      </c>
      <c r="L1980">
        <v>283.50290000000001</v>
      </c>
      <c r="M1980">
        <v>-0.99994859999999997</v>
      </c>
      <c r="N1980">
        <v>0</v>
      </c>
      <c r="O1980">
        <v>-4.8914809999999996E-3</v>
      </c>
      <c r="P1980">
        <v>-0.98135870000000003</v>
      </c>
      <c r="Q1980">
        <v>0.19082440000000001</v>
      </c>
      <c r="R1980">
        <v>-2.283232E-2</v>
      </c>
      <c r="S1980">
        <v>-3.0833439999999999</v>
      </c>
      <c r="T1980">
        <v>-0.1393142</v>
      </c>
      <c r="U1980">
        <v>-5.5541989999999999E-2</v>
      </c>
      <c r="V1980">
        <v>-1.7509790000000001E-2</v>
      </c>
      <c r="W1980">
        <v>0.1995835</v>
      </c>
      <c r="X1980">
        <v>0.97972429999999999</v>
      </c>
      <c r="Y1980">
        <v>-1.311116E-2</v>
      </c>
      <c r="Z1980" s="1">
        <v>-7.5138669999999896E-5</v>
      </c>
      <c r="AA1980">
        <v>0.99991410000000003</v>
      </c>
      <c r="AB1980">
        <v>45</v>
      </c>
      <c r="AC1980">
        <v>-24.1129</v>
      </c>
      <c r="AD1980">
        <v>-1.1082436585127999</v>
      </c>
      <c r="AE1980">
        <v>-0.439999999999997</v>
      </c>
      <c r="AF1980">
        <v>-0.32136367633213198</v>
      </c>
      <c r="AG1980">
        <v>-1.1082436585127999</v>
      </c>
      <c r="AH1980">
        <v>24.063948608596899</v>
      </c>
      <c r="AI1980">
        <v>92.636607999422694</v>
      </c>
      <c r="AJ1980">
        <v>90.765114992260393</v>
      </c>
      <c r="AK1980">
        <v>24.091598146579901</v>
      </c>
      <c r="AL1980">
        <v>78.487394932930698</v>
      </c>
      <c r="AM1980">
        <v>91.023890365480796</v>
      </c>
      <c r="AN1980">
        <v>0.99999993511428997</v>
      </c>
    </row>
    <row r="1981" spans="1:40" x14ac:dyDescent="0.25">
      <c r="A1981" t="str">
        <f>"20190312172408254"</f>
        <v>20190312172408254</v>
      </c>
      <c r="B1981" t="str">
        <f>"1552382648241900"</f>
        <v>1552382648241900</v>
      </c>
      <c r="C1981" t="s">
        <v>40</v>
      </c>
      <c r="D1981">
        <v>3.6923490000000001</v>
      </c>
      <c r="E1981">
        <v>0.52623640000000005</v>
      </c>
      <c r="F1981" t="s">
        <v>47</v>
      </c>
      <c r="G1981">
        <v>-321.3177</v>
      </c>
      <c r="H1981" s="1">
        <v>-7.6963809999999899E-7</v>
      </c>
      <c r="I1981">
        <v>283.10730000000001</v>
      </c>
      <c r="J1981">
        <v>-297.84980000000002</v>
      </c>
      <c r="K1981">
        <v>1.108233</v>
      </c>
      <c r="L1981">
        <v>283.50139999999999</v>
      </c>
      <c r="M1981">
        <v>-0.99995219999999996</v>
      </c>
      <c r="N1981">
        <v>0</v>
      </c>
      <c r="O1981">
        <v>-3.9682550000000004E-3</v>
      </c>
      <c r="P1981">
        <v>-0.98139419999999999</v>
      </c>
      <c r="Q1981">
        <v>0.19083749999999999</v>
      </c>
      <c r="R1981">
        <v>-2.1134190000000001E-2</v>
      </c>
      <c r="S1981">
        <v>-3.0835880000000002</v>
      </c>
      <c r="T1981">
        <v>-0.14293939999999999</v>
      </c>
      <c r="U1981">
        <v>-5.1025389999999997E-2</v>
      </c>
      <c r="V1981">
        <v>-1.6706459999999999E-2</v>
      </c>
      <c r="W1981">
        <v>0.19965869999999999</v>
      </c>
      <c r="X1981">
        <v>0.97972309999999996</v>
      </c>
      <c r="Y1981">
        <v>-1.256792E-2</v>
      </c>
      <c r="Z1981">
        <v>-1.072738E-4</v>
      </c>
      <c r="AA1981">
        <v>0.99992099999999995</v>
      </c>
      <c r="AB1981">
        <v>45</v>
      </c>
      <c r="AC1981">
        <v>-23.467899999999901</v>
      </c>
      <c r="AD1981">
        <v>-1.1082337696380999</v>
      </c>
      <c r="AE1981">
        <v>-0.39409999999998002</v>
      </c>
      <c r="AF1981">
        <v>-0.30029707869912797</v>
      </c>
      <c r="AG1981">
        <v>-1.1082337696380999</v>
      </c>
      <c r="AH1981">
        <v>23.417072676969202</v>
      </c>
      <c r="AI1981">
        <v>92.709329545256097</v>
      </c>
      <c r="AJ1981">
        <v>90.734712334500998</v>
      </c>
      <c r="AK1981">
        <v>23.4452053346116</v>
      </c>
      <c r="AL1981">
        <v>78.482998867798401</v>
      </c>
      <c r="AM1981">
        <v>90.976925915241495</v>
      </c>
      <c r="AN1981">
        <v>1.00000002748251</v>
      </c>
    </row>
    <row r="1982" spans="1:40" x14ac:dyDescent="0.25">
      <c r="A1982" t="str">
        <f>"20190312172408277"</f>
        <v>20190312172408277</v>
      </c>
      <c r="B1982" t="str">
        <f>"1552382648272156"</f>
        <v>1552382648272156</v>
      </c>
      <c r="C1982" t="s">
        <v>40</v>
      </c>
      <c r="D1982">
        <v>3.6548340000000001</v>
      </c>
      <c r="E1982">
        <v>0.54429740000000004</v>
      </c>
      <c r="F1982" t="s">
        <v>41</v>
      </c>
      <c r="G1982">
        <v>-298.7158</v>
      </c>
      <c r="H1982">
        <v>1.0200689999999999</v>
      </c>
      <c r="I1982">
        <v>283.53890000000001</v>
      </c>
      <c r="J1982">
        <v>-298.3116</v>
      </c>
      <c r="K1982">
        <v>1.108231</v>
      </c>
      <c r="L1982">
        <v>283.50020000000001</v>
      </c>
      <c r="M1982">
        <v>-0.99995489999999998</v>
      </c>
      <c r="N1982">
        <v>0</v>
      </c>
      <c r="O1982">
        <v>-2.9970579999999999E-3</v>
      </c>
      <c r="P1982">
        <v>-0.98132079999999999</v>
      </c>
      <c r="Q1982">
        <v>0.1914814</v>
      </c>
      <c r="R1982">
        <v>-1.856052E-2</v>
      </c>
      <c r="S1982">
        <v>-3.1215820000000001</v>
      </c>
      <c r="T1982">
        <v>-0.3178164</v>
      </c>
      <c r="U1982">
        <v>0.13476560000000001</v>
      </c>
      <c r="V1982">
        <v>-1.5075160000000001E-2</v>
      </c>
      <c r="W1982">
        <v>0.20037630000000001</v>
      </c>
      <c r="X1982">
        <v>0.979603</v>
      </c>
      <c r="Y1982">
        <v>4.5874070000000003E-2</v>
      </c>
      <c r="Z1982">
        <v>2.6324109999999999E-3</v>
      </c>
      <c r="AA1982">
        <v>0.99894369999999999</v>
      </c>
      <c r="AB1982">
        <v>45</v>
      </c>
      <c r="AC1982">
        <v>-0.404200000000003</v>
      </c>
      <c r="AD1982">
        <v>-8.8161999999999796E-2</v>
      </c>
      <c r="AE1982">
        <v>3.8700000000005702E-2</v>
      </c>
      <c r="AF1982">
        <v>3.8114496011761798E-2</v>
      </c>
      <c r="AG1982">
        <v>-8.8161999999999796E-2</v>
      </c>
      <c r="AH1982">
        <v>0.38589057429052798</v>
      </c>
      <c r="AI1982">
        <v>102.808880324656</v>
      </c>
      <c r="AJ1982">
        <v>84.3591790248786</v>
      </c>
      <c r="AK1982">
        <v>0.39766416531604198</v>
      </c>
      <c r="AL1982">
        <v>78.441034874691795</v>
      </c>
      <c r="AM1982">
        <v>90.881658047666306</v>
      </c>
      <c r="AN1982">
        <v>0.999999979829857</v>
      </c>
    </row>
    <row r="1983" spans="1:40" x14ac:dyDescent="0.25">
      <c r="A1983" t="str">
        <f>"20190312172408299"</f>
        <v>20190312172408299</v>
      </c>
      <c r="B1983" t="str">
        <f>"1552382648291675"</f>
        <v>1552382648291675</v>
      </c>
      <c r="C1983" t="s">
        <v>40</v>
      </c>
      <c r="D1983">
        <v>3.6032989999999998</v>
      </c>
      <c r="E1983">
        <v>0.55091060000000003</v>
      </c>
      <c r="F1983" t="s">
        <v>41</v>
      </c>
      <c r="G1983">
        <v>-299.10559999999998</v>
      </c>
      <c r="H1983">
        <v>0.99112259999999996</v>
      </c>
      <c r="I1983">
        <v>283.57220000000001</v>
      </c>
      <c r="J1983">
        <v>-298.7704</v>
      </c>
      <c r="K1983">
        <v>1.1082299999999901</v>
      </c>
      <c r="L1983">
        <v>283.49950000000001</v>
      </c>
      <c r="M1983">
        <v>-0.99995639999999997</v>
      </c>
      <c r="N1983">
        <v>0</v>
      </c>
      <c r="O1983">
        <v>-2.0310549999999999E-3</v>
      </c>
      <c r="P1983">
        <v>-0.98130360000000005</v>
      </c>
      <c r="Q1983">
        <v>0.19177140000000001</v>
      </c>
      <c r="R1983">
        <v>-1.6341410000000001E-2</v>
      </c>
      <c r="S1983">
        <v>-3.1531980000000002</v>
      </c>
      <c r="T1983">
        <v>-0.46513579999999999</v>
      </c>
      <c r="U1983">
        <v>0.28485110000000002</v>
      </c>
      <c r="V1983">
        <v>-1.379558E-2</v>
      </c>
      <c r="W1983">
        <v>0.20075370000000001</v>
      </c>
      <c r="X1983">
        <v>0.97954459999999999</v>
      </c>
      <c r="Y1983">
        <v>9.0994950000000005E-2</v>
      </c>
      <c r="Z1983">
        <v>6.9593909999999997E-3</v>
      </c>
      <c r="AA1983">
        <v>0.99582700000000002</v>
      </c>
      <c r="AB1983">
        <v>45</v>
      </c>
      <c r="AC1983">
        <v>-0.33519999999998601</v>
      </c>
      <c r="AD1983">
        <v>-0.117107399999999</v>
      </c>
      <c r="AE1983">
        <v>7.2699999999997503E-2</v>
      </c>
      <c r="AF1983">
        <v>6.5719566185324901E-2</v>
      </c>
      <c r="AG1983">
        <v>-0.117107399999999</v>
      </c>
      <c r="AH1983">
        <v>0.30007144053119</v>
      </c>
      <c r="AI1983">
        <v>110.86829725718501</v>
      </c>
      <c r="AJ1983">
        <v>77.646529254222997</v>
      </c>
      <c r="AK1983">
        <v>0.32874925693727503</v>
      </c>
      <c r="AL1983">
        <v>78.418963129311194</v>
      </c>
      <c r="AM1983">
        <v>90.806881336225402</v>
      </c>
      <c r="AN1983">
        <v>0.99999999474019297</v>
      </c>
    </row>
    <row r="1984" spans="1:40" x14ac:dyDescent="0.25">
      <c r="A1984" t="str">
        <f>"20190312172408321"</f>
        <v>20190312172408321</v>
      </c>
      <c r="B1984" t="str">
        <f>"1552382648312190"</f>
        <v>1552382648312190</v>
      </c>
      <c r="C1984" t="s">
        <v>40</v>
      </c>
      <c r="D1984">
        <v>3.64893</v>
      </c>
      <c r="E1984">
        <v>0.55450710000000003</v>
      </c>
      <c r="F1984" t="s">
        <v>41</v>
      </c>
      <c r="G1984">
        <v>-299.50970000000001</v>
      </c>
      <c r="H1984">
        <v>0.99042669999999999</v>
      </c>
      <c r="I1984">
        <v>283.57990000000001</v>
      </c>
      <c r="J1984">
        <v>-299.20819999999998</v>
      </c>
      <c r="K1984">
        <v>1.1082299999999901</v>
      </c>
      <c r="L1984">
        <v>283.49919999999997</v>
      </c>
      <c r="M1984">
        <v>-0.99995699999999998</v>
      </c>
      <c r="N1984">
        <v>0</v>
      </c>
      <c r="O1984">
        <v>-1.10873E-3</v>
      </c>
      <c r="P1984">
        <v>-0.98127120000000001</v>
      </c>
      <c r="Q1984">
        <v>0.19212190000000001</v>
      </c>
      <c r="R1984">
        <v>-1.401963E-2</v>
      </c>
      <c r="S1984">
        <v>-3.1613769999999999</v>
      </c>
      <c r="T1984">
        <v>-0.5037161</v>
      </c>
      <c r="U1984">
        <v>0.34451290000000001</v>
      </c>
      <c r="V1984">
        <v>-1.2371210000000001E-2</v>
      </c>
      <c r="W1984">
        <v>0.20119709999999999</v>
      </c>
      <c r="X1984">
        <v>0.97947260000000003</v>
      </c>
      <c r="Y1984">
        <v>0.1080752</v>
      </c>
      <c r="Z1984">
        <v>8.7063499999999999E-3</v>
      </c>
      <c r="AA1984">
        <v>0.9941046</v>
      </c>
      <c r="AB1984">
        <v>45</v>
      </c>
      <c r="AC1984">
        <v>-0.30150000000003202</v>
      </c>
      <c r="AD1984">
        <v>-0.117803299999999</v>
      </c>
      <c r="AE1984">
        <v>8.0700000000035702E-2</v>
      </c>
      <c r="AF1984">
        <v>7.0929668912653204E-2</v>
      </c>
      <c r="AG1984">
        <v>-0.117803299999999</v>
      </c>
      <c r="AH1984">
        <v>0.26382592850412201</v>
      </c>
      <c r="AI1984">
        <v>113.326042824629</v>
      </c>
      <c r="AJ1984">
        <v>74.951841982468295</v>
      </c>
      <c r="AK1984">
        <v>0.29751093420916602</v>
      </c>
      <c r="AL1984">
        <v>78.393028466766495</v>
      </c>
      <c r="AM1984">
        <v>90.723634772138894</v>
      </c>
      <c r="AN1984">
        <v>0.99999994701801498</v>
      </c>
    </row>
    <row r="1985" spans="1:40" x14ac:dyDescent="0.25">
      <c r="A1985" t="str">
        <f>"20190312172408343"</f>
        <v>20190312172408343</v>
      </c>
      <c r="B1985" t="str">
        <f>"1552382648331691"</f>
        <v>1552382648331691</v>
      </c>
      <c r="C1985" t="s">
        <v>40</v>
      </c>
      <c r="D1985">
        <v>3.7936380000000001</v>
      </c>
      <c r="E1985">
        <v>0.55627490000000002</v>
      </c>
      <c r="F1985" t="s">
        <v>41</v>
      </c>
      <c r="G1985">
        <v>-299.91489999999999</v>
      </c>
      <c r="H1985">
        <v>0.99118799999999996</v>
      </c>
      <c r="I1985">
        <v>283.58429999999998</v>
      </c>
      <c r="J1985">
        <v>-299.65460000000002</v>
      </c>
      <c r="K1985">
        <v>1.108241</v>
      </c>
      <c r="L1985">
        <v>283.49939999999998</v>
      </c>
      <c r="M1985">
        <v>-0.99995650000000003</v>
      </c>
      <c r="N1985">
        <v>0</v>
      </c>
      <c r="O1985">
        <v>-1.6773269999999999E-4</v>
      </c>
      <c r="P1985">
        <v>-0.98140439999999995</v>
      </c>
      <c r="Q1985">
        <v>0.1916051</v>
      </c>
      <c r="R1985">
        <v>-1.1538959999999999E-2</v>
      </c>
      <c r="S1985">
        <v>-3.165314</v>
      </c>
      <c r="T1985">
        <v>-0.52422979999999997</v>
      </c>
      <c r="U1985">
        <v>0.38015749999999998</v>
      </c>
      <c r="V1985">
        <v>-1.081033E-2</v>
      </c>
      <c r="W1985">
        <v>0.2007823</v>
      </c>
      <c r="X1985">
        <v>0.97957620000000001</v>
      </c>
      <c r="Y1985">
        <v>0.1178261</v>
      </c>
      <c r="Z1985">
        <v>9.6844900000000005E-3</v>
      </c>
      <c r="AA1985">
        <v>0.99298699999999995</v>
      </c>
      <c r="AB1985">
        <v>45</v>
      </c>
      <c r="AC1985">
        <v>-0.260299999999972</v>
      </c>
      <c r="AD1985">
        <v>-0.117053</v>
      </c>
      <c r="AE1985">
        <v>8.4900000000004597E-2</v>
      </c>
      <c r="AF1985">
        <v>7.1817389984160901E-2</v>
      </c>
      <c r="AG1985">
        <v>-0.117053</v>
      </c>
      <c r="AH1985">
        <v>0.22006401953447499</v>
      </c>
      <c r="AI1985">
        <v>116.823826556342</v>
      </c>
      <c r="AJ1985">
        <v>71.926024688025805</v>
      </c>
      <c r="AK1985">
        <v>0.25939798574161499</v>
      </c>
      <c r="AL1985">
        <v>78.417290043663698</v>
      </c>
      <c r="AM1985">
        <v>90.632274591350395</v>
      </c>
      <c r="AN1985">
        <v>0.99999996341721797</v>
      </c>
    </row>
    <row r="1986" spans="1:40" x14ac:dyDescent="0.25">
      <c r="A1986" t="str">
        <f>"20190312172408366"</f>
        <v>20190312172408366</v>
      </c>
      <c r="B1986" t="str">
        <f>"1552382648361948"</f>
        <v>1552382648361948</v>
      </c>
      <c r="C1986" t="s">
        <v>40</v>
      </c>
      <c r="D1986">
        <v>3.6375380000000002</v>
      </c>
      <c r="E1986">
        <v>0.55872330000000003</v>
      </c>
      <c r="F1986" t="s">
        <v>41</v>
      </c>
      <c r="G1986">
        <v>-300.69779999999997</v>
      </c>
      <c r="H1986">
        <v>0.9313806</v>
      </c>
      <c r="I1986">
        <v>283.63200000000001</v>
      </c>
      <c r="J1986">
        <v>-300.13029999999998</v>
      </c>
      <c r="K1986">
        <v>1.108241</v>
      </c>
      <c r="L1986">
        <v>283.5</v>
      </c>
      <c r="M1986">
        <v>-0.99995500000000004</v>
      </c>
      <c r="N1986">
        <v>0</v>
      </c>
      <c r="O1986">
        <v>8.3491009999999896E-4</v>
      </c>
      <c r="P1986">
        <v>-0.98154350000000001</v>
      </c>
      <c r="Q1986">
        <v>0.19101219999999999</v>
      </c>
      <c r="R1986">
        <v>-9.3065400000000003E-3</v>
      </c>
      <c r="S1986">
        <v>-3.166382</v>
      </c>
      <c r="T1986">
        <v>-0.5368655</v>
      </c>
      <c r="U1986">
        <v>0.40167239999999999</v>
      </c>
      <c r="V1986">
        <v>-9.5585210000000004E-3</v>
      </c>
      <c r="W1986">
        <v>0.20030110000000001</v>
      </c>
      <c r="X1986">
        <v>0.9796878</v>
      </c>
      <c r="Y1986">
        <v>0.1232982</v>
      </c>
      <c r="Z1986">
        <v>1.019808E-2</v>
      </c>
      <c r="AA1986">
        <v>0.99231729999999996</v>
      </c>
      <c r="AB1986">
        <v>45</v>
      </c>
      <c r="AC1986">
        <v>-0.56749999999999501</v>
      </c>
      <c r="AD1986">
        <v>-0.1768604</v>
      </c>
      <c r="AE1986">
        <v>0.132000000000005</v>
      </c>
      <c r="AF1986">
        <v>0.12042976181574599</v>
      </c>
      <c r="AG1986">
        <v>-0.1768604</v>
      </c>
      <c r="AH1986">
        <v>0.519722913123427</v>
      </c>
      <c r="AI1986">
        <v>108.34106810298</v>
      </c>
      <c r="AJ1986">
        <v>76.953718444639406</v>
      </c>
      <c r="AK1986">
        <v>0.56204522508839005</v>
      </c>
      <c r="AL1986">
        <v>78.445433388673095</v>
      </c>
      <c r="AM1986">
        <v>90.559000055679405</v>
      </c>
      <c r="AN1986">
        <v>1.0000000407268701</v>
      </c>
    </row>
    <row r="1987" spans="1:40" x14ac:dyDescent="0.25">
      <c r="A1987" t="str">
        <f>"20190312172408389"</f>
        <v>20190312172408389</v>
      </c>
      <c r="B1987" t="str">
        <f>"1552382648382444"</f>
        <v>1552382648382444</v>
      </c>
      <c r="C1987" t="s">
        <v>40</v>
      </c>
      <c r="D1987">
        <v>3.5840550000000002</v>
      </c>
      <c r="E1987">
        <v>0.56010280000000001</v>
      </c>
      <c r="F1987" t="s">
        <v>41</v>
      </c>
      <c r="G1987">
        <v>-301.10610000000003</v>
      </c>
      <c r="H1987">
        <v>0.93715440000000005</v>
      </c>
      <c r="I1987">
        <v>283.63189999999997</v>
      </c>
      <c r="J1987">
        <v>-300.59410000000003</v>
      </c>
      <c r="K1987">
        <v>1.1082430000000001</v>
      </c>
      <c r="L1987">
        <v>283.50110000000001</v>
      </c>
      <c r="M1987">
        <v>-0.99995279999999998</v>
      </c>
      <c r="N1987">
        <v>0</v>
      </c>
      <c r="O1987">
        <v>1.8115570000000001E-3</v>
      </c>
      <c r="P1987">
        <v>-0.98164240000000003</v>
      </c>
      <c r="Q1987">
        <v>0.1905907</v>
      </c>
      <c r="R1987">
        <v>-7.3370060000000001E-3</v>
      </c>
      <c r="S1987">
        <v>-3.1685490000000001</v>
      </c>
      <c r="T1987">
        <v>-0.5555561</v>
      </c>
      <c r="U1987">
        <v>0.4277649</v>
      </c>
      <c r="V1987">
        <v>-8.5448880000000005E-3</v>
      </c>
      <c r="W1987">
        <v>0.19998669999999999</v>
      </c>
      <c r="X1987">
        <v>0.9797614</v>
      </c>
      <c r="Y1987">
        <v>0.13007249999999901</v>
      </c>
      <c r="Z1987">
        <v>1.0952979999999999E-2</v>
      </c>
      <c r="AA1987">
        <v>0.99144399999999999</v>
      </c>
      <c r="AB1987">
        <v>45</v>
      </c>
      <c r="AC1987">
        <v>-0.51200000000000001</v>
      </c>
      <c r="AD1987">
        <v>-0.17108860000000001</v>
      </c>
      <c r="AE1987">
        <v>0.130799999999965</v>
      </c>
      <c r="AF1987">
        <v>0.117550556643074</v>
      </c>
      <c r="AG1987">
        <v>-0.17108860000000001</v>
      </c>
      <c r="AH1987">
        <v>0.46363755514563498</v>
      </c>
      <c r="AI1987">
        <v>109.68192418822601</v>
      </c>
      <c r="AJ1987">
        <v>75.773032720321496</v>
      </c>
      <c r="AK1987">
        <v>0.50798545742814205</v>
      </c>
      <c r="AL1987">
        <v>78.463819276282393</v>
      </c>
      <c r="AM1987">
        <v>90.499686562758995</v>
      </c>
      <c r="AN1987">
        <v>1.00000004810889</v>
      </c>
    </row>
    <row r="1988" spans="1:40" x14ac:dyDescent="0.25">
      <c r="A1988" t="str">
        <f>"20190312172408410"</f>
        <v>20190312172408410</v>
      </c>
      <c r="B1988" t="str">
        <f>"1552382648401963"</f>
        <v>1552382648401963</v>
      </c>
      <c r="C1988" t="s">
        <v>40</v>
      </c>
      <c r="D1988">
        <v>3.558999</v>
      </c>
      <c r="E1988">
        <v>0.58426820000000002</v>
      </c>
      <c r="F1988" t="s">
        <v>41</v>
      </c>
      <c r="G1988">
        <v>-301.51499999999999</v>
      </c>
      <c r="H1988">
        <v>0.94372929999999999</v>
      </c>
      <c r="I1988">
        <v>283.63040000000001</v>
      </c>
      <c r="J1988">
        <v>-301.03190000000001</v>
      </c>
      <c r="K1988">
        <v>1.1082510000000001</v>
      </c>
      <c r="L1988">
        <v>283.50259999999997</v>
      </c>
      <c r="M1988">
        <v>-0.99994970000000005</v>
      </c>
      <c r="N1988">
        <v>0</v>
      </c>
      <c r="O1988">
        <v>2.7297979999999999E-3</v>
      </c>
      <c r="P1988">
        <v>-0.98170009999999996</v>
      </c>
      <c r="Q1988">
        <v>0.19035160000000001</v>
      </c>
      <c r="R1988">
        <v>-5.5711329999999998E-3</v>
      </c>
      <c r="S1988">
        <v>-3.1693419999999999</v>
      </c>
      <c r="T1988">
        <v>-0.56623029999999996</v>
      </c>
      <c r="U1988">
        <v>0.44342039999999999</v>
      </c>
      <c r="V1988">
        <v>-7.6798889999999996E-3</v>
      </c>
      <c r="W1988">
        <v>0.19984180000000001</v>
      </c>
      <c r="X1988">
        <v>0.97979810000000001</v>
      </c>
      <c r="Y1988">
        <v>0.13381970000000001</v>
      </c>
      <c r="Z1988">
        <v>1.132239E-2</v>
      </c>
      <c r="AA1988">
        <v>0.99094099999999996</v>
      </c>
      <c r="AB1988">
        <v>45</v>
      </c>
      <c r="AC1988">
        <v>-0.48309999999997899</v>
      </c>
      <c r="AD1988">
        <v>-0.16452169999999999</v>
      </c>
      <c r="AE1988">
        <v>0.127800000000036</v>
      </c>
      <c r="AF1988">
        <v>0.11411191997023</v>
      </c>
      <c r="AG1988">
        <v>-0.16452169999999999</v>
      </c>
      <c r="AH1988">
        <v>0.43616991621940898</v>
      </c>
      <c r="AI1988">
        <v>110.04775872895399</v>
      </c>
      <c r="AJ1988">
        <v>75.3387353090245</v>
      </c>
      <c r="AK1988">
        <v>0.47993032396904101</v>
      </c>
      <c r="AL1988">
        <v>78.472292165567097</v>
      </c>
      <c r="AM1988">
        <v>90.449088659944806</v>
      </c>
      <c r="AN1988">
        <v>1.0000000212429501</v>
      </c>
    </row>
    <row r="1989" spans="1:40" x14ac:dyDescent="0.25">
      <c r="A1989" t="str">
        <f>"20190312172408432"</f>
        <v>20190312172408432</v>
      </c>
      <c r="B1989" t="str">
        <f>"1552382648422460"</f>
        <v>1552382648422460</v>
      </c>
      <c r="C1989" t="s">
        <v>40</v>
      </c>
      <c r="D1989">
        <v>3.60608</v>
      </c>
      <c r="E1989">
        <v>0.5849491</v>
      </c>
      <c r="F1989" t="s">
        <v>41</v>
      </c>
      <c r="G1989">
        <v>-301.91489999999999</v>
      </c>
      <c r="H1989">
        <v>0.92500400000000005</v>
      </c>
      <c r="I1989">
        <v>283.67989999999998</v>
      </c>
      <c r="J1989">
        <v>-301.4649</v>
      </c>
      <c r="K1989">
        <v>1.1082510000000001</v>
      </c>
      <c r="L1989">
        <v>283.5043</v>
      </c>
      <c r="M1989">
        <v>-0.99994609999999995</v>
      </c>
      <c r="N1989">
        <v>0</v>
      </c>
      <c r="O1989">
        <v>3.6294869999999998E-3</v>
      </c>
      <c r="P1989">
        <v>-0.98181430000000003</v>
      </c>
      <c r="Q1989">
        <v>0.18980050000000001</v>
      </c>
      <c r="R1989">
        <v>-4.0696580000000003E-3</v>
      </c>
      <c r="S1989">
        <v>-3.1878359999999999</v>
      </c>
      <c r="T1989">
        <v>-0.66155839999999999</v>
      </c>
      <c r="U1989">
        <v>0.63995360000000001</v>
      </c>
      <c r="V1989">
        <v>-7.0643260000000001E-3</v>
      </c>
      <c r="W1989">
        <v>0.19937740000000001</v>
      </c>
      <c r="X1989">
        <v>0.97989729999999997</v>
      </c>
      <c r="Y1989">
        <v>0.18945509999999999</v>
      </c>
      <c r="Z1989">
        <v>1.8526839999999999E-2</v>
      </c>
      <c r="AA1989">
        <v>0.98171459999999999</v>
      </c>
      <c r="AB1989">
        <v>45</v>
      </c>
      <c r="AC1989">
        <v>-0.44999999999998802</v>
      </c>
      <c r="AD1989">
        <v>-0.18324699999999999</v>
      </c>
      <c r="AE1989">
        <v>0.175599999999974</v>
      </c>
      <c r="AF1989">
        <v>0.152079608686461</v>
      </c>
      <c r="AG1989">
        <v>-0.18324699999999999</v>
      </c>
      <c r="AH1989">
        <v>0.39394193120462401</v>
      </c>
      <c r="AI1989">
        <v>113.458386376805</v>
      </c>
      <c r="AJ1989">
        <v>68.891130329277203</v>
      </c>
      <c r="AK1989">
        <v>0.46032370735000799</v>
      </c>
      <c r="AL1989">
        <v>78.4994463811326</v>
      </c>
      <c r="AM1989">
        <v>90.4130525239256</v>
      </c>
      <c r="AN1989">
        <v>0.99999998543994195</v>
      </c>
    </row>
    <row r="1990" spans="1:40" x14ac:dyDescent="0.25">
      <c r="A1990" t="str">
        <f>"20190312172408455"</f>
        <v>20190312172408455</v>
      </c>
      <c r="B1990" t="str">
        <f>"1552382648452238"</f>
        <v>1552382648452238</v>
      </c>
      <c r="C1990" t="s">
        <v>40</v>
      </c>
      <c r="D1990">
        <v>3.6017839999999901</v>
      </c>
      <c r="E1990">
        <v>0.58257700000000001</v>
      </c>
      <c r="F1990" t="s">
        <v>41</v>
      </c>
      <c r="G1990">
        <v>-302.32170000000002</v>
      </c>
      <c r="H1990">
        <v>0.92594430000000005</v>
      </c>
      <c r="I1990">
        <v>283.67899999999997</v>
      </c>
      <c r="J1990">
        <v>-301.92219999999998</v>
      </c>
      <c r="K1990">
        <v>1.108266</v>
      </c>
      <c r="L1990">
        <v>283.50670000000002</v>
      </c>
      <c r="M1990">
        <v>-0.99994130000000003</v>
      </c>
      <c r="N1990">
        <v>0</v>
      </c>
      <c r="O1990">
        <v>4.5624350000000001E-3</v>
      </c>
      <c r="P1990">
        <v>-0.98200399999999999</v>
      </c>
      <c r="Q1990">
        <v>0.1888408</v>
      </c>
      <c r="R1990">
        <v>-2.7436740000000002E-3</v>
      </c>
      <c r="S1990">
        <v>-3.1894529999999999</v>
      </c>
      <c r="T1990">
        <v>-0.67868149999999905</v>
      </c>
      <c r="U1990">
        <v>0.64920040000000001</v>
      </c>
      <c r="V1990">
        <v>-6.6618249999999997E-3</v>
      </c>
      <c r="W1990">
        <v>0.19850400000000001</v>
      </c>
      <c r="X1990">
        <v>0.98007739999999999</v>
      </c>
      <c r="Y1990">
        <v>0.1909747</v>
      </c>
      <c r="Z1990">
        <v>1.8945759999999999E-2</v>
      </c>
      <c r="AA1990">
        <v>0.98141210000000001</v>
      </c>
      <c r="AB1990">
        <v>45</v>
      </c>
      <c r="AC1990">
        <v>-0.39950000000004499</v>
      </c>
      <c r="AD1990">
        <v>-0.182321699999999</v>
      </c>
      <c r="AE1990">
        <v>0.172300000000007</v>
      </c>
      <c r="AF1990">
        <v>0.14500991482835801</v>
      </c>
      <c r="AG1990">
        <v>-0.182321699999999</v>
      </c>
      <c r="AH1990">
        <v>0.34048811794224298</v>
      </c>
      <c r="AI1990">
        <v>116.22731664561699</v>
      </c>
      <c r="AJ1990">
        <v>66.931411247582005</v>
      </c>
      <c r="AK1990">
        <v>0.412554525062165</v>
      </c>
      <c r="AL1990">
        <v>78.550508935661497</v>
      </c>
      <c r="AM1990">
        <v>90.389447382525105</v>
      </c>
      <c r="AN1990">
        <v>0.99999996395954405</v>
      </c>
    </row>
    <row r="1991" spans="1:40" x14ac:dyDescent="0.25">
      <c r="A1991" t="str">
        <f>"20190312172408477"</f>
        <v>20190312172408477</v>
      </c>
      <c r="B1991" t="str">
        <f>"1552382648471757"</f>
        <v>1552382648471757</v>
      </c>
      <c r="C1991" t="s">
        <v>40</v>
      </c>
      <c r="D1991">
        <v>3.5957819999999998</v>
      </c>
      <c r="E1991">
        <v>0.58321290000000003</v>
      </c>
      <c r="F1991" t="s">
        <v>41</v>
      </c>
      <c r="G1991">
        <v>-302.73399999999998</v>
      </c>
      <c r="H1991">
        <v>0.93979389999999996</v>
      </c>
      <c r="I1991">
        <v>283.66840000000002</v>
      </c>
      <c r="J1991">
        <v>-302.38440000000003</v>
      </c>
      <c r="K1991">
        <v>1.1082829999999999</v>
      </c>
      <c r="L1991">
        <v>283.50940000000003</v>
      </c>
      <c r="M1991">
        <v>-0.99993600000000005</v>
      </c>
      <c r="N1991">
        <v>0</v>
      </c>
      <c r="O1991">
        <v>5.4785099999999998E-3</v>
      </c>
      <c r="P1991">
        <v>-0.98211939999999998</v>
      </c>
      <c r="Q1991">
        <v>0.1882509</v>
      </c>
      <c r="R1991">
        <v>-1.822997E-3</v>
      </c>
      <c r="S1991">
        <v>-3.1837770000000001</v>
      </c>
      <c r="T1991">
        <v>-0.66078040000000005</v>
      </c>
      <c r="U1991">
        <v>0.63381960000000004</v>
      </c>
      <c r="V1991">
        <v>-6.6508369999999997E-3</v>
      </c>
      <c r="W1991">
        <v>0.19799739999999999</v>
      </c>
      <c r="X1991">
        <v>0.98018000000000005</v>
      </c>
      <c r="Y1991">
        <v>0.186166</v>
      </c>
      <c r="Z1991">
        <v>1.7820909999999999E-2</v>
      </c>
      <c r="AA1991">
        <v>0.98235669999999997</v>
      </c>
      <c r="AB1991">
        <v>45</v>
      </c>
      <c r="AC1991">
        <v>-0.34960000000000901</v>
      </c>
      <c r="AD1991">
        <v>-0.168489099999999</v>
      </c>
      <c r="AE1991">
        <v>0.15899999999999101</v>
      </c>
      <c r="AF1991">
        <v>0.13172918418639101</v>
      </c>
      <c r="AG1991">
        <v>-0.168489099999999</v>
      </c>
      <c r="AH1991">
        <v>0.293900739132061</v>
      </c>
      <c r="AI1991">
        <v>117.61593192044501</v>
      </c>
      <c r="AJ1991">
        <v>65.857611038624398</v>
      </c>
      <c r="AK1991">
        <v>0.36348149780641298</v>
      </c>
      <c r="AL1991">
        <v>78.580123401842499</v>
      </c>
      <c r="AM1991">
        <v>90.388764351791906</v>
      </c>
      <c r="AN1991">
        <v>1.0000000182197799</v>
      </c>
    </row>
    <row r="1992" spans="1:40" x14ac:dyDescent="0.25">
      <c r="A1992" t="str">
        <f>"20190312172408500"</f>
        <v>20190312172408500</v>
      </c>
      <c r="B1992" t="str">
        <f>"1552382648492256"</f>
        <v>1552382648492256</v>
      </c>
      <c r="C1992" t="s">
        <v>40</v>
      </c>
      <c r="D1992">
        <v>4.0745550000000001</v>
      </c>
      <c r="E1992">
        <v>0.58273459999999999</v>
      </c>
      <c r="F1992" t="s">
        <v>41</v>
      </c>
      <c r="G1992">
        <v>-303.14499999999998</v>
      </c>
      <c r="H1992">
        <v>0.94861770000000001</v>
      </c>
      <c r="I1992">
        <v>283.66250000000002</v>
      </c>
      <c r="J1992">
        <v>-302.8501</v>
      </c>
      <c r="K1992">
        <v>1.1083179999999999</v>
      </c>
      <c r="L1992">
        <v>283.51260000000002</v>
      </c>
      <c r="M1992">
        <v>-0.99992979999999998</v>
      </c>
      <c r="N1992">
        <v>0</v>
      </c>
      <c r="O1992">
        <v>6.3633999999999904E-3</v>
      </c>
      <c r="P1992">
        <v>-0.98220609999999997</v>
      </c>
      <c r="Q1992">
        <v>0.18780520000000001</v>
      </c>
      <c r="R1992">
        <v>-2.8573120000000002E-4</v>
      </c>
      <c r="S1992">
        <v>-3.1838989999999998</v>
      </c>
      <c r="T1992">
        <v>-0.66835</v>
      </c>
      <c r="U1992">
        <v>0.64025880000000002</v>
      </c>
      <c r="V1992">
        <v>-5.9978870000000004E-3</v>
      </c>
      <c r="W1992">
        <v>0.19762669999999999</v>
      </c>
      <c r="X1992">
        <v>0.98025899999999999</v>
      </c>
      <c r="Y1992">
        <v>0.18711659999999999</v>
      </c>
      <c r="Z1992">
        <v>1.793256E-2</v>
      </c>
      <c r="AA1992">
        <v>0.98217399999999999</v>
      </c>
      <c r="AB1992">
        <v>45</v>
      </c>
      <c r="AC1992">
        <v>-0.29489999999998401</v>
      </c>
      <c r="AD1992">
        <v>-0.15970029999999999</v>
      </c>
      <c r="AE1992">
        <v>0.149900000000002</v>
      </c>
      <c r="AF1992">
        <v>0.120043932687139</v>
      </c>
      <c r="AG1992">
        <v>-0.15970029999999999</v>
      </c>
      <c r="AH1992">
        <v>0.23993161989315001</v>
      </c>
      <c r="AI1992">
        <v>120.763644205839</v>
      </c>
      <c r="AJ1992">
        <v>63.420026170143302</v>
      </c>
      <c r="AK1992">
        <v>0.31222093751002</v>
      </c>
      <c r="AL1992">
        <v>78.601790858029204</v>
      </c>
      <c r="AM1992">
        <v>90.350569923461606</v>
      </c>
      <c r="AN1992">
        <v>0.99999999714117704</v>
      </c>
    </row>
    <row r="1993" spans="1:40" x14ac:dyDescent="0.25">
      <c r="A1993" t="str">
        <f>"20190312172408522"</f>
        <v>20190312172408522</v>
      </c>
      <c r="B1993" t="str">
        <f>"1552382648511776"</f>
        <v>1552382648511776</v>
      </c>
      <c r="C1993" t="s">
        <v>40</v>
      </c>
      <c r="D1993">
        <v>3.5689609999999998</v>
      </c>
      <c r="E1993">
        <v>0.58223610000000003</v>
      </c>
      <c r="F1993" t="s">
        <v>41</v>
      </c>
      <c r="G1993">
        <v>-303.55739999999997</v>
      </c>
      <c r="H1993">
        <v>0.95989999999999998</v>
      </c>
      <c r="I1993">
        <v>283.6549</v>
      </c>
      <c r="J1993">
        <v>-303.2901</v>
      </c>
      <c r="K1993">
        <v>1.108357</v>
      </c>
      <c r="L1993">
        <v>283.51589999999999</v>
      </c>
      <c r="M1993">
        <v>-0.99992389999999998</v>
      </c>
      <c r="N1993">
        <v>0</v>
      </c>
      <c r="O1993">
        <v>7.151691E-3</v>
      </c>
      <c r="P1993">
        <v>-0.9822611</v>
      </c>
      <c r="Q1993">
        <v>0.18751789999999999</v>
      </c>
      <c r="R1993">
        <v>6.8068410000000001E-4</v>
      </c>
      <c r="S1993">
        <v>-3.18222</v>
      </c>
      <c r="T1993">
        <v>-0.66780439999999996</v>
      </c>
      <c r="U1993">
        <v>0.64004519999999998</v>
      </c>
      <c r="V1993">
        <v>-5.8228689999999996E-3</v>
      </c>
      <c r="W1993">
        <v>0.19740469999999999</v>
      </c>
      <c r="X1993">
        <v>0.98030479999999998</v>
      </c>
      <c r="Y1993">
        <v>0.186413</v>
      </c>
      <c r="Z1993">
        <v>1.769306E-2</v>
      </c>
      <c r="AA1993">
        <v>0.98231210000000002</v>
      </c>
      <c r="AB1993">
        <v>46</v>
      </c>
      <c r="AC1993">
        <v>-0.267299999999977</v>
      </c>
      <c r="AD1993">
        <v>-0.14845700000000001</v>
      </c>
      <c r="AE1993">
        <v>0.13900000000001</v>
      </c>
      <c r="AF1993">
        <v>0.110302662601128</v>
      </c>
      <c r="AG1993">
        <v>-0.14845700000000001</v>
      </c>
      <c r="AH1993">
        <v>0.21587239941306399</v>
      </c>
      <c r="AI1993">
        <v>121.48310471675801</v>
      </c>
      <c r="AJ1993">
        <v>62.934679380578899</v>
      </c>
      <c r="AK1993">
        <v>0.28426581056161498</v>
      </c>
      <c r="AL1993">
        <v>78.6147662993056</v>
      </c>
      <c r="AM1993">
        <v>90.340324656975397</v>
      </c>
      <c r="AN1993">
        <v>1.00000001114426</v>
      </c>
    </row>
    <row r="1994" spans="1:40" x14ac:dyDescent="0.25">
      <c r="A1994" t="str">
        <f>"20190312172408544"</f>
        <v>20190312172408544</v>
      </c>
      <c r="B1994" t="str">
        <f>"1552382648542029"</f>
        <v>1552382648542029</v>
      </c>
      <c r="C1994" t="s">
        <v>40</v>
      </c>
      <c r="D1994">
        <v>3.569086</v>
      </c>
      <c r="E1994">
        <v>0.58173189999999997</v>
      </c>
      <c r="F1994" t="s">
        <v>41</v>
      </c>
      <c r="G1994">
        <v>-304.34410000000003</v>
      </c>
      <c r="H1994">
        <v>0.88809899999999997</v>
      </c>
      <c r="I1994">
        <v>283.72750000000002</v>
      </c>
      <c r="J1994">
        <v>-303.74939999999998</v>
      </c>
      <c r="K1994">
        <v>1.1084099999999999</v>
      </c>
      <c r="L1994">
        <v>283.5197</v>
      </c>
      <c r="M1994">
        <v>-0.99991739999999996</v>
      </c>
      <c r="N1994">
        <v>0</v>
      </c>
      <c r="O1994">
        <v>7.9167100000000004E-3</v>
      </c>
      <c r="P1994">
        <v>-0.98239050000000006</v>
      </c>
      <c r="Q1994">
        <v>0.18683340000000001</v>
      </c>
      <c r="R1994">
        <v>1.6250730000000001E-3</v>
      </c>
      <c r="S1994">
        <v>-3.180634</v>
      </c>
      <c r="T1994">
        <v>-0.66471539999999996</v>
      </c>
      <c r="U1994">
        <v>0.63842769999999904</v>
      </c>
      <c r="V1994">
        <v>-5.6539090000000004E-3</v>
      </c>
      <c r="W1994">
        <v>0.1967815</v>
      </c>
      <c r="X1994">
        <v>0.9804311</v>
      </c>
      <c r="Y1994">
        <v>0.1853448</v>
      </c>
      <c r="Z1994">
        <v>1.735621E-2</v>
      </c>
      <c r="AA1994">
        <v>0.98252030000000001</v>
      </c>
      <c r="AB1994">
        <v>46</v>
      </c>
      <c r="AC1994">
        <v>-0.59470000000004497</v>
      </c>
      <c r="AD1994">
        <v>-0.22031100000000001</v>
      </c>
      <c r="AE1994">
        <v>0.20780000000002</v>
      </c>
      <c r="AF1994">
        <v>0.18095350984668501</v>
      </c>
      <c r="AG1994">
        <v>-0.22031100000000001</v>
      </c>
      <c r="AH1994">
        <v>0.53134049893345003</v>
      </c>
      <c r="AI1994">
        <v>111.429788867124</v>
      </c>
      <c r="AJ1994">
        <v>71.193192495373594</v>
      </c>
      <c r="AK1994">
        <v>0.60299571744224001</v>
      </c>
      <c r="AL1994">
        <v>78.651187696809103</v>
      </c>
      <c r="AM1994">
        <v>90.330407238751505</v>
      </c>
      <c r="AN1994">
        <v>1.00000003363821</v>
      </c>
    </row>
    <row r="1995" spans="1:40" x14ac:dyDescent="0.25">
      <c r="A1995" t="str">
        <f>"20190312172408568"</f>
        <v>20190312172408568</v>
      </c>
      <c r="B1995" t="str">
        <f>"1552382648561549"</f>
        <v>1552382648561549</v>
      </c>
      <c r="C1995" t="s">
        <v>40</v>
      </c>
      <c r="D1995">
        <v>3.5670069999999998</v>
      </c>
      <c r="E1995">
        <v>0.58138389999999995</v>
      </c>
      <c r="F1995" t="s">
        <v>41</v>
      </c>
      <c r="G1995">
        <v>-304.75639999999999</v>
      </c>
      <c r="H1995">
        <v>0.89873179999999997</v>
      </c>
      <c r="I1995">
        <v>283.72190000000001</v>
      </c>
      <c r="J1995">
        <v>-304.22019999999998</v>
      </c>
      <c r="K1995">
        <v>1.1084590000000001</v>
      </c>
      <c r="L1995">
        <v>283.52390000000003</v>
      </c>
      <c r="M1995">
        <v>-0.99991079999999999</v>
      </c>
      <c r="N1995">
        <v>0</v>
      </c>
      <c r="O1995">
        <v>8.647666E-3</v>
      </c>
      <c r="P1995">
        <v>-0.98235649999999997</v>
      </c>
      <c r="Q1995">
        <v>0.1870067</v>
      </c>
      <c r="R1995">
        <v>2.0842669999999999E-3</v>
      </c>
      <c r="S1995">
        <v>-3.1785890000000001</v>
      </c>
      <c r="T1995">
        <v>-0.66186630000000002</v>
      </c>
      <c r="U1995">
        <v>0.63714599999999999</v>
      </c>
      <c r="V1995">
        <v>-5.9350690000000003E-3</v>
      </c>
      <c r="W1995">
        <v>0.19701109999999999</v>
      </c>
      <c r="X1995">
        <v>0.98038329999999996</v>
      </c>
      <c r="Y1995">
        <v>0.18442839999999999</v>
      </c>
      <c r="Z1995">
        <v>1.7052080000000001E-2</v>
      </c>
      <c r="AA1995">
        <v>0.98269799999999996</v>
      </c>
      <c r="AB1995">
        <v>46</v>
      </c>
      <c r="AC1995">
        <v>-0.536200000000008</v>
      </c>
      <c r="AD1995">
        <v>-0.2097272</v>
      </c>
      <c r="AE1995">
        <v>0.197999999999979</v>
      </c>
      <c r="AF1995">
        <v>0.17041283209538</v>
      </c>
      <c r="AG1995">
        <v>-0.2097272</v>
      </c>
      <c r="AH1995">
        <v>0.47406852606451799</v>
      </c>
      <c r="AI1995">
        <v>112.602821697997</v>
      </c>
      <c r="AJ1995">
        <v>70.228073123599899</v>
      </c>
      <c r="AK1995">
        <v>0.54568030857599503</v>
      </c>
      <c r="AL1995">
        <v>78.637769614577095</v>
      </c>
      <c r="AM1995">
        <v>90.346854389211998</v>
      </c>
      <c r="AN1995">
        <v>1.0000000067430601</v>
      </c>
    </row>
    <row r="1996" spans="1:40" x14ac:dyDescent="0.25">
      <c r="A1996" t="str">
        <f>"20190312172408590"</f>
        <v>20190312172408590</v>
      </c>
      <c r="B1996" t="str">
        <f>"1552382648582045"</f>
        <v>1552382648582045</v>
      </c>
      <c r="C1996" t="s">
        <v>40</v>
      </c>
      <c r="D1996">
        <v>3.5512329999999999</v>
      </c>
      <c r="E1996">
        <v>0.58101759999999902</v>
      </c>
      <c r="F1996" t="s">
        <v>41</v>
      </c>
      <c r="G1996">
        <v>-305.16989999999998</v>
      </c>
      <c r="H1996">
        <v>0.91142520000000005</v>
      </c>
      <c r="I1996">
        <v>283.71429999999998</v>
      </c>
      <c r="J1996">
        <v>-304.6927</v>
      </c>
      <c r="K1996">
        <v>1.108511</v>
      </c>
      <c r="L1996">
        <v>283.52850000000001</v>
      </c>
      <c r="M1996">
        <v>-0.99990429999999997</v>
      </c>
      <c r="N1996">
        <v>0</v>
      </c>
      <c r="O1996">
        <v>9.3249720000000008E-3</v>
      </c>
      <c r="P1996">
        <v>-0.98236820000000002</v>
      </c>
      <c r="Q1996">
        <v>0.186941</v>
      </c>
      <c r="R1996">
        <v>2.4840140000000001E-3</v>
      </c>
      <c r="S1996">
        <v>-3.17807</v>
      </c>
      <c r="T1996">
        <v>-0.65943069999999904</v>
      </c>
      <c r="U1996">
        <v>0.63604740000000004</v>
      </c>
      <c r="V1996">
        <v>-6.2249269999999999E-3</v>
      </c>
      <c r="W1996">
        <v>0.19699520000000001</v>
      </c>
      <c r="X1996">
        <v>0.9803847</v>
      </c>
      <c r="Y1996">
        <v>0.18352470000000001</v>
      </c>
      <c r="Z1996">
        <v>1.6764279999999999E-2</v>
      </c>
      <c r="AA1996">
        <v>0.98287210000000003</v>
      </c>
      <c r="AB1996">
        <v>46</v>
      </c>
      <c r="AC1996">
        <v>-0.47719999999998203</v>
      </c>
      <c r="AD1996">
        <v>-0.19708580000000001</v>
      </c>
      <c r="AE1996">
        <v>0.18579999999997199</v>
      </c>
      <c r="AF1996">
        <v>0.15794694806581799</v>
      </c>
      <c r="AG1996">
        <v>-0.19708580000000001</v>
      </c>
      <c r="AH1996">
        <v>0.41712760790891201</v>
      </c>
      <c r="AI1996">
        <v>113.839042933736</v>
      </c>
      <c r="AJ1996">
        <v>69.260638931054999</v>
      </c>
      <c r="AK1996">
        <v>0.48763253813169299</v>
      </c>
      <c r="AL1996">
        <v>78.638698856435596</v>
      </c>
      <c r="AM1996">
        <v>90.363793164002104</v>
      </c>
      <c r="AN1996">
        <v>1.0000000092666399</v>
      </c>
    </row>
    <row r="1997" spans="1:40" x14ac:dyDescent="0.25">
      <c r="A1997" t="str">
        <f>"20190312172408611"</f>
        <v>20190312172408611</v>
      </c>
      <c r="B1997" t="str">
        <f>"1552382648601565"</f>
        <v>1552382648601565</v>
      </c>
      <c r="C1997" t="s">
        <v>40</v>
      </c>
      <c r="D1997">
        <v>3.5338189999999998</v>
      </c>
      <c r="E1997">
        <v>0.58090629999999999</v>
      </c>
      <c r="F1997" t="s">
        <v>41</v>
      </c>
      <c r="G1997">
        <v>-305.58359999999999</v>
      </c>
      <c r="H1997">
        <v>0.92419459999999998</v>
      </c>
      <c r="I1997">
        <v>283.70679999999999</v>
      </c>
      <c r="J1997">
        <v>-305.11700000000002</v>
      </c>
      <c r="K1997">
        <v>1.108549</v>
      </c>
      <c r="L1997">
        <v>283.53280000000001</v>
      </c>
      <c r="M1997">
        <v>-0.99989859999999997</v>
      </c>
      <c r="N1997">
        <v>0</v>
      </c>
      <c r="O1997">
        <v>9.8850440000000008E-3</v>
      </c>
      <c r="P1997">
        <v>-0.98243570000000002</v>
      </c>
      <c r="Q1997">
        <v>0.1865878</v>
      </c>
      <c r="R1997">
        <v>2.3581449999999999E-3</v>
      </c>
      <c r="S1997">
        <v>-3.177368</v>
      </c>
      <c r="T1997">
        <v>-0.65741649999999996</v>
      </c>
      <c r="U1997">
        <v>0.63531490000000002</v>
      </c>
      <c r="V1997">
        <v>-6.9242549999999998E-3</v>
      </c>
      <c r="W1997">
        <v>0.19668379999999999</v>
      </c>
      <c r="X1997">
        <v>0.98044249999999999</v>
      </c>
      <c r="Y1997">
        <v>0.1828436</v>
      </c>
      <c r="Z1997">
        <v>1.6535419999999999E-2</v>
      </c>
      <c r="AA1997">
        <v>0.98300299999999996</v>
      </c>
      <c r="AB1997">
        <v>46</v>
      </c>
      <c r="AC1997">
        <v>-0.46659999999997098</v>
      </c>
      <c r="AD1997">
        <v>-0.1843544</v>
      </c>
      <c r="AE1997">
        <v>0.17399999999997801</v>
      </c>
      <c r="AF1997">
        <v>0.14896382170936501</v>
      </c>
      <c r="AG1997">
        <v>-0.1843544</v>
      </c>
      <c r="AH1997">
        <v>0.411853874863852</v>
      </c>
      <c r="AI1997">
        <v>112.827858588707</v>
      </c>
      <c r="AJ1997">
        <v>70.115400926347505</v>
      </c>
      <c r="AK1997">
        <v>0.47518457384261598</v>
      </c>
      <c r="AL1997">
        <v>78.656896445316903</v>
      </c>
      <c r="AM1997">
        <v>90.404637693731203</v>
      </c>
      <c r="AN1997">
        <v>0.99999997914799699</v>
      </c>
    </row>
    <row r="1998" spans="1:40" x14ac:dyDescent="0.25">
      <c r="A1998" t="str">
        <f>"20190312172408633"</f>
        <v>20190312172408633</v>
      </c>
      <c r="B1998" t="str">
        <f>"1552382648622061"</f>
        <v>1552382648622061</v>
      </c>
      <c r="C1998" t="s">
        <v>40</v>
      </c>
      <c r="D1998">
        <v>3.6037889999999999</v>
      </c>
      <c r="E1998">
        <v>0.58102379999999998</v>
      </c>
      <c r="F1998" t="s">
        <v>41</v>
      </c>
      <c r="G1998">
        <v>-305.99349999999998</v>
      </c>
      <c r="H1998">
        <v>0.92642579999999997</v>
      </c>
      <c r="I1998">
        <v>283.7079</v>
      </c>
      <c r="J1998">
        <v>-305.56099999999998</v>
      </c>
      <c r="K1998">
        <v>1.1086009999999999</v>
      </c>
      <c r="L1998">
        <v>283.53750000000002</v>
      </c>
      <c r="M1998">
        <v>-0.99989260000000002</v>
      </c>
      <c r="N1998">
        <v>0</v>
      </c>
      <c r="O1998">
        <v>1.042566E-2</v>
      </c>
      <c r="P1998">
        <v>-0.98239560000000004</v>
      </c>
      <c r="Q1998">
        <v>0.1868023</v>
      </c>
      <c r="R1998">
        <v>1.9928060000000002E-3</v>
      </c>
      <c r="S1998">
        <v>-3.177521</v>
      </c>
      <c r="T1998">
        <v>-0.66026189999999996</v>
      </c>
      <c r="U1998">
        <v>0.63461299999999998</v>
      </c>
      <c r="V1998">
        <v>-7.8425030000000007E-3</v>
      </c>
      <c r="W1998">
        <v>0.19693859999999999</v>
      </c>
      <c r="X1998">
        <v>0.98038449999999999</v>
      </c>
      <c r="Y1998">
        <v>0.182091</v>
      </c>
      <c r="Z1998">
        <v>1.6418439999999999E-2</v>
      </c>
      <c r="AA1998">
        <v>0.98314460000000004</v>
      </c>
      <c r="AB1998">
        <v>46</v>
      </c>
      <c r="AC1998">
        <v>-0.43250000000000399</v>
      </c>
      <c r="AD1998">
        <v>-0.18217520000000001</v>
      </c>
      <c r="AE1998">
        <v>0.17039999999997199</v>
      </c>
      <c r="AF1998">
        <v>0.14379685888118501</v>
      </c>
      <c r="AG1998">
        <v>-0.18217520000000001</v>
      </c>
      <c r="AH1998">
        <v>0.37643903458338002</v>
      </c>
      <c r="AI1998">
        <v>114.32689810717</v>
      </c>
      <c r="AJ1998">
        <v>69.093521962797098</v>
      </c>
      <c r="AK1998">
        <v>0.442234877499732</v>
      </c>
      <c r="AL1998">
        <v>78.642006977380007</v>
      </c>
      <c r="AM1998">
        <v>90.458322972790498</v>
      </c>
      <c r="AN1998">
        <v>1.0000000424317499</v>
      </c>
    </row>
    <row r="1999" spans="1:40" x14ac:dyDescent="0.25">
      <c r="A1999" t="str">
        <f>"20190312172408656"</f>
        <v>20190312172408656</v>
      </c>
      <c r="B1999" t="str">
        <f>"1552382648652319"</f>
        <v>1552382648652319</v>
      </c>
      <c r="C1999" t="s">
        <v>40</v>
      </c>
      <c r="D1999">
        <v>3.531936</v>
      </c>
      <c r="E1999">
        <v>0.58695299999999995</v>
      </c>
      <c r="F1999" t="s">
        <v>41</v>
      </c>
      <c r="G1999">
        <v>-306.40550000000002</v>
      </c>
      <c r="H1999">
        <v>0.93310139999999997</v>
      </c>
      <c r="I1999">
        <v>283.70679999999999</v>
      </c>
      <c r="J1999">
        <v>-306.0403</v>
      </c>
      <c r="K1999">
        <v>1.1086560000000001</v>
      </c>
      <c r="L1999">
        <v>283.54289999999997</v>
      </c>
      <c r="M1999">
        <v>-0.99988619999999995</v>
      </c>
      <c r="N1999">
        <v>0</v>
      </c>
      <c r="O1999">
        <v>1.0967070000000001E-2</v>
      </c>
      <c r="P1999">
        <v>-0.98245850000000001</v>
      </c>
      <c r="Q1999">
        <v>0.1864722</v>
      </c>
      <c r="R1999">
        <v>1.8252170000000001E-3</v>
      </c>
      <c r="S1999">
        <v>-3.1780400000000002</v>
      </c>
      <c r="T1999">
        <v>-0.66045640000000005</v>
      </c>
      <c r="U1999">
        <v>0.63610840000000002</v>
      </c>
      <c r="V1999">
        <v>-8.5666679999999995E-3</v>
      </c>
      <c r="W1999">
        <v>0.19665150000000001</v>
      </c>
      <c r="X1999">
        <v>0.98043599999999997</v>
      </c>
      <c r="Y1999">
        <v>0.1819858</v>
      </c>
      <c r="Z1999">
        <v>1.6298940000000001E-2</v>
      </c>
      <c r="AA1999">
        <v>0.98316610000000004</v>
      </c>
      <c r="AB1999">
        <v>46</v>
      </c>
      <c r="AC1999">
        <v>-0.36520000000001501</v>
      </c>
      <c r="AD1999">
        <v>-0.17555459999999901</v>
      </c>
      <c r="AE1999">
        <v>0.16390000000001201</v>
      </c>
      <c r="AF1999">
        <v>0.13409328291478101</v>
      </c>
      <c r="AG1999">
        <v>-0.17555459999999901</v>
      </c>
      <c r="AH1999">
        <v>0.30777773689543497</v>
      </c>
      <c r="AI1999">
        <v>117.605930625919</v>
      </c>
      <c r="AJ1999">
        <v>66.458099985263004</v>
      </c>
      <c r="AK1999">
        <v>0.378850315339052</v>
      </c>
      <c r="AL1999">
        <v>78.658783916171004</v>
      </c>
      <c r="AM1999">
        <v>90.500615471503806</v>
      </c>
      <c r="AN1999">
        <v>0.99999997517443495</v>
      </c>
    </row>
    <row r="2000" spans="1:40" x14ac:dyDescent="0.25">
      <c r="A2000" t="str">
        <f>"20190312172408679"</f>
        <v>20190312172408679</v>
      </c>
      <c r="B2000" t="str">
        <f>"1552382648671837"</f>
        <v>1552382648671837</v>
      </c>
      <c r="C2000" t="s">
        <v>40</v>
      </c>
      <c r="D2000">
        <v>3.7207490000000001</v>
      </c>
      <c r="E2000">
        <v>0.58621780000000001</v>
      </c>
      <c r="F2000" t="s">
        <v>41</v>
      </c>
      <c r="G2000">
        <v>-306.81479999999999</v>
      </c>
      <c r="H2000">
        <v>0.93268669999999998</v>
      </c>
      <c r="I2000">
        <v>283.7088</v>
      </c>
      <c r="J2000">
        <v>-306.50220000000002</v>
      </c>
      <c r="K2000">
        <v>1.1087049999999901</v>
      </c>
      <c r="L2000">
        <v>283.54820000000001</v>
      </c>
      <c r="M2000">
        <v>-0.99988030000000006</v>
      </c>
      <c r="N2000">
        <v>0</v>
      </c>
      <c r="O2000">
        <v>1.1458319999999999E-2</v>
      </c>
      <c r="P2000">
        <v>-0.98232810000000004</v>
      </c>
      <c r="Q2000">
        <v>0.18715960000000001</v>
      </c>
      <c r="R2000">
        <v>1.765906E-3</v>
      </c>
      <c r="S2000">
        <v>-3.18988</v>
      </c>
      <c r="T2000">
        <v>-0.72473140000000003</v>
      </c>
      <c r="U2000">
        <v>0.68316650000000001</v>
      </c>
      <c r="V2000">
        <v>-9.1253870000000004E-3</v>
      </c>
      <c r="W2000">
        <v>0.1973762</v>
      </c>
      <c r="X2000">
        <v>0.98028530000000003</v>
      </c>
      <c r="Y2000">
        <v>0.1937576</v>
      </c>
      <c r="Z2000">
        <v>1.89567E-2</v>
      </c>
      <c r="AA2000">
        <v>0.98086629999999997</v>
      </c>
      <c r="AB2000">
        <v>46</v>
      </c>
      <c r="AC2000">
        <v>-0.31259999999997401</v>
      </c>
      <c r="AD2000">
        <v>-0.17601829999999899</v>
      </c>
      <c r="AE2000">
        <v>0.160599999999988</v>
      </c>
      <c r="AF2000">
        <v>0.12552082104873299</v>
      </c>
      <c r="AG2000">
        <v>-0.17601829999999899</v>
      </c>
      <c r="AH2000">
        <v>0.25136542193578199</v>
      </c>
      <c r="AI2000">
        <v>122.06643403538899</v>
      </c>
      <c r="AJ2000">
        <v>63.464477143530402</v>
      </c>
      <c r="AK2000">
        <v>0.33154561344797201</v>
      </c>
      <c r="AL2000">
        <v>78.616431333409295</v>
      </c>
      <c r="AM2000">
        <v>90.533345812447706</v>
      </c>
      <c r="AN2000">
        <v>0.99999995320521295</v>
      </c>
    </row>
    <row r="2001" spans="1:40" x14ac:dyDescent="0.25">
      <c r="A2001" t="str">
        <f>"20190312172408700"</f>
        <v>20190312172408700</v>
      </c>
      <c r="B2001" t="str">
        <f>"1552382648692337"</f>
        <v>1552382648692337</v>
      </c>
      <c r="C2001" t="s">
        <v>40</v>
      </c>
      <c r="D2001">
        <v>3.5170219999999999</v>
      </c>
      <c r="E2001">
        <v>0.58591680000000002</v>
      </c>
      <c r="F2001" t="s">
        <v>41</v>
      </c>
      <c r="G2001">
        <v>-307.22829999999999</v>
      </c>
      <c r="H2001">
        <v>0.94139669999999998</v>
      </c>
      <c r="I2001">
        <v>283.70269999999999</v>
      </c>
      <c r="J2001">
        <v>-306.94049999999999</v>
      </c>
      <c r="K2001">
        <v>1.1087389999999999</v>
      </c>
      <c r="L2001">
        <v>283.55360000000002</v>
      </c>
      <c r="M2001">
        <v>-0.99987490000000001</v>
      </c>
      <c r="N2001">
        <v>0</v>
      </c>
      <c r="O2001">
        <v>1.190477E-2</v>
      </c>
      <c r="P2001">
        <v>-0.9823925</v>
      </c>
      <c r="Q2001">
        <v>0.1868206</v>
      </c>
      <c r="R2001">
        <v>1.9179150000000001E-3</v>
      </c>
      <c r="S2001">
        <v>-3.192841</v>
      </c>
      <c r="T2001">
        <v>-0.7356606</v>
      </c>
      <c r="U2001">
        <v>0.67770390000000003</v>
      </c>
      <c r="V2001">
        <v>-9.4302759999999996E-3</v>
      </c>
      <c r="W2001">
        <v>0.19707189999999999</v>
      </c>
      <c r="X2001">
        <v>0.98034370000000004</v>
      </c>
      <c r="Y2001">
        <v>0.19146940000000001</v>
      </c>
      <c r="Z2001">
        <v>1.8863950000000001E-2</v>
      </c>
      <c r="AA2001">
        <v>0.98131729999999995</v>
      </c>
      <c r="AB2001">
        <v>46</v>
      </c>
      <c r="AC2001">
        <v>-0.287800000000004</v>
      </c>
      <c r="AD2001">
        <v>-0.1673423</v>
      </c>
      <c r="AE2001">
        <v>0.149099999999975</v>
      </c>
      <c r="AF2001">
        <v>0.115007917611856</v>
      </c>
      <c r="AG2001">
        <v>-0.1673423</v>
      </c>
      <c r="AH2001">
        <v>0.228617224092695</v>
      </c>
      <c r="AI2001">
        <v>123.180557630373</v>
      </c>
      <c r="AJ2001">
        <v>63.2949131313785</v>
      </c>
      <c r="AK2001">
        <v>0.305771322452834</v>
      </c>
      <c r="AL2001">
        <v>78.634216488540901</v>
      </c>
      <c r="AM2001">
        <v>90.551131557113294</v>
      </c>
      <c r="AN2001">
        <v>1.00000001700236</v>
      </c>
    </row>
    <row r="2002" spans="1:40" x14ac:dyDescent="0.25">
      <c r="A2002" t="str">
        <f>"20190312172408723"</f>
        <v>20190312172408723</v>
      </c>
      <c r="B2002" t="str">
        <f>"1552382648711854"</f>
        <v>1552382648711854</v>
      </c>
      <c r="C2002" t="s">
        <v>40</v>
      </c>
      <c r="D2002">
        <v>3.5610460000000002</v>
      </c>
      <c r="E2002">
        <v>0.58605030000000002</v>
      </c>
      <c r="F2002" t="s">
        <v>41</v>
      </c>
      <c r="G2002">
        <v>-307.6413</v>
      </c>
      <c r="H2002">
        <v>0.94754769999999999</v>
      </c>
      <c r="I2002">
        <v>283.70190000000002</v>
      </c>
      <c r="J2002">
        <v>-307.399</v>
      </c>
      <c r="K2002">
        <v>1.1087769999999999</v>
      </c>
      <c r="L2002">
        <v>283.55939999999998</v>
      </c>
      <c r="M2002">
        <v>-0.99986900000000001</v>
      </c>
      <c r="N2002">
        <v>0</v>
      </c>
      <c r="O2002">
        <v>1.235757E-2</v>
      </c>
      <c r="P2002">
        <v>-0.98247240000000002</v>
      </c>
      <c r="Q2002">
        <v>0.18639620000000001</v>
      </c>
      <c r="R2002">
        <v>2.111468E-3</v>
      </c>
      <c r="S2002">
        <v>-3.1921080000000002</v>
      </c>
      <c r="T2002">
        <v>-0.73432140000000001</v>
      </c>
      <c r="U2002">
        <v>0.67507930000000005</v>
      </c>
      <c r="V2002">
        <v>-9.6975010000000007E-3</v>
      </c>
      <c r="W2002">
        <v>0.19668430000000001</v>
      </c>
      <c r="X2002">
        <v>0.98041889999999998</v>
      </c>
      <c r="Y2002">
        <v>0.1903514</v>
      </c>
      <c r="Z2002">
        <v>1.8608840000000001E-2</v>
      </c>
      <c r="AA2002">
        <v>0.98153959999999996</v>
      </c>
      <c r="AB2002">
        <v>46</v>
      </c>
      <c r="AC2002">
        <v>-0.24229999999999999</v>
      </c>
      <c r="AD2002">
        <v>-0.16122929999999999</v>
      </c>
      <c r="AE2002">
        <v>0.14250000000004001</v>
      </c>
      <c r="AF2002">
        <v>0.10496338821501</v>
      </c>
      <c r="AG2002">
        <v>-0.16122929999999999</v>
      </c>
      <c r="AH2002">
        <v>0.18363084609191599</v>
      </c>
      <c r="AI2002">
        <v>127.31710993032399</v>
      </c>
      <c r="AJ2002">
        <v>60.247715674403601</v>
      </c>
      <c r="AK2002">
        <v>0.26595580023849502</v>
      </c>
      <c r="AL2002">
        <v>78.656867321941405</v>
      </c>
      <c r="AM2002">
        <v>90.566704456855405</v>
      </c>
      <c r="AN2002">
        <v>0.999999987434672</v>
      </c>
    </row>
    <row r="2003" spans="1:40" x14ac:dyDescent="0.25">
      <c r="A2003" t="str">
        <f>"20190312172408734"</f>
        <v>20190312172408734</v>
      </c>
      <c r="B2003" t="str">
        <f>"1552382648721614"</f>
        <v>1552382648721614</v>
      </c>
      <c r="C2003" t="s">
        <v>40</v>
      </c>
      <c r="D2003">
        <v>3.5341710000000002</v>
      </c>
      <c r="E2003">
        <v>0.58588209999999996</v>
      </c>
      <c r="F2003" t="s">
        <v>41</v>
      </c>
      <c r="G2003">
        <v>-308.43189999999998</v>
      </c>
      <c r="H2003">
        <v>0.87167969999999895</v>
      </c>
      <c r="I2003">
        <v>283.77839999999998</v>
      </c>
      <c r="J2003">
        <v>-307.63670000000002</v>
      </c>
      <c r="K2003">
        <v>1.108792</v>
      </c>
      <c r="L2003">
        <v>283.5625</v>
      </c>
      <c r="M2003">
        <v>-0.99986589999999997</v>
      </c>
      <c r="N2003">
        <v>0</v>
      </c>
      <c r="O2003">
        <v>1.258783E-2</v>
      </c>
      <c r="P2003">
        <v>-0.98251999999999995</v>
      </c>
      <c r="Q2003">
        <v>0.18614410000000001</v>
      </c>
      <c r="R2003">
        <v>2.3040949999999999E-3</v>
      </c>
      <c r="S2003">
        <v>-3.191071</v>
      </c>
      <c r="T2003">
        <v>-0.73245070000000001</v>
      </c>
      <c r="U2003">
        <v>0.67657469999999997</v>
      </c>
      <c r="V2003">
        <v>-9.7377039999999998E-3</v>
      </c>
      <c r="W2003">
        <v>0.19645099999999999</v>
      </c>
      <c r="X2003">
        <v>0.98046529999999998</v>
      </c>
      <c r="Y2003">
        <v>0.19064890000000001</v>
      </c>
      <c r="Z2003">
        <v>1.854925E-2</v>
      </c>
      <c r="AA2003">
        <v>0.98148299999999999</v>
      </c>
      <c r="AB2003">
        <v>46</v>
      </c>
      <c r="AC2003">
        <v>-0.79519999999996505</v>
      </c>
      <c r="AD2003">
        <v>-0.2371123</v>
      </c>
      <c r="AE2003">
        <v>0.215899999999976</v>
      </c>
      <c r="AF2003">
        <v>0.19012854178447999</v>
      </c>
      <c r="AG2003">
        <v>-0.2371123</v>
      </c>
      <c r="AH2003">
        <v>0.736839445988553</v>
      </c>
      <c r="AI2003">
        <v>107.306542893287</v>
      </c>
      <c r="AJ2003">
        <v>75.531424493589498</v>
      </c>
      <c r="AK2003">
        <v>0.79705926653988601</v>
      </c>
      <c r="AL2003">
        <v>78.670500680382005</v>
      </c>
      <c r="AM2003">
        <v>90.569026765048804</v>
      </c>
      <c r="AN2003">
        <v>1.0000000113921399</v>
      </c>
    </row>
    <row r="2004" spans="1:40" x14ac:dyDescent="0.25">
      <c r="A2004" t="str">
        <f>"20190312172408748"</f>
        <v>20190312172408748</v>
      </c>
      <c r="B2004" t="str">
        <f>"1552382648742110"</f>
        <v>1552382648742110</v>
      </c>
      <c r="C2004" t="s">
        <v>40</v>
      </c>
      <c r="D2004">
        <v>3.5244219999999999</v>
      </c>
      <c r="E2004">
        <v>0.58574579999999998</v>
      </c>
      <c r="F2004" t="s">
        <v>41</v>
      </c>
      <c r="G2004">
        <v>-308.45159999999998</v>
      </c>
      <c r="H2004">
        <v>0.92178570000000004</v>
      </c>
      <c r="I2004">
        <v>283.73509999999999</v>
      </c>
      <c r="J2004">
        <v>-307.92570000000001</v>
      </c>
      <c r="K2004">
        <v>1.1088070000000001</v>
      </c>
      <c r="L2004">
        <v>283.56630000000001</v>
      </c>
      <c r="M2004">
        <v>-0.99986200000000003</v>
      </c>
      <c r="N2004">
        <v>0</v>
      </c>
      <c r="O2004">
        <v>1.2865980000000001E-2</v>
      </c>
      <c r="P2004">
        <v>-0.98257289999999997</v>
      </c>
      <c r="Q2004">
        <v>0.18586159999999999</v>
      </c>
      <c r="R2004">
        <v>2.4836319999999999E-3</v>
      </c>
      <c r="S2004">
        <v>-3.1905209999999999</v>
      </c>
      <c r="T2004">
        <v>-0.73220260000000004</v>
      </c>
      <c r="U2004">
        <v>0.67581179999999996</v>
      </c>
      <c r="V2004">
        <v>-9.8401440000000003E-3</v>
      </c>
      <c r="W2004">
        <v>0.19619149999999999</v>
      </c>
      <c r="X2004">
        <v>0.98051619999999995</v>
      </c>
      <c r="Y2004">
        <v>0.19020490000000001</v>
      </c>
      <c r="Z2004">
        <v>1.8434550000000001E-2</v>
      </c>
      <c r="AA2004">
        <v>0.98157130000000004</v>
      </c>
      <c r="AB2004">
        <v>46</v>
      </c>
      <c r="AC2004">
        <v>-0.52589999999997805</v>
      </c>
      <c r="AD2004">
        <v>-0.187021299999999</v>
      </c>
      <c r="AE2004">
        <v>0.168799999999976</v>
      </c>
      <c r="AF2004">
        <v>0.145353959418729</v>
      </c>
      <c r="AG2004">
        <v>-0.187021299999999</v>
      </c>
      <c r="AH2004">
        <v>0.47371485829888699</v>
      </c>
      <c r="AI2004">
        <v>110.67797808516799</v>
      </c>
      <c r="AJ2004">
        <v>72.941970126860895</v>
      </c>
      <c r="AK2004">
        <v>0.52963242644831099</v>
      </c>
      <c r="AL2004">
        <v>78.685663611017404</v>
      </c>
      <c r="AM2004">
        <v>90.574982641303194</v>
      </c>
      <c r="AN2004">
        <v>0.99999997578431499</v>
      </c>
    </row>
    <row r="2005" spans="1:40" x14ac:dyDescent="0.25">
      <c r="A2005" t="str">
        <f>"20190312172408769"</f>
        <v>20190312172408769</v>
      </c>
      <c r="B2005" t="str">
        <f>"1552382648761629"</f>
        <v>1552382648761629</v>
      </c>
      <c r="C2005" t="s">
        <v>40</v>
      </c>
      <c r="D2005">
        <v>3.6687430000000001</v>
      </c>
      <c r="E2005">
        <v>0.58611380000000002</v>
      </c>
      <c r="F2005" t="s">
        <v>41</v>
      </c>
      <c r="G2005">
        <v>-308.85250000000002</v>
      </c>
      <c r="H2005">
        <v>0.89622809999999897</v>
      </c>
      <c r="I2005">
        <v>283.7629</v>
      </c>
      <c r="J2005">
        <v>-308.35289999999998</v>
      </c>
      <c r="K2005">
        <v>1.10883</v>
      </c>
      <c r="L2005">
        <v>283.57209999999998</v>
      </c>
      <c r="M2005">
        <v>-0.99985650000000004</v>
      </c>
      <c r="N2005">
        <v>0</v>
      </c>
      <c r="O2005">
        <v>1.3273599999999899E-2</v>
      </c>
      <c r="P2005">
        <v>-0.98257050000000001</v>
      </c>
      <c r="Q2005">
        <v>0.18587619999999999</v>
      </c>
      <c r="R2005">
        <v>2.3452970000000001E-3</v>
      </c>
      <c r="S2005">
        <v>-3.18988</v>
      </c>
      <c r="T2005">
        <v>-0.73166180000000003</v>
      </c>
      <c r="U2005">
        <v>0.67584230000000001</v>
      </c>
      <c r="V2005">
        <v>-1.038848E-2</v>
      </c>
      <c r="W2005">
        <v>0.1962382</v>
      </c>
      <c r="X2005">
        <v>0.98050119999999996</v>
      </c>
      <c r="Y2005">
        <v>0.18987709999999999</v>
      </c>
      <c r="Z2005">
        <v>1.829679E-2</v>
      </c>
      <c r="AA2005">
        <v>0.98163739999999999</v>
      </c>
      <c r="AB2005">
        <v>46</v>
      </c>
      <c r="AC2005">
        <v>-0.49960000000004301</v>
      </c>
      <c r="AD2005">
        <v>-0.21260190000000001</v>
      </c>
      <c r="AE2005">
        <v>0.19080000000002401</v>
      </c>
      <c r="AF2005">
        <v>0.159020138985034</v>
      </c>
      <c r="AG2005">
        <v>-0.21260190000000001</v>
      </c>
      <c r="AH2005">
        <v>0.43356851284533598</v>
      </c>
      <c r="AI2005">
        <v>114.719734347233</v>
      </c>
      <c r="AJ2005">
        <v>69.858452730828702</v>
      </c>
      <c r="AK2005">
        <v>0.50839809973813399</v>
      </c>
      <c r="AL2005">
        <v>78.682934872387406</v>
      </c>
      <c r="AM2005">
        <v>90.607030148415205</v>
      </c>
      <c r="AN2005">
        <v>0.99999997742869495</v>
      </c>
    </row>
    <row r="2006" spans="1:40" x14ac:dyDescent="0.25">
      <c r="A2006" t="str">
        <f>"20190312172408791"</f>
        <v>20190312172408791</v>
      </c>
      <c r="B2006" t="str">
        <f>"1552382648782125"</f>
        <v>1552382648782125</v>
      </c>
      <c r="C2006" t="s">
        <v>40</v>
      </c>
      <c r="D2006">
        <v>3.5332479999999999</v>
      </c>
      <c r="E2006">
        <v>0.58611269999999904</v>
      </c>
      <c r="F2006" t="s">
        <v>41</v>
      </c>
      <c r="G2006">
        <v>-309.2647</v>
      </c>
      <c r="H2006">
        <v>0.89861740000000001</v>
      </c>
      <c r="I2006">
        <v>283.76639999999998</v>
      </c>
      <c r="J2006">
        <v>-308.80509999999998</v>
      </c>
      <c r="K2006">
        <v>1.1088519999999999</v>
      </c>
      <c r="L2006">
        <v>283.57839999999999</v>
      </c>
      <c r="M2006">
        <v>-0.99985020000000002</v>
      </c>
      <c r="N2006">
        <v>0</v>
      </c>
      <c r="O2006">
        <v>1.3702880000000001E-2</v>
      </c>
      <c r="P2006">
        <v>-0.98260159999999996</v>
      </c>
      <c r="Q2006">
        <v>0.18570710000000001</v>
      </c>
      <c r="R2006">
        <v>2.6520160000000001E-3</v>
      </c>
      <c r="S2006">
        <v>-3.1907960000000002</v>
      </c>
      <c r="T2006">
        <v>-0.73574689999999998</v>
      </c>
      <c r="U2006">
        <v>0.67877200000000004</v>
      </c>
      <c r="V2006">
        <v>-1.051267E-2</v>
      </c>
      <c r="W2006">
        <v>0.19610079999999999</v>
      </c>
      <c r="X2006">
        <v>0.98052740000000005</v>
      </c>
      <c r="Y2006">
        <v>0.19021850000000001</v>
      </c>
      <c r="Z2006">
        <v>1.8331569999999998E-2</v>
      </c>
      <c r="AA2006">
        <v>0.98157059999999996</v>
      </c>
      <c r="AB2006">
        <v>46</v>
      </c>
      <c r="AC2006">
        <v>-0.45960000000002299</v>
      </c>
      <c r="AD2006">
        <v>-0.21023459999999899</v>
      </c>
      <c r="AE2006">
        <v>0.18799999999998801</v>
      </c>
      <c r="AF2006">
        <v>0.15406764440019599</v>
      </c>
      <c r="AG2006">
        <v>-0.21023459999999899</v>
      </c>
      <c r="AH2006">
        <v>0.39188758170277499</v>
      </c>
      <c r="AI2006">
        <v>116.531516403583</v>
      </c>
      <c r="AJ2006">
        <v>68.538103708636697</v>
      </c>
      <c r="AK2006">
        <v>0.47064987281527398</v>
      </c>
      <c r="AL2006">
        <v>78.690963690603496</v>
      </c>
      <c r="AM2006">
        <v>90.614269978372704</v>
      </c>
      <c r="AN2006">
        <v>1.0000000110709599</v>
      </c>
    </row>
    <row r="2007" spans="1:40" x14ac:dyDescent="0.25">
      <c r="A2007" t="str">
        <f>"20190312172408813"</f>
        <v>20190312172408813</v>
      </c>
      <c r="B2007" t="str">
        <f>"1552382648801646"</f>
        <v>1552382648801646</v>
      </c>
      <c r="C2007" t="s">
        <v>40</v>
      </c>
      <c r="D2007">
        <v>3.5303819999999999</v>
      </c>
      <c r="E2007">
        <v>0.58600830000000004</v>
      </c>
      <c r="F2007" t="s">
        <v>41</v>
      </c>
      <c r="G2007">
        <v>-309.67950000000002</v>
      </c>
      <c r="H2007">
        <v>0.90711869999999994</v>
      </c>
      <c r="I2007">
        <v>283.76499999999999</v>
      </c>
      <c r="J2007">
        <v>-309.24700000000001</v>
      </c>
      <c r="K2007">
        <v>1.10887</v>
      </c>
      <c r="L2007">
        <v>283.58479999999997</v>
      </c>
      <c r="M2007">
        <v>-0.99984419999999996</v>
      </c>
      <c r="N2007">
        <v>0</v>
      </c>
      <c r="O2007">
        <v>1.412074E-2</v>
      </c>
      <c r="P2007">
        <v>-0.98264680000000004</v>
      </c>
      <c r="Q2007">
        <v>0.18546460000000001</v>
      </c>
      <c r="R2007">
        <v>2.8988659999999999E-3</v>
      </c>
      <c r="S2007">
        <v>-3.190369</v>
      </c>
      <c r="T2007">
        <v>-0.73613700000000004</v>
      </c>
      <c r="U2007">
        <v>0.67999270000000001</v>
      </c>
      <c r="V2007">
        <v>-1.0684259999999999E-2</v>
      </c>
      <c r="W2007">
        <v>0.19588800000000001</v>
      </c>
      <c r="X2007">
        <v>0.98056810000000005</v>
      </c>
      <c r="Y2007">
        <v>0.19020029999999999</v>
      </c>
      <c r="Z2007">
        <v>1.824657E-2</v>
      </c>
      <c r="AA2007">
        <v>0.98157570000000005</v>
      </c>
      <c r="AB2007">
        <v>46</v>
      </c>
      <c r="AC2007">
        <v>-0.43250000000000399</v>
      </c>
      <c r="AD2007">
        <v>-0.20175129999999999</v>
      </c>
      <c r="AE2007">
        <v>0.18020000000001299</v>
      </c>
      <c r="AF2007">
        <v>0.14684700018916899</v>
      </c>
      <c r="AG2007">
        <v>-0.20175129999999999</v>
      </c>
      <c r="AH2007">
        <v>0.36696177555007098</v>
      </c>
      <c r="AI2007">
        <v>117.041391868768</v>
      </c>
      <c r="AJ2007">
        <v>68.190206798622498</v>
      </c>
      <c r="AK2007">
        <v>0.443766349818357</v>
      </c>
      <c r="AL2007">
        <v>78.703397604278607</v>
      </c>
      <c r="AM2007">
        <v>90.624269524050504</v>
      </c>
      <c r="AN2007">
        <v>1.0000000303466701</v>
      </c>
    </row>
    <row r="2008" spans="1:40" x14ac:dyDescent="0.25">
      <c r="A2008" t="str">
        <f>"20190312172408826"</f>
        <v>20190312172408826</v>
      </c>
      <c r="B2008" t="str">
        <f>"1552382648822142"</f>
        <v>1552382648822142</v>
      </c>
      <c r="C2008" t="s">
        <v>40</v>
      </c>
      <c r="D2008">
        <v>3.5612180000000002</v>
      </c>
      <c r="E2008">
        <v>0.58591719999999903</v>
      </c>
      <c r="F2008" t="s">
        <v>41</v>
      </c>
      <c r="G2008">
        <v>-310.09359999999998</v>
      </c>
      <c r="H2008">
        <v>0.91324510000000003</v>
      </c>
      <c r="I2008">
        <v>283.76519999999999</v>
      </c>
      <c r="J2008">
        <v>-309.50940000000003</v>
      </c>
      <c r="K2008">
        <v>1.1088800000000001</v>
      </c>
      <c r="L2008">
        <v>283.58859999999999</v>
      </c>
      <c r="M2008">
        <v>-0.99984039999999996</v>
      </c>
      <c r="N2008">
        <v>0</v>
      </c>
      <c r="O2008">
        <v>1.436846E-2</v>
      </c>
      <c r="P2008">
        <v>-0.98270119999999905</v>
      </c>
      <c r="Q2008">
        <v>0.1851718</v>
      </c>
      <c r="R2008">
        <v>3.1654690000000002E-3</v>
      </c>
      <c r="S2008">
        <v>-3.1900940000000002</v>
      </c>
      <c r="T2008">
        <v>-0.73716199999999998</v>
      </c>
      <c r="U2008">
        <v>0.67956539999999999</v>
      </c>
      <c r="V2008">
        <v>-1.0666149999999999E-2</v>
      </c>
      <c r="W2008">
        <v>0.19561310000000001</v>
      </c>
      <c r="X2008">
        <v>0.98062309999999997</v>
      </c>
      <c r="Y2008">
        <v>0.18985079999999999</v>
      </c>
      <c r="Z2008">
        <v>1.8177800000000001E-2</v>
      </c>
      <c r="AA2008">
        <v>0.98164470000000004</v>
      </c>
      <c r="AB2008">
        <v>46</v>
      </c>
      <c r="AC2008">
        <v>-0.58419999999995298</v>
      </c>
      <c r="AD2008">
        <v>-0.195634899999999</v>
      </c>
      <c r="AE2008">
        <v>0.176600000000007</v>
      </c>
      <c r="AF2008">
        <v>0.152515835643626</v>
      </c>
      <c r="AG2008">
        <v>-0.195634899999999</v>
      </c>
      <c r="AH2008">
        <v>0.53201169442266005</v>
      </c>
      <c r="AI2008">
        <v>109.46788672787901</v>
      </c>
      <c r="AJ2008">
        <v>74.003588832560595</v>
      </c>
      <c r="AK2008">
        <v>0.58700130938742701</v>
      </c>
      <c r="AL2008">
        <v>78.719458113323398</v>
      </c>
      <c r="AM2008">
        <v>90.623176509087799</v>
      </c>
      <c r="AN2008">
        <v>0.99999995795051999</v>
      </c>
    </row>
    <row r="2009" spans="1:40" x14ac:dyDescent="0.25">
      <c r="A2009" t="str">
        <f>"20190312172408837"</f>
        <v>20190312172408837</v>
      </c>
      <c r="B2009" t="str">
        <f>"1552382648831902"</f>
        <v>1552382648831902</v>
      </c>
      <c r="C2009" t="s">
        <v>40</v>
      </c>
      <c r="D2009">
        <v>3.573169</v>
      </c>
      <c r="E2009">
        <v>0.58590209999999998</v>
      </c>
      <c r="F2009" t="s">
        <v>41</v>
      </c>
      <c r="G2009">
        <v>-310.49290000000002</v>
      </c>
      <c r="H2009">
        <v>0.88123200000000002</v>
      </c>
      <c r="I2009">
        <v>283.79849999999999</v>
      </c>
      <c r="J2009">
        <v>-309.76060000000001</v>
      </c>
      <c r="K2009">
        <v>1.108889</v>
      </c>
      <c r="L2009">
        <v>283.5924</v>
      </c>
      <c r="M2009">
        <v>-0.99983690000000003</v>
      </c>
      <c r="N2009">
        <v>0</v>
      </c>
      <c r="O2009">
        <v>1.460529E-2</v>
      </c>
      <c r="P2009">
        <v>-0.98261849999999995</v>
      </c>
      <c r="Q2009">
        <v>0.1856025</v>
      </c>
      <c r="R2009">
        <v>3.588525E-3</v>
      </c>
      <c r="S2009">
        <v>-3.1897280000000001</v>
      </c>
      <c r="T2009">
        <v>-0.73830660000000004</v>
      </c>
      <c r="U2009">
        <v>0.67941280000000004</v>
      </c>
      <c r="V2009">
        <v>-1.047769E-2</v>
      </c>
      <c r="W2009">
        <v>0.1960606</v>
      </c>
      <c r="X2009">
        <v>0.98053579999999996</v>
      </c>
      <c r="Y2009">
        <v>0.1895944</v>
      </c>
      <c r="Z2009">
        <v>1.8124950000000001E-2</v>
      </c>
      <c r="AA2009">
        <v>0.98169519999999999</v>
      </c>
      <c r="AB2009">
        <v>46</v>
      </c>
      <c r="AC2009">
        <v>-0.73230000000000905</v>
      </c>
      <c r="AD2009">
        <v>-0.227657</v>
      </c>
      <c r="AE2009">
        <v>0.20609999999999201</v>
      </c>
      <c r="AF2009">
        <v>0.17932310835985699</v>
      </c>
      <c r="AG2009">
        <v>-0.227657</v>
      </c>
      <c r="AH2009">
        <v>0.67480194168491003</v>
      </c>
      <c r="AI2009">
        <v>108.058677075651</v>
      </c>
      <c r="AJ2009">
        <v>75.118065047669404</v>
      </c>
      <c r="AK2009">
        <v>0.73439917438853797</v>
      </c>
      <c r="AL2009">
        <v>78.693312428004305</v>
      </c>
      <c r="AM2009">
        <v>90.612220959608194</v>
      </c>
      <c r="AN2009">
        <v>0.99999999797086703</v>
      </c>
    </row>
    <row r="2010" spans="1:40" x14ac:dyDescent="0.25">
      <c r="A2010" t="str">
        <f>"20190312172408857"</f>
        <v>20190312172408857</v>
      </c>
      <c r="B2010" t="str">
        <f>"1552382648852398"</f>
        <v>1552382648852398</v>
      </c>
      <c r="C2010" t="s">
        <v>40</v>
      </c>
      <c r="D2010">
        <v>3.5658699999999999</v>
      </c>
      <c r="E2010">
        <v>0.58578719999999995</v>
      </c>
      <c r="F2010" t="s">
        <v>41</v>
      </c>
      <c r="G2010">
        <v>-310.51420000000002</v>
      </c>
      <c r="H2010">
        <v>0.93486599999999997</v>
      </c>
      <c r="I2010">
        <v>283.7534</v>
      </c>
      <c r="J2010">
        <v>-310.16660000000002</v>
      </c>
      <c r="K2010">
        <v>1.108903</v>
      </c>
      <c r="L2010">
        <v>283.59859999999998</v>
      </c>
      <c r="M2010">
        <v>-0.99983080000000002</v>
      </c>
      <c r="N2010">
        <v>0</v>
      </c>
      <c r="O2010">
        <v>1.498757E-2</v>
      </c>
      <c r="P2010">
        <v>-0.98257209999999995</v>
      </c>
      <c r="Q2010">
        <v>0.18584390000000001</v>
      </c>
      <c r="R2010">
        <v>3.7582480000000001E-3</v>
      </c>
      <c r="S2010">
        <v>-3.1897280000000001</v>
      </c>
      <c r="T2010">
        <v>-0.73653239999999998</v>
      </c>
      <c r="U2010">
        <v>0.68029790000000001</v>
      </c>
      <c r="V2010">
        <v>-1.068703E-2</v>
      </c>
      <c r="W2010">
        <v>0.1963308</v>
      </c>
      <c r="X2010">
        <v>0.98047949999999995</v>
      </c>
      <c r="Y2010">
        <v>0.18951290000000001</v>
      </c>
      <c r="Z2010">
        <v>1.7986660000000002E-2</v>
      </c>
      <c r="AA2010">
        <v>0.98171350000000002</v>
      </c>
      <c r="AB2010">
        <v>46</v>
      </c>
      <c r="AC2010">
        <v>-0.34759999999999902</v>
      </c>
      <c r="AD2010">
        <v>-0.174037</v>
      </c>
      <c r="AE2010">
        <v>0.154800000000022</v>
      </c>
      <c r="AF2010">
        <v>0.12369619415020899</v>
      </c>
      <c r="AG2010">
        <v>-0.174037</v>
      </c>
      <c r="AH2010">
        <v>0.28935084241992798</v>
      </c>
      <c r="AI2010">
        <v>118.945095780751</v>
      </c>
      <c r="AJ2010">
        <v>66.853508292715702</v>
      </c>
      <c r="AK2010">
        <v>0.35960191298902799</v>
      </c>
      <c r="AL2010">
        <v>78.6775245460869</v>
      </c>
      <c r="AM2010">
        <v>90.624487780896104</v>
      </c>
      <c r="AN2010">
        <v>1.00000002277955</v>
      </c>
    </row>
    <row r="2011" spans="1:40" x14ac:dyDescent="0.25">
      <c r="A2011" t="str">
        <f>"20190312172408870"</f>
        <v>20190312172408870</v>
      </c>
      <c r="B2011" t="str">
        <f>"1552382648862158"</f>
        <v>1552382648862158</v>
      </c>
      <c r="C2011" t="s">
        <v>40</v>
      </c>
      <c r="D2011">
        <v>3.5486200000000001</v>
      </c>
      <c r="E2011">
        <v>0.58573699999999995</v>
      </c>
      <c r="F2011" t="s">
        <v>41</v>
      </c>
      <c r="G2011">
        <v>-310.92599999999999</v>
      </c>
      <c r="H2011">
        <v>0.93403150000000001</v>
      </c>
      <c r="I2011">
        <v>283.7604</v>
      </c>
      <c r="J2011">
        <v>-310.43990000000002</v>
      </c>
      <c r="K2011">
        <v>1.108914</v>
      </c>
      <c r="L2011">
        <v>283.6028</v>
      </c>
      <c r="M2011">
        <v>-0.99982669999999996</v>
      </c>
      <c r="N2011">
        <v>0</v>
      </c>
      <c r="O2011">
        <v>1.5243329999999999E-2</v>
      </c>
      <c r="P2011">
        <v>-0.9825644</v>
      </c>
      <c r="Q2011">
        <v>0.1858783</v>
      </c>
      <c r="R2011">
        <v>4.0568030000000003E-3</v>
      </c>
      <c r="S2011">
        <v>-3.189514</v>
      </c>
      <c r="T2011">
        <v>-0.7344098</v>
      </c>
      <c r="U2011">
        <v>0.67977909999999997</v>
      </c>
      <c r="V2011">
        <v>-1.064203E-2</v>
      </c>
      <c r="W2011">
        <v>0.1963869</v>
      </c>
      <c r="X2011">
        <v>0.98046880000000003</v>
      </c>
      <c r="Y2011">
        <v>0.189162</v>
      </c>
      <c r="Z2011">
        <v>1.784063E-2</v>
      </c>
      <c r="AA2011">
        <v>0.98178379999999998</v>
      </c>
      <c r="AB2011">
        <v>46</v>
      </c>
      <c r="AC2011">
        <v>-0.48609999999996401</v>
      </c>
      <c r="AD2011">
        <v>-0.174882499999999</v>
      </c>
      <c r="AE2011">
        <v>0.15760000000000199</v>
      </c>
      <c r="AF2011">
        <v>0.13442724404120299</v>
      </c>
      <c r="AG2011">
        <v>-0.174882499999999</v>
      </c>
      <c r="AH2011">
        <v>0.43723648037083102</v>
      </c>
      <c r="AI2011">
        <v>110.922428801252</v>
      </c>
      <c r="AJ2011">
        <v>72.910087507620204</v>
      </c>
      <c r="AK2011">
        <v>0.48972473136838301</v>
      </c>
      <c r="AL2011">
        <v>78.674246948579906</v>
      </c>
      <c r="AM2011">
        <v>90.621865235856703</v>
      </c>
      <c r="AN2011">
        <v>1.0000000675337799</v>
      </c>
    </row>
    <row r="2012" spans="1:40" x14ac:dyDescent="0.25">
      <c r="A2012" t="str">
        <f>"20190312172408881"</f>
        <v>20190312172408881</v>
      </c>
      <c r="B2012" t="str">
        <f>"1552382648871918"</f>
        <v>1552382648871918</v>
      </c>
      <c r="C2012" t="s">
        <v>40</v>
      </c>
      <c r="D2012">
        <v>3.602598</v>
      </c>
      <c r="E2012">
        <v>0.58576189999999995</v>
      </c>
      <c r="F2012" t="s">
        <v>41</v>
      </c>
      <c r="G2012">
        <v>-311.32679999999999</v>
      </c>
      <c r="H2012">
        <v>0.90475499999999998</v>
      </c>
      <c r="I2012">
        <v>283.79239999999999</v>
      </c>
      <c r="J2012">
        <v>-310.67410000000001</v>
      </c>
      <c r="K2012">
        <v>1.108922</v>
      </c>
      <c r="L2012">
        <v>283.60649999999998</v>
      </c>
      <c r="M2012">
        <v>-0.99982309999999996</v>
      </c>
      <c r="N2012">
        <v>0</v>
      </c>
      <c r="O2012">
        <v>1.546169E-2</v>
      </c>
      <c r="P2012">
        <v>-0.98253069999999998</v>
      </c>
      <c r="Q2012">
        <v>0.186056</v>
      </c>
      <c r="R2012">
        <v>4.0876150000000002E-3</v>
      </c>
      <c r="S2012">
        <v>-3.189362</v>
      </c>
      <c r="T2012">
        <v>-0.73422279999999995</v>
      </c>
      <c r="U2012">
        <v>0.68060299999999996</v>
      </c>
      <c r="V2012">
        <v>-1.08272E-2</v>
      </c>
      <c r="W2012">
        <v>0.19658419999999999</v>
      </c>
      <c r="X2012">
        <v>0.9804271</v>
      </c>
      <c r="Y2012">
        <v>0.1892065</v>
      </c>
      <c r="Z2012">
        <v>1.7792510000000001E-2</v>
      </c>
      <c r="AA2012">
        <v>0.98177610000000004</v>
      </c>
      <c r="AB2012">
        <v>46</v>
      </c>
      <c r="AC2012">
        <v>-0.65269999999998096</v>
      </c>
      <c r="AD2012">
        <v>-0.20416699999999999</v>
      </c>
      <c r="AE2012">
        <v>0.18590000000000301</v>
      </c>
      <c r="AF2012">
        <v>0.16119637034544201</v>
      </c>
      <c r="AG2012">
        <v>-0.20416699999999999</v>
      </c>
      <c r="AH2012">
        <v>0.60109474160154197</v>
      </c>
      <c r="AI2012">
        <v>108.162945535517</v>
      </c>
      <c r="AJ2012">
        <v>74.988126228803694</v>
      </c>
      <c r="AK2012">
        <v>0.65496818402313906</v>
      </c>
      <c r="AL2012">
        <v>78.662716252735606</v>
      </c>
      <c r="AM2012">
        <v>90.632711649126904</v>
      </c>
      <c r="AN2012">
        <v>0.99999993718194302</v>
      </c>
    </row>
    <row r="2013" spans="1:40" x14ac:dyDescent="0.25">
      <c r="A2013" t="str">
        <f>"20190312172408893"</f>
        <v>20190312172408893</v>
      </c>
      <c r="B2013" t="str">
        <f>"1552382648881678"</f>
        <v>1552382648881678</v>
      </c>
      <c r="C2013" t="s">
        <v>40</v>
      </c>
      <c r="D2013">
        <v>3.577064</v>
      </c>
      <c r="E2013">
        <v>0.5858641</v>
      </c>
      <c r="F2013" t="s">
        <v>41</v>
      </c>
      <c r="G2013">
        <v>-311.72469999999998</v>
      </c>
      <c r="H2013">
        <v>0.86730239999999903</v>
      </c>
      <c r="I2013">
        <v>283.83120000000002</v>
      </c>
      <c r="J2013">
        <v>-310.9203</v>
      </c>
      <c r="K2013">
        <v>1.1089340000000001</v>
      </c>
      <c r="L2013">
        <v>283.6105</v>
      </c>
      <c r="M2013">
        <v>-0.99981949999999997</v>
      </c>
      <c r="N2013">
        <v>0</v>
      </c>
      <c r="O2013">
        <v>1.5687940000000001E-2</v>
      </c>
      <c r="P2013">
        <v>-0.98252830000000002</v>
      </c>
      <c r="Q2013">
        <v>0.1860676</v>
      </c>
      <c r="R2013">
        <v>4.1655709999999999E-3</v>
      </c>
      <c r="S2013">
        <v>-3.1894529999999999</v>
      </c>
      <c r="T2013">
        <v>-0.73355039999999905</v>
      </c>
      <c r="U2013">
        <v>0.68099980000000004</v>
      </c>
      <c r="V2013">
        <v>-1.0974380000000001E-2</v>
      </c>
      <c r="W2013">
        <v>0.19662019999999999</v>
      </c>
      <c r="X2013">
        <v>0.98041829999999996</v>
      </c>
      <c r="Y2013">
        <v>0.1891118</v>
      </c>
      <c r="Z2013">
        <v>1.7714500000000001E-2</v>
      </c>
      <c r="AA2013">
        <v>0.9817958</v>
      </c>
      <c r="AB2013">
        <v>46</v>
      </c>
      <c r="AC2013">
        <v>-0.80439999999998602</v>
      </c>
      <c r="AD2013">
        <v>-0.2416316</v>
      </c>
      <c r="AE2013">
        <v>0.22070000000002199</v>
      </c>
      <c r="AF2013">
        <v>0.19194549680700099</v>
      </c>
      <c r="AG2013">
        <v>-0.2416316</v>
      </c>
      <c r="AH2013">
        <v>0.74522727266483002</v>
      </c>
      <c r="AI2013">
        <v>107.43181351590501</v>
      </c>
      <c r="AJ2013">
        <v>75.556467716937803</v>
      </c>
      <c r="AK2013">
        <v>0.80659320093000297</v>
      </c>
      <c r="AL2013">
        <v>78.660613171556705</v>
      </c>
      <c r="AM2013">
        <v>90.641317483880599</v>
      </c>
      <c r="AN2013">
        <v>0.99999999151965702</v>
      </c>
    </row>
    <row r="2014" spans="1:40" x14ac:dyDescent="0.25">
      <c r="A2014" t="str">
        <f>"20190312172408913"</f>
        <v>20190312172408913</v>
      </c>
      <c r="B2014" t="str">
        <f>"1552382648902174"</f>
        <v>1552382648902174</v>
      </c>
      <c r="C2014" t="s">
        <v>40</v>
      </c>
      <c r="D2014">
        <v>3.5995499999999998</v>
      </c>
      <c r="E2014">
        <v>0.58591150000000003</v>
      </c>
      <c r="F2014" t="s">
        <v>41</v>
      </c>
      <c r="G2014">
        <v>-311.74520000000001</v>
      </c>
      <c r="H2014">
        <v>0.91919949999999995</v>
      </c>
      <c r="I2014">
        <v>283.78719999999998</v>
      </c>
      <c r="J2014">
        <v>-311.31869999999998</v>
      </c>
      <c r="K2014">
        <v>1.1089530000000001</v>
      </c>
      <c r="L2014">
        <v>283.61700000000002</v>
      </c>
      <c r="M2014">
        <v>-0.99981310000000001</v>
      </c>
      <c r="N2014">
        <v>0</v>
      </c>
      <c r="O2014">
        <v>1.6049049999999999E-2</v>
      </c>
      <c r="P2014">
        <v>-0.98247839999999997</v>
      </c>
      <c r="Q2014">
        <v>0.18632860000000001</v>
      </c>
      <c r="R2014">
        <v>4.2192990000000001E-3</v>
      </c>
      <c r="S2014">
        <v>-3.1893919999999998</v>
      </c>
      <c r="T2014">
        <v>-0.73362519999999998</v>
      </c>
      <c r="U2014">
        <v>0.68200680000000002</v>
      </c>
      <c r="V2014">
        <v>-1.1278949999999999E-2</v>
      </c>
      <c r="W2014">
        <v>0.1969255</v>
      </c>
      <c r="X2014">
        <v>0.98035360000000005</v>
      </c>
      <c r="Y2014">
        <v>0.18906729999999999</v>
      </c>
      <c r="Z2014">
        <v>1.763E-2</v>
      </c>
      <c r="AA2014">
        <v>0.98180590000000001</v>
      </c>
      <c r="AB2014">
        <v>46</v>
      </c>
      <c r="AC2014">
        <v>-0.42650000000003202</v>
      </c>
      <c r="AD2014">
        <v>-0.18975349999999999</v>
      </c>
      <c r="AE2014">
        <v>0.17019999999996499</v>
      </c>
      <c r="AF2014">
        <v>0.139511055395976</v>
      </c>
      <c r="AG2014">
        <v>-0.18975349999999999</v>
      </c>
      <c r="AH2014">
        <v>0.36658233431960702</v>
      </c>
      <c r="AI2014">
        <v>115.816709685345</v>
      </c>
      <c r="AJ2014">
        <v>69.164565184551407</v>
      </c>
      <c r="AK2014">
        <v>0.43572047596499502</v>
      </c>
      <c r="AL2014">
        <v>78.642772333629495</v>
      </c>
      <c r="AM2014">
        <v>90.659157799461497</v>
      </c>
      <c r="AN2014">
        <v>1.0000000241481499</v>
      </c>
    </row>
    <row r="2015" spans="1:40" x14ac:dyDescent="0.25">
      <c r="A2015" t="str">
        <f>"20190312172408936"</f>
        <v>20190312172408936</v>
      </c>
      <c r="B2015" t="str">
        <f>"1552382648932430"</f>
        <v>1552382648932430</v>
      </c>
      <c r="C2015" t="s">
        <v>40</v>
      </c>
      <c r="D2015">
        <v>3.5935229999999998</v>
      </c>
      <c r="E2015">
        <v>0.58605659999999904</v>
      </c>
      <c r="F2015" t="s">
        <v>41</v>
      </c>
      <c r="G2015">
        <v>-312.15699999999998</v>
      </c>
      <c r="H2015">
        <v>0.91649939999999996</v>
      </c>
      <c r="I2015">
        <v>283.79660000000001</v>
      </c>
      <c r="J2015">
        <v>-311.77870000000001</v>
      </c>
      <c r="K2015">
        <v>1.108981</v>
      </c>
      <c r="L2015">
        <v>283.62459999999999</v>
      </c>
      <c r="M2015">
        <v>-0.99980579999999997</v>
      </c>
      <c r="N2015">
        <v>0</v>
      </c>
      <c r="O2015">
        <v>1.6450360000000001E-2</v>
      </c>
      <c r="P2015">
        <v>-0.98231469999999999</v>
      </c>
      <c r="Q2015">
        <v>0.18718750000000001</v>
      </c>
      <c r="R2015">
        <v>4.3551570000000001E-3</v>
      </c>
      <c r="S2015">
        <v>-3.1894230000000001</v>
      </c>
      <c r="T2015">
        <v>-0.73218890000000003</v>
      </c>
      <c r="U2015">
        <v>0.6828613</v>
      </c>
      <c r="V2015">
        <v>-1.1539489999999999E-2</v>
      </c>
      <c r="W2015">
        <v>0.19784589999999999</v>
      </c>
      <c r="X2015">
        <v>0.98016519999999996</v>
      </c>
      <c r="Y2015">
        <v>0.18895310000000001</v>
      </c>
      <c r="Z2015">
        <v>1.749301E-2</v>
      </c>
      <c r="AA2015">
        <v>0.98183030000000004</v>
      </c>
      <c r="AB2015">
        <v>46</v>
      </c>
      <c r="AC2015">
        <v>-0.378299999999967</v>
      </c>
      <c r="AD2015">
        <v>-0.192481599999999</v>
      </c>
      <c r="AE2015">
        <v>0.17200000000002499</v>
      </c>
      <c r="AF2015">
        <v>0.136474561392429</v>
      </c>
      <c r="AG2015">
        <v>-0.192481599999999</v>
      </c>
      <c r="AH2015">
        <v>0.31376478122854901</v>
      </c>
      <c r="AI2015">
        <v>119.35984646016399</v>
      </c>
      <c r="AJ2015">
        <v>66.492974164656204</v>
      </c>
      <c r="AK2015">
        <v>0.39258478088842802</v>
      </c>
      <c r="AL2015">
        <v>78.588978562417594</v>
      </c>
      <c r="AM2015">
        <v>90.674512348212801</v>
      </c>
      <c r="AN2015">
        <v>0.999999989633655</v>
      </c>
    </row>
    <row r="2016" spans="1:40" x14ac:dyDescent="0.25">
      <c r="A2016" t="str">
        <f>"20190312172408958"</f>
        <v>20190312172408958</v>
      </c>
      <c r="B2016" t="str">
        <f>"1552382648951950"</f>
        <v>1552382648951950</v>
      </c>
      <c r="C2016" t="s">
        <v>40</v>
      </c>
      <c r="D2016">
        <v>3.5729769999999998</v>
      </c>
      <c r="E2016">
        <v>0.585928</v>
      </c>
      <c r="F2016" t="s">
        <v>41</v>
      </c>
      <c r="G2016">
        <v>-312.57420000000002</v>
      </c>
      <c r="H2016">
        <v>0.92723319999999998</v>
      </c>
      <c r="I2016">
        <v>283.79539999999997</v>
      </c>
      <c r="J2016">
        <v>-312.25470000000001</v>
      </c>
      <c r="K2016">
        <v>1.10902099999999</v>
      </c>
      <c r="L2016">
        <v>283.63279999999997</v>
      </c>
      <c r="M2016">
        <v>-0.99979850000000003</v>
      </c>
      <c r="N2016">
        <v>0</v>
      </c>
      <c r="O2016">
        <v>1.6838579999999999E-2</v>
      </c>
      <c r="P2016">
        <v>-0.98228870000000001</v>
      </c>
      <c r="Q2016">
        <v>0.18733159999999999</v>
      </c>
      <c r="R2016">
        <v>3.9931289999999998E-3</v>
      </c>
      <c r="S2016">
        <v>-3.1898499999999999</v>
      </c>
      <c r="T2016">
        <v>-0.72883730000000002</v>
      </c>
      <c r="U2016">
        <v>0.68420409999999998</v>
      </c>
      <c r="V2016">
        <v>-1.229187E-2</v>
      </c>
      <c r="W2016">
        <v>0.19806889999999999</v>
      </c>
      <c r="X2016">
        <v>0.98011099999999995</v>
      </c>
      <c r="Y2016">
        <v>0.1889893</v>
      </c>
      <c r="Z2016">
        <v>1.7329420000000002E-2</v>
      </c>
      <c r="AA2016">
        <v>0.98182619999999998</v>
      </c>
      <c r="AB2016">
        <v>46</v>
      </c>
      <c r="AC2016">
        <v>-0.319500000000005</v>
      </c>
      <c r="AD2016">
        <v>-0.181787799999999</v>
      </c>
      <c r="AE2016">
        <v>0.162599999999997</v>
      </c>
      <c r="AF2016">
        <v>0.125043555127203</v>
      </c>
      <c r="AG2016">
        <v>-0.181787799999999</v>
      </c>
      <c r="AH2016">
        <v>0.25629123048841002</v>
      </c>
      <c r="AI2016">
        <v>122.51649168570999</v>
      </c>
      <c r="AJ2016">
        <v>63.992420881466998</v>
      </c>
      <c r="AK2016">
        <v>0.33818321917705102</v>
      </c>
      <c r="AL2016">
        <v>78.5759434901166</v>
      </c>
      <c r="AM2016">
        <v>90.718526119132406</v>
      </c>
      <c r="AN2016">
        <v>0.99999997576815303</v>
      </c>
    </row>
    <row r="2017" spans="1:40" x14ac:dyDescent="0.25">
      <c r="A2017" t="str">
        <f>"20190312172408982"</f>
        <v>20190312172408982</v>
      </c>
      <c r="B2017" t="str">
        <f>"1552382648972446"</f>
        <v>1552382648972446</v>
      </c>
      <c r="C2017" t="s">
        <v>40</v>
      </c>
      <c r="D2017">
        <v>3.7361559999999998</v>
      </c>
      <c r="E2017">
        <v>0.58594299999999999</v>
      </c>
      <c r="F2017" t="s">
        <v>41</v>
      </c>
      <c r="G2017">
        <v>-312.99290000000002</v>
      </c>
      <c r="H2017">
        <v>0.94064239999999999</v>
      </c>
      <c r="I2017">
        <v>283.79059999999998</v>
      </c>
      <c r="J2017">
        <v>-312.72989999999999</v>
      </c>
      <c r="K2017">
        <v>1.1090709999999999</v>
      </c>
      <c r="L2017">
        <v>283.64100000000002</v>
      </c>
      <c r="M2017">
        <v>-0.9997916</v>
      </c>
      <c r="N2017">
        <v>0</v>
      </c>
      <c r="O2017">
        <v>1.718422E-2</v>
      </c>
      <c r="P2017">
        <v>-0.98236579999999996</v>
      </c>
      <c r="Q2017">
        <v>0.18694759999999999</v>
      </c>
      <c r="R2017">
        <v>2.861461E-3</v>
      </c>
      <c r="S2017">
        <v>-3.1900629999999999</v>
      </c>
      <c r="T2017">
        <v>-0.72774459999999996</v>
      </c>
      <c r="U2017">
        <v>0.68109129999999996</v>
      </c>
      <c r="V2017">
        <v>-1.377979E-2</v>
      </c>
      <c r="W2017">
        <v>0.19778009999999999</v>
      </c>
      <c r="X2017">
        <v>0.98014959999999995</v>
      </c>
      <c r="Y2017">
        <v>0.18777089999999999</v>
      </c>
      <c r="Z2017">
        <v>1.7091950000000002E-2</v>
      </c>
      <c r="AA2017">
        <v>0.9820641</v>
      </c>
      <c r="AB2017">
        <v>46</v>
      </c>
      <c r="AC2017">
        <v>-0.26300000000003299</v>
      </c>
      <c r="AD2017">
        <v>-0.16842859999999901</v>
      </c>
      <c r="AE2017">
        <v>0.14960000000001999</v>
      </c>
      <c r="AF2017">
        <v>0.110742561003454</v>
      </c>
      <c r="AG2017">
        <v>-0.16842859999999901</v>
      </c>
      <c r="AH2017">
        <v>0.20271660327211299</v>
      </c>
      <c r="AI2017">
        <v>126.097625810794</v>
      </c>
      <c r="AJ2017">
        <v>61.352550841314802</v>
      </c>
      <c r="AK2017">
        <v>0.285877822430749</v>
      </c>
      <c r="AL2017">
        <v>78.592825257763593</v>
      </c>
      <c r="AM2017">
        <v>90.805460512198806</v>
      </c>
      <c r="AN2017">
        <v>1.0000000444743</v>
      </c>
    </row>
    <row r="2018" spans="1:40" x14ac:dyDescent="0.25">
      <c r="A2018" t="str">
        <f>"20190312172409003"</f>
        <v>20190312172409003</v>
      </c>
      <c r="B2018" t="str">
        <f>"1552382648991965"</f>
        <v>1552382648991965</v>
      </c>
      <c r="C2018" t="s">
        <v>40</v>
      </c>
      <c r="D2018">
        <v>3.88205</v>
      </c>
      <c r="E2018">
        <v>0.58555199999999996</v>
      </c>
      <c r="F2018" t="s">
        <v>41</v>
      </c>
      <c r="G2018">
        <v>-313.78949999999998</v>
      </c>
      <c r="H2018">
        <v>0.867145099999999</v>
      </c>
      <c r="I2018">
        <v>283.86660000000001</v>
      </c>
      <c r="J2018">
        <v>-313.17680000000001</v>
      </c>
      <c r="K2018">
        <v>1.1091260000000001</v>
      </c>
      <c r="L2018">
        <v>283.64890000000003</v>
      </c>
      <c r="M2018">
        <v>-0.99978579999999995</v>
      </c>
      <c r="N2018">
        <v>0</v>
      </c>
      <c r="O2018">
        <v>1.7452780000000001E-2</v>
      </c>
      <c r="P2018">
        <v>-0.98244129999999996</v>
      </c>
      <c r="Q2018">
        <v>0.1865668</v>
      </c>
      <c r="R2018">
        <v>1.497691E-3</v>
      </c>
      <c r="S2018">
        <v>-3.1905209999999999</v>
      </c>
      <c r="T2018">
        <v>-0.72855689999999995</v>
      </c>
      <c r="U2018">
        <v>0.67813109999999999</v>
      </c>
      <c r="V2018">
        <v>-1.5427659999999999E-2</v>
      </c>
      <c r="W2018">
        <v>0.1975066</v>
      </c>
      <c r="X2018">
        <v>0.9801801</v>
      </c>
      <c r="Y2018">
        <v>0.1866323</v>
      </c>
      <c r="Z2018">
        <v>1.6922969999999999E-2</v>
      </c>
      <c r="AA2018">
        <v>0.98228409999999999</v>
      </c>
      <c r="AB2018">
        <v>46</v>
      </c>
      <c r="AC2018">
        <v>-0.61269999999996105</v>
      </c>
      <c r="AD2018">
        <v>-0.2419809</v>
      </c>
      <c r="AE2018">
        <v>0.21769999999997899</v>
      </c>
      <c r="AF2018">
        <v>0.18179520753855</v>
      </c>
      <c r="AG2018">
        <v>-0.2419809</v>
      </c>
      <c r="AH2018">
        <v>0.54142231835080601</v>
      </c>
      <c r="AI2018">
        <v>112.961846647177</v>
      </c>
      <c r="AJ2018">
        <v>71.439318936240696</v>
      </c>
      <c r="AK2018">
        <v>0.62027605165535504</v>
      </c>
      <c r="AL2018">
        <v>78.608809886237694</v>
      </c>
      <c r="AM2018">
        <v>90.9017392029983</v>
      </c>
      <c r="AN2018">
        <v>0.99999994908632095</v>
      </c>
    </row>
    <row r="2019" spans="1:40" x14ac:dyDescent="0.25">
      <c r="A2019" t="str">
        <f>"20190312172409024"</f>
        <v>20190312172409024</v>
      </c>
      <c r="B2019" t="str">
        <f>"1552382649022222"</f>
        <v>1552382649022222</v>
      </c>
      <c r="C2019" t="s">
        <v>40</v>
      </c>
      <c r="D2019">
        <v>3.7026379999999999</v>
      </c>
      <c r="E2019">
        <v>0.58571549999999994</v>
      </c>
      <c r="F2019" t="s">
        <v>41</v>
      </c>
      <c r="G2019">
        <v>-314.20569999999998</v>
      </c>
      <c r="H2019">
        <v>0.87509059999999905</v>
      </c>
      <c r="I2019">
        <v>283.86579999999998</v>
      </c>
      <c r="J2019">
        <v>-313.61369999999999</v>
      </c>
      <c r="K2019">
        <v>1.109189</v>
      </c>
      <c r="L2019">
        <v>283.6567</v>
      </c>
      <c r="M2019">
        <v>-0.99978069999999997</v>
      </c>
      <c r="N2019">
        <v>0</v>
      </c>
      <c r="O2019">
        <v>1.7668360000000001E-2</v>
      </c>
      <c r="P2019">
        <v>-0.98245939999999998</v>
      </c>
      <c r="Q2019">
        <v>0.1864778</v>
      </c>
      <c r="R2019">
        <v>-2.228497E-4</v>
      </c>
      <c r="S2019">
        <v>-3.1903990000000002</v>
      </c>
      <c r="T2019">
        <v>-0.72567990000000004</v>
      </c>
      <c r="U2019">
        <v>0.67199709999999901</v>
      </c>
      <c r="V2019">
        <v>-1.7381219999999999E-2</v>
      </c>
      <c r="W2019">
        <v>0.1975305</v>
      </c>
      <c r="X2019">
        <v>0.98014270000000003</v>
      </c>
      <c r="Y2019">
        <v>0.1847028</v>
      </c>
      <c r="Z2019">
        <v>1.6599280000000001E-2</v>
      </c>
      <c r="AA2019">
        <v>0.98265420000000003</v>
      </c>
      <c r="AB2019">
        <v>46</v>
      </c>
      <c r="AC2019">
        <v>-0.59199999999998398</v>
      </c>
      <c r="AD2019">
        <v>-0.23409840000000001</v>
      </c>
      <c r="AE2019">
        <v>0.209099999999978</v>
      </c>
      <c r="AF2019">
        <v>0.174365724830298</v>
      </c>
      <c r="AG2019">
        <v>-0.23409840000000001</v>
      </c>
      <c r="AH2019">
        <v>0.52290507073163806</v>
      </c>
      <c r="AI2019">
        <v>113.010866320738</v>
      </c>
      <c r="AJ2019">
        <v>71.558736648385803</v>
      </c>
      <c r="AK2019">
        <v>0.59886156987655703</v>
      </c>
      <c r="AL2019">
        <v>78.607414263803904</v>
      </c>
      <c r="AM2019">
        <v>91.015940002785001</v>
      </c>
      <c r="AN2019">
        <v>1.00000005880111</v>
      </c>
    </row>
    <row r="2020" spans="1:40" x14ac:dyDescent="0.25">
      <c r="A2020" t="str">
        <f>"20190312172409037"</f>
        <v>20190312172409037</v>
      </c>
      <c r="B2020" t="str">
        <f>"1552382649031982"</f>
        <v>1552382649031982</v>
      </c>
      <c r="C2020" t="s">
        <v>40</v>
      </c>
      <c r="D2020">
        <v>3.5958350000000001</v>
      </c>
      <c r="E2020">
        <v>0.58586419999999995</v>
      </c>
      <c r="F2020" t="s">
        <v>41</v>
      </c>
      <c r="G2020">
        <v>-314.62099999999998</v>
      </c>
      <c r="H2020">
        <v>0.88033589999999995</v>
      </c>
      <c r="I2020">
        <v>283.86799999999999</v>
      </c>
      <c r="J2020">
        <v>-313.90969999999999</v>
      </c>
      <c r="K2020">
        <v>1.1092360000000001</v>
      </c>
      <c r="L2020">
        <v>283.66199999999998</v>
      </c>
      <c r="M2020">
        <v>-0.99977780000000005</v>
      </c>
      <c r="N2020">
        <v>0</v>
      </c>
      <c r="O2020">
        <v>1.778397E-2</v>
      </c>
      <c r="P2020">
        <v>-0.98243049999999998</v>
      </c>
      <c r="Q2020">
        <v>0.18662780000000001</v>
      </c>
      <c r="R2020">
        <v>-9.0371679999999999E-4</v>
      </c>
      <c r="S2020">
        <v>-3.191376</v>
      </c>
      <c r="T2020">
        <v>-0.72513839999999996</v>
      </c>
      <c r="U2020">
        <v>0.66842650000000003</v>
      </c>
      <c r="V2020">
        <v>-1.819076E-2</v>
      </c>
      <c r="W2020">
        <v>0.19776089999999999</v>
      </c>
      <c r="X2020">
        <v>0.98008150000000005</v>
      </c>
      <c r="Y2020">
        <v>0.1835146</v>
      </c>
      <c r="Z2020">
        <v>1.6426590000000001E-2</v>
      </c>
      <c r="AA2020">
        <v>0.98287979999999997</v>
      </c>
      <c r="AB2020">
        <v>46</v>
      </c>
      <c r="AC2020">
        <v>-0.71129999999999405</v>
      </c>
      <c r="AD2020">
        <v>-0.2289001</v>
      </c>
      <c r="AE2020">
        <v>0.20599999999995999</v>
      </c>
      <c r="AF2020">
        <v>0.17645727925691901</v>
      </c>
      <c r="AG2020">
        <v>-0.2289001</v>
      </c>
      <c r="AH2020">
        <v>0.65250747699095202</v>
      </c>
      <c r="AI2020">
        <v>108.707981580747</v>
      </c>
      <c r="AJ2020">
        <v>74.867490192823794</v>
      </c>
      <c r="AK2020">
        <v>0.71365147986384903</v>
      </c>
      <c r="AL2020">
        <v>78.593947127266802</v>
      </c>
      <c r="AM2020">
        <v>91.063313731232697</v>
      </c>
      <c r="AN2020">
        <v>1.0000000119802099</v>
      </c>
    </row>
    <row r="2021" spans="1:40" x14ac:dyDescent="0.25">
      <c r="A2021" t="str">
        <f>"20190312172409050"</f>
        <v>20190312172409050</v>
      </c>
      <c r="B2021" t="str">
        <f>"1552382649041741"</f>
        <v>1552382649041741</v>
      </c>
      <c r="C2021" t="s">
        <v>40</v>
      </c>
      <c r="D2021">
        <v>3.5658569999999998</v>
      </c>
      <c r="E2021">
        <v>0.58589789999999997</v>
      </c>
      <c r="F2021" t="s">
        <v>41</v>
      </c>
      <c r="G2021">
        <v>-314.64609999999999</v>
      </c>
      <c r="H2021">
        <v>0.9420328</v>
      </c>
      <c r="I2021">
        <v>283.81630000000001</v>
      </c>
      <c r="J2021">
        <v>-314.15890000000002</v>
      </c>
      <c r="K2021">
        <v>1.1092799999999901</v>
      </c>
      <c r="L2021">
        <v>283.66649999999998</v>
      </c>
      <c r="M2021">
        <v>-0.99977559999999999</v>
      </c>
      <c r="N2021">
        <v>0</v>
      </c>
      <c r="O2021">
        <v>1.7857040000000001E-2</v>
      </c>
      <c r="P2021">
        <v>-0.98240070000000002</v>
      </c>
      <c r="Q2021">
        <v>0.18678169999999999</v>
      </c>
      <c r="R2021">
        <v>-1.3213729999999901E-3</v>
      </c>
      <c r="S2021">
        <v>-3.1919559999999998</v>
      </c>
      <c r="T2021">
        <v>-0.72483039999999999</v>
      </c>
      <c r="U2021">
        <v>0.6672363</v>
      </c>
      <c r="V2021">
        <v>-1.8693680000000001E-2</v>
      </c>
      <c r="W2021">
        <v>0.1979871</v>
      </c>
      <c r="X2021">
        <v>0.98002639999999996</v>
      </c>
      <c r="Y2021">
        <v>0.18307280000000001</v>
      </c>
      <c r="Z2021">
        <v>1.6352309999999998E-2</v>
      </c>
      <c r="AA2021">
        <v>0.98296329999999998</v>
      </c>
      <c r="AB2021">
        <v>46</v>
      </c>
      <c r="AC2021">
        <v>-0.48719999999997199</v>
      </c>
      <c r="AD2021">
        <v>-0.16724719999999901</v>
      </c>
      <c r="AE2021">
        <v>0.14980000000002699</v>
      </c>
      <c r="AF2021">
        <v>0.12736312360164201</v>
      </c>
      <c r="AG2021">
        <v>-0.16724719999999901</v>
      </c>
      <c r="AH2021">
        <v>0.44218941168141401</v>
      </c>
      <c r="AI2021">
        <v>109.97365650003</v>
      </c>
      <c r="AJ2021">
        <v>73.932095127527305</v>
      </c>
      <c r="AK2021">
        <v>0.48961665307111701</v>
      </c>
      <c r="AL2021">
        <v>78.580725777801703</v>
      </c>
      <c r="AM2021">
        <v>91.092765557736897</v>
      </c>
      <c r="AN2021">
        <v>1.0000000450676501</v>
      </c>
    </row>
    <row r="2022" spans="1:40" x14ac:dyDescent="0.25">
      <c r="A2022" t="str">
        <f>"20190312172409070"</f>
        <v>20190312172409070</v>
      </c>
      <c r="B2022" t="str">
        <f>"1552382649062238"</f>
        <v>1552382649062238</v>
      </c>
      <c r="C2022" t="s">
        <v>40</v>
      </c>
      <c r="D2022">
        <v>3.5784349999999998</v>
      </c>
      <c r="E2022">
        <v>0.58620329999999998</v>
      </c>
      <c r="F2022" t="s">
        <v>41</v>
      </c>
      <c r="G2022">
        <v>-315.0453</v>
      </c>
      <c r="H2022">
        <v>0.9083213</v>
      </c>
      <c r="I2022">
        <v>283.85169999999999</v>
      </c>
      <c r="J2022">
        <v>-314.55180000000001</v>
      </c>
      <c r="K2022">
        <v>1.109351</v>
      </c>
      <c r="L2022">
        <v>283.67360000000002</v>
      </c>
      <c r="M2022">
        <v>-0.99977249999999995</v>
      </c>
      <c r="N2022">
        <v>0</v>
      </c>
      <c r="O2022">
        <v>1.7941530000000001E-2</v>
      </c>
      <c r="P2022">
        <v>-0.98230209999999996</v>
      </c>
      <c r="Q2022">
        <v>0.18728040000000001</v>
      </c>
      <c r="R2022">
        <v>-2.9459059999999999E-3</v>
      </c>
      <c r="S2022">
        <v>-3.1922609999999998</v>
      </c>
      <c r="T2022">
        <v>-0.72377469999999999</v>
      </c>
      <c r="U2022">
        <v>0.66625979999999996</v>
      </c>
      <c r="V2022">
        <v>-2.042194E-2</v>
      </c>
      <c r="W2022">
        <v>0.19861290000000001</v>
      </c>
      <c r="X2022">
        <v>0.97986530000000005</v>
      </c>
      <c r="Y2022">
        <v>0.1827058</v>
      </c>
      <c r="Z2022">
        <v>1.6268680000000001E-2</v>
      </c>
      <c r="AA2022">
        <v>0.98303300000000005</v>
      </c>
      <c r="AB2022">
        <v>46</v>
      </c>
      <c r="AC2022">
        <v>-0.49349999999998301</v>
      </c>
      <c r="AD2022">
        <v>-0.20102970000000001</v>
      </c>
      <c r="AE2022">
        <v>0.178099999999972</v>
      </c>
      <c r="AF2022">
        <v>0.14755335095915401</v>
      </c>
      <c r="AG2022">
        <v>-0.20102970000000001</v>
      </c>
      <c r="AH2022">
        <v>0.43303895668141501</v>
      </c>
      <c r="AI2022">
        <v>113.721708264418</v>
      </c>
      <c r="AJ2022">
        <v>71.184010583701095</v>
      </c>
      <c r="AK2022">
        <v>0.49970758415806898</v>
      </c>
      <c r="AL2022">
        <v>78.544143931601496</v>
      </c>
      <c r="AM2022">
        <v>91.193961657369798</v>
      </c>
      <c r="AN2022">
        <v>1.0000000729119201</v>
      </c>
    </row>
    <row r="2023" spans="1:40" x14ac:dyDescent="0.25">
      <c r="A2023" t="str">
        <f>"20190312172409091"</f>
        <v>20190312172409091</v>
      </c>
      <c r="B2023" t="str">
        <f>"1552382649081758"</f>
        <v>1552382649081758</v>
      </c>
      <c r="C2023" t="s">
        <v>40</v>
      </c>
      <c r="D2023">
        <v>3.884528</v>
      </c>
      <c r="E2023">
        <v>0.60175889999999999</v>
      </c>
      <c r="F2023" t="s">
        <v>41</v>
      </c>
      <c r="G2023">
        <v>-315.45670000000001</v>
      </c>
      <c r="H2023">
        <v>0.90458799999999995</v>
      </c>
      <c r="I2023">
        <v>283.86180000000002</v>
      </c>
      <c r="J2023">
        <v>-315.00450000000001</v>
      </c>
      <c r="K2023">
        <v>1.10944</v>
      </c>
      <c r="L2023">
        <v>283.68169999999998</v>
      </c>
      <c r="M2023">
        <v>-0.99976969999999998</v>
      </c>
      <c r="N2023">
        <v>0</v>
      </c>
      <c r="O2023">
        <v>1.798928E-2</v>
      </c>
      <c r="P2023">
        <v>-0.98234330000000003</v>
      </c>
      <c r="Q2023">
        <v>0.1870367</v>
      </c>
      <c r="R2023">
        <v>-4.4006059999999996E-3</v>
      </c>
      <c r="S2023">
        <v>-3.1938170000000001</v>
      </c>
      <c r="T2023">
        <v>-0.72271850000000004</v>
      </c>
      <c r="U2023">
        <v>0.66351319999999903</v>
      </c>
      <c r="V2023">
        <v>-2.195105E-2</v>
      </c>
      <c r="W2023">
        <v>0.19853760000000001</v>
      </c>
      <c r="X2023">
        <v>0.97984740000000004</v>
      </c>
      <c r="Y2023">
        <v>0.18179049999999999</v>
      </c>
      <c r="Z2023">
        <v>1.6127499999999999E-2</v>
      </c>
      <c r="AA2023">
        <v>0.983205</v>
      </c>
      <c r="AB2023">
        <v>46</v>
      </c>
      <c r="AC2023">
        <v>-0.45220000000000399</v>
      </c>
      <c r="AD2023">
        <v>-0.20485200000000001</v>
      </c>
      <c r="AE2023">
        <v>0.18010000000003801</v>
      </c>
      <c r="AF2023">
        <v>0.14606410135384201</v>
      </c>
      <c r="AG2023">
        <v>-0.20485200000000001</v>
      </c>
      <c r="AH2023">
        <v>0.38684705239884498</v>
      </c>
      <c r="AI2023">
        <v>116.354063628681</v>
      </c>
      <c r="AJ2023">
        <v>69.314675024595303</v>
      </c>
      <c r="AK2023">
        <v>0.46146473923581599</v>
      </c>
      <c r="AL2023">
        <v>78.5485448568636</v>
      </c>
      <c r="AM2023">
        <v>91.283355124443105</v>
      </c>
      <c r="AN2023">
        <v>0.99999997724831102</v>
      </c>
    </row>
    <row r="2024" spans="1:40" x14ac:dyDescent="0.25">
      <c r="A2024" t="str">
        <f>"20190312172409105"</f>
        <v>20190312172409105</v>
      </c>
      <c r="B2024" t="str">
        <f>"1552382649102254"</f>
        <v>1552382649102254</v>
      </c>
      <c r="C2024" t="s">
        <v>40</v>
      </c>
      <c r="D2024">
        <v>3.5614629999999998</v>
      </c>
      <c r="E2024">
        <v>0.59326759999999901</v>
      </c>
      <c r="F2024" t="s">
        <v>41</v>
      </c>
      <c r="G2024">
        <v>-315.86559999999997</v>
      </c>
      <c r="H2024">
        <v>0.89351979999999998</v>
      </c>
      <c r="I2024">
        <v>283.89170000000001</v>
      </c>
      <c r="J2024">
        <v>-315.27269999999999</v>
      </c>
      <c r="K2024">
        <v>1.1094919999999999</v>
      </c>
      <c r="L2024">
        <v>283.6866</v>
      </c>
      <c r="M2024">
        <v>-0.99976810000000005</v>
      </c>
      <c r="N2024">
        <v>0</v>
      </c>
      <c r="O2024">
        <v>1.7996709999999999E-2</v>
      </c>
      <c r="P2024">
        <v>-0.98234440000000001</v>
      </c>
      <c r="Q2024">
        <v>0.18701300000000001</v>
      </c>
      <c r="R2024">
        <v>-5.0657929999999999E-3</v>
      </c>
      <c r="S2024">
        <v>-3.2107239999999999</v>
      </c>
      <c r="T2024">
        <v>-0.80507269999999997</v>
      </c>
      <c r="U2024">
        <v>0.78280640000000001</v>
      </c>
      <c r="V2024">
        <v>-2.264029E-2</v>
      </c>
      <c r="W2024">
        <v>0.19862089999999999</v>
      </c>
      <c r="X2024">
        <v>0.97981490000000004</v>
      </c>
      <c r="Y2024">
        <v>0.21363219999999999</v>
      </c>
      <c r="Z2024">
        <v>2.163091E-2</v>
      </c>
      <c r="AA2024">
        <v>0.97667470000000001</v>
      </c>
      <c r="AB2024">
        <v>46</v>
      </c>
      <c r="AC2024">
        <v>-0.59289999999998599</v>
      </c>
      <c r="AD2024">
        <v>-0.215972199999999</v>
      </c>
      <c r="AE2024">
        <v>0.20510000000001499</v>
      </c>
      <c r="AF2024">
        <v>0.17379932032696299</v>
      </c>
      <c r="AG2024">
        <v>-0.215972199999999</v>
      </c>
      <c r="AH2024">
        <v>0.53329596137708501</v>
      </c>
      <c r="AI2024">
        <v>111.058931567317</v>
      </c>
      <c r="AJ2024">
        <v>71.949388945749803</v>
      </c>
      <c r="AK2024">
        <v>0.60104473821843196</v>
      </c>
      <c r="AL2024">
        <v>78.543675882571193</v>
      </c>
      <c r="AM2024">
        <v>91.323680903675495</v>
      </c>
      <c r="AN2024">
        <v>1.0000000414550501</v>
      </c>
    </row>
    <row r="2025" spans="1:40" x14ac:dyDescent="0.25">
      <c r="A2025" t="str">
        <f>"20190312172409115"</f>
        <v>20190312172409115</v>
      </c>
      <c r="B2025" t="str">
        <f>"1552382649112014"</f>
        <v>1552382649112014</v>
      </c>
      <c r="C2025" t="s">
        <v>40</v>
      </c>
      <c r="D2025">
        <v>3.6392760000000002</v>
      </c>
      <c r="E2025">
        <v>0.59321840000000003</v>
      </c>
      <c r="F2025" t="s">
        <v>41</v>
      </c>
      <c r="G2025">
        <v>-316.2724</v>
      </c>
      <c r="H2025">
        <v>0.87933059999999996</v>
      </c>
      <c r="I2025">
        <v>283.9101</v>
      </c>
      <c r="J2025">
        <v>-315.51310000000001</v>
      </c>
      <c r="K2025">
        <v>1.109542</v>
      </c>
      <c r="L2025">
        <v>283.6909</v>
      </c>
      <c r="M2025">
        <v>-0.99976730000000003</v>
      </c>
      <c r="N2025">
        <v>0</v>
      </c>
      <c r="O2025">
        <v>1.7983280000000001E-2</v>
      </c>
      <c r="P2025">
        <v>-0.9823788</v>
      </c>
      <c r="Q2025">
        <v>0.1868158</v>
      </c>
      <c r="R2025">
        <v>-5.6802559999999998E-3</v>
      </c>
      <c r="S2025">
        <v>-3.1977229999999999</v>
      </c>
      <c r="T2025">
        <v>-0.73627670000000001</v>
      </c>
      <c r="U2025">
        <v>0.71389769999999997</v>
      </c>
      <c r="V2025">
        <v>-2.3257E-2</v>
      </c>
      <c r="W2025">
        <v>0.19852510000000001</v>
      </c>
      <c r="X2025">
        <v>0.97981980000000002</v>
      </c>
      <c r="Y2025">
        <v>0.19586870000000001</v>
      </c>
      <c r="Z2025">
        <v>1.7960130000000001E-2</v>
      </c>
      <c r="AA2025">
        <v>0.9804657</v>
      </c>
      <c r="AB2025">
        <v>46</v>
      </c>
      <c r="AC2025">
        <v>-0.75929999999999598</v>
      </c>
      <c r="AD2025">
        <v>-0.23021139999999901</v>
      </c>
      <c r="AE2025">
        <v>0.21920000000000001</v>
      </c>
      <c r="AF2025">
        <v>0.18943494279892201</v>
      </c>
      <c r="AG2025">
        <v>-0.23021139999999901</v>
      </c>
      <c r="AH2025">
        <v>0.70343182212661004</v>
      </c>
      <c r="AI2025">
        <v>107.537082438398</v>
      </c>
      <c r="AJ2025">
        <v>74.927756169910097</v>
      </c>
      <c r="AK2025">
        <v>0.764002103808329</v>
      </c>
      <c r="AL2025">
        <v>78.549275538128001</v>
      </c>
      <c r="AM2025">
        <v>91.359717144958907</v>
      </c>
      <c r="AN2025">
        <v>0.99999997192552403</v>
      </c>
    </row>
    <row r="2026" spans="1:40" x14ac:dyDescent="0.25">
      <c r="A2026" t="str">
        <f>"20190312172409136"</f>
        <v>20190312172409136</v>
      </c>
      <c r="B2026" t="str">
        <f>"1552382649132510"</f>
        <v>1552382649132510</v>
      </c>
      <c r="C2026" t="s">
        <v>40</v>
      </c>
      <c r="D2026">
        <v>3.6166779999999998</v>
      </c>
      <c r="E2026">
        <v>0.59299040000000003</v>
      </c>
      <c r="F2026" t="s">
        <v>41</v>
      </c>
      <c r="G2026">
        <v>-316.29140000000001</v>
      </c>
      <c r="H2026">
        <v>0.92712720000000004</v>
      </c>
      <c r="I2026">
        <v>283.86430000000001</v>
      </c>
      <c r="J2026">
        <v>-315.9246</v>
      </c>
      <c r="K2026">
        <v>1.1096280000000001</v>
      </c>
      <c r="L2026">
        <v>283.69830000000002</v>
      </c>
      <c r="M2026">
        <v>-0.99976609999999999</v>
      </c>
      <c r="N2026">
        <v>0</v>
      </c>
      <c r="O2026">
        <v>1.792579E-2</v>
      </c>
      <c r="P2026">
        <v>-0.98228009999999999</v>
      </c>
      <c r="Q2026">
        <v>0.18728819999999999</v>
      </c>
      <c r="R2026">
        <v>-7.016815E-3</v>
      </c>
      <c r="S2026">
        <v>-3.2005919999999999</v>
      </c>
      <c r="T2026">
        <v>-0.75017180000000006</v>
      </c>
      <c r="U2026">
        <v>0.711731</v>
      </c>
      <c r="V2026">
        <v>-2.456237E-2</v>
      </c>
      <c r="W2026">
        <v>0.1991695</v>
      </c>
      <c r="X2026">
        <v>0.97965720000000001</v>
      </c>
      <c r="Y2026">
        <v>0.19496769999999999</v>
      </c>
      <c r="Z2026">
        <v>1.8186310000000001E-2</v>
      </c>
      <c r="AA2026">
        <v>0.98064110000000004</v>
      </c>
      <c r="AB2026">
        <v>46</v>
      </c>
      <c r="AC2026">
        <v>-0.36680000000001201</v>
      </c>
      <c r="AD2026">
        <v>-0.18250079999999999</v>
      </c>
      <c r="AE2026">
        <v>0.16599999999999601</v>
      </c>
      <c r="AF2026">
        <v>0.13222849623642299</v>
      </c>
      <c r="AG2026">
        <v>-0.18250079999999999</v>
      </c>
      <c r="AH2026">
        <v>0.30669908261217899</v>
      </c>
      <c r="AI2026">
        <v>118.65340366790601</v>
      </c>
      <c r="AJ2026">
        <v>66.677468450004099</v>
      </c>
      <c r="AK2026">
        <v>0.38059853453834802</v>
      </c>
      <c r="AL2026">
        <v>78.511602307198203</v>
      </c>
      <c r="AM2026">
        <v>91.436242549319402</v>
      </c>
      <c r="AN2026">
        <v>1.0000000146310499</v>
      </c>
    </row>
    <row r="2027" spans="1:40" x14ac:dyDescent="0.25">
      <c r="A2027" t="str">
        <f>"20190312172409150"</f>
        <v>20190312172409150</v>
      </c>
      <c r="B2027" t="str">
        <f>"1552382649142270"</f>
        <v>1552382649142270</v>
      </c>
      <c r="C2027" t="s">
        <v>40</v>
      </c>
      <c r="D2027">
        <v>3.884341</v>
      </c>
      <c r="E2027">
        <v>0.59299040000000003</v>
      </c>
      <c r="F2027" t="s">
        <v>41</v>
      </c>
      <c r="G2027">
        <v>-316.7045</v>
      </c>
      <c r="H2027">
        <v>0.92874500000000004</v>
      </c>
      <c r="I2027">
        <v>283.87079999999997</v>
      </c>
      <c r="J2027">
        <v>-316.21170000000001</v>
      </c>
      <c r="K2027">
        <v>1.109691</v>
      </c>
      <c r="L2027">
        <v>283.70350000000002</v>
      </c>
      <c r="M2027">
        <v>-0.99976589999999999</v>
      </c>
      <c r="N2027">
        <v>0</v>
      </c>
      <c r="O2027">
        <v>1.7857580000000001E-2</v>
      </c>
      <c r="P2027">
        <v>-0.98224659999999997</v>
      </c>
      <c r="Q2027">
        <v>0.1874355</v>
      </c>
      <c r="R2027">
        <v>-7.72346199999999E-3</v>
      </c>
      <c r="S2027">
        <v>-3.200745</v>
      </c>
      <c r="T2027">
        <v>-0.74244980000000005</v>
      </c>
      <c r="U2027">
        <v>0.70697019999999899</v>
      </c>
      <c r="V2027">
        <v>-2.5222899999999999E-2</v>
      </c>
      <c r="W2027">
        <v>0.19943530000000001</v>
      </c>
      <c r="X2027">
        <v>0.97958630000000002</v>
      </c>
      <c r="Y2027">
        <v>0.19375419999999999</v>
      </c>
      <c r="Z2027">
        <v>1.7883840000000002E-2</v>
      </c>
      <c r="AA2027">
        <v>0.98088710000000001</v>
      </c>
      <c r="AB2027">
        <v>46</v>
      </c>
      <c r="AC2027">
        <v>-0.49279999999998803</v>
      </c>
      <c r="AD2027">
        <v>-0.180945999999999</v>
      </c>
      <c r="AE2027">
        <v>0.16729999999995401</v>
      </c>
      <c r="AF2027">
        <v>0.14138115475024399</v>
      </c>
      <c r="AG2027">
        <v>-0.180945999999999</v>
      </c>
      <c r="AH2027">
        <v>0.442246845895718</v>
      </c>
      <c r="AI2027">
        <v>111.291911996388</v>
      </c>
      <c r="AJ2027">
        <v>72.271528576793699</v>
      </c>
      <c r="AK2027">
        <v>0.49830950075151398</v>
      </c>
      <c r="AL2027">
        <v>78.496060859880103</v>
      </c>
      <c r="AM2027">
        <v>91.474955773661705</v>
      </c>
      <c r="AN2027">
        <v>0.99999997635909399</v>
      </c>
    </row>
    <row r="2028" spans="1:40" x14ac:dyDescent="0.25">
      <c r="A2028" t="str">
        <f>"20190312172409161"</f>
        <v>20190312172409161</v>
      </c>
      <c r="B2028" t="str">
        <f>"1552382649152030"</f>
        <v>1552382649152030</v>
      </c>
      <c r="C2028" t="s">
        <v>40</v>
      </c>
      <c r="D2028">
        <v>3.8618139999999999</v>
      </c>
      <c r="E2028">
        <v>0.58553809999999995</v>
      </c>
      <c r="F2028" t="s">
        <v>41</v>
      </c>
      <c r="G2028">
        <v>-317.10610000000003</v>
      </c>
      <c r="H2028">
        <v>0.90248799999999996</v>
      </c>
      <c r="I2028">
        <v>283.90089999999998</v>
      </c>
      <c r="J2028">
        <v>-316.45659999999998</v>
      </c>
      <c r="K2028">
        <v>1.109745</v>
      </c>
      <c r="L2028">
        <v>283.70780000000002</v>
      </c>
      <c r="M2028">
        <v>-0.99976580000000004</v>
      </c>
      <c r="N2028">
        <v>0</v>
      </c>
      <c r="O2028">
        <v>1.7787999999999901E-2</v>
      </c>
      <c r="P2028">
        <v>-0.98213159999999999</v>
      </c>
      <c r="Q2028">
        <v>0.18799160000000001</v>
      </c>
      <c r="R2028">
        <v>-8.7854639999999998E-3</v>
      </c>
      <c r="S2028">
        <v>-3.201263</v>
      </c>
      <c r="T2028">
        <v>-0.7416933</v>
      </c>
      <c r="U2028">
        <v>0.70516969999999901</v>
      </c>
      <c r="V2028">
        <v>-2.623292E-2</v>
      </c>
      <c r="W2028">
        <v>0.20008989999999999</v>
      </c>
      <c r="X2028">
        <v>0.97942629999999997</v>
      </c>
      <c r="Y2028">
        <v>0.1932826</v>
      </c>
      <c r="Z2028">
        <v>1.7826749999999999E-2</v>
      </c>
      <c r="AA2028">
        <v>0.9809812</v>
      </c>
      <c r="AB2028">
        <v>46</v>
      </c>
      <c r="AC2028">
        <v>-0.64950000000004504</v>
      </c>
      <c r="AD2028">
        <v>-0.207257</v>
      </c>
      <c r="AE2028">
        <v>0.193099999999958</v>
      </c>
      <c r="AF2028">
        <v>0.16598613010226901</v>
      </c>
      <c r="AG2028">
        <v>-0.207257</v>
      </c>
      <c r="AH2028">
        <v>0.59698074327106598</v>
      </c>
      <c r="AI2028">
        <v>108.49440860754299</v>
      </c>
      <c r="AJ2028">
        <v>74.461799034007598</v>
      </c>
      <c r="AK2028">
        <v>0.653370390568628</v>
      </c>
      <c r="AL2028">
        <v>78.457783878405294</v>
      </c>
      <c r="AM2028">
        <v>91.534241360107004</v>
      </c>
      <c r="AN2028">
        <v>1.0000000056527101</v>
      </c>
    </row>
    <row r="2029" spans="1:40" x14ac:dyDescent="0.25">
      <c r="A2029" t="str">
        <f>"20190312172409193"</f>
        <v>20190312172409193</v>
      </c>
      <c r="B2029" t="str">
        <f>"1552382649182286"</f>
        <v>1552382649182286</v>
      </c>
      <c r="C2029" t="s">
        <v>40</v>
      </c>
      <c r="D2029">
        <v>4.0897839999999999</v>
      </c>
      <c r="E2029">
        <v>0.57067639999999997</v>
      </c>
      <c r="F2029" t="s">
        <v>41</v>
      </c>
      <c r="G2029">
        <v>-317.51100000000002</v>
      </c>
      <c r="H2029">
        <v>0.88472450000000002</v>
      </c>
      <c r="I2029">
        <v>283.9205</v>
      </c>
      <c r="J2029">
        <v>-317.08879999999999</v>
      </c>
      <c r="K2029">
        <v>1.109882</v>
      </c>
      <c r="L2029">
        <v>283.71879999999999</v>
      </c>
      <c r="M2029">
        <v>-0.99976730000000003</v>
      </c>
      <c r="N2029">
        <v>0</v>
      </c>
      <c r="O2029">
        <v>1.7526730000000001E-2</v>
      </c>
      <c r="P2029">
        <v>-0.98197279999999998</v>
      </c>
      <c r="Q2029">
        <v>0.18873500000000001</v>
      </c>
      <c r="R2029">
        <v>-1.0443940000000001E-2</v>
      </c>
      <c r="S2029">
        <v>-3.1907350000000001</v>
      </c>
      <c r="T2029">
        <v>-0.68099200000000004</v>
      </c>
      <c r="U2029">
        <v>0.64364619999999995</v>
      </c>
      <c r="V2029">
        <v>-2.768108E-2</v>
      </c>
      <c r="W2029">
        <v>0.2010709</v>
      </c>
      <c r="X2029">
        <v>0.97918550000000004</v>
      </c>
      <c r="Y2029">
        <v>0.1770767</v>
      </c>
      <c r="Z2029">
        <v>1.48439E-2</v>
      </c>
      <c r="AA2029">
        <v>0.98408510000000005</v>
      </c>
      <c r="AB2029">
        <v>46</v>
      </c>
      <c r="AC2029">
        <v>-0.42219999999997498</v>
      </c>
      <c r="AD2029">
        <v>-0.22515749999999901</v>
      </c>
      <c r="AE2029">
        <v>0.20170000000001601</v>
      </c>
      <c r="AF2029">
        <v>0.157742424567935</v>
      </c>
      <c r="AG2029">
        <v>-0.22515749999999901</v>
      </c>
      <c r="AH2029">
        <v>0.34563635798654502</v>
      </c>
      <c r="AI2029">
        <v>120.65217646388</v>
      </c>
      <c r="AJ2029">
        <v>65.468868361547294</v>
      </c>
      <c r="AK2029">
        <v>0.441636801316448</v>
      </c>
      <c r="AL2029">
        <v>78.400410625026595</v>
      </c>
      <c r="AM2029">
        <v>91.619291507949299</v>
      </c>
      <c r="AN2029">
        <v>0.99999999621351299</v>
      </c>
    </row>
    <row r="2030" spans="1:40" x14ac:dyDescent="0.25">
      <c r="A2030" t="str">
        <f>"20190312172409325"</f>
        <v>20190312172409325</v>
      </c>
      <c r="B2030" t="str">
        <f>"1552382649321855"</f>
        <v>1552382649321855</v>
      </c>
      <c r="C2030" t="s">
        <v>40</v>
      </c>
      <c r="D2030">
        <v>3.632314</v>
      </c>
      <c r="E2030">
        <v>0.47453489999999998</v>
      </c>
      <c r="F2030" t="s">
        <v>47</v>
      </c>
      <c r="G2030">
        <v>-328.0324</v>
      </c>
      <c r="H2030" s="1">
        <v>2.809748E-6</v>
      </c>
      <c r="I2030">
        <v>282.96749999999997</v>
      </c>
      <c r="J2030">
        <v>-319.81819999999999</v>
      </c>
      <c r="K2030">
        <v>1.1102129999999999</v>
      </c>
      <c r="L2030">
        <v>283.76330000000002</v>
      </c>
      <c r="M2030">
        <v>-0.99978630000000002</v>
      </c>
      <c r="N2030">
        <v>0</v>
      </c>
      <c r="O2030">
        <v>1.5712810000000001E-2</v>
      </c>
      <c r="P2030">
        <v>-0.98178929999999998</v>
      </c>
      <c r="Q2030">
        <v>0.18921589999999999</v>
      </c>
      <c r="R2030">
        <v>-1.6954819999999999E-2</v>
      </c>
      <c r="S2030">
        <v>-3.128082</v>
      </c>
      <c r="T2030">
        <v>-0.40079710000000002</v>
      </c>
      <c r="U2030">
        <v>-0.28478999999999999</v>
      </c>
      <c r="V2030">
        <v>-3.2533850000000003E-2</v>
      </c>
      <c r="W2030">
        <v>0.20236090000000001</v>
      </c>
      <c r="X2030">
        <v>0.97877040000000004</v>
      </c>
      <c r="Y2030">
        <v>-0.1053246</v>
      </c>
      <c r="Z2030">
        <v>-8.7078380000000007E-3</v>
      </c>
      <c r="AA2030">
        <v>0.99439979999999994</v>
      </c>
      <c r="AB2030">
        <v>46</v>
      </c>
      <c r="AC2030">
        <v>-8.2141999999999999</v>
      </c>
      <c r="AD2030">
        <v>-1.1102101902520001</v>
      </c>
      <c r="AE2030">
        <v>-0.79580000000004203</v>
      </c>
      <c r="AF2030">
        <v>-0.908342664820315</v>
      </c>
      <c r="AG2030">
        <v>-1.1102101902520001</v>
      </c>
      <c r="AH2030">
        <v>8.0549053540656104</v>
      </c>
      <c r="AI2030">
        <v>97.798832983397006</v>
      </c>
      <c r="AJ2030">
        <v>96.433999490239003</v>
      </c>
      <c r="AK2030">
        <v>8.1816351254640498</v>
      </c>
      <c r="AL2030">
        <v>78.324947197447699</v>
      </c>
      <c r="AM2030">
        <v>91.903782789365295</v>
      </c>
      <c r="AN2030">
        <v>0.99999994058039399</v>
      </c>
    </row>
    <row r="2031" spans="1:40" x14ac:dyDescent="0.25">
      <c r="A2031" t="str">
        <f>"20190312172409349"</f>
        <v>20190312172409349</v>
      </c>
      <c r="B2031" t="str">
        <f>"1552382649342349"</f>
        <v>1552382649342349</v>
      </c>
      <c r="C2031" t="s">
        <v>40</v>
      </c>
      <c r="D2031">
        <v>5.9069289999999999</v>
      </c>
      <c r="E2031">
        <v>0.47645599999999999</v>
      </c>
      <c r="F2031" t="s">
        <v>47</v>
      </c>
      <c r="G2031">
        <v>-333.68110000000001</v>
      </c>
      <c r="H2031" s="1">
        <v>5.1041930000000004E-7</v>
      </c>
      <c r="I2031">
        <v>282.59609999999998</v>
      </c>
      <c r="J2031">
        <v>-320.28730000000002</v>
      </c>
      <c r="K2031">
        <v>1.1102430000000001</v>
      </c>
      <c r="L2031">
        <v>283.7704</v>
      </c>
      <c r="M2031">
        <v>-0.99979050000000003</v>
      </c>
      <c r="N2031">
        <v>0</v>
      </c>
      <c r="O2031">
        <v>1.535594E-2</v>
      </c>
      <c r="P2031">
        <v>-0.981792</v>
      </c>
      <c r="Q2031">
        <v>0.189197</v>
      </c>
      <c r="R2031">
        <v>-1.6999400000000001E-2</v>
      </c>
      <c r="S2031">
        <v>-3.0989689999999999</v>
      </c>
      <c r="T2031">
        <v>-0.24818209999999999</v>
      </c>
      <c r="U2031">
        <v>-0.26092530000000003</v>
      </c>
      <c r="V2031">
        <v>-3.223881E-2</v>
      </c>
      <c r="W2031">
        <v>0.20244029999999999</v>
      </c>
      <c r="X2031">
        <v>0.97876379999999996</v>
      </c>
      <c r="Y2031">
        <v>-9.8830760000000004E-2</v>
      </c>
      <c r="Z2031">
        <v>-5.1701159999999998E-3</v>
      </c>
      <c r="AA2031">
        <v>0.99509080000000005</v>
      </c>
      <c r="AB2031">
        <v>46</v>
      </c>
      <c r="AC2031">
        <v>-13.393800000000001</v>
      </c>
      <c r="AD2031">
        <v>-1.1102424895806999</v>
      </c>
      <c r="AE2031">
        <v>-1.1743000000000099</v>
      </c>
      <c r="AF2031">
        <v>-1.3705096272535899</v>
      </c>
      <c r="AG2031">
        <v>-1.1102424895806999</v>
      </c>
      <c r="AH2031">
        <v>13.2836091947193</v>
      </c>
      <c r="AI2031">
        <v>94.752558915550097</v>
      </c>
      <c r="AJ2031">
        <v>95.890534742442497</v>
      </c>
      <c r="AK2031">
        <v>13.400194336728701</v>
      </c>
      <c r="AL2031">
        <v>78.320302422019196</v>
      </c>
      <c r="AM2031">
        <v>91.886543182952195</v>
      </c>
      <c r="AN2031">
        <v>0.999999996062373</v>
      </c>
    </row>
    <row r="2032" spans="1:40" x14ac:dyDescent="0.25">
      <c r="A2032" t="str">
        <f>"20190312172409370"</f>
        <v>20190312172409370</v>
      </c>
      <c r="B2032" t="str">
        <f>"1552382649361873"</f>
        <v>1552382649361873</v>
      </c>
      <c r="C2032" t="s">
        <v>40</v>
      </c>
      <c r="D2032">
        <v>3.662182</v>
      </c>
      <c r="E2032">
        <v>0.47730729999999999</v>
      </c>
      <c r="F2032" t="s">
        <v>47</v>
      </c>
      <c r="G2032">
        <v>-338.33819999999997</v>
      </c>
      <c r="H2032" s="1">
        <v>3.000065E-6</v>
      </c>
      <c r="I2032">
        <v>282.33539999999999</v>
      </c>
      <c r="J2032">
        <v>-320.73939999999999</v>
      </c>
      <c r="K2032">
        <v>1.110268</v>
      </c>
      <c r="L2032">
        <v>283.77710000000002</v>
      </c>
      <c r="M2032">
        <v>-0.99979450000000003</v>
      </c>
      <c r="N2032">
        <v>0</v>
      </c>
      <c r="O2032">
        <v>1.501223E-2</v>
      </c>
      <c r="P2032">
        <v>-0.98185290000000003</v>
      </c>
      <c r="Q2032">
        <v>0.1888879</v>
      </c>
      <c r="R2032">
        <v>-1.6911679999999998E-2</v>
      </c>
      <c r="S2032">
        <v>-3.0879819999999998</v>
      </c>
      <c r="T2032">
        <v>-0.18993009999999999</v>
      </c>
      <c r="U2032">
        <v>-0.24548339999999999</v>
      </c>
      <c r="V2032">
        <v>-3.1823079999999997E-2</v>
      </c>
      <c r="W2032">
        <v>0.20221520000000001</v>
      </c>
      <c r="X2032">
        <v>0.97882400000000003</v>
      </c>
      <c r="Y2032">
        <v>-9.3999059999999995E-2</v>
      </c>
      <c r="Z2032">
        <v>-3.8047200000000002E-3</v>
      </c>
      <c r="AA2032">
        <v>0.99556500000000003</v>
      </c>
      <c r="AB2032">
        <v>46</v>
      </c>
      <c r="AC2032">
        <v>-17.598799999999901</v>
      </c>
      <c r="AD2032">
        <v>-1.1102649999350001</v>
      </c>
      <c r="AE2032">
        <v>-1.44170000000002</v>
      </c>
      <c r="AF2032">
        <v>-1.6990420848732899</v>
      </c>
      <c r="AG2032">
        <v>-1.1102649999350001</v>
      </c>
      <c r="AH2032">
        <v>17.5059613622456</v>
      </c>
      <c r="AI2032">
        <v>93.612031774830996</v>
      </c>
      <c r="AJ2032">
        <v>95.543482725191296</v>
      </c>
      <c r="AK2032">
        <v>17.623226594261499</v>
      </c>
      <c r="AL2032">
        <v>78.333472826269499</v>
      </c>
      <c r="AM2032">
        <v>91.862118381456298</v>
      </c>
      <c r="AN2032">
        <v>1.00000005925386</v>
      </c>
    </row>
    <row r="2033" spans="1:40" x14ac:dyDescent="0.25">
      <c r="A2033" t="str">
        <f>"20190312172409394"</f>
        <v>20190312172409394</v>
      </c>
      <c r="B2033" t="str">
        <f>"1552382649382366"</f>
        <v>1552382649382366</v>
      </c>
      <c r="C2033" t="s">
        <v>40</v>
      </c>
      <c r="D2033">
        <v>3.6464590000000001</v>
      </c>
      <c r="E2033">
        <v>0.47791699999999998</v>
      </c>
      <c r="F2033" t="s">
        <v>47</v>
      </c>
      <c r="G2033">
        <v>-341.6814</v>
      </c>
      <c r="H2033" s="1">
        <v>-6.4205499999999999E-7</v>
      </c>
      <c r="I2033">
        <v>282.15570000000002</v>
      </c>
      <c r="J2033">
        <v>-321.2088</v>
      </c>
      <c r="K2033">
        <v>1.1102890000000001</v>
      </c>
      <c r="L2033">
        <v>283.78390000000002</v>
      </c>
      <c r="M2033">
        <v>-0.99979879999999999</v>
      </c>
      <c r="N2033">
        <v>0</v>
      </c>
      <c r="O2033">
        <v>1.465549E-2</v>
      </c>
      <c r="P2033">
        <v>-0.98192380000000001</v>
      </c>
      <c r="Q2033">
        <v>0.1885271</v>
      </c>
      <c r="R2033">
        <v>-1.6839489999999999E-2</v>
      </c>
      <c r="S2033">
        <v>-3.0827640000000001</v>
      </c>
      <c r="T2033">
        <v>-0.1634371</v>
      </c>
      <c r="U2033">
        <v>-0.238678</v>
      </c>
      <c r="V2033">
        <v>-3.1409090000000001E-2</v>
      </c>
      <c r="W2033">
        <v>0.20193120000000001</v>
      </c>
      <c r="X2033">
        <v>0.97889590000000004</v>
      </c>
      <c r="Y2033">
        <v>-9.1648789999999994E-2</v>
      </c>
      <c r="Z2033">
        <v>-3.199562E-3</v>
      </c>
      <c r="AA2033">
        <v>0.99578619999999995</v>
      </c>
      <c r="AB2033">
        <v>46</v>
      </c>
      <c r="AC2033">
        <v>-20.4726</v>
      </c>
      <c r="AD2033">
        <v>-1.1102896420549999</v>
      </c>
      <c r="AE2033">
        <v>-1.6281999999999901</v>
      </c>
      <c r="AF2033">
        <v>-1.9224703748460701</v>
      </c>
      <c r="AG2033">
        <v>-1.1102896420549999</v>
      </c>
      <c r="AH2033">
        <v>20.386951082133699</v>
      </c>
      <c r="AI2033">
        <v>93.103553165812002</v>
      </c>
      <c r="AJ2033">
        <v>95.387008328290705</v>
      </c>
      <c r="AK2033">
        <v>20.507472049395201</v>
      </c>
      <c r="AL2033">
        <v>78.350086430326201</v>
      </c>
      <c r="AM2033">
        <v>91.837775696939403</v>
      </c>
      <c r="AN2033">
        <v>0.99999996175243799</v>
      </c>
    </row>
    <row r="2034" spans="1:40" x14ac:dyDescent="0.25">
      <c r="A2034" t="str">
        <f>"20190312172409416"</f>
        <v>20190312172409416</v>
      </c>
      <c r="B2034" t="str">
        <f>"1552382649411647"</f>
        <v>1552382649411647</v>
      </c>
      <c r="C2034" t="s">
        <v>40</v>
      </c>
      <c r="D2034">
        <v>3.6381640000000002</v>
      </c>
      <c r="E2034">
        <v>0.47850730000000002</v>
      </c>
      <c r="F2034" t="s">
        <v>47</v>
      </c>
      <c r="G2034">
        <v>-343.60509999999999</v>
      </c>
      <c r="H2034" s="1">
        <v>3.8166710000000002E-7</v>
      </c>
      <c r="I2034">
        <v>282.08679999999998</v>
      </c>
      <c r="J2034">
        <v>-321.66410000000002</v>
      </c>
      <c r="K2034">
        <v>1.110301</v>
      </c>
      <c r="L2034">
        <v>283.7903</v>
      </c>
      <c r="M2034">
        <v>-0.99980290000000005</v>
      </c>
      <c r="N2034">
        <v>0</v>
      </c>
      <c r="O2034">
        <v>1.4308690000000001E-2</v>
      </c>
      <c r="P2034">
        <v>-0.98186030000000002</v>
      </c>
      <c r="Q2034">
        <v>0.18885879999999999</v>
      </c>
      <c r="R2034">
        <v>-1.682494E-2</v>
      </c>
      <c r="S2034">
        <v>-3.0805359999999999</v>
      </c>
      <c r="T2034">
        <v>-0.1527164</v>
      </c>
      <c r="U2034">
        <v>-0.233429</v>
      </c>
      <c r="V2034">
        <v>-3.1059690000000001E-2</v>
      </c>
      <c r="W2034">
        <v>0.2023259</v>
      </c>
      <c r="X2034">
        <v>0.97882559999999996</v>
      </c>
      <c r="Y2034">
        <v>-8.9693200000000001E-2</v>
      </c>
      <c r="Z2034">
        <v>-2.9267590000000001E-3</v>
      </c>
      <c r="AA2034">
        <v>0.99596510000000005</v>
      </c>
      <c r="AB2034">
        <v>46</v>
      </c>
      <c r="AC2034">
        <v>-21.940999999999899</v>
      </c>
      <c r="AD2034">
        <v>-1.1103006183329001</v>
      </c>
      <c r="AE2034">
        <v>-1.70350000000001</v>
      </c>
      <c r="AF2034">
        <v>-2.0121804473268399</v>
      </c>
      <c r="AG2034">
        <v>-1.1103006183329001</v>
      </c>
      <c r="AH2034">
        <v>21.858736697962001</v>
      </c>
      <c r="AI2034">
        <v>92.895581995898098</v>
      </c>
      <c r="AJ2034">
        <v>95.259473312208002</v>
      </c>
      <c r="AK2034">
        <v>21.979217630445898</v>
      </c>
      <c r="AL2034">
        <v>78.3269957846789</v>
      </c>
      <c r="AM2034">
        <v>91.817476192802005</v>
      </c>
      <c r="AN2034">
        <v>1.00000001468453</v>
      </c>
    </row>
    <row r="2035" spans="1:40" x14ac:dyDescent="0.25">
      <c r="A2035" t="str">
        <f>"20190312172409437"</f>
        <v>20190312172409437</v>
      </c>
      <c r="B2035" t="str">
        <f>"1552382649432142"</f>
        <v>1552382649432142</v>
      </c>
      <c r="C2035" t="s">
        <v>40</v>
      </c>
      <c r="D2035">
        <v>3.6474410000000002</v>
      </c>
      <c r="E2035">
        <v>0.47889789999999999</v>
      </c>
      <c r="F2035" t="s">
        <v>47</v>
      </c>
      <c r="G2035">
        <v>-345.79340000000002</v>
      </c>
      <c r="H2035" s="1">
        <v>1.5461779999999999E-6</v>
      </c>
      <c r="I2035">
        <v>281.99669999999998</v>
      </c>
      <c r="J2035">
        <v>-322.11689999999999</v>
      </c>
      <c r="K2035">
        <v>1.110317</v>
      </c>
      <c r="L2035">
        <v>283.79649999999998</v>
      </c>
      <c r="M2035">
        <v>-0.99980709999999995</v>
      </c>
      <c r="N2035">
        <v>0</v>
      </c>
      <c r="O2035">
        <v>1.396265E-2</v>
      </c>
      <c r="P2035">
        <v>-0.98188660000000005</v>
      </c>
      <c r="Q2035">
        <v>0.1887076</v>
      </c>
      <c r="R2035">
        <v>-1.6990720000000001E-2</v>
      </c>
      <c r="S2035">
        <v>-3.0787659999999999</v>
      </c>
      <c r="T2035">
        <v>-0.14166779999999901</v>
      </c>
      <c r="U2035">
        <v>-0.22885130000000001</v>
      </c>
      <c r="V2035">
        <v>-3.089041E-2</v>
      </c>
      <c r="W2035">
        <v>0.2022301</v>
      </c>
      <c r="X2035">
        <v>0.97885069999999996</v>
      </c>
      <c r="Y2035">
        <v>-8.7938730000000007E-2</v>
      </c>
      <c r="Z2035">
        <v>-2.6607670000000001E-3</v>
      </c>
      <c r="AA2035">
        <v>0.99612239999999996</v>
      </c>
      <c r="AB2035">
        <v>46</v>
      </c>
      <c r="AC2035">
        <v>-23.676500000000001</v>
      </c>
      <c r="AD2035">
        <v>-1.1103154538219999</v>
      </c>
      <c r="AE2035">
        <v>-1.7998000000000001</v>
      </c>
      <c r="AF2035">
        <v>-2.1255950666041099</v>
      </c>
      <c r="AG2035">
        <v>-1.1103154538219999</v>
      </c>
      <c r="AH2035">
        <v>23.597462580590999</v>
      </c>
      <c r="AI2035">
        <v>92.6830655927332</v>
      </c>
      <c r="AJ2035">
        <v>95.147156340615695</v>
      </c>
      <c r="AK2035">
        <v>23.719004933524499</v>
      </c>
      <c r="AL2035">
        <v>78.332599956538502</v>
      </c>
      <c r="AM2035">
        <v>91.807530942657095</v>
      </c>
      <c r="AN2035">
        <v>0.99999996183323303</v>
      </c>
    </row>
    <row r="2036" spans="1:40" x14ac:dyDescent="0.25">
      <c r="A2036" t="str">
        <f>"20190312172409460"</f>
        <v>20190312172409460</v>
      </c>
      <c r="B2036" t="str">
        <f>"1552382649451666"</f>
        <v>1552382649451666</v>
      </c>
      <c r="C2036" t="s">
        <v>40</v>
      </c>
      <c r="D2036">
        <v>3.7123719999999998</v>
      </c>
      <c r="E2036">
        <v>0.47903889999999999</v>
      </c>
      <c r="F2036" t="s">
        <v>47</v>
      </c>
      <c r="G2036">
        <v>-346.82769999999999</v>
      </c>
      <c r="H2036" s="1">
        <v>2.0965839999999999E-6</v>
      </c>
      <c r="I2036">
        <v>281.97739999999999</v>
      </c>
      <c r="J2036">
        <v>-322.58240000000001</v>
      </c>
      <c r="K2036">
        <v>1.1103270000000001</v>
      </c>
      <c r="L2036">
        <v>283.80270000000002</v>
      </c>
      <c r="M2036">
        <v>-0.99981120000000001</v>
      </c>
      <c r="N2036">
        <v>0</v>
      </c>
      <c r="O2036">
        <v>1.36057E-2</v>
      </c>
      <c r="P2036">
        <v>-0.9818597</v>
      </c>
      <c r="Q2036">
        <v>0.18883079999999999</v>
      </c>
      <c r="R2036">
        <v>-1.717109E-2</v>
      </c>
      <c r="S2036">
        <v>-3.0780029999999998</v>
      </c>
      <c r="T2036">
        <v>-0.1383017</v>
      </c>
      <c r="U2036">
        <v>-0.22659299999999999</v>
      </c>
      <c r="V2036">
        <v>-3.0724060000000001E-2</v>
      </c>
      <c r="W2036">
        <v>0.20240379999999999</v>
      </c>
      <c r="X2036">
        <v>0.97882009999999997</v>
      </c>
      <c r="Y2036">
        <v>-8.6880869999999999E-2</v>
      </c>
      <c r="Z2036">
        <v>-2.5585859999999998E-3</v>
      </c>
      <c r="AA2036">
        <v>0.99621539999999997</v>
      </c>
      <c r="AB2036">
        <v>46</v>
      </c>
      <c r="AC2036">
        <v>-24.245299999999901</v>
      </c>
      <c r="AD2036">
        <v>-1.1103249034160001</v>
      </c>
      <c r="AE2036">
        <v>-1.8253000000000199</v>
      </c>
      <c r="AF2036">
        <v>-2.1505522658574501</v>
      </c>
      <c r="AG2036">
        <v>-1.1103249034160001</v>
      </c>
      <c r="AH2036">
        <v>24.167818804285599</v>
      </c>
      <c r="AI2036">
        <v>92.620111296473496</v>
      </c>
      <c r="AJ2036">
        <v>95.085021798302407</v>
      </c>
      <c r="AK2036">
        <v>24.288704415759</v>
      </c>
      <c r="AL2036">
        <v>78.322438294412393</v>
      </c>
      <c r="AM2036">
        <v>91.797859658936403</v>
      </c>
      <c r="AN2036">
        <v>1.0000000271406599</v>
      </c>
    </row>
    <row r="2037" spans="1:40" x14ac:dyDescent="0.25">
      <c r="A2037" t="str">
        <f>"20190312172409481"</f>
        <v>20190312172409481</v>
      </c>
      <c r="B2037" t="str">
        <f>"1552382649472158"</f>
        <v>1552382649472158</v>
      </c>
      <c r="C2037" t="s">
        <v>40</v>
      </c>
      <c r="D2037">
        <v>3.6923539999999999</v>
      </c>
      <c r="E2037">
        <v>0.47899130000000001</v>
      </c>
      <c r="F2037" t="s">
        <v>47</v>
      </c>
      <c r="G2037">
        <v>-348.0881</v>
      </c>
      <c r="H2037" s="1">
        <v>2.7673160000000002E-6</v>
      </c>
      <c r="I2037">
        <v>281.92939999999999</v>
      </c>
      <c r="J2037">
        <v>-323.01979999999998</v>
      </c>
      <c r="K2037">
        <v>1.1103369999999999</v>
      </c>
      <c r="L2037">
        <v>283.80840000000001</v>
      </c>
      <c r="M2037">
        <v>-0.99981500000000001</v>
      </c>
      <c r="N2037">
        <v>0</v>
      </c>
      <c r="O2037">
        <v>1.3269049999999999E-2</v>
      </c>
      <c r="P2037">
        <v>-0.98183909999999996</v>
      </c>
      <c r="Q2037">
        <v>0.1889122</v>
      </c>
      <c r="R2037">
        <v>-1.7437910000000001E-2</v>
      </c>
      <c r="S2037">
        <v>-3.0772400000000002</v>
      </c>
      <c r="T2037">
        <v>-0.133959299999999</v>
      </c>
      <c r="U2037">
        <v>-0.2260132</v>
      </c>
      <c r="V2037">
        <v>-3.066257E-2</v>
      </c>
      <c r="W2037">
        <v>0.20252990000000001</v>
      </c>
      <c r="X2037">
        <v>0.97879590000000005</v>
      </c>
      <c r="Y2037">
        <v>-8.6383769999999999E-2</v>
      </c>
      <c r="Z2037">
        <v>-2.4535239999999999E-3</v>
      </c>
      <c r="AA2037">
        <v>0.99625889999999995</v>
      </c>
      <c r="AB2037">
        <v>46</v>
      </c>
      <c r="AC2037">
        <v>-25.068300000000001</v>
      </c>
      <c r="AD2037">
        <v>-1.110334232684</v>
      </c>
      <c r="AE2037">
        <v>-1.87900000000001</v>
      </c>
      <c r="AF2037">
        <v>-2.2071934145052099</v>
      </c>
      <c r="AG2037">
        <v>-1.110334232684</v>
      </c>
      <c r="AH2037">
        <v>24.992401154412502</v>
      </c>
      <c r="AI2037">
        <v>92.533949991892797</v>
      </c>
      <c r="AJ2037">
        <v>95.046958697773306</v>
      </c>
      <c r="AK2037">
        <v>25.114232226774998</v>
      </c>
      <c r="AL2037">
        <v>78.315059981634107</v>
      </c>
      <c r="AM2037">
        <v>91.794308176123494</v>
      </c>
      <c r="AN2037">
        <v>0.99999998372491194</v>
      </c>
    </row>
    <row r="2038" spans="1:40" x14ac:dyDescent="0.25">
      <c r="A2038" t="str">
        <f>"20190312172409504"</f>
        <v>20190312172409504</v>
      </c>
      <c r="B2038" t="str">
        <f>"1552382649491696"</f>
        <v>1552382649491696</v>
      </c>
      <c r="C2038" t="s">
        <v>40</v>
      </c>
      <c r="D2038">
        <v>3.682248</v>
      </c>
      <c r="E2038">
        <v>0.47905429999999999</v>
      </c>
      <c r="F2038" t="s">
        <v>47</v>
      </c>
      <c r="G2038">
        <v>-349.2706</v>
      </c>
      <c r="H2038" s="1">
        <v>3.396553E-6</v>
      </c>
      <c r="I2038">
        <v>281.87</v>
      </c>
      <c r="J2038">
        <v>-323.46899999999999</v>
      </c>
      <c r="K2038">
        <v>1.1103510000000001</v>
      </c>
      <c r="L2038">
        <v>283.8141</v>
      </c>
      <c r="M2038">
        <v>-0.99981900000000001</v>
      </c>
      <c r="N2038">
        <v>0</v>
      </c>
      <c r="O2038">
        <v>1.292183E-2</v>
      </c>
      <c r="P2038">
        <v>-0.98193090000000005</v>
      </c>
      <c r="Q2038">
        <v>0.18838150000000001</v>
      </c>
      <c r="R2038">
        <v>-1.801063E-2</v>
      </c>
      <c r="S2038">
        <v>-3.0764469999999999</v>
      </c>
      <c r="T2038">
        <v>-0.1301252</v>
      </c>
      <c r="U2038">
        <v>-0.22717290000000001</v>
      </c>
      <c r="V2038">
        <v>-3.0896779999999999E-2</v>
      </c>
      <c r="W2038">
        <v>0.20204240000000001</v>
      </c>
      <c r="X2038">
        <v>0.97888929999999996</v>
      </c>
      <c r="Y2038">
        <v>-8.6435590000000007E-2</v>
      </c>
      <c r="Z2038">
        <v>-2.3703740000000002E-3</v>
      </c>
      <c r="AA2038">
        <v>0.99625459999999999</v>
      </c>
      <c r="AB2038">
        <v>46</v>
      </c>
      <c r="AC2038">
        <v>-25.801600000000001</v>
      </c>
      <c r="AD2038">
        <v>-1.1103476034469999</v>
      </c>
      <c r="AE2038">
        <v>-1.9440999999999899</v>
      </c>
      <c r="AF2038">
        <v>-2.2731880338343502</v>
      </c>
      <c r="AG2038">
        <v>-1.1103476034469999</v>
      </c>
      <c r="AH2038">
        <v>25.7269460713411</v>
      </c>
      <c r="AI2038">
        <v>92.461712222519097</v>
      </c>
      <c r="AJ2038">
        <v>95.049441646721405</v>
      </c>
      <c r="AK2038">
        <v>25.851034984993198</v>
      </c>
      <c r="AL2038">
        <v>78.3435815282362</v>
      </c>
      <c r="AM2038">
        <v>91.807832188712396</v>
      </c>
      <c r="AN2038">
        <v>1.0000000020333</v>
      </c>
    </row>
    <row r="2039" spans="1:40" x14ac:dyDescent="0.25">
      <c r="A2039" t="str">
        <f>"20190312172409527"</f>
        <v>20190312172409527</v>
      </c>
      <c r="B2039" t="str">
        <f>"1552382649521934"</f>
        <v>1552382649521934</v>
      </c>
      <c r="C2039" t="s">
        <v>40</v>
      </c>
      <c r="D2039">
        <v>3.6646030000000001</v>
      </c>
      <c r="E2039">
        <v>0.4791241</v>
      </c>
      <c r="F2039" t="s">
        <v>47</v>
      </c>
      <c r="G2039">
        <v>-349.89249999999998</v>
      </c>
      <c r="H2039" s="1">
        <v>3.727497E-6</v>
      </c>
      <c r="I2039">
        <v>281.85070000000002</v>
      </c>
      <c r="J2039">
        <v>-323.93810000000002</v>
      </c>
      <c r="K2039">
        <v>1.110365</v>
      </c>
      <c r="L2039">
        <v>283.81990000000002</v>
      </c>
      <c r="M2039">
        <v>-0.99982300000000002</v>
      </c>
      <c r="N2039">
        <v>0</v>
      </c>
      <c r="O2039">
        <v>1.25585E-2</v>
      </c>
      <c r="P2039">
        <v>-0.98196930000000004</v>
      </c>
      <c r="Q2039">
        <v>0.18812019999999999</v>
      </c>
      <c r="R2039">
        <v>-1.8634810000000002E-2</v>
      </c>
      <c r="S2039">
        <v>-3.075806</v>
      </c>
      <c r="T2039">
        <v>-0.129249</v>
      </c>
      <c r="U2039">
        <v>-0.2285461</v>
      </c>
      <c r="V2039">
        <v>-3.1165689999999999E-2</v>
      </c>
      <c r="W2039">
        <v>0.20182059999999999</v>
      </c>
      <c r="X2039">
        <v>0.97892650000000003</v>
      </c>
      <c r="Y2039">
        <v>-8.6532559999999994E-2</v>
      </c>
      <c r="Z2039">
        <v>-2.3416679999999999E-3</v>
      </c>
      <c r="AA2039">
        <v>0.99624630000000003</v>
      </c>
      <c r="AB2039">
        <v>46</v>
      </c>
      <c r="AC2039">
        <v>-25.9543999999999</v>
      </c>
      <c r="AD2039">
        <v>-1.1103612725030001</v>
      </c>
      <c r="AE2039">
        <v>-1.9692000000000001</v>
      </c>
      <c r="AF2039">
        <v>-2.2908561922646302</v>
      </c>
      <c r="AG2039">
        <v>-1.1103612725030001</v>
      </c>
      <c r="AH2039">
        <v>25.880523875189802</v>
      </c>
      <c r="AI2039">
        <v>92.4471180951967</v>
      </c>
      <c r="AJ2039">
        <v>95.058444267757906</v>
      </c>
      <c r="AK2039">
        <v>26.005430977074401</v>
      </c>
      <c r="AL2039">
        <v>78.356556696511902</v>
      </c>
      <c r="AM2039">
        <v>91.823486821377699</v>
      </c>
      <c r="AN2039">
        <v>0.99999997360989201</v>
      </c>
    </row>
    <row r="2040" spans="1:40" x14ac:dyDescent="0.25">
      <c r="A2040" t="str">
        <f>"20190312172409549"</f>
        <v>20190312172409549</v>
      </c>
      <c r="B2040" t="str">
        <f>"1552382649542434"</f>
        <v>1552382649542434</v>
      </c>
      <c r="C2040" t="s">
        <v>40</v>
      </c>
      <c r="D2040">
        <v>3.6900430000000002</v>
      </c>
      <c r="E2040">
        <v>0.47918820000000001</v>
      </c>
      <c r="F2040" t="s">
        <v>47</v>
      </c>
      <c r="G2040">
        <v>-350.94929999999999</v>
      </c>
      <c r="H2040" s="1">
        <v>-1.031631E-6</v>
      </c>
      <c r="I2040">
        <v>281.80290000000002</v>
      </c>
      <c r="J2040">
        <v>-324.3972</v>
      </c>
      <c r="K2040">
        <v>1.110371</v>
      </c>
      <c r="L2040">
        <v>283.82530000000003</v>
      </c>
      <c r="M2040">
        <v>-0.99982680000000002</v>
      </c>
      <c r="N2040">
        <v>0</v>
      </c>
      <c r="O2040">
        <v>1.22027E-2</v>
      </c>
      <c r="P2040">
        <v>-0.9819251</v>
      </c>
      <c r="Q2040">
        <v>0.1883097</v>
      </c>
      <c r="R2040">
        <v>-1.9039279999999999E-2</v>
      </c>
      <c r="S2040">
        <v>-3.0749819999999999</v>
      </c>
      <c r="T2040">
        <v>-0.1264052</v>
      </c>
      <c r="U2040">
        <v>-0.22961429999999999</v>
      </c>
      <c r="V2040">
        <v>-3.1222079999999999E-2</v>
      </c>
      <c r="W2040">
        <v>0.20204749999999999</v>
      </c>
      <c r="X2040">
        <v>0.97887789999999997</v>
      </c>
      <c r="Y2040">
        <v>-8.654597E-2</v>
      </c>
      <c r="Z2040">
        <v>-2.2764439999999999E-3</v>
      </c>
      <c r="AA2040">
        <v>0.9962453</v>
      </c>
      <c r="AB2040">
        <v>46</v>
      </c>
      <c r="AC2040">
        <v>-26.552099999999999</v>
      </c>
      <c r="AD2040">
        <v>-1.110372031631</v>
      </c>
      <c r="AE2040">
        <v>-2.0224000000000002</v>
      </c>
      <c r="AF2040">
        <v>-2.34221626271815</v>
      </c>
      <c r="AG2040">
        <v>-1.110372031631</v>
      </c>
      <c r="AH2040">
        <v>26.479401490125699</v>
      </c>
      <c r="AI2040">
        <v>92.391873517138507</v>
      </c>
      <c r="AJ2040">
        <v>95.054900586661404</v>
      </c>
      <c r="AK2040">
        <v>26.6059693742822</v>
      </c>
      <c r="AL2040">
        <v>78.343282868418697</v>
      </c>
      <c r="AM2040">
        <v>91.826874570714395</v>
      </c>
      <c r="AN2040">
        <v>0.99999997682209196</v>
      </c>
    </row>
    <row r="2041" spans="1:40" x14ac:dyDescent="0.25">
      <c r="A2041" t="str">
        <f>"20190312172409571"</f>
        <v>20190312172409571</v>
      </c>
      <c r="B2041" t="str">
        <f>"1552382649561950"</f>
        <v>1552382649561950</v>
      </c>
      <c r="C2041" t="s">
        <v>40</v>
      </c>
      <c r="D2041">
        <v>3.7214239999999998</v>
      </c>
      <c r="E2041">
        <v>0.47923929999999998</v>
      </c>
      <c r="F2041" t="s">
        <v>47</v>
      </c>
      <c r="G2041">
        <v>-351.86250000000001</v>
      </c>
      <c r="H2041" s="1">
        <v>-5.4567960000000003E-7</v>
      </c>
      <c r="I2041">
        <v>281.76409999999998</v>
      </c>
      <c r="J2041">
        <v>-324.8442</v>
      </c>
      <c r="K2041">
        <v>1.1103809999999901</v>
      </c>
      <c r="L2041">
        <v>283.83049999999997</v>
      </c>
      <c r="M2041">
        <v>-0.99983060000000001</v>
      </c>
      <c r="N2041">
        <v>0</v>
      </c>
      <c r="O2041">
        <v>1.1855650000000001E-2</v>
      </c>
      <c r="P2041">
        <v>-0.9819447</v>
      </c>
      <c r="Q2041">
        <v>0.18818969999999999</v>
      </c>
      <c r="R2041">
        <v>-1.922275E-2</v>
      </c>
      <c r="S2041">
        <v>-3.0745849999999999</v>
      </c>
      <c r="T2041">
        <v>-0.1242998</v>
      </c>
      <c r="U2041">
        <v>-0.23074339999999999</v>
      </c>
      <c r="V2041">
        <v>-3.1065769999999999E-2</v>
      </c>
      <c r="W2041">
        <v>0.20196819999999999</v>
      </c>
      <c r="X2041">
        <v>0.97889930000000003</v>
      </c>
      <c r="Y2041">
        <v>-8.6576520000000004E-2</v>
      </c>
      <c r="Z2041">
        <v>-2.2254229999999998E-3</v>
      </c>
      <c r="AA2041">
        <v>0.99624270000000004</v>
      </c>
      <c r="AB2041">
        <v>46</v>
      </c>
      <c r="AC2041">
        <v>-27.0183</v>
      </c>
      <c r="AD2041">
        <v>-1.11038154567959</v>
      </c>
      <c r="AE2041">
        <v>-2.0663999999999798</v>
      </c>
      <c r="AF2041">
        <v>-2.3826051958589902</v>
      </c>
      <c r="AG2041">
        <v>-1.11038154567959</v>
      </c>
      <c r="AH2041">
        <v>26.946651723268801</v>
      </c>
      <c r="AI2041">
        <v>92.350473087715997</v>
      </c>
      <c r="AJ2041">
        <v>95.052914563248393</v>
      </c>
      <c r="AK2041">
        <v>27.074559900236</v>
      </c>
      <c r="AL2041">
        <v>78.347922785395397</v>
      </c>
      <c r="AM2041">
        <v>91.817694958661704</v>
      </c>
      <c r="AN2041">
        <v>1.0000000377087099</v>
      </c>
    </row>
    <row r="2042" spans="1:40" x14ac:dyDescent="0.25">
      <c r="A2042" t="str">
        <f>"20190312172409595"</f>
        <v>20190312172409595</v>
      </c>
      <c r="B2042" t="str">
        <f>"1552382649582446"</f>
        <v>1552382649582446</v>
      </c>
      <c r="C2042" t="s">
        <v>40</v>
      </c>
      <c r="D2042">
        <v>3.6770260000000001</v>
      </c>
      <c r="E2042">
        <v>0.47936479999999998</v>
      </c>
      <c r="F2042" t="s">
        <v>47</v>
      </c>
      <c r="G2042">
        <v>-352.45389999999998</v>
      </c>
      <c r="H2042" s="1">
        <v>-2.309404E-7</v>
      </c>
      <c r="I2042">
        <v>281.75549999999998</v>
      </c>
      <c r="J2042">
        <v>-325.3039</v>
      </c>
      <c r="K2042">
        <v>1.1103909999999999</v>
      </c>
      <c r="L2042">
        <v>283.83569999999997</v>
      </c>
      <c r="M2042">
        <v>-0.99983409999999995</v>
      </c>
      <c r="N2042">
        <v>0</v>
      </c>
      <c r="O2042">
        <v>1.1498980000000001E-2</v>
      </c>
      <c r="P2042">
        <v>-0.98192619999999997</v>
      </c>
      <c r="Q2042">
        <v>0.18825919999999999</v>
      </c>
      <c r="R2042">
        <v>-1.9484120000000001E-2</v>
      </c>
      <c r="S2042">
        <v>-3.074341</v>
      </c>
      <c r="T2042">
        <v>-0.1236408</v>
      </c>
      <c r="U2042">
        <v>-0.23104859999999999</v>
      </c>
      <c r="V2042">
        <v>-3.097726E-2</v>
      </c>
      <c r="W2042">
        <v>0.20208400000000001</v>
      </c>
      <c r="X2042">
        <v>0.97887820000000003</v>
      </c>
      <c r="Y2042">
        <v>-8.6326710000000001E-2</v>
      </c>
      <c r="Z2042">
        <v>-2.194465E-3</v>
      </c>
      <c r="AA2042">
        <v>0.9962645</v>
      </c>
      <c r="AB2042">
        <v>46</v>
      </c>
      <c r="AC2042">
        <v>-27.149999999999899</v>
      </c>
      <c r="AD2042">
        <v>-1.1103912309403901</v>
      </c>
      <c r="AE2042">
        <v>-2.0801999999999898</v>
      </c>
      <c r="AF2042">
        <v>-2.3883193250697698</v>
      </c>
      <c r="AG2042">
        <v>-1.1103912309403901</v>
      </c>
      <c r="AH2042">
        <v>27.079251519024801</v>
      </c>
      <c r="AI2042">
        <v>92.339042087626893</v>
      </c>
      <c r="AJ2042">
        <v>95.040296131151393</v>
      </c>
      <c r="AK2042">
        <v>27.207037705616798</v>
      </c>
      <c r="AL2042">
        <v>78.341148177549698</v>
      </c>
      <c r="AM2042">
        <v>91.812558636492</v>
      </c>
      <c r="AN2042">
        <v>1.00000003206417</v>
      </c>
    </row>
    <row r="2043" spans="1:40" x14ac:dyDescent="0.25">
      <c r="A2043" t="str">
        <f>"20190312172409617"</f>
        <v>20190312172409617</v>
      </c>
      <c r="B2043" t="str">
        <f>"1552382649611727"</f>
        <v>1552382649611727</v>
      </c>
      <c r="C2043" t="s">
        <v>40</v>
      </c>
      <c r="D2043">
        <v>3.6797430000000002</v>
      </c>
      <c r="E2043">
        <v>0.47950179999999998</v>
      </c>
      <c r="F2043" t="s">
        <v>47</v>
      </c>
      <c r="G2043">
        <v>-353.1053</v>
      </c>
      <c r="H2043" s="1">
        <v>1.156744E-7</v>
      </c>
      <c r="I2043">
        <v>281.74919999999997</v>
      </c>
      <c r="J2043">
        <v>-325.76510000000002</v>
      </c>
      <c r="K2043">
        <v>1.1104039999999999</v>
      </c>
      <c r="L2043">
        <v>283.84070000000003</v>
      </c>
      <c r="M2043">
        <v>-0.99983739999999999</v>
      </c>
      <c r="N2043">
        <v>0</v>
      </c>
      <c r="O2043">
        <v>1.1140890000000001E-2</v>
      </c>
      <c r="P2043">
        <v>-0.98189470000000001</v>
      </c>
      <c r="Q2043">
        <v>0.1884431</v>
      </c>
      <c r="R2043">
        <v>-1.929136E-2</v>
      </c>
      <c r="S2043">
        <v>-3.0741879999999999</v>
      </c>
      <c r="T2043">
        <v>-0.1227834</v>
      </c>
      <c r="U2043">
        <v>-0.2307129</v>
      </c>
      <c r="V2043">
        <v>-3.0432890000000001E-2</v>
      </c>
      <c r="W2043">
        <v>0.20231979999999999</v>
      </c>
      <c r="X2043">
        <v>0.97884649999999995</v>
      </c>
      <c r="Y2043">
        <v>-8.586713E-2</v>
      </c>
      <c r="Z2043">
        <v>-2.1559359999999998E-3</v>
      </c>
      <c r="AA2043">
        <v>0.99630430000000003</v>
      </c>
      <c r="AB2043">
        <v>46</v>
      </c>
      <c r="AC2043">
        <v>-27.3401999999999</v>
      </c>
      <c r="AD2043">
        <v>-1.1104038843256001</v>
      </c>
      <c r="AE2043">
        <v>-2.0915000000000501</v>
      </c>
      <c r="AF2043">
        <v>-2.39207213434086</v>
      </c>
      <c r="AG2043">
        <v>-1.1104038843256001</v>
      </c>
      <c r="AH2043">
        <v>27.270477781986099</v>
      </c>
      <c r="AI2043">
        <v>92.322782078969695</v>
      </c>
      <c r="AJ2043">
        <v>95.012957299454996</v>
      </c>
      <c r="AK2043">
        <v>27.397699982662999</v>
      </c>
      <c r="AL2043">
        <v>78.3273520983401</v>
      </c>
      <c r="AM2043">
        <v>91.780784479560594</v>
      </c>
      <c r="AN2043">
        <v>0.99999996641402</v>
      </c>
    </row>
    <row r="2044" spans="1:40" x14ac:dyDescent="0.25">
      <c r="A2044" t="str">
        <f>"20190312172409639"</f>
        <v>20190312172409639</v>
      </c>
      <c r="B2044" t="str">
        <f>"1552382649632226"</f>
        <v>1552382649632226</v>
      </c>
      <c r="C2044" t="s">
        <v>40</v>
      </c>
      <c r="D2044">
        <v>3.6917620000000002</v>
      </c>
      <c r="E2044">
        <v>0.47953069999999998</v>
      </c>
      <c r="F2044" t="s">
        <v>47</v>
      </c>
      <c r="G2044">
        <v>-353.89960000000002</v>
      </c>
      <c r="H2044" s="1">
        <v>5.383967E-7</v>
      </c>
      <c r="I2044">
        <v>281.74529999999999</v>
      </c>
      <c r="J2044">
        <v>-326.21140000000003</v>
      </c>
      <c r="K2044">
        <v>1.1104099999999999</v>
      </c>
      <c r="L2044">
        <v>283.84530000000001</v>
      </c>
      <c r="M2044">
        <v>-0.99984039999999996</v>
      </c>
      <c r="N2044">
        <v>0</v>
      </c>
      <c r="O2044">
        <v>1.0793469999999999E-2</v>
      </c>
      <c r="P2044">
        <v>-0.98185610000000001</v>
      </c>
      <c r="Q2044">
        <v>0.18864649999999999</v>
      </c>
      <c r="R2044">
        <v>-1.926711E-2</v>
      </c>
      <c r="S2044">
        <v>-3.074036</v>
      </c>
      <c r="T2044">
        <v>-0.121325</v>
      </c>
      <c r="U2044">
        <v>-0.2289429</v>
      </c>
      <c r="V2044">
        <v>-3.006766E-2</v>
      </c>
      <c r="W2044">
        <v>0.20257620000000001</v>
      </c>
      <c r="X2044">
        <v>0.97880480000000003</v>
      </c>
      <c r="Y2044">
        <v>-8.4956909999999997E-2</v>
      </c>
      <c r="Z2044">
        <v>-2.0988769999999999E-3</v>
      </c>
      <c r="AA2044">
        <v>0.9963824</v>
      </c>
      <c r="AB2044">
        <v>45</v>
      </c>
      <c r="AC2044">
        <v>-27.688199999999899</v>
      </c>
      <c r="AD2044">
        <v>-1.1104094616033</v>
      </c>
      <c r="AE2044">
        <v>-2.1000000000000201</v>
      </c>
      <c r="AF2044">
        <v>-2.3949298713748499</v>
      </c>
      <c r="AG2044">
        <v>-1.1104094616033</v>
      </c>
      <c r="AH2044">
        <v>27.619750441891998</v>
      </c>
      <c r="AI2044">
        <v>92.293651265925902</v>
      </c>
      <c r="AJ2044">
        <v>94.955765653855394</v>
      </c>
      <c r="AK2044">
        <v>27.745617901456399</v>
      </c>
      <c r="AL2044">
        <v>78.312351330546207</v>
      </c>
      <c r="AM2044">
        <v>91.759501422794798</v>
      </c>
      <c r="AN2044">
        <v>1.00000000874367</v>
      </c>
    </row>
    <row r="2045" spans="1:40" x14ac:dyDescent="0.25">
      <c r="A2045" t="str">
        <f>"20190312172409660"</f>
        <v>20190312172409660</v>
      </c>
      <c r="B2045" t="str">
        <f>"1552382649651750"</f>
        <v>1552382649651750</v>
      </c>
      <c r="C2045" t="s">
        <v>40</v>
      </c>
      <c r="D2045">
        <v>3.645035</v>
      </c>
      <c r="E2045">
        <v>0.4795296</v>
      </c>
      <c r="F2045" t="s">
        <v>47</v>
      </c>
      <c r="G2045">
        <v>-354.66120000000001</v>
      </c>
      <c r="H2045" s="1">
        <v>9.4367100000000001E-7</v>
      </c>
      <c r="I2045">
        <v>281.72590000000002</v>
      </c>
      <c r="J2045">
        <v>-326.65699999999998</v>
      </c>
      <c r="K2045">
        <v>1.1104270000000001</v>
      </c>
      <c r="L2045">
        <v>283.84989999999999</v>
      </c>
      <c r="M2045">
        <v>-0.99984329999999999</v>
      </c>
      <c r="N2045">
        <v>0</v>
      </c>
      <c r="O2045">
        <v>1.0446459999999999E-2</v>
      </c>
      <c r="P2045">
        <v>-0.98175159999999995</v>
      </c>
      <c r="Q2045">
        <v>0.1891766</v>
      </c>
      <c r="R2045">
        <v>-1.9391390000000001E-2</v>
      </c>
      <c r="S2045">
        <v>-3.074036</v>
      </c>
      <c r="T2045">
        <v>-0.11998109999999999</v>
      </c>
      <c r="U2045">
        <v>-0.22900390000000001</v>
      </c>
      <c r="V2045">
        <v>-2.9850680000000001E-2</v>
      </c>
      <c r="W2045">
        <v>0.20315939999999999</v>
      </c>
      <c r="X2045">
        <v>0.97869059999999997</v>
      </c>
      <c r="Y2045">
        <v>-8.4632910000000006E-2</v>
      </c>
      <c r="Z2045">
        <v>-2.0558080000000001E-3</v>
      </c>
      <c r="AA2045">
        <v>0.99641009999999997</v>
      </c>
      <c r="AB2045">
        <v>45</v>
      </c>
      <c r="AC2045">
        <v>-28.004200000000001</v>
      </c>
      <c r="AD2045">
        <v>-1.110426056329</v>
      </c>
      <c r="AE2045">
        <v>-2.1239999999999601</v>
      </c>
      <c r="AF2045">
        <v>-2.4126869651840401</v>
      </c>
      <c r="AG2045">
        <v>-1.110426056329</v>
      </c>
      <c r="AH2045">
        <v>27.936807513029098</v>
      </c>
      <c r="AI2045">
        <v>92.267749422920303</v>
      </c>
      <c r="AJ2045">
        <v>94.9359481368395</v>
      </c>
      <c r="AK2045">
        <v>28.0627746033528</v>
      </c>
      <c r="AL2045">
        <v>78.278227315208397</v>
      </c>
      <c r="AM2045">
        <v>91.747015770274402</v>
      </c>
      <c r="AN2045">
        <v>1.00000004771659</v>
      </c>
    </row>
    <row r="2046" spans="1:40" x14ac:dyDescent="0.25">
      <c r="A2046" t="str">
        <f>"20190312172409683"</f>
        <v>20190312172409683</v>
      </c>
      <c r="B2046" t="str">
        <f>"1552382649672238"</f>
        <v>1552382649672238</v>
      </c>
      <c r="C2046" t="s">
        <v>40</v>
      </c>
      <c r="D2046">
        <v>3.63286</v>
      </c>
      <c r="E2046">
        <v>0.4795104</v>
      </c>
      <c r="F2046" t="s">
        <v>47</v>
      </c>
      <c r="G2046">
        <v>-355.7294</v>
      </c>
      <c r="H2046" s="1">
        <v>1.512135E-6</v>
      </c>
      <c r="I2046">
        <v>281.68020000000001</v>
      </c>
      <c r="J2046">
        <v>-327.10879999999997</v>
      </c>
      <c r="K2046">
        <v>1.110436</v>
      </c>
      <c r="L2046">
        <v>283.8544</v>
      </c>
      <c r="M2046">
        <v>-0.99984600000000001</v>
      </c>
      <c r="N2046">
        <v>0</v>
      </c>
      <c r="O2046">
        <v>1.0094769999999999E-2</v>
      </c>
      <c r="P2046">
        <v>-0.98174799999999995</v>
      </c>
      <c r="Q2046">
        <v>0.1891833</v>
      </c>
      <c r="R2046">
        <v>-1.9511899999999999E-2</v>
      </c>
      <c r="S2046">
        <v>-3.0738530000000002</v>
      </c>
      <c r="T2046">
        <v>-0.1174061</v>
      </c>
      <c r="U2046">
        <v>-0.22940060000000001</v>
      </c>
      <c r="V2046">
        <v>-2.962627E-2</v>
      </c>
      <c r="W2046">
        <v>0.20322380000000001</v>
      </c>
      <c r="X2046">
        <v>0.978684</v>
      </c>
      <c r="Y2046">
        <v>-8.4418190000000004E-2</v>
      </c>
      <c r="Z2046">
        <v>-1.9943249999999999E-3</v>
      </c>
      <c r="AA2046">
        <v>0.99642839999999999</v>
      </c>
      <c r="AB2046">
        <v>45</v>
      </c>
      <c r="AC2046">
        <v>-28.6206</v>
      </c>
      <c r="AD2046">
        <v>-1.1104344878650001</v>
      </c>
      <c r="AE2046">
        <v>-2.1741999999999799</v>
      </c>
      <c r="AF2046">
        <v>-2.45935646885582</v>
      </c>
      <c r="AG2046">
        <v>-1.1104344878650001</v>
      </c>
      <c r="AH2046">
        <v>28.554454148919501</v>
      </c>
      <c r="AI2046">
        <v>92.218807640643803</v>
      </c>
      <c r="AJ2046">
        <v>94.922659556387998</v>
      </c>
      <c r="AK2046">
        <v>28.6816727325219</v>
      </c>
      <c r="AL2046">
        <v>78.274458289511102</v>
      </c>
      <c r="AM2046">
        <v>91.733901872633695</v>
      </c>
      <c r="AN2046">
        <v>1.0000000003082701</v>
      </c>
    </row>
    <row r="2047" spans="1:40" x14ac:dyDescent="0.25">
      <c r="A2047" t="str">
        <f>"20190312172409705"</f>
        <v>20190312172409705</v>
      </c>
      <c r="B2047" t="str">
        <f>"1552382649702495"</f>
        <v>1552382649702495</v>
      </c>
      <c r="C2047" t="s">
        <v>40</v>
      </c>
      <c r="D2047">
        <v>3.646382</v>
      </c>
      <c r="E2047">
        <v>0.47942509999999999</v>
      </c>
      <c r="F2047" t="s">
        <v>47</v>
      </c>
      <c r="G2047">
        <v>-356.30810000000002</v>
      </c>
      <c r="H2047" s="1">
        <v>1.8200689999999999E-6</v>
      </c>
      <c r="I2047">
        <v>281.67140000000001</v>
      </c>
      <c r="J2047">
        <v>-327.55619999999999</v>
      </c>
      <c r="K2047">
        <v>1.110452</v>
      </c>
      <c r="L2047">
        <v>283.85860000000002</v>
      </c>
      <c r="M2047">
        <v>-0.99984870000000003</v>
      </c>
      <c r="N2047">
        <v>0</v>
      </c>
      <c r="O2047">
        <v>9.7467500000000002E-3</v>
      </c>
      <c r="P2047">
        <v>-0.98179649999999996</v>
      </c>
      <c r="Q2047">
        <v>0.18888279999999999</v>
      </c>
      <c r="R2047">
        <v>-1.997987E-2</v>
      </c>
      <c r="S2047">
        <v>-3.0737299999999999</v>
      </c>
      <c r="T2047">
        <v>-0.1168923</v>
      </c>
      <c r="U2047">
        <v>-0.22979740000000001</v>
      </c>
      <c r="V2047">
        <v>-2.9752850000000001E-2</v>
      </c>
      <c r="W2047">
        <v>0.20298379999999999</v>
      </c>
      <c r="X2047">
        <v>0.97872999999999999</v>
      </c>
      <c r="Y2047">
        <v>-8.4203210000000001E-2</v>
      </c>
      <c r="Z2047">
        <v>-1.9683779999999998E-3</v>
      </c>
      <c r="AA2047">
        <v>0.99644670000000002</v>
      </c>
      <c r="AB2047">
        <v>45</v>
      </c>
      <c r="AC2047">
        <v>-28.751899999999999</v>
      </c>
      <c r="AD2047">
        <v>-1.110450179931</v>
      </c>
      <c r="AE2047">
        <v>-2.18720000000001</v>
      </c>
      <c r="AF2047">
        <v>-2.46370892502491</v>
      </c>
      <c r="AG2047">
        <v>-1.110450179931</v>
      </c>
      <c r="AH2047">
        <v>28.686669587750401</v>
      </c>
      <c r="AI2047">
        <v>92.208668793339697</v>
      </c>
      <c r="AJ2047">
        <v>94.908711589628396</v>
      </c>
      <c r="AK2047">
        <v>28.813676844618801</v>
      </c>
      <c r="AL2047">
        <v>78.288502386861694</v>
      </c>
      <c r="AM2047">
        <v>91.741223729888901</v>
      </c>
      <c r="AN2047">
        <v>1.0000000340227799</v>
      </c>
    </row>
    <row r="2048" spans="1:40" x14ac:dyDescent="0.25">
      <c r="A2048" t="str">
        <f>"20190312172409716"</f>
        <v>20190312172409716</v>
      </c>
      <c r="B2048" t="str">
        <f>"1552382649712255"</f>
        <v>1552382649712255</v>
      </c>
      <c r="C2048" t="s">
        <v>40</v>
      </c>
      <c r="D2048">
        <v>3.6094170000000001</v>
      </c>
      <c r="E2048">
        <v>0.4794118</v>
      </c>
      <c r="F2048" t="s">
        <v>47</v>
      </c>
      <c r="G2048">
        <v>-356.88529999999997</v>
      </c>
      <c r="H2048" s="1">
        <v>2.1272250000000002E-6</v>
      </c>
      <c r="I2048">
        <v>281.64460000000003</v>
      </c>
      <c r="J2048">
        <v>-327.77980000000002</v>
      </c>
      <c r="K2048">
        <v>1.1104560000000001</v>
      </c>
      <c r="L2048">
        <v>283.86059999999998</v>
      </c>
      <c r="M2048">
        <v>-0.99985000000000002</v>
      </c>
      <c r="N2048">
        <v>0</v>
      </c>
      <c r="O2048">
        <v>9.5730639999999992E-3</v>
      </c>
      <c r="P2048">
        <v>-0.98179300000000003</v>
      </c>
      <c r="Q2048">
        <v>0.18885669999999999</v>
      </c>
      <c r="R2048">
        <v>-2.0397040000000002E-2</v>
      </c>
      <c r="S2048">
        <v>-3.0732729999999999</v>
      </c>
      <c r="T2048">
        <v>-0.1163594</v>
      </c>
      <c r="U2048">
        <v>-0.2319946</v>
      </c>
      <c r="V2048">
        <v>-2.999924E-2</v>
      </c>
      <c r="W2048">
        <v>0.20298749999999999</v>
      </c>
      <c r="X2048">
        <v>0.97872170000000003</v>
      </c>
      <c r="Y2048">
        <v>-8.474988E-2</v>
      </c>
      <c r="Z2048">
        <v>-1.9634119999999999E-3</v>
      </c>
      <c r="AA2048">
        <v>0.99640030000000002</v>
      </c>
      <c r="AB2048">
        <v>45</v>
      </c>
      <c r="AC2048">
        <v>-29.1054999999999</v>
      </c>
      <c r="AD2048">
        <v>-1.110453872775</v>
      </c>
      <c r="AE2048">
        <v>-2.21599999999995</v>
      </c>
      <c r="AF2048">
        <v>-2.4909512729774499</v>
      </c>
      <c r="AG2048">
        <v>-1.110453872775</v>
      </c>
      <c r="AH2048">
        <v>29.040920713646099</v>
      </c>
      <c r="AI2048">
        <v>92.181780485848194</v>
      </c>
      <c r="AJ2048">
        <v>94.902479732425206</v>
      </c>
      <c r="AK2048">
        <v>29.168699352973999</v>
      </c>
      <c r="AL2048">
        <v>78.288285752039201</v>
      </c>
      <c r="AM2048">
        <v>91.7556490849949</v>
      </c>
      <c r="AN2048">
        <v>1.0000000228038499</v>
      </c>
    </row>
    <row r="2049" spans="1:40" x14ac:dyDescent="0.25">
      <c r="A2049" t="str">
        <f>"20190312172409728"</f>
        <v>20190312172409728</v>
      </c>
      <c r="B2049" t="str">
        <f>"1552382649722016"</f>
        <v>1552382649722016</v>
      </c>
      <c r="C2049" t="s">
        <v>40</v>
      </c>
      <c r="D2049">
        <v>3.578176</v>
      </c>
      <c r="E2049">
        <v>0.47934130000000003</v>
      </c>
      <c r="F2049" t="s">
        <v>47</v>
      </c>
      <c r="G2049">
        <v>-357.12009999999998</v>
      </c>
      <c r="H2049" s="1">
        <v>2.252153E-6</v>
      </c>
      <c r="I2049">
        <v>281.63</v>
      </c>
      <c r="J2049">
        <v>-328.02569999999997</v>
      </c>
      <c r="K2049">
        <v>1.1104609999999999</v>
      </c>
      <c r="L2049">
        <v>283.86290000000002</v>
      </c>
      <c r="M2049">
        <v>-0.99985119999999905</v>
      </c>
      <c r="N2049">
        <v>0</v>
      </c>
      <c r="O2049">
        <v>9.3820099999999997E-3</v>
      </c>
      <c r="P2049">
        <v>-0.9818036</v>
      </c>
      <c r="Q2049">
        <v>0.18876850000000001</v>
      </c>
      <c r="R2049">
        <v>-2.0692849999999999E-2</v>
      </c>
      <c r="S2049">
        <v>-3.0731510000000002</v>
      </c>
      <c r="T2049">
        <v>-0.116310999999999</v>
      </c>
      <c r="U2049">
        <v>-0.23364260000000001</v>
      </c>
      <c r="V2049">
        <v>-3.010786E-2</v>
      </c>
      <c r="W2049">
        <v>0.20293240000000001</v>
      </c>
      <c r="X2049">
        <v>0.97872979999999998</v>
      </c>
      <c r="Y2049">
        <v>-8.5093669999999996E-2</v>
      </c>
      <c r="Z2049">
        <v>-1.961909E-3</v>
      </c>
      <c r="AA2049">
        <v>0.99637100000000001</v>
      </c>
      <c r="AB2049">
        <v>45</v>
      </c>
      <c r="AC2049">
        <v>-29.0944</v>
      </c>
      <c r="AD2049">
        <v>-1.110458747847</v>
      </c>
      <c r="AE2049">
        <v>-2.2329000000000199</v>
      </c>
      <c r="AF2049">
        <v>-2.5021705600558599</v>
      </c>
      <c r="AG2049">
        <v>-1.110458747847</v>
      </c>
      <c r="AH2049">
        <v>29.030125837895199</v>
      </c>
      <c r="AI2049">
        <v>92.182522710585204</v>
      </c>
      <c r="AJ2049">
        <v>94.926274397432095</v>
      </c>
      <c r="AK2049">
        <v>29.158912570710001</v>
      </c>
      <c r="AL2049">
        <v>78.2915099593815</v>
      </c>
      <c r="AM2049">
        <v>91.761987293071002</v>
      </c>
      <c r="AN2049">
        <v>1.00000003180578</v>
      </c>
    </row>
    <row r="2050" spans="1:40" x14ac:dyDescent="0.25">
      <c r="A2050" t="str">
        <f>"20190312172409750"</f>
        <v>20190312172409750</v>
      </c>
      <c r="B2050" t="str">
        <f>"1552382649741538"</f>
        <v>1552382649741538</v>
      </c>
      <c r="C2050" t="s">
        <v>40</v>
      </c>
      <c r="D2050">
        <v>3.5658769999999902</v>
      </c>
      <c r="E2050">
        <v>0.47921390000000003</v>
      </c>
      <c r="F2050" t="s">
        <v>47</v>
      </c>
      <c r="G2050">
        <v>-357.48759999999999</v>
      </c>
      <c r="H2050" s="1">
        <v>2.447766E-6</v>
      </c>
      <c r="I2050">
        <v>281.6105</v>
      </c>
      <c r="J2050">
        <v>-328.4735</v>
      </c>
      <c r="K2050">
        <v>1.110468</v>
      </c>
      <c r="L2050">
        <v>283.86680000000001</v>
      </c>
      <c r="M2050">
        <v>-0.9998534</v>
      </c>
      <c r="N2050">
        <v>0</v>
      </c>
      <c r="O2050">
        <v>9.0340219999999992E-3</v>
      </c>
      <c r="P2050">
        <v>-0.98188679999999995</v>
      </c>
      <c r="Q2050">
        <v>0.1882876</v>
      </c>
      <c r="R2050">
        <v>-2.1126320000000001E-2</v>
      </c>
      <c r="S2050">
        <v>-3.0729060000000001</v>
      </c>
      <c r="T2050">
        <v>-0.1158216</v>
      </c>
      <c r="U2050">
        <v>-0.2349243</v>
      </c>
      <c r="V2050">
        <v>-3.020012E-2</v>
      </c>
      <c r="W2050">
        <v>0.20251730000000001</v>
      </c>
      <c r="X2050">
        <v>0.97881289999999999</v>
      </c>
      <c r="Y2050">
        <v>-8.5166829999999999E-2</v>
      </c>
      <c r="Z2050">
        <v>-1.942065E-3</v>
      </c>
      <c r="AA2050">
        <v>0.99636480000000005</v>
      </c>
      <c r="AB2050">
        <v>45</v>
      </c>
      <c r="AC2050">
        <v>-29.0140999999999</v>
      </c>
      <c r="AD2050">
        <v>-1.1104655522339999</v>
      </c>
      <c r="AE2050">
        <v>-2.2563</v>
      </c>
      <c r="AF2050">
        <v>-2.5146881673703301</v>
      </c>
      <c r="AG2050">
        <v>-1.1104655522339999</v>
      </c>
      <c r="AH2050">
        <v>28.950377207831</v>
      </c>
      <c r="AI2050">
        <v>92.188416619080201</v>
      </c>
      <c r="AJ2050">
        <v>94.964366617426094</v>
      </c>
      <c r="AK2050">
        <v>29.080597153385799</v>
      </c>
      <c r="AL2050">
        <v>78.315797361828899</v>
      </c>
      <c r="AM2050">
        <v>91.767233206481393</v>
      </c>
      <c r="AN2050">
        <v>0.99999999862685696</v>
      </c>
    </row>
    <row r="2051" spans="1:40" x14ac:dyDescent="0.25">
      <c r="A2051" t="str">
        <f>"20190312172409762"</f>
        <v>20190312172409762</v>
      </c>
      <c r="B2051" t="str">
        <f>"1552382649752271"</f>
        <v>1552382649752271</v>
      </c>
      <c r="C2051" t="s">
        <v>40</v>
      </c>
      <c r="D2051">
        <v>3.597588</v>
      </c>
      <c r="E2051">
        <v>0.47918630000000001</v>
      </c>
      <c r="F2051" t="s">
        <v>47</v>
      </c>
      <c r="G2051">
        <v>-357.98219999999998</v>
      </c>
      <c r="H2051" s="1">
        <v>2.71094E-6</v>
      </c>
      <c r="I2051">
        <v>281.5847</v>
      </c>
      <c r="J2051">
        <v>-328.70800000000003</v>
      </c>
      <c r="K2051">
        <v>1.110465</v>
      </c>
      <c r="L2051">
        <v>283.86880000000002</v>
      </c>
      <c r="M2051">
        <v>-0.99985449999999998</v>
      </c>
      <c r="N2051">
        <v>0</v>
      </c>
      <c r="O2051">
        <v>8.8516500000000008E-3</v>
      </c>
      <c r="P2051">
        <v>-0.98188140000000002</v>
      </c>
      <c r="Q2051">
        <v>0.18828520000000001</v>
      </c>
      <c r="R2051">
        <v>-2.1396169999999999E-2</v>
      </c>
      <c r="S2051">
        <v>-3.0723569999999998</v>
      </c>
      <c r="T2051">
        <v>-0.1156182</v>
      </c>
      <c r="U2051">
        <v>-0.23760990000000001</v>
      </c>
      <c r="V2051">
        <v>-3.0290919999999999E-2</v>
      </c>
      <c r="W2051">
        <v>0.20255090000000001</v>
      </c>
      <c r="X2051">
        <v>0.97880319999999998</v>
      </c>
      <c r="Y2051">
        <v>-8.5864280000000001E-2</v>
      </c>
      <c r="Z2051">
        <v>-1.945186E-3</v>
      </c>
      <c r="AA2051">
        <v>0.99630490000000005</v>
      </c>
      <c r="AB2051">
        <v>45</v>
      </c>
      <c r="AC2051">
        <v>-29.274199999999901</v>
      </c>
      <c r="AD2051">
        <v>-1.11046228906</v>
      </c>
      <c r="AE2051">
        <v>-2.28410000000002</v>
      </c>
      <c r="AF2051">
        <v>-2.5395309448090502</v>
      </c>
      <c r="AG2051">
        <v>-1.11046228906</v>
      </c>
      <c r="AH2051">
        <v>29.211054566383801</v>
      </c>
      <c r="AI2051">
        <v>92.168885639722106</v>
      </c>
      <c r="AJ2051">
        <v>94.968649089256203</v>
      </c>
      <c r="AK2051">
        <v>29.342257118281101</v>
      </c>
      <c r="AL2051">
        <v>78.313832156687297</v>
      </c>
      <c r="AM2051">
        <v>91.772560758827098</v>
      </c>
      <c r="AN2051">
        <v>1.00000005562774</v>
      </c>
    </row>
    <row r="2052" spans="1:40" x14ac:dyDescent="0.25">
      <c r="A2052" t="str">
        <f>"20190312172409774"</f>
        <v>20190312172409774</v>
      </c>
      <c r="B2052" t="str">
        <f>"1552382649771790"</f>
        <v>1552382649771790</v>
      </c>
      <c r="C2052" t="s">
        <v>40</v>
      </c>
      <c r="D2052">
        <v>3.5959669999999999</v>
      </c>
      <c r="E2052">
        <v>0.4791743</v>
      </c>
      <c r="F2052" t="s">
        <v>47</v>
      </c>
      <c r="G2052">
        <v>-358.28120000000001</v>
      </c>
      <c r="H2052" s="1">
        <v>2.8700699999999999E-6</v>
      </c>
      <c r="I2052">
        <v>281.57220000000001</v>
      </c>
      <c r="J2052">
        <v>-328.96080000000001</v>
      </c>
      <c r="K2052">
        <v>1.110473</v>
      </c>
      <c r="L2052">
        <v>283.87079999999997</v>
      </c>
      <c r="M2052">
        <v>-0.99985559999999996</v>
      </c>
      <c r="N2052">
        <v>0</v>
      </c>
      <c r="O2052">
        <v>8.6546360000000003E-3</v>
      </c>
      <c r="P2052">
        <v>-0.98187179999999996</v>
      </c>
      <c r="Q2052">
        <v>0.18832589999999999</v>
      </c>
      <c r="R2052">
        <v>-2.1485600000000001E-2</v>
      </c>
      <c r="S2052">
        <v>-3.0722960000000001</v>
      </c>
      <c r="T2052">
        <v>-0.1153634</v>
      </c>
      <c r="U2052">
        <v>-0.2385864</v>
      </c>
      <c r="V2052">
        <v>-3.018678E-2</v>
      </c>
      <c r="W2052">
        <v>0.2026336</v>
      </c>
      <c r="X2052">
        <v>0.97878929999999997</v>
      </c>
      <c r="Y2052">
        <v>-8.5984619999999998E-2</v>
      </c>
      <c r="Z2052">
        <v>-1.935785E-3</v>
      </c>
      <c r="AA2052">
        <v>0.99629460000000003</v>
      </c>
      <c r="AB2052">
        <v>45</v>
      </c>
      <c r="AC2052">
        <v>-29.320399999999999</v>
      </c>
      <c r="AD2052">
        <v>-1.1104701299299999</v>
      </c>
      <c r="AE2052">
        <v>-2.29859999999996</v>
      </c>
      <c r="AF2052">
        <v>-2.5486649194559501</v>
      </c>
      <c r="AG2052">
        <v>-1.1104701299299999</v>
      </c>
      <c r="AH2052">
        <v>29.257694740321401</v>
      </c>
      <c r="AI2052">
        <v>92.165414315116095</v>
      </c>
      <c r="AJ2052">
        <v>94.978521005545204</v>
      </c>
      <c r="AK2052">
        <v>29.3894800617323</v>
      </c>
      <c r="AL2052">
        <v>78.308993457199506</v>
      </c>
      <c r="AM2052">
        <v>91.766495643438603</v>
      </c>
      <c r="AN2052">
        <v>1.0000000556651001</v>
      </c>
    </row>
    <row r="2053" spans="1:40" x14ac:dyDescent="0.25">
      <c r="A2053" t="str">
        <f>"20190312172409788"</f>
        <v>20190312172409788</v>
      </c>
      <c r="B2053" t="str">
        <f>"1552382649782528"</f>
        <v>1552382649782528</v>
      </c>
      <c r="C2053" t="s">
        <v>40</v>
      </c>
      <c r="D2053">
        <v>3.5538989999999999</v>
      </c>
      <c r="E2053">
        <v>0.47912500000000002</v>
      </c>
      <c r="F2053" t="s">
        <v>47</v>
      </c>
      <c r="G2053">
        <v>-358.5367</v>
      </c>
      <c r="H2053" s="1">
        <v>3.0060399999999999E-6</v>
      </c>
      <c r="I2053">
        <v>281.57170000000002</v>
      </c>
      <c r="J2053">
        <v>-329.21429999999998</v>
      </c>
      <c r="K2053">
        <v>1.1104799999999999</v>
      </c>
      <c r="L2053">
        <v>283.87290000000002</v>
      </c>
      <c r="M2053">
        <v>-0.99985670000000004</v>
      </c>
      <c r="N2053">
        <v>0</v>
      </c>
      <c r="O2053">
        <v>8.4571950000000007E-3</v>
      </c>
      <c r="P2053">
        <v>-0.98186150000000005</v>
      </c>
      <c r="Q2053">
        <v>0.18834290000000001</v>
      </c>
      <c r="R2053">
        <v>-2.179582E-2</v>
      </c>
      <c r="S2053">
        <v>-3.0722960000000001</v>
      </c>
      <c r="T2053">
        <v>-0.11535380000000001</v>
      </c>
      <c r="U2053">
        <v>-0.2388306</v>
      </c>
      <c r="V2053">
        <v>-3.0303070000000001E-2</v>
      </c>
      <c r="W2053">
        <v>0.20269380000000001</v>
      </c>
      <c r="X2053">
        <v>0.97877320000000001</v>
      </c>
      <c r="Y2053">
        <v>-8.586684E-2</v>
      </c>
      <c r="Z2053">
        <v>-1.926011E-3</v>
      </c>
      <c r="AA2053">
        <v>0.99630479999999999</v>
      </c>
      <c r="AB2053">
        <v>45</v>
      </c>
      <c r="AC2053">
        <v>-29.322399999999998</v>
      </c>
      <c r="AD2053">
        <v>-1.1104769939600001</v>
      </c>
      <c r="AE2053">
        <v>-2.3011999999999899</v>
      </c>
      <c r="AF2053">
        <v>-2.5455011122765399</v>
      </c>
      <c r="AG2053">
        <v>-1.1104769939600001</v>
      </c>
      <c r="AH2053">
        <v>29.260178270349801</v>
      </c>
      <c r="AI2053">
        <v>92.165265656508794</v>
      </c>
      <c r="AJ2053">
        <v>94.971951951667805</v>
      </c>
      <c r="AK2053">
        <v>29.391678541372301</v>
      </c>
      <c r="AL2053">
        <v>78.305470673761604</v>
      </c>
      <c r="AM2053">
        <v>91.773325614510298</v>
      </c>
      <c r="AN2053">
        <v>1.00000001482405</v>
      </c>
    </row>
    <row r="2054" spans="1:40" x14ac:dyDescent="0.25">
      <c r="A2054" t="str">
        <f>"20190312172409802"</f>
        <v>20190312172409802</v>
      </c>
      <c r="B2054" t="str">
        <f>"1552382649792286"</f>
        <v>1552382649792286</v>
      </c>
      <c r="C2054" t="s">
        <v>40</v>
      </c>
      <c r="D2054">
        <v>3.5778439999999998</v>
      </c>
      <c r="E2054">
        <v>0.47906169999999998</v>
      </c>
      <c r="F2054" t="s">
        <v>47</v>
      </c>
      <c r="G2054">
        <v>-358.99040000000002</v>
      </c>
      <c r="H2054" s="1">
        <v>3.2474710000000001E-6</v>
      </c>
      <c r="I2054">
        <v>281.5462</v>
      </c>
      <c r="J2054">
        <v>-329.50119999999998</v>
      </c>
      <c r="K2054">
        <v>1.1104889999999901</v>
      </c>
      <c r="L2054">
        <v>283.87520000000001</v>
      </c>
      <c r="M2054">
        <v>-0.99985789999999997</v>
      </c>
      <c r="N2054">
        <v>0</v>
      </c>
      <c r="O2054">
        <v>8.2337119999999903E-3</v>
      </c>
      <c r="P2054">
        <v>-0.98184130000000003</v>
      </c>
      <c r="Q2054">
        <v>0.1884171</v>
      </c>
      <c r="R2054">
        <v>-2.2069510000000001E-2</v>
      </c>
      <c r="S2054">
        <v>-3.0720830000000001</v>
      </c>
      <c r="T2054">
        <v>-0.1145709</v>
      </c>
      <c r="U2054">
        <v>-0.2400513</v>
      </c>
      <c r="V2054">
        <v>-3.0356879999999999E-2</v>
      </c>
      <c r="W2054">
        <v>0.2028181</v>
      </c>
      <c r="X2054">
        <v>0.9787458</v>
      </c>
      <c r="Y2054">
        <v>-8.6043899999999895E-2</v>
      </c>
      <c r="Z2054">
        <v>-1.908025E-3</v>
      </c>
      <c r="AA2054">
        <v>0.99628950000000005</v>
      </c>
      <c r="AB2054">
        <v>45</v>
      </c>
      <c r="AC2054">
        <v>-29.4892</v>
      </c>
      <c r="AD2054">
        <v>-1.1104857525289999</v>
      </c>
      <c r="AE2054">
        <v>-2.3290000000000002</v>
      </c>
      <c r="AF2054">
        <v>-2.56813365175047</v>
      </c>
      <c r="AG2054">
        <v>-1.1104857525289999</v>
      </c>
      <c r="AH2054">
        <v>29.427549913342201</v>
      </c>
      <c r="AI2054">
        <v>92.152928093977295</v>
      </c>
      <c r="AJ2054">
        <v>94.9875497608475</v>
      </c>
      <c r="AK2054">
        <v>29.560263580727199</v>
      </c>
      <c r="AL2054">
        <v>78.2981979417726</v>
      </c>
      <c r="AM2054">
        <v>91.776522242442198</v>
      </c>
      <c r="AN2054">
        <v>1.0000000314342901</v>
      </c>
    </row>
    <row r="2055" spans="1:40" x14ac:dyDescent="0.25">
      <c r="A2055" t="str">
        <f>"20190312172409818"</f>
        <v>20190312172409818</v>
      </c>
      <c r="B2055" t="str">
        <f>"1552382649811806"</f>
        <v>1552382649811806</v>
      </c>
      <c r="C2055" t="s">
        <v>40</v>
      </c>
      <c r="D2055">
        <v>3.609972</v>
      </c>
      <c r="E2055">
        <v>0.47905189999999997</v>
      </c>
      <c r="F2055" t="s">
        <v>47</v>
      </c>
      <c r="G2055">
        <v>-359.58510000000001</v>
      </c>
      <c r="H2055" s="1">
        <v>3.563897E-6</v>
      </c>
      <c r="I2055">
        <v>281.51260000000002</v>
      </c>
      <c r="J2055">
        <v>-329.84219999999999</v>
      </c>
      <c r="K2055">
        <v>1.1105020000000001</v>
      </c>
      <c r="L2055">
        <v>283.87779999999998</v>
      </c>
      <c r="M2055">
        <v>-0.9998591</v>
      </c>
      <c r="N2055">
        <v>0</v>
      </c>
      <c r="O2055">
        <v>7.9683110000000005E-3</v>
      </c>
      <c r="P2055">
        <v>-0.9817669</v>
      </c>
      <c r="Q2055">
        <v>0.1887808</v>
      </c>
      <c r="R2055">
        <v>-2.2261409999999999E-2</v>
      </c>
      <c r="S2055">
        <v>-3.0718380000000001</v>
      </c>
      <c r="T2055">
        <v>-0.1133907</v>
      </c>
      <c r="U2055">
        <v>-0.2412415</v>
      </c>
      <c r="V2055">
        <v>-3.0287910000000001E-2</v>
      </c>
      <c r="W2055">
        <v>0.20323920000000001</v>
      </c>
      <c r="X2055">
        <v>0.97866050000000004</v>
      </c>
      <c r="Y2055">
        <v>-8.6170709999999998E-2</v>
      </c>
      <c r="Z2055">
        <v>-1.8810610000000001E-3</v>
      </c>
      <c r="AA2055">
        <v>0.99627860000000001</v>
      </c>
      <c r="AB2055">
        <v>45</v>
      </c>
      <c r="AC2055">
        <v>-29.742899999999999</v>
      </c>
      <c r="AD2055">
        <v>-1.1104984361029999</v>
      </c>
      <c r="AE2055">
        <v>-2.36519999999995</v>
      </c>
      <c r="AF2055">
        <v>-2.59855177058843</v>
      </c>
      <c r="AG2055">
        <v>-1.1104984361029999</v>
      </c>
      <c r="AH2055">
        <v>29.681989523657499</v>
      </c>
      <c r="AI2055">
        <v>92.134463102688102</v>
      </c>
      <c r="AJ2055">
        <v>95.003283759964901</v>
      </c>
      <c r="AK2055">
        <v>29.816206669587</v>
      </c>
      <c r="AL2055">
        <v>78.273556554385394</v>
      </c>
      <c r="AM2055">
        <v>91.772643001611996</v>
      </c>
      <c r="AN2055">
        <v>0.99999995208452797</v>
      </c>
    </row>
    <row r="2056" spans="1:40" x14ac:dyDescent="0.25">
      <c r="A2056" t="str">
        <f>"20190312172409841"</f>
        <v>20190312172409841</v>
      </c>
      <c r="B2056" t="str">
        <f>"1552382649832303"</f>
        <v>1552382649832303</v>
      </c>
      <c r="C2056" t="s">
        <v>40</v>
      </c>
      <c r="D2056">
        <v>3.5917319999999999</v>
      </c>
      <c r="E2056">
        <v>0.47908499999999998</v>
      </c>
      <c r="F2056" t="s">
        <v>47</v>
      </c>
      <c r="G2056">
        <v>-360.2</v>
      </c>
      <c r="H2056" s="1">
        <v>-1.4303690000000001E-6</v>
      </c>
      <c r="I2056">
        <v>281.48970000000003</v>
      </c>
      <c r="J2056">
        <v>-330.2876</v>
      </c>
      <c r="K2056">
        <v>1.110511</v>
      </c>
      <c r="L2056">
        <v>283.88099999999997</v>
      </c>
      <c r="M2056">
        <v>-0.99986059999999999</v>
      </c>
      <c r="N2056">
        <v>0</v>
      </c>
      <c r="O2056">
        <v>7.62132E-3</v>
      </c>
      <c r="P2056">
        <v>-0.98172839999999995</v>
      </c>
      <c r="Q2056">
        <v>0.18892419999999999</v>
      </c>
      <c r="R2056">
        <v>-2.2740839999999998E-2</v>
      </c>
      <c r="S2056">
        <v>-3.0718380000000001</v>
      </c>
      <c r="T2056">
        <v>-0.11236930000000001</v>
      </c>
      <c r="U2056">
        <v>-0.2416382</v>
      </c>
      <c r="V2056">
        <v>-3.042651E-2</v>
      </c>
      <c r="W2056">
        <v>0.20345530000000001</v>
      </c>
      <c r="X2056">
        <v>0.97861140000000002</v>
      </c>
      <c r="Y2056">
        <v>-8.5954349999999999E-2</v>
      </c>
      <c r="Z2056">
        <v>-1.847497E-3</v>
      </c>
      <c r="AA2056">
        <v>0.9962974</v>
      </c>
      <c r="AB2056">
        <v>45</v>
      </c>
      <c r="AC2056">
        <v>-29.912399999999899</v>
      </c>
      <c r="AD2056">
        <v>-1.1105124303689999</v>
      </c>
      <c r="AE2056">
        <v>-2.3912999999999398</v>
      </c>
      <c r="AF2056">
        <v>-2.6156454128906201</v>
      </c>
      <c r="AG2056">
        <v>-1.1105124303689999</v>
      </c>
      <c r="AH2056">
        <v>29.852419843467199</v>
      </c>
      <c r="AI2056">
        <v>92.122301728486505</v>
      </c>
      <c r="AJ2056">
        <v>95.007422802753993</v>
      </c>
      <c r="AK2056">
        <v>29.987360825764799</v>
      </c>
      <c r="AL2056">
        <v>78.260911910934695</v>
      </c>
      <c r="AM2056">
        <v>91.780838841071798</v>
      </c>
      <c r="AN2056">
        <v>1.0000000519094101</v>
      </c>
    </row>
    <row r="2057" spans="1:40" x14ac:dyDescent="0.25">
      <c r="A2057" t="str">
        <f>"20190312172409852"</f>
        <v>20190312172409852</v>
      </c>
      <c r="B2057" t="str">
        <f>"1552382649842063"</f>
        <v>1552382649842063</v>
      </c>
      <c r="C2057" t="s">
        <v>40</v>
      </c>
      <c r="D2057">
        <v>3.6245370000000001</v>
      </c>
      <c r="E2057">
        <v>0.47914099999999998</v>
      </c>
      <c r="F2057" t="s">
        <v>47</v>
      </c>
      <c r="G2057">
        <v>-360.7466</v>
      </c>
      <c r="H2057" s="1">
        <v>-1.139481E-6</v>
      </c>
      <c r="I2057">
        <v>281.4744</v>
      </c>
      <c r="J2057">
        <v>-330.5317</v>
      </c>
      <c r="K2057">
        <v>1.1105149999999999</v>
      </c>
      <c r="L2057">
        <v>283.88279999999997</v>
      </c>
      <c r="M2057">
        <v>-0.99986149999999996</v>
      </c>
      <c r="N2057">
        <v>0</v>
      </c>
      <c r="O2057">
        <v>7.430763E-3</v>
      </c>
      <c r="P2057">
        <v>-0.98173770000000005</v>
      </c>
      <c r="Q2057">
        <v>0.18884010000000001</v>
      </c>
      <c r="R2057">
        <v>-2.3043669999999999E-2</v>
      </c>
      <c r="S2057">
        <v>-3.071777</v>
      </c>
      <c r="T2057">
        <v>-0.1119945</v>
      </c>
      <c r="U2057">
        <v>-0.24270630000000001</v>
      </c>
      <c r="V2057">
        <v>-3.0541599999999999E-2</v>
      </c>
      <c r="W2057">
        <v>0.2034096</v>
      </c>
      <c r="X2057">
        <v>0.97861730000000002</v>
      </c>
      <c r="Y2057">
        <v>-8.6110759999999995E-2</v>
      </c>
      <c r="Z2057">
        <v>-1.8372600000000001E-3</v>
      </c>
      <c r="AA2057">
        <v>0.9962839</v>
      </c>
      <c r="AB2057">
        <v>45</v>
      </c>
      <c r="AC2057">
        <v>-30.2149</v>
      </c>
      <c r="AD2057">
        <v>-1.1105161394809999</v>
      </c>
      <c r="AE2057">
        <v>-2.4083999999999701</v>
      </c>
      <c r="AF2057">
        <v>-2.6293487194991401</v>
      </c>
      <c r="AG2057">
        <v>-1.1105161394809999</v>
      </c>
      <c r="AH2057">
        <v>30.155688734589098</v>
      </c>
      <c r="AI2057">
        <v>92.101062163699694</v>
      </c>
      <c r="AJ2057">
        <v>94.983157338225794</v>
      </c>
      <c r="AK2057">
        <v>30.290465229873998</v>
      </c>
      <c r="AL2057">
        <v>78.263586076959797</v>
      </c>
      <c r="AM2057">
        <v>91.787559832770995</v>
      </c>
      <c r="AN2057">
        <v>1.0000000372810001</v>
      </c>
    </row>
    <row r="2058" spans="1:40" x14ac:dyDescent="0.25">
      <c r="A2058" t="str">
        <f>"20190312172409872"</f>
        <v>20190312172409872</v>
      </c>
      <c r="B2058" t="str">
        <f>"1552382649861583"</f>
        <v>1552382649861583</v>
      </c>
      <c r="C2058" t="s">
        <v>40</v>
      </c>
      <c r="D2058">
        <v>3.7144900000000001</v>
      </c>
      <c r="E2058">
        <v>0.5075518</v>
      </c>
      <c r="F2058" t="s">
        <v>47</v>
      </c>
      <c r="G2058">
        <v>-360.90300000000002</v>
      </c>
      <c r="H2058" s="1">
        <v>-1.0562839999999999E-6</v>
      </c>
      <c r="I2058">
        <v>281.4794</v>
      </c>
      <c r="J2058">
        <v>-330.92430000000002</v>
      </c>
      <c r="K2058">
        <v>1.1105309999999999</v>
      </c>
      <c r="L2058">
        <v>283.8854</v>
      </c>
      <c r="M2058">
        <v>-0.99986280000000005</v>
      </c>
      <c r="N2058">
        <v>0</v>
      </c>
      <c r="O2058">
        <v>7.1249310000000001E-3</v>
      </c>
      <c r="P2058">
        <v>-0.98173010000000005</v>
      </c>
      <c r="Q2058">
        <v>0.1888109</v>
      </c>
      <c r="R2058">
        <v>-2.3597650000000001E-2</v>
      </c>
      <c r="S2058">
        <v>-3.0717159999999999</v>
      </c>
      <c r="T2058">
        <v>-0.1123165</v>
      </c>
      <c r="U2058">
        <v>-0.2430725</v>
      </c>
      <c r="V2058">
        <v>-3.0795240000000002E-2</v>
      </c>
      <c r="W2058">
        <v>0.20344229999999999</v>
      </c>
      <c r="X2058">
        <v>0.97860250000000004</v>
      </c>
      <c r="Y2058">
        <v>-8.5925589999999996E-2</v>
      </c>
      <c r="Z2058">
        <v>-1.8280239999999999E-3</v>
      </c>
      <c r="AA2058">
        <v>0.99629990000000002</v>
      </c>
      <c r="AB2058">
        <v>45</v>
      </c>
      <c r="AC2058">
        <v>-29.9787</v>
      </c>
      <c r="AD2058">
        <v>-1.110532056284</v>
      </c>
      <c r="AE2058">
        <v>-2.4060000000000001</v>
      </c>
      <c r="AF2058">
        <v>-2.6159921221983402</v>
      </c>
      <c r="AG2058">
        <v>-1.110532056284</v>
      </c>
      <c r="AH2058">
        <v>29.9199991228658</v>
      </c>
      <c r="AI2058">
        <v>92.117584153406298</v>
      </c>
      <c r="AJ2058">
        <v>94.996828918305994</v>
      </c>
      <c r="AK2058">
        <v>30.054667586644999</v>
      </c>
      <c r="AL2058">
        <v>78.261671865698801</v>
      </c>
      <c r="AM2058">
        <v>91.802422538839295</v>
      </c>
      <c r="AN2058">
        <v>0.99999998462109796</v>
      </c>
    </row>
    <row r="2059" spans="1:40" x14ac:dyDescent="0.25">
      <c r="A2059" t="str">
        <f>"20190312172409895"</f>
        <v>20190312172409895</v>
      </c>
      <c r="B2059" t="str">
        <f>"1552382649891838"</f>
        <v>1552382649891838</v>
      </c>
      <c r="C2059" t="s">
        <v>40</v>
      </c>
      <c r="D2059">
        <v>3.6860870000000001</v>
      </c>
      <c r="E2059">
        <v>0.52056709999999995</v>
      </c>
      <c r="F2059" t="s">
        <v>47</v>
      </c>
      <c r="G2059">
        <v>-357.85390000000001</v>
      </c>
      <c r="H2059" s="1">
        <v>2.642666E-6</v>
      </c>
      <c r="I2059">
        <v>283.7269</v>
      </c>
      <c r="J2059">
        <v>-331.37950000000001</v>
      </c>
      <c r="K2059">
        <v>1.110547</v>
      </c>
      <c r="L2059">
        <v>283.88839999999999</v>
      </c>
      <c r="M2059">
        <v>-0.99986419999999998</v>
      </c>
      <c r="N2059">
        <v>0</v>
      </c>
      <c r="O2059">
        <v>6.7705889999999996E-3</v>
      </c>
      <c r="P2059">
        <v>-0.98177060000000005</v>
      </c>
      <c r="Q2059">
        <v>0.18849869999999999</v>
      </c>
      <c r="R2059">
        <v>-2.4391650000000001E-2</v>
      </c>
      <c r="S2059">
        <v>-3.0798030000000001</v>
      </c>
      <c r="T2059">
        <v>-0.12700549999999999</v>
      </c>
      <c r="U2059">
        <v>-1.8127440000000002E-2</v>
      </c>
      <c r="V2059">
        <v>-3.1241089999999999E-2</v>
      </c>
      <c r="W2059">
        <v>0.20319809999999999</v>
      </c>
      <c r="X2059">
        <v>0.97863909999999998</v>
      </c>
      <c r="Y2059">
        <v>-1.2640409999999999E-2</v>
      </c>
      <c r="Z2059">
        <v>-5.3963779999999999E-4</v>
      </c>
      <c r="AA2059">
        <v>0.99992000000000003</v>
      </c>
      <c r="AB2059">
        <v>45</v>
      </c>
      <c r="AC2059">
        <v>-26.474399999999999</v>
      </c>
      <c r="AD2059">
        <v>-1.1105443573339999</v>
      </c>
      <c r="AE2059">
        <v>-0.16149999999998901</v>
      </c>
      <c r="AF2059">
        <v>-0.34016527374120697</v>
      </c>
      <c r="AG2059">
        <v>-1.1105443573339999</v>
      </c>
      <c r="AH2059">
        <v>26.426201063519699</v>
      </c>
      <c r="AI2059">
        <v>92.406203787686906</v>
      </c>
      <c r="AJ2059">
        <v>90.737486183227006</v>
      </c>
      <c r="AK2059">
        <v>26.4517130604548</v>
      </c>
      <c r="AL2059">
        <v>78.275961937548999</v>
      </c>
      <c r="AM2059">
        <v>91.828431882821207</v>
      </c>
      <c r="AN2059">
        <v>0.99999998079840302</v>
      </c>
    </row>
    <row r="2060" spans="1:40" x14ac:dyDescent="0.25">
      <c r="A2060" t="str">
        <f>"20190312172409906"</f>
        <v>20190312172409906</v>
      </c>
      <c r="B2060" t="str">
        <f>"1552382649901599"</f>
        <v>1552382649901599</v>
      </c>
      <c r="C2060" t="s">
        <v>40</v>
      </c>
      <c r="D2060">
        <v>3.6784599999999998</v>
      </c>
      <c r="E2060">
        <v>0.52222899999999906</v>
      </c>
      <c r="F2060" t="s">
        <v>47</v>
      </c>
      <c r="G2060">
        <v>-356.904</v>
      </c>
      <c r="H2060" s="1">
        <v>2.1371569999999999E-6</v>
      </c>
      <c r="I2060">
        <v>284.57960000000003</v>
      </c>
      <c r="J2060">
        <v>-331.60809999999998</v>
      </c>
      <c r="K2060">
        <v>1.110549</v>
      </c>
      <c r="L2060">
        <v>283.88979999999998</v>
      </c>
      <c r="M2060">
        <v>-0.9998648</v>
      </c>
      <c r="N2060">
        <v>0</v>
      </c>
      <c r="O2060">
        <v>6.5927199999999998E-3</v>
      </c>
      <c r="P2060">
        <v>-0.98173600000000005</v>
      </c>
      <c r="Q2060">
        <v>0.18864239999999999</v>
      </c>
      <c r="R2060">
        <v>-2.4671390000000001E-2</v>
      </c>
      <c r="S2060">
        <v>-3.0834959999999998</v>
      </c>
      <c r="T2060">
        <v>-0.13416020000000001</v>
      </c>
      <c r="U2060">
        <v>8.3496089999999995E-2</v>
      </c>
      <c r="V2060">
        <v>-3.1346319999999997E-2</v>
      </c>
      <c r="W2060">
        <v>0.2033732</v>
      </c>
      <c r="X2060">
        <v>0.97859940000000001</v>
      </c>
      <c r="Y2060">
        <v>2.046371E-2</v>
      </c>
      <c r="Z2060">
        <v>1.5820720000000001E-4</v>
      </c>
      <c r="AA2060">
        <v>0.99979059999999997</v>
      </c>
      <c r="AB2060">
        <v>45</v>
      </c>
      <c r="AC2060">
        <v>-25.2959</v>
      </c>
      <c r="AD2060">
        <v>-1.110546862843</v>
      </c>
      <c r="AE2060">
        <v>0.68980000000004704</v>
      </c>
      <c r="AF2060">
        <v>0.52199195171471802</v>
      </c>
      <c r="AG2060">
        <v>-1.110546862843</v>
      </c>
      <c r="AH2060">
        <v>25.2512650044734</v>
      </c>
      <c r="AI2060">
        <v>92.517699854466301</v>
      </c>
      <c r="AJ2060">
        <v>88.815755302011894</v>
      </c>
      <c r="AK2060">
        <v>25.281063550775901</v>
      </c>
      <c r="AL2060">
        <v>78.265715937597406</v>
      </c>
      <c r="AM2060">
        <v>91.834660800568301</v>
      </c>
      <c r="AN2060">
        <v>1.0000000179680699</v>
      </c>
    </row>
    <row r="2061" spans="1:40" x14ac:dyDescent="0.25">
      <c r="A2061" t="str">
        <f>"20190312172409918"</f>
        <v>20190312172409918</v>
      </c>
      <c r="B2061" t="str">
        <f>"1552382649912335"</f>
        <v>1552382649912335</v>
      </c>
      <c r="C2061" t="s">
        <v>40</v>
      </c>
      <c r="D2061">
        <v>3.681746</v>
      </c>
      <c r="E2061">
        <v>0.52331260000000002</v>
      </c>
      <c r="F2061" t="s">
        <v>47</v>
      </c>
      <c r="G2061">
        <v>-357.23579999999998</v>
      </c>
      <c r="H2061" s="1">
        <v>2.313739E-6</v>
      </c>
      <c r="I2061">
        <v>284.68540000000002</v>
      </c>
      <c r="J2061">
        <v>-331.84379999999999</v>
      </c>
      <c r="K2061">
        <v>1.1105529999999999</v>
      </c>
      <c r="L2061">
        <v>283.89120000000003</v>
      </c>
      <c r="M2061">
        <v>-0.99986549999999996</v>
      </c>
      <c r="N2061">
        <v>0</v>
      </c>
      <c r="O2061">
        <v>6.4090149999999997E-3</v>
      </c>
      <c r="P2061">
        <v>-0.98179439999999996</v>
      </c>
      <c r="Q2061">
        <v>0.18830330000000001</v>
      </c>
      <c r="R2061">
        <v>-2.4939269999999999E-2</v>
      </c>
      <c r="S2061">
        <v>-3.0838930000000002</v>
      </c>
      <c r="T2061">
        <v>-0.1336368</v>
      </c>
      <c r="U2061">
        <v>9.5733639999999995E-2</v>
      </c>
      <c r="V2061">
        <v>-3.1433759999999998E-2</v>
      </c>
      <c r="W2061">
        <v>0.203066</v>
      </c>
      <c r="X2061">
        <v>0.97866039999999999</v>
      </c>
      <c r="Y2061">
        <v>2.4603819999999998E-2</v>
      </c>
      <c r="Z2061">
        <v>2.5515720000000001E-4</v>
      </c>
      <c r="AA2061">
        <v>0.99969730000000001</v>
      </c>
      <c r="AB2061">
        <v>45</v>
      </c>
      <c r="AC2061">
        <v>-25.391999999999999</v>
      </c>
      <c r="AD2061">
        <v>-1.110550686261</v>
      </c>
      <c r="AE2061">
        <v>0.79419999999998903</v>
      </c>
      <c r="AF2061">
        <v>0.63022307883972495</v>
      </c>
      <c r="AG2061">
        <v>-1.110550686261</v>
      </c>
      <c r="AH2061">
        <v>25.348128993780598</v>
      </c>
      <c r="AI2061">
        <v>92.507860919911593</v>
      </c>
      <c r="AJ2061">
        <v>88.575765296057597</v>
      </c>
      <c r="AK2061">
        <v>25.380270830729799</v>
      </c>
      <c r="AL2061">
        <v>78.283692454331003</v>
      </c>
      <c r="AM2061">
        <v>91.839660447357602</v>
      </c>
      <c r="AN2061">
        <v>1.00000003007594</v>
      </c>
    </row>
    <row r="2062" spans="1:40" x14ac:dyDescent="0.25">
      <c r="A2062" t="str">
        <f>"20190312172409931"</f>
        <v>20190312172409931</v>
      </c>
      <c r="B2062" t="str">
        <f>"1552382649922095"</f>
        <v>1552382649922095</v>
      </c>
      <c r="C2062" t="s">
        <v>40</v>
      </c>
      <c r="D2062">
        <v>3.8067660000000001</v>
      </c>
      <c r="E2062">
        <v>0.52469560000000004</v>
      </c>
      <c r="F2062" t="s">
        <v>47</v>
      </c>
      <c r="G2062">
        <v>-357.28089999999997</v>
      </c>
      <c r="H2062" s="1">
        <v>2.3377749999999998E-6</v>
      </c>
      <c r="I2062">
        <v>284.74529999999999</v>
      </c>
      <c r="J2062">
        <v>-332.10989999999998</v>
      </c>
      <c r="K2062">
        <v>1.11056</v>
      </c>
      <c r="L2062">
        <v>283.89280000000002</v>
      </c>
      <c r="M2062">
        <v>-0.99986640000000004</v>
      </c>
      <c r="N2062">
        <v>0</v>
      </c>
      <c r="O2062">
        <v>6.2014039999999998E-3</v>
      </c>
      <c r="P2062">
        <v>-0.98182919999999996</v>
      </c>
      <c r="Q2062">
        <v>0.1880986</v>
      </c>
      <c r="R2062">
        <v>-2.5108829999999999E-2</v>
      </c>
      <c r="S2062">
        <v>-3.084076</v>
      </c>
      <c r="T2062">
        <v>-0.1346465</v>
      </c>
      <c r="U2062">
        <v>0.1035461</v>
      </c>
      <c r="V2062">
        <v>-3.1398969999999998E-2</v>
      </c>
      <c r="W2062">
        <v>0.20289460000000001</v>
      </c>
      <c r="X2062">
        <v>0.97869709999999999</v>
      </c>
      <c r="Y2062">
        <v>2.733617E-2</v>
      </c>
      <c r="Z2062">
        <v>3.2571549999999998E-4</v>
      </c>
      <c r="AA2062">
        <v>0.99962620000000002</v>
      </c>
      <c r="AB2062">
        <v>45</v>
      </c>
      <c r="AC2062">
        <v>-25.1709999999999</v>
      </c>
      <c r="AD2062">
        <v>-1.110557662225</v>
      </c>
      <c r="AE2062">
        <v>0.85249999999996295</v>
      </c>
      <c r="AF2062">
        <v>0.69501882128062498</v>
      </c>
      <c r="AG2062">
        <v>-1.110557662225</v>
      </c>
      <c r="AH2062">
        <v>25.126946593494399</v>
      </c>
      <c r="AI2062">
        <v>92.529738429566706</v>
      </c>
      <c r="AJ2062">
        <v>88.415585677657504</v>
      </c>
      <c r="AK2062">
        <v>25.161077770941699</v>
      </c>
      <c r="AL2062">
        <v>78.293722132126803</v>
      </c>
      <c r="AM2062">
        <v>91.8375568981904</v>
      </c>
      <c r="AN2062">
        <v>1.0000000637873101</v>
      </c>
    </row>
    <row r="2063" spans="1:40" x14ac:dyDescent="0.25">
      <c r="A2063" t="str">
        <f>"20190312172409944"</f>
        <v>20190312172409944</v>
      </c>
      <c r="B2063" t="str">
        <f>"1552382649931856"</f>
        <v>1552382649931856</v>
      </c>
      <c r="C2063" t="s">
        <v>40</v>
      </c>
      <c r="D2063">
        <v>3.707916</v>
      </c>
      <c r="E2063">
        <v>0.52530489999999996</v>
      </c>
      <c r="F2063" t="s">
        <v>47</v>
      </c>
      <c r="G2063">
        <v>-356.83429999999998</v>
      </c>
      <c r="H2063" s="1">
        <v>2.1000919999999998E-6</v>
      </c>
      <c r="I2063">
        <v>284.80459999999999</v>
      </c>
      <c r="J2063">
        <v>-332.36259999999999</v>
      </c>
      <c r="K2063">
        <v>1.110562</v>
      </c>
      <c r="L2063">
        <v>283.89420000000001</v>
      </c>
      <c r="M2063">
        <v>-0.99986710000000001</v>
      </c>
      <c r="N2063">
        <v>0</v>
      </c>
      <c r="O2063">
        <v>6.0043669999999896E-3</v>
      </c>
      <c r="P2063">
        <v>-0.98185069999999997</v>
      </c>
      <c r="Q2063">
        <v>0.18798139999999999</v>
      </c>
      <c r="R2063">
        <v>-2.5140840000000001E-2</v>
      </c>
      <c r="S2063">
        <v>-3.0849609999999998</v>
      </c>
      <c r="T2063">
        <v>-0.13856840000000001</v>
      </c>
      <c r="U2063">
        <v>0.1137695</v>
      </c>
      <c r="V2063">
        <v>-3.1237600000000001E-2</v>
      </c>
      <c r="W2063">
        <v>0.2028073</v>
      </c>
      <c r="X2063">
        <v>0.97872029999999999</v>
      </c>
      <c r="Y2063">
        <v>3.082708E-2</v>
      </c>
      <c r="Z2063">
        <v>4.2225690000000001E-4</v>
      </c>
      <c r="AA2063">
        <v>0.99952470000000004</v>
      </c>
      <c r="AB2063">
        <v>45</v>
      </c>
      <c r="AC2063">
        <v>-24.471699999999998</v>
      </c>
      <c r="AD2063">
        <v>-1.110559899908</v>
      </c>
      <c r="AE2063">
        <v>0.910399999999981</v>
      </c>
      <c r="AF2063">
        <v>0.76186277048249595</v>
      </c>
      <c r="AG2063">
        <v>-1.110559899908</v>
      </c>
      <c r="AH2063">
        <v>24.426489644359801</v>
      </c>
      <c r="AI2063">
        <v>92.601918770678907</v>
      </c>
      <c r="AJ2063">
        <v>88.213522482345894</v>
      </c>
      <c r="AK2063">
        <v>24.463588749779699</v>
      </c>
      <c r="AL2063">
        <v>78.298829580519197</v>
      </c>
      <c r="AM2063">
        <v>91.828076187061797</v>
      </c>
      <c r="AN2063">
        <v>1.00000000710957</v>
      </c>
    </row>
    <row r="2064" spans="1:40" x14ac:dyDescent="0.25">
      <c r="A2064" t="str">
        <f>"20190312172409963"</f>
        <v>20190312172409963</v>
      </c>
      <c r="B2064" t="str">
        <f>"1552382649952351"</f>
        <v>1552382649952351</v>
      </c>
      <c r="C2064" t="s">
        <v>40</v>
      </c>
      <c r="D2064">
        <v>3.694223</v>
      </c>
      <c r="E2064">
        <v>0.52624669999999996</v>
      </c>
      <c r="F2064" t="s">
        <v>47</v>
      </c>
      <c r="G2064">
        <v>-357.01179999999999</v>
      </c>
      <c r="H2064" s="1">
        <v>2.1945389999999999E-6</v>
      </c>
      <c r="I2064">
        <v>284.8442</v>
      </c>
      <c r="J2064">
        <v>-332.73570000000001</v>
      </c>
      <c r="K2064">
        <v>1.11056</v>
      </c>
      <c r="L2064">
        <v>283.89620000000002</v>
      </c>
      <c r="M2064">
        <v>-0.99986819999999998</v>
      </c>
      <c r="N2064">
        <v>0</v>
      </c>
      <c r="O2064">
        <v>5.7136110000000004E-3</v>
      </c>
      <c r="P2064">
        <v>-0.9818422</v>
      </c>
      <c r="Q2064">
        <v>0.1879854</v>
      </c>
      <c r="R2064">
        <v>-2.544416E-2</v>
      </c>
      <c r="S2064">
        <v>-3.0851139999999999</v>
      </c>
      <c r="T2064">
        <v>-0.1389985</v>
      </c>
      <c r="U2064">
        <v>0.1188965</v>
      </c>
      <c r="V2064">
        <v>-3.1255520000000002E-2</v>
      </c>
      <c r="W2064">
        <v>0.20285069999999999</v>
      </c>
      <c r="X2064">
        <v>0.97871070000000004</v>
      </c>
      <c r="Y2064">
        <v>3.2772120000000002E-2</v>
      </c>
      <c r="Z2064">
        <v>4.8039920000000002E-4</v>
      </c>
      <c r="AA2064">
        <v>0.99946270000000004</v>
      </c>
      <c r="AB2064">
        <v>45</v>
      </c>
      <c r="AC2064">
        <v>-24.2760999999999</v>
      </c>
      <c r="AD2064">
        <v>-1.1105578054609999</v>
      </c>
      <c r="AE2064">
        <v>0.94799999999997897</v>
      </c>
      <c r="AF2064">
        <v>0.80757680085555394</v>
      </c>
      <c r="AG2064">
        <v>-1.1105578054609999</v>
      </c>
      <c r="AH2064">
        <v>24.2304888044529</v>
      </c>
      <c r="AI2064">
        <v>92.622750983758706</v>
      </c>
      <c r="AJ2064">
        <v>88.091098314298193</v>
      </c>
      <c r="AK2064">
        <v>24.269365600099</v>
      </c>
      <c r="AL2064">
        <v>78.296289768631993</v>
      </c>
      <c r="AM2064">
        <v>91.8291421123823</v>
      </c>
      <c r="AN2064">
        <v>0.99999997415772401</v>
      </c>
    </row>
    <row r="2065" spans="1:40" x14ac:dyDescent="0.25">
      <c r="A2065" t="str">
        <f>"20190312172409975"</f>
        <v>20190312172409975</v>
      </c>
      <c r="B2065" t="str">
        <f>"1552382649971871"</f>
        <v>1552382649971871</v>
      </c>
      <c r="C2065" t="s">
        <v>40</v>
      </c>
      <c r="D2065">
        <v>3.6636549999999999</v>
      </c>
      <c r="E2065">
        <v>0.52696730000000003</v>
      </c>
      <c r="F2065" t="s">
        <v>47</v>
      </c>
      <c r="G2065">
        <v>-357.38209999999998</v>
      </c>
      <c r="H2065" s="1">
        <v>2.391605E-6</v>
      </c>
      <c r="I2065">
        <v>284.90249999999997</v>
      </c>
      <c r="J2065">
        <v>-332.99639999999999</v>
      </c>
      <c r="K2065">
        <v>1.110562</v>
      </c>
      <c r="L2065">
        <v>283.89760000000001</v>
      </c>
      <c r="M2065">
        <v>-0.99986900000000001</v>
      </c>
      <c r="N2065">
        <v>0</v>
      </c>
      <c r="O2065">
        <v>5.5101769999999998E-3</v>
      </c>
      <c r="P2065">
        <v>-0.98184170000000004</v>
      </c>
      <c r="Q2065">
        <v>0.1879461</v>
      </c>
      <c r="R2065">
        <v>-2.5756669999999999E-2</v>
      </c>
      <c r="S2065">
        <v>-3.085388</v>
      </c>
      <c r="T2065">
        <v>-0.13902619999999999</v>
      </c>
      <c r="U2065">
        <v>0.12597659999999999</v>
      </c>
      <c r="V2065">
        <v>-3.1367609999999997E-2</v>
      </c>
      <c r="W2065">
        <v>0.20283619999999999</v>
      </c>
      <c r="X2065">
        <v>0.97871010000000003</v>
      </c>
      <c r="Y2065">
        <v>3.5259079999999998E-2</v>
      </c>
      <c r="Z2065">
        <v>5.4556829999999996E-4</v>
      </c>
      <c r="AA2065">
        <v>0.99937810000000005</v>
      </c>
      <c r="AB2065">
        <v>45</v>
      </c>
      <c r="AC2065">
        <v>-24.3856999999999</v>
      </c>
      <c r="AD2065">
        <v>-1.110559608395</v>
      </c>
      <c r="AE2065">
        <v>1.0048999999999599</v>
      </c>
      <c r="AF2065">
        <v>0.86870100322459398</v>
      </c>
      <c r="AG2065">
        <v>-1.110559608395</v>
      </c>
      <c r="AH2065">
        <v>24.340470447661499</v>
      </c>
      <c r="AI2065">
        <v>92.610708697281197</v>
      </c>
      <c r="AJ2065">
        <v>87.956005627972203</v>
      </c>
      <c r="AK2065">
        <v>24.381273258184901</v>
      </c>
      <c r="AL2065">
        <v>78.297137972797401</v>
      </c>
      <c r="AM2065">
        <v>91.835698511429101</v>
      </c>
      <c r="AN2065">
        <v>0.99999995541478004</v>
      </c>
    </row>
    <row r="2066" spans="1:40" x14ac:dyDescent="0.25">
      <c r="A2066" t="str">
        <f>"20190312172409997"</f>
        <v>20190312172409997</v>
      </c>
      <c r="B2066" t="str">
        <f>"1552382649992367"</f>
        <v>1552382649992367</v>
      </c>
      <c r="C2066" t="s">
        <v>40</v>
      </c>
      <c r="D2066">
        <v>3.6640549999999998</v>
      </c>
      <c r="E2066">
        <v>0.527536</v>
      </c>
      <c r="F2066" t="s">
        <v>47</v>
      </c>
      <c r="G2066">
        <v>-357.64749999999998</v>
      </c>
      <c r="H2066" s="1">
        <v>2.5328320000000002E-6</v>
      </c>
      <c r="I2066">
        <v>284.94470000000001</v>
      </c>
      <c r="J2066">
        <v>-333.4144</v>
      </c>
      <c r="K2066">
        <v>1.1105670000000001</v>
      </c>
      <c r="L2066">
        <v>283.89960000000002</v>
      </c>
      <c r="M2066">
        <v>-0.99987009999999998</v>
      </c>
      <c r="N2066">
        <v>0</v>
      </c>
      <c r="O2066">
        <v>5.1840559999999898E-3</v>
      </c>
      <c r="P2066">
        <v>-0.98184839999999995</v>
      </c>
      <c r="Q2066">
        <v>0.187864</v>
      </c>
      <c r="R2066">
        <v>-2.6092980000000002E-2</v>
      </c>
      <c r="S2066">
        <v>-3.0855100000000002</v>
      </c>
      <c r="T2066">
        <v>-0.13900570000000001</v>
      </c>
      <c r="U2066">
        <v>0.131073</v>
      </c>
      <c r="V2066">
        <v>-3.1383330000000001E-2</v>
      </c>
      <c r="W2066">
        <v>0.20278959999999999</v>
      </c>
      <c r="X2066">
        <v>0.97871929999999996</v>
      </c>
      <c r="Y2066">
        <v>3.7228900000000002E-2</v>
      </c>
      <c r="Z2066">
        <v>6.0445539999999997E-4</v>
      </c>
      <c r="AA2066">
        <v>0.99930660000000004</v>
      </c>
      <c r="AB2066">
        <v>45</v>
      </c>
      <c r="AC2066">
        <v>-24.233099999999901</v>
      </c>
      <c r="AD2066">
        <v>-1.1105644671679999</v>
      </c>
      <c r="AE2066">
        <v>1.0450999999999899</v>
      </c>
      <c r="AF2066">
        <v>0.91752213153093098</v>
      </c>
      <c r="AG2066">
        <v>-1.1105644671679999</v>
      </c>
      <c r="AH2066">
        <v>24.187487485528798</v>
      </c>
      <c r="AI2066">
        <v>92.626993100115698</v>
      </c>
      <c r="AJ2066">
        <v>87.827597764561602</v>
      </c>
      <c r="AK2066">
        <v>24.2303477308973</v>
      </c>
      <c r="AL2066">
        <v>78.299865172399706</v>
      </c>
      <c r="AM2066">
        <v>91.836600596530005</v>
      </c>
      <c r="AN2066">
        <v>1.00000000173126</v>
      </c>
    </row>
    <row r="2067" spans="1:40" x14ac:dyDescent="0.25">
      <c r="A2067" t="str">
        <f>"20190312172410019"</f>
        <v>20190312172410019</v>
      </c>
      <c r="B2067" t="str">
        <f>"1552382650011887"</f>
        <v>1552382650011887</v>
      </c>
      <c r="C2067" t="s">
        <v>40</v>
      </c>
      <c r="D2067">
        <v>3.6381579999999998</v>
      </c>
      <c r="E2067">
        <v>0.527937199999999</v>
      </c>
      <c r="F2067" t="s">
        <v>47</v>
      </c>
      <c r="G2067">
        <v>-358.00259999999997</v>
      </c>
      <c r="H2067" s="1">
        <v>2.7218029999999998E-6</v>
      </c>
      <c r="I2067">
        <v>284.9742</v>
      </c>
      <c r="J2067">
        <v>-333.8605</v>
      </c>
      <c r="K2067">
        <v>1.1105700000000001</v>
      </c>
      <c r="L2067">
        <v>283.90159999999997</v>
      </c>
      <c r="M2067">
        <v>-0.99987139999999997</v>
      </c>
      <c r="N2067">
        <v>0</v>
      </c>
      <c r="O2067">
        <v>4.8357239999999996E-3</v>
      </c>
      <c r="P2067">
        <v>-0.98183290000000001</v>
      </c>
      <c r="Q2067">
        <v>0.1878773</v>
      </c>
      <c r="R2067">
        <v>-2.6578319999999999E-2</v>
      </c>
      <c r="S2067">
        <v>-3.085693</v>
      </c>
      <c r="T2067">
        <v>-0.1393701</v>
      </c>
      <c r="U2067">
        <v>0.13485720000000001</v>
      </c>
      <c r="V2067">
        <v>-3.1525829999999998E-2</v>
      </c>
      <c r="W2067">
        <v>0.20283619999999999</v>
      </c>
      <c r="X2067">
        <v>0.97870500000000005</v>
      </c>
      <c r="Y2067">
        <v>3.8795599999999902E-2</v>
      </c>
      <c r="Z2067">
        <v>6.5705119999999895E-4</v>
      </c>
      <c r="AA2067">
        <v>0.999247</v>
      </c>
      <c r="AB2067">
        <v>45</v>
      </c>
      <c r="AC2067">
        <v>-24.1420999999999</v>
      </c>
      <c r="AD2067">
        <v>-1.110567278197</v>
      </c>
      <c r="AE2067">
        <v>1.07260000000002</v>
      </c>
      <c r="AF2067">
        <v>0.95381486634337098</v>
      </c>
      <c r="AG2067">
        <v>-1.110567278197</v>
      </c>
      <c r="AH2067">
        <v>24.096115318452298</v>
      </c>
      <c r="AI2067">
        <v>92.636779113150695</v>
      </c>
      <c r="AJ2067">
        <v>87.733201000936106</v>
      </c>
      <c r="AK2067">
        <v>24.140544648346498</v>
      </c>
      <c r="AL2067">
        <v>78.297137783989797</v>
      </c>
      <c r="AM2067">
        <v>91.844961102800795</v>
      </c>
      <c r="AN2067">
        <v>0.99999993950631205</v>
      </c>
    </row>
    <row r="2068" spans="1:40" x14ac:dyDescent="0.25">
      <c r="A2068" t="str">
        <f>"20190312172410033"</f>
        <v>20190312172410033</v>
      </c>
      <c r="B2068" t="str">
        <f>"1552382650021647"</f>
        <v>1552382650021647</v>
      </c>
      <c r="C2068" t="s">
        <v>40</v>
      </c>
      <c r="D2068">
        <v>3.6293199999999999</v>
      </c>
      <c r="E2068">
        <v>0.52810659999999998</v>
      </c>
      <c r="F2068" t="s">
        <v>47</v>
      </c>
      <c r="G2068">
        <v>-358.40109999999999</v>
      </c>
      <c r="H2068" s="1">
        <v>2.9338300000000002E-6</v>
      </c>
      <c r="I2068">
        <v>284.99029999999999</v>
      </c>
      <c r="J2068">
        <v>-334.13729999999998</v>
      </c>
      <c r="K2068">
        <v>1.1105719999999999</v>
      </c>
      <c r="L2068">
        <v>283.90280000000001</v>
      </c>
      <c r="M2068">
        <v>-0.99987230000000005</v>
      </c>
      <c r="N2068">
        <v>0</v>
      </c>
      <c r="O2068">
        <v>4.6195309999999996E-3</v>
      </c>
      <c r="P2068">
        <v>-0.9818675</v>
      </c>
      <c r="Q2068">
        <v>0.1876632</v>
      </c>
      <c r="R2068">
        <v>-2.681967E-2</v>
      </c>
      <c r="S2068">
        <v>-3.0859070000000002</v>
      </c>
      <c r="T2068">
        <v>-0.13965089999999999</v>
      </c>
      <c r="U2068">
        <v>0.13690189999999999</v>
      </c>
      <c r="V2068">
        <v>-3.1555130000000001E-2</v>
      </c>
      <c r="W2068">
        <v>0.20264009999999999</v>
      </c>
      <c r="X2068">
        <v>0.97874470000000002</v>
      </c>
      <c r="Y2068">
        <v>3.9668179999999997E-2</v>
      </c>
      <c r="Z2068">
        <v>6.8781780000000002E-4</v>
      </c>
      <c r="AA2068">
        <v>0.99921269999999995</v>
      </c>
      <c r="AB2068">
        <v>45</v>
      </c>
      <c r="AC2068">
        <v>-24.2638</v>
      </c>
      <c r="AD2068">
        <v>-1.1105690661699901</v>
      </c>
      <c r="AE2068">
        <v>1.0874999999999699</v>
      </c>
      <c r="AF2068">
        <v>0.97335286147140299</v>
      </c>
      <c r="AG2068">
        <v>-1.1105690661699901</v>
      </c>
      <c r="AH2068">
        <v>24.217931745902799</v>
      </c>
      <c r="AI2068">
        <v>92.623475486545303</v>
      </c>
      <c r="AJ2068">
        <v>87.6984404870323</v>
      </c>
      <c r="AK2068">
        <v>24.2629140354755</v>
      </c>
      <c r="AL2068">
        <v>78.308612034944701</v>
      </c>
      <c r="AM2068">
        <v>91.846599763470905</v>
      </c>
      <c r="AN2068">
        <v>0.99999996206770703</v>
      </c>
    </row>
    <row r="2069" spans="1:40" x14ac:dyDescent="0.25">
      <c r="A2069" t="str">
        <f>"20190312172410051"</f>
        <v>20190312172410051</v>
      </c>
      <c r="B2069" t="str">
        <f>"1552382650042143"</f>
        <v>1552382650042143</v>
      </c>
      <c r="C2069" t="s">
        <v>40</v>
      </c>
      <c r="D2069">
        <v>3.64018</v>
      </c>
      <c r="E2069">
        <v>0.52837100000000004</v>
      </c>
      <c r="F2069" t="s">
        <v>47</v>
      </c>
      <c r="G2069">
        <v>-358.61250000000001</v>
      </c>
      <c r="H2069" s="1">
        <v>3.0463360000000001E-6</v>
      </c>
      <c r="I2069">
        <v>284.99169999999998</v>
      </c>
      <c r="J2069">
        <v>-334.51080000000002</v>
      </c>
      <c r="K2069">
        <v>1.110574</v>
      </c>
      <c r="L2069">
        <v>283.9042</v>
      </c>
      <c r="M2069">
        <v>-0.99987320000000002</v>
      </c>
      <c r="N2069">
        <v>0</v>
      </c>
      <c r="O2069">
        <v>4.3273799999999996E-3</v>
      </c>
      <c r="P2069">
        <v>-0.9817958</v>
      </c>
      <c r="Q2069">
        <v>0.18804589999999999</v>
      </c>
      <c r="R2069">
        <v>-2.6758199999999999E-2</v>
      </c>
      <c r="S2069">
        <v>-3.0859679999999998</v>
      </c>
      <c r="T2069">
        <v>-0.14002679999999901</v>
      </c>
      <c r="U2069">
        <v>0.13729859999999999</v>
      </c>
      <c r="V2069">
        <v>-3.1206649999999999E-2</v>
      </c>
      <c r="W2069">
        <v>0.20304349999999999</v>
      </c>
      <c r="X2069">
        <v>0.97867230000000005</v>
      </c>
      <c r="Y2069">
        <v>4.0086539999999997E-2</v>
      </c>
      <c r="Z2069">
        <v>7.1237709999999997E-4</v>
      </c>
      <c r="AA2069">
        <v>0.99919590000000003</v>
      </c>
      <c r="AB2069">
        <v>45</v>
      </c>
      <c r="AC2069">
        <v>-24.101699999999902</v>
      </c>
      <c r="AD2069">
        <v>-1.110570953664</v>
      </c>
      <c r="AE2069">
        <v>1.0874999999999699</v>
      </c>
      <c r="AF2069">
        <v>0.98110147823818195</v>
      </c>
      <c r="AG2069">
        <v>-1.110570953664</v>
      </c>
      <c r="AH2069">
        <v>24.0552098611528</v>
      </c>
      <c r="AI2069">
        <v>92.641138142722795</v>
      </c>
      <c r="AJ2069">
        <v>87.664462865633396</v>
      </c>
      <c r="AK2069">
        <v>24.10081014028</v>
      </c>
      <c r="AL2069">
        <v>78.285008612635906</v>
      </c>
      <c r="AM2069">
        <v>91.826355679310495</v>
      </c>
      <c r="AN2069">
        <v>0.99999999434188103</v>
      </c>
    </row>
    <row r="2070" spans="1:40" x14ac:dyDescent="0.25">
      <c r="A2070" t="str">
        <f>"20190312172410063"</f>
        <v>20190312172410063</v>
      </c>
      <c r="B2070" t="str">
        <f>"1552382650051903"</f>
        <v>1552382650051903</v>
      </c>
      <c r="C2070" t="s">
        <v>40</v>
      </c>
      <c r="D2070">
        <v>3.604619</v>
      </c>
      <c r="E2070">
        <v>0.52852840000000001</v>
      </c>
      <c r="F2070" t="s">
        <v>47</v>
      </c>
      <c r="G2070">
        <v>-359.2319</v>
      </c>
      <c r="H2070" s="1">
        <v>3.3759659999999999E-6</v>
      </c>
      <c r="I2070">
        <v>285.02120000000002</v>
      </c>
      <c r="J2070">
        <v>-334.73309999999998</v>
      </c>
      <c r="K2070">
        <v>1.1105769999999999</v>
      </c>
      <c r="L2070">
        <v>283.9051</v>
      </c>
      <c r="M2070">
        <v>-0.99987360000000003</v>
      </c>
      <c r="N2070">
        <v>0</v>
      </c>
      <c r="O2070">
        <v>4.1534959999999996E-3</v>
      </c>
      <c r="P2070">
        <v>-0.98182979999999997</v>
      </c>
      <c r="Q2070">
        <v>0.18783250000000001</v>
      </c>
      <c r="R2070">
        <v>-2.7011130000000001E-2</v>
      </c>
      <c r="S2070">
        <v>-3.0859380000000001</v>
      </c>
      <c r="T2070">
        <v>-0.1386327</v>
      </c>
      <c r="U2070">
        <v>0.1394348</v>
      </c>
      <c r="V2070">
        <v>-3.1288240000000002E-2</v>
      </c>
      <c r="W2070">
        <v>0.20284279999999999</v>
      </c>
      <c r="X2070">
        <v>0.97871129999999995</v>
      </c>
      <c r="Y2070">
        <v>4.0950720000000003E-2</v>
      </c>
      <c r="Z2070">
        <v>7.3248360000000002E-4</v>
      </c>
      <c r="AA2070">
        <v>0.99916090000000002</v>
      </c>
      <c r="AB2070">
        <v>44</v>
      </c>
      <c r="AC2070">
        <v>-24.498799999999999</v>
      </c>
      <c r="AD2070">
        <v>-1.1105736240340001</v>
      </c>
      <c r="AE2070">
        <v>1.1161000000000101</v>
      </c>
      <c r="AF2070">
        <v>1.0122468904152</v>
      </c>
      <c r="AG2070">
        <v>-1.1105736240340001</v>
      </c>
      <c r="AH2070">
        <v>24.453078671663199</v>
      </c>
      <c r="AI2070">
        <v>92.598165645959497</v>
      </c>
      <c r="AJ2070">
        <v>87.629567157436597</v>
      </c>
      <c r="AK2070">
        <v>24.499205580265301</v>
      </c>
      <c r="AL2070">
        <v>78.296752109573305</v>
      </c>
      <c r="AM2070">
        <v>91.831054534513001</v>
      </c>
      <c r="AN2070">
        <v>0.99999998211091301</v>
      </c>
    </row>
    <row r="2071" spans="1:40" x14ac:dyDescent="0.25">
      <c r="A2071" t="str">
        <f>"20190312172410074"</f>
        <v>20190312172410074</v>
      </c>
      <c r="B2071" t="str">
        <f>"1552382650061664"</f>
        <v>1552382650061664</v>
      </c>
      <c r="C2071" t="s">
        <v>40</v>
      </c>
      <c r="D2071">
        <v>3.6309670000000001</v>
      </c>
      <c r="E2071">
        <v>0.52868269999999995</v>
      </c>
      <c r="F2071" t="s">
        <v>47</v>
      </c>
      <c r="G2071">
        <v>-359.40940000000001</v>
      </c>
      <c r="H2071" s="1">
        <v>3.4704089999999999E-6</v>
      </c>
      <c r="I2071">
        <v>285.024</v>
      </c>
      <c r="J2071">
        <v>-334.95580000000001</v>
      </c>
      <c r="K2071">
        <v>1.110576</v>
      </c>
      <c r="L2071">
        <v>283.90589999999997</v>
      </c>
      <c r="M2071">
        <v>-0.99987420000000005</v>
      </c>
      <c r="N2071">
        <v>0</v>
      </c>
      <c r="O2071">
        <v>3.9791459999999898E-3</v>
      </c>
      <c r="P2071">
        <v>-0.98180460000000003</v>
      </c>
      <c r="Q2071">
        <v>0.1879728</v>
      </c>
      <c r="R2071">
        <v>-2.694212E-2</v>
      </c>
      <c r="S2071">
        <v>-3.0859380000000001</v>
      </c>
      <c r="T2071">
        <v>-0.13888499999999901</v>
      </c>
      <c r="U2071">
        <v>0.13992309999999999</v>
      </c>
      <c r="V2071">
        <v>-3.104784E-2</v>
      </c>
      <c r="W2071">
        <v>0.20299310000000001</v>
      </c>
      <c r="X2071">
        <v>0.9786878</v>
      </c>
      <c r="Y2071">
        <v>4.1282060000000002E-2</v>
      </c>
      <c r="Z2071">
        <v>7.491008E-4</v>
      </c>
      <c r="AA2071">
        <v>0.99914720000000001</v>
      </c>
      <c r="AB2071">
        <v>44</v>
      </c>
      <c r="AC2071">
        <v>-24.453599999999899</v>
      </c>
      <c r="AD2071">
        <v>-1.1105725295909901</v>
      </c>
      <c r="AE2071">
        <v>1.1181000000000201</v>
      </c>
      <c r="AF2071">
        <v>1.0186785195162</v>
      </c>
      <c r="AG2071">
        <v>-1.1105725295909901</v>
      </c>
      <c r="AH2071">
        <v>24.407618624612699</v>
      </c>
      <c r="AI2071">
        <v>92.602958871380906</v>
      </c>
      <c r="AJ2071">
        <v>87.610085323466393</v>
      </c>
      <c r="AK2071">
        <v>24.454098310797502</v>
      </c>
      <c r="AL2071">
        <v>78.287957665521304</v>
      </c>
      <c r="AM2071">
        <v>91.817038880828093</v>
      </c>
      <c r="AN2071">
        <v>0.999999988442557</v>
      </c>
    </row>
    <row r="2072" spans="1:40" x14ac:dyDescent="0.25">
      <c r="A2072" t="str">
        <f>"20190312172410087"</f>
        <v>20190312172410087</v>
      </c>
      <c r="B2072" t="str">
        <f>"1552382650082159"</f>
        <v>1552382650082159</v>
      </c>
      <c r="C2072" t="s">
        <v>40</v>
      </c>
      <c r="D2072">
        <v>3.581725</v>
      </c>
      <c r="E2072">
        <v>0.52888919999999995</v>
      </c>
      <c r="F2072" t="s">
        <v>47</v>
      </c>
      <c r="G2072">
        <v>-359.72669999999999</v>
      </c>
      <c r="H2072" s="1">
        <v>3.6392729999999999E-6</v>
      </c>
      <c r="I2072">
        <v>285.04079999999999</v>
      </c>
      <c r="J2072">
        <v>-335.18979999999999</v>
      </c>
      <c r="K2072">
        <v>1.1105750000000001</v>
      </c>
      <c r="L2072">
        <v>283.9067</v>
      </c>
      <c r="M2072">
        <v>-0.99987490000000001</v>
      </c>
      <c r="N2072">
        <v>0</v>
      </c>
      <c r="O2072">
        <v>3.7956779999999998E-3</v>
      </c>
      <c r="P2072">
        <v>-0.98178719999999997</v>
      </c>
      <c r="Q2072">
        <v>0.1880686</v>
      </c>
      <c r="R2072">
        <v>-2.691354E-2</v>
      </c>
      <c r="S2072">
        <v>-3.0859380000000001</v>
      </c>
      <c r="T2072">
        <v>-0.13835430000000001</v>
      </c>
      <c r="U2072">
        <v>0.14138789999999901</v>
      </c>
      <c r="V2072">
        <v>-3.0839470000000001E-2</v>
      </c>
      <c r="W2072">
        <v>0.20309959999999999</v>
      </c>
      <c r="X2072">
        <v>0.97867230000000005</v>
      </c>
      <c r="Y2072">
        <v>4.1938129999999997E-2</v>
      </c>
      <c r="Z2072">
        <v>7.6914279999999995E-4</v>
      </c>
      <c r="AA2072">
        <v>0.99911989999999995</v>
      </c>
      <c r="AB2072">
        <v>44</v>
      </c>
      <c r="AC2072">
        <v>-24.536899999999999</v>
      </c>
      <c r="AD2072">
        <v>-1.110571360727</v>
      </c>
      <c r="AE2072">
        <v>1.1340999999999799</v>
      </c>
      <c r="AF2072">
        <v>1.0388230968702801</v>
      </c>
      <c r="AG2072">
        <v>-1.110571360727</v>
      </c>
      <c r="AH2072">
        <v>24.4909635733522</v>
      </c>
      <c r="AI2072">
        <v>92.594036119805097</v>
      </c>
      <c r="AJ2072">
        <v>87.571164489355297</v>
      </c>
      <c r="AK2072">
        <v>24.538129898692802</v>
      </c>
      <c r="AL2072">
        <v>78.281725935951698</v>
      </c>
      <c r="AM2072">
        <v>91.804880926506797</v>
      </c>
      <c r="AN2072">
        <v>0.99999999560866504</v>
      </c>
    </row>
    <row r="2073" spans="1:40" x14ac:dyDescent="0.25">
      <c r="A2073" t="str">
        <f>"20190312172410097"</f>
        <v>20190312172410097</v>
      </c>
      <c r="B2073" t="str">
        <f>"1552382650091920"</f>
        <v>1552382650091920</v>
      </c>
      <c r="C2073" t="s">
        <v>40</v>
      </c>
      <c r="D2073">
        <v>3.6151490000000002</v>
      </c>
      <c r="E2073">
        <v>0.52899449999999903</v>
      </c>
      <c r="F2073" t="s">
        <v>47</v>
      </c>
      <c r="G2073">
        <v>-360.1585</v>
      </c>
      <c r="H2073" s="1">
        <v>-1.4524629999999999E-6</v>
      </c>
      <c r="I2073">
        <v>285.0675</v>
      </c>
      <c r="J2073">
        <v>-335.42340000000002</v>
      </c>
      <c r="K2073">
        <v>1.1105700000000001</v>
      </c>
      <c r="L2073">
        <v>283.9074</v>
      </c>
      <c r="M2073">
        <v>-0.99987530000000002</v>
      </c>
      <c r="N2073">
        <v>0</v>
      </c>
      <c r="O2073">
        <v>3.6126930000000002E-3</v>
      </c>
      <c r="P2073">
        <v>-0.98182619999999998</v>
      </c>
      <c r="Q2073">
        <v>0.1878282</v>
      </c>
      <c r="R2073">
        <v>-2.7164440000000002E-2</v>
      </c>
      <c r="S2073">
        <v>-3.0858759999999998</v>
      </c>
      <c r="T2073">
        <v>-0.1372563</v>
      </c>
      <c r="U2073">
        <v>0.14346310000000001</v>
      </c>
      <c r="V2073">
        <v>-3.0910050000000001E-2</v>
      </c>
      <c r="W2073">
        <v>0.20286889999999999</v>
      </c>
      <c r="X2073">
        <v>0.97871790000000003</v>
      </c>
      <c r="Y2073">
        <v>4.2791900000000001E-2</v>
      </c>
      <c r="Z2073">
        <v>7.9014690000000002E-4</v>
      </c>
      <c r="AA2073">
        <v>0.99908370000000002</v>
      </c>
      <c r="AB2073">
        <v>44</v>
      </c>
      <c r="AC2073">
        <v>-24.7350999999999</v>
      </c>
      <c r="AD2073">
        <v>-1.1105714524629999</v>
      </c>
      <c r="AE2073">
        <v>1.1600999999999999</v>
      </c>
      <c r="AF2073">
        <v>1.0685721535955299</v>
      </c>
      <c r="AG2073">
        <v>-1.1105714524629999</v>
      </c>
      <c r="AH2073">
        <v>24.689468248158398</v>
      </c>
      <c r="AI2073">
        <v>92.573113338759299</v>
      </c>
      <c r="AJ2073">
        <v>87.521757532169303</v>
      </c>
      <c r="AK2073">
        <v>24.737523274881202</v>
      </c>
      <c r="AL2073">
        <v>78.295224850646406</v>
      </c>
      <c r="AM2073">
        <v>91.808924653124294</v>
      </c>
      <c r="AN2073">
        <v>0.99999997477931002</v>
      </c>
    </row>
    <row r="2074" spans="1:40" x14ac:dyDescent="0.25">
      <c r="A2074" t="str">
        <f>"20190312172410130"</f>
        <v>20190312172410130</v>
      </c>
      <c r="B2074" t="str">
        <f>"1552382650122193"</f>
        <v>1552382650122193</v>
      </c>
      <c r="C2074" t="s">
        <v>40</v>
      </c>
      <c r="D2074">
        <v>3.6088849999999999</v>
      </c>
      <c r="E2074">
        <v>0.52934829999999999</v>
      </c>
      <c r="F2074" t="s">
        <v>47</v>
      </c>
      <c r="G2074">
        <v>-360.22559999999999</v>
      </c>
      <c r="H2074" s="1">
        <v>-1.4167239999999999E-6</v>
      </c>
      <c r="I2074">
        <v>285.06099999999998</v>
      </c>
      <c r="J2074">
        <v>-336.06119999999999</v>
      </c>
      <c r="K2074">
        <v>1.1105750000000001</v>
      </c>
      <c r="L2074">
        <v>283.90929999999997</v>
      </c>
      <c r="M2074">
        <v>-0.99987669999999995</v>
      </c>
      <c r="N2074">
        <v>0</v>
      </c>
      <c r="O2074">
        <v>3.1137339999999999E-3</v>
      </c>
      <c r="P2074">
        <v>-0.98189919999999997</v>
      </c>
      <c r="Q2074">
        <v>0.1874062</v>
      </c>
      <c r="R2074">
        <v>-2.74433E-2</v>
      </c>
      <c r="S2074">
        <v>-3.0859070000000002</v>
      </c>
      <c r="T2074">
        <v>-0.1381781</v>
      </c>
      <c r="U2074">
        <v>0.14352419999999999</v>
      </c>
      <c r="V2074">
        <v>-3.0698429999999999E-2</v>
      </c>
      <c r="W2074">
        <v>0.2024687</v>
      </c>
      <c r="X2074">
        <v>0.97880739999999999</v>
      </c>
      <c r="Y2074">
        <v>4.3308180000000002E-2</v>
      </c>
      <c r="Z2074">
        <v>8.2930720000000001E-4</v>
      </c>
      <c r="AA2074">
        <v>0.99906139999999999</v>
      </c>
      <c r="AB2074">
        <v>44</v>
      </c>
      <c r="AC2074">
        <v>-24.164400000000001</v>
      </c>
      <c r="AD2074">
        <v>-1.110576416724</v>
      </c>
      <c r="AE2074">
        <v>1.1516999999999999</v>
      </c>
      <c r="AF2074">
        <v>1.0741801958278701</v>
      </c>
      <c r="AG2074">
        <v>-1.110576416724</v>
      </c>
      <c r="AH2074">
        <v>24.117043625760999</v>
      </c>
      <c r="AI2074">
        <v>92.6339683938848</v>
      </c>
      <c r="AJ2074">
        <v>87.449714736975906</v>
      </c>
      <c r="AK2074">
        <v>24.166485808188</v>
      </c>
      <c r="AL2074">
        <v>78.318640233775</v>
      </c>
      <c r="AM2074">
        <v>91.796384160549295</v>
      </c>
      <c r="AN2074">
        <v>0.99999994718945595</v>
      </c>
    </row>
    <row r="2075" spans="1:40" x14ac:dyDescent="0.25">
      <c r="A2075" t="str">
        <f>"20190312172410152"</f>
        <v>20190312172410152</v>
      </c>
      <c r="B2075" t="str">
        <f>"1552382650141695"</f>
        <v>1552382650141695</v>
      </c>
      <c r="C2075" t="s">
        <v>40</v>
      </c>
      <c r="D2075">
        <v>3.7979769999999999</v>
      </c>
      <c r="E2075">
        <v>0.52939219999999998</v>
      </c>
      <c r="F2075" t="s">
        <v>47</v>
      </c>
      <c r="G2075">
        <v>-360.70089999999999</v>
      </c>
      <c r="H2075" s="1">
        <v>-1.163799E-6</v>
      </c>
      <c r="I2075">
        <v>285.0772</v>
      </c>
      <c r="J2075">
        <v>-336.48599999999999</v>
      </c>
      <c r="K2075">
        <v>1.1105780000000001</v>
      </c>
      <c r="L2075">
        <v>283.91030000000001</v>
      </c>
      <c r="M2075">
        <v>-0.99987740000000003</v>
      </c>
      <c r="N2075">
        <v>0</v>
      </c>
      <c r="O2075">
        <v>2.7813780000000001E-3</v>
      </c>
      <c r="P2075">
        <v>-0.98185149999999999</v>
      </c>
      <c r="Q2075">
        <v>0.18765200000000001</v>
      </c>
      <c r="R2075">
        <v>-2.746183E-2</v>
      </c>
      <c r="S2075">
        <v>-3.0859380000000001</v>
      </c>
      <c r="T2075">
        <v>-0.1390914</v>
      </c>
      <c r="U2075">
        <v>0.14627079999999901</v>
      </c>
      <c r="V2075">
        <v>-3.039014E-2</v>
      </c>
      <c r="W2075">
        <v>0.20272560000000001</v>
      </c>
      <c r="X2075">
        <v>0.97876390000000002</v>
      </c>
      <c r="Y2075">
        <v>4.4524929999999997E-2</v>
      </c>
      <c r="Z2075">
        <v>8.7711440000000005E-4</v>
      </c>
      <c r="AA2075">
        <v>0.99900789999999995</v>
      </c>
      <c r="AB2075">
        <v>44</v>
      </c>
      <c r="AC2075">
        <v>-24.2149</v>
      </c>
      <c r="AD2075">
        <v>-1.1105791637989999</v>
      </c>
      <c r="AE2075">
        <v>1.1668999999999901</v>
      </c>
      <c r="AF2075">
        <v>1.09723405988547</v>
      </c>
      <c r="AG2075">
        <v>-1.1105791637989999</v>
      </c>
      <c r="AH2075">
        <v>24.167335109632901</v>
      </c>
      <c r="AI2075">
        <v>92.628399920376907</v>
      </c>
      <c r="AJ2075">
        <v>87.400468938224407</v>
      </c>
      <c r="AK2075">
        <v>24.217708292952398</v>
      </c>
      <c r="AL2075">
        <v>78.303609871885399</v>
      </c>
      <c r="AM2075">
        <v>91.778434541989199</v>
      </c>
      <c r="AN2075">
        <v>1.0000000007238901</v>
      </c>
    </row>
    <row r="2076" spans="1:40" x14ac:dyDescent="0.25">
      <c r="A2076" t="str">
        <f>"20190312172410174"</f>
        <v>20190312172410174</v>
      </c>
      <c r="B2076" t="str">
        <f>"1552382650161822"</f>
        <v>1552382650161822</v>
      </c>
      <c r="C2076" t="s">
        <v>40</v>
      </c>
      <c r="D2076">
        <v>3.814934</v>
      </c>
      <c r="E2076">
        <v>0.52957480000000001</v>
      </c>
      <c r="F2076" t="s">
        <v>47</v>
      </c>
      <c r="G2076">
        <v>-361.36</v>
      </c>
      <c r="H2076" s="1">
        <v>-8.1307479999999996E-7</v>
      </c>
      <c r="I2076">
        <v>285.08960000000002</v>
      </c>
      <c r="J2076">
        <v>-336.93119999999999</v>
      </c>
      <c r="K2076">
        <v>1.110584</v>
      </c>
      <c r="L2076">
        <v>283.91129999999998</v>
      </c>
      <c r="M2076">
        <v>-0.9998783</v>
      </c>
      <c r="N2076">
        <v>0</v>
      </c>
      <c r="O2076">
        <v>2.432708E-3</v>
      </c>
      <c r="P2076">
        <v>-0.98174269999999997</v>
      </c>
      <c r="Q2076">
        <v>0.18820990000000001</v>
      </c>
      <c r="R2076">
        <v>-2.7540439999999999E-2</v>
      </c>
      <c r="S2076">
        <v>-3.0858759999999998</v>
      </c>
      <c r="T2076">
        <v>-0.13777899999999901</v>
      </c>
      <c r="U2076">
        <v>0.1463013</v>
      </c>
      <c r="V2076">
        <v>-3.0126569999999998E-2</v>
      </c>
      <c r="W2076">
        <v>0.20329150000000001</v>
      </c>
      <c r="X2076">
        <v>0.97865469999999999</v>
      </c>
      <c r="Y2076">
        <v>4.4884159999999999E-2</v>
      </c>
      <c r="Z2076">
        <v>8.9242719999999996E-4</v>
      </c>
      <c r="AA2076">
        <v>0.99899179999999999</v>
      </c>
      <c r="AB2076">
        <v>44</v>
      </c>
      <c r="AC2076">
        <v>-24.428799999999999</v>
      </c>
      <c r="AD2076">
        <v>-1.1105848130747999</v>
      </c>
      <c r="AE2076">
        <v>1.1783000000000301</v>
      </c>
      <c r="AF2076">
        <v>1.11655896644712</v>
      </c>
      <c r="AG2076">
        <v>-1.1105848130747999</v>
      </c>
      <c r="AH2076">
        <v>24.3813200638156</v>
      </c>
      <c r="AI2076">
        <v>92.605330019378897</v>
      </c>
      <c r="AJ2076">
        <v>87.377933217861298</v>
      </c>
      <c r="AK2076">
        <v>24.432127836248799</v>
      </c>
      <c r="AL2076">
        <v>78.270497056566896</v>
      </c>
      <c r="AM2076">
        <v>91.763216768168803</v>
      </c>
      <c r="AN2076">
        <v>1.0000000330121499</v>
      </c>
    </row>
    <row r="2077" spans="1:40" x14ac:dyDescent="0.25">
      <c r="A2077" t="str">
        <f>"20190312172410199"</f>
        <v>20190312172410199</v>
      </c>
      <c r="B2077" t="str">
        <f>"1552382650192078"</f>
        <v>1552382650192078</v>
      </c>
      <c r="C2077" t="s">
        <v>40</v>
      </c>
      <c r="D2077">
        <v>3.5641090000000002</v>
      </c>
      <c r="E2077">
        <v>0.52979469999999995</v>
      </c>
      <c r="F2077" t="s">
        <v>47</v>
      </c>
      <c r="G2077">
        <v>-362.2054</v>
      </c>
      <c r="H2077" s="1">
        <v>-3.6317409999999898E-7</v>
      </c>
      <c r="I2077">
        <v>285.1182</v>
      </c>
      <c r="J2077">
        <v>-337.41699999999997</v>
      </c>
      <c r="K2077">
        <v>1.11059</v>
      </c>
      <c r="L2077">
        <v>283.91210000000001</v>
      </c>
      <c r="M2077">
        <v>-0.99987910000000002</v>
      </c>
      <c r="N2077">
        <v>0</v>
      </c>
      <c r="O2077">
        <v>2.0519269999999998E-3</v>
      </c>
      <c r="P2077">
        <v>-0.98175239999999997</v>
      </c>
      <c r="Q2077">
        <v>0.1881274</v>
      </c>
      <c r="R2077">
        <v>-2.776091E-2</v>
      </c>
      <c r="S2077">
        <v>-3.0859070000000002</v>
      </c>
      <c r="T2077">
        <v>-0.1355991</v>
      </c>
      <c r="U2077">
        <v>0.14736939999999901</v>
      </c>
      <c r="V2077">
        <v>-2.9972579999999999E-2</v>
      </c>
      <c r="W2077">
        <v>0.20321719999999999</v>
      </c>
      <c r="X2077">
        <v>0.97867479999999996</v>
      </c>
      <c r="Y2077">
        <v>4.5609379999999998E-2</v>
      </c>
      <c r="Z2077">
        <v>9.1093830000000002E-4</v>
      </c>
      <c r="AA2077">
        <v>0.99895889999999998</v>
      </c>
      <c r="AB2077">
        <v>44</v>
      </c>
      <c r="AC2077">
        <v>-24.788399999999999</v>
      </c>
      <c r="AD2077">
        <v>-1.1105903631741001</v>
      </c>
      <c r="AE2077">
        <v>1.20609999999999</v>
      </c>
      <c r="AF2077">
        <v>1.1529186500114299</v>
      </c>
      <c r="AG2077">
        <v>-1.1105903631741001</v>
      </c>
      <c r="AH2077">
        <v>24.741277222920601</v>
      </c>
      <c r="AI2077">
        <v>92.567394418733699</v>
      </c>
      <c r="AJ2077">
        <v>87.332004302557607</v>
      </c>
      <c r="AK2077">
        <v>24.793011736973899</v>
      </c>
      <c r="AL2077">
        <v>78.274844200261299</v>
      </c>
      <c r="AM2077">
        <v>91.754173840666596</v>
      </c>
      <c r="AN2077">
        <v>0.99999997504136695</v>
      </c>
    </row>
    <row r="2078" spans="1:40" x14ac:dyDescent="0.25">
      <c r="A2078" t="str">
        <f>"20190312172410220"</f>
        <v>20190312172410220</v>
      </c>
      <c r="B2078" t="str">
        <f>"1552382650211598"</f>
        <v>1552382650211598</v>
      </c>
      <c r="C2078" t="s">
        <v>40</v>
      </c>
      <c r="D2078">
        <v>3.5695510000000001</v>
      </c>
      <c r="E2078">
        <v>0.52995130000000001</v>
      </c>
      <c r="F2078" t="s">
        <v>47</v>
      </c>
      <c r="G2078">
        <v>-362.6601</v>
      </c>
      <c r="H2078" s="1">
        <v>-1.2121669999999999E-7</v>
      </c>
      <c r="I2078">
        <v>285.1266</v>
      </c>
      <c r="J2078">
        <v>-337.82679999999999</v>
      </c>
      <c r="K2078">
        <v>1.11059</v>
      </c>
      <c r="L2078">
        <v>283.91269999999997</v>
      </c>
      <c r="M2078">
        <v>-0.99987959999999998</v>
      </c>
      <c r="N2078">
        <v>0</v>
      </c>
      <c r="O2078">
        <v>1.7302350000000001E-3</v>
      </c>
      <c r="P2078">
        <v>-0.98179019999999995</v>
      </c>
      <c r="Q2078">
        <v>0.18791140000000001</v>
      </c>
      <c r="R2078">
        <v>-2.7885400000000001E-2</v>
      </c>
      <c r="S2078">
        <v>-3.0859990000000002</v>
      </c>
      <c r="T2078">
        <v>-0.135771</v>
      </c>
      <c r="U2078">
        <v>0.14846799999999999</v>
      </c>
      <c r="V2078">
        <v>-2.97807E-2</v>
      </c>
      <c r="W2078">
        <v>0.20300760000000001</v>
      </c>
      <c r="X2078">
        <v>0.97872420000000004</v>
      </c>
      <c r="Y2078">
        <v>4.6283110000000002E-2</v>
      </c>
      <c r="Z2078">
        <v>9.410016E-4</v>
      </c>
      <c r="AA2078">
        <v>0.99892789999999998</v>
      </c>
      <c r="AB2078">
        <v>44</v>
      </c>
      <c r="AC2078">
        <v>-24.833300000000001</v>
      </c>
      <c r="AD2078">
        <v>-1.1105901212167</v>
      </c>
      <c r="AE2078">
        <v>1.21390000000002</v>
      </c>
      <c r="AF2078">
        <v>1.16859396452509</v>
      </c>
      <c r="AG2078">
        <v>-1.1105901212167</v>
      </c>
      <c r="AH2078">
        <v>24.7859087545568</v>
      </c>
      <c r="AI2078">
        <v>92.562711312090201</v>
      </c>
      <c r="AJ2078">
        <v>87.300645405817704</v>
      </c>
      <c r="AK2078">
        <v>24.838282852493801</v>
      </c>
      <c r="AL2078">
        <v>78.287109558385794</v>
      </c>
      <c r="AM2078">
        <v>91.742862910455997</v>
      </c>
      <c r="AN2078">
        <v>1.00000001770794</v>
      </c>
    </row>
    <row r="2079" spans="1:40" x14ac:dyDescent="0.25">
      <c r="A2079" t="str">
        <f>"20190312172410242"</f>
        <v>20190312172410242</v>
      </c>
      <c r="B2079" t="str">
        <f>"1552382650232094"</f>
        <v>1552382650232094</v>
      </c>
      <c r="C2079" t="s">
        <v>40</v>
      </c>
      <c r="D2079">
        <v>3.561823</v>
      </c>
      <c r="E2079">
        <v>0.53008310000000003</v>
      </c>
      <c r="F2079" t="s">
        <v>47</v>
      </c>
      <c r="G2079">
        <v>-363.00360000000001</v>
      </c>
      <c r="H2079" s="1">
        <v>6.15898E-8</v>
      </c>
      <c r="I2079">
        <v>285.13069999999999</v>
      </c>
      <c r="J2079">
        <v>-338.26369999999997</v>
      </c>
      <c r="K2079">
        <v>1.1105849999999999</v>
      </c>
      <c r="L2079">
        <v>283.91320000000002</v>
      </c>
      <c r="M2079">
        <v>-0.99987999999999999</v>
      </c>
      <c r="N2079">
        <v>0</v>
      </c>
      <c r="O2079">
        <v>1.387274E-3</v>
      </c>
      <c r="P2079">
        <v>-0.98187409999999997</v>
      </c>
      <c r="Q2079">
        <v>0.18748690000000001</v>
      </c>
      <c r="R2079">
        <v>-2.778454E-2</v>
      </c>
      <c r="S2079">
        <v>-3.0859380000000001</v>
      </c>
      <c r="T2079">
        <v>-0.13612579999999999</v>
      </c>
      <c r="U2079">
        <v>0.14929200000000001</v>
      </c>
      <c r="V2079">
        <v>-2.9342739999999999E-2</v>
      </c>
      <c r="W2079">
        <v>0.20258880000000001</v>
      </c>
      <c r="X2079">
        <v>0.97882420000000003</v>
      </c>
      <c r="Y2079">
        <v>4.689165E-2</v>
      </c>
      <c r="Z2079">
        <v>9.7199190000000005E-4</v>
      </c>
      <c r="AA2079">
        <v>0.99889950000000005</v>
      </c>
      <c r="AB2079">
        <v>44</v>
      </c>
      <c r="AC2079">
        <v>-24.739899999999999</v>
      </c>
      <c r="AD2079">
        <v>-1.11058493841019</v>
      </c>
      <c r="AE2079">
        <v>1.2174999999999701</v>
      </c>
      <c r="AF2079">
        <v>1.1807999802058899</v>
      </c>
      <c r="AG2079">
        <v>-1.11058493841019</v>
      </c>
      <c r="AH2079">
        <v>24.691927636578701</v>
      </c>
      <c r="AI2079">
        <v>92.572358296059406</v>
      </c>
      <c r="AJ2079">
        <v>87.262127356114704</v>
      </c>
      <c r="AK2079">
        <v>24.7450798727488</v>
      </c>
      <c r="AL2079">
        <v>78.311614208415506</v>
      </c>
      <c r="AM2079">
        <v>91.717072200650094</v>
      </c>
      <c r="AN2079">
        <v>1.00000001639089</v>
      </c>
    </row>
    <row r="2080" spans="1:40" x14ac:dyDescent="0.25">
      <c r="A2080" t="str">
        <f>"20190312172410264"</f>
        <v>20190312172410264</v>
      </c>
      <c r="B2080" t="str">
        <f>"1552382650252325"</f>
        <v>1552382650252325</v>
      </c>
      <c r="C2080" t="s">
        <v>40</v>
      </c>
      <c r="D2080">
        <v>3.5755309999999998</v>
      </c>
      <c r="E2080">
        <v>0.53020199999999995</v>
      </c>
      <c r="F2080" t="s">
        <v>47</v>
      </c>
      <c r="G2080">
        <v>-363.1825</v>
      </c>
      <c r="H2080" s="1">
        <v>1.5675239999999999E-7</v>
      </c>
      <c r="I2080">
        <v>285.12810000000002</v>
      </c>
      <c r="J2080">
        <v>-338.68880000000001</v>
      </c>
      <c r="K2080">
        <v>1.1105860000000001</v>
      </c>
      <c r="L2080">
        <v>283.9135</v>
      </c>
      <c r="M2080">
        <v>-0.9998804</v>
      </c>
      <c r="N2080">
        <v>0</v>
      </c>
      <c r="O2080">
        <v>1.0532060000000001E-3</v>
      </c>
      <c r="P2080">
        <v>-0.98187729999999995</v>
      </c>
      <c r="Q2080">
        <v>0.1874072</v>
      </c>
      <c r="R2080">
        <v>-2.820928E-2</v>
      </c>
      <c r="S2080">
        <v>-3.0859380000000001</v>
      </c>
      <c r="T2080">
        <v>-0.13753489999999999</v>
      </c>
      <c r="U2080">
        <v>0.15045169999999999</v>
      </c>
      <c r="V2080">
        <v>-2.9438430000000002E-2</v>
      </c>
      <c r="W2080">
        <v>0.20251169999999999</v>
      </c>
      <c r="X2080">
        <v>0.97883730000000002</v>
      </c>
      <c r="Y2080">
        <v>4.759791E-2</v>
      </c>
      <c r="Z2080">
        <v>1.01263E-3</v>
      </c>
      <c r="AA2080">
        <v>0.99886609999999998</v>
      </c>
      <c r="AB2080">
        <v>44</v>
      </c>
      <c r="AC2080">
        <v>-24.493699999999901</v>
      </c>
      <c r="AD2080">
        <v>-1.1105858432475999</v>
      </c>
      <c r="AE2080">
        <v>1.2146000000000099</v>
      </c>
      <c r="AF2080">
        <v>1.1863663118930099</v>
      </c>
      <c r="AG2080">
        <v>-1.1105858432475999</v>
      </c>
      <c r="AH2080">
        <v>24.4448336825848</v>
      </c>
      <c r="AI2080">
        <v>92.598238251862696</v>
      </c>
      <c r="AJ2080">
        <v>87.221478760125507</v>
      </c>
      <c r="AK2080">
        <v>24.498790984667998</v>
      </c>
      <c r="AL2080">
        <v>78.316125436257806</v>
      </c>
      <c r="AM2080">
        <v>91.722645358188203</v>
      </c>
      <c r="AN2080">
        <v>1.0000000348345199</v>
      </c>
    </row>
    <row r="2081" spans="1:40" x14ac:dyDescent="0.25">
      <c r="A2081" t="str">
        <f>"20190312172410286"</f>
        <v>20190312172410286</v>
      </c>
      <c r="B2081" t="str">
        <f>"1552382650281601"</f>
        <v>1552382650281601</v>
      </c>
      <c r="C2081" t="s">
        <v>40</v>
      </c>
      <c r="D2081">
        <v>3.5825399999999998</v>
      </c>
      <c r="E2081">
        <v>0.53042809999999996</v>
      </c>
      <c r="F2081" t="s">
        <v>47</v>
      </c>
      <c r="G2081">
        <v>-363.60739999999998</v>
      </c>
      <c r="H2081" s="1">
        <v>3.8288860000000001E-7</v>
      </c>
      <c r="I2081">
        <v>285.12369999999999</v>
      </c>
      <c r="J2081">
        <v>-339.13380000000001</v>
      </c>
      <c r="K2081">
        <v>1.1105879999999999</v>
      </c>
      <c r="L2081">
        <v>283.91370000000001</v>
      </c>
      <c r="M2081">
        <v>-0.99988060000000001</v>
      </c>
      <c r="N2081">
        <v>0</v>
      </c>
      <c r="O2081">
        <v>7.0388959999999996E-4</v>
      </c>
      <c r="P2081">
        <v>-0.98196410000000001</v>
      </c>
      <c r="Q2081">
        <v>0.18692919999999999</v>
      </c>
      <c r="R2081">
        <v>-2.8360280000000002E-2</v>
      </c>
      <c r="S2081">
        <v>-3.0859380000000001</v>
      </c>
      <c r="T2081">
        <v>-0.13753589999999999</v>
      </c>
      <c r="U2081">
        <v>0.149871799999999</v>
      </c>
      <c r="V2081">
        <v>-2.924626E-2</v>
      </c>
      <c r="W2081">
        <v>0.20203679999999999</v>
      </c>
      <c r="X2081">
        <v>0.97894110000000001</v>
      </c>
      <c r="Y2081">
        <v>4.7759129999999997E-2</v>
      </c>
      <c r="Z2081">
        <v>1.031784E-3</v>
      </c>
      <c r="AA2081">
        <v>0.99885829999999998</v>
      </c>
      <c r="AB2081">
        <v>44</v>
      </c>
      <c r="AC2081">
        <v>-24.473599999999902</v>
      </c>
      <c r="AD2081">
        <v>-1.1105876171114</v>
      </c>
      <c r="AE2081">
        <v>1.20999999999997</v>
      </c>
      <c r="AF2081">
        <v>1.19032572878114</v>
      </c>
      <c r="AG2081">
        <v>-1.1105876171114</v>
      </c>
      <c r="AH2081">
        <v>24.424272604208099</v>
      </c>
      <c r="AI2081">
        <v>92.600401099595203</v>
      </c>
      <c r="AJ2081">
        <v>87.209877109720296</v>
      </c>
      <c r="AK2081">
        <v>24.4784675263904</v>
      </c>
      <c r="AL2081">
        <v>78.343908464054294</v>
      </c>
      <c r="AM2081">
        <v>91.711225519297201</v>
      </c>
      <c r="AN2081">
        <v>0.99999994477371701</v>
      </c>
    </row>
    <row r="2082" spans="1:40" x14ac:dyDescent="0.25">
      <c r="A2082" t="str">
        <f>"20190312172410308"</f>
        <v>20190312172410308</v>
      </c>
      <c r="B2082" t="str">
        <f>"1552382650302097"</f>
        <v>1552382650302097</v>
      </c>
      <c r="C2082" t="s">
        <v>40</v>
      </c>
      <c r="D2082">
        <v>3.762947</v>
      </c>
      <c r="E2082">
        <v>0.53057989999999999</v>
      </c>
      <c r="F2082" t="s">
        <v>47</v>
      </c>
      <c r="G2082">
        <v>-363.7946</v>
      </c>
      <c r="H2082" s="1">
        <v>4.8253429999999995E-7</v>
      </c>
      <c r="I2082">
        <v>285.11989999999997</v>
      </c>
      <c r="J2082">
        <v>-339.58139999999997</v>
      </c>
      <c r="K2082">
        <v>1.1105910000000001</v>
      </c>
      <c r="L2082">
        <v>283.91370000000001</v>
      </c>
      <c r="M2082">
        <v>-0.99988089999999996</v>
      </c>
      <c r="N2082">
        <v>0</v>
      </c>
      <c r="O2082">
        <v>3.5201319999999999E-4</v>
      </c>
      <c r="P2082">
        <v>-0.98200010000000004</v>
      </c>
      <c r="Q2082">
        <v>0.18668209999999999</v>
      </c>
      <c r="R2082">
        <v>-2.8735400000000001E-2</v>
      </c>
      <c r="S2082">
        <v>-3.0858759999999998</v>
      </c>
      <c r="T2082">
        <v>-0.1389706</v>
      </c>
      <c r="U2082">
        <v>0.15093989999999999</v>
      </c>
      <c r="V2082">
        <v>-2.9275320000000001E-2</v>
      </c>
      <c r="W2082">
        <v>0.2017911</v>
      </c>
      <c r="X2082">
        <v>0.97899099999999994</v>
      </c>
      <c r="Y2082">
        <v>4.8454469999999999E-2</v>
      </c>
      <c r="Z2082">
        <v>1.0740189999999901E-3</v>
      </c>
      <c r="AA2082">
        <v>0.99882479999999996</v>
      </c>
      <c r="AB2082">
        <v>44</v>
      </c>
      <c r="AC2082">
        <v>-24.213200000000001</v>
      </c>
      <c r="AD2082">
        <v>-1.11059051746569</v>
      </c>
      <c r="AE2082">
        <v>1.20619999999996</v>
      </c>
      <c r="AF2082">
        <v>1.19516738092175</v>
      </c>
      <c r="AG2082">
        <v>-1.11059051746569</v>
      </c>
      <c r="AH2082">
        <v>24.162915151337799</v>
      </c>
      <c r="AI2082">
        <v>92.628402346089004</v>
      </c>
      <c r="AJ2082">
        <v>87.168293537792806</v>
      </c>
      <c r="AK2082">
        <v>24.217933540594601</v>
      </c>
      <c r="AL2082">
        <v>78.358283155566596</v>
      </c>
      <c r="AM2082">
        <v>91.712837576890493</v>
      </c>
      <c r="AN2082">
        <v>1.00000003524065</v>
      </c>
    </row>
    <row r="2083" spans="1:40" x14ac:dyDescent="0.25">
      <c r="A2083" t="str">
        <f>"20190312172410330"</f>
        <v>20190312172410330</v>
      </c>
      <c r="B2083" t="str">
        <f>"1552382650321620"</f>
        <v>1552382650321620</v>
      </c>
      <c r="C2083" t="s">
        <v>40</v>
      </c>
      <c r="D2083">
        <v>3.5690029999999999</v>
      </c>
      <c r="E2083">
        <v>0.5307231</v>
      </c>
      <c r="F2083" t="s">
        <v>47</v>
      </c>
      <c r="G2083">
        <v>-364.16849999999999</v>
      </c>
      <c r="H2083" s="1">
        <v>6.8149E-7</v>
      </c>
      <c r="I2083">
        <v>285.1139</v>
      </c>
      <c r="J2083">
        <v>-340.00409999999999</v>
      </c>
      <c r="K2083">
        <v>1.1105940000000001</v>
      </c>
      <c r="L2083">
        <v>283.91359999999997</v>
      </c>
      <c r="M2083">
        <v>-0.99988089999999996</v>
      </c>
      <c r="N2083">
        <v>0</v>
      </c>
      <c r="O2083" s="1">
        <v>2.0164919999999999E-5</v>
      </c>
      <c r="P2083">
        <v>-0.98208410000000002</v>
      </c>
      <c r="Q2083">
        <v>0.1862076</v>
      </c>
      <c r="R2083">
        <v>-2.894741E-2</v>
      </c>
      <c r="S2083">
        <v>-3.0859070000000002</v>
      </c>
      <c r="T2083">
        <v>-0.13938919999999999</v>
      </c>
      <c r="U2083">
        <v>0.15063480000000001</v>
      </c>
      <c r="V2083">
        <v>-2.916011E-2</v>
      </c>
      <c r="W2083">
        <v>0.20131850000000001</v>
      </c>
      <c r="X2083">
        <v>0.97909170000000001</v>
      </c>
      <c r="Y2083">
        <v>4.8686090000000001E-2</v>
      </c>
      <c r="Z2083">
        <v>1.0974419999999999E-3</v>
      </c>
      <c r="AA2083">
        <v>0.99881350000000002</v>
      </c>
      <c r="AB2083">
        <v>44</v>
      </c>
      <c r="AC2083">
        <v>-24.164400000000001</v>
      </c>
      <c r="AD2083">
        <v>-1.1105933185100001</v>
      </c>
      <c r="AE2083">
        <v>1.2003000000000199</v>
      </c>
      <c r="AF2083">
        <v>1.1972898433824699</v>
      </c>
      <c r="AG2083">
        <v>-1.1105933185100001</v>
      </c>
      <c r="AH2083">
        <v>24.1136140892615</v>
      </c>
      <c r="AI2083">
        <v>92.633750680689801</v>
      </c>
      <c r="AJ2083">
        <v>87.157482722801802</v>
      </c>
      <c r="AK2083">
        <v>24.1688498885242</v>
      </c>
      <c r="AL2083">
        <v>78.385928128004394</v>
      </c>
      <c r="AM2083">
        <v>91.705925503586101</v>
      </c>
      <c r="AN2083">
        <v>1.00000000373317</v>
      </c>
    </row>
    <row r="2084" spans="1:40" x14ac:dyDescent="0.25">
      <c r="A2084" t="str">
        <f>"20190312172410352"</f>
        <v>20190312172410352</v>
      </c>
      <c r="B2084" t="str">
        <f>"1552382650342113"</f>
        <v>1552382650342113</v>
      </c>
      <c r="C2084" t="s">
        <v>40</v>
      </c>
      <c r="D2084">
        <v>3.5895579999999998</v>
      </c>
      <c r="E2084">
        <v>0.53083319999999901</v>
      </c>
      <c r="F2084" t="s">
        <v>47</v>
      </c>
      <c r="G2084">
        <v>-364.39109999999999</v>
      </c>
      <c r="H2084" s="1">
        <v>7.9995819999999995E-7</v>
      </c>
      <c r="I2084">
        <v>285.10669999999999</v>
      </c>
      <c r="J2084">
        <v>-340.43329999999997</v>
      </c>
      <c r="K2084">
        <v>1.1105910000000001</v>
      </c>
      <c r="L2084">
        <v>283.91329999999999</v>
      </c>
      <c r="M2084">
        <v>-0.99988080000000001</v>
      </c>
      <c r="N2084">
        <v>0</v>
      </c>
      <c r="O2084">
        <v>-3.1739520000000001E-4</v>
      </c>
      <c r="P2084">
        <v>-0.98212480000000002</v>
      </c>
      <c r="Q2084">
        <v>0.18591569999999999</v>
      </c>
      <c r="R2084">
        <v>-2.9434930000000002E-2</v>
      </c>
      <c r="S2084">
        <v>-3.0858150000000002</v>
      </c>
      <c r="T2084">
        <v>-0.14052899999999999</v>
      </c>
      <c r="U2084">
        <v>0.15097049999999901</v>
      </c>
      <c r="V2084">
        <v>-2.931597E-2</v>
      </c>
      <c r="W2084">
        <v>0.20102700000000001</v>
      </c>
      <c r="X2084">
        <v>0.97914699999999999</v>
      </c>
      <c r="Y2084">
        <v>4.913149E-2</v>
      </c>
      <c r="Z2084">
        <v>1.131925E-3</v>
      </c>
      <c r="AA2084">
        <v>0.99879169999999995</v>
      </c>
      <c r="AB2084">
        <v>44</v>
      </c>
      <c r="AC2084">
        <v>-23.957799999999999</v>
      </c>
      <c r="AD2084">
        <v>-1.1105902000418</v>
      </c>
      <c r="AE2084">
        <v>1.19339999999999</v>
      </c>
      <c r="AF2084">
        <v>1.1984360061127599</v>
      </c>
      <c r="AG2084">
        <v>-1.1105902000418</v>
      </c>
      <c r="AH2084">
        <v>23.906175424953201</v>
      </c>
      <c r="AI2084">
        <v>92.656501005023003</v>
      </c>
      <c r="AJ2084">
        <v>87.130118489509698</v>
      </c>
      <c r="AK2084">
        <v>23.9619465591135</v>
      </c>
      <c r="AL2084">
        <v>78.402979139007101</v>
      </c>
      <c r="AM2084">
        <v>91.714941394632902</v>
      </c>
      <c r="AN2084">
        <v>1.00000006421751</v>
      </c>
    </row>
    <row r="2085" spans="1:40" x14ac:dyDescent="0.25">
      <c r="A2085" t="str">
        <f>"20190312172410375"</f>
        <v>20190312172410375</v>
      </c>
      <c r="B2085" t="str">
        <f>"1552382650372369"</f>
        <v>1552382650372369</v>
      </c>
      <c r="C2085" t="s">
        <v>40</v>
      </c>
      <c r="D2085">
        <v>3.5864440000000002</v>
      </c>
      <c r="E2085">
        <v>0.53098089999999998</v>
      </c>
      <c r="F2085" t="s">
        <v>47</v>
      </c>
      <c r="G2085">
        <v>-364.7321</v>
      </c>
      <c r="H2085" s="1">
        <v>9.8140989999999995E-7</v>
      </c>
      <c r="I2085">
        <v>285.09660000000002</v>
      </c>
      <c r="J2085">
        <v>-340.86439999999999</v>
      </c>
      <c r="K2085">
        <v>1.1105830000000001</v>
      </c>
      <c r="L2085">
        <v>283.91289999999998</v>
      </c>
      <c r="M2085">
        <v>-0.99988069999999896</v>
      </c>
      <c r="N2085">
        <v>0</v>
      </c>
      <c r="O2085">
        <v>-6.5661829999999997E-4</v>
      </c>
      <c r="P2085">
        <v>-0.98218269999999996</v>
      </c>
      <c r="Q2085">
        <v>0.1855551</v>
      </c>
      <c r="R2085">
        <v>-2.9772839999999998E-2</v>
      </c>
      <c r="S2085">
        <v>-3.085785</v>
      </c>
      <c r="T2085">
        <v>-0.14103769999999999</v>
      </c>
      <c r="U2085">
        <v>0.1502686</v>
      </c>
      <c r="V2085">
        <v>-2.9319580000000001E-2</v>
      </c>
      <c r="W2085">
        <v>0.20066639999999999</v>
      </c>
      <c r="X2085">
        <v>0.9792208</v>
      </c>
      <c r="Y2085">
        <v>4.9243330000000002E-2</v>
      </c>
      <c r="Z2085">
        <v>1.154078E-3</v>
      </c>
      <c r="AA2085">
        <v>0.99878619999999996</v>
      </c>
      <c r="AB2085">
        <v>44</v>
      </c>
      <c r="AC2085">
        <v>-23.867699999999999</v>
      </c>
      <c r="AD2085">
        <v>-1.1105820185901001</v>
      </c>
      <c r="AE2085">
        <v>1.1837000000000399</v>
      </c>
      <c r="AF2085">
        <v>1.19678875715829</v>
      </c>
      <c r="AG2085">
        <v>-1.1105820185901001</v>
      </c>
      <c r="AH2085">
        <v>23.815480878971801</v>
      </c>
      <c r="AI2085">
        <v>92.666567120160096</v>
      </c>
      <c r="AJ2085">
        <v>87.123160719390398</v>
      </c>
      <c r="AK2085">
        <v>23.871380882679301</v>
      </c>
      <c r="AL2085">
        <v>78.424069112395202</v>
      </c>
      <c r="AM2085">
        <v>91.715023261168795</v>
      </c>
      <c r="AN2085">
        <v>1.00000000850648</v>
      </c>
    </row>
    <row r="2086" spans="1:40" x14ac:dyDescent="0.25">
      <c r="A2086" t="str">
        <f>"20190312172410398"</f>
        <v>20190312172410398</v>
      </c>
      <c r="B2086" t="str">
        <f>"1552382650391893"</f>
        <v>1552382650391893</v>
      </c>
      <c r="C2086" t="s">
        <v>40</v>
      </c>
      <c r="D2086">
        <v>3.5665909999999998</v>
      </c>
      <c r="E2086">
        <v>0.53105709999999995</v>
      </c>
      <c r="F2086" t="s">
        <v>47</v>
      </c>
      <c r="G2086">
        <v>-365.01429999999999</v>
      </c>
      <c r="H2086" s="1">
        <v>1.1315779999999999E-6</v>
      </c>
      <c r="I2086">
        <v>285.08969999999999</v>
      </c>
      <c r="J2086">
        <v>-341.32199999999898</v>
      </c>
      <c r="K2086">
        <v>1.110587</v>
      </c>
      <c r="L2086">
        <v>283.91230000000002</v>
      </c>
      <c r="M2086">
        <v>-0.9998804</v>
      </c>
      <c r="N2086">
        <v>0</v>
      </c>
      <c r="O2086">
        <v>-1.0169339999999999E-3</v>
      </c>
      <c r="P2086">
        <v>-0.98227070000000005</v>
      </c>
      <c r="Q2086">
        <v>0.18503810000000001</v>
      </c>
      <c r="R2086">
        <v>-3.009121E-2</v>
      </c>
      <c r="S2086">
        <v>-3.085785</v>
      </c>
      <c r="T2086">
        <v>-0.14190630000000001</v>
      </c>
      <c r="U2086">
        <v>0.1503601</v>
      </c>
      <c r="V2086">
        <v>-2.9282590000000001E-2</v>
      </c>
      <c r="W2086">
        <v>0.2001493</v>
      </c>
      <c r="X2086">
        <v>0.97932770000000002</v>
      </c>
      <c r="Y2086">
        <v>4.9631380000000003E-2</v>
      </c>
      <c r="Z2086">
        <v>1.186643E-3</v>
      </c>
      <c r="AA2086">
        <v>0.99876690000000001</v>
      </c>
      <c r="AB2086">
        <v>44</v>
      </c>
      <c r="AC2086">
        <v>-23.692299999999999</v>
      </c>
      <c r="AD2086">
        <v>-1.110585868422</v>
      </c>
      <c r="AE2086">
        <v>1.17739999999997</v>
      </c>
      <c r="AF2086">
        <v>1.1988679800578801</v>
      </c>
      <c r="AG2086">
        <v>-1.110585868422</v>
      </c>
      <c r="AH2086">
        <v>23.639275591080501</v>
      </c>
      <c r="AI2086">
        <v>92.686361311370703</v>
      </c>
      <c r="AJ2086">
        <v>87.096726795029298</v>
      </c>
      <c r="AK2086">
        <v>23.695696568697901</v>
      </c>
      <c r="AL2086">
        <v>78.4543099210116</v>
      </c>
      <c r="AM2086">
        <v>91.712673994551494</v>
      </c>
      <c r="AN2086">
        <v>0.99999997817744302</v>
      </c>
    </row>
    <row r="2087" spans="1:40" x14ac:dyDescent="0.25">
      <c r="A2087" t="str">
        <f>"20190312172410421"</f>
        <v>20190312172410421</v>
      </c>
      <c r="B2087" t="str">
        <f>"1552382650412385"</f>
        <v>1552382650412385</v>
      </c>
      <c r="C2087" t="s">
        <v>40</v>
      </c>
      <c r="D2087">
        <v>3.5802339999999901</v>
      </c>
      <c r="E2087">
        <v>0.53117689999999995</v>
      </c>
      <c r="F2087" t="s">
        <v>47</v>
      </c>
      <c r="G2087">
        <v>-365.25</v>
      </c>
      <c r="H2087" s="1">
        <v>1.2570119999999999E-6</v>
      </c>
      <c r="I2087">
        <v>285.07499999999999</v>
      </c>
      <c r="J2087">
        <v>-341.76170000000002</v>
      </c>
      <c r="K2087">
        <v>1.110587</v>
      </c>
      <c r="L2087">
        <v>283.91149999999999</v>
      </c>
      <c r="M2087">
        <v>-0.99988010000000005</v>
      </c>
      <c r="N2087">
        <v>0</v>
      </c>
      <c r="O2087">
        <v>-1.3632990000000001E-3</v>
      </c>
      <c r="P2087">
        <v>-0.98229789999999995</v>
      </c>
      <c r="Q2087">
        <v>0.18480389999999999</v>
      </c>
      <c r="R2087">
        <v>-3.0635579999999999E-2</v>
      </c>
      <c r="S2087">
        <v>-3.0857239999999999</v>
      </c>
      <c r="T2087">
        <v>-0.1432195</v>
      </c>
      <c r="U2087">
        <v>0.14993290000000001</v>
      </c>
      <c r="V2087">
        <v>-2.948624E-2</v>
      </c>
      <c r="W2087">
        <v>0.19991329999999999</v>
      </c>
      <c r="X2087">
        <v>0.97936979999999996</v>
      </c>
      <c r="Y2087">
        <v>4.9838760000000003E-2</v>
      </c>
      <c r="Z2087">
        <v>1.218507E-3</v>
      </c>
      <c r="AA2087">
        <v>0.99875650000000005</v>
      </c>
      <c r="AB2087">
        <v>44</v>
      </c>
      <c r="AC2087">
        <v>-23.488299999999899</v>
      </c>
      <c r="AD2087">
        <v>-1.1105857429879999</v>
      </c>
      <c r="AE2087">
        <v>1.16349999999999</v>
      </c>
      <c r="AF2087">
        <v>1.1928640228665399</v>
      </c>
      <c r="AG2087">
        <v>-1.1105857429879999</v>
      </c>
      <c r="AH2087">
        <v>23.434429175110399</v>
      </c>
      <c r="AI2087">
        <v>92.709782678769898</v>
      </c>
      <c r="AJ2087">
        <v>87.086033710091399</v>
      </c>
      <c r="AK2087">
        <v>23.491036504012399</v>
      </c>
      <c r="AL2087">
        <v>78.468110730453006</v>
      </c>
      <c r="AM2087">
        <v>91.724503775740402</v>
      </c>
      <c r="AN2087">
        <v>0.99999998550913305</v>
      </c>
    </row>
    <row r="2088" spans="1:40" x14ac:dyDescent="0.25">
      <c r="A2088" t="str">
        <f>"20190312172410442"</f>
        <v>20190312172410442</v>
      </c>
      <c r="B2088" t="str">
        <f>"1552382650431905"</f>
        <v>1552382650431905</v>
      </c>
      <c r="C2088" t="s">
        <v>40</v>
      </c>
      <c r="D2088">
        <v>3.558468</v>
      </c>
      <c r="E2088">
        <v>0.53129589999999904</v>
      </c>
      <c r="F2088" t="s">
        <v>47</v>
      </c>
      <c r="G2088">
        <v>-365.65940000000001</v>
      </c>
      <c r="H2088" s="1">
        <v>1.4748400000000001E-6</v>
      </c>
      <c r="I2088">
        <v>285.06990000000002</v>
      </c>
      <c r="J2088">
        <v>-342.18549999999999</v>
      </c>
      <c r="K2088">
        <v>1.1105849999999999</v>
      </c>
      <c r="L2088">
        <v>283.91070000000002</v>
      </c>
      <c r="M2088">
        <v>-0.99987959999999998</v>
      </c>
      <c r="N2088">
        <v>0</v>
      </c>
      <c r="O2088">
        <v>-1.697502E-3</v>
      </c>
      <c r="P2088">
        <v>-0.98233159999999997</v>
      </c>
      <c r="Q2088">
        <v>0.184527</v>
      </c>
      <c r="R2088">
        <v>-3.1218820000000001E-2</v>
      </c>
      <c r="S2088">
        <v>-3.0857239999999999</v>
      </c>
      <c r="T2088">
        <v>-0.14340149999999999</v>
      </c>
      <c r="U2088">
        <v>0.1495667</v>
      </c>
      <c r="V2088">
        <v>-2.9740610000000001E-2</v>
      </c>
      <c r="W2088">
        <v>0.19963439999999999</v>
      </c>
      <c r="X2088">
        <v>0.97941900000000004</v>
      </c>
      <c r="Y2088">
        <v>5.0053599999999997E-2</v>
      </c>
      <c r="Z2088">
        <v>1.2405599999999999E-3</v>
      </c>
      <c r="AA2088">
        <v>0.99874569999999996</v>
      </c>
      <c r="AB2088">
        <v>44</v>
      </c>
      <c r="AC2088">
        <v>-23.4739</v>
      </c>
      <c r="AD2088">
        <v>-1.11058352516</v>
      </c>
      <c r="AE2088">
        <v>1.15919999999999</v>
      </c>
      <c r="AF2088">
        <v>1.1963786384934501</v>
      </c>
      <c r="AG2088">
        <v>-1.11058352516</v>
      </c>
      <c r="AH2088">
        <v>23.4196039714944</v>
      </c>
      <c r="AI2088">
        <v>92.711464971618099</v>
      </c>
      <c r="AJ2088">
        <v>87.075616127652395</v>
      </c>
      <c r="AK2088">
        <v>23.476425788322999</v>
      </c>
      <c r="AL2088">
        <v>78.484419294550705</v>
      </c>
      <c r="AM2088">
        <v>91.739284192850405</v>
      </c>
      <c r="AN2088">
        <v>0.99999998755376596</v>
      </c>
    </row>
    <row r="2089" spans="1:40" x14ac:dyDescent="0.25">
      <c r="A2089" t="str">
        <f>"20190312172410464"</f>
        <v>20190312172410464</v>
      </c>
      <c r="B2089" t="str">
        <f>"1552382650452401"</f>
        <v>1552382650452401</v>
      </c>
      <c r="C2089" t="s">
        <v>40</v>
      </c>
      <c r="D2089">
        <v>3.7274600000000002</v>
      </c>
      <c r="E2089">
        <v>0.53134759999999903</v>
      </c>
      <c r="F2089" t="s">
        <v>47</v>
      </c>
      <c r="G2089">
        <v>-365.99959999999999</v>
      </c>
      <c r="H2089" s="1">
        <v>1.6558859999999999E-6</v>
      </c>
      <c r="I2089">
        <v>285.06079999999997</v>
      </c>
      <c r="J2089">
        <v>-342.60599999999999</v>
      </c>
      <c r="K2089">
        <v>1.11059</v>
      </c>
      <c r="L2089">
        <v>283.90969999999999</v>
      </c>
      <c r="M2089">
        <v>-0.99987899999999996</v>
      </c>
      <c r="N2089">
        <v>0</v>
      </c>
      <c r="O2089">
        <v>-2.029201E-3</v>
      </c>
      <c r="P2089">
        <v>-0.98222600000000004</v>
      </c>
      <c r="Q2089">
        <v>0.1850234</v>
      </c>
      <c r="R2089">
        <v>-3.1601730000000001E-2</v>
      </c>
      <c r="S2089">
        <v>-3.0857239999999999</v>
      </c>
      <c r="T2089">
        <v>-0.1439047</v>
      </c>
      <c r="U2089">
        <v>0.14901729999999899</v>
      </c>
      <c r="V2089">
        <v>-2.9797799999999999E-2</v>
      </c>
      <c r="W2089">
        <v>0.20012640000000001</v>
      </c>
      <c r="X2089">
        <v>0.97931690000000005</v>
      </c>
      <c r="Y2089">
        <v>5.0206639999999997E-2</v>
      </c>
      <c r="Z2089">
        <v>1.2639319999999999E-3</v>
      </c>
      <c r="AA2089">
        <v>0.99873809999999996</v>
      </c>
      <c r="AB2089">
        <v>44</v>
      </c>
      <c r="AC2089">
        <v>-23.3935999999999</v>
      </c>
      <c r="AD2089">
        <v>-1.1105883441140001</v>
      </c>
      <c r="AE2089">
        <v>1.15109999999998</v>
      </c>
      <c r="AF2089">
        <v>1.19588483795557</v>
      </c>
      <c r="AG2089">
        <v>-1.1105883441140001</v>
      </c>
      <c r="AH2089">
        <v>23.338742321797699</v>
      </c>
      <c r="AI2089">
        <v>92.720835465559304</v>
      </c>
      <c r="AJ2089">
        <v>87.066710791946903</v>
      </c>
      <c r="AK2089">
        <v>23.3957355126742</v>
      </c>
      <c r="AL2089">
        <v>78.455649785884205</v>
      </c>
      <c r="AM2089">
        <v>91.742808274202702</v>
      </c>
      <c r="AN2089">
        <v>1.0000000377436999</v>
      </c>
    </row>
    <row r="2090" spans="1:40" x14ac:dyDescent="0.25">
      <c r="A2090" t="str">
        <f>"20190312172410487"</f>
        <v>20190312172410487</v>
      </c>
      <c r="B2090" t="str">
        <f>"1552382650481685"</f>
        <v>1552382650481685</v>
      </c>
      <c r="C2090" t="s">
        <v>40</v>
      </c>
      <c r="D2090">
        <v>3.5951840000000002</v>
      </c>
      <c r="E2090">
        <v>0.53153879999999998</v>
      </c>
      <c r="F2090" t="s">
        <v>47</v>
      </c>
      <c r="G2090">
        <v>-366.69600000000003</v>
      </c>
      <c r="H2090" s="1">
        <v>2.0264589999999999E-6</v>
      </c>
      <c r="I2090">
        <v>285.06659999999999</v>
      </c>
      <c r="J2090">
        <v>-343.05790000000002</v>
      </c>
      <c r="K2090">
        <v>1.11059</v>
      </c>
      <c r="L2090">
        <v>283.90839999999997</v>
      </c>
      <c r="M2090">
        <v>-0.9998783</v>
      </c>
      <c r="N2090">
        <v>0</v>
      </c>
      <c r="O2090">
        <v>-2.3860470000000001E-3</v>
      </c>
      <c r="P2090">
        <v>-0.98213629999999996</v>
      </c>
      <c r="Q2090">
        <v>0.1854374</v>
      </c>
      <c r="R2090">
        <v>-3.1961679999999999E-2</v>
      </c>
      <c r="S2090">
        <v>-3.0858460000000001</v>
      </c>
      <c r="T2090">
        <v>-0.14226279999999999</v>
      </c>
      <c r="U2090">
        <v>0.1481934</v>
      </c>
      <c r="V2090">
        <v>-2.9806929999999999E-2</v>
      </c>
      <c r="W2090">
        <v>0.20053609999999999</v>
      </c>
      <c r="X2090">
        <v>0.97923280000000001</v>
      </c>
      <c r="Y2090">
        <v>5.0295920000000001E-2</v>
      </c>
      <c r="Z2090">
        <v>1.2679760000000001E-3</v>
      </c>
      <c r="AA2090">
        <v>0.9987336</v>
      </c>
      <c r="AB2090">
        <v>43</v>
      </c>
      <c r="AC2090">
        <v>-23.638099999999898</v>
      </c>
      <c r="AD2090">
        <v>-1.110587973541</v>
      </c>
      <c r="AE2090">
        <v>1.1582000000000201</v>
      </c>
      <c r="AF2090">
        <v>1.2119362047356299</v>
      </c>
      <c r="AG2090">
        <v>-1.110587973541</v>
      </c>
      <c r="AH2090">
        <v>23.5833356975938</v>
      </c>
      <c r="AI2090">
        <v>92.6926367799758</v>
      </c>
      <c r="AJ2090">
        <v>87.058185468687398</v>
      </c>
      <c r="AK2090">
        <v>23.640556627049399</v>
      </c>
      <c r="AL2090">
        <v>78.431689890297605</v>
      </c>
      <c r="AM2090">
        <v>91.743491570509093</v>
      </c>
      <c r="AN2090">
        <v>1.0000000285375299</v>
      </c>
    </row>
    <row r="2091" spans="1:40" x14ac:dyDescent="0.25">
      <c r="A2091" t="str">
        <f>"20190312172410509"</f>
        <v>20190312172410509</v>
      </c>
      <c r="B2091" t="str">
        <f>"1552382650502189"</f>
        <v>1552382650502189</v>
      </c>
      <c r="C2091" t="s">
        <v>40</v>
      </c>
      <c r="D2091">
        <v>3.5870799999999998</v>
      </c>
      <c r="E2091">
        <v>0.53167769999999903</v>
      </c>
      <c r="F2091" t="s">
        <v>47</v>
      </c>
      <c r="G2091">
        <v>-367.4511</v>
      </c>
      <c r="H2091" s="1">
        <v>2.4283340000000002E-6</v>
      </c>
      <c r="I2091">
        <v>285.07940000000002</v>
      </c>
      <c r="J2091">
        <v>-343.4889</v>
      </c>
      <c r="K2091">
        <v>1.11059</v>
      </c>
      <c r="L2091">
        <v>283.90710000000001</v>
      </c>
      <c r="M2091">
        <v>-0.99987740000000003</v>
      </c>
      <c r="N2091">
        <v>0</v>
      </c>
      <c r="O2091">
        <v>-2.7263220000000002E-3</v>
      </c>
      <c r="P2091">
        <v>-0.98220399999999997</v>
      </c>
      <c r="Q2091">
        <v>0.1850174</v>
      </c>
      <c r="R2091">
        <v>-3.2313149999999999E-2</v>
      </c>
      <c r="S2091">
        <v>-3.0858759999999998</v>
      </c>
      <c r="T2091">
        <v>-0.1404955</v>
      </c>
      <c r="U2091">
        <v>0.14813229999999999</v>
      </c>
      <c r="V2091">
        <v>-2.982309E-2</v>
      </c>
      <c r="W2091">
        <v>0.20011380000000001</v>
      </c>
      <c r="X2091">
        <v>0.97931869999999999</v>
      </c>
      <c r="Y2091">
        <v>5.0616309999999998E-2</v>
      </c>
      <c r="Z2091">
        <v>1.2749930000000001E-3</v>
      </c>
      <c r="AA2091">
        <v>0.99871739999999998</v>
      </c>
      <c r="AB2091">
        <v>43</v>
      </c>
      <c r="AC2091">
        <v>-23.962199999999999</v>
      </c>
      <c r="AD2091">
        <v>-1.1105875716660001</v>
      </c>
      <c r="AE2091">
        <v>1.1722999999999999</v>
      </c>
      <c r="AF2091">
        <v>1.2349855582443301</v>
      </c>
      <c r="AG2091">
        <v>-1.1105875716660001</v>
      </c>
      <c r="AH2091">
        <v>23.907681278338199</v>
      </c>
      <c r="AI2091">
        <v>92.656122230855999</v>
      </c>
      <c r="AJ2091">
        <v>87.042932682624794</v>
      </c>
      <c r="AK2091">
        <v>23.965304466874901</v>
      </c>
      <c r="AL2091">
        <v>78.456386561192602</v>
      </c>
      <c r="AM2091">
        <v>91.744283313680995</v>
      </c>
      <c r="AN2091">
        <v>1.00000003290863</v>
      </c>
    </row>
    <row r="2092" spans="1:40" x14ac:dyDescent="0.25">
      <c r="A2092" t="str">
        <f>"20190312172410531"</f>
        <v>20190312172410531</v>
      </c>
      <c r="B2092" t="str">
        <f>"1552382650521698"</f>
        <v>1552382650521698</v>
      </c>
      <c r="C2092" t="s">
        <v>40</v>
      </c>
      <c r="D2092">
        <v>3.601979</v>
      </c>
      <c r="E2092">
        <v>0.5318155</v>
      </c>
      <c r="F2092" t="s">
        <v>47</v>
      </c>
      <c r="G2092">
        <v>-367.66329999999999</v>
      </c>
      <c r="H2092" s="1">
        <v>2.5412299999999999E-6</v>
      </c>
      <c r="I2092">
        <v>285.06810000000002</v>
      </c>
      <c r="J2092">
        <v>-343.91559999999998</v>
      </c>
      <c r="K2092">
        <v>1.1105940000000001</v>
      </c>
      <c r="L2092">
        <v>283.90570000000002</v>
      </c>
      <c r="M2092">
        <v>-0.99987669999999995</v>
      </c>
      <c r="N2092">
        <v>0</v>
      </c>
      <c r="O2092">
        <v>-3.0633800000000001E-3</v>
      </c>
      <c r="P2092">
        <v>-0.98234960000000004</v>
      </c>
      <c r="Q2092">
        <v>0.1841412</v>
      </c>
      <c r="R2092">
        <v>-3.2889519999999998E-2</v>
      </c>
      <c r="S2092">
        <v>-3.0859070000000002</v>
      </c>
      <c r="T2092">
        <v>-0.14176859999999999</v>
      </c>
      <c r="U2092">
        <v>0.1481934</v>
      </c>
      <c r="V2092">
        <v>-3.0066740000000002E-2</v>
      </c>
      <c r="W2092">
        <v>0.19923630000000001</v>
      </c>
      <c r="X2092">
        <v>0.97949010000000003</v>
      </c>
      <c r="Y2092">
        <v>5.0970479999999999E-2</v>
      </c>
      <c r="Z2092">
        <v>1.3101160000000001E-3</v>
      </c>
      <c r="AA2092">
        <v>0.99869929999999996</v>
      </c>
      <c r="AB2092">
        <v>43</v>
      </c>
      <c r="AC2092">
        <v>-23.747699999999998</v>
      </c>
      <c r="AD2092">
        <v>-1.1105914587700001</v>
      </c>
      <c r="AE2092">
        <v>1.1623999999999901</v>
      </c>
      <c r="AF2092">
        <v>1.2324623467420901</v>
      </c>
      <c r="AG2092">
        <v>-1.1105914587700001</v>
      </c>
      <c r="AH2092">
        <v>23.692333967111999</v>
      </c>
      <c r="AI2092">
        <v>92.680188679971593</v>
      </c>
      <c r="AJ2092">
        <v>87.022188738439695</v>
      </c>
      <c r="AK2092">
        <v>23.7503487476205</v>
      </c>
      <c r="AL2092">
        <v>78.507696317220194</v>
      </c>
      <c r="AM2092">
        <v>91.758217395850806</v>
      </c>
      <c r="AN2092">
        <v>0.99999998404496304</v>
      </c>
    </row>
    <row r="2093" spans="1:40" x14ac:dyDescent="0.25">
      <c r="A2093" t="str">
        <f>"20190312172410543"</f>
        <v>20190312172410543</v>
      </c>
      <c r="B2093" t="str">
        <f>"1552382650532433"</f>
        <v>1552382650532433</v>
      </c>
      <c r="C2093" t="s">
        <v>40</v>
      </c>
      <c r="D2093">
        <v>3.5938680000000001</v>
      </c>
      <c r="E2093">
        <v>0.53188440000000003</v>
      </c>
      <c r="F2093" t="s">
        <v>47</v>
      </c>
      <c r="G2093">
        <v>-367.6823</v>
      </c>
      <c r="H2093" s="1">
        <v>2.5513789999999999E-6</v>
      </c>
      <c r="I2093">
        <v>285.04649999999998</v>
      </c>
      <c r="J2093">
        <v>-344.1361</v>
      </c>
      <c r="K2093">
        <v>1.110598</v>
      </c>
      <c r="L2093">
        <v>283.9049</v>
      </c>
      <c r="M2093">
        <v>-0.99987599999999999</v>
      </c>
      <c r="N2093">
        <v>0</v>
      </c>
      <c r="O2093">
        <v>-3.2372690000000001E-3</v>
      </c>
      <c r="P2093">
        <v>-0.98237059999999998</v>
      </c>
      <c r="Q2093">
        <v>0.18402499999999999</v>
      </c>
      <c r="R2093">
        <v>-3.2906659999999997E-2</v>
      </c>
      <c r="S2093">
        <v>-3.0859380000000001</v>
      </c>
      <c r="T2093">
        <v>-0.144202</v>
      </c>
      <c r="U2093">
        <v>0.14813229999999999</v>
      </c>
      <c r="V2093">
        <v>-2.9912870000000001E-2</v>
      </c>
      <c r="W2093">
        <v>0.1991185</v>
      </c>
      <c r="X2093">
        <v>0.97951880000000002</v>
      </c>
      <c r="Y2093">
        <v>5.1121670000000001E-2</v>
      </c>
      <c r="Z2093">
        <v>1.344214E-3</v>
      </c>
      <c r="AA2093">
        <v>0.99869149999999995</v>
      </c>
      <c r="AB2093">
        <v>43</v>
      </c>
      <c r="AC2093">
        <v>-23.546199999999999</v>
      </c>
      <c r="AD2093">
        <v>-1.1105954486209999</v>
      </c>
      <c r="AE2093">
        <v>1.14159999999998</v>
      </c>
      <c r="AF2093">
        <v>1.21513149834214</v>
      </c>
      <c r="AG2093">
        <v>-1.1105954486209999</v>
      </c>
      <c r="AH2093">
        <v>23.490244450780899</v>
      </c>
      <c r="AI2093">
        <v>92.703262852783197</v>
      </c>
      <c r="AJ2093">
        <v>87.038774738163994</v>
      </c>
      <c r="AK2093">
        <v>23.547856615118999</v>
      </c>
      <c r="AL2093">
        <v>78.514584158321995</v>
      </c>
      <c r="AM2093">
        <v>91.749173899870001</v>
      </c>
      <c r="AN2093">
        <v>1.0000000181936599</v>
      </c>
    </row>
    <row r="2094" spans="1:40" x14ac:dyDescent="0.25">
      <c r="A2094" t="str">
        <f>"20190312172410565"</f>
        <v>20190312172410565</v>
      </c>
      <c r="B2094" t="str">
        <f>"1552382650561714"</f>
        <v>1552382650561714</v>
      </c>
      <c r="C2094" t="s">
        <v>40</v>
      </c>
      <c r="D2094">
        <v>3.6109179999999999</v>
      </c>
      <c r="E2094">
        <v>0.53204099999999999</v>
      </c>
      <c r="F2094" t="s">
        <v>47</v>
      </c>
      <c r="G2094">
        <v>-367.85570000000001</v>
      </c>
      <c r="H2094" s="1">
        <v>2.6436469999999998E-6</v>
      </c>
      <c r="I2094">
        <v>285.04790000000003</v>
      </c>
      <c r="J2094">
        <v>-344.56369999999998</v>
      </c>
      <c r="K2094">
        <v>1.1106</v>
      </c>
      <c r="L2094">
        <v>283.90320000000003</v>
      </c>
      <c r="M2094">
        <v>-0.99987490000000001</v>
      </c>
      <c r="N2094">
        <v>0</v>
      </c>
      <c r="O2094">
        <v>-3.5728729999999998E-3</v>
      </c>
      <c r="P2094">
        <v>-0.98233959999999998</v>
      </c>
      <c r="Q2094">
        <v>0.18412000000000001</v>
      </c>
      <c r="R2094">
        <v>-3.3296289999999999E-2</v>
      </c>
      <c r="S2094">
        <v>-3.0859070000000002</v>
      </c>
      <c r="T2094">
        <v>-0.14448759999999999</v>
      </c>
      <c r="U2094">
        <v>0.14871219999999999</v>
      </c>
      <c r="V2094">
        <v>-2.9972100000000002E-2</v>
      </c>
      <c r="W2094">
        <v>0.1992092</v>
      </c>
      <c r="X2094">
        <v>0.97949850000000005</v>
      </c>
      <c r="Y2094">
        <v>5.1643389999999997E-2</v>
      </c>
      <c r="Z2094">
        <v>1.374779E-3</v>
      </c>
      <c r="AA2094">
        <v>0.99866460000000001</v>
      </c>
      <c r="AB2094">
        <v>43</v>
      </c>
      <c r="AC2094">
        <v>-23.292000000000002</v>
      </c>
      <c r="AD2094">
        <v>-1.1105973563530001</v>
      </c>
      <c r="AE2094">
        <v>1.1447000000000001</v>
      </c>
      <c r="AF2094">
        <v>1.22514324825026</v>
      </c>
      <c r="AG2094">
        <v>-1.1105973563530001</v>
      </c>
      <c r="AH2094">
        <v>23.235062733619198</v>
      </c>
      <c r="AI2094">
        <v>92.732769677366207</v>
      </c>
      <c r="AJ2094">
        <v>86.981691313244994</v>
      </c>
      <c r="AK2094">
        <v>23.2938305716748</v>
      </c>
      <c r="AL2094">
        <v>78.509280652587606</v>
      </c>
      <c r="AM2094">
        <v>91.752671553910702</v>
      </c>
      <c r="AN2094">
        <v>0.99999997182264899</v>
      </c>
    </row>
    <row r="2095" spans="1:40" x14ac:dyDescent="0.25">
      <c r="A2095" t="str">
        <f>"20190312172410588"</f>
        <v>20190312172410588</v>
      </c>
      <c r="B2095" t="str">
        <f>"1552382650582209"</f>
        <v>1552382650582209</v>
      </c>
      <c r="C2095" t="s">
        <v>40</v>
      </c>
      <c r="D2095">
        <v>3.5838380000000001</v>
      </c>
      <c r="E2095">
        <v>0.53216739999999996</v>
      </c>
      <c r="F2095" t="s">
        <v>47</v>
      </c>
      <c r="G2095">
        <v>-368.3997</v>
      </c>
      <c r="H2095" s="1">
        <v>2.9331029999999998E-6</v>
      </c>
      <c r="I2095">
        <v>285.05160000000001</v>
      </c>
      <c r="J2095">
        <v>-345.00040000000001</v>
      </c>
      <c r="K2095">
        <v>1.1105989999999999</v>
      </c>
      <c r="L2095">
        <v>283.90129999999999</v>
      </c>
      <c r="M2095">
        <v>-0.99987369999999998</v>
      </c>
      <c r="N2095">
        <v>0</v>
      </c>
      <c r="O2095">
        <v>-3.9125080000000003E-3</v>
      </c>
      <c r="P2095">
        <v>-0.98231630000000003</v>
      </c>
      <c r="Q2095">
        <v>0.18412020000000001</v>
      </c>
      <c r="R2095">
        <v>-3.3978790000000002E-2</v>
      </c>
      <c r="S2095">
        <v>-3.0859070000000002</v>
      </c>
      <c r="T2095">
        <v>-0.14378239999999901</v>
      </c>
      <c r="U2095">
        <v>0.1486816</v>
      </c>
      <c r="V2095">
        <v>-3.0319140000000001E-2</v>
      </c>
      <c r="W2095">
        <v>0.19920499999999999</v>
      </c>
      <c r="X2095">
        <v>0.97948869999999999</v>
      </c>
      <c r="Y2095">
        <v>5.1972610000000002E-2</v>
      </c>
      <c r="Z2095">
        <v>1.3915469999999999E-3</v>
      </c>
      <c r="AA2095">
        <v>0.99864759999999997</v>
      </c>
      <c r="AB2095">
        <v>43</v>
      </c>
      <c r="AC2095">
        <v>-23.399299999999901</v>
      </c>
      <c r="AD2095">
        <v>-1.1105960668970001</v>
      </c>
      <c r="AE2095">
        <v>1.1503000000000101</v>
      </c>
      <c r="AF2095">
        <v>1.2390674669643</v>
      </c>
      <c r="AG2095">
        <v>-1.1105960668970001</v>
      </c>
      <c r="AH2095">
        <v>23.3421632644243</v>
      </c>
      <c r="AI2095">
        <v>92.7201958584414</v>
      </c>
      <c r="AJ2095">
        <v>86.961431260733093</v>
      </c>
      <c r="AK2095">
        <v>23.4013952078618</v>
      </c>
      <c r="AL2095">
        <v>78.509526519765998</v>
      </c>
      <c r="AM2095">
        <v>91.772970181152303</v>
      </c>
      <c r="AN2095">
        <v>0.99999999785151406</v>
      </c>
    </row>
    <row r="2096" spans="1:40" x14ac:dyDescent="0.25">
      <c r="A2096" t="str">
        <f>"20190312172410611"</f>
        <v>20190312172410611</v>
      </c>
      <c r="B2096" t="str">
        <f>"1552382650601732"</f>
        <v>1552382650601732</v>
      </c>
      <c r="C2096" t="s">
        <v>40</v>
      </c>
      <c r="D2096">
        <v>3.5950479999999998</v>
      </c>
      <c r="E2096">
        <v>0.53230089999999997</v>
      </c>
      <c r="F2096" t="s">
        <v>47</v>
      </c>
      <c r="G2096">
        <v>-368.86290000000002</v>
      </c>
      <c r="H2096" s="1">
        <v>3.179614E-6</v>
      </c>
      <c r="I2096">
        <v>285.04320000000001</v>
      </c>
      <c r="J2096">
        <v>-345.44080000000002</v>
      </c>
      <c r="K2096">
        <v>1.1105929999999999</v>
      </c>
      <c r="L2096">
        <v>283.89929999999998</v>
      </c>
      <c r="M2096">
        <v>-0.99987250000000005</v>
      </c>
      <c r="N2096">
        <v>0</v>
      </c>
      <c r="O2096">
        <v>-4.2514069999999996E-3</v>
      </c>
      <c r="P2096">
        <v>-0.98234880000000002</v>
      </c>
      <c r="Q2096">
        <v>0.18384519999999999</v>
      </c>
      <c r="R2096">
        <v>-3.4532319999999998E-2</v>
      </c>
      <c r="S2096">
        <v>-3.0860289999999999</v>
      </c>
      <c r="T2096">
        <v>-0.14362839999999999</v>
      </c>
      <c r="U2096">
        <v>0.14767459999999999</v>
      </c>
      <c r="V2096">
        <v>-3.0537620000000001E-2</v>
      </c>
      <c r="W2096">
        <v>0.19892699999999999</v>
      </c>
      <c r="X2096">
        <v>0.97953840000000003</v>
      </c>
      <c r="Y2096">
        <v>5.1983799999999997E-2</v>
      </c>
      <c r="Z2096">
        <v>1.406032E-3</v>
      </c>
      <c r="AA2096">
        <v>0.9986469</v>
      </c>
      <c r="AB2096">
        <v>43</v>
      </c>
      <c r="AC2096">
        <v>-23.4221</v>
      </c>
      <c r="AD2096">
        <v>-1.1105898203859901</v>
      </c>
      <c r="AE2096">
        <v>1.1439000000000299</v>
      </c>
      <c r="AF2096">
        <v>1.2406955096869201</v>
      </c>
      <c r="AG2096">
        <v>-1.1105898203859901</v>
      </c>
      <c r="AH2096">
        <v>23.364618667556801</v>
      </c>
      <c r="AI2096">
        <v>92.717567494768701</v>
      </c>
      <c r="AJ2096">
        <v>86.960364972169202</v>
      </c>
      <c r="AK2096">
        <v>23.4238797080511</v>
      </c>
      <c r="AL2096">
        <v>78.5257799207061</v>
      </c>
      <c r="AM2096">
        <v>91.785647431596203</v>
      </c>
      <c r="AN2096">
        <v>0.99999998731941198</v>
      </c>
    </row>
    <row r="2097" spans="1:40" x14ac:dyDescent="0.25">
      <c r="A2097" t="str">
        <f>"20190312172410632"</f>
        <v>20190312172410632</v>
      </c>
      <c r="B2097" t="str">
        <f>"1552382650622225"</f>
        <v>1552382650622225</v>
      </c>
      <c r="C2097" t="s">
        <v>40</v>
      </c>
      <c r="D2097">
        <v>3.615421</v>
      </c>
      <c r="E2097">
        <v>0.53244559999999996</v>
      </c>
      <c r="F2097" t="s">
        <v>47</v>
      </c>
      <c r="G2097">
        <v>-369.17380000000003</v>
      </c>
      <c r="H2097" s="1">
        <v>3.345033E-6</v>
      </c>
      <c r="I2097">
        <v>285.03309999999999</v>
      </c>
      <c r="J2097">
        <v>-345.86540000000002</v>
      </c>
      <c r="K2097">
        <v>1.1105799999999999</v>
      </c>
      <c r="L2097">
        <v>283.8972</v>
      </c>
      <c r="M2097">
        <v>-0.99987119999999996</v>
      </c>
      <c r="N2097">
        <v>0</v>
      </c>
      <c r="O2097">
        <v>-4.5719230000000003E-3</v>
      </c>
      <c r="P2097">
        <v>-0.98233939999999997</v>
      </c>
      <c r="Q2097">
        <v>0.18382680000000001</v>
      </c>
      <c r="R2097">
        <v>-3.4889089999999998E-2</v>
      </c>
      <c r="S2097">
        <v>-3.086182</v>
      </c>
      <c r="T2097">
        <v>-0.1444184</v>
      </c>
      <c r="U2097">
        <v>0.14743039999999999</v>
      </c>
      <c r="V2097">
        <v>-3.0576989999999998E-2</v>
      </c>
      <c r="W2097">
        <v>0.198905</v>
      </c>
      <c r="X2097">
        <v>0.97954169999999996</v>
      </c>
      <c r="Y2097">
        <v>5.2221480000000001E-2</v>
      </c>
      <c r="Z2097">
        <v>1.434229E-3</v>
      </c>
      <c r="AA2097">
        <v>0.99863449999999998</v>
      </c>
      <c r="AB2097">
        <v>43</v>
      </c>
      <c r="AC2097">
        <v>-23.308399999999999</v>
      </c>
      <c r="AD2097">
        <v>-1.110576654967</v>
      </c>
      <c r="AE2097">
        <v>1.1358999999999899</v>
      </c>
      <c r="AF2097">
        <v>1.2396572947007201</v>
      </c>
      <c r="AG2097">
        <v>-1.110576654967</v>
      </c>
      <c r="AH2097">
        <v>23.250303723324901</v>
      </c>
      <c r="AI2097">
        <v>92.7308451643556</v>
      </c>
      <c r="AJ2097">
        <v>86.9479994249931</v>
      </c>
      <c r="AK2097">
        <v>23.309799525987302</v>
      </c>
      <c r="AL2097">
        <v>78.527066821210795</v>
      </c>
      <c r="AM2097">
        <v>91.787942028100602</v>
      </c>
      <c r="AN2097">
        <v>1.00000004669067</v>
      </c>
    </row>
    <row r="2098" spans="1:40" x14ac:dyDescent="0.25">
      <c r="A2098" t="str">
        <f>"20190312172410655"</f>
        <v>20190312172410655</v>
      </c>
      <c r="B2098" t="str">
        <f>"1552382650652482"</f>
        <v>1552382650652482</v>
      </c>
      <c r="C2098" t="s">
        <v>40</v>
      </c>
      <c r="D2098">
        <v>3.6186340000000001</v>
      </c>
      <c r="E2098">
        <v>0.53257940000000004</v>
      </c>
      <c r="F2098" t="s">
        <v>47</v>
      </c>
      <c r="G2098">
        <v>-369.58159999999998</v>
      </c>
      <c r="H2098" s="1">
        <v>3.5620750000000001E-6</v>
      </c>
      <c r="I2098">
        <v>285.02780000000001</v>
      </c>
      <c r="J2098">
        <v>-346.28390000000002</v>
      </c>
      <c r="K2098">
        <v>1.110574</v>
      </c>
      <c r="L2098">
        <v>283.89510000000001</v>
      </c>
      <c r="M2098">
        <v>-0.99986960000000003</v>
      </c>
      <c r="N2098">
        <v>0</v>
      </c>
      <c r="O2098">
        <v>-4.8780859999999898E-3</v>
      </c>
      <c r="P2098">
        <v>-0.98233959999999998</v>
      </c>
      <c r="Q2098">
        <v>0.18372330000000001</v>
      </c>
      <c r="R2098">
        <v>-3.5419579999999999E-2</v>
      </c>
      <c r="S2098">
        <v>-3.086182</v>
      </c>
      <c r="T2098">
        <v>-0.1445187</v>
      </c>
      <c r="U2098">
        <v>0.14712520000000001</v>
      </c>
      <c r="V2098">
        <v>-3.080281E-2</v>
      </c>
      <c r="W2098">
        <v>0.198798</v>
      </c>
      <c r="X2098">
        <v>0.97955630000000005</v>
      </c>
      <c r="Y2098">
        <v>5.2428089999999997E-2</v>
      </c>
      <c r="Z2098">
        <v>1.454384E-3</v>
      </c>
      <c r="AA2098">
        <v>0.9986237</v>
      </c>
      <c r="AB2098">
        <v>43</v>
      </c>
      <c r="AC2098">
        <v>-23.297699999999899</v>
      </c>
      <c r="AD2098">
        <v>-1.1105704379250001</v>
      </c>
      <c r="AE2098">
        <v>1.13269999999999</v>
      </c>
      <c r="AF2098">
        <v>1.2435291624135401</v>
      </c>
      <c r="AG2098">
        <v>-1.1105704379250001</v>
      </c>
      <c r="AH2098">
        <v>23.239214682182801</v>
      </c>
      <c r="AI2098">
        <v>92.732103090054494</v>
      </c>
      <c r="AJ2098">
        <v>86.937027023857993</v>
      </c>
      <c r="AK2098">
        <v>23.298944837051</v>
      </c>
      <c r="AL2098">
        <v>78.533321868928894</v>
      </c>
      <c r="AM2098">
        <v>91.801111008712198</v>
      </c>
      <c r="AN2098">
        <v>1.00000000138879</v>
      </c>
    </row>
    <row r="2099" spans="1:40" x14ac:dyDescent="0.25">
      <c r="A2099" t="str">
        <f>"20190312172410666"</f>
        <v>20190312172410666</v>
      </c>
      <c r="B2099" t="str">
        <f>"1552382650662242"</f>
        <v>1552382650662242</v>
      </c>
      <c r="C2099" t="s">
        <v>40</v>
      </c>
      <c r="D2099">
        <v>3.6027719999999999</v>
      </c>
      <c r="E2099">
        <v>0.53823409999999905</v>
      </c>
      <c r="F2099" t="s">
        <v>47</v>
      </c>
      <c r="G2099">
        <v>-369.95729999999998</v>
      </c>
      <c r="H2099" s="1">
        <v>3.7619930000000002E-6</v>
      </c>
      <c r="I2099">
        <v>285.02120000000002</v>
      </c>
      <c r="J2099">
        <v>-346.50540000000001</v>
      </c>
      <c r="K2099">
        <v>1.110576</v>
      </c>
      <c r="L2099">
        <v>283.89389999999997</v>
      </c>
      <c r="M2099">
        <v>-0.99986889999999995</v>
      </c>
      <c r="N2099">
        <v>0</v>
      </c>
      <c r="O2099">
        <v>-5.0347100000000004E-3</v>
      </c>
      <c r="P2099">
        <v>-0.98228700000000002</v>
      </c>
      <c r="Q2099">
        <v>0.1839808</v>
      </c>
      <c r="R2099">
        <v>-3.5547599999999999E-2</v>
      </c>
      <c r="S2099">
        <v>-3.0862729999999998</v>
      </c>
      <c r="T2099">
        <v>-0.14478360000000001</v>
      </c>
      <c r="U2099">
        <v>0.14682010000000001</v>
      </c>
      <c r="V2099">
        <v>-3.0774570000000001E-2</v>
      </c>
      <c r="W2099">
        <v>0.1990526</v>
      </c>
      <c r="X2099">
        <v>0.97950550000000003</v>
      </c>
      <c r="Y2099">
        <v>5.2484120000000002E-2</v>
      </c>
      <c r="Z2099">
        <v>1.4656599999999999E-3</v>
      </c>
      <c r="AA2099">
        <v>0.99862070000000003</v>
      </c>
      <c r="AB2099">
        <v>43</v>
      </c>
      <c r="AC2099">
        <v>-23.451899999999899</v>
      </c>
      <c r="AD2099">
        <v>-1.110572238007</v>
      </c>
      <c r="AE2099">
        <v>1.1273000000000399</v>
      </c>
      <c r="AF2099">
        <v>1.2425930847973701</v>
      </c>
      <c r="AG2099">
        <v>-1.110572238007</v>
      </c>
      <c r="AH2099">
        <v>23.393586594999501</v>
      </c>
      <c r="AI2099">
        <v>92.714162296445593</v>
      </c>
      <c r="AJ2099">
        <v>86.959487359395098</v>
      </c>
      <c r="AK2099">
        <v>23.452874067967802</v>
      </c>
      <c r="AL2099">
        <v>78.5184370766504</v>
      </c>
      <c r="AM2099">
        <v>91.799554101107404</v>
      </c>
      <c r="AN2099">
        <v>1.0000000181278399</v>
      </c>
    </row>
    <row r="2100" spans="1:40" x14ac:dyDescent="0.25">
      <c r="A2100" t="str">
        <f>"20190312172410677"</f>
        <v>20190312172410677</v>
      </c>
      <c r="B2100" t="str">
        <f>"1552382650672002"</f>
        <v>1552382650672002</v>
      </c>
      <c r="C2100" t="s">
        <v>40</v>
      </c>
      <c r="D2100">
        <v>3.6025339999999901</v>
      </c>
      <c r="E2100">
        <v>0.53874239999999995</v>
      </c>
      <c r="F2100" t="s">
        <v>47</v>
      </c>
      <c r="G2100">
        <v>-370.76569999999998</v>
      </c>
      <c r="H2100" s="1">
        <v>-1.129335E-6</v>
      </c>
      <c r="I2100">
        <v>285.40069999999997</v>
      </c>
      <c r="J2100">
        <v>-346.72800000000001</v>
      </c>
      <c r="K2100">
        <v>1.110571</v>
      </c>
      <c r="L2100">
        <v>283.89260000000002</v>
      </c>
      <c r="M2100">
        <v>-0.99986830000000004</v>
      </c>
      <c r="N2100">
        <v>0</v>
      </c>
      <c r="O2100">
        <v>-5.1876149999999996E-3</v>
      </c>
      <c r="P2100">
        <v>-0.98229310000000003</v>
      </c>
      <c r="Q2100">
        <v>0.18392990000000001</v>
      </c>
      <c r="R2100">
        <v>-3.5645940000000001E-2</v>
      </c>
      <c r="S2100">
        <v>-3.0875240000000002</v>
      </c>
      <c r="T2100">
        <v>-0.1413394</v>
      </c>
      <c r="U2100">
        <v>0.19177250000000001</v>
      </c>
      <c r="V2100">
        <v>-3.0719779999999999E-2</v>
      </c>
      <c r="W2100">
        <v>0.19900029999999999</v>
      </c>
      <c r="X2100">
        <v>0.97951779999999999</v>
      </c>
      <c r="Y2100">
        <v>6.7094580000000001E-2</v>
      </c>
      <c r="Z2100">
        <v>1.7705959999999999E-3</v>
      </c>
      <c r="AA2100">
        <v>0.99774499999999999</v>
      </c>
      <c r="AB2100">
        <v>43</v>
      </c>
      <c r="AC2100">
        <v>-24.037699999999901</v>
      </c>
      <c r="AD2100">
        <v>-1.1105721293349999</v>
      </c>
      <c r="AE2100">
        <v>1.50809999999995</v>
      </c>
      <c r="AF2100">
        <v>1.6293285236720201</v>
      </c>
      <c r="AG2100">
        <v>-1.1105721293349999</v>
      </c>
      <c r="AH2100">
        <v>23.978569170011301</v>
      </c>
      <c r="AI2100">
        <v>92.645678266097903</v>
      </c>
      <c r="AJ2100">
        <v>86.1127634839103</v>
      </c>
      <c r="AK2100">
        <v>24.059506672696401</v>
      </c>
      <c r="AL2100">
        <v>78.521494286664705</v>
      </c>
      <c r="AM2100">
        <v>91.7963297946647</v>
      </c>
      <c r="AN2100">
        <v>0.99999997240008798</v>
      </c>
    </row>
    <row r="2101" spans="1:40" x14ac:dyDescent="0.25">
      <c r="A2101" t="str">
        <f>"20190312172410688"</f>
        <v>20190312172410688</v>
      </c>
      <c r="B2101" t="str">
        <f>"1552382650681763"</f>
        <v>1552382650681763</v>
      </c>
      <c r="C2101" t="s">
        <v>40</v>
      </c>
      <c r="D2101">
        <v>3.6092590000000002</v>
      </c>
      <c r="E2101">
        <v>0.53902079999999997</v>
      </c>
      <c r="F2101" t="s">
        <v>47</v>
      </c>
      <c r="G2101">
        <v>-370.90260000000001</v>
      </c>
      <c r="H2101" s="1">
        <v>-1.0565E-6</v>
      </c>
      <c r="I2101">
        <v>285.42270000000002</v>
      </c>
      <c r="J2101">
        <v>-346.9384</v>
      </c>
      <c r="K2101">
        <v>1.110563</v>
      </c>
      <c r="L2101">
        <v>283.89139999999998</v>
      </c>
      <c r="M2101">
        <v>-0.99986750000000002</v>
      </c>
      <c r="N2101">
        <v>0</v>
      </c>
      <c r="O2101">
        <v>-5.3246439999999999E-3</v>
      </c>
      <c r="P2101">
        <v>-0.98222310000000002</v>
      </c>
      <c r="Q2101">
        <v>0.18425430000000001</v>
      </c>
      <c r="R2101">
        <v>-3.588968E-2</v>
      </c>
      <c r="S2101">
        <v>-3.0877690000000002</v>
      </c>
      <c r="T2101">
        <v>-0.14185139999999999</v>
      </c>
      <c r="U2101">
        <v>0.19543460000000001</v>
      </c>
      <c r="V2101">
        <v>-3.0825149999999999E-2</v>
      </c>
      <c r="W2101">
        <v>0.19932230000000001</v>
      </c>
      <c r="X2101">
        <v>0.97944900000000001</v>
      </c>
      <c r="Y2101">
        <v>6.8403039999999998E-2</v>
      </c>
      <c r="Z2101">
        <v>1.8130939999999999E-3</v>
      </c>
      <c r="AA2101">
        <v>0.99765610000000005</v>
      </c>
      <c r="AB2101">
        <v>43</v>
      </c>
      <c r="AC2101">
        <v>-23.964200000000002</v>
      </c>
      <c r="AD2101">
        <v>-1.1105640564999999</v>
      </c>
      <c r="AE2101">
        <v>1.5313000000000401</v>
      </c>
      <c r="AF2101">
        <v>1.6553535751465001</v>
      </c>
      <c r="AG2101">
        <v>-1.1105640564999999</v>
      </c>
      <c r="AH2101">
        <v>23.904575971752699</v>
      </c>
      <c r="AI2101">
        <v>92.653601596958893</v>
      </c>
      <c r="AJ2101">
        <v>86.038682972293202</v>
      </c>
      <c r="AK2101">
        <v>23.987544692436401</v>
      </c>
      <c r="AL2101">
        <v>78.502667703861107</v>
      </c>
      <c r="AM2101">
        <v>91.802613745433902</v>
      </c>
      <c r="AN2101">
        <v>0.99999995637540495</v>
      </c>
    </row>
    <row r="2102" spans="1:40" x14ac:dyDescent="0.25">
      <c r="A2102" t="str">
        <f>"20190312172410701"</f>
        <v>20190312172410701</v>
      </c>
      <c r="B2102" t="str">
        <f>"1552382650692498"</f>
        <v>1552382650692498</v>
      </c>
      <c r="C2102" t="s">
        <v>40</v>
      </c>
      <c r="D2102">
        <v>3.6218919999999999</v>
      </c>
      <c r="E2102">
        <v>0.53918089999999996</v>
      </c>
      <c r="F2102" t="s">
        <v>47</v>
      </c>
      <c r="G2102">
        <v>-371.18360000000001</v>
      </c>
      <c r="H2102" s="1">
        <v>-9.0693820000000003E-7</v>
      </c>
      <c r="I2102">
        <v>285.43880000000001</v>
      </c>
      <c r="J2102">
        <v>-347.17869999999999</v>
      </c>
      <c r="K2102">
        <v>1.1105560000000001</v>
      </c>
      <c r="L2102">
        <v>283.89</v>
      </c>
      <c r="M2102">
        <v>-0.99986679999999994</v>
      </c>
      <c r="N2102">
        <v>0</v>
      </c>
      <c r="O2102">
        <v>-5.4776039999999996E-3</v>
      </c>
      <c r="P2102">
        <v>-0.98221099999999995</v>
      </c>
      <c r="Q2102">
        <v>0.1842655</v>
      </c>
      <c r="R2102">
        <v>-3.6167369999999997E-2</v>
      </c>
      <c r="S2102">
        <v>-3.0880429999999999</v>
      </c>
      <c r="T2102">
        <v>-0.14144970000000001</v>
      </c>
      <c r="U2102">
        <v>0.19708249999999999</v>
      </c>
      <c r="V2102">
        <v>-3.0948389999999999E-2</v>
      </c>
      <c r="W2102">
        <v>0.1993316</v>
      </c>
      <c r="X2102">
        <v>0.97944330000000002</v>
      </c>
      <c r="Y2102">
        <v>6.9079890000000005E-2</v>
      </c>
      <c r="Z2102">
        <v>1.8302489999999999E-3</v>
      </c>
      <c r="AA2102">
        <v>0.99760939999999998</v>
      </c>
      <c r="AB2102">
        <v>43</v>
      </c>
      <c r="AC2102">
        <v>-24.004899999999999</v>
      </c>
      <c r="AD2102">
        <v>-1.1105569069382</v>
      </c>
      <c r="AE2102">
        <v>1.5488000000000199</v>
      </c>
      <c r="AF2102">
        <v>1.6767077990571</v>
      </c>
      <c r="AG2102">
        <v>-1.1105569069382</v>
      </c>
      <c r="AH2102">
        <v>23.945017168470802</v>
      </c>
      <c r="AI2102">
        <v>92.648967196153805</v>
      </c>
      <c r="AJ2102">
        <v>85.994501726334306</v>
      </c>
      <c r="AK2102">
        <v>24.029326517514502</v>
      </c>
      <c r="AL2102">
        <v>78.502124843310099</v>
      </c>
      <c r="AM2102">
        <v>91.809826398739403</v>
      </c>
      <c r="AN2102">
        <v>1.00000003375852</v>
      </c>
    </row>
    <row r="2103" spans="1:40" x14ac:dyDescent="0.25">
      <c r="A2103" t="str">
        <f>"20190312172410722"</f>
        <v>20190312172410722</v>
      </c>
      <c r="B2103" t="str">
        <f>"1552382650712017"</f>
        <v>1552382650712017</v>
      </c>
      <c r="C2103" t="s">
        <v>40</v>
      </c>
      <c r="D2103">
        <v>3.7781579999999999</v>
      </c>
      <c r="E2103">
        <v>0.53927369999999997</v>
      </c>
      <c r="F2103" t="s">
        <v>47</v>
      </c>
      <c r="G2103">
        <v>-371.51530000000002</v>
      </c>
      <c r="H2103" s="1">
        <v>-7.3044469999999902E-7</v>
      </c>
      <c r="I2103">
        <v>285.44659999999999</v>
      </c>
      <c r="J2103">
        <v>-347.57639999999998</v>
      </c>
      <c r="K2103">
        <v>1.110535</v>
      </c>
      <c r="L2103">
        <v>283.88760000000002</v>
      </c>
      <c r="M2103">
        <v>-0.99986560000000002</v>
      </c>
      <c r="N2103">
        <v>0</v>
      </c>
      <c r="O2103">
        <v>-5.703372E-3</v>
      </c>
      <c r="P2103">
        <v>-0.98217849999999995</v>
      </c>
      <c r="Q2103">
        <v>0.18445349999999999</v>
      </c>
      <c r="R2103">
        <v>-3.6091619999999998E-2</v>
      </c>
      <c r="S2103">
        <v>-3.0880130000000001</v>
      </c>
      <c r="T2103">
        <v>-0.140916299999999</v>
      </c>
      <c r="U2103">
        <v>0.19750980000000001</v>
      </c>
      <c r="V2103">
        <v>-3.0639889999999999E-2</v>
      </c>
      <c r="W2103">
        <v>0.1995171</v>
      </c>
      <c r="X2103">
        <v>0.97941520000000004</v>
      </c>
      <c r="Y2103">
        <v>6.9443210000000005E-2</v>
      </c>
      <c r="Z2103">
        <v>1.8419300000000001E-3</v>
      </c>
      <c r="AA2103">
        <v>0.99758420000000003</v>
      </c>
      <c r="AB2103">
        <v>43</v>
      </c>
      <c r="AC2103">
        <v>-23.9389</v>
      </c>
      <c r="AD2103">
        <v>-1.1105357304446899</v>
      </c>
      <c r="AE2103">
        <v>1.55899999999996</v>
      </c>
      <c r="AF2103">
        <v>1.69189751363404</v>
      </c>
      <c r="AG2103">
        <v>-1.1105357304446899</v>
      </c>
      <c r="AH2103">
        <v>23.878446849761701</v>
      </c>
      <c r="AI2103">
        <v>92.656136509058001</v>
      </c>
      <c r="AJ2103">
        <v>85.947104440909897</v>
      </c>
      <c r="AK2103">
        <v>23.964057059732799</v>
      </c>
      <c r="AL2103">
        <v>78.491278275484206</v>
      </c>
      <c r="AM2103">
        <v>91.791848865536807</v>
      </c>
      <c r="AN2103">
        <v>1.00000000502133</v>
      </c>
    </row>
    <row r="2104" spans="1:40" x14ac:dyDescent="0.25">
      <c r="A2104" t="str">
        <f>"20190312172410744"</f>
        <v>20190312172410744</v>
      </c>
      <c r="B2104" t="str">
        <f>"1552382650732514"</f>
        <v>1552382650732514</v>
      </c>
      <c r="C2104" t="s">
        <v>40</v>
      </c>
      <c r="D2104">
        <v>3.6239089999999998</v>
      </c>
      <c r="E2104">
        <v>0.53940730000000003</v>
      </c>
      <c r="F2104" t="s">
        <v>47</v>
      </c>
      <c r="G2104">
        <v>-372.04539999999997</v>
      </c>
      <c r="H2104" s="1">
        <v>-4.4833240000000002E-7</v>
      </c>
      <c r="I2104">
        <v>285.46210000000002</v>
      </c>
      <c r="J2104">
        <v>-347.99459999999999</v>
      </c>
      <c r="K2104">
        <v>1.110501</v>
      </c>
      <c r="L2104">
        <v>283.88510000000002</v>
      </c>
      <c r="M2104">
        <v>-0.99986439999999999</v>
      </c>
      <c r="N2104">
        <v>0</v>
      </c>
      <c r="O2104">
        <v>-5.9008189999999999E-3</v>
      </c>
      <c r="P2104">
        <v>-0.98211499999999996</v>
      </c>
      <c r="Q2104">
        <v>0.1847839</v>
      </c>
      <c r="R2104">
        <v>-3.6124139999999999E-2</v>
      </c>
      <c r="S2104">
        <v>-3.0880740000000002</v>
      </c>
      <c r="T2104">
        <v>-0.14015349999999999</v>
      </c>
      <c r="U2104">
        <v>0.19869999999999999</v>
      </c>
      <c r="V2104">
        <v>-3.046362E-2</v>
      </c>
      <c r="W2104">
        <v>0.19984469999999999</v>
      </c>
      <c r="X2104">
        <v>0.9793539</v>
      </c>
      <c r="Y2104">
        <v>7.0021899999999998E-2</v>
      </c>
      <c r="Z2104">
        <v>1.853972E-3</v>
      </c>
      <c r="AA2104">
        <v>0.99754379999999998</v>
      </c>
      <c r="AB2104">
        <v>43</v>
      </c>
      <c r="AC2104">
        <v>-24.050799999999899</v>
      </c>
      <c r="AD2104">
        <v>-1.1105014483323901</v>
      </c>
      <c r="AE2104">
        <v>1.57699999999999</v>
      </c>
      <c r="AF2104">
        <v>1.7152675026961099</v>
      </c>
      <c r="AG2104">
        <v>-1.1105014483323901</v>
      </c>
      <c r="AH2104">
        <v>23.9901473870442</v>
      </c>
      <c r="AI2104">
        <v>92.643584918408294</v>
      </c>
      <c r="AJ2104">
        <v>85.910378076120097</v>
      </c>
      <c r="AK2104">
        <v>24.077012433536201</v>
      </c>
      <c r="AL2104">
        <v>78.472122325407994</v>
      </c>
      <c r="AM2104">
        <v>91.781658535763697</v>
      </c>
      <c r="AN2104">
        <v>0.99999999885340196</v>
      </c>
    </row>
    <row r="2105" spans="1:40" x14ac:dyDescent="0.25">
      <c r="A2105" t="str">
        <f>"20190312172410756"</f>
        <v>20190312172410756</v>
      </c>
      <c r="B2105" t="str">
        <f>"1552382650752033"</f>
        <v>1552382650752033</v>
      </c>
      <c r="C2105" t="s">
        <v>40</v>
      </c>
      <c r="D2105">
        <v>3.6181359999999998</v>
      </c>
      <c r="E2105">
        <v>0.53960959999999902</v>
      </c>
      <c r="F2105" t="s">
        <v>47</v>
      </c>
      <c r="G2105">
        <v>-372.43090000000001</v>
      </c>
      <c r="H2105" s="1">
        <v>-2.4316179999999998E-7</v>
      </c>
      <c r="I2105">
        <v>285.46550000000002</v>
      </c>
      <c r="J2105">
        <v>-348.24720000000002</v>
      </c>
      <c r="K2105">
        <v>1.1104799999999999</v>
      </c>
      <c r="L2105">
        <v>283.88350000000003</v>
      </c>
      <c r="M2105">
        <v>-0.99986390000000003</v>
      </c>
      <c r="N2105">
        <v>0</v>
      </c>
      <c r="O2105">
        <v>-6.0022959999999998E-3</v>
      </c>
      <c r="P2105">
        <v>-0.98212279999999996</v>
      </c>
      <c r="Q2105">
        <v>0.1847857</v>
      </c>
      <c r="R2105">
        <v>-3.590542E-2</v>
      </c>
      <c r="S2105">
        <v>-3.0883790000000002</v>
      </c>
      <c r="T2105">
        <v>-0.14035010000000001</v>
      </c>
      <c r="U2105">
        <v>0.19973750000000001</v>
      </c>
      <c r="V2105">
        <v>-3.0134379999999999E-2</v>
      </c>
      <c r="W2105">
        <v>0.19984560000000001</v>
      </c>
      <c r="X2105">
        <v>0.97936389999999995</v>
      </c>
      <c r="Y2105">
        <v>7.0449810000000002E-2</v>
      </c>
      <c r="Z2105">
        <v>1.87068E-3</v>
      </c>
      <c r="AA2105">
        <v>0.9975136</v>
      </c>
      <c r="AB2105">
        <v>43</v>
      </c>
      <c r="AC2105">
        <v>-24.183699999999899</v>
      </c>
      <c r="AD2105">
        <v>-1.1104802431617999</v>
      </c>
      <c r="AE2105">
        <v>1.5819999999999901</v>
      </c>
      <c r="AF2105">
        <v>1.72352776883689</v>
      </c>
      <c r="AG2105">
        <v>-1.1104802431617999</v>
      </c>
      <c r="AH2105">
        <v>24.1231203308175</v>
      </c>
      <c r="AI2105">
        <v>92.628992809502407</v>
      </c>
      <c r="AJ2105">
        <v>85.913325162288501</v>
      </c>
      <c r="AK2105">
        <v>24.210093945201901</v>
      </c>
      <c r="AL2105">
        <v>78.472069671941995</v>
      </c>
      <c r="AM2105">
        <v>91.7623972281107</v>
      </c>
      <c r="AN2105">
        <v>0.99999999666027695</v>
      </c>
    </row>
    <row r="2106" spans="1:40" x14ac:dyDescent="0.25">
      <c r="A2106" t="str">
        <f>"20190312172410768"</f>
        <v>20190312172410768</v>
      </c>
      <c r="B2106" t="str">
        <f>"1552382650761795"</f>
        <v>1552382650761795</v>
      </c>
      <c r="C2106" t="s">
        <v>40</v>
      </c>
      <c r="D2106">
        <v>3.6130589999999998</v>
      </c>
      <c r="E2106">
        <v>0.53969990000000001</v>
      </c>
      <c r="F2106" t="s">
        <v>47</v>
      </c>
      <c r="G2106">
        <v>-372.7124</v>
      </c>
      <c r="H2106" s="1">
        <v>-9.3376239999999999E-8</v>
      </c>
      <c r="I2106">
        <v>285.48489999999998</v>
      </c>
      <c r="J2106">
        <v>-348.47019999999998</v>
      </c>
      <c r="K2106">
        <v>1.110465</v>
      </c>
      <c r="L2106">
        <v>283.88220000000001</v>
      </c>
      <c r="M2106">
        <v>-0.99986339999999996</v>
      </c>
      <c r="N2106">
        <v>0</v>
      </c>
      <c r="O2106">
        <v>-6.0794890000000004E-3</v>
      </c>
      <c r="P2106">
        <v>-0.98216340000000002</v>
      </c>
      <c r="Q2106">
        <v>0.18454490000000001</v>
      </c>
      <c r="R2106">
        <v>-3.6036409999999998E-2</v>
      </c>
      <c r="S2106">
        <v>-3.0883479999999999</v>
      </c>
      <c r="T2106">
        <v>-0.14018069999999999</v>
      </c>
      <c r="U2106">
        <v>0.20214840000000001</v>
      </c>
      <c r="V2106">
        <v>-3.01798E-2</v>
      </c>
      <c r="W2106">
        <v>0.19960449999999999</v>
      </c>
      <c r="X2106">
        <v>0.9794117</v>
      </c>
      <c r="Y2106">
        <v>7.1302099999999993E-2</v>
      </c>
      <c r="Z2106">
        <v>1.891207E-3</v>
      </c>
      <c r="AA2106">
        <v>0.99745300000000003</v>
      </c>
      <c r="AB2106">
        <v>43</v>
      </c>
      <c r="AC2106">
        <v>-24.2422</v>
      </c>
      <c r="AD2106">
        <v>-1.1104650933762299</v>
      </c>
      <c r="AE2106">
        <v>1.60269999999997</v>
      </c>
      <c r="AF2106">
        <v>1.74641942368299</v>
      </c>
      <c r="AG2106">
        <v>-1.1104650933762299</v>
      </c>
      <c r="AH2106">
        <v>24.181488147783501</v>
      </c>
      <c r="AI2106">
        <v>92.622475346205903</v>
      </c>
      <c r="AJ2106">
        <v>85.869194178255299</v>
      </c>
      <c r="AK2106">
        <v>24.269888392170699</v>
      </c>
      <c r="AL2106">
        <v>78.486168091501099</v>
      </c>
      <c r="AM2106">
        <v>91.764965831181698</v>
      </c>
      <c r="AN2106">
        <v>1.00000002742258</v>
      </c>
    </row>
    <row r="2107" spans="1:40" x14ac:dyDescent="0.25">
      <c r="A2107" t="str">
        <f>"20190312172410780"</f>
        <v>20190312172410780</v>
      </c>
      <c r="B2107" t="str">
        <f>"1552382650772531"</f>
        <v>1552382650772531</v>
      </c>
      <c r="C2107" t="s">
        <v>40</v>
      </c>
      <c r="D2107">
        <v>3.6521270000000001</v>
      </c>
      <c r="E2107">
        <v>0.53977369999999902</v>
      </c>
      <c r="F2107" t="s">
        <v>47</v>
      </c>
      <c r="G2107">
        <v>-372.86939999999998</v>
      </c>
      <c r="H2107" s="1">
        <v>-9.8159490000000003E-9</v>
      </c>
      <c r="I2107">
        <v>285.4819</v>
      </c>
      <c r="J2107">
        <v>-348.70420000000001</v>
      </c>
      <c r="K2107">
        <v>1.1104459999999901</v>
      </c>
      <c r="L2107">
        <v>283.88060000000002</v>
      </c>
      <c r="M2107">
        <v>-0.99986299999999995</v>
      </c>
      <c r="N2107">
        <v>0</v>
      </c>
      <c r="O2107">
        <v>-6.1533150000000003E-3</v>
      </c>
      <c r="P2107">
        <v>-0.98227549999999997</v>
      </c>
      <c r="Q2107">
        <v>0.18401139999999999</v>
      </c>
      <c r="R2107">
        <v>-3.5705920000000002E-2</v>
      </c>
      <c r="S2107">
        <v>-3.0883180000000001</v>
      </c>
      <c r="T2107">
        <v>-0.1405565</v>
      </c>
      <c r="U2107">
        <v>0.2024841</v>
      </c>
      <c r="V2107">
        <v>-2.9765099999999999E-2</v>
      </c>
      <c r="W2107">
        <v>0.19907230000000001</v>
      </c>
      <c r="X2107">
        <v>0.97953270000000003</v>
      </c>
      <c r="Y2107">
        <v>7.1483660000000004E-2</v>
      </c>
      <c r="Z2107">
        <v>1.9037640000000001E-3</v>
      </c>
      <c r="AA2107">
        <v>0.99743999999999999</v>
      </c>
      <c r="AB2107">
        <v>43</v>
      </c>
      <c r="AC2107">
        <v>-24.165199999999899</v>
      </c>
      <c r="AD2107">
        <v>-1.1104460098159401</v>
      </c>
      <c r="AE2107">
        <v>1.60129999999998</v>
      </c>
      <c r="AF2107">
        <v>1.74631191110786</v>
      </c>
      <c r="AG2107">
        <v>-1.1104460098159401</v>
      </c>
      <c r="AH2107">
        <v>24.104211712655498</v>
      </c>
      <c r="AI2107">
        <v>92.630782951415199</v>
      </c>
      <c r="AJ2107">
        <v>85.856251386326505</v>
      </c>
      <c r="AK2107">
        <v>24.192885688154501</v>
      </c>
      <c r="AL2107">
        <v>78.517285391707404</v>
      </c>
      <c r="AM2107">
        <v>91.740513600587406</v>
      </c>
      <c r="AN2107">
        <v>1.0000000260872901</v>
      </c>
    </row>
    <row r="2108" spans="1:40" x14ac:dyDescent="0.25">
      <c r="A2108" t="str">
        <f>"20190312172410793"</f>
        <v>20190312172410793</v>
      </c>
      <c r="B2108" t="str">
        <f>"1552382650782290"</f>
        <v>1552382650782290</v>
      </c>
      <c r="C2108" t="s">
        <v>40</v>
      </c>
      <c r="D2108">
        <v>3.6494450000000001</v>
      </c>
      <c r="E2108">
        <v>0.53993059999999904</v>
      </c>
      <c r="F2108" t="s">
        <v>47</v>
      </c>
      <c r="G2108">
        <v>-372.73899999999998</v>
      </c>
      <c r="H2108" s="1">
        <v>-7.9229979999999996E-8</v>
      </c>
      <c r="I2108">
        <v>285.46550000000002</v>
      </c>
      <c r="J2108">
        <v>-348.9246</v>
      </c>
      <c r="K2108">
        <v>1.1104240000000001</v>
      </c>
      <c r="L2108">
        <v>283.87920000000003</v>
      </c>
      <c r="M2108">
        <v>-0.99986269999999999</v>
      </c>
      <c r="N2108">
        <v>0</v>
      </c>
      <c r="O2108">
        <v>-6.204279E-3</v>
      </c>
      <c r="P2108">
        <v>-0.98233009999999998</v>
      </c>
      <c r="Q2108">
        <v>0.1837752</v>
      </c>
      <c r="R2108">
        <v>-3.5415599999999998E-2</v>
      </c>
      <c r="S2108">
        <v>-3.0882260000000001</v>
      </c>
      <c r="T2108">
        <v>-0.1426809</v>
      </c>
      <c r="U2108">
        <v>0.20364380000000001</v>
      </c>
      <c r="V2108">
        <v>-2.9414369999999999E-2</v>
      </c>
      <c r="W2108">
        <v>0.1988354</v>
      </c>
      <c r="X2108">
        <v>0.9795914</v>
      </c>
      <c r="Y2108">
        <v>7.1906410000000004E-2</v>
      </c>
      <c r="Z2108">
        <v>1.9446419999999999E-3</v>
      </c>
      <c r="AA2108">
        <v>0.99740949999999995</v>
      </c>
      <c r="AB2108">
        <v>43</v>
      </c>
      <c r="AC2108">
        <v>-23.814399999999999</v>
      </c>
      <c r="AD2108">
        <v>-1.11042407922998</v>
      </c>
      <c r="AE2108">
        <v>1.5862999999999901</v>
      </c>
      <c r="AF2108">
        <v>1.7302927126418399</v>
      </c>
      <c r="AG2108">
        <v>-1.11042407922998</v>
      </c>
      <c r="AH2108">
        <v>23.752683699965001</v>
      </c>
      <c r="AI2108">
        <v>92.669532048043806</v>
      </c>
      <c r="AJ2108">
        <v>85.833579668633604</v>
      </c>
      <c r="AK2108">
        <v>23.841496124566898</v>
      </c>
      <c r="AL2108">
        <v>78.531135528994</v>
      </c>
      <c r="AM2108">
        <v>91.719914057480807</v>
      </c>
      <c r="AN2108">
        <v>1.0000000162047999</v>
      </c>
    </row>
    <row r="2109" spans="1:40" x14ac:dyDescent="0.25">
      <c r="A2109" t="str">
        <f>"20190312172410811"</f>
        <v>20190312172410811</v>
      </c>
      <c r="B2109" t="str">
        <f>"1552382650801809"</f>
        <v>1552382650801809</v>
      </c>
      <c r="C2109" t="s">
        <v>40</v>
      </c>
      <c r="D2109">
        <v>3.6484559999999999</v>
      </c>
      <c r="E2109">
        <v>0.54006239999999905</v>
      </c>
      <c r="F2109" t="s">
        <v>47</v>
      </c>
      <c r="G2109">
        <v>-372.9357</v>
      </c>
      <c r="H2109" s="1">
        <v>2.5465710000000001E-8</v>
      </c>
      <c r="I2109">
        <v>285.48160000000001</v>
      </c>
      <c r="J2109">
        <v>-349.2876</v>
      </c>
      <c r="K2109">
        <v>1.1103879999999999</v>
      </c>
      <c r="L2109">
        <v>283.87700000000001</v>
      </c>
      <c r="M2109">
        <v>-0.99986240000000004</v>
      </c>
      <c r="N2109">
        <v>0</v>
      </c>
      <c r="O2109">
        <v>-6.272634E-3</v>
      </c>
      <c r="P2109">
        <v>-0.98250219999999999</v>
      </c>
      <c r="Q2109">
        <v>0.18289920000000001</v>
      </c>
      <c r="R2109">
        <v>-3.5177229999999997E-2</v>
      </c>
      <c r="S2109">
        <v>-3.0881349999999999</v>
      </c>
      <c r="T2109">
        <v>-0.14281460000000001</v>
      </c>
      <c r="U2109">
        <v>0.2060852</v>
      </c>
      <c r="V2109">
        <v>-2.9091240000000001E-2</v>
      </c>
      <c r="W2109">
        <v>0.19796140000000001</v>
      </c>
      <c r="X2109">
        <v>0.97977809999999999</v>
      </c>
      <c r="Y2109">
        <v>7.2760459999999999E-2</v>
      </c>
      <c r="Z2109">
        <v>1.9693430000000001E-3</v>
      </c>
      <c r="AA2109">
        <v>0.99734750000000005</v>
      </c>
      <c r="AB2109">
        <v>43</v>
      </c>
      <c r="AC2109">
        <v>-23.648099999999999</v>
      </c>
      <c r="AD2109">
        <v>-1.1103879745342899</v>
      </c>
      <c r="AE2109">
        <v>1.6046</v>
      </c>
      <c r="AF2109">
        <v>1.7490831984853501</v>
      </c>
      <c r="AG2109">
        <v>-1.1103879745342899</v>
      </c>
      <c r="AH2109">
        <v>23.585806194289798</v>
      </c>
      <c r="AI2109">
        <v>92.688047506402</v>
      </c>
      <c r="AJ2109">
        <v>85.7588059998278</v>
      </c>
      <c r="AK2109">
        <v>23.676623647045101</v>
      </c>
      <c r="AL2109">
        <v>78.582228309120893</v>
      </c>
      <c r="AM2109">
        <v>91.7007072480191</v>
      </c>
      <c r="AN2109">
        <v>1.0000000706871499</v>
      </c>
    </row>
    <row r="2110" spans="1:40" x14ac:dyDescent="0.25">
      <c r="A2110" t="str">
        <f>"20190312172410834"</f>
        <v>20190312172410834</v>
      </c>
      <c r="B2110" t="str">
        <f>"1552382650822306"</f>
        <v>1552382650822306</v>
      </c>
      <c r="C2110" t="s">
        <v>40</v>
      </c>
      <c r="D2110">
        <v>3.6550820000000002</v>
      </c>
      <c r="E2110">
        <v>0.54022049999999999</v>
      </c>
      <c r="F2110" t="s">
        <v>47</v>
      </c>
      <c r="G2110">
        <v>-372.86189999999999</v>
      </c>
      <c r="H2110" s="1">
        <v>-1.3837220000000001E-8</v>
      </c>
      <c r="I2110">
        <v>285.46499999999997</v>
      </c>
      <c r="J2110">
        <v>-349.71199999999999</v>
      </c>
      <c r="K2110">
        <v>1.1103540000000001</v>
      </c>
      <c r="L2110">
        <v>283.87419999999997</v>
      </c>
      <c r="M2110">
        <v>-0.99986209999999998</v>
      </c>
      <c r="N2110">
        <v>0</v>
      </c>
      <c r="O2110">
        <v>-6.3188609999999899E-3</v>
      </c>
      <c r="P2110">
        <v>-0.98264119999999999</v>
      </c>
      <c r="Q2110">
        <v>0.1822146</v>
      </c>
      <c r="R2110">
        <v>-3.4848379999999998E-2</v>
      </c>
      <c r="S2110">
        <v>-3.0879210000000001</v>
      </c>
      <c r="T2110">
        <v>-0.14544609999999999</v>
      </c>
      <c r="U2110">
        <v>0.20800779999999999</v>
      </c>
      <c r="V2110">
        <v>-2.869816E-2</v>
      </c>
      <c r="W2110">
        <v>0.1972766</v>
      </c>
      <c r="X2110">
        <v>0.97992769999999996</v>
      </c>
      <c r="Y2110">
        <v>7.3425420000000005E-2</v>
      </c>
      <c r="Z2110">
        <v>2.0234939999999998E-3</v>
      </c>
      <c r="AA2110">
        <v>0.99729869999999998</v>
      </c>
      <c r="AB2110">
        <v>43</v>
      </c>
      <c r="AC2110">
        <v>-23.149899999999999</v>
      </c>
      <c r="AD2110">
        <v>-1.1103540138372101</v>
      </c>
      <c r="AE2110">
        <v>1.5908</v>
      </c>
      <c r="AF2110">
        <v>1.7330982106844099</v>
      </c>
      <c r="AG2110">
        <v>-1.1103540138372101</v>
      </c>
      <c r="AH2110">
        <v>23.0865232594643</v>
      </c>
      <c r="AI2110">
        <v>92.745823508847494</v>
      </c>
      <c r="AJ2110">
        <v>85.706875919708295</v>
      </c>
      <c r="AK2110">
        <v>23.178094651064601</v>
      </c>
      <c r="AL2110">
        <v>78.622252634121693</v>
      </c>
      <c r="AM2110">
        <v>91.677484579272402</v>
      </c>
      <c r="AN2110">
        <v>0.99999996926111701</v>
      </c>
    </row>
    <row r="2111" spans="1:40" x14ac:dyDescent="0.25">
      <c r="A2111" t="str">
        <f>"20190312172410856"</f>
        <v>20190312172410856</v>
      </c>
      <c r="B2111" t="str">
        <f>"1552382650852561"</f>
        <v>1552382650852561</v>
      </c>
      <c r="C2111" t="s">
        <v>40</v>
      </c>
      <c r="D2111">
        <v>3.6771859999999998</v>
      </c>
      <c r="E2111">
        <v>0.540552699999999</v>
      </c>
      <c r="F2111" t="s">
        <v>47</v>
      </c>
      <c r="G2111">
        <v>-372.84960000000001</v>
      </c>
      <c r="H2111" s="1">
        <v>-2.0347510000000001E-8</v>
      </c>
      <c r="I2111">
        <v>285.4513</v>
      </c>
      <c r="J2111">
        <v>-350.13839999999999</v>
      </c>
      <c r="K2111">
        <v>1.1103179999999999</v>
      </c>
      <c r="L2111">
        <v>283.87150000000003</v>
      </c>
      <c r="M2111">
        <v>-0.99986220000000003</v>
      </c>
      <c r="N2111">
        <v>0</v>
      </c>
      <c r="O2111">
        <v>-6.3262149999999996E-3</v>
      </c>
      <c r="P2111">
        <v>-0.98273840000000001</v>
      </c>
      <c r="Q2111">
        <v>0.18175630000000001</v>
      </c>
      <c r="R2111">
        <v>-3.4493379999999997E-2</v>
      </c>
      <c r="S2111">
        <v>-3.087952</v>
      </c>
      <c r="T2111">
        <v>-0.14818789999999901</v>
      </c>
      <c r="U2111">
        <v>0.21047969999999999</v>
      </c>
      <c r="V2111">
        <v>-2.8317189999999999E-2</v>
      </c>
      <c r="W2111">
        <v>0.19681799999999999</v>
      </c>
      <c r="X2111">
        <v>0.98003099999999999</v>
      </c>
      <c r="Y2111">
        <v>7.4222510000000005E-2</v>
      </c>
      <c r="Z2111">
        <v>2.0809650000000002E-3</v>
      </c>
      <c r="AA2111">
        <v>0.99723949999999995</v>
      </c>
      <c r="AB2111">
        <v>43</v>
      </c>
      <c r="AC2111">
        <v>-22.711200000000002</v>
      </c>
      <c r="AD2111">
        <v>-1.11031802034751</v>
      </c>
      <c r="AE2111">
        <v>1.5797999999999699</v>
      </c>
      <c r="AF2111">
        <v>1.71937157117468</v>
      </c>
      <c r="AG2111">
        <v>-1.11031802034751</v>
      </c>
      <c r="AH2111">
        <v>22.6468826076688</v>
      </c>
      <c r="AI2111">
        <v>92.798774672806701</v>
      </c>
      <c r="AJ2111">
        <v>85.658382090053806</v>
      </c>
      <c r="AK2111">
        <v>22.7391806482029</v>
      </c>
      <c r="AL2111">
        <v>78.649054008890502</v>
      </c>
      <c r="AM2111">
        <v>91.655053958166803</v>
      </c>
      <c r="AN2111">
        <v>0.99999997466724699</v>
      </c>
    </row>
    <row r="2112" spans="1:40" x14ac:dyDescent="0.25">
      <c r="A2112" t="str">
        <f>"20190312172410878"</f>
        <v>20190312172410878</v>
      </c>
      <c r="B2112" t="str">
        <f>"1552382650872081"</f>
        <v>1552382650872081</v>
      </c>
      <c r="C2112" t="s">
        <v>40</v>
      </c>
      <c r="D2112">
        <v>3.6797170000000001</v>
      </c>
      <c r="E2112">
        <v>0.54067849999999995</v>
      </c>
      <c r="F2112" t="s">
        <v>47</v>
      </c>
      <c r="G2112">
        <v>-372.96460000000002</v>
      </c>
      <c r="H2112" s="1">
        <v>4.0802620000000003E-8</v>
      </c>
      <c r="I2112">
        <v>285.4513</v>
      </c>
      <c r="J2112">
        <v>-350.5686</v>
      </c>
      <c r="K2112">
        <v>1.1102700000000001</v>
      </c>
      <c r="L2112">
        <v>283.86880000000002</v>
      </c>
      <c r="M2112">
        <v>-0.99986260000000005</v>
      </c>
      <c r="N2112">
        <v>0</v>
      </c>
      <c r="O2112">
        <v>-6.2889039999999997E-3</v>
      </c>
      <c r="P2112">
        <v>-0.982796</v>
      </c>
      <c r="Q2112">
        <v>0.18156169999999999</v>
      </c>
      <c r="R2112">
        <v>-3.3876219999999999E-2</v>
      </c>
      <c r="S2112">
        <v>-3.0879819999999998</v>
      </c>
      <c r="T2112">
        <v>-0.1502069</v>
      </c>
      <c r="U2112">
        <v>0.2137146</v>
      </c>
      <c r="V2112">
        <v>-2.771639E-2</v>
      </c>
      <c r="W2112">
        <v>0.19662299999999999</v>
      </c>
      <c r="X2112">
        <v>0.98008729999999999</v>
      </c>
      <c r="Y2112">
        <v>7.5220679999999998E-2</v>
      </c>
      <c r="Z2112">
        <v>2.1316099999999999E-3</v>
      </c>
      <c r="AA2112">
        <v>0.99716459999999996</v>
      </c>
      <c r="AB2112">
        <v>43</v>
      </c>
      <c r="AC2112">
        <v>-22.396000000000001</v>
      </c>
      <c r="AD2112">
        <v>-1.1102699591973799</v>
      </c>
      <c r="AE2112">
        <v>1.58249999999998</v>
      </c>
      <c r="AF2112">
        <v>1.71912757335197</v>
      </c>
      <c r="AG2112">
        <v>-1.1102699591973799</v>
      </c>
      <c r="AH2112">
        <v>22.330995004143801</v>
      </c>
      <c r="AI2112">
        <v>92.837949423174095</v>
      </c>
      <c r="AJ2112">
        <v>85.597829012669195</v>
      </c>
      <c r="AK2112">
        <v>22.424572166952299</v>
      </c>
      <c r="AL2112">
        <v>78.660449175870795</v>
      </c>
      <c r="AM2112">
        <v>91.619864924916001</v>
      </c>
      <c r="AN2112">
        <v>0.99999995901245997</v>
      </c>
    </row>
    <row r="2113" spans="1:40" x14ac:dyDescent="0.25">
      <c r="A2113" t="str">
        <f>"20190312172410901"</f>
        <v>20190312172410901</v>
      </c>
      <c r="B2113" t="str">
        <f>"1552382650892578"</f>
        <v>1552382650892578</v>
      </c>
      <c r="C2113" t="s">
        <v>40</v>
      </c>
      <c r="D2113">
        <v>3.676599</v>
      </c>
      <c r="E2113">
        <v>0.54086400000000001</v>
      </c>
      <c r="F2113" t="s">
        <v>47</v>
      </c>
      <c r="G2113">
        <v>-373.21780000000001</v>
      </c>
      <c r="H2113" s="1">
        <v>1.7555000000000001E-7</v>
      </c>
      <c r="I2113">
        <v>285.45339999999999</v>
      </c>
      <c r="J2113">
        <v>-350.9828</v>
      </c>
      <c r="K2113">
        <v>1.1102259999999999</v>
      </c>
      <c r="L2113">
        <v>283.86630000000002</v>
      </c>
      <c r="M2113">
        <v>-0.9998631</v>
      </c>
      <c r="N2113">
        <v>0</v>
      </c>
      <c r="O2113">
        <v>-6.2055130000000002E-3</v>
      </c>
      <c r="P2113">
        <v>-0.9829156</v>
      </c>
      <c r="Q2113">
        <v>0.18093529999999999</v>
      </c>
      <c r="R2113">
        <v>-3.375297E-2</v>
      </c>
      <c r="S2113">
        <v>-3.087952</v>
      </c>
      <c r="T2113">
        <v>-0.1513726</v>
      </c>
      <c r="U2113">
        <v>0.2160339</v>
      </c>
      <c r="V2113">
        <v>-2.7652159999999999E-2</v>
      </c>
      <c r="W2113">
        <v>0.195997</v>
      </c>
      <c r="X2113">
        <v>0.98021449999999999</v>
      </c>
      <c r="Y2113">
        <v>7.5881359999999995E-2</v>
      </c>
      <c r="Z2113">
        <v>2.1601799999999998E-3</v>
      </c>
      <c r="AA2113">
        <v>0.99711450000000001</v>
      </c>
      <c r="AB2113">
        <v>43</v>
      </c>
      <c r="AC2113">
        <v>-22.234999999999999</v>
      </c>
      <c r="AD2113">
        <v>-1.1102258244499901</v>
      </c>
      <c r="AE2113">
        <v>1.58709999999996</v>
      </c>
      <c r="AF2113">
        <v>1.7207967930524</v>
      </c>
      <c r="AG2113">
        <v>-1.1102258244499901</v>
      </c>
      <c r="AH2113">
        <v>22.16972957095</v>
      </c>
      <c r="AI2113">
        <v>92.858306163892607</v>
      </c>
      <c r="AJ2113">
        <v>85.561646157648298</v>
      </c>
      <c r="AK2113">
        <v>22.264111305716</v>
      </c>
      <c r="AL2113">
        <v>78.697028172772605</v>
      </c>
      <c r="AM2113">
        <v>91.615903433017394</v>
      </c>
      <c r="AN2113">
        <v>0.99999996598595697</v>
      </c>
    </row>
    <row r="2114" spans="1:40" x14ac:dyDescent="0.25">
      <c r="A2114" t="str">
        <f>"20190312172410913"</f>
        <v>20190312172410913</v>
      </c>
      <c r="B2114" t="str">
        <f>"1552382650902338"</f>
        <v>1552382650902338</v>
      </c>
      <c r="C2114" t="s">
        <v>40</v>
      </c>
      <c r="D2114">
        <v>3.6855850000000001</v>
      </c>
      <c r="E2114">
        <v>0.54090340000000003</v>
      </c>
      <c r="F2114" t="s">
        <v>47</v>
      </c>
      <c r="G2114">
        <v>-373.22570000000002</v>
      </c>
      <c r="H2114" s="1">
        <v>1.7977959999999999E-7</v>
      </c>
      <c r="I2114">
        <v>285.43490000000003</v>
      </c>
      <c r="J2114">
        <v>-351.21339999999998</v>
      </c>
      <c r="K2114">
        <v>1.110193</v>
      </c>
      <c r="L2114">
        <v>283.86489999999998</v>
      </c>
      <c r="M2114">
        <v>-0.99986359999999996</v>
      </c>
      <c r="N2114">
        <v>0</v>
      </c>
      <c r="O2114">
        <v>-6.1327209999999998E-3</v>
      </c>
      <c r="P2114">
        <v>-0.9829502</v>
      </c>
      <c r="Q2114">
        <v>0.1808418</v>
      </c>
      <c r="R2114">
        <v>-3.3250059999999998E-2</v>
      </c>
      <c r="S2114">
        <v>-3.0880130000000001</v>
      </c>
      <c r="T2114">
        <v>-0.15413370000000001</v>
      </c>
      <c r="U2114">
        <v>0.21777340000000001</v>
      </c>
      <c r="V2114">
        <v>-2.720678E-2</v>
      </c>
      <c r="W2114">
        <v>0.19590350000000001</v>
      </c>
      <c r="X2114">
        <v>0.9802457</v>
      </c>
      <c r="Y2114">
        <v>7.636221E-2</v>
      </c>
      <c r="Z2114">
        <v>2.2077989999999999E-3</v>
      </c>
      <c r="AA2114">
        <v>0.99707769999999996</v>
      </c>
      <c r="AB2114">
        <v>42</v>
      </c>
      <c r="AC2114">
        <v>-22.0123</v>
      </c>
      <c r="AD2114">
        <v>-1.1101928202203999</v>
      </c>
      <c r="AE2114">
        <v>1.57000000000005</v>
      </c>
      <c r="AF2114">
        <v>1.70067752054493</v>
      </c>
      <c r="AG2114">
        <v>-1.1101928202203999</v>
      </c>
      <c r="AH2114">
        <v>21.946713137264702</v>
      </c>
      <c r="AI2114">
        <v>92.887245332443797</v>
      </c>
      <c r="AJ2114">
        <v>85.568935481302603</v>
      </c>
      <c r="AK2114">
        <v>22.040486602077198</v>
      </c>
      <c r="AL2114">
        <v>78.702491754619302</v>
      </c>
      <c r="AM2114">
        <v>91.589839745224296</v>
      </c>
      <c r="AN2114">
        <v>1.0000000112793499</v>
      </c>
    </row>
    <row r="2115" spans="1:40" x14ac:dyDescent="0.25">
      <c r="A2115" t="str">
        <f>"20190312172410926"</f>
        <v>20190312172410926</v>
      </c>
      <c r="B2115" t="str">
        <f>"1552382650921858"</f>
        <v>1552382650921858</v>
      </c>
      <c r="C2115" t="s">
        <v>40</v>
      </c>
      <c r="D2115">
        <v>3.722947</v>
      </c>
      <c r="E2115">
        <v>0.54100990000000004</v>
      </c>
      <c r="F2115" t="s">
        <v>47</v>
      </c>
      <c r="G2115">
        <v>-373.39330000000001</v>
      </c>
      <c r="H2115" s="1">
        <v>2.68941E-7</v>
      </c>
      <c r="I2115">
        <v>285.44080000000002</v>
      </c>
      <c r="J2115">
        <v>-351.46859999999998</v>
      </c>
      <c r="K2115">
        <v>1.11016</v>
      </c>
      <c r="L2115">
        <v>283.86340000000001</v>
      </c>
      <c r="M2115">
        <v>-0.99986430000000004</v>
      </c>
      <c r="N2115">
        <v>0</v>
      </c>
      <c r="O2115">
        <v>-6.0407909999999898E-3</v>
      </c>
      <c r="P2115">
        <v>-0.98303790000000002</v>
      </c>
      <c r="Q2115">
        <v>0.18045230000000001</v>
      </c>
      <c r="R2115">
        <v>-3.2769739999999999E-2</v>
      </c>
      <c r="S2115">
        <v>-3.0878909999999999</v>
      </c>
      <c r="T2115">
        <v>-0.1545618</v>
      </c>
      <c r="U2115">
        <v>0.2193909</v>
      </c>
      <c r="V2115">
        <v>-2.6800839999999999E-2</v>
      </c>
      <c r="W2115">
        <v>0.1955144</v>
      </c>
      <c r="X2115">
        <v>0.98033459999999994</v>
      </c>
      <c r="Y2115">
        <v>7.6791960000000006E-2</v>
      </c>
      <c r="Z2115">
        <v>2.2201109999999999E-3</v>
      </c>
      <c r="AA2115">
        <v>0.99704470000000001</v>
      </c>
      <c r="AB2115">
        <v>42</v>
      </c>
      <c r="AC2115">
        <v>-21.924700000000001</v>
      </c>
      <c r="AD2115">
        <v>-1.1101597310589999</v>
      </c>
      <c r="AE2115">
        <v>1.5774000000000099</v>
      </c>
      <c r="AF2115">
        <v>1.7054791145645201</v>
      </c>
      <c r="AG2115">
        <v>-1.1101597310589999</v>
      </c>
      <c r="AH2115">
        <v>21.859013964965801</v>
      </c>
      <c r="AI2115">
        <v>92.898604436765595</v>
      </c>
      <c r="AJ2115">
        <v>85.538719345234199</v>
      </c>
      <c r="AK2115">
        <v>21.953532862827601</v>
      </c>
      <c r="AL2115">
        <v>78.725225566042994</v>
      </c>
      <c r="AM2115">
        <v>91.5659884209919</v>
      </c>
      <c r="AN2115">
        <v>1.00000004679461</v>
      </c>
    </row>
    <row r="2116" spans="1:40" x14ac:dyDescent="0.25">
      <c r="A2116" t="str">
        <f>"20190312172410945"</f>
        <v>20190312172410945</v>
      </c>
      <c r="B2116" t="str">
        <f>"1552382650942354"</f>
        <v>1552382650942354</v>
      </c>
      <c r="C2116" t="s">
        <v>40</v>
      </c>
      <c r="D2116">
        <v>3.692393</v>
      </c>
      <c r="E2116">
        <v>0.54112959999999999</v>
      </c>
      <c r="F2116" t="s">
        <v>47</v>
      </c>
      <c r="G2116">
        <v>-373.43</v>
      </c>
      <c r="H2116" s="1">
        <v>2.8848260000000001E-7</v>
      </c>
      <c r="I2116">
        <v>285.4409</v>
      </c>
      <c r="J2116">
        <v>-351.82479999999998</v>
      </c>
      <c r="K2116">
        <v>1.110114</v>
      </c>
      <c r="L2116">
        <v>283.8614</v>
      </c>
      <c r="M2116">
        <v>-0.99986520000000001</v>
      </c>
      <c r="N2116">
        <v>0</v>
      </c>
      <c r="O2116">
        <v>-5.8822099999999997E-3</v>
      </c>
      <c r="P2116">
        <v>-0.98315980000000003</v>
      </c>
      <c r="Q2116">
        <v>0.179887299999999</v>
      </c>
      <c r="R2116">
        <v>-3.2209439999999999E-2</v>
      </c>
      <c r="S2116">
        <v>-3.087799</v>
      </c>
      <c r="T2116">
        <v>-0.1560897</v>
      </c>
      <c r="U2116">
        <v>0.22180179999999999</v>
      </c>
      <c r="V2116">
        <v>-2.6373790000000001E-2</v>
      </c>
      <c r="W2116">
        <v>0.1949504</v>
      </c>
      <c r="X2116">
        <v>0.98045839999999995</v>
      </c>
      <c r="Y2116">
        <v>7.7407799999999999E-2</v>
      </c>
      <c r="Z2116">
        <v>2.2495670000000001E-3</v>
      </c>
      <c r="AA2116">
        <v>0.99699700000000002</v>
      </c>
      <c r="AB2116">
        <v>42</v>
      </c>
      <c r="AC2116">
        <v>-21.6052</v>
      </c>
      <c r="AD2116">
        <v>-1.11011371151739</v>
      </c>
      <c r="AE2116">
        <v>1.5794999999999899</v>
      </c>
      <c r="AF2116">
        <v>1.7021041109399799</v>
      </c>
      <c r="AG2116">
        <v>-1.11011371151739</v>
      </c>
      <c r="AH2116">
        <v>21.538971627345401</v>
      </c>
      <c r="AI2116">
        <v>92.941247533743294</v>
      </c>
      <c r="AJ2116">
        <v>85.481625847080196</v>
      </c>
      <c r="AK2116">
        <v>21.634620625760199</v>
      </c>
      <c r="AL2116">
        <v>78.7581733702458</v>
      </c>
      <c r="AM2116">
        <v>91.540853284399304</v>
      </c>
      <c r="AN2116">
        <v>0.99999995469484104</v>
      </c>
    </row>
    <row r="2117" spans="1:40" x14ac:dyDescent="0.25">
      <c r="A2117" t="str">
        <f>"20190312172410968"</f>
        <v>20190312172410968</v>
      </c>
      <c r="B2117" t="str">
        <f>"1552382650961874"</f>
        <v>1552382650961874</v>
      </c>
      <c r="C2117" t="s">
        <v>40</v>
      </c>
      <c r="D2117">
        <v>3.6938080000000002</v>
      </c>
      <c r="E2117">
        <v>0.54126109999999905</v>
      </c>
      <c r="F2117" t="s">
        <v>47</v>
      </c>
      <c r="G2117">
        <v>-373.51929999999999</v>
      </c>
      <c r="H2117" s="1">
        <v>3.3599640000000001E-7</v>
      </c>
      <c r="I2117">
        <v>285.43740000000003</v>
      </c>
      <c r="J2117">
        <v>-352.25290000000001</v>
      </c>
      <c r="K2117">
        <v>1.1100620000000001</v>
      </c>
      <c r="L2117">
        <v>283.85899999999998</v>
      </c>
      <c r="M2117">
        <v>-0.9998667</v>
      </c>
      <c r="N2117">
        <v>0</v>
      </c>
      <c r="O2117">
        <v>-5.6480360000000004E-3</v>
      </c>
      <c r="P2117">
        <v>-0.98322430000000005</v>
      </c>
      <c r="Q2117">
        <v>0.1796555</v>
      </c>
      <c r="R2117">
        <v>-3.1529219999999997E-2</v>
      </c>
      <c r="S2117">
        <v>-3.0876459999999999</v>
      </c>
      <c r="T2117">
        <v>-0.15799569999999999</v>
      </c>
      <c r="U2117">
        <v>0.22430420000000001</v>
      </c>
      <c r="V2117">
        <v>-2.589907E-2</v>
      </c>
      <c r="W2117">
        <v>0.19471840000000001</v>
      </c>
      <c r="X2117">
        <v>0.98051719999999998</v>
      </c>
      <c r="Y2117">
        <v>7.7978599999999995E-2</v>
      </c>
      <c r="Z2117">
        <v>2.2796610000000001E-3</v>
      </c>
      <c r="AA2117">
        <v>0.99695239999999996</v>
      </c>
      <c r="AB2117">
        <v>42</v>
      </c>
      <c r="AC2117">
        <v>-21.266399999999901</v>
      </c>
      <c r="AD2117">
        <v>-1.1100616640036001</v>
      </c>
      <c r="AE2117">
        <v>1.57839999999998</v>
      </c>
      <c r="AF2117">
        <v>1.6939123216330201</v>
      </c>
      <c r="AG2117">
        <v>-1.1100616640036001</v>
      </c>
      <c r="AH2117">
        <v>21.199700084236198</v>
      </c>
      <c r="AI2117">
        <v>92.987886748162495</v>
      </c>
      <c r="AJ2117">
        <v>85.4316207727029</v>
      </c>
      <c r="AK2117">
        <v>21.296217023519301</v>
      </c>
      <c r="AL2117">
        <v>78.771726202769401</v>
      </c>
      <c r="AM2117">
        <v>91.513040719632698</v>
      </c>
      <c r="AN2117">
        <v>0.99999999831063202</v>
      </c>
    </row>
    <row r="2118" spans="1:40" x14ac:dyDescent="0.25">
      <c r="A2118" t="str">
        <f>"20190312172410991"</f>
        <v>20190312172410991</v>
      </c>
      <c r="B2118" t="str">
        <f>"1552382650982371"</f>
        <v>1552382650982371</v>
      </c>
      <c r="C2118" t="s">
        <v>40</v>
      </c>
      <c r="D2118">
        <v>3.7138800000000001</v>
      </c>
      <c r="E2118">
        <v>0.54133430000000005</v>
      </c>
      <c r="F2118" t="s">
        <v>47</v>
      </c>
      <c r="G2118">
        <v>-373.85430000000002</v>
      </c>
      <c r="H2118" s="1">
        <v>5.1429070000000003E-7</v>
      </c>
      <c r="I2118">
        <v>285.45060000000001</v>
      </c>
      <c r="J2118">
        <v>-352.67849999999999</v>
      </c>
      <c r="K2118">
        <v>1.110006</v>
      </c>
      <c r="L2118">
        <v>283.8569</v>
      </c>
      <c r="M2118">
        <v>-0.99986830000000004</v>
      </c>
      <c r="N2118">
        <v>0</v>
      </c>
      <c r="O2118">
        <v>-5.374981E-3</v>
      </c>
      <c r="P2118">
        <v>-0.98328040000000005</v>
      </c>
      <c r="Q2118">
        <v>0.17945249999999999</v>
      </c>
      <c r="R2118">
        <v>-3.0936080000000001E-2</v>
      </c>
      <c r="S2118">
        <v>-3.0874630000000001</v>
      </c>
      <c r="T2118">
        <v>-0.15865979999999999</v>
      </c>
      <c r="U2118">
        <v>0.22747800000000001</v>
      </c>
      <c r="V2118">
        <v>-2.5550400000000001E-2</v>
      </c>
      <c r="W2118">
        <v>0.1945141</v>
      </c>
      <c r="X2118">
        <v>0.98056690000000002</v>
      </c>
      <c r="Y2118">
        <v>7.8728439999999997E-2</v>
      </c>
      <c r="Z2118">
        <v>2.2945019999999999E-3</v>
      </c>
      <c r="AA2118">
        <v>0.99689349999999999</v>
      </c>
      <c r="AB2118">
        <v>42</v>
      </c>
      <c r="AC2118">
        <v>-21.175799999999999</v>
      </c>
      <c r="AD2118">
        <v>-1.1100054857093</v>
      </c>
      <c r="AE2118">
        <v>1.5937000000000101</v>
      </c>
      <c r="AF2118">
        <v>1.7028572412952701</v>
      </c>
      <c r="AG2118">
        <v>-1.1100054857093</v>
      </c>
      <c r="AH2118">
        <v>21.1092515446066</v>
      </c>
      <c r="AI2118">
        <v>93.000331231549097</v>
      </c>
      <c r="AJ2118">
        <v>85.388007058928693</v>
      </c>
      <c r="AK2118">
        <v>21.206893589962998</v>
      </c>
      <c r="AL2118">
        <v>78.783659948075893</v>
      </c>
      <c r="AM2118">
        <v>91.492604844798606</v>
      </c>
      <c r="AN2118">
        <v>1.0000000017072901</v>
      </c>
    </row>
    <row r="2119" spans="1:40" x14ac:dyDescent="0.25">
      <c r="A2119" t="str">
        <f>"20190312172411012"</f>
        <v>20190312172411012</v>
      </c>
      <c r="B2119" t="str">
        <f>"1552382651001890"</f>
        <v>1552382651001890</v>
      </c>
      <c r="C2119" t="s">
        <v>40</v>
      </c>
      <c r="D2119">
        <v>3.7248060000000001</v>
      </c>
      <c r="E2119">
        <v>0.54140900000000003</v>
      </c>
      <c r="F2119" t="s">
        <v>47</v>
      </c>
      <c r="G2119">
        <v>-374.16660000000002</v>
      </c>
      <c r="H2119" s="1">
        <v>6.8047599999999996E-7</v>
      </c>
      <c r="I2119">
        <v>285.45479999999998</v>
      </c>
      <c r="J2119">
        <v>-353.0847</v>
      </c>
      <c r="K2119">
        <v>1.1099680000000001</v>
      </c>
      <c r="L2119">
        <v>283.85489999999999</v>
      </c>
      <c r="M2119">
        <v>-0.99986989999999998</v>
      </c>
      <c r="N2119">
        <v>0</v>
      </c>
      <c r="O2119">
        <v>-5.0795340000000001E-3</v>
      </c>
      <c r="P2119">
        <v>-0.98340959999999999</v>
      </c>
      <c r="Q2119">
        <v>0.17876639999999999</v>
      </c>
      <c r="R2119">
        <v>-3.0794229999999999E-2</v>
      </c>
      <c r="S2119">
        <v>-3.0873110000000001</v>
      </c>
      <c r="T2119">
        <v>-0.15948029999999999</v>
      </c>
      <c r="U2119">
        <v>0.2295837</v>
      </c>
      <c r="V2119">
        <v>-2.5679730000000001E-2</v>
      </c>
      <c r="W2119">
        <v>0.1938288</v>
      </c>
      <c r="X2119">
        <v>0.98069919999999999</v>
      </c>
      <c r="Y2119">
        <v>7.9112450000000001E-2</v>
      </c>
      <c r="Z2119">
        <v>2.3010719999999999E-3</v>
      </c>
      <c r="AA2119">
        <v>0.9968631</v>
      </c>
      <c r="AB2119">
        <v>42</v>
      </c>
      <c r="AC2119">
        <v>-21.081900000000001</v>
      </c>
      <c r="AD2119">
        <v>-1.1099673195240001</v>
      </c>
      <c r="AE2119">
        <v>1.5998999999999901</v>
      </c>
      <c r="AF2119">
        <v>1.70228633484598</v>
      </c>
      <c r="AG2119">
        <v>-1.1099673195240001</v>
      </c>
      <c r="AH2119">
        <v>21.015577643660301</v>
      </c>
      <c r="AI2119">
        <v>93.013496446421897</v>
      </c>
      <c r="AJ2119">
        <v>85.369085381646002</v>
      </c>
      <c r="AK2119">
        <v>21.113604853575598</v>
      </c>
      <c r="AL2119">
        <v>78.823686377093694</v>
      </c>
      <c r="AM2119">
        <v>91.499954324698507</v>
      </c>
      <c r="AN2119">
        <v>0.99999998656147604</v>
      </c>
    </row>
    <row r="2120" spans="1:40" x14ac:dyDescent="0.25">
      <c r="A2120" t="str">
        <f>"20190312172411036"</f>
        <v>20190312172411036</v>
      </c>
      <c r="B2120" t="str">
        <f>"1552382651032145"</f>
        <v>1552382651032145</v>
      </c>
      <c r="C2120" t="s">
        <v>40</v>
      </c>
      <c r="D2120">
        <v>3.7719860000000001</v>
      </c>
      <c r="E2120">
        <v>0.54154530000000001</v>
      </c>
      <c r="F2120" t="s">
        <v>47</v>
      </c>
      <c r="G2120">
        <v>-374.30739999999997</v>
      </c>
      <c r="H2120" s="1">
        <v>7.5537800000000003E-7</v>
      </c>
      <c r="I2120">
        <v>285.44009999999997</v>
      </c>
      <c r="J2120">
        <v>-353.52429999999998</v>
      </c>
      <c r="K2120">
        <v>1.1099190000000001</v>
      </c>
      <c r="L2120">
        <v>283.85300000000001</v>
      </c>
      <c r="M2120">
        <v>-0.99987159999999997</v>
      </c>
      <c r="N2120">
        <v>0</v>
      </c>
      <c r="O2120">
        <v>-4.7273749999999998E-3</v>
      </c>
      <c r="P2120">
        <v>-0.98354810000000004</v>
      </c>
      <c r="Q2120">
        <v>0.17802799999999999</v>
      </c>
      <c r="R2120">
        <v>-3.0649450000000002E-2</v>
      </c>
      <c r="S2120">
        <v>-3.0872190000000002</v>
      </c>
      <c r="T2120">
        <v>-0.16146479999999999</v>
      </c>
      <c r="U2120">
        <v>0.23059080000000001</v>
      </c>
      <c r="V2120">
        <v>-2.5862199999999998E-2</v>
      </c>
      <c r="W2120">
        <v>0.1930896</v>
      </c>
      <c r="X2120">
        <v>0.98084020000000005</v>
      </c>
      <c r="Y2120">
        <v>7.9084639999999998E-2</v>
      </c>
      <c r="Z2120">
        <v>2.3105980000000001E-3</v>
      </c>
      <c r="AA2120">
        <v>0.99686520000000001</v>
      </c>
      <c r="AB2120">
        <v>42</v>
      </c>
      <c r="AC2120">
        <v>-20.783099999999902</v>
      </c>
      <c r="AD2120">
        <v>-1.1099182446219999</v>
      </c>
      <c r="AE2120">
        <v>1.58709999999996</v>
      </c>
      <c r="AF2120">
        <v>1.680577938456</v>
      </c>
      <c r="AG2120">
        <v>-1.1099182446219999</v>
      </c>
      <c r="AH2120">
        <v>20.716621171958799</v>
      </c>
      <c r="AI2120">
        <v>93.056736943656702</v>
      </c>
      <c r="AJ2120">
        <v>85.362195883438304</v>
      </c>
      <c r="AK2120">
        <v>20.814289646764799</v>
      </c>
      <c r="AL2120">
        <v>78.8668547869392</v>
      </c>
      <c r="AM2120">
        <v>91.510390429891103</v>
      </c>
      <c r="AN2120">
        <v>0.99999997247651895</v>
      </c>
    </row>
    <row r="2121" spans="1:40" x14ac:dyDescent="0.25">
      <c r="A2121" t="str">
        <f>"20190312172411058"</f>
        <v>20190312172411058</v>
      </c>
      <c r="B2121" t="str">
        <f>"1552382651051666"</f>
        <v>1552382651051666</v>
      </c>
      <c r="C2121" t="s">
        <v>40</v>
      </c>
      <c r="D2121">
        <v>3.7358959999999999</v>
      </c>
      <c r="E2121">
        <v>0.54157469999999996</v>
      </c>
      <c r="F2121" t="s">
        <v>47</v>
      </c>
      <c r="G2121">
        <v>-374.50319999999999</v>
      </c>
      <c r="H2121" s="1">
        <v>8.5958600000000003E-7</v>
      </c>
      <c r="I2121">
        <v>285.43290000000002</v>
      </c>
      <c r="J2121">
        <v>-353.9436</v>
      </c>
      <c r="K2121">
        <v>1.109885</v>
      </c>
      <c r="L2121">
        <v>283.85129999999998</v>
      </c>
      <c r="M2121">
        <v>-0.99987329999999996</v>
      </c>
      <c r="N2121">
        <v>0</v>
      </c>
      <c r="O2121">
        <v>-4.3662629999999996E-3</v>
      </c>
      <c r="P2121">
        <v>-0.98362369999999999</v>
      </c>
      <c r="Q2121">
        <v>0.17761640000000001</v>
      </c>
      <c r="R2121">
        <v>-3.0605190000000001E-2</v>
      </c>
      <c r="S2121">
        <v>-3.0870060000000001</v>
      </c>
      <c r="T2121">
        <v>-0.1633222</v>
      </c>
      <c r="U2121">
        <v>0.23248289999999999</v>
      </c>
      <c r="V2121">
        <v>-2.6157150000000001E-2</v>
      </c>
      <c r="W2121">
        <v>0.19267690000000001</v>
      </c>
      <c r="X2121">
        <v>0.98091360000000005</v>
      </c>
      <c r="Y2121">
        <v>7.9334829999999995E-2</v>
      </c>
      <c r="Z2121">
        <v>2.3247839999999999E-3</v>
      </c>
      <c r="AA2121">
        <v>0.99684530000000005</v>
      </c>
      <c r="AB2121">
        <v>42</v>
      </c>
      <c r="AC2121">
        <v>-20.5595999999999</v>
      </c>
      <c r="AD2121">
        <v>-1.1098841404140001</v>
      </c>
      <c r="AE2121">
        <v>1.5816000000000301</v>
      </c>
      <c r="AF2121">
        <v>1.6665359393678401</v>
      </c>
      <c r="AG2121">
        <v>-1.1098841404140001</v>
      </c>
      <c r="AH2121">
        <v>20.4931268521911</v>
      </c>
      <c r="AI2121">
        <v>93.089864501874501</v>
      </c>
      <c r="AJ2121">
        <v>85.350840361774402</v>
      </c>
      <c r="AK2121">
        <v>20.590712300023601</v>
      </c>
      <c r="AL2121">
        <v>78.890954015779897</v>
      </c>
      <c r="AM2121">
        <v>91.527493572672199</v>
      </c>
      <c r="AN2121">
        <v>1.0000000374773399</v>
      </c>
    </row>
    <row r="2122" spans="1:40" x14ac:dyDescent="0.25">
      <c r="A2122" t="str">
        <f>"20190312172411079"</f>
        <v>20190312172411079</v>
      </c>
      <c r="B2122" t="str">
        <f>"1552382651072161"</f>
        <v>1552382651072161</v>
      </c>
      <c r="C2122" t="s">
        <v>40</v>
      </c>
      <c r="D2122">
        <v>3.7888660000000001</v>
      </c>
      <c r="E2122">
        <v>0.52466569999999901</v>
      </c>
      <c r="F2122" t="s">
        <v>47</v>
      </c>
      <c r="G2122">
        <v>-374.85820000000001</v>
      </c>
      <c r="H2122" s="1">
        <v>1.048499E-6</v>
      </c>
      <c r="I2122">
        <v>285.42829999999998</v>
      </c>
      <c r="J2122">
        <v>-354.3623</v>
      </c>
      <c r="K2122">
        <v>1.109861</v>
      </c>
      <c r="L2122">
        <v>283.84969999999998</v>
      </c>
      <c r="M2122">
        <v>-0.99987499999999996</v>
      </c>
      <c r="N2122">
        <v>0</v>
      </c>
      <c r="O2122">
        <v>-3.9872290000000001E-3</v>
      </c>
      <c r="P2122">
        <v>-0.98366390000000004</v>
      </c>
      <c r="Q2122">
        <v>0.17741970000000001</v>
      </c>
      <c r="R2122">
        <v>-3.0463290000000001E-2</v>
      </c>
      <c r="S2122">
        <v>-3.0867309999999999</v>
      </c>
      <c r="T2122">
        <v>-0.1638047</v>
      </c>
      <c r="U2122">
        <v>0.23275760000000001</v>
      </c>
      <c r="V2122">
        <v>-2.6374290000000002E-2</v>
      </c>
      <c r="W2122">
        <v>0.19247800000000001</v>
      </c>
      <c r="X2122">
        <v>0.98094680000000001</v>
      </c>
      <c r="Y2122">
        <v>7.9051999999999997E-2</v>
      </c>
      <c r="Z2122">
        <v>2.304277E-3</v>
      </c>
      <c r="AA2122">
        <v>0.99686779999999997</v>
      </c>
      <c r="AB2122">
        <v>42</v>
      </c>
      <c r="AC2122">
        <v>-20.495899999999999</v>
      </c>
      <c r="AD2122">
        <v>-1.1098599515009999</v>
      </c>
      <c r="AE2122">
        <v>1.57859999999999</v>
      </c>
      <c r="AF2122">
        <v>1.6554931537371</v>
      </c>
      <c r="AG2122">
        <v>-1.1098599515009999</v>
      </c>
      <c r="AH2122">
        <v>20.429889601390698</v>
      </c>
      <c r="AI2122">
        <v>93.099414662915905</v>
      </c>
      <c r="AJ2122">
        <v>85.367279258381899</v>
      </c>
      <c r="AK2122">
        <v>20.526880810757099</v>
      </c>
      <c r="AL2122">
        <v>78.902567154519005</v>
      </c>
      <c r="AM2122">
        <v>91.540115667410404</v>
      </c>
      <c r="AN2122">
        <v>1.0000000040436201</v>
      </c>
    </row>
    <row r="2123" spans="1:40" x14ac:dyDescent="0.25">
      <c r="A2123" t="str">
        <f>"20190312172411092"</f>
        <v>20190312172411092</v>
      </c>
      <c r="B2123" t="str">
        <f>"1552382651081922"</f>
        <v>1552382651081922</v>
      </c>
      <c r="C2123" t="s">
        <v>40</v>
      </c>
      <c r="D2123">
        <v>3.7145250000000001</v>
      </c>
      <c r="E2123">
        <v>0.51688429999999996</v>
      </c>
      <c r="F2123" t="s">
        <v>47</v>
      </c>
      <c r="G2123">
        <v>-373.56939999999997</v>
      </c>
      <c r="H2123" s="1">
        <v>3.6266710000000002E-7</v>
      </c>
      <c r="I2123">
        <v>284.46210000000002</v>
      </c>
      <c r="J2123">
        <v>-354.59179999999998</v>
      </c>
      <c r="K2123">
        <v>1.1098479999999999</v>
      </c>
      <c r="L2123">
        <v>283.84899999999999</v>
      </c>
      <c r="M2123">
        <v>-0.99987590000000004</v>
      </c>
      <c r="N2123">
        <v>0</v>
      </c>
      <c r="O2123">
        <v>-3.7727529999999998E-3</v>
      </c>
      <c r="P2123">
        <v>-0.98373650000000001</v>
      </c>
      <c r="Q2123">
        <v>0.17697449999999901</v>
      </c>
      <c r="R2123">
        <v>-3.0703749999999998E-2</v>
      </c>
      <c r="S2123">
        <v>-3.0850219999999999</v>
      </c>
      <c r="T2123">
        <v>-0.17826429999999999</v>
      </c>
      <c r="U2123">
        <v>9.8358150000000005E-2</v>
      </c>
      <c r="V2123">
        <v>-2.681917E-2</v>
      </c>
      <c r="W2123">
        <v>0.19203310000000001</v>
      </c>
      <c r="X2123">
        <v>0.9810219</v>
      </c>
      <c r="Y2123">
        <v>3.5571770000000003E-2</v>
      </c>
      <c r="Z2123">
        <v>1.244415E-3</v>
      </c>
      <c r="AA2123">
        <v>0.99936630000000004</v>
      </c>
      <c r="AB2123">
        <v>42</v>
      </c>
      <c r="AC2123">
        <v>-18.977599999999899</v>
      </c>
      <c r="AD2123">
        <v>-1.10984763733289</v>
      </c>
      <c r="AE2123">
        <v>0.61310000000003095</v>
      </c>
      <c r="AF2123">
        <v>0.68237043905245598</v>
      </c>
      <c r="AG2123">
        <v>-1.10984763733289</v>
      </c>
      <c r="AH2123">
        <v>18.910542254327499</v>
      </c>
      <c r="AI2123">
        <v>93.3566202590209</v>
      </c>
      <c r="AJ2123">
        <v>87.933428347642206</v>
      </c>
      <c r="AK2123">
        <v>18.955368620707201</v>
      </c>
      <c r="AL2123">
        <v>78.928542283262203</v>
      </c>
      <c r="AM2123">
        <v>91.565961591194807</v>
      </c>
      <c r="AN2123">
        <v>0.99999997382735395</v>
      </c>
    </row>
    <row r="2124" spans="1:40" x14ac:dyDescent="0.25">
      <c r="A2124" t="str">
        <f>"20190312172411112"</f>
        <v>20190312172411112</v>
      </c>
      <c r="B2124" t="str">
        <f>"1552382651102418"</f>
        <v>1552382651102418</v>
      </c>
      <c r="C2124" t="s">
        <v>40</v>
      </c>
      <c r="D2124">
        <v>3.7263850000000001</v>
      </c>
      <c r="E2124">
        <v>0.50659449999999995</v>
      </c>
      <c r="F2124" t="s">
        <v>47</v>
      </c>
      <c r="G2124">
        <v>-374.95310000000001</v>
      </c>
      <c r="H2124" s="1">
        <v>1.0989810000000001E-6</v>
      </c>
      <c r="I2124">
        <v>284.08839999999998</v>
      </c>
      <c r="J2124">
        <v>-354.9735</v>
      </c>
      <c r="K2124">
        <v>1.1098220000000001</v>
      </c>
      <c r="L2124">
        <v>283.84780000000001</v>
      </c>
      <c r="M2124">
        <v>-0.99987729999999997</v>
      </c>
      <c r="N2124">
        <v>0</v>
      </c>
      <c r="O2124">
        <v>-3.4109240000000001E-3</v>
      </c>
      <c r="P2124">
        <v>-0.98384079999999996</v>
      </c>
      <c r="Q2124">
        <v>0.1763315</v>
      </c>
      <c r="R2124">
        <v>-3.1052799999999998E-2</v>
      </c>
      <c r="S2124">
        <v>-3.080902</v>
      </c>
      <c r="T2124">
        <v>-0.1679331</v>
      </c>
      <c r="U2124">
        <v>3.6224369999999999E-2</v>
      </c>
      <c r="V2124">
        <v>-2.7514529999999999E-2</v>
      </c>
      <c r="W2124">
        <v>0.19138949999999999</v>
      </c>
      <c r="X2124">
        <v>0.98112849999999996</v>
      </c>
      <c r="Y2124">
        <v>1.514039E-2</v>
      </c>
      <c r="Z2124">
        <v>5.9811409999999999E-4</v>
      </c>
      <c r="AA2124">
        <v>0.99988520000000003</v>
      </c>
      <c r="AB2124">
        <v>42</v>
      </c>
      <c r="AC2124">
        <v>-19.979600000000001</v>
      </c>
      <c r="AD2124">
        <v>-1.1098209010190001</v>
      </c>
      <c r="AE2124">
        <v>0.240599999999972</v>
      </c>
      <c r="AF2124">
        <v>0.30780585168588398</v>
      </c>
      <c r="AG2124">
        <v>-1.1098209010190001</v>
      </c>
      <c r="AH2124">
        <v>19.9172163787029</v>
      </c>
      <c r="AI2124">
        <v>93.18893938155</v>
      </c>
      <c r="AJ2124">
        <v>89.1146065769274</v>
      </c>
      <c r="AK2124">
        <v>19.9504875918044</v>
      </c>
      <c r="AL2124">
        <v>78.966115749836405</v>
      </c>
      <c r="AM2124">
        <v>91.606367939851296</v>
      </c>
      <c r="AN2124">
        <v>1.0000000617917999</v>
      </c>
    </row>
    <row r="2125" spans="1:40" x14ac:dyDescent="0.25">
      <c r="A2125" t="str">
        <f>"20190312172411134"</f>
        <v>20190312172411134</v>
      </c>
      <c r="B2125" t="str">
        <f>"1552382651131698"</f>
        <v>1552382651131698</v>
      </c>
      <c r="C2125" t="s">
        <v>40</v>
      </c>
      <c r="D2125">
        <v>3.7042419999999998</v>
      </c>
      <c r="E2125">
        <v>0.50041000000000002</v>
      </c>
      <c r="F2125" t="s">
        <v>47</v>
      </c>
      <c r="G2125">
        <v>-376.68439999999998</v>
      </c>
      <c r="H2125" s="1">
        <v>2.0203439999999999E-6</v>
      </c>
      <c r="I2125">
        <v>283.5213</v>
      </c>
      <c r="J2125">
        <v>-355.3904</v>
      </c>
      <c r="K2125">
        <v>1.1097950000000001</v>
      </c>
      <c r="L2125">
        <v>283.8467</v>
      </c>
      <c r="M2125">
        <v>-0.99987859999999995</v>
      </c>
      <c r="N2125">
        <v>0</v>
      </c>
      <c r="O2125">
        <v>-3.0085950000000002E-3</v>
      </c>
      <c r="P2125">
        <v>-0.98382320000000001</v>
      </c>
      <c r="Q2125">
        <v>0.17640339999999999</v>
      </c>
      <c r="R2125">
        <v>-3.1206640000000001E-2</v>
      </c>
      <c r="S2125">
        <v>-3.0759280000000002</v>
      </c>
      <c r="T2125">
        <v>-0.15723529999999999</v>
      </c>
      <c r="U2125">
        <v>-4.6264649999999997E-2</v>
      </c>
      <c r="V2125">
        <v>-2.805498E-2</v>
      </c>
      <c r="W2125">
        <v>0.19145789999999999</v>
      </c>
      <c r="X2125">
        <v>0.98109979999999997</v>
      </c>
      <c r="Y2125">
        <v>-1.201874E-2</v>
      </c>
      <c r="Z2125">
        <v>-1.53268E-4</v>
      </c>
      <c r="AA2125">
        <v>0.99992780000000003</v>
      </c>
      <c r="AB2125">
        <v>42</v>
      </c>
      <c r="AC2125">
        <v>-21.293999999999901</v>
      </c>
      <c r="AD2125">
        <v>-1.109792979656</v>
      </c>
      <c r="AE2125">
        <v>-0.32540000000000102</v>
      </c>
      <c r="AF2125">
        <v>-0.26061827798124998</v>
      </c>
      <c r="AG2125">
        <v>-1.109792979656</v>
      </c>
      <c r="AH2125">
        <v>21.237210648524499</v>
      </c>
      <c r="AI2125">
        <v>92.991159935742701</v>
      </c>
      <c r="AJ2125">
        <v>90.703085641606506</v>
      </c>
      <c r="AK2125">
        <v>21.267784992196798</v>
      </c>
      <c r="AL2125">
        <v>78.962122340528694</v>
      </c>
      <c r="AM2125">
        <v>91.637951644914807</v>
      </c>
      <c r="AN2125">
        <v>1.0000000134676199</v>
      </c>
    </row>
    <row r="2126" spans="1:40" x14ac:dyDescent="0.25">
      <c r="A2126" t="str">
        <f>"20190312172411157"</f>
        <v>20190312172411157</v>
      </c>
      <c r="B2126" t="str">
        <f>"1552382651152197"</f>
        <v>1552382651152197</v>
      </c>
      <c r="C2126" t="s">
        <v>40</v>
      </c>
      <c r="D2126">
        <v>3.7178990000000001</v>
      </c>
      <c r="E2126">
        <v>0.49843589999999999</v>
      </c>
      <c r="F2126" t="s">
        <v>47</v>
      </c>
      <c r="G2126">
        <v>-377.4529</v>
      </c>
      <c r="H2126" s="1">
        <v>2.4292969999999999E-6</v>
      </c>
      <c r="I2126">
        <v>283.15789999999998</v>
      </c>
      <c r="J2126">
        <v>-355.81889999999999</v>
      </c>
      <c r="K2126">
        <v>1.1097840000000001</v>
      </c>
      <c r="L2126">
        <v>283.8458</v>
      </c>
      <c r="M2126">
        <v>-0.99987979999999999</v>
      </c>
      <c r="N2126">
        <v>0</v>
      </c>
      <c r="O2126">
        <v>-2.587603E-3</v>
      </c>
      <c r="P2126">
        <v>-0.98392089999999999</v>
      </c>
      <c r="Q2126">
        <v>0.17585479999999901</v>
      </c>
      <c r="R2126">
        <v>-3.1221780000000001E-2</v>
      </c>
      <c r="S2126">
        <v>-3.074036</v>
      </c>
      <c r="T2126">
        <v>-0.1546303</v>
      </c>
      <c r="U2126">
        <v>-9.5977779999999999E-2</v>
      </c>
      <c r="V2126">
        <v>-2.8476319999999999E-2</v>
      </c>
      <c r="W2126">
        <v>0.19090750000000001</v>
      </c>
      <c r="X2126">
        <v>0.98119489999999998</v>
      </c>
      <c r="Y2126">
        <v>-2.858728E-2</v>
      </c>
      <c r="Z2126">
        <v>-5.8830869999999997E-4</v>
      </c>
      <c r="AA2126">
        <v>0.99959109999999995</v>
      </c>
      <c r="AB2126">
        <v>42</v>
      </c>
      <c r="AC2126">
        <v>-21.634</v>
      </c>
      <c r="AD2126">
        <v>-1.1097815707029901</v>
      </c>
      <c r="AE2126">
        <v>-0.68790000000001295</v>
      </c>
      <c r="AF2126">
        <v>-0.63025412013065896</v>
      </c>
      <c r="AG2126">
        <v>-1.1097815707029901</v>
      </c>
      <c r="AH2126">
        <v>21.5789803065597</v>
      </c>
      <c r="AI2126">
        <v>92.942808065550807</v>
      </c>
      <c r="AJ2126">
        <v>91.672953857206906</v>
      </c>
      <c r="AK2126">
        <v>21.6166886099954</v>
      </c>
      <c r="AL2126">
        <v>78.994250443815005</v>
      </c>
      <c r="AM2126">
        <v>91.662376253982899</v>
      </c>
      <c r="AN2126">
        <v>1.0000000030714999</v>
      </c>
    </row>
    <row r="2127" spans="1:40" x14ac:dyDescent="0.25">
      <c r="A2127" t="str">
        <f>"20190312172411179"</f>
        <v>20190312172411179</v>
      </c>
      <c r="B2127" t="str">
        <f>"1552382651172151"</f>
        <v>1552382651172151</v>
      </c>
      <c r="C2127" t="s">
        <v>40</v>
      </c>
      <c r="D2127">
        <v>3.7231019999999999</v>
      </c>
      <c r="E2127">
        <v>0.497116</v>
      </c>
      <c r="F2127" t="s">
        <v>47</v>
      </c>
      <c r="G2127">
        <v>-377.87830000000002</v>
      </c>
      <c r="H2127" s="1">
        <v>2.6556290000000002E-6</v>
      </c>
      <c r="I2127">
        <v>283.0455</v>
      </c>
      <c r="J2127">
        <v>-356.23379999999997</v>
      </c>
      <c r="K2127">
        <v>1.1097709999999901</v>
      </c>
      <c r="L2127">
        <v>283.84500000000003</v>
      </c>
      <c r="M2127">
        <v>-0.99988089999999996</v>
      </c>
      <c r="N2127">
        <v>0</v>
      </c>
      <c r="O2127">
        <v>-2.1723739999999999E-3</v>
      </c>
      <c r="P2127">
        <v>-0.98401760000000005</v>
      </c>
      <c r="Q2127">
        <v>0.175308399999999</v>
      </c>
      <c r="R2127">
        <v>-3.1251929999999997E-2</v>
      </c>
      <c r="S2127">
        <v>-3.0731199999999999</v>
      </c>
      <c r="T2127">
        <v>-0.1546053</v>
      </c>
      <c r="U2127">
        <v>-0.1114807</v>
      </c>
      <c r="V2127">
        <v>-2.8908489999999998E-2</v>
      </c>
      <c r="W2127">
        <v>0.1903589</v>
      </c>
      <c r="X2127">
        <v>0.98128890000000002</v>
      </c>
      <c r="Y2127">
        <v>-3.4040689999999998E-2</v>
      </c>
      <c r="Z2127">
        <v>-7.4625630000000004E-4</v>
      </c>
      <c r="AA2127">
        <v>0.99942019999999998</v>
      </c>
      <c r="AB2127">
        <v>42</v>
      </c>
      <c r="AC2127">
        <v>-21.644500000000001</v>
      </c>
      <c r="AD2127">
        <v>-1.10976834437099</v>
      </c>
      <c r="AE2127">
        <v>-0.79950000000002297</v>
      </c>
      <c r="AF2127">
        <v>-0.75050238730936003</v>
      </c>
      <c r="AG2127">
        <v>-1.10976834437099</v>
      </c>
      <c r="AH2127">
        <v>21.589507198646</v>
      </c>
      <c r="AI2127">
        <v>92.940819551074995</v>
      </c>
      <c r="AJ2127">
        <v>91.990935248862399</v>
      </c>
      <c r="AK2127">
        <v>21.631034665311599</v>
      </c>
      <c r="AL2127">
        <v>79.026270721638994</v>
      </c>
      <c r="AM2127">
        <v>91.687429211565401</v>
      </c>
      <c r="AN2127">
        <v>1.00000005843324</v>
      </c>
    </row>
    <row r="2128" spans="1:40" x14ac:dyDescent="0.25">
      <c r="A2128" t="str">
        <f>"20190312172411202"</f>
        <v>20190312172411202</v>
      </c>
      <c r="B2128" t="str">
        <f>"1552382651191671"</f>
        <v>1552382651191671</v>
      </c>
      <c r="C2128" t="s">
        <v>40</v>
      </c>
      <c r="D2128">
        <v>3.706798</v>
      </c>
      <c r="E2128">
        <v>0.49616159999999998</v>
      </c>
      <c r="F2128" t="s">
        <v>47</v>
      </c>
      <c r="G2128">
        <v>-378.06060000000002</v>
      </c>
      <c r="H2128" s="1">
        <v>2.7526609999999999E-6</v>
      </c>
      <c r="I2128">
        <v>282.9803</v>
      </c>
      <c r="J2128">
        <v>-356.65039999999999</v>
      </c>
      <c r="K2128">
        <v>1.1097600000000001</v>
      </c>
      <c r="L2128">
        <v>283.84449999999998</v>
      </c>
      <c r="M2128">
        <v>-0.99988180000000004</v>
      </c>
      <c r="N2128">
        <v>0</v>
      </c>
      <c r="O2128">
        <v>-1.7455839999999999E-3</v>
      </c>
      <c r="P2128">
        <v>-0.98406709999999997</v>
      </c>
      <c r="Q2128">
        <v>0.17500270000000001</v>
      </c>
      <c r="R2128">
        <v>-3.1402289999999999E-2</v>
      </c>
      <c r="S2128">
        <v>-3.0726930000000001</v>
      </c>
      <c r="T2128">
        <v>-0.15622900000000001</v>
      </c>
      <c r="U2128">
        <v>-0.1217346</v>
      </c>
      <c r="V2128">
        <v>-2.9472709999999999E-2</v>
      </c>
      <c r="W2128">
        <v>0.19005079999999999</v>
      </c>
      <c r="X2128">
        <v>0.98133179999999998</v>
      </c>
      <c r="Y2128">
        <v>-3.7796200000000002E-2</v>
      </c>
      <c r="Z2128">
        <v>-8.7119460000000004E-4</v>
      </c>
      <c r="AA2128">
        <v>0.99928510000000004</v>
      </c>
      <c r="AB2128">
        <v>42</v>
      </c>
      <c r="AC2128">
        <v>-21.4102</v>
      </c>
      <c r="AD2128">
        <v>-1.1097572473390001</v>
      </c>
      <c r="AE2128">
        <v>-0.86419999999998198</v>
      </c>
      <c r="AF2128">
        <v>-0.82460916929802097</v>
      </c>
      <c r="AG2128">
        <v>-1.1097572473390001</v>
      </c>
      <c r="AH2128">
        <v>21.354397159154001</v>
      </c>
      <c r="AI2128">
        <v>92.972691320689606</v>
      </c>
      <c r="AJ2128">
        <v>92.211402262068205</v>
      </c>
      <c r="AK2128">
        <v>21.399107912737701</v>
      </c>
      <c r="AL2128">
        <v>79.044251428468499</v>
      </c>
      <c r="AM2128">
        <v>91.720268763228006</v>
      </c>
      <c r="AN2128">
        <v>1.00000002445331</v>
      </c>
    </row>
    <row r="2129" spans="1:40" x14ac:dyDescent="0.25">
      <c r="A2129" t="str">
        <f>"20190312172411225"</f>
        <v>20190312172411225</v>
      </c>
      <c r="B2129" t="str">
        <f>"1552382651221928"</f>
        <v>1552382651221928</v>
      </c>
      <c r="C2129" t="s">
        <v>40</v>
      </c>
      <c r="D2129">
        <v>3.7126800000000002</v>
      </c>
      <c r="E2129">
        <v>0.49514659999999999</v>
      </c>
      <c r="F2129" t="s">
        <v>47</v>
      </c>
      <c r="G2129">
        <v>-378.31979999999999</v>
      </c>
      <c r="H2129" s="1">
        <v>2.890581E-6</v>
      </c>
      <c r="I2129">
        <v>282.93209999999999</v>
      </c>
      <c r="J2129">
        <v>-357.06950000000001</v>
      </c>
      <c r="K2129">
        <v>1.1097490000000001</v>
      </c>
      <c r="L2129">
        <v>283.84410000000003</v>
      </c>
      <c r="M2129">
        <v>-0.99988250000000001</v>
      </c>
      <c r="N2129">
        <v>0</v>
      </c>
      <c r="O2129">
        <v>-1.3036320000000001E-3</v>
      </c>
      <c r="P2129">
        <v>-0.98412639999999996</v>
      </c>
      <c r="Q2129">
        <v>0.1746761</v>
      </c>
      <c r="R2129">
        <v>-3.1361390000000003E-2</v>
      </c>
      <c r="S2129">
        <v>-3.0724179999999999</v>
      </c>
      <c r="T2129">
        <v>-0.15734790000000001</v>
      </c>
      <c r="U2129">
        <v>-0.12936400000000001</v>
      </c>
      <c r="V2129">
        <v>-2.986022E-2</v>
      </c>
      <c r="W2129">
        <v>0.18972169999999999</v>
      </c>
      <c r="X2129">
        <v>0.98138369999999997</v>
      </c>
      <c r="Y2129">
        <v>-4.071346E-2</v>
      </c>
      <c r="Z2129">
        <v>-9.7469009999999999E-4</v>
      </c>
      <c r="AA2129">
        <v>0.99917040000000001</v>
      </c>
      <c r="AB2129">
        <v>42</v>
      </c>
      <c r="AC2129">
        <v>-21.2502999999999</v>
      </c>
      <c r="AD2129">
        <v>-1.109746109419</v>
      </c>
      <c r="AE2129">
        <v>-0.91200000000003401</v>
      </c>
      <c r="AF2129">
        <v>-0.88189274494554604</v>
      </c>
      <c r="AG2129">
        <v>-1.109746109419</v>
      </c>
      <c r="AH2129">
        <v>21.193777564618401</v>
      </c>
      <c r="AI2129">
        <v>92.994790706396898</v>
      </c>
      <c r="AJ2129">
        <v>92.382755947644696</v>
      </c>
      <c r="AK2129">
        <v>21.2411270581267</v>
      </c>
      <c r="AL2129">
        <v>79.063456193456304</v>
      </c>
      <c r="AM2129">
        <v>91.742781047163305</v>
      </c>
      <c r="AN2129">
        <v>0.99999996140751302</v>
      </c>
    </row>
    <row r="2130" spans="1:40" x14ac:dyDescent="0.25">
      <c r="A2130" t="str">
        <f>"20190312172411248"</f>
        <v>20190312172411248</v>
      </c>
      <c r="B2130" t="str">
        <f>"1552382651242424"</f>
        <v>1552382651242424</v>
      </c>
      <c r="C2130" t="s">
        <v>40</v>
      </c>
      <c r="D2130">
        <v>3.7171020000000001</v>
      </c>
      <c r="E2130">
        <v>0.49464770000000002</v>
      </c>
      <c r="F2130" t="s">
        <v>47</v>
      </c>
      <c r="G2130">
        <v>-378.73750000000001</v>
      </c>
      <c r="H2130" s="1">
        <v>3.112883E-6</v>
      </c>
      <c r="I2130">
        <v>282.87479999999999</v>
      </c>
      <c r="J2130">
        <v>-357.49119999999999</v>
      </c>
      <c r="K2130">
        <v>1.1097330000000001</v>
      </c>
      <c r="L2130">
        <v>283.84399999999999</v>
      </c>
      <c r="M2130">
        <v>-0.99988319999999997</v>
      </c>
      <c r="N2130">
        <v>0</v>
      </c>
      <c r="O2130">
        <v>-8.4571129999999996E-4</v>
      </c>
      <c r="P2130">
        <v>-0.98413810000000002</v>
      </c>
      <c r="Q2130">
        <v>0.17459749999999999</v>
      </c>
      <c r="R2130">
        <v>-3.1436310000000002E-2</v>
      </c>
      <c r="S2130">
        <v>-3.07193</v>
      </c>
      <c r="T2130">
        <v>-0.1573312</v>
      </c>
      <c r="U2130">
        <v>-0.13742070000000001</v>
      </c>
      <c r="V2130">
        <v>-3.037873E-2</v>
      </c>
      <c r="W2130">
        <v>0.18964020000000001</v>
      </c>
      <c r="X2130">
        <v>0.98138360000000002</v>
      </c>
      <c r="Y2130">
        <v>-4.3788470000000003E-2</v>
      </c>
      <c r="Z2130">
        <v>-1.0767680000000001E-3</v>
      </c>
      <c r="AA2130">
        <v>0.99904020000000004</v>
      </c>
      <c r="AB2130">
        <v>42</v>
      </c>
      <c r="AC2130">
        <v>-21.246300000000002</v>
      </c>
      <c r="AD2130">
        <v>-1.109729887117</v>
      </c>
      <c r="AE2130">
        <v>-0.96919999999999995</v>
      </c>
      <c r="AF2130">
        <v>-0.94864665063908205</v>
      </c>
      <c r="AG2130">
        <v>-1.109729887117</v>
      </c>
      <c r="AH2130">
        <v>21.189424316068099</v>
      </c>
      <c r="AI2130">
        <v>92.994954006229804</v>
      </c>
      <c r="AJ2130">
        <v>92.563409837310601</v>
      </c>
      <c r="AK2130">
        <v>21.2396594543441</v>
      </c>
      <c r="AL2130">
        <v>79.068212805410994</v>
      </c>
      <c r="AM2130">
        <v>91.773024726880493</v>
      </c>
      <c r="AN2130">
        <v>1.0000000215207001</v>
      </c>
    </row>
    <row r="2131" spans="1:40" x14ac:dyDescent="0.25">
      <c r="A2131" t="str">
        <f>"20190312172411269"</f>
        <v>20190312172411269</v>
      </c>
      <c r="B2131" t="str">
        <f>"1552382651261943"</f>
        <v>1552382651261943</v>
      </c>
      <c r="C2131" t="s">
        <v>40</v>
      </c>
      <c r="D2131">
        <v>3.7240359999999999</v>
      </c>
      <c r="E2131">
        <v>0.49421379999999998</v>
      </c>
      <c r="F2131" t="s">
        <v>47</v>
      </c>
      <c r="G2131">
        <v>-379.05180000000001</v>
      </c>
      <c r="H2131" s="1">
        <v>3.2801300000000001E-6</v>
      </c>
      <c r="I2131">
        <v>282.85210000000001</v>
      </c>
      <c r="J2131">
        <v>-357.89670000000001</v>
      </c>
      <c r="K2131">
        <v>1.109715</v>
      </c>
      <c r="L2131">
        <v>283.84410000000003</v>
      </c>
      <c r="M2131">
        <v>-0.99988339999999998</v>
      </c>
      <c r="N2131">
        <v>0</v>
      </c>
      <c r="O2131">
        <v>-3.9196590000000001E-4</v>
      </c>
      <c r="P2131">
        <v>-0.98423870000000002</v>
      </c>
      <c r="Q2131">
        <v>0.17402500000000001</v>
      </c>
      <c r="R2131">
        <v>-3.1455179999999999E-2</v>
      </c>
      <c r="S2131">
        <v>-3.0718990000000002</v>
      </c>
      <c r="T2131">
        <v>-0.15811169999999999</v>
      </c>
      <c r="U2131">
        <v>-0.14132690000000001</v>
      </c>
      <c r="V2131">
        <v>-3.0838000000000001E-2</v>
      </c>
      <c r="W2131">
        <v>0.18906619999999999</v>
      </c>
      <c r="X2131">
        <v>0.98148000000000002</v>
      </c>
      <c r="Y2131">
        <v>-4.5506539999999998E-2</v>
      </c>
      <c r="Z2131">
        <v>-1.1495730000000001E-3</v>
      </c>
      <c r="AA2131">
        <v>0.99896339999999995</v>
      </c>
      <c r="AB2131">
        <v>42</v>
      </c>
      <c r="AC2131">
        <v>-21.155100000000001</v>
      </c>
      <c r="AD2131">
        <v>-1.1097117198699999</v>
      </c>
      <c r="AE2131">
        <v>-0.99200000000001798</v>
      </c>
      <c r="AF2131">
        <v>-0.98101341528402997</v>
      </c>
      <c r="AG2131">
        <v>-1.1097117198699999</v>
      </c>
      <c r="AH2131">
        <v>21.097561914801599</v>
      </c>
      <c r="AI2131">
        <v>93.007685096426002</v>
      </c>
      <c r="AJ2131">
        <v>92.6622730670598</v>
      </c>
      <c r="AK2131">
        <v>21.149490919903201</v>
      </c>
      <c r="AL2131">
        <v>79.101706282014106</v>
      </c>
      <c r="AM2131">
        <v>91.799635411065395</v>
      </c>
      <c r="AN2131">
        <v>1.0000000003132199</v>
      </c>
    </row>
    <row r="2132" spans="1:40" x14ac:dyDescent="0.25">
      <c r="A2132" t="str">
        <f>"20190312172411291"</f>
        <v>20190312172411291</v>
      </c>
      <c r="B2132" t="str">
        <f>"1552382651282443"</f>
        <v>1552382651282443</v>
      </c>
      <c r="C2132" t="s">
        <v>40</v>
      </c>
      <c r="D2132">
        <v>3.7264249999999999</v>
      </c>
      <c r="E2132">
        <v>0.49385630000000003</v>
      </c>
      <c r="F2132" t="s">
        <v>47</v>
      </c>
      <c r="G2132">
        <v>-379.12459999999999</v>
      </c>
      <c r="H2132" s="1">
        <v>3.318882E-6</v>
      </c>
      <c r="I2132">
        <v>282.84530000000001</v>
      </c>
      <c r="J2132">
        <v>-358.30759999999998</v>
      </c>
      <c r="K2132">
        <v>1.1096969999999999</v>
      </c>
      <c r="L2132">
        <v>283.84440000000001</v>
      </c>
      <c r="M2132">
        <v>-0.99988370000000004</v>
      </c>
      <c r="N2132">
        <v>0</v>
      </c>
      <c r="O2132" s="1">
        <v>8.4933320000000004E-5</v>
      </c>
      <c r="P2132">
        <v>-0.9842398</v>
      </c>
      <c r="Q2132">
        <v>0.174154799999999</v>
      </c>
      <c r="R2132">
        <v>-3.0699609999999999E-2</v>
      </c>
      <c r="S2132">
        <v>-3.0718380000000001</v>
      </c>
      <c r="T2132">
        <v>-0.16058349999999999</v>
      </c>
      <c r="U2132">
        <v>-0.144531299999999</v>
      </c>
      <c r="V2132">
        <v>-3.0543339999999999E-2</v>
      </c>
      <c r="W2132">
        <v>0.1891922</v>
      </c>
      <c r="X2132">
        <v>0.98146489999999997</v>
      </c>
      <c r="Y2132">
        <v>-4.7019089999999999E-2</v>
      </c>
      <c r="Z2132">
        <v>-1.2319049999999999E-3</v>
      </c>
      <c r="AA2132">
        <v>0.99889329999999998</v>
      </c>
      <c r="AB2132">
        <v>42</v>
      </c>
      <c r="AC2132">
        <v>-20.817</v>
      </c>
      <c r="AD2132">
        <v>-1.109693681118</v>
      </c>
      <c r="AE2132">
        <v>-0.99909999999999799</v>
      </c>
      <c r="AF2132">
        <v>-0.99803870426296204</v>
      </c>
      <c r="AG2132">
        <v>-1.109693681118</v>
      </c>
      <c r="AH2132">
        <v>20.7580635567003</v>
      </c>
      <c r="AI2132">
        <v>93.0565061485309</v>
      </c>
      <c r="AJ2132">
        <v>92.752636527456005</v>
      </c>
      <c r="AK2132">
        <v>20.811648275548201</v>
      </c>
      <c r="AL2132">
        <v>79.094353960017401</v>
      </c>
      <c r="AM2132">
        <v>91.782478276571894</v>
      </c>
      <c r="AN2132">
        <v>0.99999996704560201</v>
      </c>
    </row>
    <row r="2133" spans="1:40" x14ac:dyDescent="0.25">
      <c r="A2133" t="str">
        <f>"20190312172411313"</f>
        <v>20190312172411313</v>
      </c>
      <c r="B2133" t="str">
        <f>"1552382651301959"</f>
        <v>1552382651301959</v>
      </c>
      <c r="C2133" t="s">
        <v>40</v>
      </c>
      <c r="D2133">
        <v>3.6987709999999998</v>
      </c>
      <c r="E2133">
        <v>0.49345480000000003</v>
      </c>
      <c r="F2133" t="s">
        <v>47</v>
      </c>
      <c r="G2133">
        <v>-379.50560000000002</v>
      </c>
      <c r="H2133" s="1">
        <v>3.5216260000000002E-6</v>
      </c>
      <c r="I2133">
        <v>282.8417</v>
      </c>
      <c r="J2133">
        <v>-358.7201</v>
      </c>
      <c r="K2133">
        <v>1.1096820000000001</v>
      </c>
      <c r="L2133">
        <v>283.84480000000002</v>
      </c>
      <c r="M2133">
        <v>-0.99988350000000004</v>
      </c>
      <c r="N2133">
        <v>0</v>
      </c>
      <c r="O2133">
        <v>5.8450539999999995E-4</v>
      </c>
      <c r="P2133">
        <v>-0.98430709999999999</v>
      </c>
      <c r="Q2133">
        <v>0.17385320000000001</v>
      </c>
      <c r="R2133">
        <v>-3.0247349999999999E-2</v>
      </c>
      <c r="S2133">
        <v>-3.07193</v>
      </c>
      <c r="T2133">
        <v>-0.16081239999999999</v>
      </c>
      <c r="U2133">
        <v>-0.14529420000000001</v>
      </c>
      <c r="V2133">
        <v>-3.0574179999999999E-2</v>
      </c>
      <c r="W2133">
        <v>0.18888830000000001</v>
      </c>
      <c r="X2133">
        <v>0.98152249999999996</v>
      </c>
      <c r="Y2133">
        <v>-4.7762409999999998E-2</v>
      </c>
      <c r="Z2133">
        <v>-1.2791689999999999E-3</v>
      </c>
      <c r="AA2133">
        <v>0.99885789999999997</v>
      </c>
      <c r="AB2133">
        <v>42</v>
      </c>
      <c r="AC2133">
        <v>-20.785499999999999</v>
      </c>
      <c r="AD2133">
        <v>-1.1096784783739999</v>
      </c>
      <c r="AE2133">
        <v>-1.0031000000000101</v>
      </c>
      <c r="AF2133">
        <v>-1.0123717347518999</v>
      </c>
      <c r="AG2133">
        <v>-1.1096784783739999</v>
      </c>
      <c r="AH2133">
        <v>20.725974417939099</v>
      </c>
      <c r="AI2133">
        <v>93.0610744007367</v>
      </c>
      <c r="AJ2133">
        <v>92.796421610982406</v>
      </c>
      <c r="AK2133">
        <v>20.780334415686301</v>
      </c>
      <c r="AL2133">
        <v>79.112086165137498</v>
      </c>
      <c r="AM2133">
        <v>91.7841722633854</v>
      </c>
      <c r="AN2133">
        <v>0.99999999418290597</v>
      </c>
    </row>
    <row r="2134" spans="1:40" x14ac:dyDescent="0.25">
      <c r="A2134" t="str">
        <f>"20190312172411337"</f>
        <v>20190312172411337</v>
      </c>
      <c r="B2134" t="str">
        <f>"1552382651332216"</f>
        <v>1552382651332216</v>
      </c>
      <c r="C2134" t="s">
        <v>40</v>
      </c>
      <c r="D2134">
        <v>3.7363719999999998</v>
      </c>
      <c r="E2134">
        <v>0.49303259999999999</v>
      </c>
      <c r="F2134" t="s">
        <v>47</v>
      </c>
      <c r="G2134">
        <v>-379.8449</v>
      </c>
      <c r="H2134" s="1">
        <v>3.7021620000000001E-6</v>
      </c>
      <c r="I2134">
        <v>282.83640000000003</v>
      </c>
      <c r="J2134">
        <v>-359.14120000000003</v>
      </c>
      <c r="K2134">
        <v>1.1096649999999999</v>
      </c>
      <c r="L2134">
        <v>283.84559999999999</v>
      </c>
      <c r="M2134">
        <v>-0.99988319999999997</v>
      </c>
      <c r="N2134">
        <v>0</v>
      </c>
      <c r="O2134">
        <v>1.115504E-3</v>
      </c>
      <c r="P2134">
        <v>-0.9844058</v>
      </c>
      <c r="Q2134">
        <v>0.1734145</v>
      </c>
      <c r="R2134">
        <v>-2.954797E-2</v>
      </c>
      <c r="S2134">
        <v>-3.071777</v>
      </c>
      <c r="T2134">
        <v>-0.1613598</v>
      </c>
      <c r="U2134">
        <v>-0.14663699999999999</v>
      </c>
      <c r="V2134">
        <v>-3.0389119999999999E-2</v>
      </c>
      <c r="W2134">
        <v>0.18844720000000001</v>
      </c>
      <c r="X2134">
        <v>0.98161299999999996</v>
      </c>
      <c r="Y2134">
        <v>-4.8728309999999997E-2</v>
      </c>
      <c r="Z2134">
        <v>-1.3367660000000001E-3</v>
      </c>
      <c r="AA2134">
        <v>0.99881120000000001</v>
      </c>
      <c r="AB2134">
        <v>41</v>
      </c>
      <c r="AC2134">
        <v>-20.703699999999898</v>
      </c>
      <c r="AD2134">
        <v>-1.1096612978379901</v>
      </c>
      <c r="AE2134">
        <v>-1.0091999999999599</v>
      </c>
      <c r="AF2134">
        <v>-1.02934715556778</v>
      </c>
      <c r="AG2134">
        <v>-1.1096612978379901</v>
      </c>
      <c r="AH2134">
        <v>20.643400220415899</v>
      </c>
      <c r="AI2134">
        <v>93.073094181030399</v>
      </c>
      <c r="AJ2134">
        <v>92.854589872762901</v>
      </c>
      <c r="AK2134">
        <v>20.698813406155999</v>
      </c>
      <c r="AL2134">
        <v>79.137821181431406</v>
      </c>
      <c r="AM2134">
        <v>91.773216514259801</v>
      </c>
      <c r="AN2134">
        <v>0.99999996378560596</v>
      </c>
    </row>
    <row r="2135" spans="1:40" x14ac:dyDescent="0.25">
      <c r="A2135" t="str">
        <f>"20190312172411359"</f>
        <v>20190312172411359</v>
      </c>
      <c r="B2135" t="str">
        <f>"1552382651351739"</f>
        <v>1552382651351739</v>
      </c>
      <c r="C2135" t="s">
        <v>40</v>
      </c>
      <c r="D2135">
        <v>3.7227139999999999</v>
      </c>
      <c r="E2135">
        <v>0.49278379999999999</v>
      </c>
      <c r="F2135" t="s">
        <v>47</v>
      </c>
      <c r="G2135">
        <v>-379.96800000000002</v>
      </c>
      <c r="H2135" s="1">
        <v>-1.5537959999999999E-6</v>
      </c>
      <c r="I2135">
        <v>282.84289999999999</v>
      </c>
      <c r="J2135">
        <v>-359.56380000000001</v>
      </c>
      <c r="K2135">
        <v>1.1096469999999901</v>
      </c>
      <c r="L2135">
        <v>283.84649999999999</v>
      </c>
      <c r="M2135">
        <v>-0.99988250000000001</v>
      </c>
      <c r="N2135">
        <v>0</v>
      </c>
      <c r="O2135">
        <v>1.665859E-3</v>
      </c>
      <c r="P2135">
        <v>-0.98449249999999999</v>
      </c>
      <c r="Q2135">
        <v>0.17303080000000001</v>
      </c>
      <c r="R2135">
        <v>-2.889653E-2</v>
      </c>
      <c r="S2135">
        <v>-3.07193</v>
      </c>
      <c r="T2135">
        <v>-0.1636745</v>
      </c>
      <c r="U2135">
        <v>-0.1478882</v>
      </c>
      <c r="V2135">
        <v>-3.027204E-2</v>
      </c>
      <c r="W2135">
        <v>0.18806129999999999</v>
      </c>
      <c r="X2135">
        <v>0.98169059999999997</v>
      </c>
      <c r="Y2135">
        <v>-4.9677489999999998E-2</v>
      </c>
      <c r="Z2135">
        <v>-1.4103779999999999E-3</v>
      </c>
      <c r="AA2135">
        <v>0.99876430000000005</v>
      </c>
      <c r="AB2135">
        <v>41</v>
      </c>
      <c r="AC2135">
        <v>-20.404199999999999</v>
      </c>
      <c r="AD2135">
        <v>-1.1096485537959999</v>
      </c>
      <c r="AE2135">
        <v>-1.0036</v>
      </c>
      <c r="AF2135">
        <v>-1.0345407552257</v>
      </c>
      <c r="AG2135">
        <v>-1.1096485537959999</v>
      </c>
      <c r="AH2135">
        <v>20.342480974028501</v>
      </c>
      <c r="AI2135">
        <v>93.118273352852498</v>
      </c>
      <c r="AJ2135">
        <v>92.911335958488493</v>
      </c>
      <c r="AK2135">
        <v>20.398973666973401</v>
      </c>
      <c r="AL2135">
        <v>79.160333904221503</v>
      </c>
      <c r="AM2135">
        <v>91.766249648907603</v>
      </c>
      <c r="AN2135">
        <v>0.99999994154590399</v>
      </c>
    </row>
    <row r="2136" spans="1:40" x14ac:dyDescent="0.25">
      <c r="A2136" t="str">
        <f>"20190312172411381"</f>
        <v>20190312172411381</v>
      </c>
      <c r="B2136" t="str">
        <f>"1552382651372232"</f>
        <v>1552382651372232</v>
      </c>
      <c r="C2136" t="s">
        <v>40</v>
      </c>
      <c r="D2136">
        <v>3.7445219999999999</v>
      </c>
      <c r="E2136">
        <v>0.49252570000000001</v>
      </c>
      <c r="F2136" t="s">
        <v>47</v>
      </c>
      <c r="G2136">
        <v>-380.15230000000003</v>
      </c>
      <c r="H2136" s="1">
        <v>-1.455721E-6</v>
      </c>
      <c r="I2136">
        <v>282.86</v>
      </c>
      <c r="J2136">
        <v>-359.96039999999999</v>
      </c>
      <c r="K2136">
        <v>1.1096330000000001</v>
      </c>
      <c r="L2136">
        <v>283.8476</v>
      </c>
      <c r="M2136">
        <v>-0.99988149999999998</v>
      </c>
      <c r="N2136">
        <v>0</v>
      </c>
      <c r="O2136">
        <v>2.1962959999999999E-3</v>
      </c>
      <c r="P2136">
        <v>-0.98455720000000002</v>
      </c>
      <c r="Q2136">
        <v>0.1727204</v>
      </c>
      <c r="R2136">
        <v>-2.855154E-2</v>
      </c>
      <c r="S2136">
        <v>-3.0719910000000001</v>
      </c>
      <c r="T2136">
        <v>-0.16556969999999999</v>
      </c>
      <c r="U2136">
        <v>-0.14718629999999999</v>
      </c>
      <c r="V2136">
        <v>-3.0442420000000001E-2</v>
      </c>
      <c r="W2136">
        <v>0.18774840000000001</v>
      </c>
      <c r="X2136">
        <v>0.98174530000000004</v>
      </c>
      <c r="Y2136">
        <v>-4.9975810000000002E-2</v>
      </c>
      <c r="Z2136">
        <v>-1.4632499999999999E-3</v>
      </c>
      <c r="AA2136">
        <v>0.99874940000000001</v>
      </c>
      <c r="AB2136">
        <v>41</v>
      </c>
      <c r="AC2136">
        <v>-20.1919</v>
      </c>
      <c r="AD2136">
        <v>-1.1096344557210001</v>
      </c>
      <c r="AE2136">
        <v>-0.98759999999998604</v>
      </c>
      <c r="AF2136">
        <v>-1.0288504527703799</v>
      </c>
      <c r="AG2136">
        <v>-1.1096344557210001</v>
      </c>
      <c r="AH2136">
        <v>20.129037561263399</v>
      </c>
      <c r="AI2136">
        <v>93.151191482327107</v>
      </c>
      <c r="AJ2136">
        <v>92.925998523471804</v>
      </c>
      <c r="AK2136">
        <v>20.185836000082801</v>
      </c>
      <c r="AL2136">
        <v>79.178587732148799</v>
      </c>
      <c r="AM2136">
        <v>91.776085374262294</v>
      </c>
      <c r="AN2136">
        <v>1.0000000183550499</v>
      </c>
    </row>
    <row r="2137" spans="1:40" x14ac:dyDescent="0.25">
      <c r="A2137" t="str">
        <f>"20190312172411403"</f>
        <v>20190312172411403</v>
      </c>
      <c r="B2137" t="str">
        <f>"1552382651391755"</f>
        <v>1552382651391755</v>
      </c>
      <c r="C2137" t="s">
        <v>40</v>
      </c>
      <c r="D2137">
        <v>3.7341069999999998</v>
      </c>
      <c r="E2137">
        <v>0.49223909999999998</v>
      </c>
      <c r="F2137" t="s">
        <v>47</v>
      </c>
      <c r="G2137">
        <v>-380.30349999999999</v>
      </c>
      <c r="H2137" s="1">
        <v>-1.3752719999999899E-6</v>
      </c>
      <c r="I2137">
        <v>282.86689999999999</v>
      </c>
      <c r="J2137">
        <v>-360.36790000000002</v>
      </c>
      <c r="K2137">
        <v>1.109623</v>
      </c>
      <c r="L2137">
        <v>283.84899999999999</v>
      </c>
      <c r="M2137">
        <v>-0.99988030000000006</v>
      </c>
      <c r="N2137">
        <v>0</v>
      </c>
      <c r="O2137">
        <v>2.751842E-3</v>
      </c>
      <c r="P2137">
        <v>-0.98447099999999998</v>
      </c>
      <c r="Q2137">
        <v>0.17339350000000001</v>
      </c>
      <c r="R2137">
        <v>-2.7419289999999999E-2</v>
      </c>
      <c r="S2137">
        <v>-3.072174</v>
      </c>
      <c r="T2137">
        <v>-0.167574799999999</v>
      </c>
      <c r="U2137">
        <v>-0.14810179999999901</v>
      </c>
      <c r="V2137">
        <v>-2.985055E-2</v>
      </c>
      <c r="W2137">
        <v>0.18841579999999999</v>
      </c>
      <c r="X2137">
        <v>0.98163560000000005</v>
      </c>
      <c r="Y2137">
        <v>-5.0820909999999997E-2</v>
      </c>
      <c r="Z2137">
        <v>-1.5341300000000001E-3</v>
      </c>
      <c r="AA2137">
        <v>0.9987066</v>
      </c>
      <c r="AB2137">
        <v>41</v>
      </c>
      <c r="AC2137">
        <v>-19.935599999999901</v>
      </c>
      <c r="AD2137">
        <v>-1.1096243752720001</v>
      </c>
      <c r="AE2137">
        <v>-0.98210000000000197</v>
      </c>
      <c r="AF2137">
        <v>-1.0337673162825201</v>
      </c>
      <c r="AG2137">
        <v>-1.1096243752720001</v>
      </c>
      <c r="AH2137">
        <v>19.8714073365052</v>
      </c>
      <c r="AI2137">
        <v>93.191784299620394</v>
      </c>
      <c r="AJ2137">
        <v>92.978005354851703</v>
      </c>
      <c r="AK2137">
        <v>19.9291939288001</v>
      </c>
      <c r="AL2137">
        <v>79.139653594253502</v>
      </c>
      <c r="AM2137">
        <v>91.741770209659705</v>
      </c>
      <c r="AN2137">
        <v>1.0000000101061499</v>
      </c>
    </row>
    <row r="2138" spans="1:40" x14ac:dyDescent="0.25">
      <c r="A2138" t="str">
        <f>"20190312172411425"</f>
        <v>20190312172411425</v>
      </c>
      <c r="B2138" t="str">
        <f>"1552382651422007"</f>
        <v>1552382651422007</v>
      </c>
      <c r="C2138" t="s">
        <v>40</v>
      </c>
      <c r="D2138">
        <v>3.7401759999999999</v>
      </c>
      <c r="E2138">
        <v>0.49185279999999998</v>
      </c>
      <c r="F2138" t="s">
        <v>47</v>
      </c>
      <c r="G2138">
        <v>-380.84910000000002</v>
      </c>
      <c r="H2138" s="1">
        <v>-1.084939E-6</v>
      </c>
      <c r="I2138">
        <v>282.86840000000001</v>
      </c>
      <c r="J2138">
        <v>-360.7946</v>
      </c>
      <c r="K2138">
        <v>1.1096140000000001</v>
      </c>
      <c r="L2138">
        <v>283.85070000000002</v>
      </c>
      <c r="M2138">
        <v>-0.9998785</v>
      </c>
      <c r="N2138">
        <v>0</v>
      </c>
      <c r="O2138">
        <v>3.341976E-3</v>
      </c>
      <c r="P2138">
        <v>-0.98441650000000003</v>
      </c>
      <c r="Q2138">
        <v>0.17382400000000001</v>
      </c>
      <c r="R2138">
        <v>-2.6640879999999999E-2</v>
      </c>
      <c r="S2138">
        <v>-3.07254</v>
      </c>
      <c r="T2138">
        <v>-0.16646279999999999</v>
      </c>
      <c r="U2138">
        <v>-0.14709469999999999</v>
      </c>
      <c r="V2138">
        <v>-2.964775E-2</v>
      </c>
      <c r="W2138">
        <v>0.18884100000000001</v>
      </c>
      <c r="X2138">
        <v>0.98156010000000005</v>
      </c>
      <c r="Y2138">
        <v>-5.1077860000000003E-2</v>
      </c>
      <c r="Z2138">
        <v>-1.5626829999999901E-3</v>
      </c>
      <c r="AA2138">
        <v>0.99869350000000001</v>
      </c>
      <c r="AB2138">
        <v>41</v>
      </c>
      <c r="AC2138">
        <v>-20.054500000000001</v>
      </c>
      <c r="AD2138">
        <v>-1.1096150849390001</v>
      </c>
      <c r="AE2138">
        <v>-0.98230000000000905</v>
      </c>
      <c r="AF2138">
        <v>-1.0461289796169899</v>
      </c>
      <c r="AG2138">
        <v>-1.1096150849390001</v>
      </c>
      <c r="AH2138">
        <v>19.9900535674049</v>
      </c>
      <c r="AI2138">
        <v>93.172801515500296</v>
      </c>
      <c r="AJ2138">
        <v>92.995697186446506</v>
      </c>
      <c r="AK2138">
        <v>20.0481388938334</v>
      </c>
      <c r="AL2138">
        <v>79.114846770402295</v>
      </c>
      <c r="AM2138">
        <v>91.730077092015193</v>
      </c>
      <c r="AN2138">
        <v>1.00000007113653</v>
      </c>
    </row>
    <row r="2139" spans="1:40" x14ac:dyDescent="0.25">
      <c r="A2139" t="str">
        <f>"20190312172411449"</f>
        <v>20190312172411449</v>
      </c>
      <c r="B2139" t="str">
        <f>"1552382651442503"</f>
        <v>1552382651442503</v>
      </c>
      <c r="C2139" t="s">
        <v>40</v>
      </c>
      <c r="D2139">
        <v>3.7358169999999999</v>
      </c>
      <c r="E2139">
        <v>0.4916682</v>
      </c>
      <c r="F2139" t="s">
        <v>47</v>
      </c>
      <c r="G2139">
        <v>-381.51690000000002</v>
      </c>
      <c r="H2139" s="1">
        <v>-7.2955729999999998E-7</v>
      </c>
      <c r="I2139">
        <v>282.85559999999998</v>
      </c>
      <c r="J2139">
        <v>-361.21870000000001</v>
      </c>
      <c r="K2139">
        <v>1.1096090000000001</v>
      </c>
      <c r="L2139">
        <v>283.85270000000003</v>
      </c>
      <c r="M2139">
        <v>-0.9998764</v>
      </c>
      <c r="N2139">
        <v>0</v>
      </c>
      <c r="O2139">
        <v>3.9329040000000001E-3</v>
      </c>
      <c r="P2139">
        <v>-0.9844733</v>
      </c>
      <c r="Q2139">
        <v>0.17364109999999999</v>
      </c>
      <c r="R2139">
        <v>-2.5712700000000002E-2</v>
      </c>
      <c r="S2139">
        <v>-3.07254</v>
      </c>
      <c r="T2139">
        <v>-0.16452520000000001</v>
      </c>
      <c r="U2139">
        <v>-0.1475525</v>
      </c>
      <c r="V2139">
        <v>-2.9297779999999999E-2</v>
      </c>
      <c r="W2139">
        <v>0.18865460000000001</v>
      </c>
      <c r="X2139">
        <v>0.98160639999999999</v>
      </c>
      <c r="Y2139">
        <v>-5.1816470000000003E-2</v>
      </c>
      <c r="Z2139">
        <v>-1.5958700000000001E-3</v>
      </c>
      <c r="AA2139">
        <v>0.99865539999999997</v>
      </c>
      <c r="AB2139">
        <v>41</v>
      </c>
      <c r="AC2139">
        <v>-20.298200000000001</v>
      </c>
      <c r="AD2139">
        <v>-1.1096097295573</v>
      </c>
      <c r="AE2139">
        <v>-0.99710000000004495</v>
      </c>
      <c r="AF2139">
        <v>-1.0737314921643699</v>
      </c>
      <c r="AG2139">
        <v>-1.1096097295573</v>
      </c>
      <c r="AH2139">
        <v>20.233801733043801</v>
      </c>
      <c r="AI2139">
        <v>93.134521056059398</v>
      </c>
      <c r="AJ2139">
        <v>93.0376215740297</v>
      </c>
      <c r="AK2139">
        <v>20.292630821096601</v>
      </c>
      <c r="AL2139">
        <v>79.125721633096902</v>
      </c>
      <c r="AM2139">
        <v>91.709586397207204</v>
      </c>
      <c r="AN2139">
        <v>1.00000002126752</v>
      </c>
    </row>
    <row r="2140" spans="1:40" x14ac:dyDescent="0.25">
      <c r="A2140" t="str">
        <f>"20190312172411470"</f>
        <v>20190312172411470</v>
      </c>
      <c r="B2140" t="str">
        <f>"1552382651462023"</f>
        <v>1552382651462023</v>
      </c>
      <c r="C2140" t="s">
        <v>40</v>
      </c>
      <c r="D2140">
        <v>3.8096519999999998</v>
      </c>
      <c r="E2140">
        <v>0.49139969999999999</v>
      </c>
      <c r="F2140" t="s">
        <v>47</v>
      </c>
      <c r="G2140">
        <v>-381.84930000000003</v>
      </c>
      <c r="H2140" s="1">
        <v>-5.5269289999999999E-7</v>
      </c>
      <c r="I2140">
        <v>282.87119999999999</v>
      </c>
      <c r="J2140">
        <v>-361.61450000000002</v>
      </c>
      <c r="K2140">
        <v>1.1096109999999999</v>
      </c>
      <c r="L2140">
        <v>283.85469999999998</v>
      </c>
      <c r="M2140">
        <v>-0.99987420000000005</v>
      </c>
      <c r="N2140">
        <v>0</v>
      </c>
      <c r="O2140">
        <v>4.4871390000000002E-3</v>
      </c>
      <c r="P2140">
        <v>-0.98440510000000003</v>
      </c>
      <c r="Q2140">
        <v>0.17415349999999999</v>
      </c>
      <c r="R2140">
        <v>-2.4850379999999998E-2</v>
      </c>
      <c r="S2140">
        <v>-3.0726010000000001</v>
      </c>
      <c r="T2140">
        <v>-0.16525879999999901</v>
      </c>
      <c r="U2140">
        <v>-0.14617920000000001</v>
      </c>
      <c r="V2140">
        <v>-2.8977559999999999E-2</v>
      </c>
      <c r="W2140">
        <v>0.1891613</v>
      </c>
      <c r="X2140">
        <v>0.98151840000000001</v>
      </c>
      <c r="Y2140">
        <v>-5.1922080000000002E-2</v>
      </c>
      <c r="Z2140">
        <v>-1.635573E-3</v>
      </c>
      <c r="AA2140">
        <v>0.99864980000000003</v>
      </c>
      <c r="AB2140">
        <v>41</v>
      </c>
      <c r="AC2140">
        <v>-20.2348</v>
      </c>
      <c r="AD2140">
        <v>-1.10961155269289</v>
      </c>
      <c r="AE2140">
        <v>-0.98349999999999205</v>
      </c>
      <c r="AF2140">
        <v>-1.07108372895519</v>
      </c>
      <c r="AG2140">
        <v>-1.10961155269289</v>
      </c>
      <c r="AH2140">
        <v>20.169673876211998</v>
      </c>
      <c r="AI2140">
        <v>93.144465981756099</v>
      </c>
      <c r="AJ2140">
        <v>93.039761004543394</v>
      </c>
      <c r="AK2140">
        <v>20.228549192293801</v>
      </c>
      <c r="AL2140">
        <v>79.096157683908501</v>
      </c>
      <c r="AM2140">
        <v>91.691063315773306</v>
      </c>
      <c r="AN2140">
        <v>1.0000000329698999</v>
      </c>
    </row>
    <row r="2141" spans="1:40" x14ac:dyDescent="0.25">
      <c r="A2141" t="str">
        <f>"20190312172411492"</f>
        <v>20190312172411492</v>
      </c>
      <c r="B2141" t="str">
        <f>"1552382651482520"</f>
        <v>1552382651482520</v>
      </c>
      <c r="C2141" t="s">
        <v>40</v>
      </c>
      <c r="D2141">
        <v>3.806203</v>
      </c>
      <c r="E2141">
        <v>0.49114999999999998</v>
      </c>
      <c r="F2141" t="s">
        <v>47</v>
      </c>
      <c r="G2141">
        <v>-382.29969999999997</v>
      </c>
      <c r="H2141" s="1">
        <v>-3.129994E-7</v>
      </c>
      <c r="I2141">
        <v>282.8734</v>
      </c>
      <c r="J2141">
        <v>-362.02</v>
      </c>
      <c r="K2141">
        <v>1.109613</v>
      </c>
      <c r="L2141">
        <v>283.8571</v>
      </c>
      <c r="M2141">
        <v>-0.99987139999999997</v>
      </c>
      <c r="N2141">
        <v>0</v>
      </c>
      <c r="O2141">
        <v>5.0556660000000003E-3</v>
      </c>
      <c r="P2141">
        <v>-0.98434600000000005</v>
      </c>
      <c r="Q2141">
        <v>0.17463589999999901</v>
      </c>
      <c r="R2141">
        <v>-2.3777449999999999E-2</v>
      </c>
      <c r="S2141">
        <v>-3.0729980000000001</v>
      </c>
      <c r="T2141">
        <v>-0.1648443</v>
      </c>
      <c r="U2141">
        <v>-0.14578250000000001</v>
      </c>
      <c r="V2141">
        <v>-2.8461E-2</v>
      </c>
      <c r="W2141">
        <v>0.18963740000000001</v>
      </c>
      <c r="X2141">
        <v>0.98144160000000003</v>
      </c>
      <c r="Y2141">
        <v>-5.2354129999999999E-2</v>
      </c>
      <c r="Z2141">
        <v>-1.6733080000000001E-3</v>
      </c>
      <c r="AA2141">
        <v>0.99862720000000005</v>
      </c>
      <c r="AB2141">
        <v>41</v>
      </c>
      <c r="AC2141">
        <v>-20.279699999999899</v>
      </c>
      <c r="AD2141">
        <v>-1.1096133129993999</v>
      </c>
      <c r="AE2141">
        <v>-0.98369999999999802</v>
      </c>
      <c r="AF2141">
        <v>-1.0829920590936699</v>
      </c>
      <c r="AG2141">
        <v>-1.1096133129993999</v>
      </c>
      <c r="AH2141">
        <v>20.2140923875601</v>
      </c>
      <c r="AI2141">
        <v>93.137496429742399</v>
      </c>
      <c r="AJ2141">
        <v>93.066751890624701</v>
      </c>
      <c r="AK2141">
        <v>20.2734714481082</v>
      </c>
      <c r="AL2141">
        <v>79.068375884081306</v>
      </c>
      <c r="AM2141">
        <v>91.661065007757003</v>
      </c>
      <c r="AN2141">
        <v>0.99999999310515997</v>
      </c>
    </row>
    <row r="2142" spans="1:40" x14ac:dyDescent="0.25">
      <c r="A2142" t="str">
        <f>"20190312172411514"</f>
        <v>20190312172411514</v>
      </c>
      <c r="B2142" t="str">
        <f>"1552382651511800"</f>
        <v>1552382651511800</v>
      </c>
      <c r="C2142" t="s">
        <v>40</v>
      </c>
      <c r="D2142">
        <v>3.757196</v>
      </c>
      <c r="E2142">
        <v>0.49085020000000001</v>
      </c>
      <c r="F2142" t="s">
        <v>47</v>
      </c>
      <c r="G2142">
        <v>-382.74900000000002</v>
      </c>
      <c r="H2142" s="1">
        <v>-7.3888879999999996E-8</v>
      </c>
      <c r="I2142">
        <v>282.88330000000002</v>
      </c>
      <c r="J2142">
        <v>-362.42739999999998</v>
      </c>
      <c r="K2142">
        <v>1.1096159999999999</v>
      </c>
      <c r="L2142">
        <v>283.8596</v>
      </c>
      <c r="M2142">
        <v>-0.99986839999999999</v>
      </c>
      <c r="N2142">
        <v>0</v>
      </c>
      <c r="O2142">
        <v>5.627038E-3</v>
      </c>
      <c r="P2142">
        <v>-0.98430099999999998</v>
      </c>
      <c r="Q2142">
        <v>0.1749974</v>
      </c>
      <c r="R2142">
        <v>-2.296805E-2</v>
      </c>
      <c r="S2142">
        <v>-3.0733950000000001</v>
      </c>
      <c r="T2142">
        <v>-0.16451689999999999</v>
      </c>
      <c r="U2142">
        <v>-0.1443787</v>
      </c>
      <c r="V2142">
        <v>-2.8211920000000001E-2</v>
      </c>
      <c r="W2142">
        <v>0.1899933</v>
      </c>
      <c r="X2142">
        <v>0.98138000000000003</v>
      </c>
      <c r="Y2142">
        <v>-5.2462950000000001E-2</v>
      </c>
      <c r="Z2142">
        <v>-1.7032529999999901E-3</v>
      </c>
      <c r="AA2142">
        <v>0.99862139999999999</v>
      </c>
      <c r="AB2142">
        <v>41</v>
      </c>
      <c r="AC2142">
        <v>-20.3216</v>
      </c>
      <c r="AD2142">
        <v>-1.1096160738888701</v>
      </c>
      <c r="AE2142">
        <v>-0.97629999999997996</v>
      </c>
      <c r="AF2142">
        <v>-1.0874135751068099</v>
      </c>
      <c r="AG2142">
        <v>-1.1096160738888701</v>
      </c>
      <c r="AH2142">
        <v>20.255531794895699</v>
      </c>
      <c r="AI2142">
        <v>93.131080039188802</v>
      </c>
      <c r="AJ2142">
        <v>93.072960890362907</v>
      </c>
      <c r="AK2142">
        <v>20.315026074528902</v>
      </c>
      <c r="AL2142">
        <v>79.047607197993798</v>
      </c>
      <c r="AM2142">
        <v>91.646639321272204</v>
      </c>
      <c r="AN2142">
        <v>1.0000000354374801</v>
      </c>
    </row>
    <row r="2143" spans="1:40" x14ac:dyDescent="0.25">
      <c r="A2143" t="str">
        <f>"20190312172411538"</f>
        <v>20190312172411538</v>
      </c>
      <c r="B2143" t="str">
        <f>"1552382651532295"</f>
        <v>1552382651532295</v>
      </c>
      <c r="C2143" t="s">
        <v>40</v>
      </c>
      <c r="D2143">
        <v>3.7509860000000002</v>
      </c>
      <c r="E2143">
        <v>0.4906798</v>
      </c>
      <c r="F2143" t="s">
        <v>47</v>
      </c>
      <c r="G2143">
        <v>-383.07350000000002</v>
      </c>
      <c r="H2143" s="1">
        <v>9.8792380000000004E-8</v>
      </c>
      <c r="I2143">
        <v>282.8913</v>
      </c>
      <c r="J2143">
        <v>-362.84410000000003</v>
      </c>
      <c r="K2143">
        <v>1.109621</v>
      </c>
      <c r="L2143">
        <v>283.86250000000001</v>
      </c>
      <c r="M2143">
        <v>-0.99986509999999995</v>
      </c>
      <c r="N2143">
        <v>0</v>
      </c>
      <c r="O2143">
        <v>6.2112160000000003E-3</v>
      </c>
      <c r="P2143">
        <v>-0.9842784</v>
      </c>
      <c r="Q2143">
        <v>0.17518249999999999</v>
      </c>
      <c r="R2143">
        <v>-2.251999E-2</v>
      </c>
      <c r="S2143">
        <v>-3.0738219999999998</v>
      </c>
      <c r="T2143">
        <v>-0.16520070000000001</v>
      </c>
      <c r="U2143">
        <v>-0.14416499999999999</v>
      </c>
      <c r="V2143">
        <v>-2.8336790000000001E-2</v>
      </c>
      <c r="W2143">
        <v>0.19017400000000001</v>
      </c>
      <c r="X2143">
        <v>0.98134140000000003</v>
      </c>
      <c r="Y2143">
        <v>-5.2968389999999997E-2</v>
      </c>
      <c r="Z2143">
        <v>-1.755015E-3</v>
      </c>
      <c r="AA2143">
        <v>0.9985946</v>
      </c>
      <c r="AB2143">
        <v>41</v>
      </c>
      <c r="AC2143">
        <v>-20.229399999999998</v>
      </c>
      <c r="AD2143">
        <v>-1.1096209012076199</v>
      </c>
      <c r="AE2143">
        <v>-0.97120000000001006</v>
      </c>
      <c r="AF2143">
        <v>-1.0935622943468399</v>
      </c>
      <c r="AG2143">
        <v>-1.1096209012076199</v>
      </c>
      <c r="AH2143">
        <v>20.1624527779842</v>
      </c>
      <c r="AI2143">
        <v>93.145425853712695</v>
      </c>
      <c r="AJ2143">
        <v>93.104541587747505</v>
      </c>
      <c r="AK2143">
        <v>20.222552733531401</v>
      </c>
      <c r="AL2143">
        <v>79.037061562407999</v>
      </c>
      <c r="AM2143">
        <v>91.653988562846493</v>
      </c>
      <c r="AN2143">
        <v>1.00000003364873</v>
      </c>
    </row>
    <row r="2144" spans="1:40" x14ac:dyDescent="0.25">
      <c r="A2144" t="str">
        <f>"20190312172411548"</f>
        <v>20190312172411548</v>
      </c>
      <c r="B2144" t="str">
        <f>"1552382651542055"</f>
        <v>1552382651542055</v>
      </c>
      <c r="C2144" t="s">
        <v>40</v>
      </c>
      <c r="D2144">
        <v>3.721428</v>
      </c>
      <c r="E2144">
        <v>0.4905639</v>
      </c>
      <c r="F2144" t="s">
        <v>47</v>
      </c>
      <c r="G2144">
        <v>-383.4425</v>
      </c>
      <c r="H2144" s="1">
        <v>2.9512270000000001E-7</v>
      </c>
      <c r="I2144">
        <v>282.89690000000002</v>
      </c>
      <c r="J2144">
        <v>-363.05650000000003</v>
      </c>
      <c r="K2144">
        <v>1.1096220000000001</v>
      </c>
      <c r="L2144">
        <v>283.86399999999998</v>
      </c>
      <c r="M2144">
        <v>-0.99986319999999995</v>
      </c>
      <c r="N2144">
        <v>0</v>
      </c>
      <c r="O2144">
        <v>6.5088419999999999E-3</v>
      </c>
      <c r="P2144">
        <v>-0.98428369999999998</v>
      </c>
      <c r="Q2144">
        <v>0.1752205</v>
      </c>
      <c r="R2144">
        <v>-2.1987260000000002E-2</v>
      </c>
      <c r="S2144">
        <v>-3.0741269999999998</v>
      </c>
      <c r="T2144">
        <v>-0.16560159999999999</v>
      </c>
      <c r="U2144">
        <v>-0.14410400000000001</v>
      </c>
      <c r="V2144">
        <v>-2.8096079999999999E-2</v>
      </c>
      <c r="W2144">
        <v>0.19020860000000001</v>
      </c>
      <c r="X2144">
        <v>0.98134160000000004</v>
      </c>
      <c r="Y2144">
        <v>-5.3239990000000001E-2</v>
      </c>
      <c r="Z2144">
        <v>-1.782416E-3</v>
      </c>
      <c r="AA2144">
        <v>0.99858020000000003</v>
      </c>
      <c r="AB2144">
        <v>41</v>
      </c>
      <c r="AC2144">
        <v>-20.3859999999999</v>
      </c>
      <c r="AD2144">
        <v>-1.1096217048772901</v>
      </c>
      <c r="AE2144">
        <v>-0.96710000000001595</v>
      </c>
      <c r="AF2144">
        <v>-1.09654268655231</v>
      </c>
      <c r="AG2144">
        <v>-1.1096217048772901</v>
      </c>
      <c r="AH2144">
        <v>20.319208349715701</v>
      </c>
      <c r="AI2144">
        <v>93.121256079705901</v>
      </c>
      <c r="AJ2144">
        <v>93.0890171729679</v>
      </c>
      <c r="AK2144">
        <v>20.3790062110624</v>
      </c>
      <c r="AL2144">
        <v>79.035042102950399</v>
      </c>
      <c r="AM2144">
        <v>91.639945945004797</v>
      </c>
      <c r="AN2144">
        <v>1.0000000185579401</v>
      </c>
    </row>
    <row r="2145" spans="1:40" x14ac:dyDescent="0.25">
      <c r="A2145" t="str">
        <f>"20190312172411570"</f>
        <v>20190312172411570</v>
      </c>
      <c r="B2145" t="str">
        <f>"1552382651562551"</f>
        <v>1552382651562551</v>
      </c>
      <c r="C2145" t="s">
        <v>40</v>
      </c>
      <c r="D2145">
        <v>3.8423820000000002</v>
      </c>
      <c r="E2145">
        <v>0.4903846</v>
      </c>
      <c r="F2145" t="s">
        <v>47</v>
      </c>
      <c r="G2145">
        <v>-383.66660000000002</v>
      </c>
      <c r="H2145" s="1">
        <v>4.1437540000000002E-7</v>
      </c>
      <c r="I2145">
        <v>282.9033</v>
      </c>
      <c r="J2145">
        <v>-363.44920000000002</v>
      </c>
      <c r="K2145">
        <v>1.109621</v>
      </c>
      <c r="L2145">
        <v>283.86709999999999</v>
      </c>
      <c r="M2145">
        <v>-0.99985970000000002</v>
      </c>
      <c r="N2145">
        <v>0</v>
      </c>
      <c r="O2145">
        <v>7.0590799999999997E-3</v>
      </c>
      <c r="P2145">
        <v>-0.98424789999999995</v>
      </c>
      <c r="Q2145">
        <v>0.1754752</v>
      </c>
      <c r="R2145">
        <v>-2.155899E-2</v>
      </c>
      <c r="S2145">
        <v>-3.0741580000000002</v>
      </c>
      <c r="T2145">
        <v>-0.1655092</v>
      </c>
      <c r="U2145">
        <v>-0.14331050000000001</v>
      </c>
      <c r="V2145">
        <v>-2.8208859999999999E-2</v>
      </c>
      <c r="W2145">
        <v>0.19045860000000001</v>
      </c>
      <c r="X2145">
        <v>0.98128990000000005</v>
      </c>
      <c r="Y2145">
        <v>-5.3530750000000002E-2</v>
      </c>
      <c r="Z2145">
        <v>-1.818825E-3</v>
      </c>
      <c r="AA2145">
        <v>0.99856449999999997</v>
      </c>
      <c r="AB2145">
        <v>41</v>
      </c>
      <c r="AC2145">
        <v>-20.217400000000001</v>
      </c>
      <c r="AD2145">
        <v>-1.1096205856246</v>
      </c>
      <c r="AE2145">
        <v>-0.963799999999992</v>
      </c>
      <c r="AF2145">
        <v>-1.1031930786681301</v>
      </c>
      <c r="AG2145">
        <v>-1.1096205856246</v>
      </c>
      <c r="AH2145">
        <v>20.1495329909114</v>
      </c>
      <c r="AI2145">
        <v>93.147350233382298</v>
      </c>
      <c r="AJ2145">
        <v>93.1338325865771</v>
      </c>
      <c r="AK2145">
        <v>20.210194768103801</v>
      </c>
      <c r="AL2145">
        <v>79.020451704504296</v>
      </c>
      <c r="AM2145">
        <v>91.646611908585101</v>
      </c>
      <c r="AN2145">
        <v>1.00000004296923</v>
      </c>
    </row>
    <row r="2146" spans="1:40" x14ac:dyDescent="0.25">
      <c r="A2146" t="str">
        <f>"20190312172411592"</f>
        <v>20190312172411592</v>
      </c>
      <c r="B2146" t="str">
        <f>"1552382651582071"</f>
        <v>1552382651582071</v>
      </c>
      <c r="C2146" t="s">
        <v>40</v>
      </c>
      <c r="D2146">
        <v>3.860188</v>
      </c>
      <c r="E2146">
        <v>0.4901683</v>
      </c>
      <c r="F2146" t="s">
        <v>47</v>
      </c>
      <c r="G2146">
        <v>-384.13389999999998</v>
      </c>
      <c r="H2146" s="1">
        <v>6.6308269999999998E-7</v>
      </c>
      <c r="I2146">
        <v>282.90410000000003</v>
      </c>
      <c r="J2146">
        <v>-363.85239999999999</v>
      </c>
      <c r="K2146">
        <v>1.1096239999999999</v>
      </c>
      <c r="L2146">
        <v>283.87049999999999</v>
      </c>
      <c r="M2146">
        <v>-0.99985539999999995</v>
      </c>
      <c r="N2146">
        <v>0</v>
      </c>
      <c r="O2146">
        <v>7.6255159999999997E-3</v>
      </c>
      <c r="P2146">
        <v>-0.98421619999999999</v>
      </c>
      <c r="Q2146">
        <v>0.1757388</v>
      </c>
      <c r="R2146">
        <v>-2.0843529999999999E-2</v>
      </c>
      <c r="S2146">
        <v>-3.0743100000000001</v>
      </c>
      <c r="T2146">
        <v>-0.16491929999999999</v>
      </c>
      <c r="U2146">
        <v>-0.14312739999999999</v>
      </c>
      <c r="V2146">
        <v>-2.8048799999999999E-2</v>
      </c>
      <c r="W2146">
        <v>0.190717</v>
      </c>
      <c r="X2146">
        <v>0.98124429999999996</v>
      </c>
      <c r="Y2146">
        <v>-5.4033890000000001E-2</v>
      </c>
      <c r="Z2146">
        <v>-1.8560950000000001E-3</v>
      </c>
      <c r="AA2146">
        <v>0.99853740000000002</v>
      </c>
      <c r="AB2146">
        <v>41</v>
      </c>
      <c r="AC2146">
        <v>-20.281499999999902</v>
      </c>
      <c r="AD2146">
        <v>-1.1096233369173001</v>
      </c>
      <c r="AE2146">
        <v>-0.96639999999996395</v>
      </c>
      <c r="AF2146">
        <v>-1.1177086026455501</v>
      </c>
      <c r="AG2146">
        <v>-1.1096233369173001</v>
      </c>
      <c r="AH2146">
        <v>20.213172898513101</v>
      </c>
      <c r="AI2146">
        <v>93.137374850163695</v>
      </c>
      <c r="AJ2146">
        <v>93.165007036574494</v>
      </c>
      <c r="AK2146">
        <v>20.2744394520649</v>
      </c>
      <c r="AL2146">
        <v>79.005370028784995</v>
      </c>
      <c r="AM2146">
        <v>91.637350006899098</v>
      </c>
      <c r="AN2146">
        <v>1.0000000427764599</v>
      </c>
    </row>
    <row r="2147" spans="1:40" x14ac:dyDescent="0.25">
      <c r="A2147" t="str">
        <f>"20190312172411615"</f>
        <v>20190312172411615</v>
      </c>
      <c r="B2147" t="str">
        <f>"1552382651612328"</f>
        <v>1552382651612328</v>
      </c>
      <c r="C2147" t="s">
        <v>40</v>
      </c>
      <c r="D2147">
        <v>3.7683710000000001</v>
      </c>
      <c r="E2147">
        <v>0.48435240000000002</v>
      </c>
      <c r="F2147" t="s">
        <v>47</v>
      </c>
      <c r="G2147">
        <v>-384.52640000000002</v>
      </c>
      <c r="H2147" s="1">
        <v>8.7194120000000002E-7</v>
      </c>
      <c r="I2147">
        <v>282.91399999999999</v>
      </c>
      <c r="J2147">
        <v>-364.2627</v>
      </c>
      <c r="K2147">
        <v>1.109623</v>
      </c>
      <c r="L2147">
        <v>283.8741</v>
      </c>
      <c r="M2147">
        <v>-0.99985109999999999</v>
      </c>
      <c r="N2147">
        <v>0</v>
      </c>
      <c r="O2147">
        <v>8.2022499999999995E-3</v>
      </c>
      <c r="P2147">
        <v>-0.9842843</v>
      </c>
      <c r="Q2147">
        <v>0.175432</v>
      </c>
      <c r="R2147">
        <v>-2.0216789999999998E-2</v>
      </c>
      <c r="S2147">
        <v>-3.0745849999999999</v>
      </c>
      <c r="T2147">
        <v>-0.16502059999999999</v>
      </c>
      <c r="U2147">
        <v>-0.14224239999999999</v>
      </c>
      <c r="V2147">
        <v>-2.7991100000000001E-2</v>
      </c>
      <c r="W2147">
        <v>0.19040660000000001</v>
      </c>
      <c r="X2147">
        <v>0.98130620000000002</v>
      </c>
      <c r="Y2147">
        <v>-5.4317589999999999E-2</v>
      </c>
      <c r="Z2147">
        <v>-1.895606E-3</v>
      </c>
      <c r="AA2147">
        <v>0.99852189999999996</v>
      </c>
      <c r="AB2147">
        <v>41</v>
      </c>
      <c r="AC2147">
        <v>-20.2637</v>
      </c>
      <c r="AD2147">
        <v>-1.1096221280587999</v>
      </c>
      <c r="AE2147">
        <v>-0.96010000000001094</v>
      </c>
      <c r="AF2147">
        <v>-1.1229351417098601</v>
      </c>
      <c r="AG2147">
        <v>-1.1096221280587999</v>
      </c>
      <c r="AH2147">
        <v>20.1947228536559</v>
      </c>
      <c r="AI2147">
        <v>93.140178441000302</v>
      </c>
      <c r="AJ2147">
        <v>93.182675785487007</v>
      </c>
      <c r="AK2147">
        <v>20.2563342126737</v>
      </c>
      <c r="AL2147">
        <v>79.023486329838406</v>
      </c>
      <c r="AM2147">
        <v>91.633880580060094</v>
      </c>
      <c r="AN2147">
        <v>1.0000000165806</v>
      </c>
    </row>
    <row r="2148" spans="1:40" x14ac:dyDescent="0.25">
      <c r="A2148" t="str">
        <f>"20190312172411638"</f>
        <v>20190312172411638</v>
      </c>
      <c r="B2148" t="str">
        <f>"1552382651631847"</f>
        <v>1552382651631847</v>
      </c>
      <c r="C2148" t="s">
        <v>40</v>
      </c>
      <c r="D2148">
        <v>3.778375</v>
      </c>
      <c r="E2148">
        <v>0.48494280000000001</v>
      </c>
      <c r="F2148" t="s">
        <v>47</v>
      </c>
      <c r="G2148">
        <v>-382.1662</v>
      </c>
      <c r="H2148" s="1">
        <v>-3.8406130000000002E-7</v>
      </c>
      <c r="I2148">
        <v>282.78559999999999</v>
      </c>
      <c r="J2148">
        <v>-364.69240000000002</v>
      </c>
      <c r="K2148">
        <v>1.1096220000000001</v>
      </c>
      <c r="L2148">
        <v>283.87819999999999</v>
      </c>
      <c r="M2148">
        <v>-0.99984580000000001</v>
      </c>
      <c r="N2148">
        <v>0</v>
      </c>
      <c r="O2148">
        <v>8.8071130000000001E-3</v>
      </c>
      <c r="P2148">
        <v>-0.98441460000000003</v>
      </c>
      <c r="Q2148">
        <v>0.17478729999999901</v>
      </c>
      <c r="R2148">
        <v>-1.9419039999999999E-2</v>
      </c>
      <c r="S2148">
        <v>-3.0780639999999999</v>
      </c>
      <c r="T2148">
        <v>-0.1907722</v>
      </c>
      <c r="U2148">
        <v>-0.18713379999999999</v>
      </c>
      <c r="V2148">
        <v>-2.779063E-2</v>
      </c>
      <c r="W2148">
        <v>0.1897587</v>
      </c>
      <c r="X2148">
        <v>0.98143740000000002</v>
      </c>
      <c r="Y2148">
        <v>-6.9324049999999998E-2</v>
      </c>
      <c r="Z2148">
        <v>-2.6891660000000002E-3</v>
      </c>
      <c r="AA2148">
        <v>0.99759050000000005</v>
      </c>
      <c r="AB2148">
        <v>41</v>
      </c>
      <c r="AC2148">
        <v>-17.473799999999901</v>
      </c>
      <c r="AD2148">
        <v>-1.1096223840613</v>
      </c>
      <c r="AE2148">
        <v>-1.0926</v>
      </c>
      <c r="AF2148">
        <v>-1.2414823143079501</v>
      </c>
      <c r="AG2148">
        <v>-1.1096223840613</v>
      </c>
      <c r="AH2148">
        <v>17.393631517058999</v>
      </c>
      <c r="AI2148">
        <v>93.640985782704007</v>
      </c>
      <c r="AJ2148">
        <v>94.082601817656595</v>
      </c>
      <c r="AK2148">
        <v>17.473149616573899</v>
      </c>
      <c r="AL2148">
        <v>79.061297750180799</v>
      </c>
      <c r="AM2148">
        <v>91.621968393800799</v>
      </c>
      <c r="AN2148">
        <v>1.0000000267301199</v>
      </c>
    </row>
    <row r="2149" spans="1:40" x14ac:dyDescent="0.25">
      <c r="A2149" t="str">
        <f>"20190312172411661"</f>
        <v>20190312172411661</v>
      </c>
      <c r="B2149" t="str">
        <f>"1552382651652344"</f>
        <v>1552382651652344</v>
      </c>
      <c r="C2149" t="s">
        <v>40</v>
      </c>
      <c r="D2149">
        <v>3.8869220000000002</v>
      </c>
      <c r="E2149">
        <v>0.48492610000000003</v>
      </c>
      <c r="F2149" t="s">
        <v>47</v>
      </c>
      <c r="G2149">
        <v>-382.47649999999999</v>
      </c>
      <c r="H2149" s="1">
        <v>-2.1891609999999999E-7</v>
      </c>
      <c r="I2149">
        <v>282.84089999999998</v>
      </c>
      <c r="J2149">
        <v>-365.1</v>
      </c>
      <c r="K2149">
        <v>1.1096239999999999</v>
      </c>
      <c r="L2149">
        <v>283.88229999999999</v>
      </c>
      <c r="M2149">
        <v>-0.99984090000000003</v>
      </c>
      <c r="N2149">
        <v>0</v>
      </c>
      <c r="O2149">
        <v>9.3813319999999992E-3</v>
      </c>
      <c r="P2149">
        <v>-0.98448959999999996</v>
      </c>
      <c r="Q2149">
        <v>0.17444279999999901</v>
      </c>
      <c r="R2149">
        <v>-1.8721350000000001E-2</v>
      </c>
      <c r="S2149">
        <v>-3.0780940000000001</v>
      </c>
      <c r="T2149">
        <v>-0.19205449999999999</v>
      </c>
      <c r="U2149">
        <v>-0.1795349</v>
      </c>
      <c r="V2149">
        <v>-2.7660560000000001E-2</v>
      </c>
      <c r="W2149">
        <v>0.18941040000000001</v>
      </c>
      <c r="X2149">
        <v>0.9815083</v>
      </c>
      <c r="Y2149">
        <v>-6.7442719999999998E-2</v>
      </c>
      <c r="Z2149">
        <v>-2.6845609999999998E-3</v>
      </c>
      <c r="AA2149">
        <v>0.99771949999999998</v>
      </c>
      <c r="AB2149">
        <v>41</v>
      </c>
      <c r="AC2149">
        <v>-17.376499999999901</v>
      </c>
      <c r="AD2149">
        <v>-1.1096242189161001</v>
      </c>
      <c r="AE2149">
        <v>-1.0414000000000001</v>
      </c>
      <c r="AF2149">
        <v>-1.1995137547186401</v>
      </c>
      <c r="AG2149">
        <v>-1.1096242189161001</v>
      </c>
      <c r="AH2149">
        <v>17.295688160736901</v>
      </c>
      <c r="AI2149">
        <v>93.6620714433069</v>
      </c>
      <c r="AJ2149">
        <v>93.967301103638505</v>
      </c>
      <c r="AK2149">
        <v>17.372706412888501</v>
      </c>
      <c r="AL2149">
        <v>79.081621894470302</v>
      </c>
      <c r="AM2149">
        <v>91.614264479077903</v>
      </c>
      <c r="AN2149">
        <v>0.99999997458828105</v>
      </c>
    </row>
    <row r="2150" spans="1:40" x14ac:dyDescent="0.25">
      <c r="A2150" t="str">
        <f>"20190312172411682"</f>
        <v>20190312172411682</v>
      </c>
      <c r="B2150" t="str">
        <f>"1552382651671864"</f>
        <v>1552382651671864</v>
      </c>
      <c r="C2150" t="s">
        <v>40</v>
      </c>
      <c r="D2150">
        <v>3.9075259999999998</v>
      </c>
      <c r="E2150">
        <v>0.4848113</v>
      </c>
      <c r="F2150" t="s">
        <v>47</v>
      </c>
      <c r="G2150">
        <v>-382.62830000000002</v>
      </c>
      <c r="H2150" s="1">
        <v>-1.381247E-7</v>
      </c>
      <c r="I2150">
        <v>282.87220000000002</v>
      </c>
      <c r="J2150">
        <v>-365.4889</v>
      </c>
      <c r="K2150">
        <v>1.1096250000000001</v>
      </c>
      <c r="L2150">
        <v>283.88650000000001</v>
      </c>
      <c r="M2150">
        <v>-0.99983560000000005</v>
      </c>
      <c r="N2150">
        <v>0</v>
      </c>
      <c r="O2150">
        <v>9.9290909999999993E-3</v>
      </c>
      <c r="P2150">
        <v>-0.98444900000000002</v>
      </c>
      <c r="Q2150">
        <v>0.17476710000000001</v>
      </c>
      <c r="R2150">
        <v>-1.7803409999999999E-2</v>
      </c>
      <c r="S2150">
        <v>-3.07843</v>
      </c>
      <c r="T2150">
        <v>-0.19487889999999999</v>
      </c>
      <c r="U2150">
        <v>-0.17739869999999999</v>
      </c>
      <c r="V2150">
        <v>-2.728069E-2</v>
      </c>
      <c r="W2150">
        <v>0.1897287</v>
      </c>
      <c r="X2150">
        <v>0.98145749999999998</v>
      </c>
      <c r="Y2150">
        <v>-6.7287780000000005E-2</v>
      </c>
      <c r="Z2150">
        <v>-2.753447E-3</v>
      </c>
      <c r="AA2150">
        <v>0.9977298</v>
      </c>
      <c r="AB2150">
        <v>41</v>
      </c>
      <c r="AC2150">
        <v>-17.139399999999998</v>
      </c>
      <c r="AD2150">
        <v>-1.1096251381247</v>
      </c>
      <c r="AE2150">
        <v>-1.01429999999999</v>
      </c>
      <c r="AF2150">
        <v>-1.17952162263444</v>
      </c>
      <c r="AG2150">
        <v>-1.1096251381247</v>
      </c>
      <c r="AH2150">
        <v>17.057238125767199</v>
      </c>
      <c r="AI2150">
        <v>93.713177544913705</v>
      </c>
      <c r="AJ2150">
        <v>93.955751629531605</v>
      </c>
      <c r="AK2150">
        <v>17.133940343206099</v>
      </c>
      <c r="AL2150">
        <v>79.063048352160905</v>
      </c>
      <c r="AM2150">
        <v>91.592189199684796</v>
      </c>
      <c r="AN2150">
        <v>1.0000000199784</v>
      </c>
    </row>
    <row r="2151" spans="1:40" x14ac:dyDescent="0.25">
      <c r="A2151" t="str">
        <f>"20190312172411705"</f>
        <v>20190312172411705</v>
      </c>
      <c r="B2151" t="str">
        <f>"1552382651702119"</f>
        <v>1552382651702119</v>
      </c>
      <c r="C2151" t="s">
        <v>40</v>
      </c>
      <c r="D2151">
        <v>3.887051</v>
      </c>
      <c r="E2151">
        <v>0.48440810000000001</v>
      </c>
      <c r="F2151" t="s">
        <v>47</v>
      </c>
      <c r="G2151">
        <v>-383.00790000000001</v>
      </c>
      <c r="H2151" s="1">
        <v>6.3858809999999896E-8</v>
      </c>
      <c r="I2151">
        <v>282.8861</v>
      </c>
      <c r="J2151">
        <v>-365.89179999999999</v>
      </c>
      <c r="K2151">
        <v>1.1096299999999999</v>
      </c>
      <c r="L2151">
        <v>283.89100000000002</v>
      </c>
      <c r="M2151">
        <v>-0.99982979999999999</v>
      </c>
      <c r="N2151">
        <v>0</v>
      </c>
      <c r="O2151">
        <v>1.0496449999999999E-2</v>
      </c>
      <c r="P2151">
        <v>-0.98442510000000005</v>
      </c>
      <c r="Q2151">
        <v>0.17496789999999901</v>
      </c>
      <c r="R2151">
        <v>-1.7130909999999999E-2</v>
      </c>
      <c r="S2151">
        <v>-3.0787960000000001</v>
      </c>
      <c r="T2151">
        <v>-0.19500629999999999</v>
      </c>
      <c r="U2151">
        <v>-0.17581179999999999</v>
      </c>
      <c r="V2151">
        <v>-2.7166849999999999E-2</v>
      </c>
      <c r="W2151">
        <v>0.18992439999999999</v>
      </c>
      <c r="X2151">
        <v>0.98142280000000004</v>
      </c>
      <c r="Y2151">
        <v>-6.733314E-2</v>
      </c>
      <c r="Z2151">
        <v>-2.7922670000000002E-3</v>
      </c>
      <c r="AA2151">
        <v>0.99772660000000002</v>
      </c>
      <c r="AB2151">
        <v>41</v>
      </c>
      <c r="AC2151">
        <v>-17.116099999999999</v>
      </c>
      <c r="AD2151">
        <v>-1.1096299361411901</v>
      </c>
      <c r="AE2151">
        <v>-1.0048999999999599</v>
      </c>
      <c r="AF2151">
        <v>-1.1795829854231601</v>
      </c>
      <c r="AG2151">
        <v>-1.1096299361411901</v>
      </c>
      <c r="AH2151">
        <v>17.0332649679284</v>
      </c>
      <c r="AI2151">
        <v>93.718379196624198</v>
      </c>
      <c r="AJ2151">
        <v>93.961506792022902</v>
      </c>
      <c r="AK2151">
        <v>17.110079195676899</v>
      </c>
      <c r="AL2151">
        <v>79.051627850597995</v>
      </c>
      <c r="AM2151">
        <v>91.5856045594618</v>
      </c>
      <c r="AN2151">
        <v>1.0000000139070599</v>
      </c>
    </row>
    <row r="2152" spans="1:40" x14ac:dyDescent="0.25">
      <c r="A2152" t="str">
        <f>"20190312172411716"</f>
        <v>20190312172411716</v>
      </c>
      <c r="B2152" t="str">
        <f>"1552382651711880"</f>
        <v>1552382651711880</v>
      </c>
      <c r="C2152" t="s">
        <v>40</v>
      </c>
      <c r="D2152">
        <v>3.8634740000000001</v>
      </c>
      <c r="E2152">
        <v>0.48429270000000002</v>
      </c>
      <c r="F2152" t="s">
        <v>47</v>
      </c>
      <c r="G2152">
        <v>-383.37150000000003</v>
      </c>
      <c r="H2152" s="1">
        <v>2.5733520000000001E-7</v>
      </c>
      <c r="I2152">
        <v>282.88440000000003</v>
      </c>
      <c r="J2152">
        <v>-366.10660000000001</v>
      </c>
      <c r="K2152">
        <v>1.109631</v>
      </c>
      <c r="L2152">
        <v>283.89350000000002</v>
      </c>
      <c r="M2152">
        <v>-0.99982680000000002</v>
      </c>
      <c r="N2152">
        <v>0</v>
      </c>
      <c r="O2152">
        <v>1.07978E-2</v>
      </c>
      <c r="P2152">
        <v>-0.98442050000000003</v>
      </c>
      <c r="Q2152">
        <v>0.17503099999999999</v>
      </c>
      <c r="R2152">
        <v>-1.6765189999999999E-2</v>
      </c>
      <c r="S2152">
        <v>-3.0791019999999998</v>
      </c>
      <c r="T2152">
        <v>-0.19546540000000001</v>
      </c>
      <c r="U2152">
        <v>-0.1773071</v>
      </c>
      <c r="V2152">
        <v>-2.7098210000000001E-2</v>
      </c>
      <c r="W2152">
        <v>0.1899844</v>
      </c>
      <c r="X2152">
        <v>0.98141310000000004</v>
      </c>
      <c r="Y2152">
        <v>-6.8108299999999997E-2</v>
      </c>
      <c r="Z2152">
        <v>-2.8421729999999999E-3</v>
      </c>
      <c r="AA2152">
        <v>0.9976739</v>
      </c>
      <c r="AB2152">
        <v>41</v>
      </c>
      <c r="AC2152">
        <v>-17.264900000000001</v>
      </c>
      <c r="AD2152">
        <v>-1.1096307426648</v>
      </c>
      <c r="AE2152">
        <v>-1.0090999999999799</v>
      </c>
      <c r="AF2152">
        <v>-1.19058425545962</v>
      </c>
      <c r="AG2152">
        <v>-1.1096307426648</v>
      </c>
      <c r="AH2152">
        <v>17.182261973472801</v>
      </c>
      <c r="AI2152">
        <v>93.686216939420603</v>
      </c>
      <c r="AJ2152">
        <v>93.963773341181493</v>
      </c>
      <c r="AK2152">
        <v>17.259168513560098</v>
      </c>
      <c r="AL2152">
        <v>79.048126519569493</v>
      </c>
      <c r="AM2152">
        <v>91.581616018681601</v>
      </c>
      <c r="AN2152">
        <v>1.0000000290400799</v>
      </c>
    </row>
    <row r="2153" spans="1:40" x14ac:dyDescent="0.25">
      <c r="A2153" t="str">
        <f>"20190312172411738"</f>
        <v>20190312172411738</v>
      </c>
      <c r="B2153" t="str">
        <f>"1552382651732378"</f>
        <v>1552382651732378</v>
      </c>
      <c r="C2153" t="s">
        <v>40</v>
      </c>
      <c r="D2153">
        <v>3.866133</v>
      </c>
      <c r="E2153">
        <v>0.48400009999999999</v>
      </c>
      <c r="F2153" t="s">
        <v>47</v>
      </c>
      <c r="G2153">
        <v>-383.55290000000002</v>
      </c>
      <c r="H2153" s="1">
        <v>3.5389709999999997E-7</v>
      </c>
      <c r="I2153">
        <v>282.89109999999999</v>
      </c>
      <c r="J2153">
        <v>-366.5034</v>
      </c>
      <c r="K2153">
        <v>1.1096349999999999</v>
      </c>
      <c r="L2153">
        <v>283.89830000000001</v>
      </c>
      <c r="M2153">
        <v>-0.9998205</v>
      </c>
      <c r="N2153">
        <v>0</v>
      </c>
      <c r="O2153">
        <v>1.135484E-2</v>
      </c>
      <c r="P2153">
        <v>-0.98442600000000002</v>
      </c>
      <c r="Q2153">
        <v>0.175032299999999</v>
      </c>
      <c r="R2153">
        <v>-1.6421109999999999E-2</v>
      </c>
      <c r="S2153">
        <v>-3.0793149999999998</v>
      </c>
      <c r="T2153">
        <v>-0.19585259999999999</v>
      </c>
      <c r="U2153">
        <v>-0.1769104</v>
      </c>
      <c r="V2153">
        <v>-2.7302259999999998E-2</v>
      </c>
      <c r="W2153">
        <v>0.1899815</v>
      </c>
      <c r="X2153">
        <v>0.9814079</v>
      </c>
      <c r="Y2153">
        <v>-6.8529480000000004E-2</v>
      </c>
      <c r="Z2153">
        <v>-2.8963470000000001E-3</v>
      </c>
      <c r="AA2153">
        <v>0.99764489999999995</v>
      </c>
      <c r="AB2153">
        <v>41</v>
      </c>
      <c r="AC2153">
        <v>-17.049499999999998</v>
      </c>
      <c r="AD2153">
        <v>-1.1096346461029001</v>
      </c>
      <c r="AE2153">
        <v>-1.0072000000000101</v>
      </c>
      <c r="AF2153">
        <v>-1.1957045017107499</v>
      </c>
      <c r="AG2153">
        <v>-1.1096346461029001</v>
      </c>
      <c r="AH2153">
        <v>16.965350558111201</v>
      </c>
      <c r="AI2153">
        <v>93.732920434416101</v>
      </c>
      <c r="AJ2153">
        <v>94.031494845167202</v>
      </c>
      <c r="AK2153">
        <v>17.043594628565</v>
      </c>
      <c r="AL2153">
        <v>79.048294605718098</v>
      </c>
      <c r="AM2153">
        <v>91.593527936534301</v>
      </c>
      <c r="AN2153">
        <v>0.99999992496288104</v>
      </c>
    </row>
    <row r="2154" spans="1:40" x14ac:dyDescent="0.25">
      <c r="A2154" t="str">
        <f>"20190312172411749"</f>
        <v>20190312172411749</v>
      </c>
      <c r="B2154" t="str">
        <f>"1552382651742136"</f>
        <v>1552382651742136</v>
      </c>
      <c r="C2154" t="s">
        <v>40</v>
      </c>
      <c r="D2154">
        <v>3.9089320000000001</v>
      </c>
      <c r="E2154">
        <v>0.4838423</v>
      </c>
      <c r="F2154" t="s">
        <v>47</v>
      </c>
      <c r="G2154">
        <v>-383.78840000000002</v>
      </c>
      <c r="H2154" s="1">
        <v>4.7919630000000003E-7</v>
      </c>
      <c r="I2154">
        <v>282.89850000000001</v>
      </c>
      <c r="J2154">
        <v>-366.71850000000001</v>
      </c>
      <c r="K2154">
        <v>1.1096360000000001</v>
      </c>
      <c r="L2154">
        <v>283.90100000000001</v>
      </c>
      <c r="M2154">
        <v>-0.99981710000000001</v>
      </c>
      <c r="N2154">
        <v>0</v>
      </c>
      <c r="O2154">
        <v>1.165571E-2</v>
      </c>
      <c r="P2154">
        <v>-0.9844195</v>
      </c>
      <c r="Q2154">
        <v>0.1751019</v>
      </c>
      <c r="R2154">
        <v>-1.6048980000000001E-2</v>
      </c>
      <c r="S2154">
        <v>-3.0796809999999999</v>
      </c>
      <c r="T2154">
        <v>-0.19770509999999999</v>
      </c>
      <c r="U2154">
        <v>-0.17813109999999999</v>
      </c>
      <c r="V2154">
        <v>-2.722749E-2</v>
      </c>
      <c r="W2154">
        <v>0.19004799999999999</v>
      </c>
      <c r="X2154">
        <v>0.98139719999999997</v>
      </c>
      <c r="Y2154">
        <v>-6.9211969999999998E-2</v>
      </c>
      <c r="Z2154">
        <v>-2.9644570000000002E-3</v>
      </c>
      <c r="AA2154">
        <v>0.99759759999999997</v>
      </c>
      <c r="AB2154">
        <v>41</v>
      </c>
      <c r="AC2154">
        <v>-17.069900000000001</v>
      </c>
      <c r="AD2154">
        <v>-1.1096355208036901</v>
      </c>
      <c r="AE2154">
        <v>-1.00249999999999</v>
      </c>
      <c r="AF2154">
        <v>-1.19637840417922</v>
      </c>
      <c r="AG2154">
        <v>-1.1096355208036901</v>
      </c>
      <c r="AH2154">
        <v>16.985524945077501</v>
      </c>
      <c r="AI2154">
        <v>93.7285136188639</v>
      </c>
      <c r="AJ2154">
        <v>94.028984238810096</v>
      </c>
      <c r="AK2154">
        <v>17.0637238003569</v>
      </c>
      <c r="AL2154">
        <v>79.044414800294206</v>
      </c>
      <c r="AM2154">
        <v>91.5891834575269</v>
      </c>
      <c r="AN2154">
        <v>1.0000000213417599</v>
      </c>
    </row>
    <row r="2155" spans="1:40" x14ac:dyDescent="0.25">
      <c r="A2155" t="str">
        <f>"20190312172411771"</f>
        <v>20190312172411771</v>
      </c>
      <c r="B2155" t="str">
        <f>"1552382651762632"</f>
        <v>1552382651762632</v>
      </c>
      <c r="C2155" t="s">
        <v>40</v>
      </c>
      <c r="D2155">
        <v>3.7736749999999999</v>
      </c>
      <c r="E2155">
        <v>0.48397400000000002</v>
      </c>
      <c r="F2155" t="s">
        <v>47</v>
      </c>
      <c r="G2155">
        <v>-383.93630000000002</v>
      </c>
      <c r="H2155" s="1">
        <v>5.5790199999999898E-7</v>
      </c>
      <c r="I2155">
        <v>282.90649999999999</v>
      </c>
      <c r="J2155">
        <v>-367.10539999999997</v>
      </c>
      <c r="K2155">
        <v>1.109639</v>
      </c>
      <c r="L2155">
        <v>283.90600000000001</v>
      </c>
      <c r="M2155">
        <v>-0.99981089999999995</v>
      </c>
      <c r="N2155">
        <v>0</v>
      </c>
      <c r="O2155">
        <v>1.2195269999999999E-2</v>
      </c>
      <c r="P2155">
        <v>-0.98440640000000001</v>
      </c>
      <c r="Q2155">
        <v>0.1752157</v>
      </c>
      <c r="R2155">
        <v>-1.56113E-2</v>
      </c>
      <c r="S2155">
        <v>-3.079895</v>
      </c>
      <c r="T2155">
        <v>-0.1984899</v>
      </c>
      <c r="U2155">
        <v>-0.17788699999999999</v>
      </c>
      <c r="V2155">
        <v>-2.7321910000000001E-2</v>
      </c>
      <c r="W2155">
        <v>0.1901571</v>
      </c>
      <c r="X2155">
        <v>0.98137339999999995</v>
      </c>
      <c r="Y2155">
        <v>-6.9664190000000001E-2</v>
      </c>
      <c r="Z2155">
        <v>-3.0252619999999999E-3</v>
      </c>
      <c r="AA2155">
        <v>0.99756590000000001</v>
      </c>
      <c r="AB2155">
        <v>40</v>
      </c>
      <c r="AC2155">
        <v>-16.8309</v>
      </c>
      <c r="AD2155">
        <v>-1.1096384420980001</v>
      </c>
      <c r="AE2155">
        <v>-0.99950000000001105</v>
      </c>
      <c r="AF2155">
        <v>-1.1995111194917401</v>
      </c>
      <c r="AG2155">
        <v>-1.1096384420980001</v>
      </c>
      <c r="AH2155">
        <v>16.744929999528601</v>
      </c>
      <c r="AI2155">
        <v>93.781621719164406</v>
      </c>
      <c r="AJ2155">
        <v>94.097343405336503</v>
      </c>
      <c r="AK2155">
        <v>16.824470425159799</v>
      </c>
      <c r="AL2155">
        <v>79.038047261764206</v>
      </c>
      <c r="AM2155">
        <v>91.594730271026606</v>
      </c>
      <c r="AN2155">
        <v>0.99999997983700795</v>
      </c>
    </row>
    <row r="2156" spans="1:40" x14ac:dyDescent="0.25">
      <c r="A2156" t="str">
        <f>"20190312172411784"</f>
        <v>20190312172411784</v>
      </c>
      <c r="B2156" t="str">
        <f>"1552382651782152"</f>
        <v>1552382651782152</v>
      </c>
      <c r="C2156" t="s">
        <v>40</v>
      </c>
      <c r="D2156">
        <v>3.887419</v>
      </c>
      <c r="E2156">
        <v>0.48403239999999997</v>
      </c>
      <c r="F2156" t="s">
        <v>47</v>
      </c>
      <c r="G2156">
        <v>-384.64729999999997</v>
      </c>
      <c r="H2156" s="1">
        <v>9.3626240000000002E-7</v>
      </c>
      <c r="I2156">
        <v>282.90710000000001</v>
      </c>
      <c r="J2156">
        <v>-367.33159999999998</v>
      </c>
      <c r="K2156">
        <v>1.1096459999999999</v>
      </c>
      <c r="L2156">
        <v>283.90899999999999</v>
      </c>
      <c r="M2156">
        <v>-0.999807</v>
      </c>
      <c r="N2156">
        <v>0</v>
      </c>
      <c r="O2156">
        <v>1.2509350000000001E-2</v>
      </c>
      <c r="P2156">
        <v>-0.98444580000000004</v>
      </c>
      <c r="Q2156">
        <v>0.17504729999999999</v>
      </c>
      <c r="R2156">
        <v>-1.5014029999999999E-2</v>
      </c>
      <c r="S2156">
        <v>-3.0794069999999998</v>
      </c>
      <c r="T2156">
        <v>-0.19479299999999999</v>
      </c>
      <c r="U2156">
        <v>-0.17535400000000001</v>
      </c>
      <c r="V2156">
        <v>-2.7035489999999999E-2</v>
      </c>
      <c r="W2156">
        <v>0.18998619999999999</v>
      </c>
      <c r="X2156">
        <v>0.98141440000000002</v>
      </c>
      <c r="Y2156">
        <v>-6.9175329999999993E-2</v>
      </c>
      <c r="Z2156">
        <v>-2.9739689999999999E-3</v>
      </c>
      <c r="AA2156">
        <v>0.99760009999999999</v>
      </c>
      <c r="AB2156">
        <v>40</v>
      </c>
      <c r="AC2156">
        <v>-17.3156999999999</v>
      </c>
      <c r="AD2156">
        <v>-1.1096450637376001</v>
      </c>
      <c r="AE2156">
        <v>-1.00189999999997</v>
      </c>
      <c r="AF2156">
        <v>-1.21348785177209</v>
      </c>
      <c r="AG2156">
        <v>-1.1096450637376001</v>
      </c>
      <c r="AH2156">
        <v>17.231283469619001</v>
      </c>
      <c r="AI2156">
        <v>93.675517598902303</v>
      </c>
      <c r="AJ2156">
        <v>94.028320526037106</v>
      </c>
      <c r="AK2156">
        <v>17.309563684398299</v>
      </c>
      <c r="AL2156">
        <v>79.048020588959503</v>
      </c>
      <c r="AM2156">
        <v>91.577955062567</v>
      </c>
      <c r="AN2156">
        <v>0.99999994921866797</v>
      </c>
    </row>
    <row r="2157" spans="1:40" x14ac:dyDescent="0.25">
      <c r="A2157" t="str">
        <f>"20190312172411805"</f>
        <v>20190312172411805</v>
      </c>
      <c r="B2157" t="str">
        <f>"1552382651801672"</f>
        <v>1552382651801672</v>
      </c>
      <c r="C2157" t="s">
        <v>40</v>
      </c>
      <c r="D2157">
        <v>3.7648890000000002</v>
      </c>
      <c r="E2157">
        <v>0.48405110000000001</v>
      </c>
      <c r="F2157" t="s">
        <v>47</v>
      </c>
      <c r="G2157">
        <v>-385.01510000000002</v>
      </c>
      <c r="H2157" s="1">
        <v>1.1319830000000001E-6</v>
      </c>
      <c r="I2157">
        <v>282.9151</v>
      </c>
      <c r="J2157">
        <v>-367.70729999999998</v>
      </c>
      <c r="K2157">
        <v>1.10965</v>
      </c>
      <c r="L2157">
        <v>283.91419999999999</v>
      </c>
      <c r="M2157">
        <v>-0.99980029999999998</v>
      </c>
      <c r="N2157">
        <v>0</v>
      </c>
      <c r="O2157">
        <v>1.3029880000000001E-2</v>
      </c>
      <c r="P2157">
        <v>-0.98436590000000002</v>
      </c>
      <c r="Q2157">
        <v>0.1755989</v>
      </c>
      <c r="R2157">
        <v>-1.3748140000000001E-2</v>
      </c>
      <c r="S2157">
        <v>-3.079132</v>
      </c>
      <c r="T2157">
        <v>-0.193217</v>
      </c>
      <c r="U2157">
        <v>-0.1730652</v>
      </c>
      <c r="V2157">
        <v>-2.628109E-2</v>
      </c>
      <c r="W2157">
        <v>0.1905307</v>
      </c>
      <c r="X2157">
        <v>0.98132940000000002</v>
      </c>
      <c r="Y2157">
        <v>-6.8962560000000006E-2</v>
      </c>
      <c r="Z2157">
        <v>-2.9762289999999999E-3</v>
      </c>
      <c r="AA2157">
        <v>0.99761480000000002</v>
      </c>
      <c r="AB2157">
        <v>40</v>
      </c>
      <c r="AC2157">
        <v>-17.3078</v>
      </c>
      <c r="AD2157">
        <v>-1.109648868017</v>
      </c>
      <c r="AE2157">
        <v>-0.99909999999999799</v>
      </c>
      <c r="AF2157">
        <v>-1.21956333072748</v>
      </c>
      <c r="AG2157">
        <v>-1.109648868017</v>
      </c>
      <c r="AH2157">
        <v>17.222752881531001</v>
      </c>
      <c r="AI2157">
        <v>93.677245806725395</v>
      </c>
      <c r="AJ2157">
        <v>94.050420470719502</v>
      </c>
      <c r="AK2157">
        <v>17.3014991300243</v>
      </c>
      <c r="AL2157">
        <v>79.016243336317103</v>
      </c>
      <c r="AM2157">
        <v>91.534077847215798</v>
      </c>
      <c r="AN2157">
        <v>1.0000000173192101</v>
      </c>
    </row>
    <row r="2158" spans="1:40" x14ac:dyDescent="0.25">
      <c r="A2158" t="str">
        <f>"20190312172411828"</f>
        <v>20190312172411828</v>
      </c>
      <c r="B2158" t="str">
        <f>"1552382651822167"</f>
        <v>1552382651822167</v>
      </c>
      <c r="C2158" t="s">
        <v>40</v>
      </c>
      <c r="D2158">
        <v>3.767134</v>
      </c>
      <c r="E2158">
        <v>0.48403259999999998</v>
      </c>
      <c r="F2158" t="s">
        <v>47</v>
      </c>
      <c r="G2158">
        <v>-385.75720000000001</v>
      </c>
      <c r="H2158" s="1">
        <v>1.526926E-6</v>
      </c>
      <c r="I2158">
        <v>282.91879999999998</v>
      </c>
      <c r="J2158">
        <v>-368.11869999999999</v>
      </c>
      <c r="K2158">
        <v>1.109661</v>
      </c>
      <c r="L2158">
        <v>283.92009999999999</v>
      </c>
      <c r="M2158">
        <v>-0.99979280000000004</v>
      </c>
      <c r="N2158">
        <v>0</v>
      </c>
      <c r="O2158">
        <v>1.359551E-2</v>
      </c>
      <c r="P2158">
        <v>-0.9843518</v>
      </c>
      <c r="Q2158">
        <v>0.17576229999999901</v>
      </c>
      <c r="R2158">
        <v>-1.261752E-2</v>
      </c>
      <c r="S2158">
        <v>-3.0790099999999998</v>
      </c>
      <c r="T2158">
        <v>-0.18928680000000001</v>
      </c>
      <c r="U2158">
        <v>-0.169799799999999</v>
      </c>
      <c r="V2158">
        <v>-2.57094E-2</v>
      </c>
      <c r="W2158">
        <v>0.19068840000000001</v>
      </c>
      <c r="X2158">
        <v>0.98131389999999996</v>
      </c>
      <c r="Y2158">
        <v>-6.8480719999999995E-2</v>
      </c>
      <c r="Z2158">
        <v>-2.9359400000000002E-3</v>
      </c>
      <c r="AA2158">
        <v>0.99764810000000004</v>
      </c>
      <c r="AB2158">
        <v>40</v>
      </c>
      <c r="AC2158">
        <v>-17.638500000000001</v>
      </c>
      <c r="AD2158">
        <v>-1.1096594730739999</v>
      </c>
      <c r="AE2158">
        <v>-1.0013000000000101</v>
      </c>
      <c r="AF2158">
        <v>-1.2361625688204301</v>
      </c>
      <c r="AG2158">
        <v>-1.1096594730739999</v>
      </c>
      <c r="AH2158">
        <v>17.554002245205599</v>
      </c>
      <c r="AI2158">
        <v>93.608173276899706</v>
      </c>
      <c r="AJ2158">
        <v>94.028150730430298</v>
      </c>
      <c r="AK2158">
        <v>17.632425722725198</v>
      </c>
      <c r="AL2158">
        <v>79.007038899803007</v>
      </c>
      <c r="AM2158">
        <v>91.500746324062703</v>
      </c>
      <c r="AN2158">
        <v>1.0000000047380599</v>
      </c>
    </row>
    <row r="2159" spans="1:40" x14ac:dyDescent="0.25">
      <c r="A2159" t="str">
        <f>"20190312172411840"</f>
        <v>20190312172411840</v>
      </c>
      <c r="B2159" t="str">
        <f>"1552382651831927"</f>
        <v>1552382651831927</v>
      </c>
      <c r="C2159" t="s">
        <v>40</v>
      </c>
      <c r="D2159">
        <v>3.8452820000000001</v>
      </c>
      <c r="E2159">
        <v>0.48391319999999999</v>
      </c>
      <c r="F2159" t="s">
        <v>47</v>
      </c>
      <c r="G2159">
        <v>-386.34809999999999</v>
      </c>
      <c r="H2159" s="1">
        <v>1.8413770000000001E-6</v>
      </c>
      <c r="I2159">
        <v>282.9357</v>
      </c>
      <c r="J2159">
        <v>-368.35079999999999</v>
      </c>
      <c r="K2159">
        <v>1.109664</v>
      </c>
      <c r="L2159">
        <v>283.92349999999999</v>
      </c>
      <c r="M2159">
        <v>-0.99978860000000003</v>
      </c>
      <c r="N2159">
        <v>0</v>
      </c>
      <c r="O2159">
        <v>1.3911730000000001E-2</v>
      </c>
      <c r="P2159">
        <v>-0.9843518</v>
      </c>
      <c r="Q2159">
        <v>0.1757937</v>
      </c>
      <c r="R2159">
        <v>-1.2182810000000001E-2</v>
      </c>
      <c r="S2159">
        <v>-3.0790709999999999</v>
      </c>
      <c r="T2159">
        <v>-0.1874287</v>
      </c>
      <c r="U2159">
        <v>-0.16625980000000001</v>
      </c>
      <c r="V2159">
        <v>-2.558713E-2</v>
      </c>
      <c r="W2159">
        <v>0.19071650000000001</v>
      </c>
      <c r="X2159">
        <v>0.98131159999999995</v>
      </c>
      <c r="Y2159">
        <v>-6.7655480000000004E-2</v>
      </c>
      <c r="Z2159">
        <v>-2.9013509999999999E-3</v>
      </c>
      <c r="AA2159">
        <v>0.99770449999999999</v>
      </c>
      <c r="AB2159">
        <v>40</v>
      </c>
      <c r="AC2159">
        <v>-17.9972999999999</v>
      </c>
      <c r="AD2159">
        <v>-1.109662158623</v>
      </c>
      <c r="AE2159">
        <v>-0.98779999999999202</v>
      </c>
      <c r="AF2159">
        <v>-1.23343172889043</v>
      </c>
      <c r="AG2159">
        <v>-1.109662158623</v>
      </c>
      <c r="AH2159">
        <v>17.913917293620401</v>
      </c>
      <c r="AI2159">
        <v>93.536257573844907</v>
      </c>
      <c r="AJ2159">
        <v>93.938785154558005</v>
      </c>
      <c r="AK2159">
        <v>17.990584669175899</v>
      </c>
      <c r="AL2159">
        <v>79.005398407163</v>
      </c>
      <c r="AM2159">
        <v>91.493615742512503</v>
      </c>
      <c r="AN2159">
        <v>0.99999997044422295</v>
      </c>
    </row>
    <row r="2160" spans="1:40" x14ac:dyDescent="0.25">
      <c r="A2160" t="str">
        <f>"20190312172411861"</f>
        <v>20190312172411861</v>
      </c>
      <c r="B2160" t="str">
        <f>"1552382651852424"</f>
        <v>1552382651852424</v>
      </c>
      <c r="C2160" t="s">
        <v>40</v>
      </c>
      <c r="D2160">
        <v>3.8689779999999998</v>
      </c>
      <c r="E2160">
        <v>0.47938700000000001</v>
      </c>
      <c r="F2160" t="s">
        <v>47</v>
      </c>
      <c r="G2160">
        <v>-386.47680000000003</v>
      </c>
      <c r="H2160" s="1">
        <v>1.9098310000000001E-6</v>
      </c>
      <c r="I2160">
        <v>282.947</v>
      </c>
      <c r="J2160">
        <v>-368.72289999999998</v>
      </c>
      <c r="K2160">
        <v>1.109674</v>
      </c>
      <c r="L2160">
        <v>283.92910000000001</v>
      </c>
      <c r="M2160">
        <v>-0.99978160000000005</v>
      </c>
      <c r="N2160">
        <v>0</v>
      </c>
      <c r="O2160">
        <v>1.4410549999999999E-2</v>
      </c>
      <c r="P2160">
        <v>-0.98443320000000001</v>
      </c>
      <c r="Q2160">
        <v>0.1753941</v>
      </c>
      <c r="R2160">
        <v>-1.13425E-2</v>
      </c>
      <c r="S2160">
        <v>-3.0793149999999998</v>
      </c>
      <c r="T2160">
        <v>-0.1885136</v>
      </c>
      <c r="U2160">
        <v>-0.1658936</v>
      </c>
      <c r="V2160">
        <v>-2.524382E-2</v>
      </c>
      <c r="W2160">
        <v>0.19031300000000001</v>
      </c>
      <c r="X2160">
        <v>0.98139889999999996</v>
      </c>
      <c r="Y2160">
        <v>-6.8027320000000002E-2</v>
      </c>
      <c r="Z2160">
        <v>-2.9597489999999998E-3</v>
      </c>
      <c r="AA2160">
        <v>0.99767910000000004</v>
      </c>
      <c r="AB2160">
        <v>40</v>
      </c>
      <c r="AC2160">
        <v>-17.753900000000002</v>
      </c>
      <c r="AD2160">
        <v>-1.109672090169</v>
      </c>
      <c r="AE2160">
        <v>-0.98210000000000197</v>
      </c>
      <c r="AF2160">
        <v>-1.2330683313025701</v>
      </c>
      <c r="AG2160">
        <v>-1.109672090169</v>
      </c>
      <c r="AH2160">
        <v>17.669085912044199</v>
      </c>
      <c r="AI2160">
        <v>93.584932461802893</v>
      </c>
      <c r="AJ2160">
        <v>93.992014820001003</v>
      </c>
      <c r="AK2160">
        <v>17.746786374568199</v>
      </c>
      <c r="AL2160">
        <v>79.028949416860002</v>
      </c>
      <c r="AM2160">
        <v>91.473453335372696</v>
      </c>
      <c r="AN2160">
        <v>1.0000000446691999</v>
      </c>
    </row>
    <row r="2161" spans="1:40" x14ac:dyDescent="0.25">
      <c r="A2161" t="str">
        <f>"20190312172411883"</f>
        <v>20190312172411883</v>
      </c>
      <c r="B2161" t="str">
        <f>"1552382651872452"</f>
        <v>1552382651872452</v>
      </c>
      <c r="C2161" t="s">
        <v>40</v>
      </c>
      <c r="D2161">
        <v>3.8364069999999999</v>
      </c>
      <c r="E2161">
        <v>0.47984300000000002</v>
      </c>
      <c r="F2161" t="s">
        <v>47</v>
      </c>
      <c r="G2161">
        <v>-384.32010000000002</v>
      </c>
      <c r="H2161" s="1">
        <v>7.6217649999999997E-7</v>
      </c>
      <c r="I2161">
        <v>282.92090000000002</v>
      </c>
      <c r="J2161">
        <v>-369.11579999999998</v>
      </c>
      <c r="K2161">
        <v>1.1096889999999999</v>
      </c>
      <c r="L2161">
        <v>283.93520000000001</v>
      </c>
      <c r="M2161">
        <v>-0.99977419999999995</v>
      </c>
      <c r="N2161">
        <v>0</v>
      </c>
      <c r="O2161">
        <v>1.4915879999999999E-2</v>
      </c>
      <c r="P2161">
        <v>-0.98442870000000005</v>
      </c>
      <c r="Q2161">
        <v>0.1754462</v>
      </c>
      <c r="R2161">
        <v>-1.0907480000000001E-2</v>
      </c>
      <c r="S2161">
        <v>-3.0841980000000002</v>
      </c>
      <c r="T2161">
        <v>-0.21942639999999999</v>
      </c>
      <c r="U2161">
        <v>-0.1993713</v>
      </c>
      <c r="V2161">
        <v>-2.5312379999999999E-2</v>
      </c>
      <c r="W2161">
        <v>0.1903589</v>
      </c>
      <c r="X2161">
        <v>0.98138820000000004</v>
      </c>
      <c r="Y2161">
        <v>-7.9150699999999893E-2</v>
      </c>
      <c r="Z2161">
        <v>-3.868102E-3</v>
      </c>
      <c r="AA2161">
        <v>0.99685509999999999</v>
      </c>
      <c r="AB2161">
        <v>40</v>
      </c>
      <c r="AC2161">
        <v>-15.2043</v>
      </c>
      <c r="AD2161">
        <v>-1.1096882378235</v>
      </c>
      <c r="AE2161">
        <v>-1.01429999999999</v>
      </c>
      <c r="AF2161">
        <v>-1.23445204324289</v>
      </c>
      <c r="AG2161">
        <v>-1.1096882378235</v>
      </c>
      <c r="AH2161">
        <v>15.107359427479301</v>
      </c>
      <c r="AI2161">
        <v>94.187124976232795</v>
      </c>
      <c r="AJ2161">
        <v>94.671372569459294</v>
      </c>
      <c r="AK2161">
        <v>15.198275846400399</v>
      </c>
      <c r="AL2161">
        <v>79.026270219600093</v>
      </c>
      <c r="AM2161">
        <v>91.477469435436603</v>
      </c>
      <c r="AN2161">
        <v>1.0000000132448501</v>
      </c>
    </row>
    <row r="2162" spans="1:40" x14ac:dyDescent="0.25">
      <c r="A2162" t="str">
        <f>"20190312172411896"</f>
        <v>20190312172411896</v>
      </c>
      <c r="B2162" t="str">
        <f>"1552382651891971"</f>
        <v>1552382651891971</v>
      </c>
      <c r="C2162" t="s">
        <v>40</v>
      </c>
      <c r="D2162">
        <v>3.721997</v>
      </c>
      <c r="E2162">
        <v>0.47989009999999999</v>
      </c>
      <c r="F2162" t="s">
        <v>47</v>
      </c>
      <c r="G2162">
        <v>-385.10149999999999</v>
      </c>
      <c r="H2162" s="1">
        <v>1.1779880000000001E-6</v>
      </c>
      <c r="I2162">
        <v>282.92770000000002</v>
      </c>
      <c r="J2162">
        <v>-369.35480000000001</v>
      </c>
      <c r="K2162">
        <v>1.109704</v>
      </c>
      <c r="L2162">
        <v>283.9391</v>
      </c>
      <c r="M2162">
        <v>-0.99976969999999998</v>
      </c>
      <c r="N2162">
        <v>0</v>
      </c>
      <c r="O2162">
        <v>1.5212649999999999E-2</v>
      </c>
      <c r="P2162">
        <v>-0.98439379999999999</v>
      </c>
      <c r="Q2162">
        <v>0.1756733</v>
      </c>
      <c r="R2162">
        <v>-1.038246E-2</v>
      </c>
      <c r="S2162">
        <v>-3.0834350000000001</v>
      </c>
      <c r="T2162">
        <v>-0.21404429999999999</v>
      </c>
      <c r="U2162">
        <v>-0.19433590000000001</v>
      </c>
      <c r="V2162">
        <v>-2.5084309999999999E-2</v>
      </c>
      <c r="W2162">
        <v>0.19058169999999999</v>
      </c>
      <c r="X2162">
        <v>0.98135079999999997</v>
      </c>
      <c r="Y2162">
        <v>-7.7854850000000003E-2</v>
      </c>
      <c r="Z2162">
        <v>-3.750261E-3</v>
      </c>
      <c r="AA2162">
        <v>0.99695769999999995</v>
      </c>
      <c r="AB2162">
        <v>40</v>
      </c>
      <c r="AC2162">
        <v>-15.746699999999899</v>
      </c>
      <c r="AD2162">
        <v>-1.109702822012</v>
      </c>
      <c r="AE2162">
        <v>-1.0113999999999801</v>
      </c>
      <c r="AF2162">
        <v>-1.24470322672662</v>
      </c>
      <c r="AG2162">
        <v>-1.109702822012</v>
      </c>
      <c r="AH2162">
        <v>15.6520757745237</v>
      </c>
      <c r="AI2162">
        <v>94.042657466725302</v>
      </c>
      <c r="AJ2162">
        <v>94.546775603730794</v>
      </c>
      <c r="AK2162">
        <v>15.740654450410799</v>
      </c>
      <c r="AL2162">
        <v>79.013266514117802</v>
      </c>
      <c r="AM2162">
        <v>91.464218714518097</v>
      </c>
      <c r="AN2162">
        <v>0.99999999982185295</v>
      </c>
    </row>
    <row r="2163" spans="1:40" x14ac:dyDescent="0.25">
      <c r="A2163" t="str">
        <f>"20190312172411917"</f>
        <v>20190312172411917</v>
      </c>
      <c r="B2163" t="str">
        <f>"1552382651912467"</f>
        <v>1552382651912467</v>
      </c>
      <c r="C2163" t="s">
        <v>40</v>
      </c>
      <c r="D2163">
        <v>3.74736</v>
      </c>
      <c r="E2163">
        <v>0.48056690000000002</v>
      </c>
      <c r="F2163" t="s">
        <v>47</v>
      </c>
      <c r="G2163">
        <v>-385.5172</v>
      </c>
      <c r="H2163" s="1">
        <v>1.3991840000000001E-6</v>
      </c>
      <c r="I2163">
        <v>282.92849999999999</v>
      </c>
      <c r="J2163">
        <v>-369.72980000000001</v>
      </c>
      <c r="K2163">
        <v>1.109726</v>
      </c>
      <c r="L2163">
        <v>283.9452</v>
      </c>
      <c r="M2163">
        <v>-0.99976299999999996</v>
      </c>
      <c r="N2163">
        <v>0</v>
      </c>
      <c r="O2163">
        <v>1.5659739999999998E-2</v>
      </c>
      <c r="P2163">
        <v>-0.98434489999999997</v>
      </c>
      <c r="Q2163">
        <v>0.175978299999999</v>
      </c>
      <c r="R2163">
        <v>-9.8508789999999999E-3</v>
      </c>
      <c r="S2163">
        <v>-3.083313</v>
      </c>
      <c r="T2163">
        <v>-0.21169840000000001</v>
      </c>
      <c r="U2163">
        <v>-0.19277949999999999</v>
      </c>
      <c r="V2163">
        <v>-2.5001410000000002E-2</v>
      </c>
      <c r="W2163">
        <v>0.1908803</v>
      </c>
      <c r="X2163">
        <v>0.98129489999999997</v>
      </c>
      <c r="Y2163">
        <v>-7.7805769999999996E-2</v>
      </c>
      <c r="Z2163">
        <v>-3.738417E-3</v>
      </c>
      <c r="AA2163">
        <v>0.99696149999999994</v>
      </c>
      <c r="AB2163">
        <v>40</v>
      </c>
      <c r="AC2163">
        <v>-15.7873999999999</v>
      </c>
      <c r="AD2163">
        <v>-1.109724600816</v>
      </c>
      <c r="AE2163">
        <v>-1.0167000000000099</v>
      </c>
      <c r="AF2163">
        <v>-1.2576418957491799</v>
      </c>
      <c r="AG2163">
        <v>-1.109724600816</v>
      </c>
      <c r="AH2163">
        <v>15.692326064786201</v>
      </c>
      <c r="AI2163">
        <v>94.032203469002894</v>
      </c>
      <c r="AJ2163">
        <v>94.582105198109502</v>
      </c>
      <c r="AK2163">
        <v>15.7817061546326</v>
      </c>
      <c r="AL2163">
        <v>78.995838274355904</v>
      </c>
      <c r="AM2163">
        <v>91.459464879080201</v>
      </c>
      <c r="AN2163">
        <v>1.0000000200980399</v>
      </c>
    </row>
    <row r="2164" spans="1:40" x14ac:dyDescent="0.25">
      <c r="A2164" t="str">
        <f>"20190312172411931"</f>
        <v>20190312172411931</v>
      </c>
      <c r="B2164" t="str">
        <f>"1552382651922226"</f>
        <v>1552382651922226</v>
      </c>
      <c r="C2164" t="s">
        <v>40</v>
      </c>
      <c r="D2164">
        <v>3.7917839999999998</v>
      </c>
      <c r="E2164">
        <v>0.4807284</v>
      </c>
      <c r="F2164" t="s">
        <v>47</v>
      </c>
      <c r="G2164">
        <v>-386.33710000000002</v>
      </c>
      <c r="H2164" s="1">
        <v>1.8355179999999999E-6</v>
      </c>
      <c r="I2164">
        <v>282.94310000000002</v>
      </c>
      <c r="J2164">
        <v>-369.9751</v>
      </c>
      <c r="K2164">
        <v>1.109739</v>
      </c>
      <c r="L2164">
        <v>283.94929999999999</v>
      </c>
      <c r="M2164">
        <v>-0.99975879999999995</v>
      </c>
      <c r="N2164">
        <v>0</v>
      </c>
      <c r="O2164">
        <v>1.593021E-2</v>
      </c>
      <c r="P2164">
        <v>-0.98444710000000002</v>
      </c>
      <c r="Q2164">
        <v>0.175417299999999</v>
      </c>
      <c r="R2164">
        <v>-9.6568039999999997E-3</v>
      </c>
      <c r="S2164">
        <v>-3.082703</v>
      </c>
      <c r="T2164">
        <v>-0.20599020000000001</v>
      </c>
      <c r="U2164">
        <v>-0.18600459999999999</v>
      </c>
      <c r="V2164">
        <v>-2.508469E-2</v>
      </c>
      <c r="W2164">
        <v>0.19031680000000001</v>
      </c>
      <c r="X2164">
        <v>0.9814022</v>
      </c>
      <c r="Y2164">
        <v>-7.5919970000000003E-2</v>
      </c>
      <c r="Z2164">
        <v>-3.5939600000000002E-3</v>
      </c>
      <c r="AA2164">
        <v>0.99710739999999998</v>
      </c>
      <c r="AB2164">
        <v>40</v>
      </c>
      <c r="AC2164">
        <v>-16.361999999999998</v>
      </c>
      <c r="AD2164">
        <v>-1.109737164482</v>
      </c>
      <c r="AE2164">
        <v>-1.00619999999997</v>
      </c>
      <c r="AF2164">
        <v>-1.2609734270347599</v>
      </c>
      <c r="AG2164">
        <v>-1.109737164482</v>
      </c>
      <c r="AH2164">
        <v>16.269333843682499</v>
      </c>
      <c r="AI2164">
        <v>93.890489667379498</v>
      </c>
      <c r="AJ2164">
        <v>94.431914973643401</v>
      </c>
      <c r="AK2164">
        <v>16.355818361522399</v>
      </c>
      <c r="AL2164">
        <v>79.028727166670294</v>
      </c>
      <c r="AM2164">
        <v>91.464164231351305</v>
      </c>
      <c r="AN2164">
        <v>1.0000000020997299</v>
      </c>
    </row>
    <row r="2165" spans="1:40" x14ac:dyDescent="0.25">
      <c r="A2165" t="str">
        <f>"20190312172411951"</f>
        <v>20190312172411951</v>
      </c>
      <c r="B2165" t="str">
        <f>"1552382651941746"</f>
        <v>1552382651941746</v>
      </c>
      <c r="C2165" t="s">
        <v>40</v>
      </c>
      <c r="D2165">
        <v>3.6841349999999999</v>
      </c>
      <c r="E2165">
        <v>0.48083029999999999</v>
      </c>
      <c r="F2165" t="s">
        <v>47</v>
      </c>
      <c r="G2165">
        <v>-386.59449999999998</v>
      </c>
      <c r="H2165" s="1">
        <v>1.9724899999999999E-6</v>
      </c>
      <c r="I2165">
        <v>282.95620000000002</v>
      </c>
      <c r="J2165">
        <v>-370.33159999999998</v>
      </c>
      <c r="K2165">
        <v>1.1097699999999999</v>
      </c>
      <c r="L2165">
        <v>283.95530000000002</v>
      </c>
      <c r="M2165">
        <v>-0.99975290000000006</v>
      </c>
      <c r="N2165">
        <v>0</v>
      </c>
      <c r="O2165">
        <v>1.6290490000000001E-2</v>
      </c>
      <c r="P2165">
        <v>-0.9845045</v>
      </c>
      <c r="Q2165">
        <v>0.1750922</v>
      </c>
      <c r="R2165">
        <v>-9.6744369999999993E-3</v>
      </c>
      <c r="S2165">
        <v>-3.0822750000000001</v>
      </c>
      <c r="T2165">
        <v>-0.2058142</v>
      </c>
      <c r="U2165">
        <v>-0.18417359999999999</v>
      </c>
      <c r="V2165">
        <v>-2.547429E-2</v>
      </c>
      <c r="W2165">
        <v>0.18998719999999999</v>
      </c>
      <c r="X2165">
        <v>0.981456</v>
      </c>
      <c r="Y2165">
        <v>-7.5697360000000005E-2</v>
      </c>
      <c r="Z2165">
        <v>-3.6080539999999999E-3</v>
      </c>
      <c r="AA2165">
        <v>0.99712429999999996</v>
      </c>
      <c r="AB2165">
        <v>40</v>
      </c>
      <c r="AC2165">
        <v>-16.262899999999998</v>
      </c>
      <c r="AD2165">
        <v>-1.1097680275099999</v>
      </c>
      <c r="AE2165">
        <v>-0.99909999999999799</v>
      </c>
      <c r="AF2165">
        <v>-1.2580919114127</v>
      </c>
      <c r="AG2165">
        <v>-1.1097680275099999</v>
      </c>
      <c r="AH2165">
        <v>16.169452269346198</v>
      </c>
      <c r="AI2165">
        <v>93.914465417590407</v>
      </c>
      <c r="AJ2165">
        <v>94.449032670932596</v>
      </c>
      <c r="AK2165">
        <v>16.256247015320302</v>
      </c>
      <c r="AL2165">
        <v>79.047962546890901</v>
      </c>
      <c r="AM2165">
        <v>91.486813130647406</v>
      </c>
      <c r="AN2165">
        <v>0.99999997777542105</v>
      </c>
    </row>
    <row r="2166" spans="1:40" x14ac:dyDescent="0.25">
      <c r="A2166" t="str">
        <f>"20190312172411973"</f>
        <v>20190312172411973</v>
      </c>
      <c r="B2166" t="str">
        <f>"1552382651961774"</f>
        <v>1552382651961774</v>
      </c>
      <c r="C2166" t="s">
        <v>40</v>
      </c>
      <c r="D2166">
        <v>3.7323930000000001</v>
      </c>
      <c r="E2166">
        <v>0.48294219999999999</v>
      </c>
      <c r="F2166" t="s">
        <v>47</v>
      </c>
      <c r="G2166">
        <v>-386.90519999999998</v>
      </c>
      <c r="H2166" s="1">
        <v>2.1378359999999998E-6</v>
      </c>
      <c r="I2166">
        <v>282.97210000000001</v>
      </c>
      <c r="J2166">
        <v>-370.72710000000001</v>
      </c>
      <c r="K2166">
        <v>1.1098170000000001</v>
      </c>
      <c r="L2166">
        <v>283.96199999999999</v>
      </c>
      <c r="M2166">
        <v>-0.99974750000000001</v>
      </c>
      <c r="N2166">
        <v>0</v>
      </c>
      <c r="O2166">
        <v>1.663678E-2</v>
      </c>
      <c r="P2166">
        <v>-0.98452830000000002</v>
      </c>
      <c r="Q2166">
        <v>0.17495069999999999</v>
      </c>
      <c r="R2166">
        <v>-9.8084859999999999E-3</v>
      </c>
      <c r="S2166">
        <v>-3.0820919999999998</v>
      </c>
      <c r="T2166">
        <v>-0.20637630000000001</v>
      </c>
      <c r="U2166">
        <v>-0.18283079999999999</v>
      </c>
      <c r="V2166">
        <v>-2.5971580000000001E-2</v>
      </c>
      <c r="W2166">
        <v>0.18983920000000001</v>
      </c>
      <c r="X2166">
        <v>0.9814716</v>
      </c>
      <c r="Y2166">
        <v>-7.5611659999999997E-2</v>
      </c>
      <c r="Z2166">
        <v>-3.6384289999999999E-3</v>
      </c>
      <c r="AA2166">
        <v>0.99713070000000004</v>
      </c>
      <c r="AB2166">
        <v>40</v>
      </c>
      <c r="AC2166">
        <v>-16.178099999999901</v>
      </c>
      <c r="AD2166">
        <v>-1.109814862164</v>
      </c>
      <c r="AE2166">
        <v>-0.98989999999997702</v>
      </c>
      <c r="AF2166">
        <v>-1.2530702916924099</v>
      </c>
      <c r="AG2166">
        <v>-1.109814862164</v>
      </c>
      <c r="AH2166">
        <v>16.083981927206601</v>
      </c>
      <c r="AI2166">
        <v>93.935336531085497</v>
      </c>
      <c r="AJ2166">
        <v>94.454799068591598</v>
      </c>
      <c r="AK2166">
        <v>16.1708487352677</v>
      </c>
      <c r="AL2166">
        <v>79.056599456991194</v>
      </c>
      <c r="AM2166">
        <v>91.515800088523605</v>
      </c>
      <c r="AN2166">
        <v>0.99999997321544698</v>
      </c>
    </row>
    <row r="2167" spans="1:40" x14ac:dyDescent="0.25">
      <c r="A2167" t="str">
        <f>"20190312172411996"</f>
        <v>20190312172411996</v>
      </c>
      <c r="B2167" t="str">
        <f>"1552382651992029"</f>
        <v>1552382651992029</v>
      </c>
      <c r="C2167" t="s">
        <v>40</v>
      </c>
      <c r="D2167">
        <v>3.8124250000000002</v>
      </c>
      <c r="E2167">
        <v>0.48229460000000002</v>
      </c>
      <c r="F2167" t="s">
        <v>47</v>
      </c>
      <c r="G2167">
        <v>-390.14580000000001</v>
      </c>
      <c r="H2167" s="1">
        <v>-1.45921699999999E-6</v>
      </c>
      <c r="I2167">
        <v>282.9144</v>
      </c>
      <c r="J2167">
        <v>-371.13319999999999</v>
      </c>
      <c r="K2167">
        <v>1.1098840000000001</v>
      </c>
      <c r="L2167">
        <v>283.96910000000003</v>
      </c>
      <c r="M2167">
        <v>-0.99974240000000003</v>
      </c>
      <c r="N2167">
        <v>0</v>
      </c>
      <c r="O2167">
        <v>1.6935100000000002E-2</v>
      </c>
      <c r="P2167">
        <v>-0.98446849999999997</v>
      </c>
      <c r="Q2167">
        <v>0.17529529999999999</v>
      </c>
      <c r="R2167">
        <v>-9.6694209999999992E-3</v>
      </c>
      <c r="S2167">
        <v>-3.0767820000000001</v>
      </c>
      <c r="T2167">
        <v>-0.17584439999999901</v>
      </c>
      <c r="U2167">
        <v>-0.1659851</v>
      </c>
      <c r="V2167">
        <v>-2.614957E-2</v>
      </c>
      <c r="W2167">
        <v>0.19017439999999999</v>
      </c>
      <c r="X2167">
        <v>0.981402</v>
      </c>
      <c r="Y2167">
        <v>-7.0631509999999995E-2</v>
      </c>
      <c r="Z2167">
        <v>-2.9818330000000001E-3</v>
      </c>
      <c r="AA2167">
        <v>0.997498</v>
      </c>
      <c r="AB2167">
        <v>40</v>
      </c>
      <c r="AC2167">
        <v>-19.012599999999999</v>
      </c>
      <c r="AD2167">
        <v>-1.109885459217</v>
      </c>
      <c r="AE2167">
        <v>-1.05470000000002</v>
      </c>
      <c r="AF2167">
        <v>-1.3719049341736</v>
      </c>
      <c r="AG2167">
        <v>-1.109885459217</v>
      </c>
      <c r="AH2167">
        <v>18.927705476315399</v>
      </c>
      <c r="AI2167">
        <v>93.347114649878094</v>
      </c>
      <c r="AJ2167">
        <v>94.145623704063894</v>
      </c>
      <c r="AK2167">
        <v>19.0097870445497</v>
      </c>
      <c r="AL2167">
        <v>79.037037778189898</v>
      </c>
      <c r="AM2167">
        <v>91.526291548950198</v>
      </c>
      <c r="AN2167">
        <v>0.99999999401527195</v>
      </c>
    </row>
    <row r="2168" spans="1:40" x14ac:dyDescent="0.25">
      <c r="A2168" t="str">
        <f>"20190312172412018"</f>
        <v>20190312172412018</v>
      </c>
      <c r="B2168" t="str">
        <f>"1552382652012532"</f>
        <v>1552382652012532</v>
      </c>
      <c r="C2168" t="s">
        <v>40</v>
      </c>
      <c r="D2168">
        <v>3.8198850000000002</v>
      </c>
      <c r="E2168">
        <v>0.48218870000000003</v>
      </c>
      <c r="F2168" t="s">
        <v>47</v>
      </c>
      <c r="G2168">
        <v>-390.38369999999998</v>
      </c>
      <c r="H2168" s="1">
        <v>-1.332608E-6</v>
      </c>
      <c r="I2168">
        <v>282.90440000000001</v>
      </c>
      <c r="J2168">
        <v>-371.51659999999998</v>
      </c>
      <c r="K2168">
        <v>1.109939</v>
      </c>
      <c r="L2168">
        <v>283.97579999999999</v>
      </c>
      <c r="M2168">
        <v>-0.99973860000000003</v>
      </c>
      <c r="N2168">
        <v>0</v>
      </c>
      <c r="O2168">
        <v>1.716463E-2</v>
      </c>
      <c r="P2168">
        <v>-0.98435539999999999</v>
      </c>
      <c r="Q2168">
        <v>0.1759204</v>
      </c>
      <c r="R2168">
        <v>-9.8378830000000004E-3</v>
      </c>
      <c r="S2168">
        <v>-3.0772400000000002</v>
      </c>
      <c r="T2168">
        <v>-0.17741799999999999</v>
      </c>
      <c r="U2168">
        <v>-0.1701965</v>
      </c>
      <c r="V2168">
        <v>-2.65647E-2</v>
      </c>
      <c r="W2168">
        <v>0.1907904</v>
      </c>
      <c r="X2168">
        <v>0.98127129999999996</v>
      </c>
      <c r="Y2168">
        <v>-7.2208040000000001E-2</v>
      </c>
      <c r="Z2168">
        <v>-3.066507E-3</v>
      </c>
      <c r="AA2168">
        <v>0.99738490000000002</v>
      </c>
      <c r="AB2168">
        <v>40</v>
      </c>
      <c r="AC2168">
        <v>-18.867099999999901</v>
      </c>
      <c r="AD2168">
        <v>-1.109940332608</v>
      </c>
      <c r="AE2168">
        <v>-1.0713999999999799</v>
      </c>
      <c r="AF2168">
        <v>-1.3903295312095301</v>
      </c>
      <c r="AG2168">
        <v>-1.109940332608</v>
      </c>
      <c r="AH2168">
        <v>18.7811368324105</v>
      </c>
      <c r="AI2168">
        <v>93.372962691472097</v>
      </c>
      <c r="AJ2168">
        <v>94.2337679313395</v>
      </c>
      <c r="AK2168">
        <v>18.865208306960898</v>
      </c>
      <c r="AL2168">
        <v>79.001085510916198</v>
      </c>
      <c r="AM2168">
        <v>91.550716435921501</v>
      </c>
      <c r="AN2168">
        <v>1.00000001211096</v>
      </c>
    </row>
    <row r="2169" spans="1:40" x14ac:dyDescent="0.25">
      <c r="A2169" t="str">
        <f>"20190312172412030"</f>
        <v>20190312172412030</v>
      </c>
      <c r="B2169" t="str">
        <f>"1552382652022289"</f>
        <v>1552382652022289</v>
      </c>
      <c r="C2169" t="s">
        <v>40</v>
      </c>
      <c r="D2169">
        <v>3.6881499999999998</v>
      </c>
      <c r="E2169">
        <v>0.48223630000000001</v>
      </c>
      <c r="F2169" t="s">
        <v>47</v>
      </c>
      <c r="G2169">
        <v>-390.74579999999997</v>
      </c>
      <c r="H2169" s="1">
        <v>-1.139906E-6</v>
      </c>
      <c r="I2169">
        <v>282.90440000000001</v>
      </c>
      <c r="J2169">
        <v>-371.74509999999998</v>
      </c>
      <c r="K2169">
        <v>1.1099699999999999</v>
      </c>
      <c r="L2169">
        <v>283.97980000000001</v>
      </c>
      <c r="M2169">
        <v>-0.99973670000000003</v>
      </c>
      <c r="N2169">
        <v>0</v>
      </c>
      <c r="O2169">
        <v>1.72771E-2</v>
      </c>
      <c r="P2169">
        <v>-0.98428669999999996</v>
      </c>
      <c r="Q2169">
        <v>0.17629429999999999</v>
      </c>
      <c r="R2169">
        <v>-1.00187E-2</v>
      </c>
      <c r="S2169">
        <v>-3.077728</v>
      </c>
      <c r="T2169">
        <v>-0.17765129999999901</v>
      </c>
      <c r="U2169">
        <v>-0.1714783</v>
      </c>
      <c r="V2169">
        <v>-2.686827E-2</v>
      </c>
      <c r="W2169">
        <v>0.19115879999999999</v>
      </c>
      <c r="X2169">
        <v>0.98119129999999999</v>
      </c>
      <c r="Y2169">
        <v>-7.2724209999999997E-2</v>
      </c>
      <c r="Z2169">
        <v>-3.0913680000000002E-3</v>
      </c>
      <c r="AA2169">
        <v>0.99734730000000005</v>
      </c>
      <c r="AB2169">
        <v>40</v>
      </c>
      <c r="AC2169">
        <v>-19.000699999999899</v>
      </c>
      <c r="AD2169">
        <v>-1.1099711399059999</v>
      </c>
      <c r="AE2169">
        <v>-1.0753999999999999</v>
      </c>
      <c r="AF2169">
        <v>-1.39879560398081</v>
      </c>
      <c r="AG2169">
        <v>-1.1099711399059999</v>
      </c>
      <c r="AH2169">
        <v>18.914938564201599</v>
      </c>
      <c r="AI2169">
        <v>93.349268767514204</v>
      </c>
      <c r="AJ2169">
        <v>94.229432752926897</v>
      </c>
      <c r="AK2169">
        <v>18.999041185298299</v>
      </c>
      <c r="AL2169">
        <v>78.979581603027299</v>
      </c>
      <c r="AM2169">
        <v>91.568556372534402</v>
      </c>
      <c r="AN2169">
        <v>0.999999978972961</v>
      </c>
    </row>
    <row r="2170" spans="1:40" x14ac:dyDescent="0.25">
      <c r="A2170" t="str">
        <f>"20190312172412044"</f>
        <v>20190312172412044</v>
      </c>
      <c r="B2170" t="str">
        <f>"1552382652032049"</f>
        <v>1552382652032049</v>
      </c>
      <c r="C2170" t="s">
        <v>40</v>
      </c>
      <c r="D2170">
        <v>3.7920410000000002</v>
      </c>
      <c r="E2170">
        <v>0.4820567</v>
      </c>
      <c r="F2170" t="s">
        <v>47</v>
      </c>
      <c r="G2170">
        <v>-391.06490000000002</v>
      </c>
      <c r="H2170" s="1">
        <v>-9.7009039999999994E-7</v>
      </c>
      <c r="I2170">
        <v>282.90269999999998</v>
      </c>
      <c r="J2170">
        <v>-371.98840000000001</v>
      </c>
      <c r="K2170">
        <v>1.1100019999999999</v>
      </c>
      <c r="L2170">
        <v>283.98410000000001</v>
      </c>
      <c r="M2170">
        <v>-0.99973489999999998</v>
      </c>
      <c r="N2170">
        <v>0</v>
      </c>
      <c r="O2170">
        <v>1.7384730000000001E-2</v>
      </c>
      <c r="P2170">
        <v>-0.98428280000000001</v>
      </c>
      <c r="Q2170">
        <v>0.17631260000000001</v>
      </c>
      <c r="R2170">
        <v>-1.005405E-2</v>
      </c>
      <c r="S2170">
        <v>-3.07782</v>
      </c>
      <c r="T2170">
        <v>-0.1768284</v>
      </c>
      <c r="U2170">
        <v>-0.17160029999999901</v>
      </c>
      <c r="V2170">
        <v>-2.7022600000000001E-2</v>
      </c>
      <c r="W2170">
        <v>0.19117239999999999</v>
      </c>
      <c r="X2170">
        <v>0.98118439999999996</v>
      </c>
      <c r="Y2170">
        <v>-7.287035E-2</v>
      </c>
      <c r="Z2170">
        <v>-3.0873459999999999E-3</v>
      </c>
      <c r="AA2170">
        <v>0.99733660000000002</v>
      </c>
      <c r="AB2170">
        <v>40</v>
      </c>
      <c r="AC2170">
        <v>-19.076499999999999</v>
      </c>
      <c r="AD2170">
        <v>-1.11000297009039</v>
      </c>
      <c r="AE2170">
        <v>-1.0814000000000299</v>
      </c>
      <c r="AF2170">
        <v>-1.4081617659046799</v>
      </c>
      <c r="AG2170">
        <v>-1.11000297009039</v>
      </c>
      <c r="AH2170">
        <v>18.990723108364801</v>
      </c>
      <c r="AI2170">
        <v>93.3359802823921</v>
      </c>
      <c r="AJ2170">
        <v>94.240720212683001</v>
      </c>
      <c r="AK2170">
        <v>19.075182576613599</v>
      </c>
      <c r="AL2170">
        <v>78.978787607531999</v>
      </c>
      <c r="AM2170">
        <v>91.5775726304134</v>
      </c>
      <c r="AN2170">
        <v>0.99999996711793904</v>
      </c>
    </row>
    <row r="2171" spans="1:40" x14ac:dyDescent="0.25">
      <c r="A2171" t="str">
        <f>"20190312172412062"</f>
        <v>20190312172412062</v>
      </c>
      <c r="B2171" t="str">
        <f>"1552382652052544"</f>
        <v>1552382652052544</v>
      </c>
      <c r="C2171" t="s">
        <v>40</v>
      </c>
      <c r="D2171">
        <v>3.752068</v>
      </c>
      <c r="E2171">
        <v>0.48181879999999999</v>
      </c>
      <c r="F2171" t="s">
        <v>47</v>
      </c>
      <c r="G2171">
        <v>-391.13029999999998</v>
      </c>
      <c r="H2171" s="1">
        <v>-9.3529129999999996E-7</v>
      </c>
      <c r="I2171">
        <v>282.90940000000001</v>
      </c>
      <c r="J2171">
        <v>-372.31880000000001</v>
      </c>
      <c r="K2171">
        <v>1.1100449999999999</v>
      </c>
      <c r="L2171">
        <v>283.99</v>
      </c>
      <c r="M2171">
        <v>-0.99973270000000003</v>
      </c>
      <c r="N2171">
        <v>0</v>
      </c>
      <c r="O2171">
        <v>1.7505610000000001E-2</v>
      </c>
      <c r="P2171">
        <v>-0.98417949999999998</v>
      </c>
      <c r="Q2171">
        <v>0.17688870000000001</v>
      </c>
      <c r="R2171">
        <v>-1.0037570000000001E-2</v>
      </c>
      <c r="S2171">
        <v>-3.078125</v>
      </c>
      <c r="T2171">
        <v>-0.17849429999999999</v>
      </c>
      <c r="U2171">
        <v>-0.172821</v>
      </c>
      <c r="V2171">
        <v>-2.713931E-2</v>
      </c>
      <c r="W2171">
        <v>0.19174099999999999</v>
      </c>
      <c r="X2171">
        <v>0.98107029999999995</v>
      </c>
      <c r="Y2171">
        <v>-7.3375899999999994E-2</v>
      </c>
      <c r="Z2171">
        <v>-3.1376770000000002E-3</v>
      </c>
      <c r="AA2171">
        <v>0.99729939999999995</v>
      </c>
      <c r="AB2171">
        <v>40</v>
      </c>
      <c r="AC2171">
        <v>-18.811499999999899</v>
      </c>
      <c r="AD2171">
        <v>-1.1100459352912999</v>
      </c>
      <c r="AE2171">
        <v>-1.0806</v>
      </c>
      <c r="AF2171">
        <v>-1.4049028666371099</v>
      </c>
      <c r="AG2171">
        <v>-1.1100459352912999</v>
      </c>
      <c r="AH2171">
        <v>18.724712091539399</v>
      </c>
      <c r="AI2171">
        <v>93.383173759405807</v>
      </c>
      <c r="AJ2171">
        <v>94.290825213709695</v>
      </c>
      <c r="AK2171">
        <v>18.810124852168901</v>
      </c>
      <c r="AL2171">
        <v>78.9455960550805</v>
      </c>
      <c r="AM2171">
        <v>91.584566837854894</v>
      </c>
      <c r="AN2171">
        <v>1.0000000433851799</v>
      </c>
    </row>
    <row r="2172" spans="1:40" x14ac:dyDescent="0.25">
      <c r="A2172" t="str">
        <f>"20190312172412085"</f>
        <v>20190312172412085</v>
      </c>
      <c r="B2172" t="str">
        <f>"1552382652082331"</f>
        <v>1552382652082331</v>
      </c>
      <c r="C2172" t="s">
        <v>40</v>
      </c>
      <c r="D2172">
        <v>3.635148</v>
      </c>
      <c r="E2172">
        <v>0.48182390000000003</v>
      </c>
      <c r="F2172" t="s">
        <v>47</v>
      </c>
      <c r="G2172">
        <v>-391.35169999999999</v>
      </c>
      <c r="H2172" s="1">
        <v>-8.1749169999999997E-7</v>
      </c>
      <c r="I2172">
        <v>282.91120000000001</v>
      </c>
      <c r="J2172">
        <v>-372.71420000000001</v>
      </c>
      <c r="K2172">
        <v>1.1100829999999999</v>
      </c>
      <c r="L2172">
        <v>283.99700000000001</v>
      </c>
      <c r="M2172">
        <v>-0.99973089999999998</v>
      </c>
      <c r="N2172">
        <v>0</v>
      </c>
      <c r="O2172">
        <v>1.762288E-2</v>
      </c>
      <c r="P2172">
        <v>-0.98393350000000002</v>
      </c>
      <c r="Q2172">
        <v>0.17825389999999999</v>
      </c>
      <c r="R2172">
        <v>-1.0038E-2</v>
      </c>
      <c r="S2172">
        <v>-3.0787049999999998</v>
      </c>
      <c r="T2172">
        <v>-0.179558</v>
      </c>
      <c r="U2172">
        <v>-0.1744995</v>
      </c>
      <c r="V2172">
        <v>-2.726572E-2</v>
      </c>
      <c r="W2172">
        <v>0.19309570000000001</v>
      </c>
      <c r="X2172">
        <v>0.98080100000000003</v>
      </c>
      <c r="Y2172">
        <v>-7.4021260000000005E-2</v>
      </c>
      <c r="Z2172">
        <v>-3.181321E-3</v>
      </c>
      <c r="AA2172">
        <v>0.99725160000000002</v>
      </c>
      <c r="AB2172">
        <v>40</v>
      </c>
      <c r="AC2172">
        <v>-18.6374999999999</v>
      </c>
      <c r="AD2172">
        <v>-1.1100838174916901</v>
      </c>
      <c r="AE2172">
        <v>-1.0858000000000001</v>
      </c>
      <c r="AF2172">
        <v>-1.40913299703216</v>
      </c>
      <c r="AG2172">
        <v>-1.1100838174916901</v>
      </c>
      <c r="AH2172">
        <v>18.549882728366001</v>
      </c>
      <c r="AI2172">
        <v>93.414861554065695</v>
      </c>
      <c r="AJ2172">
        <v>94.344103352035901</v>
      </c>
      <c r="AK2172">
        <v>18.6364184091609</v>
      </c>
      <c r="AL2172">
        <v>78.866498722759303</v>
      </c>
      <c r="AM2172">
        <v>91.592380551970393</v>
      </c>
      <c r="AN2172">
        <v>0.99999998522330402</v>
      </c>
    </row>
    <row r="2173" spans="1:40" x14ac:dyDescent="0.25">
      <c r="A2173" t="str">
        <f>"20190312172412118"</f>
        <v>20190312172412118</v>
      </c>
      <c r="B2173" t="str">
        <f>"1552382652112586"</f>
        <v>1552382652112586</v>
      </c>
      <c r="C2173" t="s">
        <v>40</v>
      </c>
      <c r="D2173">
        <v>3.627246</v>
      </c>
      <c r="E2173">
        <v>0.48147400000000001</v>
      </c>
      <c r="F2173" t="s">
        <v>47</v>
      </c>
      <c r="G2173">
        <v>-392.37610000000001</v>
      </c>
      <c r="H2173" s="1">
        <v>-2.7234060000000002E-7</v>
      </c>
      <c r="I2173">
        <v>282.88510000000002</v>
      </c>
      <c r="J2173">
        <v>-373.30439999999999</v>
      </c>
      <c r="K2173">
        <v>1.1101240000000001</v>
      </c>
      <c r="L2173">
        <v>284.00760000000002</v>
      </c>
      <c r="M2173">
        <v>-0.99972839999999996</v>
      </c>
      <c r="N2173">
        <v>0</v>
      </c>
      <c r="O2173">
        <v>1.7767060000000001E-2</v>
      </c>
      <c r="P2173">
        <v>-0.98394349999999997</v>
      </c>
      <c r="Q2173">
        <v>0.17821300000000001</v>
      </c>
      <c r="R2173">
        <v>-9.7940260000000008E-3</v>
      </c>
      <c r="S2173">
        <v>-3.0786739999999999</v>
      </c>
      <c r="T2173">
        <v>-0.17381779999999999</v>
      </c>
      <c r="U2173">
        <v>-0.174102799999999</v>
      </c>
      <c r="V2173">
        <v>-2.7182270000000001E-2</v>
      </c>
      <c r="W2173">
        <v>0.19304560000000001</v>
      </c>
      <c r="X2173">
        <v>0.98081320000000005</v>
      </c>
      <c r="Y2173">
        <v>-7.4047050000000003E-2</v>
      </c>
      <c r="Z2173">
        <v>-3.088679E-3</v>
      </c>
      <c r="AA2173">
        <v>0.99724999999999997</v>
      </c>
      <c r="AB2173">
        <v>40</v>
      </c>
      <c r="AC2173">
        <v>-19.0717</v>
      </c>
      <c r="AD2173">
        <v>-1.1101242723406</v>
      </c>
      <c r="AE2173">
        <v>-1.1225000000000001</v>
      </c>
      <c r="AF2173">
        <v>-1.45629223546626</v>
      </c>
      <c r="AG2173">
        <v>-1.1101242723406</v>
      </c>
      <c r="AH2173">
        <v>18.984642096506199</v>
      </c>
      <c r="AI2173">
        <v>93.336771232814201</v>
      </c>
      <c r="AJ2173">
        <v>94.386509576996801</v>
      </c>
      <c r="AK2173">
        <v>19.072750155852098</v>
      </c>
      <c r="AL2173">
        <v>78.869424524835907</v>
      </c>
      <c r="AM2173">
        <v>91.587489642050599</v>
      </c>
      <c r="AN2173">
        <v>1.0000000063879699</v>
      </c>
    </row>
    <row r="2174" spans="1:40" x14ac:dyDescent="0.25">
      <c r="A2174" t="str">
        <f>"20190312172412139"</f>
        <v>20190312172412139</v>
      </c>
      <c r="B2174" t="str">
        <f>"1552382652132106"</f>
        <v>1552382652132106</v>
      </c>
      <c r="C2174" t="s">
        <v>40</v>
      </c>
      <c r="D2174">
        <v>3.7211180000000001</v>
      </c>
      <c r="E2174">
        <v>0.4814156</v>
      </c>
      <c r="F2174" t="s">
        <v>47</v>
      </c>
      <c r="G2174">
        <v>-392.89229999999998</v>
      </c>
      <c r="H2174" s="1">
        <v>2.3670739999999998E-9</v>
      </c>
      <c r="I2174">
        <v>282.88459999999998</v>
      </c>
      <c r="J2174">
        <v>-373.69560000000001</v>
      </c>
      <c r="K2174">
        <v>1.1101460000000001</v>
      </c>
      <c r="L2174">
        <v>284.01459999999997</v>
      </c>
      <c r="M2174">
        <v>-0.99972700000000003</v>
      </c>
      <c r="N2174">
        <v>0</v>
      </c>
      <c r="O2174">
        <v>1.7852440000000001E-2</v>
      </c>
      <c r="P2174">
        <v>-0.98410889999999995</v>
      </c>
      <c r="Q2174">
        <v>0.17728740000000001</v>
      </c>
      <c r="R2174">
        <v>-9.9445899999999997E-3</v>
      </c>
      <c r="S2174">
        <v>-3.0787659999999999</v>
      </c>
      <c r="T2174">
        <v>-0.1744851</v>
      </c>
      <c r="U2174">
        <v>-0.1765137</v>
      </c>
      <c r="V2174">
        <v>-2.7430099999999999E-2</v>
      </c>
      <c r="W2174">
        <v>0.19211729999999999</v>
      </c>
      <c r="X2174">
        <v>0.98098859999999999</v>
      </c>
      <c r="Y2174">
        <v>-7.4906299999999995E-2</v>
      </c>
      <c r="Z2174">
        <v>-3.1295009999999998E-3</v>
      </c>
      <c r="AA2174">
        <v>0.99718560000000001</v>
      </c>
      <c r="AB2174">
        <v>40</v>
      </c>
      <c r="AC2174">
        <v>-19.1966999999999</v>
      </c>
      <c r="AD2174">
        <v>-1.11014599763292</v>
      </c>
      <c r="AE2174">
        <v>-1.1299999999999899</v>
      </c>
      <c r="AF2174">
        <v>-1.46767533142241</v>
      </c>
      <c r="AG2174">
        <v>-1.11014599763292</v>
      </c>
      <c r="AH2174">
        <v>19.1097760152817</v>
      </c>
      <c r="AI2174">
        <v>93.315011565391202</v>
      </c>
      <c r="AJ2174">
        <v>94.391827721123406</v>
      </c>
      <c r="AK2174">
        <v>19.198177891892801</v>
      </c>
      <c r="AL2174">
        <v>78.923627304825203</v>
      </c>
      <c r="AM2174">
        <v>91.601669537989196</v>
      </c>
      <c r="AN2174">
        <v>1.0000000503376201</v>
      </c>
    </row>
    <row r="2175" spans="1:40" x14ac:dyDescent="0.25">
      <c r="A2175" t="str">
        <f>"20190312172412162"</f>
        <v>20190312172412162</v>
      </c>
      <c r="B2175" t="str">
        <f>"1552382652152603"</f>
        <v>1552382652152603</v>
      </c>
      <c r="C2175" t="s">
        <v>40</v>
      </c>
      <c r="D2175">
        <v>3.5754049999999999</v>
      </c>
      <c r="E2175">
        <v>0.48122809999999999</v>
      </c>
      <c r="F2175" t="s">
        <v>47</v>
      </c>
      <c r="G2175">
        <v>-393.1755</v>
      </c>
      <c r="H2175" s="1">
        <v>1.5304120000000001E-7</v>
      </c>
      <c r="I2175">
        <v>282.89530000000002</v>
      </c>
      <c r="J2175">
        <v>-374.08370000000002</v>
      </c>
      <c r="K2175">
        <v>1.110161</v>
      </c>
      <c r="L2175">
        <v>284.02170000000001</v>
      </c>
      <c r="M2175">
        <v>-0.99972559999999999</v>
      </c>
      <c r="N2175">
        <v>0</v>
      </c>
      <c r="O2175">
        <v>1.7933080000000001E-2</v>
      </c>
      <c r="P2175">
        <v>-0.98415989999999998</v>
      </c>
      <c r="Q2175">
        <v>0.17702619999999999</v>
      </c>
      <c r="R2175">
        <v>-9.5641300000000005E-3</v>
      </c>
      <c r="S2175">
        <v>-3.0782780000000001</v>
      </c>
      <c r="T2175">
        <v>-0.17542959999999999</v>
      </c>
      <c r="U2175">
        <v>-0.17687990000000001</v>
      </c>
      <c r="V2175">
        <v>-2.7137310000000001E-2</v>
      </c>
      <c r="W2175">
        <v>0.19185099999999999</v>
      </c>
      <c r="X2175">
        <v>0.98104880000000005</v>
      </c>
      <c r="Y2175">
        <v>-7.5111880000000006E-2</v>
      </c>
      <c r="Z2175">
        <v>-3.157338E-3</v>
      </c>
      <c r="AA2175">
        <v>0.99717009999999995</v>
      </c>
      <c r="AB2175">
        <v>40</v>
      </c>
      <c r="AC2175">
        <v>-19.0917999999999</v>
      </c>
      <c r="AD2175">
        <v>-1.1101608469588</v>
      </c>
      <c r="AE2175">
        <v>-1.1263999999999801</v>
      </c>
      <c r="AF2175">
        <v>-1.4637005083326999</v>
      </c>
      <c r="AG2175">
        <v>-1.1101608469588</v>
      </c>
      <c r="AH2175">
        <v>19.004490876247299</v>
      </c>
      <c r="AI2175">
        <v>93.333324951787702</v>
      </c>
      <c r="AJ2175">
        <v>94.404149868270693</v>
      </c>
      <c r="AK2175">
        <v>19.093075963541899</v>
      </c>
      <c r="AL2175">
        <v>78.939173744128894</v>
      </c>
      <c r="AM2175">
        <v>91.584484830598001</v>
      </c>
      <c r="AN2175">
        <v>0.99999999388823801</v>
      </c>
    </row>
    <row r="2176" spans="1:40" x14ac:dyDescent="0.25">
      <c r="A2176" t="str">
        <f>"20190312172412184"</f>
        <v>20190312172412184</v>
      </c>
      <c r="B2176" t="str">
        <f>"1552382652181883"</f>
        <v>1552382652181883</v>
      </c>
      <c r="C2176" t="s">
        <v>40</v>
      </c>
      <c r="D2176">
        <v>3.5778120000000002</v>
      </c>
      <c r="E2176">
        <v>0.48105500000000001</v>
      </c>
      <c r="F2176" t="s">
        <v>47</v>
      </c>
      <c r="G2176">
        <v>-393.58390000000003</v>
      </c>
      <c r="H2176" s="1">
        <v>3.7036069999999999E-7</v>
      </c>
      <c r="I2176">
        <v>282.89789999999999</v>
      </c>
      <c r="J2176">
        <v>-374.47550000000001</v>
      </c>
      <c r="K2176">
        <v>1.1101719999999999</v>
      </c>
      <c r="L2176">
        <v>284.02890000000002</v>
      </c>
      <c r="M2176">
        <v>-0.9997241</v>
      </c>
      <c r="N2176">
        <v>0</v>
      </c>
      <c r="O2176">
        <v>1.8014240000000001E-2</v>
      </c>
      <c r="P2176">
        <v>-0.98415490000000005</v>
      </c>
      <c r="Q2176">
        <v>0.17707619999999999</v>
      </c>
      <c r="R2176">
        <v>-9.1291310000000004E-3</v>
      </c>
      <c r="S2176">
        <v>-3.0780639999999999</v>
      </c>
      <c r="T2176">
        <v>-0.17523720000000001</v>
      </c>
      <c r="U2176">
        <v>-0.17739869999999999</v>
      </c>
      <c r="V2176">
        <v>-2.6788090000000001E-2</v>
      </c>
      <c r="W2176">
        <v>0.19189590000000001</v>
      </c>
      <c r="X2176">
        <v>0.98104959999999997</v>
      </c>
      <c r="Y2176">
        <v>-7.536408E-2</v>
      </c>
      <c r="Z2176">
        <v>-3.1658659999999998E-3</v>
      </c>
      <c r="AA2176">
        <v>0.99715109999999996</v>
      </c>
      <c r="AB2176">
        <v>40</v>
      </c>
      <c r="AC2176">
        <v>-19.1084</v>
      </c>
      <c r="AD2176">
        <v>-1.1101716296392901</v>
      </c>
      <c r="AE2176">
        <v>-1.13100000000002</v>
      </c>
      <c r="AF2176">
        <v>-1.4701338089746101</v>
      </c>
      <c r="AG2176">
        <v>-1.1101716296392901</v>
      </c>
      <c r="AH2176">
        <v>19.020942076203799</v>
      </c>
      <c r="AI2176">
        <v>93.330411505550202</v>
      </c>
      <c r="AJ2176">
        <v>94.419619804240199</v>
      </c>
      <c r="AK2176">
        <v>19.109945367003199</v>
      </c>
      <c r="AL2176">
        <v>78.936552280523998</v>
      </c>
      <c r="AM2176">
        <v>91.564103601445694</v>
      </c>
      <c r="AN2176">
        <v>0.99999997793140805</v>
      </c>
    </row>
    <row r="2177" spans="1:40" x14ac:dyDescent="0.25">
      <c r="A2177" t="str">
        <f>"20190312172412208"</f>
        <v>20190312172412208</v>
      </c>
      <c r="B2177" t="str">
        <f>"1552382652202382"</f>
        <v>1552382652202382</v>
      </c>
      <c r="C2177" t="s">
        <v>40</v>
      </c>
      <c r="D2177">
        <v>3.651735</v>
      </c>
      <c r="E2177">
        <v>0.48080509999999899</v>
      </c>
      <c r="F2177" t="s">
        <v>47</v>
      </c>
      <c r="G2177">
        <v>-394.15949999999998</v>
      </c>
      <c r="H2177" s="1">
        <v>6.7670339999999996E-7</v>
      </c>
      <c r="I2177">
        <v>282.89080000000001</v>
      </c>
      <c r="J2177">
        <v>-374.88170000000002</v>
      </c>
      <c r="K2177">
        <v>1.1101799999999999</v>
      </c>
      <c r="L2177">
        <v>284.03629999999998</v>
      </c>
      <c r="M2177">
        <v>-0.99972280000000002</v>
      </c>
      <c r="N2177">
        <v>0</v>
      </c>
      <c r="O2177">
        <v>1.8098590000000001E-2</v>
      </c>
      <c r="P2177">
        <v>-0.9841531</v>
      </c>
      <c r="Q2177">
        <v>0.17710219999999999</v>
      </c>
      <c r="R2177">
        <v>-8.8231750000000008E-3</v>
      </c>
      <c r="S2177">
        <v>-3.0778810000000001</v>
      </c>
      <c r="T2177">
        <v>-0.1735911</v>
      </c>
      <c r="U2177">
        <v>-0.177948</v>
      </c>
      <c r="V2177">
        <v>-2.656998E-2</v>
      </c>
      <c r="W2177">
        <v>0.191917</v>
      </c>
      <c r="X2177">
        <v>0.98105140000000002</v>
      </c>
      <c r="Y2177">
        <v>-7.5631219999999999E-2</v>
      </c>
      <c r="Z2177">
        <v>-3.1486169999999998E-3</v>
      </c>
      <c r="AA2177">
        <v>0.99713090000000004</v>
      </c>
      <c r="AB2177">
        <v>40</v>
      </c>
      <c r="AC2177">
        <v>-19.2777999999999</v>
      </c>
      <c r="AD2177">
        <v>-1.1101793232966</v>
      </c>
      <c r="AE2177">
        <v>-1.14549999999997</v>
      </c>
      <c r="AF2177">
        <v>-1.4893310074880299</v>
      </c>
      <c r="AG2177">
        <v>-1.1101793232966</v>
      </c>
      <c r="AH2177">
        <v>19.190487375522601</v>
      </c>
      <c r="AI2177">
        <v>93.300995455215002</v>
      </c>
      <c r="AJ2177">
        <v>94.437702794545103</v>
      </c>
      <c r="AK2177">
        <v>19.2801818116384</v>
      </c>
      <c r="AL2177">
        <v>78.935320400565104</v>
      </c>
      <c r="AM2177">
        <v>91.551371993834806</v>
      </c>
      <c r="AN2177">
        <v>0.99999997408407904</v>
      </c>
    </row>
    <row r="2178" spans="1:40" x14ac:dyDescent="0.25">
      <c r="A2178" t="str">
        <f>"20190312172412230"</f>
        <v>20190312172412230</v>
      </c>
      <c r="B2178" t="str">
        <f>"1552382652221899"</f>
        <v>1552382652221899</v>
      </c>
      <c r="C2178" t="s">
        <v>40</v>
      </c>
      <c r="D2178">
        <v>3.663904</v>
      </c>
      <c r="E2178">
        <v>0.48057549999999999</v>
      </c>
      <c r="F2178" t="s">
        <v>47</v>
      </c>
      <c r="G2178">
        <v>-394.51490000000001</v>
      </c>
      <c r="H2178" s="1">
        <v>8.6581830000000003E-7</v>
      </c>
      <c r="I2178">
        <v>282.89339999999999</v>
      </c>
      <c r="J2178">
        <v>-375.28199999999998</v>
      </c>
      <c r="K2178">
        <v>1.110193</v>
      </c>
      <c r="L2178">
        <v>284.04360000000003</v>
      </c>
      <c r="M2178">
        <v>-0.99972130000000003</v>
      </c>
      <c r="N2178">
        <v>0</v>
      </c>
      <c r="O2178">
        <v>1.8181800000000001E-2</v>
      </c>
      <c r="P2178">
        <v>-0.98418150000000004</v>
      </c>
      <c r="Q2178">
        <v>0.1769587</v>
      </c>
      <c r="R2178">
        <v>-8.5327249999999997E-3</v>
      </c>
      <c r="S2178">
        <v>-3.078033</v>
      </c>
      <c r="T2178">
        <v>-0.17405029999999999</v>
      </c>
      <c r="U2178">
        <v>-0.17916869999999999</v>
      </c>
      <c r="V2178">
        <v>-2.6365860000000001E-2</v>
      </c>
      <c r="W2178">
        <v>0.1917682</v>
      </c>
      <c r="X2178">
        <v>0.98108600000000001</v>
      </c>
      <c r="Y2178">
        <v>-7.6103840000000006E-2</v>
      </c>
      <c r="Z2178">
        <v>-3.1747809999999998E-3</v>
      </c>
      <c r="AA2178">
        <v>0.99709490000000001</v>
      </c>
      <c r="AB2178">
        <v>39</v>
      </c>
      <c r="AC2178">
        <v>-19.232900000000001</v>
      </c>
      <c r="AD2178">
        <v>-1.11019213418169</v>
      </c>
      <c r="AE2178">
        <v>-1.1502000000000401</v>
      </c>
      <c r="AF2178">
        <v>-1.4947753568463</v>
      </c>
      <c r="AG2178">
        <v>-1.11019213418169</v>
      </c>
      <c r="AH2178">
        <v>19.145240094866701</v>
      </c>
      <c r="AI2178">
        <v>93.308698220444199</v>
      </c>
      <c r="AJ2178">
        <v>94.464343576737306</v>
      </c>
      <c r="AK2178">
        <v>19.235568570549901</v>
      </c>
      <c r="AL2178">
        <v>78.944007324143698</v>
      </c>
      <c r="AM2178">
        <v>91.539405295845398</v>
      </c>
      <c r="AN2178">
        <v>0.999999970250389</v>
      </c>
    </row>
    <row r="2179" spans="1:40" x14ac:dyDescent="0.25">
      <c r="A2179" t="str">
        <f>"20190312172412253"</f>
        <v>20190312172412253</v>
      </c>
      <c r="B2179" t="str">
        <f>"1552382652242395"</f>
        <v>1552382652242395</v>
      </c>
      <c r="C2179" t="s">
        <v>40</v>
      </c>
      <c r="D2179">
        <v>3.5779860000000001</v>
      </c>
      <c r="E2179">
        <v>0.48042980000000002</v>
      </c>
      <c r="F2179" t="s">
        <v>47</v>
      </c>
      <c r="G2179">
        <v>-394.80169999999998</v>
      </c>
      <c r="H2179" s="1">
        <v>1.0184299999999901E-6</v>
      </c>
      <c r="I2179">
        <v>282.90069999999997</v>
      </c>
      <c r="J2179">
        <v>-375.6755</v>
      </c>
      <c r="K2179">
        <v>1.110206</v>
      </c>
      <c r="L2179">
        <v>284.05079999999998</v>
      </c>
      <c r="M2179">
        <v>-0.99971980000000005</v>
      </c>
      <c r="N2179">
        <v>0</v>
      </c>
      <c r="O2179">
        <v>1.826409E-2</v>
      </c>
      <c r="P2179">
        <v>-0.98415960000000002</v>
      </c>
      <c r="Q2179">
        <v>0.17708660000000001</v>
      </c>
      <c r="R2179">
        <v>-8.3949690000000004E-3</v>
      </c>
      <c r="S2179">
        <v>-3.078125</v>
      </c>
      <c r="T2179">
        <v>-0.175069899999999</v>
      </c>
      <c r="U2179">
        <v>-0.1802368</v>
      </c>
      <c r="V2179">
        <v>-2.6311890000000001E-2</v>
      </c>
      <c r="W2179">
        <v>0.19189120000000001</v>
      </c>
      <c r="X2179">
        <v>0.98106340000000003</v>
      </c>
      <c r="Y2179">
        <v>-7.6526449999999996E-2</v>
      </c>
      <c r="Z2179">
        <v>-3.2098949999999999E-3</v>
      </c>
      <c r="AA2179">
        <v>0.99706240000000002</v>
      </c>
      <c r="AB2179">
        <v>39</v>
      </c>
      <c r="AC2179">
        <v>-19.126199999999901</v>
      </c>
      <c r="AD2179">
        <v>-1.1102049815699999</v>
      </c>
      <c r="AE2179">
        <v>-1.1500999999999999</v>
      </c>
      <c r="AF2179">
        <v>-1.4942538078085601</v>
      </c>
      <c r="AG2179">
        <v>-1.1102049815699999</v>
      </c>
      <c r="AH2179">
        <v>19.038085785916099</v>
      </c>
      <c r="AI2179">
        <v>93.327211222029504</v>
      </c>
      <c r="AJ2179">
        <v>94.487808331058204</v>
      </c>
      <c r="AK2179">
        <v>19.128880258268001</v>
      </c>
      <c r="AL2179">
        <v>78.936826598037896</v>
      </c>
      <c r="AM2179">
        <v>91.536291070827403</v>
      </c>
      <c r="AN2179">
        <v>0.99999997150618503</v>
      </c>
    </row>
    <row r="2180" spans="1:40" x14ac:dyDescent="0.25">
      <c r="A2180" t="str">
        <f>"20190312172412274"</f>
        <v>20190312172412274</v>
      </c>
      <c r="B2180" t="str">
        <f>"1552382652271675"</f>
        <v>1552382652271675</v>
      </c>
      <c r="C2180" t="s">
        <v>40</v>
      </c>
      <c r="D2180">
        <v>3.63307</v>
      </c>
      <c r="E2180">
        <v>0.48023310000000002</v>
      </c>
      <c r="F2180" t="s">
        <v>47</v>
      </c>
      <c r="G2180">
        <v>-395.25630000000001</v>
      </c>
      <c r="H2180" s="1">
        <v>1.2603790000000001E-6</v>
      </c>
      <c r="I2180">
        <v>282.89929999999998</v>
      </c>
      <c r="J2180">
        <v>-376.05950000000001</v>
      </c>
      <c r="K2180">
        <v>1.110214</v>
      </c>
      <c r="L2180">
        <v>284.05799999999999</v>
      </c>
      <c r="M2180">
        <v>-0.99971829999999995</v>
      </c>
      <c r="N2180">
        <v>0</v>
      </c>
      <c r="O2180">
        <v>1.8344200000000001E-2</v>
      </c>
      <c r="P2180">
        <v>-0.98405799999999999</v>
      </c>
      <c r="Q2180">
        <v>0.17767949999999999</v>
      </c>
      <c r="R2180">
        <v>-7.7170969999999896E-3</v>
      </c>
      <c r="S2180">
        <v>-3.0781559999999999</v>
      </c>
      <c r="T2180">
        <v>-0.17452699999999999</v>
      </c>
      <c r="U2180">
        <v>-0.18103030000000001</v>
      </c>
      <c r="V2180">
        <v>-2.571242E-2</v>
      </c>
      <c r="W2180">
        <v>0.19247800000000001</v>
      </c>
      <c r="X2180">
        <v>0.98096439999999996</v>
      </c>
      <c r="Y2180">
        <v>-7.6862169999999994E-2</v>
      </c>
      <c r="Z2180">
        <v>-3.2139389999999999E-3</v>
      </c>
      <c r="AA2180">
        <v>0.99703660000000005</v>
      </c>
      <c r="AB2180">
        <v>39</v>
      </c>
      <c r="AC2180">
        <v>-19.1968</v>
      </c>
      <c r="AD2180">
        <v>-1.110212739621</v>
      </c>
      <c r="AE2180">
        <v>-1.1587000000000101</v>
      </c>
      <c r="AF2180">
        <v>-1.50567713417351</v>
      </c>
      <c r="AG2180">
        <v>-1.110212739621</v>
      </c>
      <c r="AH2180">
        <v>19.1086309270313</v>
      </c>
      <c r="AI2180">
        <v>93.314898763989703</v>
      </c>
      <c r="AJ2180">
        <v>94.5053497902949</v>
      </c>
      <c r="AK2180">
        <v>19.1999846839805</v>
      </c>
      <c r="AL2180">
        <v>78.902567463608506</v>
      </c>
      <c r="AM2180">
        <v>91.501457038246997</v>
      </c>
      <c r="AN2180">
        <v>1.0000000315468001</v>
      </c>
    </row>
    <row r="2181" spans="1:40" x14ac:dyDescent="0.25">
      <c r="A2181" t="str">
        <f>"20190312172412297"</f>
        <v>20190312172412297</v>
      </c>
      <c r="B2181" t="str">
        <f>"1552382652292171"</f>
        <v>1552382652292171</v>
      </c>
      <c r="C2181" t="s">
        <v>40</v>
      </c>
      <c r="D2181">
        <v>3.6485910000000001</v>
      </c>
      <c r="E2181">
        <v>0.48002210000000001</v>
      </c>
      <c r="F2181" t="s">
        <v>47</v>
      </c>
      <c r="G2181">
        <v>-395.81349999999998</v>
      </c>
      <c r="H2181" s="1">
        <v>1.5568840000000001E-6</v>
      </c>
      <c r="I2181">
        <v>282.89920000000001</v>
      </c>
      <c r="J2181">
        <v>-376.44819999999999</v>
      </c>
      <c r="K2181">
        <v>1.11022</v>
      </c>
      <c r="L2181">
        <v>284.0652</v>
      </c>
      <c r="M2181">
        <v>-0.99971710000000003</v>
      </c>
      <c r="N2181">
        <v>0</v>
      </c>
      <c r="O2181">
        <v>1.8425159999999999E-2</v>
      </c>
      <c r="P2181">
        <v>-0.98399300000000001</v>
      </c>
      <c r="Q2181">
        <v>0.1780553</v>
      </c>
      <c r="R2181">
        <v>-7.3916440000000002E-3</v>
      </c>
      <c r="S2181">
        <v>-3.0783999999999998</v>
      </c>
      <c r="T2181">
        <v>-0.173012</v>
      </c>
      <c r="U2181">
        <v>-0.1805725</v>
      </c>
      <c r="V2181">
        <v>-2.546729E-2</v>
      </c>
      <c r="W2181">
        <v>0.19284860000000001</v>
      </c>
      <c r="X2181">
        <v>0.98089800000000005</v>
      </c>
      <c r="Y2181">
        <v>-7.6793159999999999E-2</v>
      </c>
      <c r="Z2181">
        <v>-3.1884529999999999E-3</v>
      </c>
      <c r="AA2181">
        <v>0.99704190000000004</v>
      </c>
      <c r="AB2181">
        <v>39</v>
      </c>
      <c r="AC2181">
        <v>-19.365299999999898</v>
      </c>
      <c r="AD2181">
        <v>-1.110218443116</v>
      </c>
      <c r="AE2181">
        <v>-1.1659999999999899</v>
      </c>
      <c r="AF2181">
        <v>-1.5176808976660501</v>
      </c>
      <c r="AG2181">
        <v>-1.110218443116</v>
      </c>
      <c r="AH2181">
        <v>19.277394322916798</v>
      </c>
      <c r="AI2181">
        <v>93.285976521344395</v>
      </c>
      <c r="AJ2181">
        <v>94.501527333003494</v>
      </c>
      <c r="AK2181">
        <v>19.3688892861671</v>
      </c>
      <c r="AL2181">
        <v>78.880928172049195</v>
      </c>
      <c r="AM2181">
        <v>91.487249943448901</v>
      </c>
      <c r="AN2181">
        <v>1.00000002589295</v>
      </c>
    </row>
    <row r="2182" spans="1:40" x14ac:dyDescent="0.25">
      <c r="A2182" t="str">
        <f>"20190312172412320"</f>
        <v>20190312172412320</v>
      </c>
      <c r="B2182" t="str">
        <f>"1552382652311697"</f>
        <v>1552382652311697</v>
      </c>
      <c r="C2182" t="s">
        <v>40</v>
      </c>
      <c r="D2182">
        <v>3.5528219999999999</v>
      </c>
      <c r="E2182">
        <v>0.47987990000000003</v>
      </c>
      <c r="F2182" t="s">
        <v>47</v>
      </c>
      <c r="G2182">
        <v>-396.31009999999998</v>
      </c>
      <c r="H2182" s="1">
        <v>1.8211410000000001E-6</v>
      </c>
      <c r="I2182">
        <v>282.89510000000001</v>
      </c>
      <c r="J2182">
        <v>-376.84769999999997</v>
      </c>
      <c r="K2182">
        <v>1.1102259999999999</v>
      </c>
      <c r="L2182">
        <v>284.07260000000002</v>
      </c>
      <c r="M2182">
        <v>-0.99971549999999998</v>
      </c>
      <c r="N2182">
        <v>0</v>
      </c>
      <c r="O2182">
        <v>1.850864E-2</v>
      </c>
      <c r="P2182">
        <v>-0.98396119999999998</v>
      </c>
      <c r="Q2182">
        <v>0.17823420000000001</v>
      </c>
      <c r="R2182">
        <v>-7.2945850000000001E-3</v>
      </c>
      <c r="S2182">
        <v>-3.0785830000000001</v>
      </c>
      <c r="T2182">
        <v>-0.17208270000000001</v>
      </c>
      <c r="U2182">
        <v>-0.181366</v>
      </c>
      <c r="V2182">
        <v>-2.545331E-2</v>
      </c>
      <c r="W2182">
        <v>0.1930222</v>
      </c>
      <c r="X2182">
        <v>0.98086419999999996</v>
      </c>
      <c r="Y2182">
        <v>-7.7129999999999893E-2</v>
      </c>
      <c r="Z2182">
        <v>-3.1852E-3</v>
      </c>
      <c r="AA2182">
        <v>0.99701600000000001</v>
      </c>
      <c r="AB2182">
        <v>39</v>
      </c>
      <c r="AC2182">
        <v>-19.462399999999999</v>
      </c>
      <c r="AD2182">
        <v>-1.1102241788589999</v>
      </c>
      <c r="AE2182">
        <v>-1.1775</v>
      </c>
      <c r="AF2182">
        <v>-1.5325925848761099</v>
      </c>
      <c r="AG2182">
        <v>-1.1102241788589999</v>
      </c>
      <c r="AH2182">
        <v>19.374452816662501</v>
      </c>
      <c r="AI2182">
        <v>93.269471695701398</v>
      </c>
      <c r="AJ2182">
        <v>94.522894949229197</v>
      </c>
      <c r="AK2182">
        <v>19.4666602092814</v>
      </c>
      <c r="AL2182">
        <v>78.870790983621205</v>
      </c>
      <c r="AM2182">
        <v>91.486485098317502</v>
      </c>
      <c r="AN2182">
        <v>1.0000000097622099</v>
      </c>
    </row>
    <row r="2183" spans="1:40" x14ac:dyDescent="0.25">
      <c r="A2183" t="str">
        <f>"20190312172412341"</f>
        <v>20190312172412341</v>
      </c>
      <c r="B2183" t="str">
        <f>"1552382652331728"</f>
        <v>1552382652331728</v>
      </c>
      <c r="C2183" t="s">
        <v>40</v>
      </c>
      <c r="D2183">
        <v>3.635278</v>
      </c>
      <c r="E2183">
        <v>0.47974329999999998</v>
      </c>
      <c r="F2183" t="s">
        <v>47</v>
      </c>
      <c r="G2183">
        <v>-396.86829999999998</v>
      </c>
      <c r="H2183" s="1">
        <v>2.1181640000000002E-6</v>
      </c>
      <c r="I2183">
        <v>282.88940000000002</v>
      </c>
      <c r="J2183">
        <v>-377.23099999999999</v>
      </c>
      <c r="K2183">
        <v>1.1102320000000001</v>
      </c>
      <c r="L2183">
        <v>284.07979999999998</v>
      </c>
      <c r="M2183">
        <v>-0.9997142</v>
      </c>
      <c r="N2183">
        <v>0</v>
      </c>
      <c r="O2183">
        <v>1.8588790000000001E-2</v>
      </c>
      <c r="P2183">
        <v>-0.98398229999999998</v>
      </c>
      <c r="Q2183">
        <v>0.17810239999999999</v>
      </c>
      <c r="R2183">
        <v>-7.6809669999999899E-3</v>
      </c>
      <c r="S2183">
        <v>-3.0784910000000001</v>
      </c>
      <c r="T2183">
        <v>-0.1707147</v>
      </c>
      <c r="U2183">
        <v>-0.18194579999999999</v>
      </c>
      <c r="V2183">
        <v>-2.592032E-2</v>
      </c>
      <c r="W2183">
        <v>0.19288649999999999</v>
      </c>
      <c r="X2183">
        <v>0.98087869999999999</v>
      </c>
      <c r="Y2183">
        <v>-7.7400620000000003E-2</v>
      </c>
      <c r="Z2183">
        <v>-3.1719249999999999E-3</v>
      </c>
      <c r="AA2183">
        <v>0.99699499999999996</v>
      </c>
      <c r="AB2183">
        <v>39</v>
      </c>
      <c r="AC2183">
        <v>-19.6372999999999</v>
      </c>
      <c r="AD2183">
        <v>-1.1102298818359999</v>
      </c>
      <c r="AE2183">
        <v>-1.1903999999999499</v>
      </c>
      <c r="AF2183">
        <v>-1.5503318151427701</v>
      </c>
      <c r="AG2183">
        <v>-1.1102298818359999</v>
      </c>
      <c r="AH2183">
        <v>19.549516122598099</v>
      </c>
      <c r="AI2183">
        <v>93.240222634666907</v>
      </c>
      <c r="AJ2183">
        <v>94.534227786104907</v>
      </c>
      <c r="AK2183">
        <v>19.642294157131701</v>
      </c>
      <c r="AL2183">
        <v>78.878715320895296</v>
      </c>
      <c r="AM2183">
        <v>91.513723756458504</v>
      </c>
      <c r="AN2183">
        <v>1.00000004449242</v>
      </c>
    </row>
    <row r="2184" spans="1:40" x14ac:dyDescent="0.25">
      <c r="A2184" t="str">
        <f>"20190312172412363"</f>
        <v>20190312172412363</v>
      </c>
      <c r="B2184" t="str">
        <f>"1552382652352223"</f>
        <v>1552382652352223</v>
      </c>
      <c r="C2184" t="s">
        <v>40</v>
      </c>
      <c r="D2184">
        <v>3.6076920000000001</v>
      </c>
      <c r="E2184">
        <v>0.47962779999999999</v>
      </c>
      <c r="F2184" t="s">
        <v>47</v>
      </c>
      <c r="G2184">
        <v>-397.2749</v>
      </c>
      <c r="H2184" s="1">
        <v>2.3345319999999999E-6</v>
      </c>
      <c r="I2184">
        <v>282.88209999999998</v>
      </c>
      <c r="J2184">
        <v>-377.61320000000001</v>
      </c>
      <c r="K2184">
        <v>1.1102350000000001</v>
      </c>
      <c r="L2184">
        <v>284.08690000000001</v>
      </c>
      <c r="M2184">
        <v>-0.99971279999999996</v>
      </c>
      <c r="N2184">
        <v>0</v>
      </c>
      <c r="O2184">
        <v>1.8665250000000001E-2</v>
      </c>
      <c r="P2184">
        <v>-0.98393790000000003</v>
      </c>
      <c r="Q2184">
        <v>0.1783217</v>
      </c>
      <c r="R2184">
        <v>-8.2219619999999993E-3</v>
      </c>
      <c r="S2184">
        <v>-3.0782780000000001</v>
      </c>
      <c r="T2184">
        <v>-0.17050560000000001</v>
      </c>
      <c r="U2184">
        <v>-0.18392939999999999</v>
      </c>
      <c r="V2184">
        <v>-2.653703E-2</v>
      </c>
      <c r="W2184">
        <v>0.19310079999999999</v>
      </c>
      <c r="X2184">
        <v>0.98082000000000003</v>
      </c>
      <c r="Y2184">
        <v>-7.8120259999999997E-2</v>
      </c>
      <c r="Z2184">
        <v>-3.192332E-3</v>
      </c>
      <c r="AA2184">
        <v>0.99693880000000001</v>
      </c>
      <c r="AB2184">
        <v>39</v>
      </c>
      <c r="AC2184">
        <v>-19.6617</v>
      </c>
      <c r="AD2184">
        <v>-1.1102326654679999</v>
      </c>
      <c r="AE2184">
        <v>-1.2048000000000301</v>
      </c>
      <c r="AF2184">
        <v>-1.5666455156203101</v>
      </c>
      <c r="AG2184">
        <v>-1.1102326654679999</v>
      </c>
      <c r="AH2184">
        <v>19.573606605172898</v>
      </c>
      <c r="AI2184">
        <v>93.2360631402492</v>
      </c>
      <c r="AJ2184">
        <v>94.576123011665999</v>
      </c>
      <c r="AK2184">
        <v>19.667563913132501</v>
      </c>
      <c r="AL2184">
        <v>78.866201105886503</v>
      </c>
      <c r="AM2184">
        <v>91.549814418275602</v>
      </c>
      <c r="AN2184">
        <v>1.0000000026609299</v>
      </c>
    </row>
    <row r="2185" spans="1:40" x14ac:dyDescent="0.25">
      <c r="A2185" t="str">
        <f>"20190312172412385"</f>
        <v>20190312172412385</v>
      </c>
      <c r="B2185" t="str">
        <f>"1552382652382480"</f>
        <v>1552382652382480</v>
      </c>
      <c r="C2185" t="s">
        <v>40</v>
      </c>
      <c r="D2185">
        <v>3.5630869999999999</v>
      </c>
      <c r="E2185">
        <v>0.47948590000000002</v>
      </c>
      <c r="F2185" t="s">
        <v>47</v>
      </c>
      <c r="G2185">
        <v>-397.81659999999999</v>
      </c>
      <c r="H2185" s="1">
        <v>2.6227919999999999E-6</v>
      </c>
      <c r="I2185">
        <v>282.86270000000002</v>
      </c>
      <c r="J2185">
        <v>-378.00299999999999</v>
      </c>
      <c r="K2185">
        <v>1.110241</v>
      </c>
      <c r="L2185">
        <v>284.09429999999998</v>
      </c>
      <c r="M2185">
        <v>-0.99971149999999998</v>
      </c>
      <c r="N2185">
        <v>0</v>
      </c>
      <c r="O2185">
        <v>1.8738210000000002E-2</v>
      </c>
      <c r="P2185">
        <v>-0.98400609999999999</v>
      </c>
      <c r="Q2185">
        <v>0.1779541</v>
      </c>
      <c r="R2185">
        <v>-8.0437830000000005E-3</v>
      </c>
      <c r="S2185">
        <v>-3.0780639999999999</v>
      </c>
      <c r="T2185">
        <v>-0.1691484</v>
      </c>
      <c r="U2185">
        <v>-0.18652340000000001</v>
      </c>
      <c r="V2185">
        <v>-2.6433769999999999E-2</v>
      </c>
      <c r="W2185">
        <v>0.19272980000000001</v>
      </c>
      <c r="X2185">
        <v>0.98089579999999998</v>
      </c>
      <c r="Y2185">
        <v>-7.9035069999999999E-2</v>
      </c>
      <c r="Z2185">
        <v>-3.1961989999999998E-3</v>
      </c>
      <c r="AA2185">
        <v>0.99686669999999999</v>
      </c>
      <c r="AB2185">
        <v>39</v>
      </c>
      <c r="AC2185">
        <v>-19.813599999999902</v>
      </c>
      <c r="AD2185">
        <v>-1.110238377208</v>
      </c>
      <c r="AE2185">
        <v>-1.2315999999999501</v>
      </c>
      <c r="AF2185">
        <v>-1.5976998400911799</v>
      </c>
      <c r="AG2185">
        <v>-1.110238377208</v>
      </c>
      <c r="AH2185">
        <v>19.725344058460401</v>
      </c>
      <c r="AI2185">
        <v>93.210992722863807</v>
      </c>
      <c r="AJ2185">
        <v>94.630695107237997</v>
      </c>
      <c r="AK2185">
        <v>19.821061330259099</v>
      </c>
      <c r="AL2185">
        <v>78.887865262466406</v>
      </c>
      <c r="AM2185">
        <v>91.543667516074606</v>
      </c>
      <c r="AN2185">
        <v>1.00000004523104</v>
      </c>
    </row>
    <row r="2186" spans="1:40" x14ac:dyDescent="0.25">
      <c r="A2186" t="str">
        <f>"20190312172412408"</f>
        <v>20190312172412408</v>
      </c>
      <c r="B2186" t="str">
        <f>"1552382652401999"</f>
        <v>1552382652401999</v>
      </c>
      <c r="C2186" t="s">
        <v>40</v>
      </c>
      <c r="D2186">
        <v>3.6788069999999999</v>
      </c>
      <c r="E2186">
        <v>0.47944700000000001</v>
      </c>
      <c r="F2186" t="s">
        <v>47</v>
      </c>
      <c r="G2186">
        <v>-398.20249999999999</v>
      </c>
      <c r="H2186" s="1">
        <v>2.8281679999999998E-6</v>
      </c>
      <c r="I2186">
        <v>282.8612</v>
      </c>
      <c r="J2186">
        <v>-378.40300000000002</v>
      </c>
      <c r="K2186">
        <v>1.110236</v>
      </c>
      <c r="L2186">
        <v>284.1019</v>
      </c>
      <c r="M2186">
        <v>-0.99971010000000005</v>
      </c>
      <c r="N2186">
        <v>0</v>
      </c>
      <c r="O2186">
        <v>1.8806730000000001E-2</v>
      </c>
      <c r="P2186">
        <v>-0.98406190000000004</v>
      </c>
      <c r="Q2186">
        <v>0.17764260000000001</v>
      </c>
      <c r="R2186">
        <v>-8.0607660000000005E-3</v>
      </c>
      <c r="S2186">
        <v>-3.0777890000000001</v>
      </c>
      <c r="T2186">
        <v>-0.16916619999999999</v>
      </c>
      <c r="U2186">
        <v>-0.1878967</v>
      </c>
      <c r="V2186">
        <v>-2.652291E-2</v>
      </c>
      <c r="W2186">
        <v>0.1924139</v>
      </c>
      <c r="X2186">
        <v>0.98095540000000003</v>
      </c>
      <c r="Y2186">
        <v>-7.9550979999999993E-2</v>
      </c>
      <c r="Z2186">
        <v>-3.2146919999999999E-3</v>
      </c>
      <c r="AA2186">
        <v>0.99682559999999998</v>
      </c>
      <c r="AB2186">
        <v>39</v>
      </c>
      <c r="AC2186">
        <v>-19.799499999999899</v>
      </c>
      <c r="AD2186">
        <v>-1.110233171832</v>
      </c>
      <c r="AE2186">
        <v>-1.2406999999999999</v>
      </c>
      <c r="AF2186">
        <v>-1.6078507121968399</v>
      </c>
      <c r="AG2186">
        <v>-1.110233171832</v>
      </c>
      <c r="AH2186">
        <v>19.7109271936827</v>
      </c>
      <c r="AI2186">
        <v>93.213172651968605</v>
      </c>
      <c r="AJ2186">
        <v>94.663380088604995</v>
      </c>
      <c r="AK2186">
        <v>19.807535244022901</v>
      </c>
      <c r="AL2186">
        <v>78.906310122925007</v>
      </c>
      <c r="AM2186">
        <v>91.548776483576603</v>
      </c>
      <c r="AN2186">
        <v>1.00000003522861</v>
      </c>
    </row>
    <row r="2187" spans="1:40" x14ac:dyDescent="0.25">
      <c r="A2187" t="str">
        <f>"20190312172412430"</f>
        <v>20190312172412430</v>
      </c>
      <c r="B2187" t="str">
        <f>"1552382652422496"</f>
        <v>1552382652422496</v>
      </c>
      <c r="C2187" t="s">
        <v>40</v>
      </c>
      <c r="D2187">
        <v>3.6337769999999998</v>
      </c>
      <c r="E2187">
        <v>0.47938829999999999</v>
      </c>
      <c r="F2187" t="s">
        <v>47</v>
      </c>
      <c r="G2187">
        <v>-398.51580000000001</v>
      </c>
      <c r="H2187" s="1">
        <v>2.9949229999999999E-6</v>
      </c>
      <c r="I2187">
        <v>282.87279999999998</v>
      </c>
      <c r="J2187">
        <v>-378.78390000000002</v>
      </c>
      <c r="K2187">
        <v>1.1102430000000001</v>
      </c>
      <c r="L2187">
        <v>284.10910000000001</v>
      </c>
      <c r="M2187">
        <v>-0.99970939999999997</v>
      </c>
      <c r="N2187">
        <v>0</v>
      </c>
      <c r="O2187">
        <v>1.8860720000000001E-2</v>
      </c>
      <c r="P2187">
        <v>-0.98415920000000001</v>
      </c>
      <c r="Q2187">
        <v>0.17710499999999901</v>
      </c>
      <c r="R2187">
        <v>-8.0666379999999992E-3</v>
      </c>
      <c r="S2187">
        <v>-3.077728</v>
      </c>
      <c r="T2187">
        <v>-0.1698915</v>
      </c>
      <c r="U2187">
        <v>-0.18807979999999999</v>
      </c>
      <c r="V2187">
        <v>-2.658752E-2</v>
      </c>
      <c r="W2187">
        <v>0.19187299999999999</v>
      </c>
      <c r="X2187">
        <v>0.98105960000000003</v>
      </c>
      <c r="Y2187">
        <v>-7.9663579999999998E-2</v>
      </c>
      <c r="Z2187">
        <v>-3.2345910000000002E-3</v>
      </c>
      <c r="AA2187">
        <v>0.99681660000000005</v>
      </c>
      <c r="AB2187">
        <v>39</v>
      </c>
      <c r="AC2187">
        <v>-19.7319</v>
      </c>
      <c r="AD2187">
        <v>-1.110240005077</v>
      </c>
      <c r="AE2187">
        <v>-1.2363000000000199</v>
      </c>
      <c r="AF2187">
        <v>-1.6032240414290799</v>
      </c>
      <c r="AG2187">
        <v>-1.110240005077</v>
      </c>
      <c r="AH2187">
        <v>19.643124363512602</v>
      </c>
      <c r="AI2187">
        <v>93.224248107081294</v>
      </c>
      <c r="AJ2187">
        <v>94.665999790158097</v>
      </c>
      <c r="AK2187">
        <v>19.7396883196344</v>
      </c>
      <c r="AL2187">
        <v>78.937889909762404</v>
      </c>
      <c r="AM2187">
        <v>91.552382651967605</v>
      </c>
      <c r="AN2187">
        <v>1.00000004155045</v>
      </c>
    </row>
    <row r="2188" spans="1:40" x14ac:dyDescent="0.25">
      <c r="A2188" t="str">
        <f>"20190312172412452"</f>
        <v>20190312172412452</v>
      </c>
      <c r="B2188" t="str">
        <f>"1552382652442015"</f>
        <v>1552382652442015</v>
      </c>
      <c r="C2188" t="s">
        <v>40</v>
      </c>
      <c r="D2188">
        <v>3.6438769999999998</v>
      </c>
      <c r="E2188">
        <v>0.47932360000000002</v>
      </c>
      <c r="F2188" t="s">
        <v>47</v>
      </c>
      <c r="G2188">
        <v>-398.68400000000003</v>
      </c>
      <c r="H2188" s="1">
        <v>3.0843799999999999E-6</v>
      </c>
      <c r="I2188">
        <v>282.88959999999997</v>
      </c>
      <c r="J2188">
        <v>-379.17919999999998</v>
      </c>
      <c r="K2188">
        <v>1.110252</v>
      </c>
      <c r="L2188">
        <v>284.11660000000001</v>
      </c>
      <c r="M2188">
        <v>-0.99970870000000001</v>
      </c>
      <c r="N2188">
        <v>0</v>
      </c>
      <c r="O2188">
        <v>1.8901959999999999E-2</v>
      </c>
      <c r="P2188">
        <v>-0.98419900000000005</v>
      </c>
      <c r="Q2188">
        <v>0.17687269999999999</v>
      </c>
      <c r="R2188">
        <v>-8.2980940000000007E-3</v>
      </c>
      <c r="S2188">
        <v>-3.0776370000000002</v>
      </c>
      <c r="T2188">
        <v>-0.1717042</v>
      </c>
      <c r="U2188">
        <v>-0.18859860000000001</v>
      </c>
      <c r="V2188">
        <v>-2.68662E-2</v>
      </c>
      <c r="W2188">
        <v>0.19163569999999999</v>
      </c>
      <c r="X2188">
        <v>0.98109840000000004</v>
      </c>
      <c r="Y2188">
        <v>-7.9870319999999995E-2</v>
      </c>
      <c r="Z2188">
        <v>-3.2771839999999998E-3</v>
      </c>
      <c r="AA2188">
        <v>0.99679989999999996</v>
      </c>
      <c r="AB2188">
        <v>39</v>
      </c>
      <c r="AC2188">
        <v>-19.504799999999999</v>
      </c>
      <c r="AD2188">
        <v>-1.1102489156199999</v>
      </c>
      <c r="AE2188">
        <v>-1.2270000000000301</v>
      </c>
      <c r="AF2188">
        <v>-1.59036857943076</v>
      </c>
      <c r="AG2188">
        <v>-1.1102489156199999</v>
      </c>
      <c r="AH2188">
        <v>19.415459249483899</v>
      </c>
      <c r="AI2188">
        <v>93.261922530479694</v>
      </c>
      <c r="AJ2188">
        <v>94.682785252766905</v>
      </c>
      <c r="AK2188">
        <v>19.512098368485301</v>
      </c>
      <c r="AL2188">
        <v>78.951743396065396</v>
      </c>
      <c r="AM2188">
        <v>91.568584027958806</v>
      </c>
      <c r="AN2188">
        <v>1.0000000523497401</v>
      </c>
    </row>
    <row r="2189" spans="1:40" x14ac:dyDescent="0.25">
      <c r="A2189" t="str">
        <f>"20190312172412476"</f>
        <v>20190312172412476</v>
      </c>
      <c r="B2189" t="str">
        <f>"1552382652472271"</f>
        <v>1552382652472271</v>
      </c>
      <c r="C2189" t="s">
        <v>40</v>
      </c>
      <c r="D2189">
        <v>3.569404</v>
      </c>
      <c r="E2189">
        <v>0.47912490000000002</v>
      </c>
      <c r="F2189" t="s">
        <v>47</v>
      </c>
      <c r="G2189">
        <v>-398.97820000000002</v>
      </c>
      <c r="H2189" s="1">
        <v>3.2409519999999999E-6</v>
      </c>
      <c r="I2189">
        <v>282.89819999999997</v>
      </c>
      <c r="J2189">
        <v>-379.57929999999999</v>
      </c>
      <c r="K2189">
        <v>1.110274</v>
      </c>
      <c r="L2189">
        <v>284.1241</v>
      </c>
      <c r="M2189">
        <v>-0.99970809999999999</v>
      </c>
      <c r="N2189">
        <v>0</v>
      </c>
      <c r="O2189">
        <v>1.8930780000000001E-2</v>
      </c>
      <c r="P2189">
        <v>-0.98417929999999998</v>
      </c>
      <c r="Q2189">
        <v>0.17697009999999999</v>
      </c>
      <c r="R2189">
        <v>-8.5277659999999905E-3</v>
      </c>
      <c r="S2189">
        <v>-3.0775760000000001</v>
      </c>
      <c r="T2189">
        <v>-0.17257809999999901</v>
      </c>
      <c r="U2189">
        <v>-0.18939210000000001</v>
      </c>
      <c r="V2189">
        <v>-2.7130020000000001E-2</v>
      </c>
      <c r="W2189">
        <v>0.1917275</v>
      </c>
      <c r="X2189">
        <v>0.98107310000000003</v>
      </c>
      <c r="Y2189">
        <v>-8.0154230000000007E-2</v>
      </c>
      <c r="Z2189">
        <v>-3.3034380000000001E-3</v>
      </c>
      <c r="AA2189">
        <v>0.99677700000000002</v>
      </c>
      <c r="AB2189">
        <v>39</v>
      </c>
      <c r="AC2189">
        <v>-19.398900000000001</v>
      </c>
      <c r="AD2189">
        <v>-1.1102707590480001</v>
      </c>
      <c r="AE2189">
        <v>-1.22590000000002</v>
      </c>
      <c r="AF2189">
        <v>-1.58777756820241</v>
      </c>
      <c r="AG2189">
        <v>-1.1102707590480001</v>
      </c>
      <c r="AH2189">
        <v>19.3092134873574</v>
      </c>
      <c r="AI2189">
        <v>93.279811584890297</v>
      </c>
      <c r="AJ2189">
        <v>94.700799447022902</v>
      </c>
      <c r="AK2189">
        <v>19.406170777998099</v>
      </c>
      <c r="AL2189">
        <v>78.946383123614496</v>
      </c>
      <c r="AM2189">
        <v>91.584020185979597</v>
      </c>
      <c r="AN2189">
        <v>0.99999994989252905</v>
      </c>
    </row>
    <row r="2190" spans="1:40" x14ac:dyDescent="0.25">
      <c r="A2190" t="str">
        <f>"20190312172412497"</f>
        <v>20190312172412497</v>
      </c>
      <c r="B2190" t="str">
        <f>"1552382652491795"</f>
        <v>1552382652491795</v>
      </c>
      <c r="C2190" t="s">
        <v>40</v>
      </c>
      <c r="D2190">
        <v>3.5824189999999998</v>
      </c>
      <c r="E2190">
        <v>0.47896539999999999</v>
      </c>
      <c r="F2190" t="s">
        <v>47</v>
      </c>
      <c r="G2190">
        <v>-399.39609999999999</v>
      </c>
      <c r="H2190" s="1">
        <v>3.4633529999999999E-6</v>
      </c>
      <c r="I2190">
        <v>282.88670000000002</v>
      </c>
      <c r="J2190">
        <v>-379.95299999999997</v>
      </c>
      <c r="K2190">
        <v>1.110293</v>
      </c>
      <c r="L2190">
        <v>284.13130000000001</v>
      </c>
      <c r="M2190">
        <v>-0.99970789999999998</v>
      </c>
      <c r="N2190">
        <v>0</v>
      </c>
      <c r="O2190">
        <v>1.8942609999999999E-2</v>
      </c>
      <c r="P2190">
        <v>-0.98408370000000001</v>
      </c>
      <c r="Q2190">
        <v>0.1774818</v>
      </c>
      <c r="R2190">
        <v>-8.9321959999999999E-3</v>
      </c>
      <c r="S2190">
        <v>-3.0775760000000001</v>
      </c>
      <c r="T2190">
        <v>-0.172426</v>
      </c>
      <c r="U2190">
        <v>-0.19216920000000001</v>
      </c>
      <c r="V2190">
        <v>-2.7550149999999999E-2</v>
      </c>
      <c r="W2190">
        <v>0.19223290000000001</v>
      </c>
      <c r="X2190">
        <v>0.98096260000000002</v>
      </c>
      <c r="Y2190">
        <v>-8.106083E-2</v>
      </c>
      <c r="Z2190">
        <v>-3.3264549999999999E-3</v>
      </c>
      <c r="AA2190">
        <v>0.99670360000000002</v>
      </c>
      <c r="AB2190">
        <v>39</v>
      </c>
      <c r="AC2190">
        <v>-19.443099999999902</v>
      </c>
      <c r="AD2190">
        <v>-1.110289536647</v>
      </c>
      <c r="AE2190">
        <v>-1.2445999999999899</v>
      </c>
      <c r="AF2190">
        <v>-1.6075006344965701</v>
      </c>
      <c r="AG2190">
        <v>-1.110289536647</v>
      </c>
      <c r="AH2190">
        <v>19.3531801372106</v>
      </c>
      <c r="AI2190">
        <v>93.272208851670001</v>
      </c>
      <c r="AJ2190">
        <v>94.748163452472099</v>
      </c>
      <c r="AK2190">
        <v>19.451539336731599</v>
      </c>
      <c r="AL2190">
        <v>78.916878227730905</v>
      </c>
      <c r="AM2190">
        <v>91.608718310838199</v>
      </c>
      <c r="AN2190">
        <v>1.0000000606030901</v>
      </c>
    </row>
    <row r="2191" spans="1:40" x14ac:dyDescent="0.25">
      <c r="A2191" t="str">
        <f>"20190312172412520"</f>
        <v>20190312172412520</v>
      </c>
      <c r="B2191" t="str">
        <f>"1552382652512291"</f>
        <v>1552382652512291</v>
      </c>
      <c r="C2191" t="s">
        <v>40</v>
      </c>
      <c r="D2191">
        <v>3.6960199999999999</v>
      </c>
      <c r="E2191">
        <v>0.47890919999999998</v>
      </c>
      <c r="F2191" t="s">
        <v>47</v>
      </c>
      <c r="G2191">
        <v>-399.88189999999997</v>
      </c>
      <c r="H2191" s="1">
        <v>3.7218550000000001E-6</v>
      </c>
      <c r="I2191">
        <v>282.86989999999997</v>
      </c>
      <c r="J2191">
        <v>-380.34050000000002</v>
      </c>
      <c r="K2191">
        <v>1.110314</v>
      </c>
      <c r="L2191">
        <v>284.1386</v>
      </c>
      <c r="M2191">
        <v>-0.99970809999999999</v>
      </c>
      <c r="N2191">
        <v>0</v>
      </c>
      <c r="O2191">
        <v>1.8929919999999999E-2</v>
      </c>
      <c r="P2191">
        <v>-0.98410050000000004</v>
      </c>
      <c r="Q2191">
        <v>0.17736299999999999</v>
      </c>
      <c r="R2191">
        <v>-9.4156269999999993E-3</v>
      </c>
      <c r="S2191">
        <v>-3.0776669999999999</v>
      </c>
      <c r="T2191">
        <v>-0.17146500000000001</v>
      </c>
      <c r="U2191">
        <v>-0.19479369999999999</v>
      </c>
      <c r="V2191">
        <v>-2.802982E-2</v>
      </c>
      <c r="W2191">
        <v>0.19210930000000001</v>
      </c>
      <c r="X2191">
        <v>0.98097319999999999</v>
      </c>
      <c r="Y2191">
        <v>-8.1893399999999894E-2</v>
      </c>
      <c r="Z2191">
        <v>-3.3302060000000001E-3</v>
      </c>
      <c r="AA2191">
        <v>0.99663559999999995</v>
      </c>
      <c r="AB2191">
        <v>39</v>
      </c>
      <c r="AC2191">
        <v>-19.5413999999999</v>
      </c>
      <c r="AD2191">
        <v>-1.1103102781450001</v>
      </c>
      <c r="AE2191">
        <v>-1.2687000000000199</v>
      </c>
      <c r="AF2191">
        <v>-1.63318113415494</v>
      </c>
      <c r="AG2191">
        <v>-1.1103102781450001</v>
      </c>
      <c r="AH2191">
        <v>19.451346839366899</v>
      </c>
      <c r="AI2191">
        <v>93.255548268907503</v>
      </c>
      <c r="AJ2191">
        <v>94.799432274353293</v>
      </c>
      <c r="AK2191">
        <v>19.551341728793499</v>
      </c>
      <c r="AL2191">
        <v>78.924094216410495</v>
      </c>
      <c r="AM2191">
        <v>91.636694594193997</v>
      </c>
      <c r="AN2191">
        <v>1.0000000365369801</v>
      </c>
    </row>
    <row r="2192" spans="1:40" x14ac:dyDescent="0.25">
      <c r="A2192" t="str">
        <f>"20190312172412542"</f>
        <v>20190312172412542</v>
      </c>
      <c r="B2192" t="str">
        <f>"1552382652531808"</f>
        <v>1552382652531808</v>
      </c>
      <c r="C2192" t="s">
        <v>40</v>
      </c>
      <c r="D2192">
        <v>3.5953870000000001</v>
      </c>
      <c r="E2192">
        <v>0.47870000000000001</v>
      </c>
      <c r="F2192" t="s">
        <v>48</v>
      </c>
      <c r="G2192">
        <v>-400.19420000000002</v>
      </c>
      <c r="H2192" s="1">
        <v>8.6764459999999996E-6</v>
      </c>
      <c r="I2192">
        <v>282.8725</v>
      </c>
      <c r="J2192">
        <v>-380.72059999999999</v>
      </c>
      <c r="K2192">
        <v>1.110344</v>
      </c>
      <c r="L2192">
        <v>284.14569999999998</v>
      </c>
      <c r="M2192">
        <v>-0.99970910000000002</v>
      </c>
      <c r="N2192">
        <v>0</v>
      </c>
      <c r="O2192">
        <v>1.8883259999999999E-2</v>
      </c>
      <c r="P2192">
        <v>-0.98398869999999905</v>
      </c>
      <c r="Q2192">
        <v>0.17793339999999999</v>
      </c>
      <c r="R2192">
        <v>-1.0271310000000001E-2</v>
      </c>
      <c r="S2192">
        <v>-3.0776059999999998</v>
      </c>
      <c r="T2192">
        <v>-0.1721126</v>
      </c>
      <c r="U2192">
        <v>-0.1962585</v>
      </c>
      <c r="V2192">
        <v>-2.8848889999999999E-2</v>
      </c>
      <c r="W2192">
        <v>0.19267219999999999</v>
      </c>
      <c r="X2192">
        <v>0.98083900000000002</v>
      </c>
      <c r="Y2192">
        <v>-8.2318820000000001E-2</v>
      </c>
      <c r="Z2192">
        <v>-3.3520490000000002E-3</v>
      </c>
      <c r="AA2192">
        <v>0.99660040000000005</v>
      </c>
      <c r="AB2192">
        <v>39</v>
      </c>
      <c r="AC2192">
        <v>-19.473600000000001</v>
      </c>
      <c r="AD2192">
        <v>-1.1103353235540001</v>
      </c>
      <c r="AE2192">
        <v>-1.2731999999999699</v>
      </c>
      <c r="AF2192">
        <v>-1.63544519724986</v>
      </c>
      <c r="AG2192">
        <v>-1.1103353235540001</v>
      </c>
      <c r="AH2192">
        <v>19.383335275402001</v>
      </c>
      <c r="AI2192">
        <v>93.266907968241298</v>
      </c>
      <c r="AJ2192">
        <v>94.822838447372803</v>
      </c>
      <c r="AK2192">
        <v>19.483870558043201</v>
      </c>
      <c r="AL2192">
        <v>78.891227908456699</v>
      </c>
      <c r="AM2192">
        <v>91.684724246136099</v>
      </c>
      <c r="AN2192">
        <v>0.99999998951403601</v>
      </c>
    </row>
    <row r="2193" spans="1:40" x14ac:dyDescent="0.25">
      <c r="A2193" t="str">
        <f>"20190312172412564"</f>
        <v>20190312172412564</v>
      </c>
      <c r="B2193" t="str">
        <f>"1552382652552307"</f>
        <v>1552382652552307</v>
      </c>
      <c r="C2193" t="s">
        <v>40</v>
      </c>
      <c r="D2193">
        <v>3.538481</v>
      </c>
      <c r="E2193">
        <v>0.47859669999999999</v>
      </c>
      <c r="F2193" t="s">
        <v>48</v>
      </c>
      <c r="G2193">
        <v>-400.66629999999998</v>
      </c>
      <c r="H2193" s="1">
        <v>8.4714850000000008E-6</v>
      </c>
      <c r="I2193">
        <v>282.85129999999998</v>
      </c>
      <c r="J2193">
        <v>-381.1071</v>
      </c>
      <c r="K2193">
        <v>1.1103719999999999</v>
      </c>
      <c r="L2193">
        <v>284.15300000000002</v>
      </c>
      <c r="M2193">
        <v>-0.99971080000000001</v>
      </c>
      <c r="N2193">
        <v>0</v>
      </c>
      <c r="O2193">
        <v>1.8800799999999999E-2</v>
      </c>
      <c r="P2193">
        <v>-0.98384450000000001</v>
      </c>
      <c r="Q2193">
        <v>0.17867769999999999</v>
      </c>
      <c r="R2193">
        <v>-1.115265E-2</v>
      </c>
      <c r="S2193">
        <v>-3.0776979999999998</v>
      </c>
      <c r="T2193">
        <v>-0.1713287</v>
      </c>
      <c r="U2193">
        <v>-0.19973750000000001</v>
      </c>
      <c r="V2193">
        <v>-2.9660180000000001E-2</v>
      </c>
      <c r="W2193">
        <v>0.1934072</v>
      </c>
      <c r="X2193">
        <v>0.98067020000000005</v>
      </c>
      <c r="Y2193">
        <v>-8.3356570000000005E-2</v>
      </c>
      <c r="Z2193">
        <v>-3.3608370000000002E-3</v>
      </c>
      <c r="AA2193">
        <v>0.99651409999999996</v>
      </c>
      <c r="AB2193">
        <v>39</v>
      </c>
      <c r="AC2193">
        <v>-19.559199999999901</v>
      </c>
      <c r="AD2193">
        <v>-1.110363528515</v>
      </c>
      <c r="AE2193">
        <v>-1.3017000000000301</v>
      </c>
      <c r="AF2193">
        <v>-1.6639011164783799</v>
      </c>
      <c r="AG2193">
        <v>-1.110363528515</v>
      </c>
      <c r="AH2193">
        <v>19.468799738083</v>
      </c>
      <c r="AI2193">
        <v>93.252381544906797</v>
      </c>
      <c r="AJ2193">
        <v>94.884913734201405</v>
      </c>
      <c r="AK2193">
        <v>19.571296260913702</v>
      </c>
      <c r="AL2193">
        <v>78.848308983974306</v>
      </c>
      <c r="AM2193">
        <v>91.732371639763002</v>
      </c>
      <c r="AN2193">
        <v>1.0000000562287501</v>
      </c>
    </row>
    <row r="2194" spans="1:40" x14ac:dyDescent="0.25">
      <c r="A2194" t="str">
        <f>"20190312172412587"</f>
        <v>20190312172412587</v>
      </c>
      <c r="B2194" t="str">
        <f>"1552382652582560"</f>
        <v>1552382652582560</v>
      </c>
      <c r="C2194" t="s">
        <v>40</v>
      </c>
      <c r="D2194">
        <v>3.584892</v>
      </c>
      <c r="E2194">
        <v>0.47846179999999999</v>
      </c>
      <c r="F2194" t="s">
        <v>48</v>
      </c>
      <c r="G2194">
        <v>-401.32679999999999</v>
      </c>
      <c r="H2194" s="1">
        <v>8.1843370000000001E-6</v>
      </c>
      <c r="I2194">
        <v>282.82350000000002</v>
      </c>
      <c r="J2194">
        <v>-381.49709999999999</v>
      </c>
      <c r="K2194">
        <v>1.1104050000000001</v>
      </c>
      <c r="L2194">
        <v>284.16019999999997</v>
      </c>
      <c r="M2194">
        <v>-0.99971290000000002</v>
      </c>
      <c r="N2194">
        <v>0</v>
      </c>
      <c r="O2194">
        <v>1.8691940000000001E-2</v>
      </c>
      <c r="P2194">
        <v>-0.98375610000000002</v>
      </c>
      <c r="Q2194">
        <v>0.17912400000000001</v>
      </c>
      <c r="R2194">
        <v>-1.1781949999999999E-2</v>
      </c>
      <c r="S2194">
        <v>-3.0776370000000002</v>
      </c>
      <c r="T2194">
        <v>-0.16900870000000001</v>
      </c>
      <c r="U2194">
        <v>-0.20236209999999999</v>
      </c>
      <c r="V2194">
        <v>-3.0193870000000001E-2</v>
      </c>
      <c r="W2194">
        <v>0.19384609999999999</v>
      </c>
      <c r="X2194">
        <v>0.98056719999999997</v>
      </c>
      <c r="Y2194">
        <v>-8.4098779999999998E-2</v>
      </c>
      <c r="Z2194">
        <v>-3.3297460000000002E-3</v>
      </c>
      <c r="AA2194">
        <v>0.99645189999999995</v>
      </c>
      <c r="AB2194">
        <v>39</v>
      </c>
      <c r="AC2194">
        <v>-19.829699999999999</v>
      </c>
      <c r="AD2194">
        <v>-1.110396815663</v>
      </c>
      <c r="AE2194">
        <v>-1.33669999999995</v>
      </c>
      <c r="AF2194">
        <v>-1.7018514020773501</v>
      </c>
      <c r="AG2194">
        <v>-1.110396815663</v>
      </c>
      <c r="AH2194">
        <v>19.7396303606792</v>
      </c>
      <c r="AI2194">
        <v>93.2077436289281</v>
      </c>
      <c r="AJ2194">
        <v>94.927568425880196</v>
      </c>
      <c r="AK2194">
        <v>19.843948348532699</v>
      </c>
      <c r="AL2194">
        <v>78.822676228195206</v>
      </c>
      <c r="AM2194">
        <v>91.763708658751895</v>
      </c>
      <c r="AN2194">
        <v>1.0000000069933099</v>
      </c>
    </row>
    <row r="2195" spans="1:40" x14ac:dyDescent="0.25">
      <c r="A2195" t="str">
        <f>"20190312172412609"</f>
        <v>20190312172412609</v>
      </c>
      <c r="B2195" t="str">
        <f>"1552382652602080"</f>
        <v>1552382652602080</v>
      </c>
      <c r="C2195" t="s">
        <v>40</v>
      </c>
      <c r="D2195">
        <v>3.5825680000000002</v>
      </c>
      <c r="E2195">
        <v>0.47837780000000002</v>
      </c>
      <c r="F2195" t="s">
        <v>48</v>
      </c>
      <c r="G2195">
        <v>-401.8021</v>
      </c>
      <c r="H2195" s="1">
        <v>7.9772030000000003E-6</v>
      </c>
      <c r="I2195">
        <v>282.80579999999998</v>
      </c>
      <c r="J2195">
        <v>-381.88569999999999</v>
      </c>
      <c r="K2195">
        <v>1.1104369999999999</v>
      </c>
      <c r="L2195">
        <v>284.16730000000001</v>
      </c>
      <c r="M2195">
        <v>-0.99971540000000003</v>
      </c>
      <c r="N2195">
        <v>0</v>
      </c>
      <c r="O2195">
        <v>1.8561589999999999E-2</v>
      </c>
      <c r="P2195">
        <v>-0.98361379999999998</v>
      </c>
      <c r="Q2195">
        <v>0.1798997</v>
      </c>
      <c r="R2195">
        <v>-1.1847709999999999E-2</v>
      </c>
      <c r="S2195">
        <v>-3.0776979999999998</v>
      </c>
      <c r="T2195">
        <v>-0.16830609999999999</v>
      </c>
      <c r="U2195">
        <v>-0.20529169999999999</v>
      </c>
      <c r="V2195">
        <v>-3.014058E-2</v>
      </c>
      <c r="W2195">
        <v>0.19461319999999999</v>
      </c>
      <c r="X2195">
        <v>0.98041690000000004</v>
      </c>
      <c r="Y2195">
        <v>-8.4912199999999993E-2</v>
      </c>
      <c r="Z2195">
        <v>-3.3308399999999998E-3</v>
      </c>
      <c r="AA2195">
        <v>0.99638289999999996</v>
      </c>
      <c r="AB2195">
        <v>39</v>
      </c>
      <c r="AC2195">
        <v>-19.916399999999999</v>
      </c>
      <c r="AD2195">
        <v>-1.110429022797</v>
      </c>
      <c r="AE2195">
        <v>-1.3615000000000299</v>
      </c>
      <c r="AF2195">
        <v>-1.72564762138279</v>
      </c>
      <c r="AG2195">
        <v>-1.110429022797</v>
      </c>
      <c r="AH2195">
        <v>19.826348751484801</v>
      </c>
      <c r="AI2195">
        <v>93.193609276482206</v>
      </c>
      <c r="AJ2195">
        <v>94.974379409933604</v>
      </c>
      <c r="AK2195">
        <v>19.932260713309901</v>
      </c>
      <c r="AL2195">
        <v>78.777871579635999</v>
      </c>
      <c r="AM2195">
        <v>91.760867534654807</v>
      </c>
      <c r="AN2195">
        <v>1.0000000249912899</v>
      </c>
    </row>
    <row r="2196" spans="1:40" x14ac:dyDescent="0.25">
      <c r="A2196" t="str">
        <f>"20190312172412631"</f>
        <v>20190312172412631</v>
      </c>
      <c r="B2196" t="str">
        <f>"1552382652622576"</f>
        <v>1552382652622576</v>
      </c>
      <c r="C2196" t="s">
        <v>40</v>
      </c>
      <c r="D2196">
        <v>3.6231629999999999</v>
      </c>
      <c r="E2196">
        <v>0.47828290000000001</v>
      </c>
      <c r="F2196" t="s">
        <v>48</v>
      </c>
      <c r="G2196">
        <v>-402.43380000000002</v>
      </c>
      <c r="H2196" s="1">
        <v>7.7000239999999998E-6</v>
      </c>
      <c r="I2196">
        <v>282.79149999999998</v>
      </c>
      <c r="J2196">
        <v>-382.26440000000002</v>
      </c>
      <c r="K2196">
        <v>1.1104579999999999</v>
      </c>
      <c r="L2196">
        <v>284.17430000000002</v>
      </c>
      <c r="M2196">
        <v>-0.99971810000000005</v>
      </c>
      <c r="N2196">
        <v>0</v>
      </c>
      <c r="O2196">
        <v>1.8417630000000001E-2</v>
      </c>
      <c r="P2196">
        <v>-0.98355950000000003</v>
      </c>
      <c r="Q2196">
        <v>0.18017469999999999</v>
      </c>
      <c r="R2196">
        <v>-1.2154979999999999E-2</v>
      </c>
      <c r="S2196">
        <v>-3.0778810000000001</v>
      </c>
      <c r="T2196">
        <v>-0.1663297</v>
      </c>
      <c r="U2196">
        <v>-0.2060852</v>
      </c>
      <c r="V2196">
        <v>-3.0314239999999999E-2</v>
      </c>
      <c r="W2196">
        <v>0.1948821</v>
      </c>
      <c r="X2196">
        <v>0.98035810000000001</v>
      </c>
      <c r="Y2196">
        <v>-8.5024169999999996E-2</v>
      </c>
      <c r="Z2196">
        <v>-3.286813E-3</v>
      </c>
      <c r="AA2196">
        <v>0.99637350000000002</v>
      </c>
      <c r="AB2196">
        <v>39</v>
      </c>
      <c r="AC2196">
        <v>-20.1694</v>
      </c>
      <c r="AD2196">
        <v>-1.110450299976</v>
      </c>
      <c r="AE2196">
        <v>-1.38280000000003</v>
      </c>
      <c r="AF2196">
        <v>-1.7488035064737499</v>
      </c>
      <c r="AG2196">
        <v>-1.110450299976</v>
      </c>
      <c r="AH2196">
        <v>20.079926165911299</v>
      </c>
      <c r="AI2196">
        <v>93.153406605881898</v>
      </c>
      <c r="AJ2196">
        <v>94.9774520139934</v>
      </c>
      <c r="AK2196">
        <v>20.1865016385064</v>
      </c>
      <c r="AL2196">
        <v>78.762163657951106</v>
      </c>
      <c r="AM2196">
        <v>91.771112779367996</v>
      </c>
      <c r="AN2196">
        <v>0.99999999514139803</v>
      </c>
    </row>
    <row r="2197" spans="1:40" x14ac:dyDescent="0.25">
      <c r="A2197" t="str">
        <f>"20190312172412644"</f>
        <v>20190312172412644</v>
      </c>
      <c r="B2197" t="str">
        <f>"1552382652632336"</f>
        <v>1552382652632336</v>
      </c>
      <c r="C2197" t="s">
        <v>40</v>
      </c>
      <c r="D2197">
        <v>3.5803240000000001</v>
      </c>
      <c r="E2197">
        <v>0.47824250000000001</v>
      </c>
      <c r="F2197" t="s">
        <v>48</v>
      </c>
      <c r="G2197">
        <v>-402.85739999999998</v>
      </c>
      <c r="H2197" s="1">
        <v>7.5135149999999902E-6</v>
      </c>
      <c r="I2197">
        <v>282.78500000000003</v>
      </c>
      <c r="J2197">
        <v>-382.47109999999998</v>
      </c>
      <c r="K2197">
        <v>1.1104670000000001</v>
      </c>
      <c r="L2197">
        <v>284.178</v>
      </c>
      <c r="M2197">
        <v>-0.99971969999999999</v>
      </c>
      <c r="N2197">
        <v>0</v>
      </c>
      <c r="O2197">
        <v>1.8333809999999999E-2</v>
      </c>
      <c r="P2197">
        <v>-0.98359319999999895</v>
      </c>
      <c r="Q2197">
        <v>0.17997160000000001</v>
      </c>
      <c r="R2197">
        <v>-1.245014E-2</v>
      </c>
      <c r="S2197">
        <v>-3.0779719999999999</v>
      </c>
      <c r="T2197">
        <v>-0.16597590000000001</v>
      </c>
      <c r="U2197">
        <v>-0.20764160000000001</v>
      </c>
      <c r="V2197">
        <v>-3.053148E-2</v>
      </c>
      <c r="W2197">
        <v>0.19467680000000001</v>
      </c>
      <c r="X2197">
        <v>0.98039219999999905</v>
      </c>
      <c r="Y2197">
        <v>-8.5440379999999996E-2</v>
      </c>
      <c r="Z2197">
        <v>-3.2863689999999999E-3</v>
      </c>
      <c r="AA2197">
        <v>0.9963379</v>
      </c>
      <c r="AB2197">
        <v>39</v>
      </c>
      <c r="AC2197">
        <v>-20.386299999999999</v>
      </c>
      <c r="AD2197">
        <v>-1.1104594864849999</v>
      </c>
      <c r="AE2197">
        <v>-1.39299999999997</v>
      </c>
      <c r="AF2197">
        <v>-1.76136449215163</v>
      </c>
      <c r="AG2197">
        <v>-1.1104594864849999</v>
      </c>
      <c r="AH2197">
        <v>20.2973868683675</v>
      </c>
      <c r="AI2197">
        <v>93.119799133052695</v>
      </c>
      <c r="AJ2197">
        <v>94.959582780526404</v>
      </c>
      <c r="AK2197">
        <v>20.403907440231102</v>
      </c>
      <c r="AL2197">
        <v>78.774156760596</v>
      </c>
      <c r="AM2197">
        <v>91.783734875357197</v>
      </c>
      <c r="AN2197">
        <v>1.0000000467750301</v>
      </c>
    </row>
    <row r="2198" spans="1:40" x14ac:dyDescent="0.25">
      <c r="A2198" t="str">
        <f>"20190312172412666"</f>
        <v>20190312172412666</v>
      </c>
      <c r="B2198" t="str">
        <f>"1552382652662592"</f>
        <v>1552382652662592</v>
      </c>
      <c r="C2198" t="s">
        <v>40</v>
      </c>
      <c r="D2198">
        <v>3.6010529999999998</v>
      </c>
      <c r="E2198">
        <v>0.47820020000000002</v>
      </c>
      <c r="F2198" t="s">
        <v>48</v>
      </c>
      <c r="G2198">
        <v>-402.95650000000001</v>
      </c>
      <c r="H2198" s="1">
        <v>7.4691579999999997E-6</v>
      </c>
      <c r="I2198">
        <v>282.78710000000001</v>
      </c>
      <c r="J2198">
        <v>-382.8494</v>
      </c>
      <c r="K2198">
        <v>1.1104780000000001</v>
      </c>
      <c r="L2198">
        <v>284.1848</v>
      </c>
      <c r="M2198">
        <v>-0.99972280000000002</v>
      </c>
      <c r="N2198">
        <v>0</v>
      </c>
      <c r="O2198">
        <v>1.8171630000000001E-2</v>
      </c>
      <c r="P2198">
        <v>-0.98370409999999997</v>
      </c>
      <c r="Q2198">
        <v>0.1793371</v>
      </c>
      <c r="R2198">
        <v>-1.2831830000000001E-2</v>
      </c>
      <c r="S2198">
        <v>-3.0779420000000002</v>
      </c>
      <c r="T2198">
        <v>-0.166847</v>
      </c>
      <c r="U2198">
        <v>-0.20898439999999999</v>
      </c>
      <c r="V2198">
        <v>-3.0761239999999999E-2</v>
      </c>
      <c r="W2198">
        <v>0.19403880000000001</v>
      </c>
      <c r="X2198">
        <v>0.98051140000000003</v>
      </c>
      <c r="Y2198">
        <v>-8.5710350000000005E-2</v>
      </c>
      <c r="Z2198">
        <v>-3.302101E-3</v>
      </c>
      <c r="AA2198">
        <v>0.99631460000000005</v>
      </c>
      <c r="AB2198">
        <v>38</v>
      </c>
      <c r="AC2198">
        <v>-20.107099999999999</v>
      </c>
      <c r="AD2198">
        <v>-1.110470530842</v>
      </c>
      <c r="AE2198">
        <v>-1.39769999999998</v>
      </c>
      <c r="AF2198">
        <v>-1.7575539446178501</v>
      </c>
      <c r="AG2198">
        <v>-1.110470530842</v>
      </c>
      <c r="AH2198">
        <v>20.0176156014839</v>
      </c>
      <c r="AI2198">
        <v>93.163066075672901</v>
      </c>
      <c r="AJ2198">
        <v>95.017723005185402</v>
      </c>
      <c r="AK2198">
        <v>20.125284470955499</v>
      </c>
      <c r="AL2198">
        <v>78.811421080552805</v>
      </c>
      <c r="AM2198">
        <v>91.796930995943995</v>
      </c>
      <c r="AN2198">
        <v>0.99999995766086802</v>
      </c>
    </row>
    <row r="2199" spans="1:40" x14ac:dyDescent="0.25">
      <c r="A2199" t="str">
        <f>"20190312172412687"</f>
        <v>20190312172412687</v>
      </c>
      <c r="B2199" t="str">
        <f>"1552382652682111"</f>
        <v>1552382652682111</v>
      </c>
      <c r="C2199" t="s">
        <v>40</v>
      </c>
      <c r="D2199">
        <v>3.6345350000000001</v>
      </c>
      <c r="E2199">
        <v>0.4782708</v>
      </c>
      <c r="F2199" t="s">
        <v>48</v>
      </c>
      <c r="G2199">
        <v>-403.05380000000002</v>
      </c>
      <c r="H2199" s="1">
        <v>7.4222529999999998E-6</v>
      </c>
      <c r="I2199">
        <v>282.80529999999999</v>
      </c>
      <c r="J2199">
        <v>-383.23559999999998</v>
      </c>
      <c r="K2199">
        <v>1.1104849999999999</v>
      </c>
      <c r="L2199">
        <v>284.19170000000003</v>
      </c>
      <c r="M2199">
        <v>-0.99972589999999995</v>
      </c>
      <c r="N2199">
        <v>0</v>
      </c>
      <c r="O2199">
        <v>1.8001079999999999E-2</v>
      </c>
      <c r="P2199">
        <v>-0.9837882</v>
      </c>
      <c r="Q2199">
        <v>0.17886579999999999</v>
      </c>
      <c r="R2199">
        <v>-1.2967050000000001E-2</v>
      </c>
      <c r="S2199">
        <v>-3.0777890000000001</v>
      </c>
      <c r="T2199">
        <v>-0.16916110000000001</v>
      </c>
      <c r="U2199">
        <v>-0.210144</v>
      </c>
      <c r="V2199">
        <v>-3.0734729999999998E-2</v>
      </c>
      <c r="W2199">
        <v>0.1935635</v>
      </c>
      <c r="X2199">
        <v>0.98060619999999998</v>
      </c>
      <c r="Y2199">
        <v>-8.5913089999999998E-2</v>
      </c>
      <c r="Z2199">
        <v>-3.3441579999999999E-3</v>
      </c>
      <c r="AA2199">
        <v>0.99629699999999999</v>
      </c>
      <c r="AB2199">
        <v>38</v>
      </c>
      <c r="AC2199">
        <v>-19.818200000000001</v>
      </c>
      <c r="AD2199">
        <v>-1.110477577747</v>
      </c>
      <c r="AE2199">
        <v>-1.3864000000000301</v>
      </c>
      <c r="AF2199">
        <v>-1.73753547886681</v>
      </c>
      <c r="AG2199">
        <v>-1.110477577747</v>
      </c>
      <c r="AH2199">
        <v>19.728388595336899</v>
      </c>
      <c r="AI2199">
        <v>93.209285975476604</v>
      </c>
      <c r="AJ2199">
        <v>95.033215677829105</v>
      </c>
      <c r="AK2199">
        <v>19.835864149555501</v>
      </c>
      <c r="AL2199">
        <v>78.839180371380294</v>
      </c>
      <c r="AM2199">
        <v>91.795209961981499</v>
      </c>
      <c r="AN2199">
        <v>0.99999998581943095</v>
      </c>
    </row>
    <row r="2200" spans="1:40" x14ac:dyDescent="0.25">
      <c r="A2200" t="str">
        <f>"20190312172412710"</f>
        <v>20190312172412710</v>
      </c>
      <c r="B2200" t="str">
        <f>"1552382652702611"</f>
        <v>1552382652702611</v>
      </c>
      <c r="C2200" t="s">
        <v>40</v>
      </c>
      <c r="D2200">
        <v>3.633105</v>
      </c>
      <c r="E2200">
        <v>0.4944615</v>
      </c>
      <c r="F2200" t="s">
        <v>48</v>
      </c>
      <c r="G2200">
        <v>-403.27690000000001</v>
      </c>
      <c r="H2200" s="1">
        <v>7.319394E-6</v>
      </c>
      <c r="I2200">
        <v>282.82420000000002</v>
      </c>
      <c r="J2200">
        <v>-383.61599999999999</v>
      </c>
      <c r="K2200">
        <v>1.110495</v>
      </c>
      <c r="L2200">
        <v>284.19839999999999</v>
      </c>
      <c r="M2200">
        <v>-0.99972890000000003</v>
      </c>
      <c r="N2200">
        <v>0</v>
      </c>
      <c r="O2200">
        <v>1.783189E-2</v>
      </c>
      <c r="P2200">
        <v>-0.98372910000000002</v>
      </c>
      <c r="Q2200">
        <v>0.17920429999999901</v>
      </c>
      <c r="R2200">
        <v>-1.2769559999999999E-2</v>
      </c>
      <c r="S2200">
        <v>-3.0776669999999999</v>
      </c>
      <c r="T2200">
        <v>-0.17053170000000001</v>
      </c>
      <c r="U2200">
        <v>-0.2099915</v>
      </c>
      <c r="V2200">
        <v>-3.0373109999999998E-2</v>
      </c>
      <c r="W2200">
        <v>0.1938966</v>
      </c>
      <c r="X2200">
        <v>0.98055170000000003</v>
      </c>
      <c r="Y2200">
        <v>-8.5696030000000006E-2</v>
      </c>
      <c r="Z2200">
        <v>-3.3559900000000001E-3</v>
      </c>
      <c r="AA2200">
        <v>0.99631570000000003</v>
      </c>
      <c r="AB2200">
        <v>38</v>
      </c>
      <c r="AC2200">
        <v>-19.660900000000002</v>
      </c>
      <c r="AD2200">
        <v>-1.110487680606</v>
      </c>
      <c r="AE2200">
        <v>-1.3741999999999699</v>
      </c>
      <c r="AF2200">
        <v>-1.71915394039616</v>
      </c>
      <c r="AG2200">
        <v>-1.110487680606</v>
      </c>
      <c r="AH2200">
        <v>19.571133178233499</v>
      </c>
      <c r="AI2200">
        <v>93.235112869819304</v>
      </c>
      <c r="AJ2200">
        <v>95.020050953966006</v>
      </c>
      <c r="AK2200">
        <v>19.6778537203556</v>
      </c>
      <c r="AL2200">
        <v>78.819727057076094</v>
      </c>
      <c r="AM2200">
        <v>91.774199925558804</v>
      </c>
      <c r="AN2200">
        <v>1.00000002683776</v>
      </c>
    </row>
    <row r="2201" spans="1:40" x14ac:dyDescent="0.25">
      <c r="A2201" t="str">
        <f>"20190312172412731"</f>
        <v>20190312172412731</v>
      </c>
      <c r="B2201" t="str">
        <f>"1552382652722128"</f>
        <v>1552382652722128</v>
      </c>
      <c r="C2201" t="s">
        <v>40</v>
      </c>
      <c r="D2201">
        <v>3.6488100000000001</v>
      </c>
      <c r="E2201">
        <v>0.49541039999999997</v>
      </c>
      <c r="F2201" t="s">
        <v>48</v>
      </c>
      <c r="G2201">
        <v>-405.46789999999999</v>
      </c>
      <c r="H2201" s="1">
        <v>6.1820149999999996E-6</v>
      </c>
      <c r="I2201">
        <v>283.62639999999999</v>
      </c>
      <c r="J2201">
        <v>-383.98840000000001</v>
      </c>
      <c r="K2201">
        <v>1.110498</v>
      </c>
      <c r="L2201">
        <v>284.20490000000001</v>
      </c>
      <c r="M2201">
        <v>-0.99973210000000001</v>
      </c>
      <c r="N2201">
        <v>0</v>
      </c>
      <c r="O2201">
        <v>1.766641E-2</v>
      </c>
      <c r="P2201">
        <v>-0.98378529999999997</v>
      </c>
      <c r="Q2201">
        <v>0.17890829999999999</v>
      </c>
      <c r="R2201">
        <v>-1.2592320000000001E-2</v>
      </c>
      <c r="S2201">
        <v>-3.0770569999999999</v>
      </c>
      <c r="T2201">
        <v>-0.1563725</v>
      </c>
      <c r="U2201">
        <v>-8.0535889999999999E-2</v>
      </c>
      <c r="V2201">
        <v>-3.0037810000000002E-2</v>
      </c>
      <c r="W2201">
        <v>0.1935972</v>
      </c>
      <c r="X2201">
        <v>0.98062119999999997</v>
      </c>
      <c r="Y2201">
        <v>-4.3743120000000003E-2</v>
      </c>
      <c r="Z2201">
        <v>-2.0077530000000001E-3</v>
      </c>
      <c r="AA2201">
        <v>0.99904079999999995</v>
      </c>
      <c r="AB2201">
        <v>38</v>
      </c>
      <c r="AC2201">
        <v>-21.479499999999899</v>
      </c>
      <c r="AD2201">
        <v>-1.1104918179850001</v>
      </c>
      <c r="AE2201">
        <v>-0.578500000000019</v>
      </c>
      <c r="AF2201">
        <v>-0.95536604212770404</v>
      </c>
      <c r="AG2201">
        <v>-1.1104918179850001</v>
      </c>
      <c r="AH2201">
        <v>21.408744017781</v>
      </c>
      <c r="AI2201">
        <v>92.966378279656794</v>
      </c>
      <c r="AJ2201">
        <v>92.555131218389903</v>
      </c>
      <c r="AK2201">
        <v>21.458803246479899</v>
      </c>
      <c r="AL2201">
        <v>78.837212909795099</v>
      </c>
      <c r="AM2201">
        <v>91.754501908970298</v>
      </c>
      <c r="AN2201">
        <v>1.0000000418834301</v>
      </c>
    </row>
    <row r="2202" spans="1:40" x14ac:dyDescent="0.25">
      <c r="A2202" t="str">
        <f>"20190312172412754"</f>
        <v>20190312172412754</v>
      </c>
      <c r="B2202" t="str">
        <f>"1552382652742627"</f>
        <v>1552382652742627</v>
      </c>
      <c r="C2202" t="s">
        <v>40</v>
      </c>
      <c r="D2202">
        <v>3.6509130000000001</v>
      </c>
      <c r="E2202">
        <v>0.49624040000000003</v>
      </c>
      <c r="F2202" t="s">
        <v>48</v>
      </c>
      <c r="G2202">
        <v>-406.73869999999999</v>
      </c>
      <c r="H2202" s="1">
        <v>5.6103040000000004E-6</v>
      </c>
      <c r="I2202">
        <v>283.66590000000002</v>
      </c>
      <c r="J2202">
        <v>-384.36380000000003</v>
      </c>
      <c r="K2202">
        <v>1.110503</v>
      </c>
      <c r="L2202">
        <v>284.21129999999999</v>
      </c>
      <c r="M2202">
        <v>-0.99973489999999998</v>
      </c>
      <c r="N2202">
        <v>0</v>
      </c>
      <c r="O2202">
        <v>1.750059E-2</v>
      </c>
      <c r="P2202">
        <v>-0.98381390000000002</v>
      </c>
      <c r="Q2202">
        <v>0.1787541</v>
      </c>
      <c r="R2202">
        <v>-1.255246E-2</v>
      </c>
      <c r="S2202">
        <v>-3.0757750000000001</v>
      </c>
      <c r="T2202">
        <v>-0.1501352</v>
      </c>
      <c r="U2202">
        <v>-7.2875980000000007E-2</v>
      </c>
      <c r="V2202">
        <v>-2.983676E-2</v>
      </c>
      <c r="W2202">
        <v>0.19343859999999999</v>
      </c>
      <c r="X2202">
        <v>0.98065860000000005</v>
      </c>
      <c r="Y2202">
        <v>-4.1111139999999997E-2</v>
      </c>
      <c r="Z2202">
        <v>-1.8563449999999999E-3</v>
      </c>
      <c r="AA2202">
        <v>0.99915279999999995</v>
      </c>
      <c r="AB2202">
        <v>38</v>
      </c>
      <c r="AC2202">
        <v>-22.374899999999901</v>
      </c>
      <c r="AD2202">
        <v>-1.110497389696</v>
      </c>
      <c r="AE2202">
        <v>-0.54539999999997202</v>
      </c>
      <c r="AF2202">
        <v>-0.93463335039360596</v>
      </c>
      <c r="AG2202">
        <v>-1.110497389696</v>
      </c>
      <c r="AH2202">
        <v>22.307011021531</v>
      </c>
      <c r="AI2202">
        <v>92.847476630266101</v>
      </c>
      <c r="AJ2202">
        <v>92.399211770855899</v>
      </c>
      <c r="AK2202">
        <v>22.354182710779099</v>
      </c>
      <c r="AL2202">
        <v>78.846474711469597</v>
      </c>
      <c r="AM2202">
        <v>91.742699464728602</v>
      </c>
      <c r="AN2202">
        <v>1.0000000069856001</v>
      </c>
    </row>
    <row r="2203" spans="1:40" x14ac:dyDescent="0.25">
      <c r="A2203" t="str">
        <f>"20190312172412766"</f>
        <v>20190312172412766</v>
      </c>
      <c r="B2203" t="str">
        <f>"1552382652762144"</f>
        <v>1552382652762144</v>
      </c>
      <c r="C2203" t="s">
        <v>40</v>
      </c>
      <c r="D2203">
        <v>3.6372230000000001</v>
      </c>
      <c r="E2203">
        <v>0.4966989</v>
      </c>
      <c r="F2203" t="s">
        <v>48</v>
      </c>
      <c r="G2203">
        <v>-407.10660000000001</v>
      </c>
      <c r="H2203" s="1">
        <v>5.43572E-6</v>
      </c>
      <c r="I2203">
        <v>283.72120000000001</v>
      </c>
      <c r="J2203">
        <v>-384.57240000000002</v>
      </c>
      <c r="K2203">
        <v>1.1105</v>
      </c>
      <c r="L2203">
        <v>284.2149</v>
      </c>
      <c r="M2203">
        <v>-0.99973670000000003</v>
      </c>
      <c r="N2203">
        <v>0</v>
      </c>
      <c r="O2203">
        <v>1.740854E-2</v>
      </c>
      <c r="P2203">
        <v>-0.98376620000000004</v>
      </c>
      <c r="Q2203">
        <v>0.17901819999999999</v>
      </c>
      <c r="R2203">
        <v>-1.253578E-2</v>
      </c>
      <c r="S2203">
        <v>-3.0757750000000001</v>
      </c>
      <c r="T2203">
        <v>-0.1501855</v>
      </c>
      <c r="U2203">
        <v>-6.6284179999999998E-2</v>
      </c>
      <c r="V2203">
        <v>-2.9730449999999999E-2</v>
      </c>
      <c r="W2203">
        <v>0.1936997</v>
      </c>
      <c r="X2203">
        <v>0.98061030000000005</v>
      </c>
      <c r="Y2203">
        <v>-3.8881539999999999E-2</v>
      </c>
      <c r="Z2203">
        <v>-1.7981189999999999E-3</v>
      </c>
      <c r="AA2203">
        <v>0.99924219999999997</v>
      </c>
      <c r="AB2203">
        <v>38</v>
      </c>
      <c r="AC2203">
        <v>-22.534199999999998</v>
      </c>
      <c r="AD2203">
        <v>-1.1104945642799999</v>
      </c>
      <c r="AE2203">
        <v>-0.49369999999998898</v>
      </c>
      <c r="AF2203">
        <v>-0.88381117281143395</v>
      </c>
      <c r="AG2203">
        <v>-1.1104945642799999</v>
      </c>
      <c r="AH2203">
        <v>22.467651016082002</v>
      </c>
      <c r="AI2203">
        <v>92.827436816398901</v>
      </c>
      <c r="AJ2203">
        <v>92.2526856411273</v>
      </c>
      <c r="AK2203">
        <v>22.512433510105701</v>
      </c>
      <c r="AL2203">
        <v>78.831226499090505</v>
      </c>
      <c r="AM2203">
        <v>91.736579418850496</v>
      </c>
      <c r="AN2203">
        <v>1.0000000169516901</v>
      </c>
    </row>
    <row r="2204" spans="1:40" x14ac:dyDescent="0.25">
      <c r="A2204" t="str">
        <f>"20190312172412778"</f>
        <v>20190312172412778</v>
      </c>
      <c r="B2204" t="str">
        <f>"1552382652771904"</f>
        <v>1552382652771904</v>
      </c>
      <c r="C2204" t="s">
        <v>40</v>
      </c>
      <c r="D2204">
        <v>3.6293220000000002</v>
      </c>
      <c r="E2204">
        <v>0.49676110000000001</v>
      </c>
      <c r="F2204" t="s">
        <v>48</v>
      </c>
      <c r="G2204">
        <v>-407.71660000000003</v>
      </c>
      <c r="H2204" s="1">
        <v>5.1607579999999999E-6</v>
      </c>
      <c r="I2204">
        <v>283.74270000000001</v>
      </c>
      <c r="J2204">
        <v>-384.79759999999999</v>
      </c>
      <c r="K2204">
        <v>1.1105050000000001</v>
      </c>
      <c r="L2204">
        <v>284.21879999999999</v>
      </c>
      <c r="M2204">
        <v>-0.99973829999999997</v>
      </c>
      <c r="N2204">
        <v>0</v>
      </c>
      <c r="O2204">
        <v>1.7309399999999999E-2</v>
      </c>
      <c r="P2204">
        <v>-0.98377789999999998</v>
      </c>
      <c r="Q2204">
        <v>0.1789702</v>
      </c>
      <c r="R2204">
        <v>-1.227867E-2</v>
      </c>
      <c r="S2204">
        <v>-3.0755620000000001</v>
      </c>
      <c r="T2204">
        <v>-0.147569799999999</v>
      </c>
      <c r="U2204">
        <v>-6.2744140000000004E-2</v>
      </c>
      <c r="V2204">
        <v>-2.9377239999999999E-2</v>
      </c>
      <c r="W2204">
        <v>0.19364960000000001</v>
      </c>
      <c r="X2204">
        <v>0.98063080000000002</v>
      </c>
      <c r="Y2204">
        <v>-3.7638119999999997E-2</v>
      </c>
      <c r="Z2204">
        <v>-1.7324160000000001E-3</v>
      </c>
      <c r="AA2204">
        <v>0.99928989999999995</v>
      </c>
      <c r="AB2204">
        <v>38</v>
      </c>
      <c r="AC2204">
        <v>-22.919</v>
      </c>
      <c r="AD2204">
        <v>-1.11049983924199</v>
      </c>
      <c r="AE2204">
        <v>-0.47609999999997399</v>
      </c>
      <c r="AF2204">
        <v>-0.87074379909440103</v>
      </c>
      <c r="AG2204">
        <v>-1.11049983924199</v>
      </c>
      <c r="AH2204">
        <v>22.853692754349201</v>
      </c>
      <c r="AI2204">
        <v>92.779897494326605</v>
      </c>
      <c r="AJ2204">
        <v>92.181959170236993</v>
      </c>
      <c r="AK2204">
        <v>22.8972198567165</v>
      </c>
      <c r="AL2204">
        <v>78.834151975369494</v>
      </c>
      <c r="AM2204">
        <v>91.715924697746104</v>
      </c>
      <c r="AN2204">
        <v>0.99999997785940797</v>
      </c>
    </row>
    <row r="2205" spans="1:40" x14ac:dyDescent="0.25">
      <c r="A2205" t="str">
        <f>"20190312172412791"</f>
        <v>20190312172412791</v>
      </c>
      <c r="B2205" t="str">
        <f>"1552382652782640"</f>
        <v>1552382652782640</v>
      </c>
      <c r="C2205" t="s">
        <v>40</v>
      </c>
      <c r="D2205">
        <v>3.629346</v>
      </c>
      <c r="E2205">
        <v>0.49676500000000001</v>
      </c>
      <c r="F2205" t="s">
        <v>48</v>
      </c>
      <c r="G2205">
        <v>-407.98059999999998</v>
      </c>
      <c r="H2205" s="1">
        <v>5.0415099999999998E-6</v>
      </c>
      <c r="I2205">
        <v>283.7534</v>
      </c>
      <c r="J2205">
        <v>-385.00259999999997</v>
      </c>
      <c r="K2205">
        <v>1.110506</v>
      </c>
      <c r="L2205">
        <v>284.22219999999999</v>
      </c>
      <c r="M2205">
        <v>-0.99973990000000001</v>
      </c>
      <c r="N2205">
        <v>0</v>
      </c>
      <c r="O2205">
        <v>1.7218979999999998E-2</v>
      </c>
      <c r="P2205">
        <v>-0.98375690000000005</v>
      </c>
      <c r="Q2205">
        <v>0.17907339999999999</v>
      </c>
      <c r="R2205">
        <v>-1.246476E-2</v>
      </c>
      <c r="S2205">
        <v>-3.0754700000000001</v>
      </c>
      <c r="T2205">
        <v>-0.147319799999999</v>
      </c>
      <c r="U2205">
        <v>-6.1737060000000003E-2</v>
      </c>
      <c r="V2205">
        <v>-2.947485E-2</v>
      </c>
      <c r="W2205">
        <v>0.1937497</v>
      </c>
      <c r="X2205">
        <v>0.98060809999999998</v>
      </c>
      <c r="Y2205">
        <v>-3.722205E-2</v>
      </c>
      <c r="Z2205">
        <v>-1.715254E-3</v>
      </c>
      <c r="AA2205">
        <v>0.99930549999999996</v>
      </c>
      <c r="AB2205">
        <v>38</v>
      </c>
      <c r="AC2205">
        <v>-22.978000000000002</v>
      </c>
      <c r="AD2205">
        <v>-1.1105009584899901</v>
      </c>
      <c r="AE2205">
        <v>-0.468799999999987</v>
      </c>
      <c r="AF2205">
        <v>-0.86241895641927402</v>
      </c>
      <c r="AG2205">
        <v>-1.1105009584899901</v>
      </c>
      <c r="AH2205">
        <v>22.913024178198601</v>
      </c>
      <c r="AI2205">
        <v>92.772761576834199</v>
      </c>
      <c r="AJ2205">
        <v>92.155527427746506</v>
      </c>
      <c r="AK2205">
        <v>22.956124582034999</v>
      </c>
      <c r="AL2205">
        <v>78.828305966634105</v>
      </c>
      <c r="AM2205">
        <v>91.721662502400804</v>
      </c>
      <c r="AN2205">
        <v>0.99999997940911101</v>
      </c>
    </row>
    <row r="2206" spans="1:40" x14ac:dyDescent="0.25">
      <c r="A2206" t="str">
        <f>"20190312172412809"</f>
        <v>20190312172412809</v>
      </c>
      <c r="B2206" t="str">
        <f>"1552382652802160"</f>
        <v>1552382652802160</v>
      </c>
      <c r="C2206" t="s">
        <v>40</v>
      </c>
      <c r="D2206">
        <v>3.6374</v>
      </c>
      <c r="E2206">
        <v>0.4969577</v>
      </c>
      <c r="F2206" t="s">
        <v>48</v>
      </c>
      <c r="G2206">
        <v>-408.20979999999997</v>
      </c>
      <c r="H2206" s="1">
        <v>4.9402429999999999E-6</v>
      </c>
      <c r="I2206">
        <v>283.75150000000002</v>
      </c>
      <c r="J2206">
        <v>-385.3254</v>
      </c>
      <c r="K2206">
        <v>1.110514</v>
      </c>
      <c r="L2206">
        <v>284.22770000000003</v>
      </c>
      <c r="M2206">
        <v>-0.99974249999999998</v>
      </c>
      <c r="N2206">
        <v>0</v>
      </c>
      <c r="O2206">
        <v>1.707641E-2</v>
      </c>
      <c r="P2206">
        <v>-0.98372409999999999</v>
      </c>
      <c r="Q2206">
        <v>0.17928069999999999</v>
      </c>
      <c r="R2206">
        <v>-1.207401E-2</v>
      </c>
      <c r="S2206">
        <v>-3.0755309999999998</v>
      </c>
      <c r="T2206">
        <v>-0.1471692</v>
      </c>
      <c r="U2206">
        <v>-6.2377929999999998E-2</v>
      </c>
      <c r="V2206">
        <v>-2.894387E-2</v>
      </c>
      <c r="W2206">
        <v>0.19395319999999999</v>
      </c>
      <c r="X2206">
        <v>0.98058369999999995</v>
      </c>
      <c r="Y2206">
        <v>-3.728749E-2</v>
      </c>
      <c r="Z2206">
        <v>-1.7082130000000001E-3</v>
      </c>
      <c r="AA2206">
        <v>0.9993031</v>
      </c>
      <c r="AB2206">
        <v>38</v>
      </c>
      <c r="AC2206">
        <v>-22.8843999999999</v>
      </c>
      <c r="AD2206">
        <v>-1.110509059757</v>
      </c>
      <c r="AE2206">
        <v>-0.47620000000000501</v>
      </c>
      <c r="AF2206">
        <v>-0.86492170146292202</v>
      </c>
      <c r="AG2206">
        <v>-1.110509059757</v>
      </c>
      <c r="AH2206">
        <v>22.819216917778999</v>
      </c>
      <c r="AI2206">
        <v>92.784134750211805</v>
      </c>
      <c r="AJ2206">
        <v>92.170655195518606</v>
      </c>
      <c r="AK2206">
        <v>22.862589106706999</v>
      </c>
      <c r="AL2206">
        <v>78.816420967946001</v>
      </c>
      <c r="AM2206">
        <v>91.690707512632599</v>
      </c>
      <c r="AN2206">
        <v>0.99999999205325296</v>
      </c>
    </row>
    <row r="2207" spans="1:40" x14ac:dyDescent="0.25">
      <c r="A2207" t="str">
        <f>"20190312172412832"</f>
        <v>20190312172412832</v>
      </c>
      <c r="B2207" t="str">
        <f>"1552382652822656"</f>
        <v>1552382652822656</v>
      </c>
      <c r="C2207" t="s">
        <v>40</v>
      </c>
      <c r="D2207">
        <v>3.6379800000000002</v>
      </c>
      <c r="E2207">
        <v>0.49708330000000001</v>
      </c>
      <c r="F2207" t="s">
        <v>48</v>
      </c>
      <c r="G2207">
        <v>-408.7</v>
      </c>
      <c r="H2207" s="1">
        <v>4.7189080000000001E-6</v>
      </c>
      <c r="I2207">
        <v>283.77080000000001</v>
      </c>
      <c r="J2207">
        <v>-385.70179999999999</v>
      </c>
      <c r="K2207">
        <v>1.110517</v>
      </c>
      <c r="L2207">
        <v>284.23390000000001</v>
      </c>
      <c r="M2207">
        <v>-0.99974540000000001</v>
      </c>
      <c r="N2207">
        <v>0</v>
      </c>
      <c r="O2207">
        <v>1.6909649999999998E-2</v>
      </c>
      <c r="P2207">
        <v>-0.98377999999999999</v>
      </c>
      <c r="Q2207">
        <v>0.1789511</v>
      </c>
      <c r="R2207">
        <v>-1.2405630000000001E-2</v>
      </c>
      <c r="S2207">
        <v>-3.0754999999999999</v>
      </c>
      <c r="T2207">
        <v>-0.14611479999999999</v>
      </c>
      <c r="U2207">
        <v>-6.011963E-2</v>
      </c>
      <c r="V2207">
        <v>-2.911275E-2</v>
      </c>
      <c r="W2207">
        <v>0.1936196</v>
      </c>
      <c r="X2207">
        <v>0.98064459999999998</v>
      </c>
      <c r="Y2207">
        <v>-3.6389600000000001E-2</v>
      </c>
      <c r="Z2207">
        <v>-1.66678299999999E-3</v>
      </c>
      <c r="AA2207">
        <v>0.99933629999999996</v>
      </c>
      <c r="AB2207">
        <v>38</v>
      </c>
      <c r="AC2207">
        <v>-22.998200000000001</v>
      </c>
      <c r="AD2207">
        <v>-1.1105122810920001</v>
      </c>
      <c r="AE2207">
        <v>-0.46309999999999701</v>
      </c>
      <c r="AF2207">
        <v>-0.84998764121797898</v>
      </c>
      <c r="AG2207">
        <v>-1.1105122810920001</v>
      </c>
      <c r="AH2207">
        <v>22.933628298662502</v>
      </c>
      <c r="AI2207">
        <v>92.770361957612195</v>
      </c>
      <c r="AJ2207">
        <v>92.122578371892899</v>
      </c>
      <c r="AK2207">
        <v>22.9762273547659</v>
      </c>
      <c r="AL2207">
        <v>78.835903881091497</v>
      </c>
      <c r="AM2207">
        <v>91.700461031664801</v>
      </c>
      <c r="AN2207">
        <v>0.99999996661293999</v>
      </c>
    </row>
    <row r="2208" spans="1:40" x14ac:dyDescent="0.25">
      <c r="A2208" t="str">
        <f>"20190312172412845"</f>
        <v>20190312172412845</v>
      </c>
      <c r="B2208" t="str">
        <f>"1552382652842176"</f>
        <v>1552382652842176</v>
      </c>
      <c r="C2208" t="s">
        <v>40</v>
      </c>
      <c r="D2208">
        <v>3.615904</v>
      </c>
      <c r="E2208">
        <v>0.49715239999999999</v>
      </c>
      <c r="F2208" t="s">
        <v>48</v>
      </c>
      <c r="G2208">
        <v>-408.92619999999999</v>
      </c>
      <c r="H2208" s="1">
        <v>4.6169879999999997E-6</v>
      </c>
      <c r="I2208">
        <v>283.77850000000001</v>
      </c>
      <c r="J2208">
        <v>-385.91739999999999</v>
      </c>
      <c r="K2208">
        <v>1.110517</v>
      </c>
      <c r="L2208">
        <v>284.23750000000001</v>
      </c>
      <c r="M2208">
        <v>-0.99974700000000005</v>
      </c>
      <c r="N2208">
        <v>0</v>
      </c>
      <c r="O2208">
        <v>1.6814059999999999E-2</v>
      </c>
      <c r="P2208">
        <v>-0.98383580000000004</v>
      </c>
      <c r="Q2208">
        <v>0.17862809999999901</v>
      </c>
      <c r="R2208">
        <v>-1.262071E-2</v>
      </c>
      <c r="S2208">
        <v>-3.0754389999999998</v>
      </c>
      <c r="T2208">
        <v>-0.1470571</v>
      </c>
      <c r="U2208">
        <v>-6.0302729999999999E-2</v>
      </c>
      <c r="V2208">
        <v>-2.9234840000000002E-2</v>
      </c>
      <c r="W2208">
        <v>0.19329499999999999</v>
      </c>
      <c r="X2208">
        <v>0.98070500000000005</v>
      </c>
      <c r="Y2208">
        <v>-3.6353280000000002E-2</v>
      </c>
      <c r="Z2208">
        <v>-1.6721150000000001E-3</v>
      </c>
      <c r="AA2208">
        <v>0.99933760000000005</v>
      </c>
      <c r="AB2208">
        <v>38</v>
      </c>
      <c r="AC2208">
        <v>-23.008800000000001</v>
      </c>
      <c r="AD2208">
        <v>-1.1105123830120001</v>
      </c>
      <c r="AE2208">
        <v>-0.45900000000000302</v>
      </c>
      <c r="AF2208">
        <v>-0.84388459891843304</v>
      </c>
      <c r="AG2208">
        <v>-1.1105123830120001</v>
      </c>
      <c r="AH2208">
        <v>22.944400842598899</v>
      </c>
      <c r="AI2208">
        <v>92.769092422584293</v>
      </c>
      <c r="AJ2208">
        <v>92.1063631987912</v>
      </c>
      <c r="AK2208">
        <v>22.9867550775434</v>
      </c>
      <c r="AL2208">
        <v>78.854860182815997</v>
      </c>
      <c r="AM2208">
        <v>91.707482928496603</v>
      </c>
      <c r="AN2208">
        <v>0.99999996495991195</v>
      </c>
    </row>
    <row r="2209" spans="1:40" x14ac:dyDescent="0.25">
      <c r="A2209" t="str">
        <f>"20190312172412866"</f>
        <v>20190312172412866</v>
      </c>
      <c r="B2209" t="str">
        <f>"1552382652862673"</f>
        <v>1552382652862673</v>
      </c>
      <c r="C2209" t="s">
        <v>40</v>
      </c>
      <c r="D2209">
        <v>3.6476099999999998</v>
      </c>
      <c r="E2209">
        <v>0.49727789999999999</v>
      </c>
      <c r="F2209" t="s">
        <v>48</v>
      </c>
      <c r="G2209">
        <v>-408.96620000000001</v>
      </c>
      <c r="H2209" s="1">
        <v>4.597767E-6</v>
      </c>
      <c r="I2209">
        <v>283.78559999999999</v>
      </c>
      <c r="J2209">
        <v>-386.27879999999999</v>
      </c>
      <c r="K2209">
        <v>1.1105179999999999</v>
      </c>
      <c r="L2209">
        <v>284.24340000000001</v>
      </c>
      <c r="M2209">
        <v>-0.99974980000000002</v>
      </c>
      <c r="N2209">
        <v>0</v>
      </c>
      <c r="O2209">
        <v>1.6653569999999999E-2</v>
      </c>
      <c r="P2209">
        <v>-0.98392570000000001</v>
      </c>
      <c r="Q2209">
        <v>0.17807970000000001</v>
      </c>
      <c r="R2209">
        <v>-1.3335299999999901E-2</v>
      </c>
      <c r="S2209">
        <v>-3.0753780000000002</v>
      </c>
      <c r="T2209">
        <v>-0.14817439999999901</v>
      </c>
      <c r="U2209">
        <v>-6.0302729999999999E-2</v>
      </c>
      <c r="V2209">
        <v>-2.9793679999999999E-2</v>
      </c>
      <c r="W2209">
        <v>0.19274379999999999</v>
      </c>
      <c r="X2209">
        <v>0.98079669999999997</v>
      </c>
      <c r="Y2209">
        <v>-3.6192700000000001E-2</v>
      </c>
      <c r="Z2209">
        <v>-1.6732450000000001E-3</v>
      </c>
      <c r="AA2209">
        <v>0.99934350000000005</v>
      </c>
      <c r="AB2209">
        <v>38</v>
      </c>
      <c r="AC2209">
        <v>-22.6874</v>
      </c>
      <c r="AD2209">
        <v>-1.1105134022329901</v>
      </c>
      <c r="AE2209">
        <v>-0.45780000000002002</v>
      </c>
      <c r="AF2209">
        <v>-0.83360836303545205</v>
      </c>
      <c r="AG2209">
        <v>-1.1105134022329901</v>
      </c>
      <c r="AH2209">
        <v>22.622447904636399</v>
      </c>
      <c r="AI2209">
        <v>92.808433745010703</v>
      </c>
      <c r="AJ2209">
        <v>92.110321620371906</v>
      </c>
      <c r="AK2209">
        <v>22.665023541074198</v>
      </c>
      <c r="AL2209">
        <v>78.887047299695098</v>
      </c>
      <c r="AM2209">
        <v>91.739939930813406</v>
      </c>
      <c r="AN2209">
        <v>1.0000000012686301</v>
      </c>
    </row>
    <row r="2210" spans="1:40" x14ac:dyDescent="0.25">
      <c r="A2210" t="str">
        <f>"20190312172412890"</f>
        <v>20190312172412890</v>
      </c>
      <c r="B2210" t="str">
        <f>"1552382652882192"</f>
        <v>1552382652882192</v>
      </c>
      <c r="C2210" t="s">
        <v>40</v>
      </c>
      <c r="D2210">
        <v>3.5980910000000002</v>
      </c>
      <c r="E2210">
        <v>0.49733509999999997</v>
      </c>
      <c r="F2210" t="s">
        <v>48</v>
      </c>
      <c r="G2210">
        <v>-409.08589999999998</v>
      </c>
      <c r="H2210" s="1">
        <v>4.5428440000000003E-6</v>
      </c>
      <c r="I2210">
        <v>283.7946</v>
      </c>
      <c r="J2210">
        <v>-386.66559999999998</v>
      </c>
      <c r="K2210">
        <v>1.11052</v>
      </c>
      <c r="L2210">
        <v>284.24970000000002</v>
      </c>
      <c r="M2210">
        <v>-0.99975270000000005</v>
      </c>
      <c r="N2210">
        <v>0</v>
      </c>
      <c r="O2210">
        <v>1.6482420000000001E-2</v>
      </c>
      <c r="P2210">
        <v>-0.98390319999999998</v>
      </c>
      <c r="Q2210">
        <v>0.178153799999999</v>
      </c>
      <c r="R2210">
        <v>-1.400479E-2</v>
      </c>
      <c r="S2210">
        <v>-3.0753170000000001</v>
      </c>
      <c r="T2210">
        <v>-0.1497424</v>
      </c>
      <c r="U2210">
        <v>-6.0516359999999998E-2</v>
      </c>
      <c r="V2210">
        <v>-3.0294140000000001E-2</v>
      </c>
      <c r="W2210">
        <v>0.1928126</v>
      </c>
      <c r="X2210">
        <v>0.98076779999999997</v>
      </c>
      <c r="Y2210">
        <v>-3.6090400000000002E-2</v>
      </c>
      <c r="Z2210">
        <v>-1.6801450000000001E-3</v>
      </c>
      <c r="AA2210">
        <v>0.99934710000000004</v>
      </c>
      <c r="AB2210">
        <v>38</v>
      </c>
      <c r="AC2210">
        <v>-22.420300000000001</v>
      </c>
      <c r="AD2210">
        <v>-1.1105154571560001</v>
      </c>
      <c r="AE2210">
        <v>-0.45510000000001499</v>
      </c>
      <c r="AF2210">
        <v>-0.82260281768963495</v>
      </c>
      <c r="AG2210">
        <v>-1.1105154571560001</v>
      </c>
      <c r="AH2210">
        <v>22.354928922118901</v>
      </c>
      <c r="AI2210">
        <v>92.841997797565</v>
      </c>
      <c r="AJ2210">
        <v>92.107383757039699</v>
      </c>
      <c r="AK2210">
        <v>22.3976062803426</v>
      </c>
      <c r="AL2210">
        <v>78.883029480480104</v>
      </c>
      <c r="AM2210">
        <v>91.769200288186397</v>
      </c>
      <c r="AN2210">
        <v>0.99999995557696797</v>
      </c>
    </row>
    <row r="2211" spans="1:40" x14ac:dyDescent="0.25">
      <c r="A2211" t="str">
        <f>"20190312172412910"</f>
        <v>20190312172412910</v>
      </c>
      <c r="B2211" t="str">
        <f>"1552382652902687"</f>
        <v>1552382652902687</v>
      </c>
      <c r="C2211" t="s">
        <v>40</v>
      </c>
      <c r="D2211">
        <v>3.6357599999999999</v>
      </c>
      <c r="E2211">
        <v>0.49733749999999999</v>
      </c>
      <c r="F2211" t="s">
        <v>48</v>
      </c>
      <c r="G2211">
        <v>-409.53879999999998</v>
      </c>
      <c r="H2211" s="1">
        <v>4.3429920000000004E-6</v>
      </c>
      <c r="I2211">
        <v>283.78980000000001</v>
      </c>
      <c r="J2211">
        <v>-387.03379999999999</v>
      </c>
      <c r="K2211">
        <v>1.1105179999999999</v>
      </c>
      <c r="L2211">
        <v>284.25560000000002</v>
      </c>
      <c r="M2211">
        <v>-0.99975539999999996</v>
      </c>
      <c r="N2211">
        <v>0</v>
      </c>
      <c r="O2211">
        <v>1.6319790000000001E-2</v>
      </c>
      <c r="P2211">
        <v>-0.98384519999999998</v>
      </c>
      <c r="Q2211">
        <v>0.17844589999999999</v>
      </c>
      <c r="R2211">
        <v>-1.434714E-2</v>
      </c>
      <c r="S2211">
        <v>-3.0752259999999998</v>
      </c>
      <c r="T2211">
        <v>-0.14930560000000001</v>
      </c>
      <c r="U2211">
        <v>-6.1828609999999999E-2</v>
      </c>
      <c r="V2211">
        <v>-3.0476179999999999E-2</v>
      </c>
      <c r="W2211">
        <v>0.1930994</v>
      </c>
      <c r="X2211">
        <v>0.98070579999999996</v>
      </c>
      <c r="Y2211">
        <v>-3.6354930000000001E-2</v>
      </c>
      <c r="Z2211">
        <v>-1.673819E-3</v>
      </c>
      <c r="AA2211">
        <v>0.99933760000000005</v>
      </c>
      <c r="AB2211">
        <v>38</v>
      </c>
      <c r="AC2211">
        <v>-22.5049999999999</v>
      </c>
      <c r="AD2211">
        <v>-1.1105136570080001</v>
      </c>
      <c r="AE2211">
        <v>-0.46580000000000099</v>
      </c>
      <c r="AF2211">
        <v>-0.83103309251650803</v>
      </c>
      <c r="AG2211">
        <v>-1.1105136570080001</v>
      </c>
      <c r="AH2211">
        <v>22.439783268000301</v>
      </c>
      <c r="AI2211">
        <v>92.831239286148204</v>
      </c>
      <c r="AJ2211">
        <v>92.120917931318303</v>
      </c>
      <c r="AK2211">
        <v>22.482609494853602</v>
      </c>
      <c r="AL2211">
        <v>78.866283065327593</v>
      </c>
      <c r="AM2211">
        <v>91.779937189760503</v>
      </c>
      <c r="AN2211">
        <v>1.0000000209906901</v>
      </c>
    </row>
    <row r="2212" spans="1:40" x14ac:dyDescent="0.25">
      <c r="A2212" t="str">
        <f>"20190312172412932"</f>
        <v>20190312172412932</v>
      </c>
      <c r="B2212" t="str">
        <f>"1552382652922208"</f>
        <v>1552382652922208</v>
      </c>
      <c r="C2212" t="s">
        <v>40</v>
      </c>
      <c r="D2212">
        <v>3.63314</v>
      </c>
      <c r="E2212">
        <v>0.4974517</v>
      </c>
      <c r="F2212" t="s">
        <v>48</v>
      </c>
      <c r="G2212">
        <v>-410.11880000000002</v>
      </c>
      <c r="H2212" s="1">
        <v>2.2998130000000001E-6</v>
      </c>
      <c r="I2212">
        <v>283.78140000000002</v>
      </c>
      <c r="J2212">
        <v>-387.41090000000003</v>
      </c>
      <c r="K2212">
        <v>1.1105100000000001</v>
      </c>
      <c r="L2212">
        <v>284.26159999999999</v>
      </c>
      <c r="M2212">
        <v>-0.99975820000000004</v>
      </c>
      <c r="N2212">
        <v>0</v>
      </c>
      <c r="O2212">
        <v>1.6153109999999998E-2</v>
      </c>
      <c r="P2212">
        <v>-0.98382760000000002</v>
      </c>
      <c r="Q2212">
        <v>0.17850629999999901</v>
      </c>
      <c r="R2212">
        <v>-1.4797060000000001E-2</v>
      </c>
      <c r="S2212">
        <v>-3.0751650000000001</v>
      </c>
      <c r="T2212">
        <v>-0.14793229999999999</v>
      </c>
      <c r="U2212">
        <v>-6.3171389999999994E-2</v>
      </c>
      <c r="V2212">
        <v>-3.0762029999999999E-2</v>
      </c>
      <c r="W2212">
        <v>0.19315550000000001</v>
      </c>
      <c r="X2212">
        <v>0.98068580000000005</v>
      </c>
      <c r="Y2212">
        <v>-3.6625909999999998E-2</v>
      </c>
      <c r="Z2212">
        <v>-1.656968E-3</v>
      </c>
      <c r="AA2212">
        <v>0.99932770000000004</v>
      </c>
      <c r="AB2212">
        <v>38</v>
      </c>
      <c r="AC2212">
        <v>-22.707899999999899</v>
      </c>
      <c r="AD2212">
        <v>-1.1105077001870001</v>
      </c>
      <c r="AE2212">
        <v>-0.48019999999996799</v>
      </c>
      <c r="AF2212">
        <v>-0.84496146672352401</v>
      </c>
      <c r="AG2212">
        <v>-1.1105077001870001</v>
      </c>
      <c r="AH2212">
        <v>22.643050059068798</v>
      </c>
      <c r="AI2212">
        <v>92.805819610152</v>
      </c>
      <c r="AJ2212">
        <v>92.137091624092605</v>
      </c>
      <c r="AK2212">
        <v>22.686006770913099</v>
      </c>
      <c r="AL2212">
        <v>78.8630067932625</v>
      </c>
      <c r="AM2212">
        <v>91.796657758388605</v>
      </c>
      <c r="AN2212">
        <v>0.99999999399580497</v>
      </c>
    </row>
    <row r="2213" spans="1:40" x14ac:dyDescent="0.25">
      <c r="A2213" t="str">
        <f>"20190312172412956"</f>
        <v>20190312172412956</v>
      </c>
      <c r="B2213" t="str">
        <f>"1552382652952464"</f>
        <v>1552382652952464</v>
      </c>
      <c r="C2213" t="s">
        <v>40</v>
      </c>
      <c r="D2213">
        <v>3.649499</v>
      </c>
      <c r="E2213">
        <v>0.49765809999999999</v>
      </c>
      <c r="F2213" t="s">
        <v>48</v>
      </c>
      <c r="G2213">
        <v>-410.60770000000002</v>
      </c>
      <c r="H2213" s="1">
        <v>2.3865049999999999E-6</v>
      </c>
      <c r="I2213">
        <v>283.78179999999998</v>
      </c>
      <c r="J2213">
        <v>-387.79180000000002</v>
      </c>
      <c r="K2213">
        <v>1.1105080000000001</v>
      </c>
      <c r="L2213">
        <v>284.26760000000002</v>
      </c>
      <c r="M2213">
        <v>-0.99976080000000001</v>
      </c>
      <c r="N2213">
        <v>0</v>
      </c>
      <c r="O2213">
        <v>1.5984769999999999E-2</v>
      </c>
      <c r="P2213">
        <v>-0.98387939999999996</v>
      </c>
      <c r="Q2213">
        <v>0.17817230000000001</v>
      </c>
      <c r="R2213">
        <v>-1.5363E-2</v>
      </c>
      <c r="S2213">
        <v>-3.0750120000000001</v>
      </c>
      <c r="T2213">
        <v>-0.14721119999999999</v>
      </c>
      <c r="U2213">
        <v>-6.3598630000000003E-2</v>
      </c>
      <c r="V2213">
        <v>-3.1163030000000001E-2</v>
      </c>
      <c r="W2213">
        <v>0.19281770000000001</v>
      </c>
      <c r="X2213">
        <v>0.98073960000000004</v>
      </c>
      <c r="Y2213">
        <v>-3.6598270000000002E-2</v>
      </c>
      <c r="Z2213">
        <v>-1.640264E-3</v>
      </c>
      <c r="AA2213">
        <v>0.99932869999999996</v>
      </c>
      <c r="AB2213">
        <v>38</v>
      </c>
      <c r="AC2213">
        <v>-22.815899999999999</v>
      </c>
      <c r="AD2213">
        <v>-1.110505613495</v>
      </c>
      <c r="AE2213">
        <v>-0.48580000000003998</v>
      </c>
      <c r="AF2213">
        <v>-0.84847633720703697</v>
      </c>
      <c r="AG2213">
        <v>-1.110505613495</v>
      </c>
      <c r="AH2213">
        <v>22.751344353899601</v>
      </c>
      <c r="AI2213">
        <v>92.792482522145207</v>
      </c>
      <c r="AJ2213">
        <v>92.135768051074294</v>
      </c>
      <c r="AK2213">
        <v>22.794227442976101</v>
      </c>
      <c r="AL2213">
        <v>78.882731975057993</v>
      </c>
      <c r="AM2213">
        <v>91.819962755337997</v>
      </c>
      <c r="AN2213">
        <v>0.99999998144011504</v>
      </c>
    </row>
    <row r="2214" spans="1:40" x14ac:dyDescent="0.25">
      <c r="A2214" t="str">
        <f>"20190312172412978"</f>
        <v>20190312172412978</v>
      </c>
      <c r="B2214" t="str">
        <f>"1552382652971984"</f>
        <v>1552382652971984</v>
      </c>
      <c r="C2214" t="s">
        <v>40</v>
      </c>
      <c r="D2214">
        <v>3.6390549999999999</v>
      </c>
      <c r="E2214">
        <v>0.49775629999999998</v>
      </c>
      <c r="F2214" t="s">
        <v>48</v>
      </c>
      <c r="G2214">
        <v>-410.80990000000003</v>
      </c>
      <c r="H2214" s="1">
        <v>2.4211469999999998E-6</v>
      </c>
      <c r="I2214">
        <v>283.79590000000002</v>
      </c>
      <c r="J2214">
        <v>-388.17099999999999</v>
      </c>
      <c r="K2214">
        <v>1.110506</v>
      </c>
      <c r="L2214">
        <v>284.27350000000001</v>
      </c>
      <c r="M2214">
        <v>-0.99976370000000003</v>
      </c>
      <c r="N2214">
        <v>0</v>
      </c>
      <c r="O2214">
        <v>1.5816549999999999E-2</v>
      </c>
      <c r="P2214">
        <v>-0.98380860000000003</v>
      </c>
      <c r="Q2214">
        <v>0.1785292</v>
      </c>
      <c r="R2214">
        <v>-1.5755640000000001E-2</v>
      </c>
      <c r="S2214">
        <v>-3.075043</v>
      </c>
      <c r="T2214">
        <v>-0.14835519999999999</v>
      </c>
      <c r="U2214">
        <v>-6.30188E-2</v>
      </c>
      <c r="V2214">
        <v>-3.1389029999999998E-2</v>
      </c>
      <c r="W2214">
        <v>0.19316910000000001</v>
      </c>
      <c r="X2214">
        <v>0.98066319999999996</v>
      </c>
      <c r="Y2214">
        <v>-3.6241229999999999E-2</v>
      </c>
      <c r="Z2214">
        <v>-1.636265E-3</v>
      </c>
      <c r="AA2214">
        <v>0.9993417</v>
      </c>
      <c r="AB2214">
        <v>38</v>
      </c>
      <c r="AC2214">
        <v>-22.6389</v>
      </c>
      <c r="AD2214">
        <v>-1.110503578853</v>
      </c>
      <c r="AE2214">
        <v>-0.47759999999999497</v>
      </c>
      <c r="AF2214">
        <v>-0.83364434690311096</v>
      </c>
      <c r="AG2214">
        <v>-1.110503578853</v>
      </c>
      <c r="AH2214">
        <v>22.5742190413137</v>
      </c>
      <c r="AI2214">
        <v>92.814391038211397</v>
      </c>
      <c r="AJ2214">
        <v>92.114917350153405</v>
      </c>
      <c r="AK2214">
        <v>22.616886311359899</v>
      </c>
      <c r="AL2214">
        <v>78.862212028520503</v>
      </c>
      <c r="AM2214">
        <v>91.833295202458601</v>
      </c>
      <c r="AN2214">
        <v>0.99999994211669296</v>
      </c>
    </row>
    <row r="2215" spans="1:40" x14ac:dyDescent="0.25">
      <c r="A2215" t="str">
        <f>"20190312172413000"</f>
        <v>20190312172413000</v>
      </c>
      <c r="B2215" t="str">
        <f>"1552382652992484"</f>
        <v>1552382652992484</v>
      </c>
      <c r="C2215" t="s">
        <v>40</v>
      </c>
      <c r="D2215">
        <v>3.6480480000000002</v>
      </c>
      <c r="E2215">
        <v>0.49783820000000001</v>
      </c>
      <c r="F2215" t="s">
        <v>48</v>
      </c>
      <c r="G2215">
        <v>-411.43720000000002</v>
      </c>
      <c r="H2215" s="1">
        <v>2.5324020000000002E-6</v>
      </c>
      <c r="I2215">
        <v>283.79599999999999</v>
      </c>
      <c r="J2215">
        <v>-388.54180000000002</v>
      </c>
      <c r="K2215">
        <v>1.110514</v>
      </c>
      <c r="L2215">
        <v>284.27910000000003</v>
      </c>
      <c r="M2215">
        <v>-0.99976620000000005</v>
      </c>
      <c r="N2215">
        <v>0</v>
      </c>
      <c r="O2215">
        <v>1.5651559999999998E-2</v>
      </c>
      <c r="P2215">
        <v>-0.98377170000000003</v>
      </c>
      <c r="Q2215">
        <v>0.17871219999999999</v>
      </c>
      <c r="R2215">
        <v>-1.5968010000000001E-2</v>
      </c>
      <c r="S2215">
        <v>-3.0749819999999999</v>
      </c>
      <c r="T2215">
        <v>-0.14677000000000001</v>
      </c>
      <c r="U2215">
        <v>-6.3110349999999996E-2</v>
      </c>
      <c r="V2215">
        <v>-3.143841E-2</v>
      </c>
      <c r="W2215">
        <v>0.19334779999999999</v>
      </c>
      <c r="X2215">
        <v>0.98062649999999996</v>
      </c>
      <c r="Y2215">
        <v>-3.6108069999999999E-2</v>
      </c>
      <c r="Z2215">
        <v>-1.6077859999999999E-3</v>
      </c>
      <c r="AA2215">
        <v>0.99934659999999997</v>
      </c>
      <c r="AB2215">
        <v>38</v>
      </c>
      <c r="AC2215">
        <v>-22.895399999999899</v>
      </c>
      <c r="AD2215">
        <v>-1.1105114675979999</v>
      </c>
      <c r="AE2215">
        <v>-0.483100000000035</v>
      </c>
      <c r="AF2215">
        <v>-0.83945539257614898</v>
      </c>
      <c r="AG2215">
        <v>-1.1105114675979999</v>
      </c>
      <c r="AH2215">
        <v>22.831343431002701</v>
      </c>
      <c r="AI2215">
        <v>92.782781975856693</v>
      </c>
      <c r="AJ2215">
        <v>92.1056840207102</v>
      </c>
      <c r="AK2215">
        <v>22.873743986068</v>
      </c>
      <c r="AL2215">
        <v>78.851777634374599</v>
      </c>
      <c r="AM2215">
        <v>91.836245970357993</v>
      </c>
      <c r="AN2215">
        <v>1.0000000389452</v>
      </c>
    </row>
    <row r="2216" spans="1:40" x14ac:dyDescent="0.25">
      <c r="A2216" t="str">
        <f>"20190312172413022"</f>
        <v>20190312172413022</v>
      </c>
      <c r="B2216" t="str">
        <f>"1552382653012000"</f>
        <v>1552382653012000</v>
      </c>
      <c r="C2216" t="s">
        <v>40</v>
      </c>
      <c r="D2216">
        <v>3.6300530000000002</v>
      </c>
      <c r="E2216">
        <v>0.49792150000000002</v>
      </c>
      <c r="F2216" t="s">
        <v>48</v>
      </c>
      <c r="G2216">
        <v>-411.89620000000002</v>
      </c>
      <c r="H2216" s="1">
        <v>2.6136939999999999E-6</v>
      </c>
      <c r="I2216">
        <v>283.79750000000001</v>
      </c>
      <c r="J2216">
        <v>-388.91149999999999</v>
      </c>
      <c r="K2216">
        <v>1.1105160000000001</v>
      </c>
      <c r="L2216">
        <v>284.28480000000002</v>
      </c>
      <c r="M2216">
        <v>-0.99976900000000002</v>
      </c>
      <c r="N2216">
        <v>0</v>
      </c>
      <c r="O2216">
        <v>1.548715E-2</v>
      </c>
      <c r="P2216">
        <v>-0.98380369999999995</v>
      </c>
      <c r="Q2216">
        <v>0.17851900000000001</v>
      </c>
      <c r="R2216">
        <v>-1.617058E-2</v>
      </c>
      <c r="S2216">
        <v>-3.0750120000000001</v>
      </c>
      <c r="T2216">
        <v>-0.14621779999999901</v>
      </c>
      <c r="U2216">
        <v>-6.3415529999999998E-2</v>
      </c>
      <c r="V2216">
        <v>-3.1479390000000003E-2</v>
      </c>
      <c r="W2216">
        <v>0.19315089999999999</v>
      </c>
      <c r="X2216">
        <v>0.98066399999999998</v>
      </c>
      <c r="Y2216">
        <v>-3.604338E-2</v>
      </c>
      <c r="Z2216">
        <v>-1.5923770000000001E-3</v>
      </c>
      <c r="AA2216">
        <v>0.99934889999999998</v>
      </c>
      <c r="AB2216">
        <v>38</v>
      </c>
      <c r="AC2216">
        <v>-22.9847</v>
      </c>
      <c r="AD2216">
        <v>-1.1105133863059999</v>
      </c>
      <c r="AE2216">
        <v>-0.48730000000000401</v>
      </c>
      <c r="AF2216">
        <v>-0.84128558556901001</v>
      </c>
      <c r="AG2216">
        <v>-1.1105133863059999</v>
      </c>
      <c r="AH2216">
        <v>22.920913154622902</v>
      </c>
      <c r="AI2216">
        <v>92.771935752025996</v>
      </c>
      <c r="AJ2216">
        <v>92.102031671218796</v>
      </c>
      <c r="AK2216">
        <v>22.963215394613599</v>
      </c>
      <c r="AL2216">
        <v>78.8632760612645</v>
      </c>
      <c r="AM2216">
        <v>91.838567616911902</v>
      </c>
      <c r="AN2216">
        <v>1.0000000515307801</v>
      </c>
    </row>
    <row r="2217" spans="1:40" x14ac:dyDescent="0.25">
      <c r="A2217" t="str">
        <f>"20190312172413034"</f>
        <v>20190312172413034</v>
      </c>
      <c r="B2217" t="str">
        <f>"1552382653021761"</f>
        <v>1552382653021761</v>
      </c>
      <c r="C2217" t="s">
        <v>40</v>
      </c>
      <c r="D2217">
        <v>3.628018</v>
      </c>
      <c r="E2217">
        <v>0.49794519999999998</v>
      </c>
      <c r="F2217" t="s">
        <v>48</v>
      </c>
      <c r="G2217">
        <v>-412.17520000000002</v>
      </c>
      <c r="H2217" s="1">
        <v>2.6621420000000002E-6</v>
      </c>
      <c r="I2217">
        <v>283.80939999999998</v>
      </c>
      <c r="J2217">
        <v>-389.1268</v>
      </c>
      <c r="K2217">
        <v>1.1105149999999999</v>
      </c>
      <c r="L2217">
        <v>284.28809999999999</v>
      </c>
      <c r="M2217">
        <v>-0.99977050000000001</v>
      </c>
      <c r="N2217">
        <v>0</v>
      </c>
      <c r="O2217">
        <v>1.539134E-2</v>
      </c>
      <c r="P2217">
        <v>-0.98374760000000006</v>
      </c>
      <c r="Q2217">
        <v>0.17880509999999999</v>
      </c>
      <c r="R2217">
        <v>-1.6418390000000001E-2</v>
      </c>
      <c r="S2217">
        <v>-3.0750120000000001</v>
      </c>
      <c r="T2217">
        <v>-0.14678849999999999</v>
      </c>
      <c r="U2217">
        <v>-6.283569E-2</v>
      </c>
      <c r="V2217">
        <v>-3.1632380000000002E-2</v>
      </c>
      <c r="W2217">
        <v>0.19343299999999999</v>
      </c>
      <c r="X2217">
        <v>0.98060340000000001</v>
      </c>
      <c r="Y2217">
        <v>-3.575921E-2</v>
      </c>
      <c r="Z2217">
        <v>-1.5872379999999999E-3</v>
      </c>
      <c r="AA2217">
        <v>0.9993592</v>
      </c>
      <c r="AB2217">
        <v>38</v>
      </c>
      <c r="AC2217">
        <v>-23.048400000000001</v>
      </c>
      <c r="AD2217">
        <v>-1.110512337858</v>
      </c>
      <c r="AE2217">
        <v>-0.47870000000000301</v>
      </c>
      <c r="AF2217">
        <v>-0.83149896032265103</v>
      </c>
      <c r="AG2217">
        <v>-1.110512337858</v>
      </c>
      <c r="AH2217">
        <v>22.984964412636799</v>
      </c>
      <c r="AI2217">
        <v>92.764273742135401</v>
      </c>
      <c r="AJ2217">
        <v>92.071815905144803</v>
      </c>
      <c r="AK2217">
        <v>23.026793463783299</v>
      </c>
      <c r="AL2217">
        <v>78.846801445593599</v>
      </c>
      <c r="AM2217">
        <v>91.8476109814778</v>
      </c>
      <c r="AN2217">
        <v>0.99999998052251204</v>
      </c>
    </row>
    <row r="2218" spans="1:40" x14ac:dyDescent="0.25">
      <c r="A2218" t="str">
        <f>"20190312172413047"</f>
        <v>20190312172413047</v>
      </c>
      <c r="B2218" t="str">
        <f>"1552382653042256"</f>
        <v>1552382653042256</v>
      </c>
      <c r="C2218" t="s">
        <v>40</v>
      </c>
      <c r="D2218">
        <v>3.6415440000000001</v>
      </c>
      <c r="E2218">
        <v>0.49803059999999899</v>
      </c>
      <c r="F2218" t="s">
        <v>48</v>
      </c>
      <c r="G2218">
        <v>-412.52229999999997</v>
      </c>
      <c r="H2218" s="1">
        <v>2.7239840000000001E-6</v>
      </c>
      <c r="I2218">
        <v>283.80630000000002</v>
      </c>
      <c r="J2218">
        <v>-389.32979999999998</v>
      </c>
      <c r="K2218">
        <v>1.1105149999999999</v>
      </c>
      <c r="L2218">
        <v>284.29109999999997</v>
      </c>
      <c r="M2218">
        <v>-0.99977199999999999</v>
      </c>
      <c r="N2218">
        <v>0</v>
      </c>
      <c r="O2218">
        <v>1.530106E-2</v>
      </c>
      <c r="P2218">
        <v>-0.98369960000000001</v>
      </c>
      <c r="Q2218">
        <v>0.17906449999999999</v>
      </c>
      <c r="R2218">
        <v>-1.6477309999999998E-2</v>
      </c>
      <c r="S2218">
        <v>-3.0750120000000001</v>
      </c>
      <c r="T2218">
        <v>-0.14596129999999999</v>
      </c>
      <c r="U2218">
        <v>-6.3323969999999993E-2</v>
      </c>
      <c r="V2218">
        <v>-3.1601289999999997E-2</v>
      </c>
      <c r="W2218">
        <v>0.1936898</v>
      </c>
      <c r="X2218">
        <v>0.98055369999999997</v>
      </c>
      <c r="Y2218">
        <v>-3.5828270000000002E-2</v>
      </c>
      <c r="Z2218">
        <v>-1.5756559999999999E-3</v>
      </c>
      <c r="AA2218">
        <v>0.99935669999999999</v>
      </c>
      <c r="AB2218">
        <v>38</v>
      </c>
      <c r="AC2218">
        <v>-23.1924999999999</v>
      </c>
      <c r="AD2218">
        <v>-1.110512276016</v>
      </c>
      <c r="AE2218">
        <v>-0.48479999999994999</v>
      </c>
      <c r="AF2218">
        <v>-0.83773258308177201</v>
      </c>
      <c r="AG2218">
        <v>-1.110512276016</v>
      </c>
      <c r="AH2218">
        <v>23.129359464900102</v>
      </c>
      <c r="AI2218">
        <v>92.747038599373994</v>
      </c>
      <c r="AJ2218">
        <v>92.074314639572705</v>
      </c>
      <c r="AK2218">
        <v>23.171152380762202</v>
      </c>
      <c r="AL2218">
        <v>78.831804138668602</v>
      </c>
      <c r="AM2218">
        <v>91.845889797714605</v>
      </c>
      <c r="AN2218">
        <v>0.99999996936869595</v>
      </c>
    </row>
    <row r="2219" spans="1:40" x14ac:dyDescent="0.25">
      <c r="A2219" t="str">
        <f>"20190312172413067"</f>
        <v>20190312172413067</v>
      </c>
      <c r="B2219" t="str">
        <f>"1552382653061780"</f>
        <v>1552382653061780</v>
      </c>
      <c r="C2219" t="s">
        <v>40</v>
      </c>
      <c r="D2219">
        <v>3.6440999999999999</v>
      </c>
      <c r="E2219">
        <v>0.49808980000000003</v>
      </c>
      <c r="F2219" t="s">
        <v>48</v>
      </c>
      <c r="G2219">
        <v>-412.8177</v>
      </c>
      <c r="H2219" s="1">
        <v>2.7761660000000001E-6</v>
      </c>
      <c r="I2219">
        <v>283.80880000000002</v>
      </c>
      <c r="J2219">
        <v>-389.67180000000002</v>
      </c>
      <c r="K2219">
        <v>1.110517</v>
      </c>
      <c r="L2219">
        <v>284.2962</v>
      </c>
      <c r="M2219">
        <v>-0.9997743</v>
      </c>
      <c r="N2219">
        <v>0</v>
      </c>
      <c r="O2219">
        <v>1.5148989999999999E-2</v>
      </c>
      <c r="P2219">
        <v>-0.98373350000000004</v>
      </c>
      <c r="Q2219">
        <v>0.17887410000000001</v>
      </c>
      <c r="R2219">
        <v>-1.6511999999999999E-2</v>
      </c>
      <c r="S2219">
        <v>-3.0751339999999998</v>
      </c>
      <c r="T2219">
        <v>-0.1453924</v>
      </c>
      <c r="U2219">
        <v>-6.3140870000000002E-2</v>
      </c>
      <c r="V2219">
        <v>-3.1487029999999999E-2</v>
      </c>
      <c r="W2219">
        <v>0.1934961</v>
      </c>
      <c r="X2219">
        <v>0.98059560000000001</v>
      </c>
      <c r="Y2219">
        <v>-3.5616830000000002E-2</v>
      </c>
      <c r="Z2219">
        <v>-1.5572800000000001E-3</v>
      </c>
      <c r="AA2219">
        <v>0.99936429999999998</v>
      </c>
      <c r="AB2219">
        <v>38</v>
      </c>
      <c r="AC2219">
        <v>-23.145899999999902</v>
      </c>
      <c r="AD2219">
        <v>-1.110514223834</v>
      </c>
      <c r="AE2219">
        <v>-0.48739999999997902</v>
      </c>
      <c r="AF2219">
        <v>-0.83609614982372704</v>
      </c>
      <c r="AG2219">
        <v>-1.110514223834</v>
      </c>
      <c r="AH2219">
        <v>23.0827466295618</v>
      </c>
      <c r="AI2219">
        <v>92.752581988277598</v>
      </c>
      <c r="AJ2219">
        <v>92.074443191891504</v>
      </c>
      <c r="AK2219">
        <v>23.124564657040299</v>
      </c>
      <c r="AL2219">
        <v>78.843116143017497</v>
      </c>
      <c r="AM2219">
        <v>91.839141717691604</v>
      </c>
      <c r="AN2219">
        <v>0.99999995225639404</v>
      </c>
    </row>
    <row r="2220" spans="1:40" x14ac:dyDescent="0.25">
      <c r="A2220" t="str">
        <f>"20190312172413082"</f>
        <v>20190312172413082</v>
      </c>
      <c r="B2220" t="str">
        <f>"1552382653072513"</f>
        <v>1552382653072513</v>
      </c>
      <c r="C2220" t="s">
        <v>40</v>
      </c>
      <c r="D2220">
        <v>3.5979070000000002</v>
      </c>
      <c r="E2220">
        <v>0.4981083</v>
      </c>
      <c r="F2220" t="s">
        <v>48</v>
      </c>
      <c r="G2220">
        <v>-413.0772</v>
      </c>
      <c r="H2220" s="1">
        <v>2.8213770000000002E-6</v>
      </c>
      <c r="I2220">
        <v>283.81819999999999</v>
      </c>
      <c r="J2220">
        <v>-389.92290000000003</v>
      </c>
      <c r="K2220">
        <v>1.1105119999999999</v>
      </c>
      <c r="L2220">
        <v>284.29989999999998</v>
      </c>
      <c r="M2220">
        <v>-0.999776</v>
      </c>
      <c r="N2220">
        <v>0</v>
      </c>
      <c r="O2220">
        <v>1.503708E-2</v>
      </c>
      <c r="P2220">
        <v>-0.98364479999999999</v>
      </c>
      <c r="Q2220">
        <v>0.17934359999999999</v>
      </c>
      <c r="R2220">
        <v>-1.670168E-2</v>
      </c>
      <c r="S2220">
        <v>-3.075043</v>
      </c>
      <c r="T2220">
        <v>-0.14590139999999999</v>
      </c>
      <c r="U2220">
        <v>-6.2805180000000002E-2</v>
      </c>
      <c r="V2220">
        <v>-3.156544E-2</v>
      </c>
      <c r="W2220">
        <v>0.1939611</v>
      </c>
      <c r="X2220">
        <v>0.98050119999999996</v>
      </c>
      <c r="Y2220">
        <v>-3.5396499999999997E-2</v>
      </c>
      <c r="Z2220">
        <v>-1.5522439999999999E-3</v>
      </c>
      <c r="AA2220">
        <v>0.99937209999999999</v>
      </c>
      <c r="AB2220">
        <v>38</v>
      </c>
      <c r="AC2220">
        <v>-23.1542999999999</v>
      </c>
      <c r="AD2220">
        <v>-1.1105091786229999</v>
      </c>
      <c r="AE2220">
        <v>-0.48169999999998903</v>
      </c>
      <c r="AF2220">
        <v>-0.82795350963050496</v>
      </c>
      <c r="AG2220">
        <v>-1.1105091786229999</v>
      </c>
      <c r="AH2220">
        <v>23.091343740486899</v>
      </c>
      <c r="AI2220">
        <v>92.751582473399296</v>
      </c>
      <c r="AJ2220">
        <v>92.0534936688817</v>
      </c>
      <c r="AK2220">
        <v>23.132853118265398</v>
      </c>
      <c r="AL2220">
        <v>78.815959027892802</v>
      </c>
      <c r="AM2220">
        <v>91.843895835343204</v>
      </c>
      <c r="AN2220">
        <v>0.99999994425852001</v>
      </c>
    </row>
    <row r="2221" spans="1:40" x14ac:dyDescent="0.25">
      <c r="A2221" t="str">
        <f>"20190312172413101"</f>
        <v>20190312172413101</v>
      </c>
      <c r="B2221" t="str">
        <f>"1552382653092032"</f>
        <v>1552382653092032</v>
      </c>
      <c r="C2221" t="s">
        <v>40</v>
      </c>
      <c r="D2221">
        <v>3.6041569999999998</v>
      </c>
      <c r="E2221">
        <v>0.49810900000000002</v>
      </c>
      <c r="F2221" t="s">
        <v>48</v>
      </c>
      <c r="G2221">
        <v>-413.55509999999998</v>
      </c>
      <c r="H2221" s="1">
        <v>2.906721E-6</v>
      </c>
      <c r="I2221">
        <v>283.8116</v>
      </c>
      <c r="J2221">
        <v>-390.24189999999999</v>
      </c>
      <c r="K2221">
        <v>1.110517</v>
      </c>
      <c r="L2221">
        <v>284.30459999999999</v>
      </c>
      <c r="M2221">
        <v>-0.99977819999999995</v>
      </c>
      <c r="N2221">
        <v>0</v>
      </c>
      <c r="O2221">
        <v>1.4895739999999999E-2</v>
      </c>
      <c r="P2221">
        <v>-0.98373250000000001</v>
      </c>
      <c r="Q2221">
        <v>0.17884729999999999</v>
      </c>
      <c r="R2221">
        <v>-1.685331E-2</v>
      </c>
      <c r="S2221">
        <v>-3.0751650000000001</v>
      </c>
      <c r="T2221">
        <v>-0.144506</v>
      </c>
      <c r="U2221">
        <v>-6.35376E-2</v>
      </c>
      <c r="V2221">
        <v>-3.1579349999999999E-2</v>
      </c>
      <c r="W2221">
        <v>0.19346340000000001</v>
      </c>
      <c r="X2221">
        <v>0.98059909999999995</v>
      </c>
      <c r="Y2221">
        <v>-3.5493459999999998E-2</v>
      </c>
      <c r="Z2221">
        <v>-1.5329880000000001E-3</v>
      </c>
      <c r="AA2221">
        <v>0.9993687</v>
      </c>
      <c r="AB2221">
        <v>38</v>
      </c>
      <c r="AC2221">
        <v>-23.313199999999899</v>
      </c>
      <c r="AD2221">
        <v>-1.1105140932790001</v>
      </c>
      <c r="AE2221">
        <v>-0.492999999999995</v>
      </c>
      <c r="AF2221">
        <v>-0.83834974328413403</v>
      </c>
      <c r="AG2221">
        <v>-1.1105140932790001</v>
      </c>
      <c r="AH2221">
        <v>23.2505353842764</v>
      </c>
      <c r="AI2221">
        <v>92.732763927817103</v>
      </c>
      <c r="AJ2221">
        <v>92.065032086797899</v>
      </c>
      <c r="AK2221">
        <v>23.292133167636798</v>
      </c>
      <c r="AL2221">
        <v>78.845025985274901</v>
      </c>
      <c r="AM2221">
        <v>91.844523784265107</v>
      </c>
      <c r="AN2221">
        <v>0.99999996870339503</v>
      </c>
    </row>
    <row r="2222" spans="1:40" x14ac:dyDescent="0.25">
      <c r="A2222" t="str">
        <f>"20190312172413123"</f>
        <v>20190312172413123</v>
      </c>
      <c r="B2222" t="str">
        <f>"1552382653112528"</f>
        <v>1552382653112528</v>
      </c>
      <c r="C2222" t="s">
        <v>40</v>
      </c>
      <c r="D2222">
        <v>3.6419920000000001</v>
      </c>
      <c r="E2222">
        <v>0.49815609999999999</v>
      </c>
      <c r="F2222" t="s">
        <v>48</v>
      </c>
      <c r="G2222">
        <v>-413.6764</v>
      </c>
      <c r="H2222" s="1">
        <v>2.9278339999999998E-6</v>
      </c>
      <c r="I2222">
        <v>283.81619999999998</v>
      </c>
      <c r="J2222">
        <v>-390.60809999999998</v>
      </c>
      <c r="K2222">
        <v>1.1105229999999999</v>
      </c>
      <c r="L2222">
        <v>284.3098</v>
      </c>
      <c r="M2222">
        <v>-0.99978049999999996</v>
      </c>
      <c r="N2222">
        <v>0</v>
      </c>
      <c r="O2222">
        <v>1.473236E-2</v>
      </c>
      <c r="P2222">
        <v>-0.98373630000000001</v>
      </c>
      <c r="Q2222">
        <v>0.17883170000000001</v>
      </c>
      <c r="R2222">
        <v>-1.6800079999999998E-2</v>
      </c>
      <c r="S2222">
        <v>-3.0750120000000001</v>
      </c>
      <c r="T2222">
        <v>-0.1457185</v>
      </c>
      <c r="U2222">
        <v>-6.4086909999999997E-2</v>
      </c>
      <c r="V2222">
        <v>-3.136531E-2</v>
      </c>
      <c r="W2222">
        <v>0.19344420000000001</v>
      </c>
      <c r="X2222">
        <v>0.98060979999999998</v>
      </c>
      <c r="Y2222">
        <v>-3.550884E-2</v>
      </c>
      <c r="Z2222">
        <v>-1.5385360000000001E-3</v>
      </c>
      <c r="AA2222">
        <v>0.99936820000000004</v>
      </c>
      <c r="AB2222">
        <v>38</v>
      </c>
      <c r="AC2222">
        <v>-23.068300000000001</v>
      </c>
      <c r="AD2222">
        <v>-1.110520072166</v>
      </c>
      <c r="AE2222">
        <v>-0.49360000000001403</v>
      </c>
      <c r="AF2222">
        <v>-0.83150848613029704</v>
      </c>
      <c r="AG2222">
        <v>-1.110520072166</v>
      </c>
      <c r="AH2222">
        <v>23.0052327471412</v>
      </c>
      <c r="AI2222">
        <v>92.761864440504397</v>
      </c>
      <c r="AJ2222">
        <v>92.070015852300898</v>
      </c>
      <c r="AK2222">
        <v>23.0470257287861</v>
      </c>
      <c r="AL2222">
        <v>78.8461477179778</v>
      </c>
      <c r="AM2222">
        <v>91.832010456278198</v>
      </c>
      <c r="AN2222">
        <v>1.00000001052053</v>
      </c>
    </row>
    <row r="2223" spans="1:40" x14ac:dyDescent="0.25">
      <c r="A2223" t="str">
        <f>"20190312172413145"</f>
        <v>20190312172413145</v>
      </c>
      <c r="B2223" t="str">
        <f>"1552382653142785"</f>
        <v>1552382653142785</v>
      </c>
      <c r="C2223" t="s">
        <v>40</v>
      </c>
      <c r="D2223">
        <v>3.6269179999999999</v>
      </c>
      <c r="E2223">
        <v>0.49823250000000002</v>
      </c>
      <c r="F2223" t="s">
        <v>48</v>
      </c>
      <c r="G2223">
        <v>-414.01170000000002</v>
      </c>
      <c r="H2223" s="1">
        <v>2.9865410000000002E-6</v>
      </c>
      <c r="I2223">
        <v>283.82490000000001</v>
      </c>
      <c r="J2223">
        <v>-390.97329999999999</v>
      </c>
      <c r="K2223">
        <v>1.110527</v>
      </c>
      <c r="L2223">
        <v>284.31509999999997</v>
      </c>
      <c r="M2223">
        <v>-0.99978319999999998</v>
      </c>
      <c r="N2223">
        <v>0</v>
      </c>
      <c r="O2223">
        <v>1.4569210000000001E-2</v>
      </c>
      <c r="P2223">
        <v>-0.98369010000000001</v>
      </c>
      <c r="Q2223">
        <v>0.17908579999999999</v>
      </c>
      <c r="R2223">
        <v>-1.6808739999999999E-2</v>
      </c>
      <c r="S2223">
        <v>-3.075043</v>
      </c>
      <c r="T2223">
        <v>-0.14591379999999901</v>
      </c>
      <c r="U2223">
        <v>-6.3720700000000005E-2</v>
      </c>
      <c r="V2223">
        <v>-3.121225E-2</v>
      </c>
      <c r="W2223">
        <v>0.19369400000000001</v>
      </c>
      <c r="X2223">
        <v>0.98056540000000003</v>
      </c>
      <c r="Y2223">
        <v>-3.5226929999999997E-2</v>
      </c>
      <c r="Z2223">
        <v>-1.526162E-3</v>
      </c>
      <c r="AA2223">
        <v>0.99937810000000005</v>
      </c>
      <c r="AB2223">
        <v>37</v>
      </c>
      <c r="AC2223">
        <v>-23.038399999999999</v>
      </c>
      <c r="AD2223">
        <v>-1.110524013459</v>
      </c>
      <c r="AE2223">
        <v>-0.490199999999958</v>
      </c>
      <c r="AF2223">
        <v>-0.82392283618867201</v>
      </c>
      <c r="AG2223">
        <v>-1.110524013459</v>
      </c>
      <c r="AH2223">
        <v>22.975451264407798</v>
      </c>
      <c r="AI2223">
        <v>92.765476826709204</v>
      </c>
      <c r="AJ2223">
        <v>92.053804290148094</v>
      </c>
      <c r="AK2223">
        <v>23.017025725050601</v>
      </c>
      <c r="AL2223">
        <v>78.8315596155104</v>
      </c>
      <c r="AM2223">
        <v>91.823158944558799</v>
      </c>
      <c r="AN2223">
        <v>1.00000003693161</v>
      </c>
    </row>
    <row r="2224" spans="1:40" x14ac:dyDescent="0.25">
      <c r="A2224" t="str">
        <f>"20190312172413168"</f>
        <v>20190312172413168</v>
      </c>
      <c r="B2224" t="str">
        <f>"1552382653162307"</f>
        <v>1552382653162307</v>
      </c>
      <c r="C2224" t="s">
        <v>40</v>
      </c>
      <c r="D2224">
        <v>3.656412</v>
      </c>
      <c r="E2224">
        <v>0.4982607</v>
      </c>
      <c r="F2224" t="s">
        <v>48</v>
      </c>
      <c r="G2224">
        <v>-414.49239999999998</v>
      </c>
      <c r="H2224" s="1">
        <v>3.0712060000000001E-6</v>
      </c>
      <c r="I2224">
        <v>283.83190000000002</v>
      </c>
      <c r="J2224">
        <v>-391.34570000000002</v>
      </c>
      <c r="K2224">
        <v>1.110527</v>
      </c>
      <c r="L2224">
        <v>284.32040000000001</v>
      </c>
      <c r="M2224">
        <v>-0.99978540000000005</v>
      </c>
      <c r="N2224">
        <v>0</v>
      </c>
      <c r="O2224">
        <v>1.440373E-2</v>
      </c>
      <c r="P2224">
        <v>-0.98361639999999995</v>
      </c>
      <c r="Q2224">
        <v>0.17950759999999999</v>
      </c>
      <c r="R2224">
        <v>-1.661033E-2</v>
      </c>
      <c r="S2224">
        <v>-3.0751040000000001</v>
      </c>
      <c r="T2224">
        <v>-0.1452001</v>
      </c>
      <c r="U2224">
        <v>-6.3171389999999994E-2</v>
      </c>
      <c r="V2224">
        <v>-3.085009E-2</v>
      </c>
      <c r="W2224">
        <v>0.1941108</v>
      </c>
      <c r="X2224">
        <v>0.98049439999999999</v>
      </c>
      <c r="Y2224">
        <v>-3.4883780000000003E-2</v>
      </c>
      <c r="Z2224">
        <v>-1.50277299999999E-3</v>
      </c>
      <c r="AA2224">
        <v>0.99939020000000001</v>
      </c>
      <c r="AB2224">
        <v>37</v>
      </c>
      <c r="AC2224">
        <v>-23.1466999999999</v>
      </c>
      <c r="AD2224">
        <v>-1.1105239287940001</v>
      </c>
      <c r="AE2224">
        <v>-0.488499999999987</v>
      </c>
      <c r="AF2224">
        <v>-0.81999841468131596</v>
      </c>
      <c r="AG2224">
        <v>-1.1105239287940001</v>
      </c>
      <c r="AH2224">
        <v>23.084148576257199</v>
      </c>
      <c r="AI2224">
        <v>92.752507968587494</v>
      </c>
      <c r="AJ2224">
        <v>92.034413441296707</v>
      </c>
      <c r="AK2224">
        <v>23.125388132682701</v>
      </c>
      <c r="AL2224">
        <v>78.807216303930602</v>
      </c>
      <c r="AM2224">
        <v>91.8021490141073</v>
      </c>
      <c r="AN2224">
        <v>0.99999999958050401</v>
      </c>
    </row>
    <row r="2225" spans="1:40" x14ac:dyDescent="0.25">
      <c r="A2225" t="str">
        <f>"20190312172413190"</f>
        <v>20190312172413190</v>
      </c>
      <c r="B2225" t="str">
        <f>"1552382653181828"</f>
        <v>1552382653181828</v>
      </c>
      <c r="C2225" t="s">
        <v>40</v>
      </c>
      <c r="D2225">
        <v>3.5891130000000002</v>
      </c>
      <c r="E2225">
        <v>0.49878349999999999</v>
      </c>
      <c r="F2225" t="s">
        <v>48</v>
      </c>
      <c r="G2225">
        <v>-415.0609</v>
      </c>
      <c r="H2225" s="1">
        <v>3.1716959999999999E-6</v>
      </c>
      <c r="I2225">
        <v>283.83600000000001</v>
      </c>
      <c r="J2225">
        <v>-391.72949999999997</v>
      </c>
      <c r="K2225">
        <v>1.1105259999999999</v>
      </c>
      <c r="L2225">
        <v>284.32569999999998</v>
      </c>
      <c r="M2225">
        <v>-0.99978809999999996</v>
      </c>
      <c r="N2225">
        <v>0</v>
      </c>
      <c r="O2225">
        <v>1.423277E-2</v>
      </c>
      <c r="P2225">
        <v>-0.98355179999999998</v>
      </c>
      <c r="Q2225">
        <v>0.17984429999999901</v>
      </c>
      <c r="R2225">
        <v>-1.679402E-2</v>
      </c>
      <c r="S2225">
        <v>-3.0751650000000001</v>
      </c>
      <c r="T2225">
        <v>-0.14400180000000001</v>
      </c>
      <c r="U2225">
        <v>-6.2805180000000002E-2</v>
      </c>
      <c r="V2225">
        <v>-3.0864860000000001E-2</v>
      </c>
      <c r="W2225">
        <v>0.194442</v>
      </c>
      <c r="X2225">
        <v>0.98042830000000003</v>
      </c>
      <c r="Y2225">
        <v>-3.459491E-2</v>
      </c>
      <c r="Z2225">
        <v>-1.475596E-3</v>
      </c>
      <c r="AA2225">
        <v>0.99940030000000002</v>
      </c>
      <c r="AB2225">
        <v>37</v>
      </c>
      <c r="AC2225">
        <v>-23.331399999999999</v>
      </c>
      <c r="AD2225">
        <v>-1.1105228283040001</v>
      </c>
      <c r="AE2225">
        <v>-0.48969999999996999</v>
      </c>
      <c r="AF2225">
        <v>-0.81990085982182204</v>
      </c>
      <c r="AG2225">
        <v>-1.1105228283040001</v>
      </c>
      <c r="AH2225">
        <v>23.2693709808932</v>
      </c>
      <c r="AI2225">
        <v>92.730656453008095</v>
      </c>
      <c r="AJ2225">
        <v>92.017993202549704</v>
      </c>
      <c r="AK2225">
        <v>23.310279368093301</v>
      </c>
      <c r="AL2225">
        <v>78.787871263844707</v>
      </c>
      <c r="AM2225">
        <v>91.803132731833401</v>
      </c>
      <c r="AN2225">
        <v>0.99999999119385397</v>
      </c>
    </row>
    <row r="2226" spans="1:40" x14ac:dyDescent="0.25">
      <c r="A2226" t="str">
        <f>"20190312172413211"</f>
        <v>20190312172413211</v>
      </c>
      <c r="B2226" t="str">
        <f>"1552382653202320"</f>
        <v>1552382653202320</v>
      </c>
      <c r="C2226" t="s">
        <v>40</v>
      </c>
      <c r="D2226">
        <v>3.7194470000000002</v>
      </c>
      <c r="E2226">
        <v>0.54089330000000002</v>
      </c>
      <c r="F2226" t="s">
        <v>48</v>
      </c>
      <c r="G2226">
        <v>-415.35520000000002</v>
      </c>
      <c r="H2226" s="1">
        <v>3.220819E-6</v>
      </c>
      <c r="I2226">
        <v>283.87119999999999</v>
      </c>
      <c r="J2226">
        <v>-392.08179999999999</v>
      </c>
      <c r="K2226">
        <v>1.110525</v>
      </c>
      <c r="L2226">
        <v>284.3306</v>
      </c>
      <c r="M2226">
        <v>-0.99979039999999997</v>
      </c>
      <c r="N2226">
        <v>0</v>
      </c>
      <c r="O2226">
        <v>1.407593E-2</v>
      </c>
      <c r="P2226">
        <v>-0.98354629999999998</v>
      </c>
      <c r="Q2226">
        <v>0.17987259999999999</v>
      </c>
      <c r="R2226">
        <v>-1.681291E-2</v>
      </c>
      <c r="S2226">
        <v>-3.0755919999999999</v>
      </c>
      <c r="T2226">
        <v>-0.1445678</v>
      </c>
      <c r="U2226">
        <v>-5.9173580000000003E-2</v>
      </c>
      <c r="V2226">
        <v>-3.0729599999999999E-2</v>
      </c>
      <c r="W2226">
        <v>0.1944668</v>
      </c>
      <c r="X2226">
        <v>0.98042759999999995</v>
      </c>
      <c r="Y2226">
        <v>-3.3256910000000001E-2</v>
      </c>
      <c r="Z2226">
        <v>-1.442406E-3</v>
      </c>
      <c r="AA2226">
        <v>0.99944580000000005</v>
      </c>
      <c r="AB2226">
        <v>37</v>
      </c>
      <c r="AC2226">
        <v>-23.273399999999999</v>
      </c>
      <c r="AD2226">
        <v>-1.110521779181</v>
      </c>
      <c r="AE2226">
        <v>-0.45940000000001602</v>
      </c>
      <c r="AF2226">
        <v>-0.78519835241460201</v>
      </c>
      <c r="AG2226">
        <v>-1.110521779181</v>
      </c>
      <c r="AH2226">
        <v>23.211797373269999</v>
      </c>
      <c r="AI2226">
        <v>92.737549294028</v>
      </c>
      <c r="AJ2226">
        <v>91.937437352983494</v>
      </c>
      <c r="AK2226">
        <v>23.251609242639798</v>
      </c>
      <c r="AL2226">
        <v>78.786422342561096</v>
      </c>
      <c r="AM2226">
        <v>91.795237272318701</v>
      </c>
      <c r="AN2226">
        <v>0.99999996173007899</v>
      </c>
    </row>
    <row r="2227" spans="1:40" x14ac:dyDescent="0.25">
      <c r="A2227" t="str">
        <f>"20190312172413234"</f>
        <v>20190312172413234</v>
      </c>
      <c r="B2227" t="str">
        <f>"1552382653232576"</f>
        <v>1552382653232576</v>
      </c>
      <c r="C2227" t="s">
        <v>40</v>
      </c>
      <c r="D2227">
        <v>3.706445</v>
      </c>
      <c r="E2227">
        <v>0.54389900000000002</v>
      </c>
      <c r="F2227" t="s">
        <v>48</v>
      </c>
      <c r="G2227">
        <v>-409.96390000000002</v>
      </c>
      <c r="H2227" s="1">
        <v>2.0842840000000001E-6</v>
      </c>
      <c r="I2227">
        <v>285.93239999999997</v>
      </c>
      <c r="J2227">
        <v>-392.46269999999998</v>
      </c>
      <c r="K2227">
        <v>1.110528</v>
      </c>
      <c r="L2227">
        <v>284.33580000000001</v>
      </c>
      <c r="M2227">
        <v>-0.99979269999999998</v>
      </c>
      <c r="N2227">
        <v>0</v>
      </c>
      <c r="O2227">
        <v>1.3906109999999999E-2</v>
      </c>
      <c r="P2227">
        <v>-0.98350420000000005</v>
      </c>
      <c r="Q2227">
        <v>0.18009249999999999</v>
      </c>
      <c r="R2227">
        <v>-1.6921039999999998E-2</v>
      </c>
      <c r="S2227">
        <v>-3.089966</v>
      </c>
      <c r="T2227">
        <v>-0.19189490000000001</v>
      </c>
      <c r="U2227">
        <v>0.2767944</v>
      </c>
      <c r="V2227">
        <v>-3.0669829999999999E-2</v>
      </c>
      <c r="W2227">
        <v>0.19468199999999999</v>
      </c>
      <c r="X2227">
        <v>0.9803868</v>
      </c>
      <c r="Y2227">
        <v>7.524322E-2</v>
      </c>
      <c r="Z2227">
        <v>1.4685049999999999E-3</v>
      </c>
      <c r="AA2227">
        <v>0.9971641</v>
      </c>
      <c r="AB2227">
        <v>37</v>
      </c>
      <c r="AC2227">
        <v>-17.501200000000001</v>
      </c>
      <c r="AD2227">
        <v>-1.1105259157159999</v>
      </c>
      <c r="AE2227">
        <v>1.5965999999999601</v>
      </c>
      <c r="AF2227">
        <v>1.34766354717369</v>
      </c>
      <c r="AG2227">
        <v>-1.1105259157159999</v>
      </c>
      <c r="AH2227">
        <v>17.452022695657298</v>
      </c>
      <c r="AI2227">
        <v>93.630219199072798</v>
      </c>
      <c r="AJ2227">
        <v>85.584322761685002</v>
      </c>
      <c r="AK2227">
        <v>17.539172187295399</v>
      </c>
      <c r="AL2227">
        <v>78.773852463103097</v>
      </c>
      <c r="AM2227">
        <v>91.791822277043593</v>
      </c>
      <c r="AN2227">
        <v>0.99999999860523403</v>
      </c>
    </row>
    <row r="2228" spans="1:40" x14ac:dyDescent="0.25">
      <c r="A2228" t="str">
        <f>"20190312172413256"</f>
        <v>20190312172413256</v>
      </c>
      <c r="B2228" t="str">
        <f>"1552382653252096"</f>
        <v>1552382653252096</v>
      </c>
      <c r="C2228" t="s">
        <v>40</v>
      </c>
      <c r="D2228">
        <v>3.7282229999999998</v>
      </c>
      <c r="E2228">
        <v>0.54578230000000005</v>
      </c>
      <c r="F2228" t="s">
        <v>48</v>
      </c>
      <c r="G2228">
        <v>-409.62150000000003</v>
      </c>
      <c r="H2228" s="1">
        <v>3.8492060000000001E-6</v>
      </c>
      <c r="I2228">
        <v>286.00200000000001</v>
      </c>
      <c r="J2228">
        <v>-392.83609999999999</v>
      </c>
      <c r="K2228">
        <v>1.1105309999999999</v>
      </c>
      <c r="L2228">
        <v>284.3408</v>
      </c>
      <c r="M2228">
        <v>-0.99979510000000005</v>
      </c>
      <c r="N2228">
        <v>0</v>
      </c>
      <c r="O2228">
        <v>1.373957E-2</v>
      </c>
      <c r="P2228">
        <v>-0.98344489999999996</v>
      </c>
      <c r="Q2228">
        <v>0.18043429999999999</v>
      </c>
      <c r="R2228">
        <v>-1.672471E-2</v>
      </c>
      <c r="S2228">
        <v>-3.0921020000000001</v>
      </c>
      <c r="T2228">
        <v>-0.20012199999999999</v>
      </c>
      <c r="U2228">
        <v>0.30026249999999999</v>
      </c>
      <c r="V2228">
        <v>-3.0308729999999999E-2</v>
      </c>
      <c r="W2228">
        <v>0.1950192</v>
      </c>
      <c r="X2228">
        <v>0.98033099999999995</v>
      </c>
      <c r="Y2228">
        <v>8.282262E-2</v>
      </c>
      <c r="Z2228">
        <v>1.7849389999999999E-3</v>
      </c>
      <c r="AA2228">
        <v>0.99656270000000002</v>
      </c>
      <c r="AB2228">
        <v>37</v>
      </c>
      <c r="AC2228">
        <v>-16.785399999999999</v>
      </c>
      <c r="AD2228">
        <v>-1.110527150794</v>
      </c>
      <c r="AE2228">
        <v>1.6612</v>
      </c>
      <c r="AF2228">
        <v>1.4242198885675901</v>
      </c>
      <c r="AG2228">
        <v>-1.110527150794</v>
      </c>
      <c r="AH2228">
        <v>16.734104119838399</v>
      </c>
      <c r="AI2228">
        <v>93.783121896197301</v>
      </c>
      <c r="AJ2228">
        <v>85.135346822565396</v>
      </c>
      <c r="AK2228">
        <v>16.831277834354498</v>
      </c>
      <c r="AL2228">
        <v>78.754154664429805</v>
      </c>
      <c r="AM2228">
        <v>91.770839982087097</v>
      </c>
      <c r="AN2228">
        <v>0.99999998852192595</v>
      </c>
    </row>
    <row r="2229" spans="1:40" x14ac:dyDescent="0.25">
      <c r="A2229" t="str">
        <f>"20190312172413280"</f>
        <v>20190312172413280</v>
      </c>
      <c r="B2229" t="str">
        <f>"1552382653272592"</f>
        <v>1552382653272592</v>
      </c>
      <c r="C2229" t="s">
        <v>40</v>
      </c>
      <c r="D2229">
        <v>3.7133379999999998</v>
      </c>
      <c r="E2229">
        <v>0.54688099999999995</v>
      </c>
      <c r="F2229" t="s">
        <v>48</v>
      </c>
      <c r="G2229">
        <v>-409.69779999999997</v>
      </c>
      <c r="H2229" s="1">
        <v>3.8025649999999999E-6</v>
      </c>
      <c r="I2229">
        <v>286.06389999999999</v>
      </c>
      <c r="J2229">
        <v>-393.22430000000003</v>
      </c>
      <c r="K2229">
        <v>1.110535</v>
      </c>
      <c r="L2229">
        <v>284.346</v>
      </c>
      <c r="M2229">
        <v>-0.99979759999999995</v>
      </c>
      <c r="N2229">
        <v>0</v>
      </c>
      <c r="O2229">
        <v>1.356664E-2</v>
      </c>
      <c r="P2229">
        <v>-0.98350859999999996</v>
      </c>
      <c r="Q2229">
        <v>0.18007490000000001</v>
      </c>
      <c r="R2229">
        <v>-1.6852809999999999E-2</v>
      </c>
      <c r="S2229">
        <v>-3.0932919999999999</v>
      </c>
      <c r="T2229">
        <v>-0.20372660000000001</v>
      </c>
      <c r="U2229">
        <v>0.31610110000000002</v>
      </c>
      <c r="V2229">
        <v>-3.026701E-2</v>
      </c>
      <c r="W2229">
        <v>0.1946562</v>
      </c>
      <c r="X2229">
        <v>0.98040439999999995</v>
      </c>
      <c r="Y2229">
        <v>8.7993070000000007E-2</v>
      </c>
      <c r="Z2229">
        <v>1.9968619999999999E-3</v>
      </c>
      <c r="AA2229">
        <v>0.99611910000000004</v>
      </c>
      <c r="AB2229">
        <v>37</v>
      </c>
      <c r="AC2229">
        <v>-16.473499999999898</v>
      </c>
      <c r="AD2229">
        <v>-1.1105311974349901</v>
      </c>
      <c r="AE2229">
        <v>1.71789999999998</v>
      </c>
      <c r="AF2229">
        <v>1.4875396981292299</v>
      </c>
      <c r="AG2229">
        <v>-1.1105311974349901</v>
      </c>
      <c r="AH2229">
        <v>16.421467146845998</v>
      </c>
      <c r="AI2229">
        <v>93.8531106981509</v>
      </c>
      <c r="AJ2229">
        <v>84.8239846707298</v>
      </c>
      <c r="AK2229">
        <v>16.526059335150901</v>
      </c>
      <c r="AL2229">
        <v>78.775359062083496</v>
      </c>
      <c r="AM2229">
        <v>91.768271656566597</v>
      </c>
      <c r="AN2229">
        <v>0.99999995781606899</v>
      </c>
    </row>
    <row r="2230" spans="1:40" x14ac:dyDescent="0.25">
      <c r="A2230" t="str">
        <f>"20190312172413302"</f>
        <v>20190312172413302</v>
      </c>
      <c r="B2230" t="str">
        <f>"1552382653292113"</f>
        <v>1552382653292113</v>
      </c>
      <c r="C2230" t="s">
        <v>40</v>
      </c>
      <c r="D2230">
        <v>3.7381340000000001</v>
      </c>
      <c r="E2230">
        <v>0.54763009999999901</v>
      </c>
      <c r="F2230" t="s">
        <v>48</v>
      </c>
      <c r="G2230">
        <v>-409.6232</v>
      </c>
      <c r="H2230" s="1">
        <v>3.8356640000000002E-6</v>
      </c>
      <c r="I2230">
        <v>286.06380000000001</v>
      </c>
      <c r="J2230">
        <v>-393.58440000000002</v>
      </c>
      <c r="K2230">
        <v>1.110527</v>
      </c>
      <c r="L2230">
        <v>284.35070000000002</v>
      </c>
      <c r="M2230">
        <v>-0.99979980000000002</v>
      </c>
      <c r="N2230">
        <v>0</v>
      </c>
      <c r="O2230">
        <v>1.340732E-2</v>
      </c>
      <c r="P2230">
        <v>-0.98362890000000003</v>
      </c>
      <c r="Q2230">
        <v>0.17942089999999999</v>
      </c>
      <c r="R2230">
        <v>-1.6809169999999998E-2</v>
      </c>
      <c r="S2230">
        <v>-3.0942379999999998</v>
      </c>
      <c r="T2230">
        <v>-0.20954139999999999</v>
      </c>
      <c r="U2230">
        <v>0.3241272</v>
      </c>
      <c r="V2230">
        <v>-3.00681E-2</v>
      </c>
      <c r="W2230">
        <v>0.19400039999999999</v>
      </c>
      <c r="X2230">
        <v>0.98054050000000004</v>
      </c>
      <c r="Y2230">
        <v>9.066167E-2</v>
      </c>
      <c r="Z2230">
        <v>2.1535920000000002E-3</v>
      </c>
      <c r="AA2230">
        <v>0.99587939999999997</v>
      </c>
      <c r="AB2230">
        <v>37</v>
      </c>
      <c r="AC2230">
        <v>-16.038799999999899</v>
      </c>
      <c r="AD2230">
        <v>-1.1105231643359901</v>
      </c>
      <c r="AE2230">
        <v>1.7130999999999901</v>
      </c>
      <c r="AF2230">
        <v>1.4908183549615901</v>
      </c>
      <c r="AG2230">
        <v>-1.1105231643359901</v>
      </c>
      <c r="AH2230">
        <v>15.984560718102101</v>
      </c>
      <c r="AI2230">
        <v>93.957104879860594</v>
      </c>
      <c r="AJ2230">
        <v>84.671657514945394</v>
      </c>
      <c r="AK2230">
        <v>16.092295747242201</v>
      </c>
      <c r="AL2230">
        <v>78.813663871640799</v>
      </c>
      <c r="AM2230">
        <v>91.756414486980603</v>
      </c>
      <c r="AN2230">
        <v>0.99999995898900895</v>
      </c>
    </row>
    <row r="2231" spans="1:40" x14ac:dyDescent="0.25">
      <c r="A2231" t="str">
        <f>"20190312172413323"</f>
        <v>20190312172413323</v>
      </c>
      <c r="B2231" t="str">
        <f>"1552382653312609"</f>
        <v>1552382653312609</v>
      </c>
      <c r="C2231" t="s">
        <v>40</v>
      </c>
      <c r="D2231">
        <v>3.7110509999999999</v>
      </c>
      <c r="E2231">
        <v>0.54815749999999996</v>
      </c>
      <c r="F2231" t="s">
        <v>41</v>
      </c>
      <c r="G2231">
        <v>-394.63139999999999</v>
      </c>
      <c r="H2231">
        <v>1.0384059999999999</v>
      </c>
      <c r="I2231">
        <v>284.46280000000002</v>
      </c>
      <c r="J2231">
        <v>-393.94029999999998</v>
      </c>
      <c r="K2231">
        <v>1.1105290000000001</v>
      </c>
      <c r="L2231">
        <v>284.3553</v>
      </c>
      <c r="M2231">
        <v>-0.99980179999999996</v>
      </c>
      <c r="N2231">
        <v>0</v>
      </c>
      <c r="O2231">
        <v>1.3251819999999999E-2</v>
      </c>
      <c r="P2231">
        <v>-0.98369629999999997</v>
      </c>
      <c r="Q2231">
        <v>0.1790311</v>
      </c>
      <c r="R2231">
        <v>-1.7012360000000001E-2</v>
      </c>
      <c r="S2231">
        <v>-3.0944820000000002</v>
      </c>
      <c r="T2231">
        <v>-0.2132733</v>
      </c>
      <c r="U2231">
        <v>0.33065800000000001</v>
      </c>
      <c r="V2231">
        <v>-3.011817E-2</v>
      </c>
      <c r="W2231">
        <v>0.193608</v>
      </c>
      <c r="X2231">
        <v>0.98061659999999995</v>
      </c>
      <c r="Y2231">
        <v>9.287492E-2</v>
      </c>
      <c r="Z2231">
        <v>2.27808E-3</v>
      </c>
      <c r="AA2231">
        <v>0.99567519999999998</v>
      </c>
      <c r="AB2231">
        <v>37</v>
      </c>
      <c r="AC2231">
        <v>-0.69110000000000504</v>
      </c>
      <c r="AD2231">
        <v>-7.2123000000000104E-2</v>
      </c>
      <c r="AE2231">
        <v>0.107500000000015</v>
      </c>
      <c r="AF2231">
        <v>9.72965953700895E-2</v>
      </c>
      <c r="AG2231">
        <v>-7.2123000000000104E-2</v>
      </c>
      <c r="AH2231">
        <v>0.68517807660305696</v>
      </c>
      <c r="AI2231">
        <v>95.9496703358204</v>
      </c>
      <c r="AJ2231">
        <v>81.917924609742101</v>
      </c>
      <c r="AK2231">
        <v>0.69579979251008395</v>
      </c>
      <c r="AL2231">
        <v>78.8365821495874</v>
      </c>
      <c r="AM2231">
        <v>91.759201020571894</v>
      </c>
      <c r="AN2231">
        <v>1.00000003901185</v>
      </c>
    </row>
    <row r="2232" spans="1:40" x14ac:dyDescent="0.25">
      <c r="A2232" t="str">
        <f>"20190312172413346"</f>
        <v>20190312172413346</v>
      </c>
      <c r="B2232" t="str">
        <f>"1552382653341888"</f>
        <v>1552382653341888</v>
      </c>
      <c r="C2232" t="s">
        <v>40</v>
      </c>
      <c r="D2232">
        <v>3.6956169999999999</v>
      </c>
      <c r="E2232">
        <v>0.54878349999999998</v>
      </c>
      <c r="F2232" t="s">
        <v>41</v>
      </c>
      <c r="G2232">
        <v>-394.96260000000001</v>
      </c>
      <c r="H2232">
        <v>1.03928</v>
      </c>
      <c r="I2232">
        <v>284.46600000000001</v>
      </c>
      <c r="J2232">
        <v>-394.31299999999999</v>
      </c>
      <c r="K2232">
        <v>1.110528</v>
      </c>
      <c r="L2232">
        <v>284.36009999999999</v>
      </c>
      <c r="M2232">
        <v>-0.99980409999999997</v>
      </c>
      <c r="N2232">
        <v>0</v>
      </c>
      <c r="O2232">
        <v>1.309078E-2</v>
      </c>
      <c r="P2232">
        <v>-0.98374159999999999</v>
      </c>
      <c r="Q2232">
        <v>0.17878559999999999</v>
      </c>
      <c r="R2232">
        <v>-1.698057E-2</v>
      </c>
      <c r="S2232">
        <v>-3.0947879999999999</v>
      </c>
      <c r="T2232">
        <v>-0.21580089999999999</v>
      </c>
      <c r="U2232">
        <v>0.33444210000000002</v>
      </c>
      <c r="V2232">
        <v>-2.9927949999999998E-2</v>
      </c>
      <c r="W2232">
        <v>0.19335959999999999</v>
      </c>
      <c r="X2232">
        <v>0.98067139999999997</v>
      </c>
      <c r="Y2232">
        <v>9.4220419999999999E-2</v>
      </c>
      <c r="Z2232">
        <v>2.3625389999999999E-3</v>
      </c>
      <c r="AA2232">
        <v>0.99554849999999995</v>
      </c>
      <c r="AB2232">
        <v>37</v>
      </c>
      <c r="AC2232">
        <v>-0.64959999999996398</v>
      </c>
      <c r="AD2232">
        <v>-7.1247999999999895E-2</v>
      </c>
      <c r="AE2232">
        <v>0.10590000000001901</v>
      </c>
      <c r="AF2232">
        <v>9.6258239701643503E-2</v>
      </c>
      <c r="AG2232">
        <v>-7.1247999999999895E-2</v>
      </c>
      <c r="AH2232">
        <v>0.64339138419508501</v>
      </c>
      <c r="AI2232">
        <v>96.250082702158494</v>
      </c>
      <c r="AJ2232">
        <v>81.491049679475196</v>
      </c>
      <c r="AK2232">
        <v>0.65444205203434702</v>
      </c>
      <c r="AL2232">
        <v>78.851088167712305</v>
      </c>
      <c r="AM2232">
        <v>91.747999570957006</v>
      </c>
      <c r="AN2232">
        <v>1.00000000594066</v>
      </c>
    </row>
    <row r="2233" spans="1:40" x14ac:dyDescent="0.25">
      <c r="A2233" t="str">
        <f>"20190312172413369"</f>
        <v>20190312172413369</v>
      </c>
      <c r="B2233" t="str">
        <f>"1552382653362388"</f>
        <v>1552382653362388</v>
      </c>
      <c r="C2233" t="s">
        <v>40</v>
      </c>
      <c r="D2233">
        <v>3.6972149999999999</v>
      </c>
      <c r="E2233">
        <v>0.54917439999999995</v>
      </c>
      <c r="F2233" t="s">
        <v>41</v>
      </c>
      <c r="G2233">
        <v>-395.29410000000001</v>
      </c>
      <c r="H2233">
        <v>1.041426</v>
      </c>
      <c r="I2233">
        <v>284.46809999999999</v>
      </c>
      <c r="J2233">
        <v>-394.68900000000002</v>
      </c>
      <c r="K2233">
        <v>1.110522</v>
      </c>
      <c r="L2233">
        <v>284.36489999999998</v>
      </c>
      <c r="M2233">
        <v>-0.99980630000000004</v>
      </c>
      <c r="N2233">
        <v>0</v>
      </c>
      <c r="O2233">
        <v>1.2929090000000001E-2</v>
      </c>
      <c r="P2233">
        <v>-0.98378679999999996</v>
      </c>
      <c r="Q2233">
        <v>0.17851719999999999</v>
      </c>
      <c r="R2233">
        <v>-1.719414E-2</v>
      </c>
      <c r="S2233">
        <v>-3.0950929999999999</v>
      </c>
      <c r="T2233">
        <v>-0.2181371</v>
      </c>
      <c r="U2233">
        <v>0.339599599999999</v>
      </c>
      <c r="V2233">
        <v>-2.998149E-2</v>
      </c>
      <c r="W2233">
        <v>0.1930877</v>
      </c>
      <c r="X2233">
        <v>0.98072329999999996</v>
      </c>
      <c r="Y2233">
        <v>9.6001359999999994E-2</v>
      </c>
      <c r="Z2233">
        <v>2.4614480000000002E-3</v>
      </c>
      <c r="AA2233">
        <v>0.99537810000000004</v>
      </c>
      <c r="AB2233">
        <v>37</v>
      </c>
      <c r="AC2233">
        <v>-0.60509999999999298</v>
      </c>
      <c r="AD2233">
        <v>-6.9096000000000005E-2</v>
      </c>
      <c r="AE2233">
        <v>0.103200000000015</v>
      </c>
      <c r="AF2233">
        <v>9.4173873212761106E-2</v>
      </c>
      <c r="AG2233">
        <v>-6.9096000000000005E-2</v>
      </c>
      <c r="AH2233">
        <v>0.59879669173343397</v>
      </c>
      <c r="AI2233">
        <v>96.503092706590095</v>
      </c>
      <c r="AJ2233">
        <v>81.062196495462501</v>
      </c>
      <c r="AK2233">
        <v>0.61008233349507701</v>
      </c>
      <c r="AL2233">
        <v>78.866965713423497</v>
      </c>
      <c r="AM2233">
        <v>91.751032120511894</v>
      </c>
      <c r="AN2233">
        <v>0.99999997039839905</v>
      </c>
    </row>
    <row r="2234" spans="1:40" x14ac:dyDescent="0.25">
      <c r="A2234" t="str">
        <f>"20190312172413390"</f>
        <v>20190312172413390</v>
      </c>
      <c r="B2234" t="str">
        <f>"1552382653381907"</f>
        <v>1552382653381907</v>
      </c>
      <c r="C2234" t="s">
        <v>40</v>
      </c>
      <c r="D2234">
        <v>3.7060590000000002</v>
      </c>
      <c r="E2234">
        <v>0.5495449</v>
      </c>
      <c r="F2234" t="s">
        <v>41</v>
      </c>
      <c r="G2234">
        <v>-395.62610000000001</v>
      </c>
      <c r="H2234">
        <v>1.0438909999999999</v>
      </c>
      <c r="I2234">
        <v>284.46870000000001</v>
      </c>
      <c r="J2234">
        <v>-395.04680000000002</v>
      </c>
      <c r="K2234">
        <v>1.1105160000000001</v>
      </c>
      <c r="L2234">
        <v>284.36930000000001</v>
      </c>
      <c r="M2234">
        <v>-0.99980829999999998</v>
      </c>
      <c r="N2234">
        <v>0</v>
      </c>
      <c r="O2234">
        <v>1.277621E-2</v>
      </c>
      <c r="P2234">
        <v>-0.98376079999999999</v>
      </c>
      <c r="Q2234">
        <v>0.17866019999999999</v>
      </c>
      <c r="R2234">
        <v>-1.718859E-2</v>
      </c>
      <c r="S2234">
        <v>-3.0953979999999999</v>
      </c>
      <c r="T2234">
        <v>-0.22025529999999999</v>
      </c>
      <c r="U2234">
        <v>0.34207149999999997</v>
      </c>
      <c r="V2234">
        <v>-2.9824469999999999E-2</v>
      </c>
      <c r="W2234">
        <v>0.19322619999999999</v>
      </c>
      <c r="X2234">
        <v>0.98070089999999999</v>
      </c>
      <c r="Y2234">
        <v>9.6921649999999998E-2</v>
      </c>
      <c r="Z2234">
        <v>2.5283689999999999E-3</v>
      </c>
      <c r="AA2234">
        <v>0.99528879999999997</v>
      </c>
      <c r="AB2234">
        <v>37</v>
      </c>
      <c r="AC2234">
        <v>-0.57929999999998905</v>
      </c>
      <c r="AD2234">
        <v>-6.6625000000000101E-2</v>
      </c>
      <c r="AE2234">
        <v>9.9400000000002806E-2</v>
      </c>
      <c r="AF2234">
        <v>9.0822839551517404E-2</v>
      </c>
      <c r="AG2234">
        <v>-6.6625000000000101E-2</v>
      </c>
      <c r="AH2234">
        <v>0.57315835510220303</v>
      </c>
      <c r="AI2234">
        <v>96.549417881531696</v>
      </c>
      <c r="AJ2234">
        <v>80.995760496676994</v>
      </c>
      <c r="AK2234">
        <v>0.58412171576878003</v>
      </c>
      <c r="AL2234">
        <v>78.858878941033097</v>
      </c>
      <c r="AM2234">
        <v>91.741906985645798</v>
      </c>
      <c r="AN2234">
        <v>1.0000000593190099</v>
      </c>
    </row>
    <row r="2235" spans="1:40" x14ac:dyDescent="0.25">
      <c r="A2235" t="str">
        <f>"20190312172413413"</f>
        <v>20190312172413413</v>
      </c>
      <c r="B2235" t="str">
        <f>"1552382653402400"</f>
        <v>1552382653402400</v>
      </c>
      <c r="C2235" t="s">
        <v>40</v>
      </c>
      <c r="D2235">
        <v>3.6936559999999998</v>
      </c>
      <c r="E2235">
        <v>0.5498828</v>
      </c>
      <c r="F2235" t="s">
        <v>41</v>
      </c>
      <c r="G2235">
        <v>-395.9572</v>
      </c>
      <c r="H2235">
        <v>1.045628</v>
      </c>
      <c r="I2235">
        <v>284.471</v>
      </c>
      <c r="J2235">
        <v>-395.416</v>
      </c>
      <c r="K2235">
        <v>1.1105130000000001</v>
      </c>
      <c r="L2235">
        <v>284.37389999999999</v>
      </c>
      <c r="M2235">
        <v>-0.99981050000000005</v>
      </c>
      <c r="N2235">
        <v>0</v>
      </c>
      <c r="O2235">
        <v>1.261933E-2</v>
      </c>
      <c r="P2235">
        <v>-0.98374930000000005</v>
      </c>
      <c r="Q2235">
        <v>0.1787348</v>
      </c>
      <c r="R2235">
        <v>-1.7076009999999999E-2</v>
      </c>
      <c r="S2235">
        <v>-3.0957029999999999</v>
      </c>
      <c r="T2235">
        <v>-0.2207028</v>
      </c>
      <c r="U2235">
        <v>0.34490969999999999</v>
      </c>
      <c r="V2235">
        <v>-2.9557489999999999E-2</v>
      </c>
      <c r="W2235">
        <v>0.19329730000000001</v>
      </c>
      <c r="X2235">
        <v>0.98069490000000004</v>
      </c>
      <c r="Y2235">
        <v>9.7964659999999995E-2</v>
      </c>
      <c r="Z2235">
        <v>2.581271E-3</v>
      </c>
      <c r="AA2235">
        <v>0.99518660000000003</v>
      </c>
      <c r="AB2235">
        <v>37</v>
      </c>
      <c r="AC2235">
        <v>-0.54120000000000301</v>
      </c>
      <c r="AD2235">
        <v>-6.4884999999999804E-2</v>
      </c>
      <c r="AE2235">
        <v>9.7100000000011705E-2</v>
      </c>
      <c r="AF2235">
        <v>8.9022248160786605E-2</v>
      </c>
      <c r="AG2235">
        <v>-6.4884999999999804E-2</v>
      </c>
      <c r="AH2235">
        <v>0.53493311342178396</v>
      </c>
      <c r="AI2235">
        <v>96.823004446706705</v>
      </c>
      <c r="AJ2235">
        <v>80.551566961623806</v>
      </c>
      <c r="AK2235">
        <v>0.54615790731959901</v>
      </c>
      <c r="AL2235">
        <v>78.854726142421796</v>
      </c>
      <c r="AM2235">
        <v>91.726333973242902</v>
      </c>
      <c r="AN2235">
        <v>0.99999998914419996</v>
      </c>
    </row>
    <row r="2236" spans="1:40" x14ac:dyDescent="0.25">
      <c r="A2236" t="str">
        <f>"20190312172413435"</f>
        <v>20190312172413435</v>
      </c>
      <c r="B2236" t="str">
        <f>"1552382653432657"</f>
        <v>1552382653432657</v>
      </c>
      <c r="C2236" t="s">
        <v>40</v>
      </c>
      <c r="D2236">
        <v>3.6985600000000001</v>
      </c>
      <c r="E2236">
        <v>0.55034850000000002</v>
      </c>
      <c r="F2236" t="s">
        <v>41</v>
      </c>
      <c r="G2236">
        <v>-396.28870000000001</v>
      </c>
      <c r="H2236">
        <v>1.048146</v>
      </c>
      <c r="I2236">
        <v>284.47230000000002</v>
      </c>
      <c r="J2236">
        <v>-395.7867</v>
      </c>
      <c r="K2236">
        <v>1.1105229999999999</v>
      </c>
      <c r="L2236">
        <v>284.3784</v>
      </c>
      <c r="M2236">
        <v>-0.99981240000000005</v>
      </c>
      <c r="N2236">
        <v>0</v>
      </c>
      <c r="O2236">
        <v>1.246239E-2</v>
      </c>
      <c r="P2236">
        <v>-0.98376680000000005</v>
      </c>
      <c r="Q2236">
        <v>0.17866989999999999</v>
      </c>
      <c r="R2236">
        <v>-1.6733850000000002E-2</v>
      </c>
      <c r="S2236">
        <v>-3.0957949999999999</v>
      </c>
      <c r="T2236">
        <v>-0.22136890000000001</v>
      </c>
      <c r="U2236">
        <v>0.34808349999999999</v>
      </c>
      <c r="V2236">
        <v>-2.9060329999999999E-2</v>
      </c>
      <c r="W2236">
        <v>0.1932285</v>
      </c>
      <c r="X2236">
        <v>0.98072329999999996</v>
      </c>
      <c r="Y2236">
        <v>9.9120659999999999E-2</v>
      </c>
      <c r="Z2236">
        <v>2.6411400000000002E-3</v>
      </c>
      <c r="AA2236">
        <v>0.99507190000000001</v>
      </c>
      <c r="AB2236">
        <v>37</v>
      </c>
      <c r="AC2236">
        <v>-0.50200000000000899</v>
      </c>
      <c r="AD2236">
        <v>-6.2376999999999898E-2</v>
      </c>
      <c r="AE2236">
        <v>9.3900000000019204E-2</v>
      </c>
      <c r="AF2236">
        <v>8.6347775991221704E-2</v>
      </c>
      <c r="AG2236">
        <v>-6.2376999999999898E-2</v>
      </c>
      <c r="AH2236">
        <v>0.49573604095527302</v>
      </c>
      <c r="AI2236">
        <v>97.066375857223505</v>
      </c>
      <c r="AJ2236">
        <v>80.119294297453905</v>
      </c>
      <c r="AK2236">
        <v>0.50705132960050303</v>
      </c>
      <c r="AL2236">
        <v>78.8587436620208</v>
      </c>
      <c r="AM2236">
        <v>91.697264867222799</v>
      </c>
      <c r="AN2236">
        <v>0.99999997357742398</v>
      </c>
    </row>
    <row r="2237" spans="1:40" x14ac:dyDescent="0.25">
      <c r="A2237" t="str">
        <f>"20190312172413459"</f>
        <v>20190312172413459</v>
      </c>
      <c r="B2237" t="str">
        <f>"1552382653452176"</f>
        <v>1552382653452176</v>
      </c>
      <c r="C2237" t="s">
        <v>40</v>
      </c>
      <c r="D2237">
        <v>3.682185</v>
      </c>
      <c r="E2237">
        <v>0.55060390000000003</v>
      </c>
      <c r="F2237" t="s">
        <v>41</v>
      </c>
      <c r="G2237">
        <v>-396.62</v>
      </c>
      <c r="H2237">
        <v>1.050845</v>
      </c>
      <c r="I2237">
        <v>284.47370000000001</v>
      </c>
      <c r="J2237">
        <v>-396.16129999999998</v>
      </c>
      <c r="K2237">
        <v>1.110522</v>
      </c>
      <c r="L2237">
        <v>284.38299999999998</v>
      </c>
      <c r="M2237">
        <v>-0.99981450000000005</v>
      </c>
      <c r="N2237">
        <v>0</v>
      </c>
      <c r="O2237">
        <v>1.230384E-2</v>
      </c>
      <c r="P2237">
        <v>-0.98372440000000005</v>
      </c>
      <c r="Q2237">
        <v>0.17893879999999901</v>
      </c>
      <c r="R2237">
        <v>-1.635267E-2</v>
      </c>
      <c r="S2237">
        <v>-3.095825</v>
      </c>
      <c r="T2237">
        <v>-0.2219547</v>
      </c>
      <c r="U2237">
        <v>0.35308840000000002</v>
      </c>
      <c r="V2237">
        <v>-2.8522889999999999E-2</v>
      </c>
      <c r="W2237">
        <v>0.19349340000000001</v>
      </c>
      <c r="X2237">
        <v>0.98068690000000003</v>
      </c>
      <c r="Y2237">
        <v>0.10085959999999999</v>
      </c>
      <c r="Z2237">
        <v>2.721219E-3</v>
      </c>
      <c r="AA2237">
        <v>0.99489689999999997</v>
      </c>
      <c r="AB2237">
        <v>37</v>
      </c>
      <c r="AC2237">
        <v>-0.45870000000002098</v>
      </c>
      <c r="AD2237">
        <v>-5.9676999999999897E-2</v>
      </c>
      <c r="AE2237">
        <v>9.0700000000026607E-2</v>
      </c>
      <c r="AF2237">
        <v>8.3685570418222999E-2</v>
      </c>
      <c r="AG2237">
        <v>-5.9676999999999897E-2</v>
      </c>
      <c r="AH2237">
        <v>0.45241192147227199</v>
      </c>
      <c r="AI2237">
        <v>97.390467432169501</v>
      </c>
      <c r="AJ2237">
        <v>79.520084168017505</v>
      </c>
      <c r="AK2237">
        <v>0.46394090756847101</v>
      </c>
      <c r="AL2237">
        <v>78.843274626192994</v>
      </c>
      <c r="AM2237">
        <v>91.665955404302693</v>
      </c>
      <c r="AN2237">
        <v>1.0000000234645601</v>
      </c>
    </row>
    <row r="2238" spans="1:40" x14ac:dyDescent="0.25">
      <c r="A2238" t="str">
        <f>"20190312172413481"</f>
        <v>20190312172413481</v>
      </c>
      <c r="B2238" t="str">
        <f>"1552382653472673"</f>
        <v>1552382653472673</v>
      </c>
      <c r="C2238" t="s">
        <v>40</v>
      </c>
      <c r="D2238">
        <v>3.662083</v>
      </c>
      <c r="E2238">
        <v>0.55080899999999999</v>
      </c>
      <c r="F2238" t="s">
        <v>48</v>
      </c>
      <c r="G2238">
        <v>-411.67989999999998</v>
      </c>
      <c r="H2238" s="1">
        <v>2.3678220000000002E-6</v>
      </c>
      <c r="I2238">
        <v>286.17110000000002</v>
      </c>
      <c r="J2238">
        <v>-396.52690000000001</v>
      </c>
      <c r="K2238">
        <v>1.110519</v>
      </c>
      <c r="L2238">
        <v>284.38729999999998</v>
      </c>
      <c r="M2238">
        <v>-0.99981640000000005</v>
      </c>
      <c r="N2238">
        <v>0</v>
      </c>
      <c r="O2238">
        <v>1.2149210000000001E-2</v>
      </c>
      <c r="P2238">
        <v>-0.98363900000000004</v>
      </c>
      <c r="Q2238">
        <v>0.17937339999999999</v>
      </c>
      <c r="R2238">
        <v>-1.6733430000000001E-2</v>
      </c>
      <c r="S2238">
        <v>-3.0958559999999999</v>
      </c>
      <c r="T2238">
        <v>-0.2215413</v>
      </c>
      <c r="U2238">
        <v>0.35671999999999998</v>
      </c>
      <c r="V2238">
        <v>-2.8749540000000001E-2</v>
      </c>
      <c r="W2238">
        <v>0.19392229999999999</v>
      </c>
      <c r="X2238">
        <v>0.98059549999999995</v>
      </c>
      <c r="Y2238">
        <v>0.1021614</v>
      </c>
      <c r="Z2238">
        <v>2.773335E-3</v>
      </c>
      <c r="AA2238">
        <v>0.99476399999999998</v>
      </c>
      <c r="AB2238">
        <v>37</v>
      </c>
      <c r="AC2238">
        <v>-15.152999999999899</v>
      </c>
      <c r="AD2238">
        <v>-1.110516632178</v>
      </c>
      <c r="AE2238">
        <v>1.78380000000004</v>
      </c>
      <c r="AF2238">
        <v>1.5911220623854001</v>
      </c>
      <c r="AG2238">
        <v>-1.110516632178</v>
      </c>
      <c r="AH2238">
        <v>15.093596314773199</v>
      </c>
      <c r="AI2238">
        <v>94.184869513865095</v>
      </c>
      <c r="AJ2238">
        <v>83.982274700578699</v>
      </c>
      <c r="AK2238">
        <v>15.2178042542638</v>
      </c>
      <c r="AL2238">
        <v>78.818225360495305</v>
      </c>
      <c r="AM2238">
        <v>91.679342377489206</v>
      </c>
      <c r="AN2238">
        <v>0.99999996455387496</v>
      </c>
    </row>
    <row r="2239" spans="1:40" x14ac:dyDescent="0.25">
      <c r="A2239" t="str">
        <f>"20190312172413502"</f>
        <v>20190312172413502</v>
      </c>
      <c r="B2239" t="str">
        <f>"1552382653492193"</f>
        <v>1552382653492193</v>
      </c>
      <c r="C2239" t="s">
        <v>40</v>
      </c>
      <c r="D2239">
        <v>3.667621</v>
      </c>
      <c r="E2239">
        <v>0.55100479999999996</v>
      </c>
      <c r="F2239" t="s">
        <v>48</v>
      </c>
      <c r="G2239">
        <v>-412.08879999999999</v>
      </c>
      <c r="H2239" s="1">
        <v>2.4392790000000001E-6</v>
      </c>
      <c r="I2239">
        <v>286.18329999999997</v>
      </c>
      <c r="J2239">
        <v>-396.88929999999999</v>
      </c>
      <c r="K2239">
        <v>1.110522</v>
      </c>
      <c r="L2239">
        <v>284.39150000000001</v>
      </c>
      <c r="M2239">
        <v>-0.99981819999999999</v>
      </c>
      <c r="N2239">
        <v>0</v>
      </c>
      <c r="O2239">
        <v>1.199531E-2</v>
      </c>
      <c r="P2239">
        <v>-0.98362169999999904</v>
      </c>
      <c r="Q2239">
        <v>0.17941660000000001</v>
      </c>
      <c r="R2239">
        <v>-1.7269699999999999E-2</v>
      </c>
      <c r="S2239">
        <v>-3.0962830000000001</v>
      </c>
      <c r="T2239">
        <v>-0.2209554</v>
      </c>
      <c r="U2239">
        <v>0.35733029999999999</v>
      </c>
      <c r="V2239">
        <v>-2.91346E-2</v>
      </c>
      <c r="W2239">
        <v>0.1939611</v>
      </c>
      <c r="X2239">
        <v>0.98057649999999996</v>
      </c>
      <c r="Y2239">
        <v>0.1024925</v>
      </c>
      <c r="Z2239">
        <v>2.7882979999999998E-3</v>
      </c>
      <c r="AA2239">
        <v>0.99472989999999994</v>
      </c>
      <c r="AB2239">
        <v>37</v>
      </c>
      <c r="AC2239">
        <v>-15.1995</v>
      </c>
      <c r="AD2239">
        <v>-1.1105195607209899</v>
      </c>
      <c r="AE2239">
        <v>1.7917999999999601</v>
      </c>
      <c r="AF2239">
        <v>1.6008995468468901</v>
      </c>
      <c r="AG2239">
        <v>-1.1105195607209899</v>
      </c>
      <c r="AH2239">
        <v>15.140188380764499</v>
      </c>
      <c r="AI2239">
        <v>94.171908093372394</v>
      </c>
      <c r="AJ2239">
        <v>83.9640634717979</v>
      </c>
      <c r="AK2239">
        <v>15.265039707084799</v>
      </c>
      <c r="AL2239">
        <v>78.815959690968995</v>
      </c>
      <c r="AM2239">
        <v>91.701854643295107</v>
      </c>
      <c r="AN2239">
        <v>1.0000000027913001</v>
      </c>
    </row>
    <row r="2240" spans="1:40" x14ac:dyDescent="0.25">
      <c r="A2240" t="str">
        <f>"20190312172413525"</f>
        <v>20190312172413525</v>
      </c>
      <c r="B2240" t="str">
        <f>"1552382653522449"</f>
        <v>1552382653522449</v>
      </c>
      <c r="C2240" t="s">
        <v>40</v>
      </c>
      <c r="D2240">
        <v>3.6127020000000001</v>
      </c>
      <c r="E2240">
        <v>0.55127879999999996</v>
      </c>
      <c r="F2240" t="s">
        <v>41</v>
      </c>
      <c r="G2240">
        <v>-397.92129999999997</v>
      </c>
      <c r="H2240">
        <v>1.036899</v>
      </c>
      <c r="I2240">
        <v>284.51089999999999</v>
      </c>
      <c r="J2240">
        <v>-397.26100000000002</v>
      </c>
      <c r="K2240">
        <v>1.110522</v>
      </c>
      <c r="L2240">
        <v>284.39580000000001</v>
      </c>
      <c r="M2240">
        <v>-0.9998203</v>
      </c>
      <c r="N2240">
        <v>0</v>
      </c>
      <c r="O2240">
        <v>1.183764E-2</v>
      </c>
      <c r="P2240">
        <v>-0.98361240000000005</v>
      </c>
      <c r="Q2240">
        <v>0.1794114</v>
      </c>
      <c r="R2240">
        <v>-1.7853319999999999E-2</v>
      </c>
      <c r="S2240">
        <v>-3.096527</v>
      </c>
      <c r="T2240">
        <v>-0.22113179999999999</v>
      </c>
      <c r="U2240">
        <v>0.35723880000000002</v>
      </c>
      <c r="V2240">
        <v>-2.956249E-2</v>
      </c>
      <c r="W2240">
        <v>0.19395129999999999</v>
      </c>
      <c r="X2240">
        <v>0.98056560000000004</v>
      </c>
      <c r="Y2240">
        <v>0.1026104</v>
      </c>
      <c r="Z2240">
        <v>2.8057009999999999E-3</v>
      </c>
      <c r="AA2240">
        <v>0.99471770000000004</v>
      </c>
      <c r="AB2240">
        <v>37</v>
      </c>
      <c r="AC2240">
        <v>-0.66030000000000599</v>
      </c>
      <c r="AD2240">
        <v>-7.3622999999999994E-2</v>
      </c>
      <c r="AE2240">
        <v>0.11509999999998401</v>
      </c>
      <c r="AF2240">
        <v>0.105995792609181</v>
      </c>
      <c r="AG2240">
        <v>-7.3622999999999994E-2</v>
      </c>
      <c r="AH2240">
        <v>0.65372883336855503</v>
      </c>
      <c r="AI2240">
        <v>96.3434279707988</v>
      </c>
      <c r="AJ2240">
        <v>80.790193683216202</v>
      </c>
      <c r="AK2240">
        <v>0.666345887476813</v>
      </c>
      <c r="AL2240">
        <v>78.816531707079605</v>
      </c>
      <c r="AM2240">
        <v>91.726853366005898</v>
      </c>
      <c r="AN2240">
        <v>0.99999997174502397</v>
      </c>
    </row>
    <row r="2241" spans="1:40" x14ac:dyDescent="0.25">
      <c r="A2241" t="str">
        <f>"20190312172413548"</f>
        <v>20190312172413548</v>
      </c>
      <c r="B2241" t="str">
        <f>"1552382653541968"</f>
        <v>1552382653541968</v>
      </c>
      <c r="C2241" t="s">
        <v>40</v>
      </c>
      <c r="D2241">
        <v>3.6402670000000001</v>
      </c>
      <c r="E2241">
        <v>0.55145789999999995</v>
      </c>
      <c r="F2241" t="s">
        <v>41</v>
      </c>
      <c r="G2241">
        <v>-398.24979999999999</v>
      </c>
      <c r="H2241">
        <v>1.0400590000000001</v>
      </c>
      <c r="I2241">
        <v>284.51010000000002</v>
      </c>
      <c r="J2241">
        <v>-397.63330000000002</v>
      </c>
      <c r="K2241">
        <v>1.1105229999999999</v>
      </c>
      <c r="L2241">
        <v>284.40010000000001</v>
      </c>
      <c r="M2241">
        <v>-0.99982210000000005</v>
      </c>
      <c r="N2241">
        <v>0</v>
      </c>
      <c r="O2241">
        <v>1.167968E-2</v>
      </c>
      <c r="P2241">
        <v>-0.98367579999999999</v>
      </c>
      <c r="Q2241">
        <v>0.17900759999999999</v>
      </c>
      <c r="R2241">
        <v>-1.8399370000000002E-2</v>
      </c>
      <c r="S2241">
        <v>-3.0967709999999999</v>
      </c>
      <c r="T2241">
        <v>-0.22080040000000001</v>
      </c>
      <c r="U2241">
        <v>0.3572998</v>
      </c>
      <c r="V2241">
        <v>-2.9953489999999999E-2</v>
      </c>
      <c r="W2241">
        <v>0.1935443</v>
      </c>
      <c r="X2241">
        <v>0.98063420000000001</v>
      </c>
      <c r="Y2241">
        <v>0.1027778</v>
      </c>
      <c r="Z2241">
        <v>2.8184360000000001E-3</v>
      </c>
      <c r="AA2241">
        <v>0.99470029999999998</v>
      </c>
      <c r="AB2241">
        <v>37</v>
      </c>
      <c r="AC2241">
        <v>-0.61649999999997296</v>
      </c>
      <c r="AD2241">
        <v>-7.0463999999999805E-2</v>
      </c>
      <c r="AE2241">
        <v>0.110000000000013</v>
      </c>
      <c r="AF2241">
        <v>0.101506045088935</v>
      </c>
      <c r="AG2241">
        <v>-7.0463999999999805E-2</v>
      </c>
      <c r="AH2241">
        <v>0.61001957025693199</v>
      </c>
      <c r="AI2241">
        <v>96.500494795868505</v>
      </c>
      <c r="AJ2241">
        <v>80.552655081264206</v>
      </c>
      <c r="AK2241">
        <v>0.62240865079306895</v>
      </c>
      <c r="AL2241">
        <v>78.840302050936899</v>
      </c>
      <c r="AM2241">
        <v>91.749556682258302</v>
      </c>
      <c r="AN2241">
        <v>1.0000000209176501</v>
      </c>
    </row>
    <row r="2242" spans="1:40" x14ac:dyDescent="0.25">
      <c r="A2242" t="str">
        <f>"20190312172413570"</f>
        <v>20190312172413570</v>
      </c>
      <c r="B2242" t="str">
        <f>"1552382653562465"</f>
        <v>1552382653562465</v>
      </c>
      <c r="C2242" t="s">
        <v>40</v>
      </c>
      <c r="D2242">
        <v>3.6272639999999998</v>
      </c>
      <c r="E2242">
        <v>0.55164060000000004</v>
      </c>
      <c r="F2242" t="s">
        <v>41</v>
      </c>
      <c r="G2242">
        <v>-398.57839999999999</v>
      </c>
      <c r="H2242">
        <v>1.042797</v>
      </c>
      <c r="I2242">
        <v>284.5093</v>
      </c>
      <c r="J2242">
        <v>-397.98989999999998</v>
      </c>
      <c r="K2242">
        <v>1.110522</v>
      </c>
      <c r="L2242">
        <v>284.40410000000003</v>
      </c>
      <c r="M2242">
        <v>-0.99982400000000005</v>
      </c>
      <c r="N2242">
        <v>0</v>
      </c>
      <c r="O2242">
        <v>1.152822E-2</v>
      </c>
      <c r="P2242">
        <v>-0.98362450000000001</v>
      </c>
      <c r="Q2242">
        <v>0.17929010000000001</v>
      </c>
      <c r="R2242">
        <v>-1.8387669999999998E-2</v>
      </c>
      <c r="S2242">
        <v>-3.0968629999999999</v>
      </c>
      <c r="T2242">
        <v>-0.22205050000000001</v>
      </c>
      <c r="U2242">
        <v>0.3569946</v>
      </c>
      <c r="V2242">
        <v>-2.9792369999999999E-2</v>
      </c>
      <c r="W2242">
        <v>0.1938222</v>
      </c>
      <c r="X2242">
        <v>0.98058420000000002</v>
      </c>
      <c r="Y2242">
        <v>0.1028254</v>
      </c>
      <c r="Z2242">
        <v>2.8467900000000001E-3</v>
      </c>
      <c r="AA2242">
        <v>0.99469540000000001</v>
      </c>
      <c r="AB2242">
        <v>37</v>
      </c>
      <c r="AC2242">
        <v>-0.58850000000001002</v>
      </c>
      <c r="AD2242">
        <v>-6.7724999999999994E-2</v>
      </c>
      <c r="AE2242">
        <v>0.105199999999968</v>
      </c>
      <c r="AF2242">
        <v>9.7160993597392706E-2</v>
      </c>
      <c r="AG2242">
        <v>-6.7724999999999994E-2</v>
      </c>
      <c r="AH2242">
        <v>0.582202108493032</v>
      </c>
      <c r="AI2242">
        <v>96.545424375151796</v>
      </c>
      <c r="AJ2242">
        <v>80.525488097537703</v>
      </c>
      <c r="AK2242">
        <v>0.59412644229622102</v>
      </c>
      <c r="AL2242">
        <v>78.824072012839395</v>
      </c>
      <c r="AM2242">
        <v>91.740240284053996</v>
      </c>
      <c r="AN2242">
        <v>1.00000000190634</v>
      </c>
    </row>
    <row r="2243" spans="1:40" x14ac:dyDescent="0.25">
      <c r="A2243" t="str">
        <f>"20190312172413591"</f>
        <v>20190312172413591</v>
      </c>
      <c r="B2243" t="str">
        <f>"1552382653581985"</f>
        <v>1552382653581985</v>
      </c>
      <c r="C2243" t="s">
        <v>40</v>
      </c>
      <c r="D2243">
        <v>3.6165630000000002</v>
      </c>
      <c r="E2243">
        <v>0.55178669999999996</v>
      </c>
      <c r="F2243" t="s">
        <v>41</v>
      </c>
      <c r="G2243">
        <v>-398.9067</v>
      </c>
      <c r="H2243">
        <v>1.0451349999999999</v>
      </c>
      <c r="I2243">
        <v>284.51029999999997</v>
      </c>
      <c r="J2243">
        <v>-398.34649999999999</v>
      </c>
      <c r="K2243">
        <v>1.1105210000000001</v>
      </c>
      <c r="L2243">
        <v>284.40809999999999</v>
      </c>
      <c r="M2243">
        <v>-0.99982570000000004</v>
      </c>
      <c r="N2243">
        <v>0</v>
      </c>
      <c r="O2243">
        <v>1.137705E-2</v>
      </c>
      <c r="P2243">
        <v>-0.98362229999999995</v>
      </c>
      <c r="Q2243">
        <v>0.17930499999999999</v>
      </c>
      <c r="R2243">
        <v>-1.83603E-2</v>
      </c>
      <c r="S2243">
        <v>-3.0968930000000001</v>
      </c>
      <c r="T2243">
        <v>-0.22096879999999999</v>
      </c>
      <c r="U2243">
        <v>0.35818480000000003</v>
      </c>
      <c r="V2243">
        <v>-2.9615559999999999E-2</v>
      </c>
      <c r="W2243">
        <v>0.19383349999999999</v>
      </c>
      <c r="X2243">
        <v>0.98058730000000005</v>
      </c>
      <c r="Y2243">
        <v>0.103352399999999</v>
      </c>
      <c r="Z2243">
        <v>2.8623210000000001E-3</v>
      </c>
      <c r="AA2243">
        <v>0.99464070000000004</v>
      </c>
      <c r="AB2243">
        <v>37</v>
      </c>
      <c r="AC2243">
        <v>-0.56020000000000802</v>
      </c>
      <c r="AD2243">
        <v>-6.5385999999999694E-2</v>
      </c>
      <c r="AE2243">
        <v>0.102199999999982</v>
      </c>
      <c r="AF2243">
        <v>9.4572371094072002E-2</v>
      </c>
      <c r="AG2243">
        <v>-6.5385999999999694E-2</v>
      </c>
      <c r="AH2243">
        <v>0.55402208311216805</v>
      </c>
      <c r="AI2243">
        <v>96.635832161544798</v>
      </c>
      <c r="AJ2243">
        <v>80.312898145634705</v>
      </c>
      <c r="AK2243">
        <v>0.56582659087948595</v>
      </c>
      <c r="AL2243">
        <v>78.823411807016996</v>
      </c>
      <c r="AM2243">
        <v>91.729913237273493</v>
      </c>
      <c r="AN2243">
        <v>0.99999998001882595</v>
      </c>
    </row>
    <row r="2244" spans="1:40" x14ac:dyDescent="0.25">
      <c r="A2244" t="str">
        <f>"20190312172413603"</f>
        <v>20190312172413603</v>
      </c>
      <c r="B2244" t="str">
        <f>"1552382653592721"</f>
        <v>1552382653592721</v>
      </c>
      <c r="C2244" t="s">
        <v>40</v>
      </c>
      <c r="D2244">
        <v>3.5997979999999998</v>
      </c>
      <c r="E2244">
        <v>0.55187790000000003</v>
      </c>
      <c r="F2244" t="s">
        <v>41</v>
      </c>
      <c r="G2244">
        <v>-399.23439999999999</v>
      </c>
      <c r="H2244">
        <v>1.047261</v>
      </c>
      <c r="I2244">
        <v>284.51119999999997</v>
      </c>
      <c r="J2244">
        <v>-398.5403</v>
      </c>
      <c r="K2244">
        <v>1.110522</v>
      </c>
      <c r="L2244">
        <v>284.41019999999997</v>
      </c>
      <c r="M2244">
        <v>-0.99982669999999996</v>
      </c>
      <c r="N2244">
        <v>0</v>
      </c>
      <c r="O2244">
        <v>1.1294759999999999E-2</v>
      </c>
      <c r="P2244">
        <v>-0.98363789999999995</v>
      </c>
      <c r="Q2244">
        <v>0.17921799999999999</v>
      </c>
      <c r="R2244">
        <v>-1.8369750000000001E-2</v>
      </c>
      <c r="S2244">
        <v>-3.096924</v>
      </c>
      <c r="T2244">
        <v>-0.22070919999999999</v>
      </c>
      <c r="U2244">
        <v>0.35928339999999998</v>
      </c>
      <c r="V2244">
        <v>-2.9544549999999999E-2</v>
      </c>
      <c r="W2244">
        <v>0.19374459999999999</v>
      </c>
      <c r="X2244">
        <v>0.98060700000000001</v>
      </c>
      <c r="Y2244">
        <v>0.1037806</v>
      </c>
      <c r="Z2244">
        <v>2.8799030000000001E-3</v>
      </c>
      <c r="AA2244">
        <v>0.99459609999999998</v>
      </c>
      <c r="AB2244">
        <v>36</v>
      </c>
      <c r="AC2244">
        <v>-0.69409999999999095</v>
      </c>
      <c r="AD2244">
        <v>-6.3260999999999998E-2</v>
      </c>
      <c r="AE2244">
        <v>0.10099999999999899</v>
      </c>
      <c r="AF2244">
        <v>9.2401369916304196E-2</v>
      </c>
      <c r="AG2244">
        <v>-6.3260999999999998E-2</v>
      </c>
      <c r="AH2244">
        <v>0.68958719619699305</v>
      </c>
      <c r="AI2244">
        <v>95.195324932134397</v>
      </c>
      <c r="AJ2244">
        <v>82.368100451907793</v>
      </c>
      <c r="AK2244">
        <v>0.69862040368303002</v>
      </c>
      <c r="AL2244">
        <v>78.828603706355395</v>
      </c>
      <c r="AM2244">
        <v>91.725733241480796</v>
      </c>
      <c r="AN2244">
        <v>0.99999996945642999</v>
      </c>
    </row>
    <row r="2245" spans="1:40" x14ac:dyDescent="0.25">
      <c r="A2245" t="str">
        <f>"20190312172413618"</f>
        <v>20190312172413618</v>
      </c>
      <c r="B2245" t="str">
        <f>"1552382653612240"</f>
        <v>1552382653612240</v>
      </c>
      <c r="C2245" t="s">
        <v>40</v>
      </c>
      <c r="D2245">
        <v>3.619132</v>
      </c>
      <c r="E2245">
        <v>0.55206359999999999</v>
      </c>
      <c r="F2245" t="s">
        <v>41</v>
      </c>
      <c r="G2245">
        <v>-399.5532</v>
      </c>
      <c r="H2245">
        <v>1.038278</v>
      </c>
      <c r="I2245">
        <v>284.52809999999999</v>
      </c>
      <c r="J2245">
        <v>-398.77280000000002</v>
      </c>
      <c r="K2245">
        <v>1.1105229999999999</v>
      </c>
      <c r="L2245">
        <v>284.4128</v>
      </c>
      <c r="M2245">
        <v>-0.99982789999999999</v>
      </c>
      <c r="N2245">
        <v>0</v>
      </c>
      <c r="O2245">
        <v>1.11959E-2</v>
      </c>
      <c r="P2245">
        <v>-0.98357499999999998</v>
      </c>
      <c r="Q2245">
        <v>0.17957429999999999</v>
      </c>
      <c r="R2245">
        <v>-1.8268360000000001E-2</v>
      </c>
      <c r="S2245">
        <v>-3.0968629999999999</v>
      </c>
      <c r="T2245">
        <v>-0.22092139999999999</v>
      </c>
      <c r="U2245">
        <v>0.36007689999999998</v>
      </c>
      <c r="V2245">
        <v>-2.9345130000000001E-2</v>
      </c>
      <c r="W2245">
        <v>0.19409770000000001</v>
      </c>
      <c r="X2245">
        <v>0.98054319999999895</v>
      </c>
      <c r="Y2245">
        <v>0.1041311</v>
      </c>
      <c r="Z2245">
        <v>2.9021400000000001E-3</v>
      </c>
      <c r="AA2245">
        <v>0.99455930000000003</v>
      </c>
      <c r="AB2245">
        <v>36</v>
      </c>
      <c r="AC2245">
        <v>-0.78039999999998599</v>
      </c>
      <c r="AD2245">
        <v>-7.2244999999999795E-2</v>
      </c>
      <c r="AE2245">
        <v>0.11529999999998999</v>
      </c>
      <c r="AF2245">
        <v>0.105668302667241</v>
      </c>
      <c r="AG2245">
        <v>-7.2244999999999795E-2</v>
      </c>
      <c r="AH2245">
        <v>0.77514105116831</v>
      </c>
      <c r="AI2245">
        <v>95.276200887340593</v>
      </c>
      <c r="AJ2245">
        <v>82.237210553589406</v>
      </c>
      <c r="AK2245">
        <v>0.78563908979880004</v>
      </c>
      <c r="AL2245">
        <v>78.807981553690396</v>
      </c>
      <c r="AM2245">
        <v>91.7142033108275</v>
      </c>
      <c r="AN2245">
        <v>1.0000000104331199</v>
      </c>
    </row>
    <row r="2246" spans="1:40" x14ac:dyDescent="0.25">
      <c r="A2246" t="str">
        <f>"20190312172413637"</f>
        <v>20190312172413637</v>
      </c>
      <c r="B2246" t="str">
        <f>"1552382653631761"</f>
        <v>1552382653631761</v>
      </c>
      <c r="C2246" t="s">
        <v>40</v>
      </c>
      <c r="D2246">
        <v>3.6129630000000001</v>
      </c>
      <c r="E2246">
        <v>0.55223120000000003</v>
      </c>
      <c r="F2246" t="s">
        <v>48</v>
      </c>
      <c r="G2246">
        <v>-414.41180000000003</v>
      </c>
      <c r="H2246" s="1">
        <v>2.846393E-6</v>
      </c>
      <c r="I2246">
        <v>286.24</v>
      </c>
      <c r="J2246">
        <v>-399.08249999999998</v>
      </c>
      <c r="K2246">
        <v>1.1105290000000001</v>
      </c>
      <c r="L2246">
        <v>284.41609999999997</v>
      </c>
      <c r="M2246">
        <v>-0.99982950000000004</v>
      </c>
      <c r="N2246">
        <v>0</v>
      </c>
      <c r="O2246">
        <v>1.1064330000000001E-2</v>
      </c>
      <c r="P2246">
        <v>-0.98358670000000004</v>
      </c>
      <c r="Q2246">
        <v>0.17955779999999999</v>
      </c>
      <c r="R2246">
        <v>-1.7791109999999999E-2</v>
      </c>
      <c r="S2246">
        <v>-3.0969850000000001</v>
      </c>
      <c r="T2246">
        <v>-0.21991569999999999</v>
      </c>
      <c r="U2246">
        <v>0.36184690000000003</v>
      </c>
      <c r="V2246">
        <v>-2.8738349999999999E-2</v>
      </c>
      <c r="W2246">
        <v>0.19407859999999999</v>
      </c>
      <c r="X2246">
        <v>0.98056500000000002</v>
      </c>
      <c r="Y2246">
        <v>0.1048183</v>
      </c>
      <c r="Z2246">
        <v>2.9223399999999998E-3</v>
      </c>
      <c r="AA2246">
        <v>0.99448709999999996</v>
      </c>
      <c r="AB2246">
        <v>36</v>
      </c>
      <c r="AC2246">
        <v>-15.3293</v>
      </c>
      <c r="AD2246">
        <v>-1.1105261536069999</v>
      </c>
      <c r="AE2246">
        <v>1.8239000000000301</v>
      </c>
      <c r="AF2246">
        <v>1.6456451943622901</v>
      </c>
      <c r="AG2246">
        <v>-1.1105261536069999</v>
      </c>
      <c r="AH2246">
        <v>15.2695245519586</v>
      </c>
      <c r="AI2246">
        <v>94.135833513446897</v>
      </c>
      <c r="AJ2246">
        <v>83.848793948936802</v>
      </c>
      <c r="AK2246">
        <v>15.398045216404601</v>
      </c>
      <c r="AL2246">
        <v>78.809097649823201</v>
      </c>
      <c r="AM2246">
        <v>91.678741296776593</v>
      </c>
      <c r="AN2246">
        <v>1.00000005748183</v>
      </c>
    </row>
    <row r="2247" spans="1:40" x14ac:dyDescent="0.25">
      <c r="A2247" t="str">
        <f>"20190312172413660"</f>
        <v>20190312172413660</v>
      </c>
      <c r="B2247" t="str">
        <f>"1552382653652272"</f>
        <v>1552382653652272</v>
      </c>
      <c r="C2247" t="s">
        <v>40</v>
      </c>
      <c r="D2247">
        <v>3.6023450000000001</v>
      </c>
      <c r="E2247">
        <v>0.55241879999999999</v>
      </c>
      <c r="F2247" t="s">
        <v>48</v>
      </c>
      <c r="G2247">
        <v>-414.74220000000003</v>
      </c>
      <c r="H2247" s="1">
        <v>2.9033039999999999E-6</v>
      </c>
      <c r="I2247">
        <v>286.25940000000003</v>
      </c>
      <c r="J2247">
        <v>-399.44659999999999</v>
      </c>
      <c r="K2247">
        <v>1.110536</v>
      </c>
      <c r="L2247">
        <v>284.42</v>
      </c>
      <c r="M2247">
        <v>-0.99983109999999997</v>
      </c>
      <c r="N2247">
        <v>0</v>
      </c>
      <c r="O2247">
        <v>1.090964E-2</v>
      </c>
      <c r="P2247">
        <v>-0.98355630000000005</v>
      </c>
      <c r="Q2247">
        <v>0.17972969999999999</v>
      </c>
      <c r="R2247">
        <v>-1.7736599999999901E-2</v>
      </c>
      <c r="S2247">
        <v>-3.0967709999999999</v>
      </c>
      <c r="T2247">
        <v>-0.21961069999999999</v>
      </c>
      <c r="U2247">
        <v>0.36453249999999998</v>
      </c>
      <c r="V2247">
        <v>-2.8531190000000001E-2</v>
      </c>
      <c r="W2247">
        <v>0.19424649999999999</v>
      </c>
      <c r="X2247">
        <v>0.98053780000000001</v>
      </c>
      <c r="Y2247">
        <v>0.10582850000000001</v>
      </c>
      <c r="Z2247">
        <v>2.9649189999999999E-3</v>
      </c>
      <c r="AA2247">
        <v>0.99438000000000004</v>
      </c>
      <c r="AB2247">
        <v>36</v>
      </c>
      <c r="AC2247">
        <v>-15.2956</v>
      </c>
      <c r="AD2247">
        <v>-1.1105330966960001</v>
      </c>
      <c r="AE2247">
        <v>1.8394000000000099</v>
      </c>
      <c r="AF2247">
        <v>1.66375738126101</v>
      </c>
      <c r="AG2247">
        <v>-1.1105330966960001</v>
      </c>
      <c r="AH2247">
        <v>15.2355902011704</v>
      </c>
      <c r="AI2247">
        <v>94.144406243409904</v>
      </c>
      <c r="AJ2247">
        <v>83.767879119128494</v>
      </c>
      <c r="AK2247">
        <v>15.3663457321693</v>
      </c>
      <c r="AL2247">
        <v>78.799291028484802</v>
      </c>
      <c r="AM2247">
        <v>91.666693169571602</v>
      </c>
      <c r="AN2247">
        <v>1.0000000543969501</v>
      </c>
    </row>
    <row r="2248" spans="1:40" x14ac:dyDescent="0.25">
      <c r="A2248" t="str">
        <f>"20190312172413681"</f>
        <v>20190312172413681</v>
      </c>
      <c r="B2248" t="str">
        <f>"1552382653671780"</f>
        <v>1552382653671780</v>
      </c>
      <c r="C2248" t="s">
        <v>40</v>
      </c>
      <c r="D2248">
        <v>3.6181199999999998</v>
      </c>
      <c r="E2248">
        <v>0.55257819999999902</v>
      </c>
      <c r="F2248" t="s">
        <v>48</v>
      </c>
      <c r="G2248">
        <v>-415.1748</v>
      </c>
      <c r="H2248" s="1">
        <v>2.9781989999999999E-6</v>
      </c>
      <c r="I2248">
        <v>286.28039999999999</v>
      </c>
      <c r="J2248">
        <v>-399.80009999999999</v>
      </c>
      <c r="K2248">
        <v>1.1105400000000001</v>
      </c>
      <c r="L2248">
        <v>284.4237</v>
      </c>
      <c r="M2248">
        <v>-0.99983290000000002</v>
      </c>
      <c r="N2248">
        <v>0</v>
      </c>
      <c r="O2248">
        <v>1.0759309999999999E-2</v>
      </c>
      <c r="P2248">
        <v>-0.98350190000000004</v>
      </c>
      <c r="Q2248">
        <v>0.1799914</v>
      </c>
      <c r="R2248">
        <v>-1.8098679999999999E-2</v>
      </c>
      <c r="S2248">
        <v>-3.0967410000000002</v>
      </c>
      <c r="T2248">
        <v>-0.2186536</v>
      </c>
      <c r="U2248">
        <v>0.36630249999999998</v>
      </c>
      <c r="V2248">
        <v>-2.8744760000000001E-2</v>
      </c>
      <c r="W2248">
        <v>0.1945037</v>
      </c>
      <c r="X2248">
        <v>0.98048049999999998</v>
      </c>
      <c r="Y2248">
        <v>0.1065396</v>
      </c>
      <c r="Z2248">
        <v>2.9875090000000002E-3</v>
      </c>
      <c r="AA2248">
        <v>0.99430390000000002</v>
      </c>
      <c r="AB2248">
        <v>36</v>
      </c>
      <c r="AC2248">
        <v>-15.374700000000001</v>
      </c>
      <c r="AD2248">
        <v>-1.11053702180099</v>
      </c>
      <c r="AE2248">
        <v>1.85669999999998</v>
      </c>
      <c r="AF2248">
        <v>1.6825011994266399</v>
      </c>
      <c r="AG2248">
        <v>-1.11053702180099</v>
      </c>
      <c r="AH2248">
        <v>15.3150330174826</v>
      </c>
      <c r="AI2248">
        <v>94.1227046989505</v>
      </c>
      <c r="AJ2248">
        <v>83.730657925657795</v>
      </c>
      <c r="AK2248">
        <v>15.447146632612901</v>
      </c>
      <c r="AL2248">
        <v>78.784267188016301</v>
      </c>
      <c r="AM2248">
        <v>91.679260147571199</v>
      </c>
      <c r="AN2248">
        <v>0.99999998071069796</v>
      </c>
    </row>
    <row r="2249" spans="1:40" x14ac:dyDescent="0.25">
      <c r="A2249" t="str">
        <f>"20190312172413696"</f>
        <v>20190312172413696</v>
      </c>
      <c r="B2249" t="str">
        <f>"1552382653692276"</f>
        <v>1552382653692276</v>
      </c>
      <c r="C2249" t="s">
        <v>40</v>
      </c>
      <c r="D2249">
        <v>3.620428</v>
      </c>
      <c r="E2249">
        <v>0.55265489999999995</v>
      </c>
      <c r="F2249" t="s">
        <v>41</v>
      </c>
      <c r="G2249">
        <v>-400.85079999999999</v>
      </c>
      <c r="H2249">
        <v>1.036613</v>
      </c>
      <c r="I2249">
        <v>284.54790000000003</v>
      </c>
      <c r="J2249">
        <v>-400.03269999999998</v>
      </c>
      <c r="K2249">
        <v>1.1105389999999999</v>
      </c>
      <c r="L2249">
        <v>284.42610000000002</v>
      </c>
      <c r="M2249">
        <v>-0.99983390000000005</v>
      </c>
      <c r="N2249">
        <v>0</v>
      </c>
      <c r="O2249">
        <v>1.066021E-2</v>
      </c>
      <c r="P2249">
        <v>-0.98351869999999997</v>
      </c>
      <c r="Q2249">
        <v>0.1798824</v>
      </c>
      <c r="R2249">
        <v>-1.8266629999999999E-2</v>
      </c>
      <c r="S2249">
        <v>-3.096924</v>
      </c>
      <c r="T2249">
        <v>-0.21784000000000001</v>
      </c>
      <c r="U2249">
        <v>0.36627199999999999</v>
      </c>
      <c r="V2249">
        <v>-2.8815540000000001E-2</v>
      </c>
      <c r="W2249">
        <v>0.19439239999999999</v>
      </c>
      <c r="X2249">
        <v>0.9805005</v>
      </c>
      <c r="Y2249">
        <v>0.106623</v>
      </c>
      <c r="Z2249">
        <v>2.9861010000000001E-3</v>
      </c>
      <c r="AA2249">
        <v>0.99429509999999999</v>
      </c>
      <c r="AB2249">
        <v>36</v>
      </c>
      <c r="AC2249">
        <v>-0.81810000000001504</v>
      </c>
      <c r="AD2249">
        <v>-7.3925999999999895E-2</v>
      </c>
      <c r="AE2249">
        <v>0.121800000000007</v>
      </c>
      <c r="AF2249">
        <v>0.112174907631447</v>
      </c>
      <c r="AG2249">
        <v>-7.3925999999999895E-2</v>
      </c>
      <c r="AH2249">
        <v>0.81285861205752596</v>
      </c>
      <c r="AI2249">
        <v>95.147987124126999</v>
      </c>
      <c r="AJ2249">
        <v>82.142780079926197</v>
      </c>
      <c r="AK2249">
        <v>0.82388554215631804</v>
      </c>
      <c r="AL2249">
        <v>78.790768350759393</v>
      </c>
      <c r="AM2249">
        <v>91.683358399739305</v>
      </c>
      <c r="AN2249">
        <v>0.99999998551174996</v>
      </c>
    </row>
    <row r="2250" spans="1:40" x14ac:dyDescent="0.25">
      <c r="A2250" t="str">
        <f>"20190312172413715"</f>
        <v>20190312172413715</v>
      </c>
      <c r="B2250" t="str">
        <f>"1552382653712772"</f>
        <v>1552382653712772</v>
      </c>
      <c r="C2250" t="s">
        <v>40</v>
      </c>
      <c r="D2250">
        <v>3.6107420000000001</v>
      </c>
      <c r="E2250">
        <v>0.55814459999999999</v>
      </c>
      <c r="F2250" t="s">
        <v>41</v>
      </c>
      <c r="G2250">
        <v>-400.87049999999999</v>
      </c>
      <c r="H2250">
        <v>1.0515319999999999</v>
      </c>
      <c r="I2250">
        <v>284.52510000000001</v>
      </c>
      <c r="J2250">
        <v>-400.3485</v>
      </c>
      <c r="K2250">
        <v>1.110538</v>
      </c>
      <c r="L2250">
        <v>284.42930000000001</v>
      </c>
      <c r="M2250">
        <v>-0.99983529999999998</v>
      </c>
      <c r="N2250">
        <v>0</v>
      </c>
      <c r="O2250">
        <v>1.0526260000000001E-2</v>
      </c>
      <c r="P2250">
        <v>-0.98347569999999995</v>
      </c>
      <c r="Q2250">
        <v>0.18007699999999999</v>
      </c>
      <c r="R2250">
        <v>-1.8653960000000001E-2</v>
      </c>
      <c r="S2250">
        <v>-3.096924</v>
      </c>
      <c r="T2250">
        <v>-0.21808530000000001</v>
      </c>
      <c r="U2250">
        <v>0.36608889999999999</v>
      </c>
      <c r="V2250">
        <v>-2.907063E-2</v>
      </c>
      <c r="W2250">
        <v>0.19458329999999999</v>
      </c>
      <c r="X2250">
        <v>0.98045510000000002</v>
      </c>
      <c r="Y2250">
        <v>0.10669720000000001</v>
      </c>
      <c r="Z2250">
        <v>3.0014529999999998E-3</v>
      </c>
      <c r="AA2250">
        <v>0.99428700000000003</v>
      </c>
      <c r="AB2250">
        <v>36</v>
      </c>
      <c r="AC2250">
        <v>-0.52199999999999103</v>
      </c>
      <c r="AD2250">
        <v>-5.90060000000001E-2</v>
      </c>
      <c r="AE2250">
        <v>9.5799999999996999E-2</v>
      </c>
      <c r="AF2250">
        <v>8.9196793369726093E-2</v>
      </c>
      <c r="AG2250">
        <v>-5.90060000000001E-2</v>
      </c>
      <c r="AH2250">
        <v>0.516593820901595</v>
      </c>
      <c r="AI2250">
        <v>96.421943636440503</v>
      </c>
      <c r="AJ2250">
        <v>80.203710604060205</v>
      </c>
      <c r="AK2250">
        <v>0.527548056367522</v>
      </c>
      <c r="AL2250">
        <v>78.779617630452606</v>
      </c>
      <c r="AM2250">
        <v>91.698330258618299</v>
      </c>
      <c r="AN2250">
        <v>0.99999998264174805</v>
      </c>
    </row>
    <row r="2251" spans="1:40" x14ac:dyDescent="0.25">
      <c r="A2251" t="str">
        <f>"20190312172413738"</f>
        <v>20190312172413738</v>
      </c>
      <c r="B2251" t="str">
        <f>"1552382653732296"</f>
        <v>1552382653732296</v>
      </c>
      <c r="C2251" t="s">
        <v>40</v>
      </c>
      <c r="D2251">
        <v>3.6099640000000002</v>
      </c>
      <c r="E2251">
        <v>0.56350559999999905</v>
      </c>
      <c r="F2251" t="s">
        <v>48</v>
      </c>
      <c r="G2251">
        <v>-416.01670000000001</v>
      </c>
      <c r="H2251" s="1">
        <v>3.1085150000000002E-6</v>
      </c>
      <c r="I2251">
        <v>286.49799999999999</v>
      </c>
      <c r="J2251">
        <v>-400.71420000000001</v>
      </c>
      <c r="K2251">
        <v>1.1105320000000001</v>
      </c>
      <c r="L2251">
        <v>284.43299999999999</v>
      </c>
      <c r="M2251">
        <v>-0.99983710000000003</v>
      </c>
      <c r="N2251">
        <v>0</v>
      </c>
      <c r="O2251">
        <v>1.0370849999999999E-2</v>
      </c>
      <c r="P2251">
        <v>-0.98351909999999998</v>
      </c>
      <c r="Q2251">
        <v>0.17983189999999999</v>
      </c>
      <c r="R2251">
        <v>-1.8727899999999999E-2</v>
      </c>
      <c r="S2251">
        <v>-3.0984189999999998</v>
      </c>
      <c r="T2251">
        <v>-0.2196101</v>
      </c>
      <c r="U2251">
        <v>0.40908810000000001</v>
      </c>
      <c r="V2251">
        <v>-2.8991670000000001E-2</v>
      </c>
      <c r="W2251">
        <v>0.1943349</v>
      </c>
      <c r="X2251">
        <v>0.98050669999999995</v>
      </c>
      <c r="Y2251">
        <v>0.12033439999999999</v>
      </c>
      <c r="Z2251">
        <v>3.509931E-3</v>
      </c>
      <c r="AA2251">
        <v>0.99272720000000003</v>
      </c>
      <c r="AB2251">
        <v>36</v>
      </c>
      <c r="AC2251">
        <v>-15.3025</v>
      </c>
      <c r="AD2251">
        <v>-1.110528891485</v>
      </c>
      <c r="AE2251">
        <v>2.0649999999999902</v>
      </c>
      <c r="AF2251">
        <v>1.8963628034086399</v>
      </c>
      <c r="AG2251">
        <v>-1.110528891485</v>
      </c>
      <c r="AH2251">
        <v>15.2442447041359</v>
      </c>
      <c r="AI2251">
        <v>94.134824799623203</v>
      </c>
      <c r="AJ2251">
        <v>82.908913336692294</v>
      </c>
      <c r="AK2251">
        <v>15.401833101957401</v>
      </c>
      <c r="AL2251">
        <v>78.794126839278704</v>
      </c>
      <c r="AM2251">
        <v>91.693630959057302</v>
      </c>
      <c r="AN2251">
        <v>0.99999997951614406</v>
      </c>
    </row>
    <row r="2252" spans="1:40" x14ac:dyDescent="0.25">
      <c r="A2252" t="str">
        <f>"20190312172413750"</f>
        <v>20190312172413750</v>
      </c>
      <c r="B2252" t="str">
        <f>"1552382653742053"</f>
        <v>1552382653742053</v>
      </c>
      <c r="C2252" t="s">
        <v>40</v>
      </c>
      <c r="D2252">
        <v>3.609477</v>
      </c>
      <c r="E2252">
        <v>0.56350559999999905</v>
      </c>
      <c r="F2252" t="s">
        <v>48</v>
      </c>
      <c r="G2252">
        <v>-416.19569999999999</v>
      </c>
      <c r="H2252" s="1">
        <v>3.1236820000000002E-6</v>
      </c>
      <c r="I2252">
        <v>286.68779999999998</v>
      </c>
      <c r="J2252">
        <v>-400.9271</v>
      </c>
      <c r="K2252">
        <v>1.1105309999999999</v>
      </c>
      <c r="L2252">
        <v>284.43520000000001</v>
      </c>
      <c r="M2252">
        <v>-0.999838</v>
      </c>
      <c r="N2252">
        <v>0</v>
      </c>
      <c r="O2252">
        <v>1.028016E-2</v>
      </c>
      <c r="P2252">
        <v>-0.98350599999999999</v>
      </c>
      <c r="Q2252">
        <v>0.17988419999999999</v>
      </c>
      <c r="R2252">
        <v>-1.8917409999999999E-2</v>
      </c>
      <c r="S2252">
        <v>-3.0994869999999999</v>
      </c>
      <c r="T2252">
        <v>-0.22233339999999999</v>
      </c>
      <c r="U2252">
        <v>0.45141599999999998</v>
      </c>
      <c r="V2252">
        <v>-2.90919E-2</v>
      </c>
      <c r="W2252">
        <v>0.19438449999999999</v>
      </c>
      <c r="X2252">
        <v>0.98049390000000003</v>
      </c>
      <c r="Y2252">
        <v>0.13362979999999899</v>
      </c>
      <c r="Z2252">
        <v>4.0290609999999996E-3</v>
      </c>
      <c r="AA2252">
        <v>0.99102310000000005</v>
      </c>
      <c r="AB2252">
        <v>36</v>
      </c>
      <c r="AC2252">
        <v>-15.2685999999999</v>
      </c>
      <c r="AD2252">
        <v>-1.110527876318</v>
      </c>
      <c r="AE2252">
        <v>2.25259999999997</v>
      </c>
      <c r="AF2252">
        <v>2.0847068562736202</v>
      </c>
      <c r="AG2252">
        <v>-1.110527876318</v>
      </c>
      <c r="AH2252">
        <v>15.2121934530776</v>
      </c>
      <c r="AI2252">
        <v>94.136798642445896</v>
      </c>
      <c r="AJ2252">
        <v>82.196689085603495</v>
      </c>
      <c r="AK2252">
        <v>15.3944829239092</v>
      </c>
      <c r="AL2252">
        <v>78.791229729361007</v>
      </c>
      <c r="AM2252">
        <v>91.699504925250906</v>
      </c>
      <c r="AN2252">
        <v>0.99999998021153402</v>
      </c>
    </row>
    <row r="2253" spans="1:40" x14ac:dyDescent="0.25">
      <c r="A2253" t="str">
        <f>"20190312172413764"</f>
        <v>20190312172413764</v>
      </c>
      <c r="B2253" t="str">
        <f>"1552382653762549"</f>
        <v>1552382653762549</v>
      </c>
      <c r="C2253" t="s">
        <v>40</v>
      </c>
      <c r="D2253">
        <v>3.6685650000000001</v>
      </c>
      <c r="E2253">
        <v>0.59347119999999998</v>
      </c>
      <c r="F2253" t="s">
        <v>48</v>
      </c>
      <c r="G2253">
        <v>-416.41629999999998</v>
      </c>
      <c r="H2253" s="1">
        <v>3.162738E-6</v>
      </c>
      <c r="I2253">
        <v>286.68849999999998</v>
      </c>
      <c r="J2253">
        <v>-401.14870000000002</v>
      </c>
      <c r="K2253">
        <v>1.1105320000000001</v>
      </c>
      <c r="L2253">
        <v>284.43729999999999</v>
      </c>
      <c r="M2253">
        <v>-0.99983909999999998</v>
      </c>
      <c r="N2253">
        <v>0</v>
      </c>
      <c r="O2253">
        <v>1.0185420000000001E-2</v>
      </c>
      <c r="P2253">
        <v>-0.98354010000000003</v>
      </c>
      <c r="Q2253">
        <v>0.179672</v>
      </c>
      <c r="R2253">
        <v>-1.9162129999999999E-2</v>
      </c>
      <c r="S2253">
        <v>-3.0996090000000001</v>
      </c>
      <c r="T2253">
        <v>-0.2222325</v>
      </c>
      <c r="U2253">
        <v>0.45092769999999999</v>
      </c>
      <c r="V2253">
        <v>-2.9243249999999998E-2</v>
      </c>
      <c r="W2253">
        <v>0.19417019999999999</v>
      </c>
      <c r="X2253">
        <v>0.98053190000000001</v>
      </c>
      <c r="Y2253">
        <v>0.1335655</v>
      </c>
      <c r="Z2253">
        <v>4.0315790000000004E-3</v>
      </c>
      <c r="AA2253">
        <v>0.99103180000000002</v>
      </c>
      <c r="AB2253">
        <v>36</v>
      </c>
      <c r="AC2253">
        <v>-15.2675999999999</v>
      </c>
      <c r="AD2253">
        <v>-1.1105288372619999</v>
      </c>
      <c r="AE2253">
        <v>2.2511999999999799</v>
      </c>
      <c r="AF2253">
        <v>2.0847640408310402</v>
      </c>
      <c r="AG2253">
        <v>-1.1105288372619999</v>
      </c>
      <c r="AH2253">
        <v>15.2109746046756</v>
      </c>
      <c r="AI2253">
        <v>94.137124363570294</v>
      </c>
      <c r="AJ2253">
        <v>82.195860086309807</v>
      </c>
      <c r="AK2253">
        <v>15.393286323212999</v>
      </c>
      <c r="AL2253">
        <v>78.803747163437194</v>
      </c>
      <c r="AM2253">
        <v>91.708275171664198</v>
      </c>
      <c r="AN2253">
        <v>1.0000000205780999</v>
      </c>
    </row>
    <row r="2254" spans="1:40" x14ac:dyDescent="0.25">
      <c r="A2254" t="str">
        <f>"20190312172413777"</f>
        <v>20190312172413777</v>
      </c>
      <c r="B2254" t="str">
        <f>"1552382653772683"</f>
        <v>1552382653772683</v>
      </c>
      <c r="C2254" t="s">
        <v>40</v>
      </c>
      <c r="D2254">
        <v>3.5735130000000002</v>
      </c>
      <c r="E2254">
        <v>0.59335289999999996</v>
      </c>
      <c r="F2254" t="s">
        <v>48</v>
      </c>
      <c r="G2254">
        <v>-417.05860000000001</v>
      </c>
      <c r="H2254" s="1">
        <v>3.164585E-6</v>
      </c>
      <c r="I2254">
        <v>287.97070000000002</v>
      </c>
      <c r="J2254">
        <v>-401.35419999999999</v>
      </c>
      <c r="K2254">
        <v>1.1105320000000001</v>
      </c>
      <c r="L2254">
        <v>284.4393</v>
      </c>
      <c r="M2254">
        <v>-0.99983999999999995</v>
      </c>
      <c r="N2254">
        <v>0</v>
      </c>
      <c r="O2254">
        <v>1.009789E-2</v>
      </c>
      <c r="P2254">
        <v>-0.98354699999999995</v>
      </c>
      <c r="Q2254">
        <v>0.179594</v>
      </c>
      <c r="R2254">
        <v>-1.9539859999999999E-2</v>
      </c>
      <c r="S2254">
        <v>-3.10318</v>
      </c>
      <c r="T2254">
        <v>-0.21660570000000001</v>
      </c>
      <c r="U2254">
        <v>0.68917850000000003</v>
      </c>
      <c r="V2254">
        <v>-2.953501E-2</v>
      </c>
      <c r="W2254">
        <v>0.19409029999999999</v>
      </c>
      <c r="X2254">
        <v>0.98053900000000005</v>
      </c>
      <c r="Y2254">
        <v>0.20648050000000001</v>
      </c>
      <c r="Z2254">
        <v>6.4157959999999997E-3</v>
      </c>
      <c r="AA2254">
        <v>0.97842969999999896</v>
      </c>
      <c r="AB2254">
        <v>36</v>
      </c>
      <c r="AC2254">
        <v>-15.7044</v>
      </c>
      <c r="AD2254">
        <v>-1.110528835415</v>
      </c>
      <c r="AE2254">
        <v>3.5314000000000099</v>
      </c>
      <c r="AF2254">
        <v>3.35664417012593</v>
      </c>
      <c r="AG2254">
        <v>-1.110528835415</v>
      </c>
      <c r="AH2254">
        <v>15.664700960249</v>
      </c>
      <c r="AI2254">
        <v>93.965406531814097</v>
      </c>
      <c r="AJ2254">
        <v>77.905513820045499</v>
      </c>
      <c r="AK2254">
        <v>16.0587418732961</v>
      </c>
      <c r="AL2254">
        <v>78.808414164355099</v>
      </c>
      <c r="AM2254">
        <v>91.725295903232293</v>
      </c>
      <c r="AN2254">
        <v>1.0000000459453899</v>
      </c>
    </row>
    <row r="2255" spans="1:40" x14ac:dyDescent="0.25">
      <c r="A2255" t="str">
        <f>"20190312172413789"</f>
        <v>20190312172413789</v>
      </c>
      <c r="B2255" t="str">
        <f>"1552382653782442"</f>
        <v>1552382653782442</v>
      </c>
      <c r="C2255" t="s">
        <v>40</v>
      </c>
      <c r="D2255">
        <v>3.608482</v>
      </c>
      <c r="E2255">
        <v>0.59366560000000002</v>
      </c>
      <c r="F2255" t="s">
        <v>48</v>
      </c>
      <c r="G2255">
        <v>-417.3605</v>
      </c>
      <c r="H2255" s="1">
        <v>3.2170459999999999E-6</v>
      </c>
      <c r="I2255">
        <v>287.98309999999998</v>
      </c>
      <c r="J2255">
        <v>-401.54849999999999</v>
      </c>
      <c r="K2255">
        <v>1.1105339999999999</v>
      </c>
      <c r="L2255">
        <v>284.44119999999998</v>
      </c>
      <c r="M2255">
        <v>-0.99984070000000003</v>
      </c>
      <c r="N2255">
        <v>0</v>
      </c>
      <c r="O2255">
        <v>1.001524E-2</v>
      </c>
      <c r="P2255">
        <v>-0.98354200000000003</v>
      </c>
      <c r="Q2255">
        <v>0.17961949999999999</v>
      </c>
      <c r="R2255">
        <v>-1.9550149999999999E-2</v>
      </c>
      <c r="S2255">
        <v>-3.10318</v>
      </c>
      <c r="T2255">
        <v>-0.2153013</v>
      </c>
      <c r="U2255">
        <v>0.68704219999999905</v>
      </c>
      <c r="V2255">
        <v>-2.9464270000000001E-2</v>
      </c>
      <c r="W2255">
        <v>0.19411410000000001</v>
      </c>
      <c r="X2255">
        <v>0.98053630000000003</v>
      </c>
      <c r="Y2255">
        <v>0.20592579999999999</v>
      </c>
      <c r="Z2255">
        <v>6.3643819999999896E-3</v>
      </c>
      <c r="AA2255">
        <v>0.9785469</v>
      </c>
      <c r="AB2255">
        <v>36</v>
      </c>
      <c r="AC2255">
        <v>-15.811999999999999</v>
      </c>
      <c r="AD2255">
        <v>-1.1105307829540001</v>
      </c>
      <c r="AE2255">
        <v>3.5418999999999898</v>
      </c>
      <c r="AF2255">
        <v>3.3675266137833701</v>
      </c>
      <c r="AG2255">
        <v>-1.1105307829540001</v>
      </c>
      <c r="AH2255">
        <v>15.7725989296767</v>
      </c>
      <c r="AI2255">
        <v>93.938995427546601</v>
      </c>
      <c r="AJ2255">
        <v>77.948024930478894</v>
      </c>
      <c r="AK2255">
        <v>16.166273259810598</v>
      </c>
      <c r="AL2255">
        <v>78.807022787873606</v>
      </c>
      <c r="AM2255">
        <v>91.721170831339805</v>
      </c>
      <c r="AN2255">
        <v>0.99999993132156395</v>
      </c>
    </row>
    <row r="2256" spans="1:40" x14ac:dyDescent="0.25">
      <c r="A2256" t="str">
        <f>"20190312172413803"</f>
        <v>20190312172413803</v>
      </c>
      <c r="B2256" t="str">
        <f>"1552382653792202"</f>
        <v>1552382653792202</v>
      </c>
      <c r="C2256" t="s">
        <v>40</v>
      </c>
      <c r="D2256">
        <v>3.6560199999999998</v>
      </c>
      <c r="E2256">
        <v>0.59447329999999998</v>
      </c>
      <c r="F2256" t="s">
        <v>48</v>
      </c>
      <c r="G2256">
        <v>-417.54939999999999</v>
      </c>
      <c r="H2256" s="1">
        <v>3.2493559999999998E-6</v>
      </c>
      <c r="I2256">
        <v>287.99680000000001</v>
      </c>
      <c r="J2256">
        <v>-401.77719999999999</v>
      </c>
      <c r="K2256">
        <v>1.110536</v>
      </c>
      <c r="L2256">
        <v>284.44349999999997</v>
      </c>
      <c r="M2256">
        <v>-0.99984189999999995</v>
      </c>
      <c r="N2256">
        <v>0</v>
      </c>
      <c r="O2256">
        <v>9.9176339999999998E-3</v>
      </c>
      <c r="P2256">
        <v>-0.98352580000000001</v>
      </c>
      <c r="Q2256">
        <v>0.17967710000000001</v>
      </c>
      <c r="R2256">
        <v>-1.9841560000000001E-2</v>
      </c>
      <c r="S2256">
        <v>-3.1032410000000001</v>
      </c>
      <c r="T2256">
        <v>-0.2153784</v>
      </c>
      <c r="U2256">
        <v>0.68957519999999894</v>
      </c>
      <c r="V2256">
        <v>-2.9659379999999999E-2</v>
      </c>
      <c r="W2256">
        <v>0.1941688</v>
      </c>
      <c r="X2256">
        <v>0.98051969999999999</v>
      </c>
      <c r="Y2256">
        <v>0.20677599999999999</v>
      </c>
      <c r="Z2256">
        <v>6.4017789999999998E-3</v>
      </c>
      <c r="AA2256">
        <v>0.9783674</v>
      </c>
      <c r="AB2256">
        <v>36</v>
      </c>
      <c r="AC2256">
        <v>-15.7721999999999</v>
      </c>
      <c r="AD2256">
        <v>-1.1105327506439999</v>
      </c>
      <c r="AE2256">
        <v>3.5533000000000299</v>
      </c>
      <c r="AF2256">
        <v>3.38073426816656</v>
      </c>
      <c r="AG2256">
        <v>-1.1105327506439999</v>
      </c>
      <c r="AH2256">
        <v>15.732439449266799</v>
      </c>
      <c r="AI2256">
        <v>93.947909473198806</v>
      </c>
      <c r="AJ2256">
        <v>77.872177614365597</v>
      </c>
      <c r="AK2256">
        <v>16.1298573523468</v>
      </c>
      <c r="AL2256">
        <v>78.803829175609593</v>
      </c>
      <c r="AM2256">
        <v>91.7325906749372</v>
      </c>
      <c r="AN2256">
        <v>1.0000000419017501</v>
      </c>
    </row>
    <row r="2257" spans="1:40" x14ac:dyDescent="0.25">
      <c r="A2257" t="str">
        <f>"20190312172413816"</f>
        <v>20190312172413816</v>
      </c>
      <c r="B2257" t="str">
        <f>"1552382653812698"</f>
        <v>1552382653812698</v>
      </c>
      <c r="C2257" t="s">
        <v>40</v>
      </c>
      <c r="D2257">
        <v>3.5706039999999999</v>
      </c>
      <c r="E2257">
        <v>0.59490529999999997</v>
      </c>
      <c r="F2257" t="s">
        <v>48</v>
      </c>
      <c r="G2257">
        <v>-417.67520000000002</v>
      </c>
      <c r="H2257" s="1">
        <v>3.2710789999999898E-6</v>
      </c>
      <c r="I2257">
        <v>288.00360000000001</v>
      </c>
      <c r="J2257">
        <v>-401.99079999999998</v>
      </c>
      <c r="K2257">
        <v>1.110538</v>
      </c>
      <c r="L2257">
        <v>284.44549999999998</v>
      </c>
      <c r="M2257">
        <v>-0.99984269999999997</v>
      </c>
      <c r="N2257">
        <v>0</v>
      </c>
      <c r="O2257">
        <v>9.8267630000000005E-3</v>
      </c>
      <c r="P2257">
        <v>-0.98348469999999999</v>
      </c>
      <c r="Q2257">
        <v>0.17990300000000001</v>
      </c>
      <c r="R2257">
        <v>-1.982507E-2</v>
      </c>
      <c r="S2257">
        <v>-3.103882</v>
      </c>
      <c r="T2257">
        <v>-0.21681700000000001</v>
      </c>
      <c r="U2257">
        <v>0.69506840000000003</v>
      </c>
      <c r="V2257">
        <v>-2.9552849999999999E-2</v>
      </c>
      <c r="W2257">
        <v>0.19439200000000001</v>
      </c>
      <c r="X2257">
        <v>0.98047859999999998</v>
      </c>
      <c r="Y2257">
        <v>0.20846149999999999</v>
      </c>
      <c r="Z2257">
        <v>6.5062640000000003E-3</v>
      </c>
      <c r="AA2257">
        <v>0.97800889999999996</v>
      </c>
      <c r="AB2257">
        <v>36</v>
      </c>
      <c r="AC2257">
        <v>-15.6844</v>
      </c>
      <c r="AD2257">
        <v>-1.1105347289209999</v>
      </c>
      <c r="AE2257">
        <v>3.55810000000002</v>
      </c>
      <c r="AF2257">
        <v>3.3876323237743202</v>
      </c>
      <c r="AG2257">
        <v>-1.1105347289209999</v>
      </c>
      <c r="AH2257">
        <v>15.644020609069999</v>
      </c>
      <c r="AI2257">
        <v>93.968808458883103</v>
      </c>
      <c r="AJ2257">
        <v>77.781543316208698</v>
      </c>
      <c r="AK2257">
        <v>16.045084012314401</v>
      </c>
      <c r="AL2257">
        <v>78.790791343711803</v>
      </c>
      <c r="AM2257">
        <v>91.726443683887595</v>
      </c>
      <c r="AN2257">
        <v>0.99999995283253995</v>
      </c>
    </row>
    <row r="2258" spans="1:40" x14ac:dyDescent="0.25">
      <c r="A2258" t="str">
        <f>"20190312172413829"</f>
        <v>20190312172413829</v>
      </c>
      <c r="B2258" t="str">
        <f>"1552382653822458"</f>
        <v>1552382653822458</v>
      </c>
      <c r="C2258" t="s">
        <v>40</v>
      </c>
      <c r="D2258">
        <v>3.6672419999999999</v>
      </c>
      <c r="E2258">
        <v>0.59513749999999999</v>
      </c>
      <c r="F2258" t="s">
        <v>48</v>
      </c>
      <c r="G2258">
        <v>-418.03449999999998</v>
      </c>
      <c r="H2258" s="1">
        <v>3.3302840000000001E-6</v>
      </c>
      <c r="I2258">
        <v>288.05540000000002</v>
      </c>
      <c r="J2258">
        <v>-402.18439999999998</v>
      </c>
      <c r="K2258">
        <v>1.1105339999999999</v>
      </c>
      <c r="L2258">
        <v>284.44729999999998</v>
      </c>
      <c r="M2258">
        <v>-0.9998437</v>
      </c>
      <c r="N2258">
        <v>0</v>
      </c>
      <c r="O2258">
        <v>9.7442339999999992E-3</v>
      </c>
      <c r="P2258">
        <v>-0.98342669999999999</v>
      </c>
      <c r="Q2258">
        <v>0.1801835</v>
      </c>
      <c r="R2258">
        <v>-2.0148650000000001E-2</v>
      </c>
      <c r="S2258">
        <v>-3.1037599999999999</v>
      </c>
      <c r="T2258">
        <v>-0.21484039999999999</v>
      </c>
      <c r="U2258">
        <v>0.69836430000000005</v>
      </c>
      <c r="V2258">
        <v>-2.9795229999999999E-2</v>
      </c>
      <c r="W2258">
        <v>0.19466929999999999</v>
      </c>
      <c r="X2258">
        <v>0.98041630000000002</v>
      </c>
      <c r="Y2258">
        <v>0.20954490000000001</v>
      </c>
      <c r="Z2258">
        <v>6.4892200000000004E-3</v>
      </c>
      <c r="AA2258">
        <v>0.97777749999999997</v>
      </c>
      <c r="AB2258">
        <v>36</v>
      </c>
      <c r="AC2258">
        <v>-15.8500999999999</v>
      </c>
      <c r="AD2258">
        <v>-1.110530669716</v>
      </c>
      <c r="AE2258">
        <v>3.6081000000000301</v>
      </c>
      <c r="AF2258">
        <v>3.4374216570468401</v>
      </c>
      <c r="AG2258">
        <v>-1.110530669716</v>
      </c>
      <c r="AH2258">
        <v>15.810717638720099</v>
      </c>
      <c r="AI2258">
        <v>93.926379004671603</v>
      </c>
      <c r="AJ2258">
        <v>77.734156596778504</v>
      </c>
      <c r="AK2258">
        <v>16.218136091057101</v>
      </c>
      <c r="AL2258">
        <v>78.774594404857297</v>
      </c>
      <c r="AM2258">
        <v>91.740705108409003</v>
      </c>
      <c r="AN2258">
        <v>1.0000000066994601</v>
      </c>
    </row>
    <row r="2259" spans="1:40" x14ac:dyDescent="0.25">
      <c r="A2259" t="str">
        <f>"20190312172413841"</f>
        <v>20190312172413841</v>
      </c>
      <c r="B2259" t="str">
        <f>"1552382653832218"</f>
        <v>1552382653832218</v>
      </c>
      <c r="C2259" t="s">
        <v>40</v>
      </c>
      <c r="D2259">
        <v>3.983997</v>
      </c>
      <c r="E2259">
        <v>0.59510969999999996</v>
      </c>
      <c r="F2259" t="s">
        <v>48</v>
      </c>
      <c r="G2259">
        <v>-418.27550000000002</v>
      </c>
      <c r="H2259" s="1">
        <v>3.371582E-6</v>
      </c>
      <c r="I2259">
        <v>288.07209999999998</v>
      </c>
      <c r="J2259">
        <v>-402.38639999999998</v>
      </c>
      <c r="K2259">
        <v>1.110536</v>
      </c>
      <c r="L2259">
        <v>284.44920000000002</v>
      </c>
      <c r="M2259">
        <v>-0.99984450000000002</v>
      </c>
      <c r="N2259">
        <v>0</v>
      </c>
      <c r="O2259">
        <v>9.6581900000000005E-3</v>
      </c>
      <c r="P2259">
        <v>-0.98347519999999999</v>
      </c>
      <c r="Q2259">
        <v>0.17989740000000001</v>
      </c>
      <c r="R2259">
        <v>-2.0345240000000001E-2</v>
      </c>
      <c r="S2259">
        <v>-3.104095</v>
      </c>
      <c r="T2259">
        <v>-0.21422930000000001</v>
      </c>
      <c r="U2259">
        <v>0.69924929999999996</v>
      </c>
      <c r="V2259">
        <v>-2.9906820000000001E-2</v>
      </c>
      <c r="W2259">
        <v>0.1943821</v>
      </c>
      <c r="X2259">
        <v>0.98046990000000001</v>
      </c>
      <c r="Y2259">
        <v>0.20987339999999999</v>
      </c>
      <c r="Z2259">
        <v>6.4869630000000001E-3</v>
      </c>
      <c r="AA2259">
        <v>0.97770699999999999</v>
      </c>
      <c r="AB2259">
        <v>36</v>
      </c>
      <c r="AC2259">
        <v>-15.889099999999999</v>
      </c>
      <c r="AD2259">
        <v>-1.1105326284179999</v>
      </c>
      <c r="AE2259">
        <v>3.6228999999999498</v>
      </c>
      <c r="AF2259">
        <v>3.4532190417866202</v>
      </c>
      <c r="AG2259">
        <v>-1.1105326284179999</v>
      </c>
      <c r="AH2259">
        <v>15.8497536512794</v>
      </c>
      <c r="AI2259">
        <v>93.916371619590706</v>
      </c>
      <c r="AJ2259">
        <v>77.708924702316693</v>
      </c>
      <c r="AK2259">
        <v>16.259541668681301</v>
      </c>
      <c r="AL2259">
        <v>78.791370384707406</v>
      </c>
      <c r="AM2259">
        <v>91.747124959366303</v>
      </c>
      <c r="AN2259">
        <v>1.00000002174446</v>
      </c>
    </row>
    <row r="2260" spans="1:40" x14ac:dyDescent="0.25">
      <c r="A2260" t="str">
        <f>"20190312172413853"</f>
        <v>20190312172413853</v>
      </c>
      <c r="B2260" t="str">
        <f>"1552382653841979"</f>
        <v>1552382653841979</v>
      </c>
      <c r="C2260" t="s">
        <v>40</v>
      </c>
      <c r="D2260">
        <v>3.6477010000000001</v>
      </c>
      <c r="E2260">
        <v>0.59508399999999995</v>
      </c>
      <c r="F2260" t="s">
        <v>48</v>
      </c>
      <c r="G2260">
        <v>-418.38290000000001</v>
      </c>
      <c r="H2260" s="1">
        <v>3.392487E-6</v>
      </c>
      <c r="I2260">
        <v>288.05090000000001</v>
      </c>
      <c r="J2260">
        <v>-402.58179999999999</v>
      </c>
      <c r="K2260">
        <v>1.110535</v>
      </c>
      <c r="L2260">
        <v>284.45100000000002</v>
      </c>
      <c r="M2260">
        <v>-0.99984530000000005</v>
      </c>
      <c r="N2260">
        <v>0</v>
      </c>
      <c r="O2260">
        <v>9.5746530000000007E-3</v>
      </c>
      <c r="P2260">
        <v>-0.98344620000000005</v>
      </c>
      <c r="Q2260">
        <v>0.18002219999999999</v>
      </c>
      <c r="R2260">
        <v>-2.063214E-2</v>
      </c>
      <c r="S2260">
        <v>-3.104279</v>
      </c>
      <c r="T2260">
        <v>-0.21550929999999999</v>
      </c>
      <c r="U2260">
        <v>0.69894409999999996</v>
      </c>
      <c r="V2260">
        <v>-3.011132E-2</v>
      </c>
      <c r="W2260">
        <v>0.1945038</v>
      </c>
      <c r="X2260">
        <v>0.98043950000000002</v>
      </c>
      <c r="Y2260">
        <v>0.2098458</v>
      </c>
      <c r="Z2260">
        <v>6.5300990000000001E-3</v>
      </c>
      <c r="AA2260">
        <v>0.97771269999999999</v>
      </c>
      <c r="AB2260">
        <v>36</v>
      </c>
      <c r="AC2260">
        <v>-15.8011</v>
      </c>
      <c r="AD2260">
        <v>-1.1105316075130001</v>
      </c>
      <c r="AE2260">
        <v>3.5999000000000398</v>
      </c>
      <c r="AF2260">
        <v>3.43231093969839</v>
      </c>
      <c r="AG2260">
        <v>-1.1105316075130001</v>
      </c>
      <c r="AH2260">
        <v>15.760837146281199</v>
      </c>
      <c r="AI2260">
        <v>93.938472868177001</v>
      </c>
      <c r="AJ2260">
        <v>77.714254504757307</v>
      </c>
      <c r="AK2260">
        <v>16.168426837192801</v>
      </c>
      <c r="AL2260">
        <v>78.784261753304904</v>
      </c>
      <c r="AM2260">
        <v>91.759118662117999</v>
      </c>
      <c r="AN2260">
        <v>1.00000001648341</v>
      </c>
    </row>
    <row r="2261" spans="1:40" x14ac:dyDescent="0.25">
      <c r="A2261" t="str">
        <f>"20190312172413868"</f>
        <v>20190312172413868</v>
      </c>
      <c r="B2261" t="str">
        <f>"1552382653862474"</f>
        <v>1552382653862474</v>
      </c>
      <c r="C2261" t="s">
        <v>40</v>
      </c>
      <c r="D2261">
        <v>3.650385</v>
      </c>
      <c r="E2261">
        <v>0.59508719999999904</v>
      </c>
      <c r="F2261" t="s">
        <v>48</v>
      </c>
      <c r="G2261">
        <v>-418.7</v>
      </c>
      <c r="H2261" s="1">
        <v>3.446718E-6</v>
      </c>
      <c r="I2261">
        <v>288.07389999999998</v>
      </c>
      <c r="J2261">
        <v>-402.81079999999997</v>
      </c>
      <c r="K2261">
        <v>1.110533</v>
      </c>
      <c r="L2261">
        <v>284.45310000000001</v>
      </c>
      <c r="M2261">
        <v>-0.99984629999999997</v>
      </c>
      <c r="N2261">
        <v>0</v>
      </c>
      <c r="O2261">
        <v>9.4768700000000001E-3</v>
      </c>
      <c r="P2261">
        <v>-0.98344279999999995</v>
      </c>
      <c r="Q2261">
        <v>0.18001429999999999</v>
      </c>
      <c r="R2261">
        <v>-2.0867230000000001E-2</v>
      </c>
      <c r="S2261">
        <v>-3.1042480000000001</v>
      </c>
      <c r="T2261">
        <v>-0.21387919999999999</v>
      </c>
      <c r="U2261">
        <v>0.69775390000000004</v>
      </c>
      <c r="V2261">
        <v>-3.0250240000000001E-2</v>
      </c>
      <c r="W2261">
        <v>0.19449350000000001</v>
      </c>
      <c r="X2261">
        <v>0.98043729999999996</v>
      </c>
      <c r="Y2261">
        <v>0.2095938</v>
      </c>
      <c r="Z2261">
        <v>6.4792299999999999E-3</v>
      </c>
      <c r="AA2261">
        <v>0.9777671</v>
      </c>
      <c r="AB2261">
        <v>36</v>
      </c>
      <c r="AC2261">
        <v>-15.889200000000001</v>
      </c>
      <c r="AD2261">
        <v>-1.1105295532819901</v>
      </c>
      <c r="AE2261">
        <v>3.6207999999999698</v>
      </c>
      <c r="AF2261">
        <v>3.45400153846722</v>
      </c>
      <c r="AG2261">
        <v>-1.1105295532819901</v>
      </c>
      <c r="AH2261">
        <v>15.849203962016199</v>
      </c>
      <c r="AI2261">
        <v>93.916449979248497</v>
      </c>
      <c r="AJ2261">
        <v>77.705810834210993</v>
      </c>
      <c r="AK2261">
        <v>16.2591718345688</v>
      </c>
      <c r="AL2261">
        <v>78.784863757632607</v>
      </c>
      <c r="AM2261">
        <v>91.767233267776007</v>
      </c>
      <c r="AN2261">
        <v>1.00000004889679</v>
      </c>
    </row>
    <row r="2262" spans="1:40" x14ac:dyDescent="0.25">
      <c r="A2262" t="str">
        <f>"20190312172413881"</f>
        <v>20190312172413881</v>
      </c>
      <c r="B2262" t="str">
        <f>"1552382653872235"</f>
        <v>1552382653872235</v>
      </c>
      <c r="C2262" t="s">
        <v>40</v>
      </c>
      <c r="D2262">
        <v>3.5823619999999998</v>
      </c>
      <c r="E2262">
        <v>0.59511000000000003</v>
      </c>
      <c r="F2262" t="s">
        <v>48</v>
      </c>
      <c r="G2262">
        <v>-419.11180000000002</v>
      </c>
      <c r="H2262" s="1">
        <v>3.5163300000000001E-6</v>
      </c>
      <c r="I2262">
        <v>288.11329999999998</v>
      </c>
      <c r="J2262">
        <v>-403.03739999999999</v>
      </c>
      <c r="K2262">
        <v>1.110533</v>
      </c>
      <c r="L2262">
        <v>284.45510000000002</v>
      </c>
      <c r="M2262">
        <v>-0.99984729999999999</v>
      </c>
      <c r="N2262">
        <v>0</v>
      </c>
      <c r="O2262">
        <v>9.3804549999999993E-3</v>
      </c>
      <c r="P2262">
        <v>-0.9834252</v>
      </c>
      <c r="Q2262">
        <v>0.1800756</v>
      </c>
      <c r="R2262">
        <v>-2.1163410000000001E-2</v>
      </c>
      <c r="S2262">
        <v>-3.1040040000000002</v>
      </c>
      <c r="T2262">
        <v>-0.21146419999999999</v>
      </c>
      <c r="U2262">
        <v>0.69696040000000004</v>
      </c>
      <c r="V2262">
        <v>-3.0451840000000001E-2</v>
      </c>
      <c r="W2262">
        <v>0.1945519</v>
      </c>
      <c r="X2262">
        <v>0.98041940000000005</v>
      </c>
      <c r="Y2262">
        <v>0.20947669999999999</v>
      </c>
      <c r="Z2262">
        <v>6.4094390000000003E-3</v>
      </c>
      <c r="AA2262">
        <v>0.97779260000000001</v>
      </c>
      <c r="AB2262">
        <v>36</v>
      </c>
      <c r="AC2262">
        <v>-16.074400000000001</v>
      </c>
      <c r="AD2262">
        <v>-1.1105294836699999</v>
      </c>
      <c r="AE2262">
        <v>3.6581999999999599</v>
      </c>
      <c r="AF2262">
        <v>3.4913936318008298</v>
      </c>
      <c r="AG2262">
        <v>-1.1105294836699999</v>
      </c>
      <c r="AH2262">
        <v>16.035244628388899</v>
      </c>
      <c r="AI2262">
        <v>93.871307855011693</v>
      </c>
      <c r="AJ2262">
        <v>77.716561620718494</v>
      </c>
      <c r="AK2262">
        <v>16.448470309379999</v>
      </c>
      <c r="AL2262">
        <v>78.781451718665593</v>
      </c>
      <c r="AM2262">
        <v>91.779035750883097</v>
      </c>
      <c r="AN2262">
        <v>0.999999978124677</v>
      </c>
    </row>
    <row r="2263" spans="1:40" x14ac:dyDescent="0.25">
      <c r="A2263" t="str">
        <f>"20190312172413894"</f>
        <v>20190312172413894</v>
      </c>
      <c r="B2263" t="str">
        <f>"1552382653892730"</f>
        <v>1552382653892730</v>
      </c>
      <c r="C2263" t="s">
        <v>40</v>
      </c>
      <c r="D2263">
        <v>3.6226400000000001</v>
      </c>
      <c r="E2263">
        <v>0.59597929999999999</v>
      </c>
      <c r="F2263" t="s">
        <v>48</v>
      </c>
      <c r="G2263">
        <v>-419.4015</v>
      </c>
      <c r="H2263" s="1">
        <v>3.5667199999999998E-6</v>
      </c>
      <c r="I2263">
        <v>288.12470000000002</v>
      </c>
      <c r="J2263">
        <v>-403.2432</v>
      </c>
      <c r="K2263">
        <v>1.110533</v>
      </c>
      <c r="L2263">
        <v>284.45699999999999</v>
      </c>
      <c r="M2263">
        <v>-0.99984810000000002</v>
      </c>
      <c r="N2263">
        <v>0</v>
      </c>
      <c r="O2263">
        <v>9.2925079999999997E-3</v>
      </c>
      <c r="P2263">
        <v>-0.98341529999999999</v>
      </c>
      <c r="Q2263">
        <v>0.18008940000000001</v>
      </c>
      <c r="R2263">
        <v>-2.1506069999999999E-2</v>
      </c>
      <c r="S2263">
        <v>-3.1041259999999999</v>
      </c>
      <c r="T2263">
        <v>-0.21065780000000001</v>
      </c>
      <c r="U2263">
        <v>0.69607540000000001</v>
      </c>
      <c r="V2263">
        <v>-3.070749E-2</v>
      </c>
      <c r="W2263">
        <v>0.19456319999999999</v>
      </c>
      <c r="X2263">
        <v>0.98040919999999998</v>
      </c>
      <c r="Y2263">
        <v>0.2092926</v>
      </c>
      <c r="Z2263">
        <v>6.3847280000000001E-3</v>
      </c>
      <c r="AA2263">
        <v>0.97783220000000004</v>
      </c>
      <c r="AB2263">
        <v>36</v>
      </c>
      <c r="AC2263">
        <v>-16.158299999999901</v>
      </c>
      <c r="AD2263">
        <v>-1.11052943328</v>
      </c>
      <c r="AE2263">
        <v>3.6677000000000199</v>
      </c>
      <c r="AF2263">
        <v>3.5016443819828398</v>
      </c>
      <c r="AG2263">
        <v>-1.11052943328</v>
      </c>
      <c r="AH2263">
        <v>16.119278476209399</v>
      </c>
      <c r="AI2263">
        <v>93.851584492093593</v>
      </c>
      <c r="AJ2263">
        <v>77.743869906700496</v>
      </c>
      <c r="AK2263">
        <v>16.5325717174806</v>
      </c>
      <c r="AL2263">
        <v>78.780791844864595</v>
      </c>
      <c r="AM2263">
        <v>91.7939800865379</v>
      </c>
      <c r="AN2263">
        <v>0.99999999409048901</v>
      </c>
    </row>
    <row r="2264" spans="1:40" x14ac:dyDescent="0.25">
      <c r="A2264" t="str">
        <f>"20190312172413917"</f>
        <v>20190312172413917</v>
      </c>
      <c r="B2264" t="str">
        <f>"1552382653912251"</f>
        <v>1552382653912251</v>
      </c>
      <c r="C2264" t="s">
        <v>40</v>
      </c>
      <c r="D2264">
        <v>3.5647850000000001</v>
      </c>
      <c r="E2264">
        <v>0.59679759999999904</v>
      </c>
      <c r="F2264" t="s">
        <v>48</v>
      </c>
      <c r="G2264">
        <v>-419.51749999999998</v>
      </c>
      <c r="H2264" s="1">
        <v>3.5861339999999999E-6</v>
      </c>
      <c r="I2264">
        <v>288.1379</v>
      </c>
      <c r="J2264">
        <v>-403.5838</v>
      </c>
      <c r="K2264">
        <v>1.110535</v>
      </c>
      <c r="L2264">
        <v>284.45999999999998</v>
      </c>
      <c r="M2264">
        <v>-0.99984960000000001</v>
      </c>
      <c r="N2264">
        <v>0</v>
      </c>
      <c r="O2264">
        <v>9.1469370000000008E-3</v>
      </c>
      <c r="P2264">
        <v>-0.98337810000000003</v>
      </c>
      <c r="Q2264">
        <v>0.18025140000000001</v>
      </c>
      <c r="R2264">
        <v>-2.185161E-2</v>
      </c>
      <c r="S2264">
        <v>-3.1047669999999998</v>
      </c>
      <c r="T2264">
        <v>-0.211863</v>
      </c>
      <c r="U2264">
        <v>0.70223999999999998</v>
      </c>
      <c r="V2264">
        <v>-3.0908930000000001E-2</v>
      </c>
      <c r="W2264">
        <v>0.19472120000000001</v>
      </c>
      <c r="X2264">
        <v>0.98037149999999995</v>
      </c>
      <c r="Y2264">
        <v>0.21123</v>
      </c>
      <c r="Z2264">
        <v>6.4935069999999999E-3</v>
      </c>
      <c r="AA2264">
        <v>0.97741480000000003</v>
      </c>
      <c r="AB2264">
        <v>36</v>
      </c>
      <c r="AC2264">
        <v>-15.9336999999999</v>
      </c>
      <c r="AD2264">
        <v>-1.1105314138660001</v>
      </c>
      <c r="AE2264">
        <v>3.6779000000000202</v>
      </c>
      <c r="AF2264">
        <v>3.51577117462609</v>
      </c>
      <c r="AG2264">
        <v>-1.1105314138660001</v>
      </c>
      <c r="AH2264">
        <v>15.8933790067318</v>
      </c>
      <c r="AI2264">
        <v>93.902929803358404</v>
      </c>
      <c r="AJ2264">
        <v>77.526481939931003</v>
      </c>
      <c r="AK2264">
        <v>16.315435122151602</v>
      </c>
      <c r="AL2264">
        <v>78.771562581753599</v>
      </c>
      <c r="AM2264">
        <v>91.805810157189896</v>
      </c>
      <c r="AN2264">
        <v>0.99999999284771701</v>
      </c>
    </row>
    <row r="2265" spans="1:40" x14ac:dyDescent="0.25">
      <c r="A2265" t="str">
        <f>"20190312172413940"</f>
        <v>20190312172413940</v>
      </c>
      <c r="B2265" t="str">
        <f>"1552382653932747"</f>
        <v>1552382653932747</v>
      </c>
      <c r="C2265" t="s">
        <v>40</v>
      </c>
      <c r="D2265">
        <v>3.541156</v>
      </c>
      <c r="E2265">
        <v>0.59764280000000003</v>
      </c>
      <c r="F2265" t="s">
        <v>48</v>
      </c>
      <c r="G2265">
        <v>-419.83629999999999</v>
      </c>
      <c r="H2265" s="1">
        <v>3.640701E-6</v>
      </c>
      <c r="I2265">
        <v>288.16059999999999</v>
      </c>
      <c r="J2265">
        <v>-403.96249999999998</v>
      </c>
      <c r="K2265">
        <v>1.110535</v>
      </c>
      <c r="L2265">
        <v>284.4633</v>
      </c>
      <c r="M2265">
        <v>-0.99985089999999999</v>
      </c>
      <c r="N2265">
        <v>0</v>
      </c>
      <c r="O2265">
        <v>8.9850399999999997E-3</v>
      </c>
      <c r="P2265">
        <v>-0.98337980000000003</v>
      </c>
      <c r="Q2265">
        <v>0.18019250000000001</v>
      </c>
      <c r="R2265">
        <v>-2.2249330000000001E-2</v>
      </c>
      <c r="S2265">
        <v>-3.1053160000000002</v>
      </c>
      <c r="T2265">
        <v>-0.2121857</v>
      </c>
      <c r="U2265">
        <v>0.70706179999999996</v>
      </c>
      <c r="V2265">
        <v>-3.114774E-2</v>
      </c>
      <c r="W2265">
        <v>0.19465850000000001</v>
      </c>
      <c r="X2265">
        <v>0.98037640000000004</v>
      </c>
      <c r="Y2265">
        <v>0.21278929999999999</v>
      </c>
      <c r="Z2265">
        <v>6.5646059999999997E-3</v>
      </c>
      <c r="AA2265">
        <v>0.9770761</v>
      </c>
      <c r="AB2265">
        <v>36</v>
      </c>
      <c r="AC2265">
        <v>-15.873799999999999</v>
      </c>
      <c r="AD2265">
        <v>-1.110531359299</v>
      </c>
      <c r="AE2265">
        <v>3.6972999999999798</v>
      </c>
      <c r="AF2265">
        <v>3.5380827863249502</v>
      </c>
      <c r="AG2265">
        <v>-1.110531359299</v>
      </c>
      <c r="AH2265">
        <v>15.8328782941414</v>
      </c>
      <c r="AI2265">
        <v>93.915932120305499</v>
      </c>
      <c r="AJ2265">
        <v>77.403394281008303</v>
      </c>
      <c r="AK2265">
        <v>16.261345109798601</v>
      </c>
      <c r="AL2265">
        <v>78.775225185848001</v>
      </c>
      <c r="AM2265">
        <v>91.819743856817098</v>
      </c>
      <c r="AN2265">
        <v>0.99999999950315799</v>
      </c>
    </row>
    <row r="2266" spans="1:40" x14ac:dyDescent="0.25">
      <c r="A2266" t="str">
        <f>"20190312172413961"</f>
        <v>20190312172413961</v>
      </c>
      <c r="B2266" t="str">
        <f>"1552382653952266"</f>
        <v>1552382653952266</v>
      </c>
      <c r="C2266" t="s">
        <v>40</v>
      </c>
      <c r="D2266">
        <v>3.5531100000000002</v>
      </c>
      <c r="E2266">
        <v>0.59801479999999996</v>
      </c>
      <c r="F2266" t="s">
        <v>48</v>
      </c>
      <c r="G2266">
        <v>-420.2561</v>
      </c>
      <c r="H2266" s="1">
        <v>3.6057500000000002E-6</v>
      </c>
      <c r="I2266">
        <v>288.20150000000001</v>
      </c>
      <c r="J2266">
        <v>-404.30079999999998</v>
      </c>
      <c r="K2266">
        <v>1.110536</v>
      </c>
      <c r="L2266">
        <v>284.46609999999998</v>
      </c>
      <c r="M2266">
        <v>-0.99985239999999997</v>
      </c>
      <c r="N2266">
        <v>0</v>
      </c>
      <c r="O2266">
        <v>8.8407099999999999E-3</v>
      </c>
      <c r="P2266">
        <v>-0.98339739999999998</v>
      </c>
      <c r="Q2266">
        <v>0.18006659999999999</v>
      </c>
      <c r="R2266">
        <v>-2.2490260000000002E-2</v>
      </c>
      <c r="S2266">
        <v>-3.1056520000000001</v>
      </c>
      <c r="T2266">
        <v>-0.21167349999999999</v>
      </c>
      <c r="U2266">
        <v>0.71252439999999995</v>
      </c>
      <c r="V2266">
        <v>-3.124673E-2</v>
      </c>
      <c r="W2266">
        <v>0.19452900000000001</v>
      </c>
      <c r="X2266">
        <v>0.98039900000000002</v>
      </c>
      <c r="Y2266">
        <v>0.2145387</v>
      </c>
      <c r="Z2266">
        <v>6.6153269999999998E-3</v>
      </c>
      <c r="AA2266">
        <v>0.97669309999999998</v>
      </c>
      <c r="AB2266">
        <v>36</v>
      </c>
      <c r="AC2266">
        <v>-15.955299999999999</v>
      </c>
      <c r="AD2266">
        <v>-1.1105323942500001</v>
      </c>
      <c r="AE2266">
        <v>3.7354000000000198</v>
      </c>
      <c r="AF2266">
        <v>3.5777505885482399</v>
      </c>
      <c r="AG2266">
        <v>-1.1105323942500001</v>
      </c>
      <c r="AH2266">
        <v>15.9146107960434</v>
      </c>
      <c r="AI2266">
        <v>93.894772216677794</v>
      </c>
      <c r="AJ2266">
        <v>77.330023341873996</v>
      </c>
      <c r="AK2266">
        <v>16.349569360141501</v>
      </c>
      <c r="AL2266">
        <v>78.782790103346798</v>
      </c>
      <c r="AM2266">
        <v>91.825481187675393</v>
      </c>
      <c r="AN2266">
        <v>1.00000004458884</v>
      </c>
    </row>
    <row r="2267" spans="1:40" x14ac:dyDescent="0.25">
      <c r="A2267" t="str">
        <f>"20190312172413984"</f>
        <v>20190312172413984</v>
      </c>
      <c r="B2267" t="str">
        <f>"1552382653972763"</f>
        <v>1552382653972763</v>
      </c>
      <c r="C2267" t="s">
        <v>40</v>
      </c>
      <c r="D2267">
        <v>3.5810309999999999</v>
      </c>
      <c r="E2267">
        <v>0.60674859999999997</v>
      </c>
      <c r="F2267" t="s">
        <v>48</v>
      </c>
      <c r="G2267">
        <v>-420.64179999999999</v>
      </c>
      <c r="H2267" s="1">
        <v>3.5348769999999998E-6</v>
      </c>
      <c r="I2267">
        <v>288.22969999999998</v>
      </c>
      <c r="J2267">
        <v>-404.65410000000003</v>
      </c>
      <c r="K2267">
        <v>1.1105339999999999</v>
      </c>
      <c r="L2267">
        <v>284.46910000000003</v>
      </c>
      <c r="M2267">
        <v>-0.99985369999999996</v>
      </c>
      <c r="N2267">
        <v>0</v>
      </c>
      <c r="O2267">
        <v>8.6900680000000004E-3</v>
      </c>
      <c r="P2267">
        <v>-0.98338729999999996</v>
      </c>
      <c r="Q2267">
        <v>0.18005739999999901</v>
      </c>
      <c r="R2267">
        <v>-2.2998629999999999E-2</v>
      </c>
      <c r="S2267">
        <v>-3.1056210000000002</v>
      </c>
      <c r="T2267">
        <v>-0.21105860000000001</v>
      </c>
      <c r="U2267">
        <v>0.71527099999999999</v>
      </c>
      <c r="V2267">
        <v>-3.1606780000000001E-2</v>
      </c>
      <c r="W2267">
        <v>0.19451589999999999</v>
      </c>
      <c r="X2267">
        <v>0.98038999999999998</v>
      </c>
      <c r="Y2267">
        <v>0.21550859999999999</v>
      </c>
      <c r="Z2267">
        <v>6.6381570000000004E-3</v>
      </c>
      <c r="AA2267">
        <v>0.9764794</v>
      </c>
      <c r="AB2267">
        <v>36</v>
      </c>
      <c r="AC2267">
        <v>-15.987699999999901</v>
      </c>
      <c r="AD2267">
        <v>-1.1105304651229999</v>
      </c>
      <c r="AE2267">
        <v>3.76059999999995</v>
      </c>
      <c r="AF2267">
        <v>3.60502668153726</v>
      </c>
      <c r="AG2267">
        <v>-1.1105304651229999</v>
      </c>
      <c r="AH2267">
        <v>15.946871272443</v>
      </c>
      <c r="AI2267">
        <v>93.885866845435501</v>
      </c>
      <c r="AJ2267">
        <v>77.261559529995694</v>
      </c>
      <c r="AK2267">
        <v>16.386952085986898</v>
      </c>
      <c r="AL2267">
        <v>78.783554651667401</v>
      </c>
      <c r="AM2267">
        <v>91.846518313260702</v>
      </c>
      <c r="AN2267">
        <v>0.99999998799738898</v>
      </c>
    </row>
    <row r="2268" spans="1:40" x14ac:dyDescent="0.25">
      <c r="A2268" t="str">
        <f>"20190312172414005"</f>
        <v>20190312172414005</v>
      </c>
      <c r="B2268" t="str">
        <f>"1552382654002042"</f>
        <v>1552382654002042</v>
      </c>
      <c r="C2268" t="s">
        <v>40</v>
      </c>
      <c r="D2268">
        <v>3.5436510000000001</v>
      </c>
      <c r="E2268">
        <v>0.56649380000000005</v>
      </c>
      <c r="F2268" t="s">
        <v>48</v>
      </c>
      <c r="G2268">
        <v>-420.83190000000002</v>
      </c>
      <c r="H2268" s="1">
        <v>3.4733400000000001E-6</v>
      </c>
      <c r="I2268">
        <v>288.54770000000002</v>
      </c>
      <c r="J2268">
        <v>-405.00409999999999</v>
      </c>
      <c r="K2268">
        <v>1.1105370000000001</v>
      </c>
      <c r="L2268">
        <v>284.47199999999998</v>
      </c>
      <c r="M2268">
        <v>-0.99985520000000006</v>
      </c>
      <c r="N2268">
        <v>0</v>
      </c>
      <c r="O2268">
        <v>8.5408580000000001E-3</v>
      </c>
      <c r="P2268">
        <v>-0.98341509999999999</v>
      </c>
      <c r="Q2268">
        <v>0.1798786</v>
      </c>
      <c r="R2268">
        <v>-2.321432E-2</v>
      </c>
      <c r="S2268">
        <v>-3.108063</v>
      </c>
      <c r="T2268">
        <v>-0.21335409999999999</v>
      </c>
      <c r="U2268">
        <v>0.78356930000000002</v>
      </c>
      <c r="V2268">
        <v>-3.1676200000000002E-2</v>
      </c>
      <c r="W2268">
        <v>0.19433400000000001</v>
      </c>
      <c r="X2268">
        <v>0.98042390000000001</v>
      </c>
      <c r="Y2268">
        <v>0.23566570000000001</v>
      </c>
      <c r="Z2268">
        <v>7.3786269999999996E-3</v>
      </c>
      <c r="AA2268">
        <v>0.97180619999999995</v>
      </c>
      <c r="AB2268">
        <v>36</v>
      </c>
      <c r="AC2268">
        <v>-15.8278</v>
      </c>
      <c r="AD2268">
        <v>-1.11053352666</v>
      </c>
      <c r="AE2268">
        <v>4.0757000000000403</v>
      </c>
      <c r="AF2268">
        <v>3.9222455065866901</v>
      </c>
      <c r="AG2268">
        <v>-1.11053352666</v>
      </c>
      <c r="AH2268">
        <v>15.7891412362388</v>
      </c>
      <c r="AI2268">
        <v>93.904988464124401</v>
      </c>
      <c r="AJ2268">
        <v>76.049308075142207</v>
      </c>
      <c r="AK2268">
        <v>16.306878165537199</v>
      </c>
      <c r="AL2268">
        <v>78.794180258212606</v>
      </c>
      <c r="AM2268">
        <v>91.850507180617299</v>
      </c>
      <c r="AN2268">
        <v>1.0000000544468199</v>
      </c>
    </row>
    <row r="2269" spans="1:40" x14ac:dyDescent="0.25">
      <c r="A2269" t="str">
        <f>"20190312172414039"</f>
        <v>20190312172414039</v>
      </c>
      <c r="B2269" t="str">
        <f>"1552382654032302"</f>
        <v>1552382654032302</v>
      </c>
      <c r="C2269" t="s">
        <v>40</v>
      </c>
      <c r="D2269">
        <v>3.5079690000000001</v>
      </c>
      <c r="E2269">
        <v>0.54987419999999998</v>
      </c>
      <c r="F2269" t="s">
        <v>48</v>
      </c>
      <c r="G2269">
        <v>-422.67860000000002</v>
      </c>
      <c r="H2269" s="1">
        <v>3.2717820000000001E-6</v>
      </c>
      <c r="I2269">
        <v>287.10640000000001</v>
      </c>
      <c r="J2269">
        <v>-405.53750000000002</v>
      </c>
      <c r="K2269">
        <v>1.1105259999999999</v>
      </c>
      <c r="L2269">
        <v>284.47629999999998</v>
      </c>
      <c r="M2269">
        <v>-0.99985710000000005</v>
      </c>
      <c r="N2269">
        <v>0</v>
      </c>
      <c r="O2269">
        <v>8.3151470000000002E-3</v>
      </c>
      <c r="P2269">
        <v>-0.98347629999999997</v>
      </c>
      <c r="Q2269">
        <v>0.17941879999999999</v>
      </c>
      <c r="R2269">
        <v>-2.4153649999999999E-2</v>
      </c>
      <c r="S2269">
        <v>-3.0970460000000002</v>
      </c>
      <c r="T2269">
        <v>-0.19459589999999999</v>
      </c>
      <c r="U2269">
        <v>0.46160889999999999</v>
      </c>
      <c r="V2269">
        <v>-3.2393569999999997E-2</v>
      </c>
      <c r="W2269">
        <v>0.19386900000000001</v>
      </c>
      <c r="X2269">
        <v>0.98049249999999999</v>
      </c>
      <c r="Y2269">
        <v>0.13893739999999999</v>
      </c>
      <c r="Z2269">
        <v>3.8176669999999998E-3</v>
      </c>
      <c r="AA2269">
        <v>0.9902938</v>
      </c>
      <c r="AB2269">
        <v>36</v>
      </c>
      <c r="AC2269">
        <v>-17.141099999999899</v>
      </c>
      <c r="AD2269">
        <v>-1.1105227282179999</v>
      </c>
      <c r="AE2269">
        <v>2.6301000000000201</v>
      </c>
      <c r="AF2269">
        <v>2.4773038551325901</v>
      </c>
      <c r="AG2269">
        <v>-1.1105227282179999</v>
      </c>
      <c r="AH2269">
        <v>17.092286827594101</v>
      </c>
      <c r="AI2269">
        <v>93.679070813658001</v>
      </c>
      <c r="AJ2269">
        <v>81.753151130196997</v>
      </c>
      <c r="AK2269">
        <v>17.306546857108401</v>
      </c>
      <c r="AL2269">
        <v>78.821339129057705</v>
      </c>
      <c r="AM2269">
        <v>91.892253125758401</v>
      </c>
      <c r="AN2269">
        <v>1.0000000375472899</v>
      </c>
    </row>
    <row r="2270" spans="1:40" x14ac:dyDescent="0.25">
      <c r="A2270" t="str">
        <f>"20190312172414060"</f>
        <v>20190312172414060</v>
      </c>
      <c r="B2270" t="str">
        <f>"1552382654051819"</f>
        <v>1552382654051819</v>
      </c>
      <c r="C2270" t="s">
        <v>40</v>
      </c>
      <c r="D2270">
        <v>3.4928140000000001</v>
      </c>
      <c r="E2270">
        <v>0.54572509999999996</v>
      </c>
      <c r="F2270" t="s">
        <v>48</v>
      </c>
      <c r="G2270">
        <v>-426.75639999999999</v>
      </c>
      <c r="H2270" s="1">
        <v>2.5823569999999999E-6</v>
      </c>
      <c r="I2270">
        <v>286.71850000000001</v>
      </c>
      <c r="J2270">
        <v>-405.89010000000002</v>
      </c>
      <c r="K2270">
        <v>1.1105229999999999</v>
      </c>
      <c r="L2270">
        <v>284.47910000000002</v>
      </c>
      <c r="M2270">
        <v>-0.99985829999999998</v>
      </c>
      <c r="N2270">
        <v>0</v>
      </c>
      <c r="O2270">
        <v>8.1711730000000003E-3</v>
      </c>
      <c r="P2270">
        <v>-0.98353650000000004</v>
      </c>
      <c r="Q2270">
        <v>0.1790667</v>
      </c>
      <c r="R2270">
        <v>-2.430817E-2</v>
      </c>
      <c r="S2270">
        <v>-3.0878909999999999</v>
      </c>
      <c r="T2270">
        <v>-0.16160949999999999</v>
      </c>
      <c r="U2270">
        <v>0.32629390000000003</v>
      </c>
      <c r="V2270">
        <v>-3.240523E-2</v>
      </c>
      <c r="W2270">
        <v>0.19351389999999999</v>
      </c>
      <c r="X2270">
        <v>0.98056220000000005</v>
      </c>
      <c r="Y2270">
        <v>9.6833539999999996E-2</v>
      </c>
      <c r="Z2270">
        <v>2.0990470000000002E-3</v>
      </c>
      <c r="AA2270">
        <v>0.99529840000000003</v>
      </c>
      <c r="AB2270">
        <v>36</v>
      </c>
      <c r="AC2270">
        <v>-20.866299999999899</v>
      </c>
      <c r="AD2270">
        <v>-1.1105204176429999</v>
      </c>
      <c r="AE2270">
        <v>2.2393999999999799</v>
      </c>
      <c r="AF2270">
        <v>2.06302772105014</v>
      </c>
      <c r="AG2270">
        <v>-1.1105204176429999</v>
      </c>
      <c r="AH2270">
        <v>20.825587987086799</v>
      </c>
      <c r="AI2270">
        <v>93.037555455955001</v>
      </c>
      <c r="AJ2270">
        <v>84.342614061525396</v>
      </c>
      <c r="AK2270">
        <v>20.956966717149601</v>
      </c>
      <c r="AL2270">
        <v>78.842076924287596</v>
      </c>
      <c r="AM2270">
        <v>91.892799287999907</v>
      </c>
      <c r="AN2270">
        <v>0.99999997824670095</v>
      </c>
    </row>
    <row r="2271" spans="1:40" x14ac:dyDescent="0.25">
      <c r="A2271" t="str">
        <f>"20190312172414084"</f>
        <v>20190312172414084</v>
      </c>
      <c r="B2271" t="str">
        <f>"1552382654072314"</f>
        <v>1552382654072314</v>
      </c>
      <c r="C2271" t="s">
        <v>40</v>
      </c>
      <c r="D2271">
        <v>3.4693770000000002</v>
      </c>
      <c r="E2271">
        <v>0.54331509999999905</v>
      </c>
      <c r="F2271" t="s">
        <v>48</v>
      </c>
      <c r="G2271">
        <v>-428.09019999999998</v>
      </c>
      <c r="H2271" s="1">
        <v>2.3569930000000001E-6</v>
      </c>
      <c r="I2271">
        <v>286.58999999999997</v>
      </c>
      <c r="J2271">
        <v>-406.24160000000001</v>
      </c>
      <c r="K2271">
        <v>1.1105179999999999</v>
      </c>
      <c r="L2271">
        <v>284.4819</v>
      </c>
      <c r="M2271">
        <v>-0.99985939999999995</v>
      </c>
      <c r="N2271">
        <v>0</v>
      </c>
      <c r="O2271">
        <v>8.0414170000000004E-3</v>
      </c>
      <c r="P2271">
        <v>-0.98339900000000002</v>
      </c>
      <c r="Q2271">
        <v>0.17978450000000001</v>
      </c>
      <c r="R2271">
        <v>-2.457285E-2</v>
      </c>
      <c r="S2271">
        <v>-3.0856020000000002</v>
      </c>
      <c r="T2271">
        <v>-0.15435219999999999</v>
      </c>
      <c r="U2271">
        <v>0.29339599999999999</v>
      </c>
      <c r="V2271">
        <v>-3.2538020000000001E-2</v>
      </c>
      <c r="W2271">
        <v>0.1942268</v>
      </c>
      <c r="X2271">
        <v>0.98041679999999998</v>
      </c>
      <c r="Y2271">
        <v>8.6552030000000002E-2</v>
      </c>
      <c r="Z2271">
        <v>1.7574940000000001E-3</v>
      </c>
      <c r="AA2271">
        <v>0.99624579999999996</v>
      </c>
      <c r="AB2271">
        <v>36</v>
      </c>
      <c r="AC2271">
        <v>-21.848599999999902</v>
      </c>
      <c r="AD2271">
        <v>-1.110515643007</v>
      </c>
      <c r="AE2271">
        <v>2.1080999999999701</v>
      </c>
      <c r="AF2271">
        <v>1.9273856979222199</v>
      </c>
      <c r="AG2271">
        <v>-1.110515643007</v>
      </c>
      <c r="AH2271">
        <v>21.809024272118101</v>
      </c>
      <c r="AI2271">
        <v>92.903686079304293</v>
      </c>
      <c r="AJ2271">
        <v>84.949571956306499</v>
      </c>
      <c r="AK2271">
        <v>21.922171432678699</v>
      </c>
      <c r="AL2271">
        <v>78.800440339518502</v>
      </c>
      <c r="AM2271">
        <v>91.900831568299793</v>
      </c>
      <c r="AN2271">
        <v>0.99999993715299795</v>
      </c>
    </row>
    <row r="2272" spans="1:40" x14ac:dyDescent="0.25">
      <c r="A2272" t="str">
        <f>"20190312172414106"</f>
        <v>20190312172414106</v>
      </c>
      <c r="B2272" t="str">
        <f>"1552382654102571"</f>
        <v>1552382654102571</v>
      </c>
      <c r="C2272" t="s">
        <v>40</v>
      </c>
      <c r="D2272">
        <v>3.4514010000000002</v>
      </c>
      <c r="E2272">
        <v>0.54105839999999905</v>
      </c>
      <c r="F2272" t="s">
        <v>48</v>
      </c>
      <c r="G2272">
        <v>-429.541</v>
      </c>
      <c r="H2272" s="1">
        <v>2.1032200000000002E-6</v>
      </c>
      <c r="I2272">
        <v>286.54899999999998</v>
      </c>
      <c r="J2272">
        <v>-406.60390000000001</v>
      </c>
      <c r="K2272">
        <v>1.1105149999999999</v>
      </c>
      <c r="L2272">
        <v>284.4846</v>
      </c>
      <c r="M2272">
        <v>-0.99986030000000004</v>
      </c>
      <c r="N2272">
        <v>0</v>
      </c>
      <c r="O2272">
        <v>7.9290660000000002E-3</v>
      </c>
      <c r="P2272">
        <v>-0.9833269</v>
      </c>
      <c r="Q2272">
        <v>0.1802212</v>
      </c>
      <c r="R2272">
        <v>-2.426553E-2</v>
      </c>
      <c r="S2272">
        <v>-3.084381</v>
      </c>
      <c r="T2272">
        <v>-0.14701040000000001</v>
      </c>
      <c r="U2272">
        <v>0.27365109999999998</v>
      </c>
      <c r="V2272">
        <v>-3.2112580000000002E-2</v>
      </c>
      <c r="W2272">
        <v>0.1946599</v>
      </c>
      <c r="X2272">
        <v>0.98034500000000002</v>
      </c>
      <c r="Y2272">
        <v>8.0391149999999995E-2</v>
      </c>
      <c r="Z2272">
        <v>1.5340289999999999E-3</v>
      </c>
      <c r="AA2272">
        <v>0.99676220000000004</v>
      </c>
      <c r="AB2272">
        <v>35</v>
      </c>
      <c r="AC2272">
        <v>-22.937099999999901</v>
      </c>
      <c r="AD2272">
        <v>-1.11051289678</v>
      </c>
      <c r="AE2272">
        <v>2.0644000000000302</v>
      </c>
      <c r="AF2272">
        <v>1.8780786496973101</v>
      </c>
      <c r="AG2272">
        <v>-1.11051289678</v>
      </c>
      <c r="AH2272">
        <v>22.899502673099398</v>
      </c>
      <c r="AI2272">
        <v>92.767111419206699</v>
      </c>
      <c r="AJ2272">
        <v>85.311440259227098</v>
      </c>
      <c r="AK2272">
        <v>23.003209362687802</v>
      </c>
      <c r="AL2272">
        <v>78.775143489741097</v>
      </c>
      <c r="AM2272">
        <v>91.876133056366399</v>
      </c>
      <c r="AN2272">
        <v>1.0000000067436301</v>
      </c>
    </row>
    <row r="2273" spans="1:40" x14ac:dyDescent="0.25">
      <c r="A2273" t="str">
        <f>"20190312172414128"</f>
        <v>20190312172414128</v>
      </c>
      <c r="B2273" t="str">
        <f>"1552382654122090"</f>
        <v>1552382654122090</v>
      </c>
      <c r="C2273" t="s">
        <v>40</v>
      </c>
      <c r="D2273">
        <v>3.6647859999999999</v>
      </c>
      <c r="E2273">
        <v>0.54010409999999998</v>
      </c>
      <c r="F2273" t="s">
        <v>48</v>
      </c>
      <c r="G2273">
        <v>-430.8082</v>
      </c>
      <c r="H2273" s="1">
        <v>2.4107550000000001E-6</v>
      </c>
      <c r="I2273">
        <v>286.49950000000001</v>
      </c>
      <c r="J2273">
        <v>-406.96</v>
      </c>
      <c r="K2273">
        <v>1.110501</v>
      </c>
      <c r="L2273">
        <v>284.48739999999998</v>
      </c>
      <c r="M2273">
        <v>-0.99986120000000001</v>
      </c>
      <c r="N2273">
        <v>0</v>
      </c>
      <c r="O2273">
        <v>7.8382299999999999E-3</v>
      </c>
      <c r="P2273">
        <v>-0.9833269</v>
      </c>
      <c r="Q2273">
        <v>0.18030170000000001</v>
      </c>
      <c r="R2273">
        <v>-2.3659090000000001E-2</v>
      </c>
      <c r="S2273">
        <v>-3.0831300000000001</v>
      </c>
      <c r="T2273">
        <v>-0.14145659999999999</v>
      </c>
      <c r="U2273">
        <v>0.25665280000000001</v>
      </c>
      <c r="V2273">
        <v>-3.140809E-2</v>
      </c>
      <c r="W2273">
        <v>0.1947381</v>
      </c>
      <c r="X2273">
        <v>0.98035229999999995</v>
      </c>
      <c r="Y2273">
        <v>7.50725E-2</v>
      </c>
      <c r="Z2273">
        <v>1.3595E-3</v>
      </c>
      <c r="AA2273">
        <v>0.99717710000000004</v>
      </c>
      <c r="AB2273">
        <v>35</v>
      </c>
      <c r="AC2273">
        <v>-23.848199999999999</v>
      </c>
      <c r="AD2273">
        <v>-1.1104985892449999</v>
      </c>
      <c r="AE2273">
        <v>2.01210000000003</v>
      </c>
      <c r="AF2273">
        <v>1.8211693151799599</v>
      </c>
      <c r="AG2273">
        <v>-1.1104985892449999</v>
      </c>
      <c r="AH2273">
        <v>23.811973043541698</v>
      </c>
      <c r="AI2273">
        <v>92.662355560231802</v>
      </c>
      <c r="AJ2273">
        <v>85.626461755380006</v>
      </c>
      <c r="AK2273">
        <v>23.90731948625</v>
      </c>
      <c r="AL2273">
        <v>78.770575624739294</v>
      </c>
      <c r="AM2273">
        <v>91.8349890025722</v>
      </c>
      <c r="AN2273">
        <v>1.0000000139121701</v>
      </c>
    </row>
    <row r="2274" spans="1:40" x14ac:dyDescent="0.25">
      <c r="A2274" t="str">
        <f>"20190312172414150"</f>
        <v>20190312172414150</v>
      </c>
      <c r="B2274" t="str">
        <f>"1552382654142586"</f>
        <v>1552382654142586</v>
      </c>
      <c r="C2274" t="s">
        <v>40</v>
      </c>
      <c r="D2274">
        <v>3.4627840000000001</v>
      </c>
      <c r="E2274">
        <v>0.53955259999999905</v>
      </c>
      <c r="F2274" t="s">
        <v>48</v>
      </c>
      <c r="G2274">
        <v>-431.69080000000002</v>
      </c>
      <c r="H2274" s="1">
        <v>2.8021299999999998E-6</v>
      </c>
      <c r="I2274">
        <v>286.49979999999999</v>
      </c>
      <c r="J2274">
        <v>-407.3014</v>
      </c>
      <c r="K2274">
        <v>1.1104810000000001</v>
      </c>
      <c r="L2274">
        <v>284.49</v>
      </c>
      <c r="M2274">
        <v>-0.99986160000000002</v>
      </c>
      <c r="N2274">
        <v>0</v>
      </c>
      <c r="O2274">
        <v>7.7736369999999999E-3</v>
      </c>
      <c r="P2274">
        <v>-0.98341290000000003</v>
      </c>
      <c r="Q2274">
        <v>0.1799007</v>
      </c>
      <c r="R2274">
        <v>-2.3130100000000001E-2</v>
      </c>
      <c r="S2274">
        <v>-3.082306</v>
      </c>
      <c r="T2274">
        <v>-0.13840629999999901</v>
      </c>
      <c r="U2274">
        <v>0.25082399999999999</v>
      </c>
      <c r="V2274">
        <v>-3.0807080000000001E-2</v>
      </c>
      <c r="W2274">
        <v>0.19433629999999999</v>
      </c>
      <c r="X2274">
        <v>0.98045110000000002</v>
      </c>
      <c r="Y2274">
        <v>7.3290439999999998E-2</v>
      </c>
      <c r="Z2274">
        <v>1.2936390000000001E-3</v>
      </c>
      <c r="AA2274">
        <v>0.99730980000000002</v>
      </c>
      <c r="AB2274">
        <v>35</v>
      </c>
      <c r="AC2274">
        <v>-24.389399999999998</v>
      </c>
      <c r="AD2274">
        <v>-1.11047819787</v>
      </c>
      <c r="AE2274">
        <v>2.0097999999999798</v>
      </c>
      <c r="AF2274">
        <v>1.81638427742894</v>
      </c>
      <c r="AG2274">
        <v>-1.11047819787</v>
      </c>
      <c r="AH2274">
        <v>24.3541402983872</v>
      </c>
      <c r="AI2274">
        <v>92.603492218994006</v>
      </c>
      <c r="AJ2274">
        <v>85.734654227961201</v>
      </c>
      <c r="AK2274">
        <v>24.4470154281614</v>
      </c>
      <c r="AL2274">
        <v>78.794045486944</v>
      </c>
      <c r="AM2274">
        <v>91.799717606873401</v>
      </c>
      <c r="AN2274">
        <v>1.0000000165835099</v>
      </c>
    </row>
    <row r="2275" spans="1:40" x14ac:dyDescent="0.25">
      <c r="A2275" t="str">
        <f>"20190312172414172"</f>
        <v>20190312172414172</v>
      </c>
      <c r="B2275" t="str">
        <f>"1552382654162106"</f>
        <v>1552382654162106</v>
      </c>
      <c r="C2275" t="s">
        <v>40</v>
      </c>
      <c r="D2275">
        <v>3.5514540000000001</v>
      </c>
      <c r="E2275">
        <v>0.53967030000000005</v>
      </c>
      <c r="F2275" t="s">
        <v>48</v>
      </c>
      <c r="G2275">
        <v>-432.01459999999997</v>
      </c>
      <c r="H2275" s="1">
        <v>2.9476719999999998E-6</v>
      </c>
      <c r="I2275">
        <v>286.47770000000003</v>
      </c>
      <c r="J2275">
        <v>-407.6499</v>
      </c>
      <c r="K2275">
        <v>1.110455</v>
      </c>
      <c r="L2275">
        <v>284.49259999999998</v>
      </c>
      <c r="M2275">
        <v>-0.99986209999999998</v>
      </c>
      <c r="N2275">
        <v>0</v>
      </c>
      <c r="O2275">
        <v>7.7300210000000001E-3</v>
      </c>
      <c r="P2275">
        <v>-0.98348270000000004</v>
      </c>
      <c r="Q2275">
        <v>0.17954249999999999</v>
      </c>
      <c r="R2275">
        <v>-2.2943829999999998E-2</v>
      </c>
      <c r="S2275">
        <v>-3.0817260000000002</v>
      </c>
      <c r="T2275">
        <v>-0.13847579999999901</v>
      </c>
      <c r="U2275">
        <v>0.2478638</v>
      </c>
      <c r="V2275">
        <v>-3.056946E-2</v>
      </c>
      <c r="W2275">
        <v>0.19397700000000001</v>
      </c>
      <c r="X2275">
        <v>0.98052969999999895</v>
      </c>
      <c r="Y2275">
        <v>7.2398089999999998E-2</v>
      </c>
      <c r="Z2275">
        <v>1.2765299999999999E-3</v>
      </c>
      <c r="AA2275">
        <v>0.99737500000000001</v>
      </c>
      <c r="AB2275">
        <v>35</v>
      </c>
      <c r="AC2275">
        <v>-24.3646999999999</v>
      </c>
      <c r="AD2275">
        <v>-1.1104520523279999</v>
      </c>
      <c r="AE2275">
        <v>1.9851000000000401</v>
      </c>
      <c r="AF2275">
        <v>1.7929808758778001</v>
      </c>
      <c r="AG2275">
        <v>-1.1104520523279999</v>
      </c>
      <c r="AH2275">
        <v>24.32911532983</v>
      </c>
      <c r="AI2275">
        <v>92.606275086062496</v>
      </c>
      <c r="AJ2275">
        <v>85.785097188221698</v>
      </c>
      <c r="AK2275">
        <v>24.420354971088202</v>
      </c>
      <c r="AL2275">
        <v>78.815031364916393</v>
      </c>
      <c r="AM2275">
        <v>91.785702055078701</v>
      </c>
      <c r="AN2275">
        <v>1.00000003049789</v>
      </c>
    </row>
    <row r="2276" spans="1:40" x14ac:dyDescent="0.25">
      <c r="A2276" t="str">
        <f>"20190312172414194"</f>
        <v>20190312172414194</v>
      </c>
      <c r="B2276" t="str">
        <f>"1552382654192363"</f>
        <v>1552382654192363</v>
      </c>
      <c r="C2276" t="s">
        <v>40</v>
      </c>
      <c r="D2276">
        <v>3.4027250000000002</v>
      </c>
      <c r="E2276">
        <v>0.58261260000000004</v>
      </c>
      <c r="F2276" t="s">
        <v>48</v>
      </c>
      <c r="G2276">
        <v>-431.66590000000002</v>
      </c>
      <c r="H2276" s="1">
        <v>2.797019E-6</v>
      </c>
      <c r="I2276">
        <v>286.43200000000002</v>
      </c>
      <c r="J2276">
        <v>-408.00119999999998</v>
      </c>
      <c r="K2276">
        <v>1.1104309999999999</v>
      </c>
      <c r="L2276">
        <v>284.49529999999999</v>
      </c>
      <c r="M2276">
        <v>-0.99986229999999998</v>
      </c>
      <c r="N2276">
        <v>0</v>
      </c>
      <c r="O2276">
        <v>7.7046650000000003E-3</v>
      </c>
      <c r="P2276">
        <v>-0.98360899999999996</v>
      </c>
      <c r="Q2276">
        <v>0.17897469999999999</v>
      </c>
      <c r="R2276">
        <v>-2.194641E-2</v>
      </c>
      <c r="S2276">
        <v>-3.082214</v>
      </c>
      <c r="T2276">
        <v>-0.14251539999999999</v>
      </c>
      <c r="U2276">
        <v>0.24890139999999999</v>
      </c>
      <c r="V2276">
        <v>-2.9540460000000001E-2</v>
      </c>
      <c r="W2276">
        <v>0.1934091</v>
      </c>
      <c r="X2276">
        <v>0.98067340000000003</v>
      </c>
      <c r="Y2276">
        <v>7.2740150000000003E-2</v>
      </c>
      <c r="Z2276">
        <v>1.3225660000000001E-3</v>
      </c>
      <c r="AA2276">
        <v>0.99734999999999996</v>
      </c>
      <c r="AB2276">
        <v>35</v>
      </c>
      <c r="AC2276">
        <v>-23.6647</v>
      </c>
      <c r="AD2276">
        <v>-1.110428202981</v>
      </c>
      <c r="AE2276">
        <v>1.9367000000000301</v>
      </c>
      <c r="AF2276">
        <v>1.75046567863493</v>
      </c>
      <c r="AG2276">
        <v>-1.110428202981</v>
      </c>
      <c r="AH2276">
        <v>23.627244198093798</v>
      </c>
      <c r="AI2276">
        <v>92.683451249302195</v>
      </c>
      <c r="AJ2276">
        <v>85.762883021622699</v>
      </c>
      <c r="AK2276">
        <v>23.718006857289001</v>
      </c>
      <c r="AL2276">
        <v>78.8481975963373</v>
      </c>
      <c r="AM2276">
        <v>91.725377723862096</v>
      </c>
      <c r="AN2276">
        <v>1.0000000181036901</v>
      </c>
    </row>
    <row r="2277" spans="1:40" x14ac:dyDescent="0.25">
      <c r="A2277" t="str">
        <f>"20190312172414217"</f>
        <v>20190312172414217</v>
      </c>
      <c r="B2277" t="str">
        <f>"1552382654211886"</f>
        <v>1552382654211886</v>
      </c>
      <c r="C2277" t="s">
        <v>40</v>
      </c>
      <c r="D2277">
        <v>3.3769909999999999</v>
      </c>
      <c r="E2277">
        <v>0.58480330000000003</v>
      </c>
      <c r="F2277" t="s">
        <v>41</v>
      </c>
      <c r="G2277">
        <v>-408.80250000000001</v>
      </c>
      <c r="H2277">
        <v>0.97290560000000004</v>
      </c>
      <c r="I2277">
        <v>284.64620000000002</v>
      </c>
      <c r="J2277">
        <v>-408.36450000000002</v>
      </c>
      <c r="K2277">
        <v>1.110411</v>
      </c>
      <c r="L2277">
        <v>284.49810000000002</v>
      </c>
      <c r="M2277">
        <v>-0.99986260000000005</v>
      </c>
      <c r="N2277">
        <v>0</v>
      </c>
      <c r="O2277">
        <v>7.6918309999999997E-3</v>
      </c>
      <c r="P2277">
        <v>-0.98379470000000002</v>
      </c>
      <c r="Q2277">
        <v>0.1779801</v>
      </c>
      <c r="R2277">
        <v>-2.171097E-2</v>
      </c>
      <c r="S2277">
        <v>-3.1620180000000002</v>
      </c>
      <c r="T2277">
        <v>-0.54279469999999996</v>
      </c>
      <c r="U2277">
        <v>0.59399409999999997</v>
      </c>
      <c r="V2277">
        <v>-2.9287239999999999E-2</v>
      </c>
      <c r="W2277">
        <v>0.192414</v>
      </c>
      <c r="X2277">
        <v>0.98087670000000005</v>
      </c>
      <c r="Y2277">
        <v>0.17469849999999901</v>
      </c>
      <c r="Z2277">
        <v>1.345968E-2</v>
      </c>
      <c r="AA2277">
        <v>0.98453000000000002</v>
      </c>
      <c r="AB2277">
        <v>35</v>
      </c>
      <c r="AC2277">
        <v>-0.43799999999998801</v>
      </c>
      <c r="AD2277">
        <v>-0.1375054</v>
      </c>
      <c r="AE2277">
        <v>0.14809999999999901</v>
      </c>
      <c r="AF2277">
        <v>0.13296595070157999</v>
      </c>
      <c r="AG2277">
        <v>-0.1375054</v>
      </c>
      <c r="AH2277">
        <v>0.40344343910555303</v>
      </c>
      <c r="AI2277">
        <v>107.936873863426</v>
      </c>
      <c r="AJ2277">
        <v>71.758933913648505</v>
      </c>
      <c r="AK2277">
        <v>0.44649108348594202</v>
      </c>
      <c r="AL2277">
        <v>78.906303834690107</v>
      </c>
      <c r="AM2277">
        <v>91.710242325374395</v>
      </c>
      <c r="AN2277">
        <v>0.99999999521285299</v>
      </c>
    </row>
    <row r="2278" spans="1:40" x14ac:dyDescent="0.25">
      <c r="A2278" t="str">
        <f>"20190312172414239"</f>
        <v>20190312172414239</v>
      </c>
      <c r="B2278" t="str">
        <f>"1552382654232378"</f>
        <v>1552382654232378</v>
      </c>
      <c r="C2278" t="s">
        <v>40</v>
      </c>
      <c r="D2278">
        <v>3.4654210000000001</v>
      </c>
      <c r="E2278">
        <v>0.58702469999999995</v>
      </c>
      <c r="F2278" t="s">
        <v>41</v>
      </c>
      <c r="G2278">
        <v>-409.11989999999997</v>
      </c>
      <c r="H2278">
        <v>0.97899210000000003</v>
      </c>
      <c r="I2278">
        <v>284.64429999999999</v>
      </c>
      <c r="J2278">
        <v>-408.71199999999999</v>
      </c>
      <c r="K2278">
        <v>1.1104069999999999</v>
      </c>
      <c r="L2278">
        <v>284.50080000000003</v>
      </c>
      <c r="M2278">
        <v>-0.99986260000000005</v>
      </c>
      <c r="N2278">
        <v>0</v>
      </c>
      <c r="O2278">
        <v>7.6883369999999999E-3</v>
      </c>
      <c r="P2278">
        <v>-0.98403560000000001</v>
      </c>
      <c r="Q2278">
        <v>0.17669560000000001</v>
      </c>
      <c r="R2278">
        <v>-2.1284600000000001E-2</v>
      </c>
      <c r="S2278">
        <v>-3.1624759999999998</v>
      </c>
      <c r="T2278">
        <v>-0.55023109999999997</v>
      </c>
      <c r="U2278">
        <v>0.61175539999999995</v>
      </c>
      <c r="V2278">
        <v>-2.885449E-2</v>
      </c>
      <c r="W2278">
        <v>0.1911302</v>
      </c>
      <c r="X2278">
        <v>0.98114049999999997</v>
      </c>
      <c r="Y2278">
        <v>0.17987320000000001</v>
      </c>
      <c r="Z2278">
        <v>1.407597E-2</v>
      </c>
      <c r="AA2278">
        <v>0.98358909999999999</v>
      </c>
      <c r="AB2278">
        <v>35</v>
      </c>
      <c r="AC2278">
        <v>-0.407899999999983</v>
      </c>
      <c r="AD2278">
        <v>-0.131414899999999</v>
      </c>
      <c r="AE2278">
        <v>0.14349999999995999</v>
      </c>
      <c r="AF2278">
        <v>0.12849127665507101</v>
      </c>
      <c r="AG2278">
        <v>-0.131414899999999</v>
      </c>
      <c r="AH2278">
        <v>0.37440911612218802</v>
      </c>
      <c r="AI2278">
        <v>108.36548957888</v>
      </c>
      <c r="AJ2278">
        <v>71.058591593836695</v>
      </c>
      <c r="AK2278">
        <v>0.41708760513093401</v>
      </c>
      <c r="AL2278">
        <v>78.981251365745607</v>
      </c>
      <c r="AM2278">
        <v>91.684533577605706</v>
      </c>
      <c r="AN2278">
        <v>1.00000000784272</v>
      </c>
    </row>
    <row r="2279" spans="1:40" x14ac:dyDescent="0.25">
      <c r="A2279" t="str">
        <f>"20190312172414261"</f>
        <v>20190312172414261</v>
      </c>
      <c r="B2279" t="str">
        <f>"1552382654251899"</f>
        <v>1552382654251899</v>
      </c>
      <c r="C2279" t="s">
        <v>40</v>
      </c>
      <c r="D2279">
        <v>3.3681209999999999</v>
      </c>
      <c r="E2279">
        <v>0.58732090000000003</v>
      </c>
      <c r="F2279" t="s">
        <v>41</v>
      </c>
      <c r="G2279">
        <v>-409.4357</v>
      </c>
      <c r="H2279">
        <v>0.98218240000000001</v>
      </c>
      <c r="I2279">
        <v>284.64530000000002</v>
      </c>
      <c r="J2279">
        <v>-409.05169999999998</v>
      </c>
      <c r="K2279">
        <v>1.110398</v>
      </c>
      <c r="L2279">
        <v>284.5034</v>
      </c>
      <c r="M2279">
        <v>-0.99986260000000005</v>
      </c>
      <c r="N2279">
        <v>0</v>
      </c>
      <c r="O2279">
        <v>7.6897900000000002E-3</v>
      </c>
      <c r="P2279">
        <v>-0.98406090000000002</v>
      </c>
      <c r="Q2279">
        <v>0.1765987</v>
      </c>
      <c r="R2279">
        <v>-2.090612E-2</v>
      </c>
      <c r="S2279">
        <v>-3.1629640000000001</v>
      </c>
      <c r="T2279">
        <v>-0.56066689999999997</v>
      </c>
      <c r="U2279">
        <v>0.62991330000000001</v>
      </c>
      <c r="V2279">
        <v>-2.847469E-2</v>
      </c>
      <c r="W2279">
        <v>0.19103059999999999</v>
      </c>
      <c r="X2279">
        <v>0.98117100000000002</v>
      </c>
      <c r="Y2279">
        <v>0.18510889999999999</v>
      </c>
      <c r="Z2279">
        <v>1.4785E-2</v>
      </c>
      <c r="AA2279">
        <v>0.9826068</v>
      </c>
      <c r="AB2279">
        <v>35</v>
      </c>
      <c r="AC2279">
        <v>-0.384000000000014</v>
      </c>
      <c r="AD2279">
        <v>-0.12821560000000001</v>
      </c>
      <c r="AE2279">
        <v>0.14190000000002001</v>
      </c>
      <c r="AF2279">
        <v>0.12653104077468599</v>
      </c>
      <c r="AG2279">
        <v>-0.12821560000000001</v>
      </c>
      <c r="AH2279">
        <v>0.35068124477271401</v>
      </c>
      <c r="AI2279">
        <v>108.978942203432</v>
      </c>
      <c r="AJ2279">
        <v>70.159797622185707</v>
      </c>
      <c r="AK2279">
        <v>0.394241905177805</v>
      </c>
      <c r="AL2279">
        <v>78.987065224002293</v>
      </c>
      <c r="AM2279">
        <v>91.6623216202577</v>
      </c>
      <c r="AN2279">
        <v>1.00000001467397</v>
      </c>
    </row>
    <row r="2280" spans="1:40" x14ac:dyDescent="0.25">
      <c r="A2280" t="str">
        <f>"20190312172414284"</f>
        <v>20190312172414284</v>
      </c>
      <c r="B2280" t="str">
        <f>"1552382654272394"</f>
        <v>1552382654272394</v>
      </c>
      <c r="C2280" t="s">
        <v>40</v>
      </c>
      <c r="D2280">
        <v>3.4788350000000001</v>
      </c>
      <c r="E2280">
        <v>0.58822549999999996</v>
      </c>
      <c r="F2280" t="s">
        <v>41</v>
      </c>
      <c r="G2280">
        <v>-410.04239999999999</v>
      </c>
      <c r="H2280">
        <v>0.9340463</v>
      </c>
      <c r="I2280">
        <v>284.70229999999998</v>
      </c>
      <c r="J2280">
        <v>-409.40159999999997</v>
      </c>
      <c r="K2280">
        <v>1.1103940000000001</v>
      </c>
      <c r="L2280">
        <v>284.50599999999997</v>
      </c>
      <c r="M2280">
        <v>-0.99986269999999999</v>
      </c>
      <c r="N2280">
        <v>0</v>
      </c>
      <c r="O2280">
        <v>7.693119E-3</v>
      </c>
      <c r="P2280">
        <v>-0.98410180000000003</v>
      </c>
      <c r="Q2280">
        <v>0.1763729</v>
      </c>
      <c r="R2280">
        <v>-2.0890200000000001E-2</v>
      </c>
      <c r="S2280">
        <v>-3.1630859999999998</v>
      </c>
      <c r="T2280">
        <v>-0.56311489999999997</v>
      </c>
      <c r="U2280">
        <v>0.63357540000000001</v>
      </c>
      <c r="V2280">
        <v>-2.8460539999999999E-2</v>
      </c>
      <c r="W2280">
        <v>0.19080169999999999</v>
      </c>
      <c r="X2280">
        <v>0.98121599999999998</v>
      </c>
      <c r="Y2280">
        <v>0.1861544</v>
      </c>
      <c r="Z2280">
        <v>1.4937270000000001E-2</v>
      </c>
      <c r="AA2280">
        <v>0.98240700000000003</v>
      </c>
      <c r="AB2280">
        <v>35</v>
      </c>
      <c r="AC2280">
        <v>-0.64080000000001203</v>
      </c>
      <c r="AD2280">
        <v>-0.1763477</v>
      </c>
      <c r="AE2280">
        <v>0.196300000000007</v>
      </c>
      <c r="AF2280">
        <v>0.17897234559406899</v>
      </c>
      <c r="AG2280">
        <v>-0.1763477</v>
      </c>
      <c r="AH2280">
        <v>0.60070047435319096</v>
      </c>
      <c r="AI2280">
        <v>105.713852781326</v>
      </c>
      <c r="AJ2280">
        <v>73.409131821354094</v>
      </c>
      <c r="AK2280">
        <v>0.65113030314283604</v>
      </c>
      <c r="AL2280">
        <v>79.000426539755694</v>
      </c>
      <c r="AM2280">
        <v>91.661419865762795</v>
      </c>
      <c r="AN2280">
        <v>1.0000000648579801</v>
      </c>
    </row>
    <row r="2281" spans="1:40" x14ac:dyDescent="0.25">
      <c r="A2281" t="str">
        <f>"20190312172414306"</f>
        <v>20190312172414306</v>
      </c>
      <c r="B2281" t="str">
        <f>"1552382654302650"</f>
        <v>1552382654302650</v>
      </c>
      <c r="C2281" t="s">
        <v>40</v>
      </c>
      <c r="D2281">
        <v>3.4153060000000002</v>
      </c>
      <c r="E2281">
        <v>0.58870199999999995</v>
      </c>
      <c r="F2281" t="s">
        <v>41</v>
      </c>
      <c r="G2281">
        <v>-410.35750000000002</v>
      </c>
      <c r="H2281">
        <v>0.93904469999999995</v>
      </c>
      <c r="I2281">
        <v>284.69970000000001</v>
      </c>
      <c r="J2281">
        <v>-409.75510000000003</v>
      </c>
      <c r="K2281">
        <v>1.1103940000000001</v>
      </c>
      <c r="L2281">
        <v>284.50880000000001</v>
      </c>
      <c r="M2281">
        <v>-0.99986260000000005</v>
      </c>
      <c r="N2281">
        <v>0</v>
      </c>
      <c r="O2281">
        <v>7.6960719999999896E-3</v>
      </c>
      <c r="P2281">
        <v>-0.98415859999999999</v>
      </c>
      <c r="Q2281">
        <v>0.1760698</v>
      </c>
      <c r="R2281">
        <v>-2.0764319999999999E-2</v>
      </c>
      <c r="S2281">
        <v>-3.1636959999999998</v>
      </c>
      <c r="T2281">
        <v>-0.56713590000000003</v>
      </c>
      <c r="U2281">
        <v>0.64044190000000001</v>
      </c>
      <c r="V2281">
        <v>-2.8335929999999999E-2</v>
      </c>
      <c r="W2281">
        <v>0.190496</v>
      </c>
      <c r="X2281">
        <v>0.98127900000000001</v>
      </c>
      <c r="Y2281">
        <v>0.18809809999999999</v>
      </c>
      <c r="Z2281">
        <v>1.520701E-2</v>
      </c>
      <c r="AA2281">
        <v>0.98203249999999997</v>
      </c>
      <c r="AB2281">
        <v>35</v>
      </c>
      <c r="AC2281">
        <v>-0.60239999999998795</v>
      </c>
      <c r="AD2281">
        <v>-0.17134930000000001</v>
      </c>
      <c r="AE2281">
        <v>0.19089999999999899</v>
      </c>
      <c r="AF2281">
        <v>0.17350108629573899</v>
      </c>
      <c r="AG2281">
        <v>-0.17134930000000001</v>
      </c>
      <c r="AH2281">
        <v>0.56249418094759196</v>
      </c>
      <c r="AI2281">
        <v>106.22981949549801</v>
      </c>
      <c r="AJ2281">
        <v>72.857644188644798</v>
      </c>
      <c r="AK2281">
        <v>0.61307659648382695</v>
      </c>
      <c r="AL2281">
        <v>79.018269105468704</v>
      </c>
      <c r="AM2281">
        <v>91.654043509743701</v>
      </c>
      <c r="AN2281">
        <v>1.00000006339298</v>
      </c>
    </row>
    <row r="2282" spans="1:40" x14ac:dyDescent="0.25">
      <c r="A2282" t="str">
        <f>"20190312172414329"</f>
        <v>20190312172414329</v>
      </c>
      <c r="B2282" t="str">
        <f>"1552382654322170"</f>
        <v>1552382654322170</v>
      </c>
      <c r="C2282" t="s">
        <v>40</v>
      </c>
      <c r="D2282">
        <v>3.402358</v>
      </c>
      <c r="E2282">
        <v>0.5887694</v>
      </c>
      <c r="F2282" t="s">
        <v>41</v>
      </c>
      <c r="G2282">
        <v>-410.67250000000001</v>
      </c>
      <c r="H2282">
        <v>0.94488300000000003</v>
      </c>
      <c r="I2282">
        <v>284.69600000000003</v>
      </c>
      <c r="J2282">
        <v>-410.11849999999998</v>
      </c>
      <c r="K2282">
        <v>1.1103909999999999</v>
      </c>
      <c r="L2282">
        <v>284.51159999999999</v>
      </c>
      <c r="M2282">
        <v>-0.99986269999999999</v>
      </c>
      <c r="N2282">
        <v>0</v>
      </c>
      <c r="O2282">
        <v>7.698E-3</v>
      </c>
      <c r="P2282">
        <v>-0.98409389999999997</v>
      </c>
      <c r="Q2282">
        <v>0.1764753</v>
      </c>
      <c r="R2282">
        <v>-2.0399790000000001E-2</v>
      </c>
      <c r="S2282">
        <v>-3.1640630000000001</v>
      </c>
      <c r="T2282">
        <v>-0.57084060000000003</v>
      </c>
      <c r="U2282">
        <v>0.64471440000000002</v>
      </c>
      <c r="V2282">
        <v>-2.797154E-2</v>
      </c>
      <c r="W2282">
        <v>0.1908967</v>
      </c>
      <c r="X2282">
        <v>0.98121150000000001</v>
      </c>
      <c r="Y2282">
        <v>0.1892945</v>
      </c>
      <c r="Z2282">
        <v>1.540679E-2</v>
      </c>
      <c r="AA2282">
        <v>0.98179950000000005</v>
      </c>
      <c r="AB2282">
        <v>35</v>
      </c>
      <c r="AC2282">
        <v>-0.55400000000003002</v>
      </c>
      <c r="AD2282">
        <v>-0.16550799999999899</v>
      </c>
      <c r="AE2282">
        <v>0.18439999999998199</v>
      </c>
      <c r="AF2282">
        <v>0.16673242040557501</v>
      </c>
      <c r="AG2282">
        <v>-0.16550799999999899</v>
      </c>
      <c r="AH2282">
        <v>0.51409562088361005</v>
      </c>
      <c r="AI2282">
        <v>107.026526559072</v>
      </c>
      <c r="AJ2282">
        <v>72.030990797987698</v>
      </c>
      <c r="AK2282">
        <v>0.56523172724998905</v>
      </c>
      <c r="AL2282">
        <v>78.994880601607207</v>
      </c>
      <c r="AM2282">
        <v>91.632896948914393</v>
      </c>
      <c r="AN2282">
        <v>0.99999998242655497</v>
      </c>
    </row>
    <row r="2283" spans="1:40" x14ac:dyDescent="0.25">
      <c r="A2283" t="str">
        <f>"20190312172414351"</f>
        <v>20190312172414351</v>
      </c>
      <c r="B2283" t="str">
        <f>"1552382654342667"</f>
        <v>1552382654342667</v>
      </c>
      <c r="C2283" t="s">
        <v>40</v>
      </c>
      <c r="D2283">
        <v>3.3647010000000002</v>
      </c>
      <c r="E2283">
        <v>0.59304579999999996</v>
      </c>
      <c r="F2283" t="s">
        <v>41</v>
      </c>
      <c r="G2283">
        <v>-410.98829999999998</v>
      </c>
      <c r="H2283">
        <v>0.95280670000000001</v>
      </c>
      <c r="I2283">
        <v>284.68900000000002</v>
      </c>
      <c r="J2283">
        <v>-410.46010000000001</v>
      </c>
      <c r="K2283">
        <v>1.1103940000000001</v>
      </c>
      <c r="L2283">
        <v>284.51420000000002</v>
      </c>
      <c r="M2283">
        <v>-0.99986280000000005</v>
      </c>
      <c r="N2283">
        <v>0</v>
      </c>
      <c r="O2283">
        <v>7.6987219999999999E-3</v>
      </c>
      <c r="P2283">
        <v>-0.98408910000000005</v>
      </c>
      <c r="Q2283">
        <v>0.1764665</v>
      </c>
      <c r="R2283">
        <v>-2.0704690000000001E-2</v>
      </c>
      <c r="S2283">
        <v>-3.1647340000000002</v>
      </c>
      <c r="T2283">
        <v>-0.57335639999999999</v>
      </c>
      <c r="U2283">
        <v>0.64547730000000003</v>
      </c>
      <c r="V2283">
        <v>-2.827667E-2</v>
      </c>
      <c r="W2283">
        <v>0.19088459999999999</v>
      </c>
      <c r="X2283">
        <v>0.98120510000000005</v>
      </c>
      <c r="Y2283">
        <v>0.1894545</v>
      </c>
      <c r="Z2283">
        <v>1.548421E-2</v>
      </c>
      <c r="AA2283">
        <v>0.98176739999999996</v>
      </c>
      <c r="AB2283">
        <v>35</v>
      </c>
      <c r="AC2283">
        <v>-0.52819999999996903</v>
      </c>
      <c r="AD2283">
        <v>-0.15758730000000001</v>
      </c>
      <c r="AE2283">
        <v>0.17480000000000401</v>
      </c>
      <c r="AF2283">
        <v>0.15804843650046699</v>
      </c>
      <c r="AG2283">
        <v>-0.15758730000000001</v>
      </c>
      <c r="AH2283">
        <v>0.49020351170758097</v>
      </c>
      <c r="AI2283">
        <v>107.012210606697</v>
      </c>
      <c r="AJ2283">
        <v>72.129956056463698</v>
      </c>
      <c r="AK2283">
        <v>0.53862096904221701</v>
      </c>
      <c r="AL2283">
        <v>78.995586778710305</v>
      </c>
      <c r="AM2283">
        <v>91.650710507699102</v>
      </c>
      <c r="AN2283">
        <v>0.99999997442472899</v>
      </c>
    </row>
    <row r="2284" spans="1:40" x14ac:dyDescent="0.25">
      <c r="A2284" t="str">
        <f>"20190312172414373"</f>
        <v>20190312172414373</v>
      </c>
      <c r="B2284" t="str">
        <f>"1552382654362186"</f>
        <v>1552382654362186</v>
      </c>
      <c r="C2284" t="s">
        <v>40</v>
      </c>
      <c r="D2284">
        <v>3.4370599999999998</v>
      </c>
      <c r="E2284">
        <v>0.59457399999999905</v>
      </c>
      <c r="F2284" t="s">
        <v>41</v>
      </c>
      <c r="G2284">
        <v>-411.2921</v>
      </c>
      <c r="H2284">
        <v>0.93453679999999995</v>
      </c>
      <c r="I2284">
        <v>284.69200000000001</v>
      </c>
      <c r="J2284">
        <v>-410.80160000000001</v>
      </c>
      <c r="K2284">
        <v>1.110395</v>
      </c>
      <c r="L2284">
        <v>284.51679999999999</v>
      </c>
      <c r="M2284">
        <v>-0.9998629</v>
      </c>
      <c r="N2284">
        <v>0</v>
      </c>
      <c r="O2284">
        <v>7.6989579999999997E-3</v>
      </c>
      <c r="P2284">
        <v>-0.98405100000000001</v>
      </c>
      <c r="Q2284">
        <v>0.1766868</v>
      </c>
      <c r="R2284">
        <v>-2.0630699999999998E-2</v>
      </c>
      <c r="S2284">
        <v>-3.183411</v>
      </c>
      <c r="T2284">
        <v>-0.67304269999999999</v>
      </c>
      <c r="U2284">
        <v>0.67858890000000005</v>
      </c>
      <c r="V2284">
        <v>-2.8201540000000001E-2</v>
      </c>
      <c r="W2284">
        <v>0.1911003</v>
      </c>
      <c r="X2284">
        <v>0.98116530000000002</v>
      </c>
      <c r="Y2284">
        <v>0.1969418</v>
      </c>
      <c r="Z2284">
        <v>1.8777329999999998E-2</v>
      </c>
      <c r="AA2284">
        <v>0.98023530000000003</v>
      </c>
      <c r="AB2284">
        <v>35</v>
      </c>
      <c r="AC2284">
        <v>-0.49049999999999699</v>
      </c>
      <c r="AD2284">
        <v>-0.17585819999999899</v>
      </c>
      <c r="AE2284">
        <v>0.17520000000001701</v>
      </c>
      <c r="AF2284">
        <v>0.15387638953025701</v>
      </c>
      <c r="AG2284">
        <v>-0.17585819999999899</v>
      </c>
      <c r="AH2284">
        <v>0.44150371637929098</v>
      </c>
      <c r="AI2284">
        <v>110.61261747718</v>
      </c>
      <c r="AJ2284">
        <v>70.785125602443898</v>
      </c>
      <c r="AK2284">
        <v>0.49952935983666902</v>
      </c>
      <c r="AL2284">
        <v>78.982996578111994</v>
      </c>
      <c r="AM2284">
        <v>91.646393796575097</v>
      </c>
      <c r="AN2284">
        <v>0.99999999872127499</v>
      </c>
    </row>
    <row r="2285" spans="1:40" x14ac:dyDescent="0.25">
      <c r="A2285" t="str">
        <f>"20190312172414396"</f>
        <v>20190312172414396</v>
      </c>
      <c r="B2285" t="str">
        <f>"1552382654392443"</f>
        <v>1552382654392443</v>
      </c>
      <c r="C2285" t="s">
        <v>40</v>
      </c>
      <c r="D2285">
        <v>3.3975010000000001</v>
      </c>
      <c r="E2285">
        <v>0.59485889999999997</v>
      </c>
      <c r="F2285" t="s">
        <v>41</v>
      </c>
      <c r="G2285">
        <v>-411.60590000000002</v>
      </c>
      <c r="H2285">
        <v>0.93939229999999996</v>
      </c>
      <c r="I2285">
        <v>284.69170000000003</v>
      </c>
      <c r="J2285">
        <v>-411.15300000000002</v>
      </c>
      <c r="K2285">
        <v>1.110395</v>
      </c>
      <c r="L2285">
        <v>284.51949999999999</v>
      </c>
      <c r="M2285">
        <v>-0.9998629</v>
      </c>
      <c r="N2285">
        <v>0</v>
      </c>
      <c r="O2285">
        <v>7.6988279999999996E-3</v>
      </c>
      <c r="P2285">
        <v>-0.9841145</v>
      </c>
      <c r="Q2285">
        <v>0.17631469999999999</v>
      </c>
      <c r="R2285">
        <v>-2.0795930000000001E-2</v>
      </c>
      <c r="S2285">
        <v>-3.1846920000000001</v>
      </c>
      <c r="T2285">
        <v>-0.67722329999999997</v>
      </c>
      <c r="U2285">
        <v>0.69152829999999998</v>
      </c>
      <c r="V2285">
        <v>-2.836692E-2</v>
      </c>
      <c r="W2285">
        <v>0.19072539999999999</v>
      </c>
      <c r="X2285">
        <v>0.98123349999999998</v>
      </c>
      <c r="Y2285">
        <v>0.20054759999999999</v>
      </c>
      <c r="Z2285">
        <v>1.9251440000000002E-2</v>
      </c>
      <c r="AA2285">
        <v>0.9794948</v>
      </c>
      <c r="AB2285">
        <v>35</v>
      </c>
      <c r="AC2285">
        <v>-0.45289999999999903</v>
      </c>
      <c r="AD2285">
        <v>-0.17100269999999901</v>
      </c>
      <c r="AE2285">
        <v>0.17220000000003199</v>
      </c>
      <c r="AF2285">
        <v>0.15002176659726699</v>
      </c>
      <c r="AG2285">
        <v>-0.17100269999999901</v>
      </c>
      <c r="AH2285">
        <v>0.403904186120007</v>
      </c>
      <c r="AI2285">
        <v>111.64722767032799</v>
      </c>
      <c r="AJ2285">
        <v>69.623538389656503</v>
      </c>
      <c r="AK2285">
        <v>0.46355910672267098</v>
      </c>
      <c r="AL2285">
        <v>79.004879501625695</v>
      </c>
      <c r="AM2285">
        <v>91.6559282112636</v>
      </c>
      <c r="AN2285">
        <v>1.00000002093884</v>
      </c>
    </row>
    <row r="2286" spans="1:40" x14ac:dyDescent="0.25">
      <c r="A2286" t="str">
        <f>"20190312172414418"</f>
        <v>20190312172414418</v>
      </c>
      <c r="B2286" t="str">
        <f>"1552382654411962"</f>
        <v>1552382654411962</v>
      </c>
      <c r="C2286" t="s">
        <v>40</v>
      </c>
      <c r="D2286">
        <v>3.3943829999999999</v>
      </c>
      <c r="E2286">
        <v>0.59507769999999904</v>
      </c>
      <c r="F2286" t="s">
        <v>41</v>
      </c>
      <c r="G2286">
        <v>-411.92009999999999</v>
      </c>
      <c r="H2286">
        <v>0.94621860000000002</v>
      </c>
      <c r="I2286">
        <v>284.68709999999999</v>
      </c>
      <c r="J2286">
        <v>-411.50170000000003</v>
      </c>
      <c r="K2286">
        <v>1.1103940000000001</v>
      </c>
      <c r="L2286">
        <v>284.5222</v>
      </c>
      <c r="M2286">
        <v>-0.99986299999999995</v>
      </c>
      <c r="N2286">
        <v>0</v>
      </c>
      <c r="O2286">
        <v>7.6985119999999898E-3</v>
      </c>
      <c r="P2286">
        <v>-0.98410330000000001</v>
      </c>
      <c r="Q2286">
        <v>0.1763603</v>
      </c>
      <c r="R2286">
        <v>-2.0930250000000001E-2</v>
      </c>
      <c r="S2286">
        <v>-3.1852420000000001</v>
      </c>
      <c r="T2286">
        <v>-0.68175699999999995</v>
      </c>
      <c r="U2286">
        <v>0.69345089999999998</v>
      </c>
      <c r="V2286">
        <v>-2.8500500000000002E-2</v>
      </c>
      <c r="W2286">
        <v>0.1907671</v>
      </c>
      <c r="X2286">
        <v>0.98122149999999997</v>
      </c>
      <c r="Y2286">
        <v>0.20101459999999999</v>
      </c>
      <c r="Z2286">
        <v>1.9422120000000001E-2</v>
      </c>
      <c r="AA2286">
        <v>0.97939569999999998</v>
      </c>
      <c r="AB2286">
        <v>35</v>
      </c>
      <c r="AC2286">
        <v>-0.41839999999996202</v>
      </c>
      <c r="AD2286">
        <v>-0.1641754</v>
      </c>
      <c r="AE2286">
        <v>0.164899999999988</v>
      </c>
      <c r="AF2286">
        <v>0.14266147614517599</v>
      </c>
      <c r="AG2286">
        <v>-0.1641754</v>
      </c>
      <c r="AH2286">
        <v>0.37030707563662202</v>
      </c>
      <c r="AI2286">
        <v>112.475363102682</v>
      </c>
      <c r="AJ2286">
        <v>68.930729619722698</v>
      </c>
      <c r="AK2286">
        <v>0.42945685348778301</v>
      </c>
      <c r="AL2286">
        <v>79.002445329523297</v>
      </c>
      <c r="AM2286">
        <v>91.663741950413694</v>
      </c>
      <c r="AN2286">
        <v>0.99999999850245402</v>
      </c>
    </row>
    <row r="2287" spans="1:40" x14ac:dyDescent="0.25">
      <c r="A2287" t="str">
        <f>"20190312172414440"</f>
        <v>20190312172414440</v>
      </c>
      <c r="B2287" t="str">
        <f>"1552382654432458"</f>
        <v>1552382654432458</v>
      </c>
      <c r="C2287" t="s">
        <v>40</v>
      </c>
      <c r="D2287">
        <v>3.3820459999999999</v>
      </c>
      <c r="E2287">
        <v>0.59516579999999997</v>
      </c>
      <c r="F2287" t="s">
        <v>41</v>
      </c>
      <c r="G2287">
        <v>-412.23419999999999</v>
      </c>
      <c r="H2287">
        <v>0.95320839999999996</v>
      </c>
      <c r="I2287">
        <v>284.68239999999997</v>
      </c>
      <c r="J2287">
        <v>-411.84629999999999</v>
      </c>
      <c r="K2287">
        <v>1.110384</v>
      </c>
      <c r="L2287">
        <v>284.52480000000003</v>
      </c>
      <c r="M2287">
        <v>-0.99986299999999995</v>
      </c>
      <c r="N2287">
        <v>0</v>
      </c>
      <c r="O2287">
        <v>7.6987269999999998E-3</v>
      </c>
      <c r="P2287">
        <v>-0.98409829999999998</v>
      </c>
      <c r="Q2287">
        <v>0.17635379999999901</v>
      </c>
      <c r="R2287">
        <v>-2.1218580000000001E-2</v>
      </c>
      <c r="S2287">
        <v>-3.185791</v>
      </c>
      <c r="T2287">
        <v>-0.68356499999999998</v>
      </c>
      <c r="U2287">
        <v>0.69528199999999996</v>
      </c>
      <c r="V2287">
        <v>-2.8788310000000001E-2</v>
      </c>
      <c r="W2287">
        <v>0.1907567</v>
      </c>
      <c r="X2287">
        <v>0.98121510000000001</v>
      </c>
      <c r="Y2287">
        <v>0.20148640000000001</v>
      </c>
      <c r="Z2287">
        <v>1.9517610000000001E-2</v>
      </c>
      <c r="AA2287">
        <v>0.97929679999999997</v>
      </c>
      <c r="AB2287">
        <v>35</v>
      </c>
      <c r="AC2287">
        <v>-0.38790000000000102</v>
      </c>
      <c r="AD2287">
        <v>-0.157175599999999</v>
      </c>
      <c r="AE2287">
        <v>0.15759999999994501</v>
      </c>
      <c r="AF2287">
        <v>0.13551207388306299</v>
      </c>
      <c r="AG2287">
        <v>-0.157175599999999</v>
      </c>
      <c r="AH2287">
        <v>0.34104175314560498</v>
      </c>
      <c r="AI2287">
        <v>113.185297245988</v>
      </c>
      <c r="AJ2287">
        <v>68.329726979827598</v>
      </c>
      <c r="AK2287">
        <v>0.39922070185810299</v>
      </c>
      <c r="AL2287">
        <v>79.003052134857796</v>
      </c>
      <c r="AM2287">
        <v>91.680544483079899</v>
      </c>
      <c r="AN2287">
        <v>0.99999997892777703</v>
      </c>
    </row>
    <row r="2288" spans="1:40" x14ac:dyDescent="0.25">
      <c r="A2288" t="str">
        <f>"20190312172414462"</f>
        <v>20190312172414462</v>
      </c>
      <c r="B2288" t="str">
        <f>"1552382654451978"</f>
        <v>1552382654451978</v>
      </c>
      <c r="C2288" t="s">
        <v>40</v>
      </c>
      <c r="D2288">
        <v>3.4314610000000001</v>
      </c>
      <c r="E2288">
        <v>0.59528630000000005</v>
      </c>
      <c r="F2288" t="s">
        <v>41</v>
      </c>
      <c r="G2288">
        <v>-412.54790000000003</v>
      </c>
      <c r="H2288">
        <v>0.9600166</v>
      </c>
      <c r="I2288">
        <v>284.67840000000001</v>
      </c>
      <c r="J2288">
        <v>-412.18799999999999</v>
      </c>
      <c r="K2288">
        <v>1.1103809999999901</v>
      </c>
      <c r="L2288">
        <v>284.52749999999997</v>
      </c>
      <c r="M2288">
        <v>-0.9998629</v>
      </c>
      <c r="N2288">
        <v>0</v>
      </c>
      <c r="O2288">
        <v>7.6987590000000003E-3</v>
      </c>
      <c r="P2288">
        <v>-0.98402999999999996</v>
      </c>
      <c r="Q2288">
        <v>0.17670849999999999</v>
      </c>
      <c r="R2288">
        <v>-2.1424619999999998E-2</v>
      </c>
      <c r="S2288">
        <v>-3.1858520000000001</v>
      </c>
      <c r="T2288">
        <v>-0.68294549999999998</v>
      </c>
      <c r="U2288">
        <v>0.69464110000000001</v>
      </c>
      <c r="V2288">
        <v>-2.899357E-2</v>
      </c>
      <c r="W2288">
        <v>0.19110640000000001</v>
      </c>
      <c r="X2288">
        <v>0.98114100000000004</v>
      </c>
      <c r="Y2288">
        <v>0.20130590000000001</v>
      </c>
      <c r="Z2288">
        <v>1.9481410000000001E-2</v>
      </c>
      <c r="AA2288">
        <v>0.9793347</v>
      </c>
      <c r="AB2288">
        <v>35</v>
      </c>
      <c r="AC2288">
        <v>-0.35989999999998101</v>
      </c>
      <c r="AD2288">
        <v>-0.15036439999999901</v>
      </c>
      <c r="AE2288">
        <v>0.15090000000003501</v>
      </c>
      <c r="AF2288">
        <v>0.128977194472183</v>
      </c>
      <c r="AG2288">
        <v>-0.15036439999999901</v>
      </c>
      <c r="AH2288">
        <v>0.31438005042828898</v>
      </c>
      <c r="AI2288">
        <v>113.869257964578</v>
      </c>
      <c r="AJ2288">
        <v>67.693675839101303</v>
      </c>
      <c r="AK2288">
        <v>0.37159034646848499</v>
      </c>
      <c r="AL2288">
        <v>78.982640219594003</v>
      </c>
      <c r="AM2288">
        <v>91.692647534598393</v>
      </c>
      <c r="AN2288">
        <v>0.99999997255165196</v>
      </c>
    </row>
    <row r="2289" spans="1:40" x14ac:dyDescent="0.25">
      <c r="A2289" t="str">
        <f>"20190312172414485"</f>
        <v>20190312172414485</v>
      </c>
      <c r="B2289" t="str">
        <f>"1552382654482235"</f>
        <v>1552382654482235</v>
      </c>
      <c r="C2289" t="s">
        <v>40</v>
      </c>
      <c r="D2289">
        <v>3.4645160000000002</v>
      </c>
      <c r="E2289">
        <v>0.59754079999999998</v>
      </c>
      <c r="F2289" t="s">
        <v>41</v>
      </c>
      <c r="G2289">
        <v>-413.14589999999998</v>
      </c>
      <c r="H2289">
        <v>0.90538050000000003</v>
      </c>
      <c r="I2289">
        <v>284.73669999999998</v>
      </c>
      <c r="J2289">
        <v>-412.53320000000002</v>
      </c>
      <c r="K2289">
        <v>1.1103829999999999</v>
      </c>
      <c r="L2289">
        <v>284.5301</v>
      </c>
      <c r="M2289">
        <v>-0.99986319999999995</v>
      </c>
      <c r="N2289">
        <v>0</v>
      </c>
      <c r="O2289">
        <v>7.6984940000000002E-3</v>
      </c>
      <c r="P2289">
        <v>-0.98410220000000004</v>
      </c>
      <c r="Q2289">
        <v>0.17628679999999999</v>
      </c>
      <c r="R2289">
        <v>-2.1596589999999999E-2</v>
      </c>
      <c r="S2289">
        <v>-3.1862490000000001</v>
      </c>
      <c r="T2289">
        <v>-0.68197269999999999</v>
      </c>
      <c r="U2289">
        <v>0.69409180000000004</v>
      </c>
      <c r="V2289">
        <v>-2.916585E-2</v>
      </c>
      <c r="W2289">
        <v>0.1906823</v>
      </c>
      <c r="X2289">
        <v>0.98121849999999999</v>
      </c>
      <c r="Y2289">
        <v>0.2011358</v>
      </c>
      <c r="Z2289">
        <v>1.9434549999999998E-2</v>
      </c>
      <c r="AA2289">
        <v>0.97937050000000003</v>
      </c>
      <c r="AB2289">
        <v>35</v>
      </c>
      <c r="AC2289">
        <v>-0.61269999999996105</v>
      </c>
      <c r="AD2289">
        <v>-0.205002499999999</v>
      </c>
      <c r="AE2289">
        <v>0.20659999999997999</v>
      </c>
      <c r="AF2289">
        <v>0.18343732409570901</v>
      </c>
      <c r="AG2289">
        <v>-0.205002499999999</v>
      </c>
      <c r="AH2289">
        <v>0.55816553752882703</v>
      </c>
      <c r="AI2289">
        <v>109.234866170404</v>
      </c>
      <c r="AJ2289">
        <v>71.807241415161201</v>
      </c>
      <c r="AK2289">
        <v>0.622273287360536</v>
      </c>
      <c r="AL2289">
        <v>79.007395613611195</v>
      </c>
      <c r="AM2289">
        <v>91.702564949377603</v>
      </c>
      <c r="AN2289">
        <v>1.0000000655408701</v>
      </c>
    </row>
    <row r="2290" spans="1:40" x14ac:dyDescent="0.25">
      <c r="A2290" t="str">
        <f>"20190312172414507"</f>
        <v>20190312172414507</v>
      </c>
      <c r="B2290" t="str">
        <f>"1552382654502735"</f>
        <v>1552382654502735</v>
      </c>
      <c r="C2290" t="s">
        <v>40</v>
      </c>
      <c r="D2290">
        <v>3.4669669999999999</v>
      </c>
      <c r="E2290">
        <v>0.59819769999999906</v>
      </c>
      <c r="F2290" t="s">
        <v>41</v>
      </c>
      <c r="G2290">
        <v>-413.45</v>
      </c>
      <c r="H2290">
        <v>0.89325519999999903</v>
      </c>
      <c r="I2290">
        <v>284.73390000000001</v>
      </c>
      <c r="J2290">
        <v>-412.88420000000002</v>
      </c>
      <c r="K2290">
        <v>1.1103889999999901</v>
      </c>
      <c r="L2290">
        <v>284.53280000000001</v>
      </c>
      <c r="M2290">
        <v>-0.99986319999999995</v>
      </c>
      <c r="N2290">
        <v>0</v>
      </c>
      <c r="O2290">
        <v>7.698346E-3</v>
      </c>
      <c r="P2290">
        <v>-0.98406879999999997</v>
      </c>
      <c r="Q2290">
        <v>0.176488899999999</v>
      </c>
      <c r="R2290">
        <v>-2.1461529999999999E-2</v>
      </c>
      <c r="S2290">
        <v>-3.1998289999999998</v>
      </c>
      <c r="T2290">
        <v>-0.75787320000000002</v>
      </c>
      <c r="U2290">
        <v>0.71096800000000004</v>
      </c>
      <c r="V2290">
        <v>-2.9030429999999999E-2</v>
      </c>
      <c r="W2290">
        <v>0.1908803</v>
      </c>
      <c r="X2290">
        <v>0.9811839</v>
      </c>
      <c r="Y2290">
        <v>0.20419609999999999</v>
      </c>
      <c r="Z2290">
        <v>2.179824E-2</v>
      </c>
      <c r="AA2290">
        <v>0.97868730000000004</v>
      </c>
      <c r="AB2290">
        <v>35</v>
      </c>
      <c r="AC2290">
        <v>-0.565799999999967</v>
      </c>
      <c r="AD2290">
        <v>-0.21713379999999899</v>
      </c>
      <c r="AE2290">
        <v>0.201099999999996</v>
      </c>
      <c r="AF2290">
        <v>0.17398776663578799</v>
      </c>
      <c r="AG2290">
        <v>-0.21713379999999899</v>
      </c>
      <c r="AH2290">
        <v>0.50172728413326095</v>
      </c>
      <c r="AI2290">
        <v>112.238923578973</v>
      </c>
      <c r="AJ2290">
        <v>70.874601468621805</v>
      </c>
      <c r="AK2290">
        <v>0.57371517121746696</v>
      </c>
      <c r="AL2290">
        <v>78.995837495661505</v>
      </c>
      <c r="AM2290">
        <v>91.694724112982001</v>
      </c>
      <c r="AN2290">
        <v>0.99999995020664101</v>
      </c>
    </row>
    <row r="2291" spans="1:40" x14ac:dyDescent="0.25">
      <c r="A2291" t="str">
        <f>"20190312172414531"</f>
        <v>20190312172414531</v>
      </c>
      <c r="B2291" t="str">
        <f>"1552382654522251"</f>
        <v>1552382654522251</v>
      </c>
      <c r="C2291" t="s">
        <v>40</v>
      </c>
      <c r="D2291">
        <v>3.4587349999999999</v>
      </c>
      <c r="E2291">
        <v>0.59829149999999998</v>
      </c>
      <c r="F2291" t="s">
        <v>41</v>
      </c>
      <c r="G2291">
        <v>-413.76369999999997</v>
      </c>
      <c r="H2291">
        <v>0.90422369999999996</v>
      </c>
      <c r="I2291">
        <v>284.7303</v>
      </c>
      <c r="J2291">
        <v>-413.2398</v>
      </c>
      <c r="K2291">
        <v>1.1103860000000001</v>
      </c>
      <c r="L2291">
        <v>284.53559999999999</v>
      </c>
      <c r="M2291">
        <v>-0.99986319999999995</v>
      </c>
      <c r="N2291">
        <v>0</v>
      </c>
      <c r="O2291">
        <v>7.6983779999999996E-3</v>
      </c>
      <c r="P2291">
        <v>-0.98403819999999997</v>
      </c>
      <c r="Q2291">
        <v>0.17666370000000001</v>
      </c>
      <c r="R2291">
        <v>-2.1423049999999999E-2</v>
      </c>
      <c r="S2291">
        <v>-3.1987000000000001</v>
      </c>
      <c r="T2291">
        <v>-0.74993369999999904</v>
      </c>
      <c r="U2291">
        <v>0.7165222</v>
      </c>
      <c r="V2291">
        <v>-2.899202E-2</v>
      </c>
      <c r="W2291">
        <v>0.19105069999999999</v>
      </c>
      <c r="X2291">
        <v>0.98115189999999997</v>
      </c>
      <c r="Y2291">
        <v>0.20594789999999999</v>
      </c>
      <c r="Z2291">
        <v>2.1779320000000001E-2</v>
      </c>
      <c r="AA2291">
        <v>0.97832050000000004</v>
      </c>
      <c r="AB2291">
        <v>35</v>
      </c>
      <c r="AC2291">
        <v>-0.52389999999996895</v>
      </c>
      <c r="AD2291">
        <v>-0.20616229999999999</v>
      </c>
      <c r="AE2291">
        <v>0.194700000000011</v>
      </c>
      <c r="AF2291">
        <v>0.16782591803800401</v>
      </c>
      <c r="AG2291">
        <v>-0.20616229999999999</v>
      </c>
      <c r="AH2291">
        <v>0.46246031750854699</v>
      </c>
      <c r="AI2291">
        <v>112.736320504316</v>
      </c>
      <c r="AJ2291">
        <v>70.054267397485603</v>
      </c>
      <c r="AK2291">
        <v>0.533421013812443</v>
      </c>
      <c r="AL2291">
        <v>78.985891572555701</v>
      </c>
      <c r="AM2291">
        <v>91.692538305737003</v>
      </c>
      <c r="AN2291">
        <v>0.99999997903388904</v>
      </c>
    </row>
    <row r="2292" spans="1:40" x14ac:dyDescent="0.25">
      <c r="A2292" t="str">
        <f>"20190312172414552"</f>
        <v>20190312172414552</v>
      </c>
      <c r="B2292" t="str">
        <f>"1552382654542746"</f>
        <v>1552382654542746</v>
      </c>
      <c r="C2292" t="s">
        <v>40</v>
      </c>
      <c r="D2292">
        <v>3.5016180000000001</v>
      </c>
      <c r="E2292">
        <v>0.59846940000000004</v>
      </c>
      <c r="F2292" t="s">
        <v>41</v>
      </c>
      <c r="G2292">
        <v>-414.07659999999998</v>
      </c>
      <c r="H2292">
        <v>0.91457140000000003</v>
      </c>
      <c r="I2292">
        <v>284.7235</v>
      </c>
      <c r="J2292">
        <v>-413.58300000000003</v>
      </c>
      <c r="K2292">
        <v>1.1103879999999999</v>
      </c>
      <c r="L2292">
        <v>284.53820000000002</v>
      </c>
      <c r="M2292">
        <v>-0.99986319999999995</v>
      </c>
      <c r="N2292">
        <v>0</v>
      </c>
      <c r="O2292">
        <v>7.6984069999999896E-3</v>
      </c>
      <c r="P2292">
        <v>-0.98402009999999995</v>
      </c>
      <c r="Q2292">
        <v>0.1768053</v>
      </c>
      <c r="R2292">
        <v>-2.1081880000000001E-2</v>
      </c>
      <c r="S2292">
        <v>-3.198639</v>
      </c>
      <c r="T2292">
        <v>-0.74853530000000001</v>
      </c>
      <c r="U2292">
        <v>0.71728519999999996</v>
      </c>
      <c r="V2292">
        <v>-2.8650640000000002E-2</v>
      </c>
      <c r="W2292">
        <v>0.19118879999999999</v>
      </c>
      <c r="X2292">
        <v>0.98113510000000004</v>
      </c>
      <c r="Y2292">
        <v>0.20618690000000001</v>
      </c>
      <c r="Z2292">
        <v>2.1766859999999999E-2</v>
      </c>
      <c r="AA2292">
        <v>0.97827050000000004</v>
      </c>
      <c r="AB2292">
        <v>35</v>
      </c>
      <c r="AC2292">
        <v>-0.49359999999995802</v>
      </c>
      <c r="AD2292">
        <v>-0.19581659999999901</v>
      </c>
      <c r="AE2292">
        <v>0.18529999999998301</v>
      </c>
      <c r="AF2292">
        <v>0.15949362405253201</v>
      </c>
      <c r="AG2292">
        <v>-0.19581659999999901</v>
      </c>
      <c r="AH2292">
        <v>0.43500716968224601</v>
      </c>
      <c r="AI2292">
        <v>112.910569735575</v>
      </c>
      <c r="AJ2292">
        <v>69.864742065535594</v>
      </c>
      <c r="AK2292">
        <v>0.50300456719986997</v>
      </c>
      <c r="AL2292">
        <v>78.977831228876497</v>
      </c>
      <c r="AM2292">
        <v>91.672648740000099</v>
      </c>
      <c r="AN2292">
        <v>1.00000005043492</v>
      </c>
    </row>
    <row r="2293" spans="1:40" x14ac:dyDescent="0.25">
      <c r="A2293" t="str">
        <f>"20190312172414567"</f>
        <v>20190312172414567</v>
      </c>
      <c r="B2293" t="str">
        <f>"1552382654562267"</f>
        <v>1552382654562267</v>
      </c>
      <c r="C2293" t="s">
        <v>40</v>
      </c>
      <c r="D2293">
        <v>3.5084849999999999</v>
      </c>
      <c r="E2293">
        <v>0.59869869999999903</v>
      </c>
      <c r="F2293" t="s">
        <v>41</v>
      </c>
      <c r="G2293">
        <v>-414.38819999999998</v>
      </c>
      <c r="H2293">
        <v>0.9222108</v>
      </c>
      <c r="I2293">
        <v>284.71980000000002</v>
      </c>
      <c r="J2293">
        <v>-413.79379999999998</v>
      </c>
      <c r="K2293">
        <v>1.11039</v>
      </c>
      <c r="L2293">
        <v>284.53989999999999</v>
      </c>
      <c r="M2293">
        <v>-0.99986330000000001</v>
      </c>
      <c r="N2293">
        <v>0</v>
      </c>
      <c r="O2293">
        <v>7.6984250000000001E-3</v>
      </c>
      <c r="P2293">
        <v>-0.98402199999999995</v>
      </c>
      <c r="Q2293">
        <v>0.17680799999999999</v>
      </c>
      <c r="R2293">
        <v>-2.0965729999999998E-2</v>
      </c>
      <c r="S2293">
        <v>-3.1984560000000002</v>
      </c>
      <c r="T2293">
        <v>-0.74750130000000004</v>
      </c>
      <c r="U2293">
        <v>0.71917719999999996</v>
      </c>
      <c r="V2293">
        <v>-2.8534609999999998E-2</v>
      </c>
      <c r="W2293">
        <v>0.19118930000000001</v>
      </c>
      <c r="X2293">
        <v>0.98113830000000002</v>
      </c>
      <c r="Y2293">
        <v>0.2067495</v>
      </c>
      <c r="Z2293">
        <v>2.180149E-2</v>
      </c>
      <c r="AA2293">
        <v>0.97815099999999999</v>
      </c>
      <c r="AB2293">
        <v>35</v>
      </c>
      <c r="AC2293">
        <v>-0.59440000000000703</v>
      </c>
      <c r="AD2293">
        <v>-0.18817919999999999</v>
      </c>
      <c r="AE2293">
        <v>0.17990000000003101</v>
      </c>
      <c r="AF2293">
        <v>0.16057479783360301</v>
      </c>
      <c r="AG2293">
        <v>-0.18817919999999999</v>
      </c>
      <c r="AH2293">
        <v>0.54566624357714399</v>
      </c>
      <c r="AI2293">
        <v>108.305980377338</v>
      </c>
      <c r="AJ2293">
        <v>73.602271942308903</v>
      </c>
      <c r="AK2293">
        <v>0.59912212977950796</v>
      </c>
      <c r="AL2293">
        <v>78.977801123325605</v>
      </c>
      <c r="AM2293">
        <v>91.6658732043594</v>
      </c>
      <c r="AN2293">
        <v>0.999999968064615</v>
      </c>
    </row>
    <row r="2294" spans="1:40" x14ac:dyDescent="0.25">
      <c r="A2294" t="str">
        <f>"20190312172414578"</f>
        <v>20190312172414578</v>
      </c>
      <c r="B2294" t="str">
        <f>"1552382654572028"</f>
        <v>1552382654572028</v>
      </c>
      <c r="C2294" t="s">
        <v>40</v>
      </c>
      <c r="D2294">
        <v>3.48394</v>
      </c>
      <c r="E2294">
        <v>0.59874839999999996</v>
      </c>
      <c r="F2294" t="s">
        <v>41</v>
      </c>
      <c r="G2294">
        <v>-414.6884</v>
      </c>
      <c r="H2294">
        <v>0.90159149999999999</v>
      </c>
      <c r="I2294">
        <v>284.74200000000002</v>
      </c>
      <c r="J2294">
        <v>-413.98970000000003</v>
      </c>
      <c r="K2294">
        <v>1.11039</v>
      </c>
      <c r="L2294">
        <v>284.54140000000001</v>
      </c>
      <c r="M2294">
        <v>-0.99986330000000001</v>
      </c>
      <c r="N2294">
        <v>0</v>
      </c>
      <c r="O2294">
        <v>7.6982630000000003E-3</v>
      </c>
      <c r="P2294">
        <v>-0.98405880000000001</v>
      </c>
      <c r="Q2294">
        <v>0.1766201</v>
      </c>
      <c r="R2294">
        <v>-2.0825779999999999E-2</v>
      </c>
      <c r="S2294">
        <v>-3.1982729999999999</v>
      </c>
      <c r="T2294">
        <v>-0.74657910000000005</v>
      </c>
      <c r="U2294">
        <v>0.72167969999999904</v>
      </c>
      <c r="V2294">
        <v>-2.8394389999999999E-2</v>
      </c>
      <c r="W2294">
        <v>0.19099920000000001</v>
      </c>
      <c r="X2294">
        <v>0.98117940000000003</v>
      </c>
      <c r="Y2294">
        <v>0.207484</v>
      </c>
      <c r="Z2294">
        <v>2.1858309999999999E-2</v>
      </c>
      <c r="AA2294">
        <v>0.97799409999999998</v>
      </c>
      <c r="AB2294">
        <v>35</v>
      </c>
      <c r="AC2294">
        <v>-0.69869999999997301</v>
      </c>
      <c r="AD2294">
        <v>-0.208798499999999</v>
      </c>
      <c r="AE2294">
        <v>0.20060000000000799</v>
      </c>
      <c r="AF2294">
        <v>0.18033627859196899</v>
      </c>
      <c r="AG2294">
        <v>-0.208798499999999</v>
      </c>
      <c r="AH2294">
        <v>0.64685569243487295</v>
      </c>
      <c r="AI2294">
        <v>107.27217516571601</v>
      </c>
      <c r="AJ2294">
        <v>74.4221124025931</v>
      </c>
      <c r="AK2294">
        <v>0.70323557490648203</v>
      </c>
      <c r="AL2294">
        <v>78.988897621165194</v>
      </c>
      <c r="AM2294">
        <v>91.657622228860106</v>
      </c>
      <c r="AN2294">
        <v>0.99999997538423502</v>
      </c>
    </row>
    <row r="2295" spans="1:40" x14ac:dyDescent="0.25">
      <c r="A2295" t="str">
        <f>"20190312172414591"</f>
        <v>20190312172414591</v>
      </c>
      <c r="B2295" t="str">
        <f>"1552382654582764"</f>
        <v>1552382654582764</v>
      </c>
      <c r="C2295" t="s">
        <v>40</v>
      </c>
      <c r="D2295">
        <v>3.4980250000000002</v>
      </c>
      <c r="E2295">
        <v>0.59878240000000005</v>
      </c>
      <c r="F2295" t="s">
        <v>41</v>
      </c>
      <c r="G2295">
        <v>-414.70479999999998</v>
      </c>
      <c r="H2295">
        <v>0.94320059999999994</v>
      </c>
      <c r="I2295">
        <v>284.70319999999998</v>
      </c>
      <c r="J2295">
        <v>-414.17160000000001</v>
      </c>
      <c r="K2295">
        <v>1.1103889999999901</v>
      </c>
      <c r="L2295">
        <v>284.5428</v>
      </c>
      <c r="M2295">
        <v>-0.99986330000000001</v>
      </c>
      <c r="N2295">
        <v>0</v>
      </c>
      <c r="O2295">
        <v>7.6984569999999997E-3</v>
      </c>
      <c r="P2295">
        <v>-0.98400350000000003</v>
      </c>
      <c r="Q2295">
        <v>0.1769318</v>
      </c>
      <c r="R2295">
        <v>-2.0791110000000002E-2</v>
      </c>
      <c r="S2295">
        <v>-3.1981510000000002</v>
      </c>
      <c r="T2295">
        <v>-0.74781799999999998</v>
      </c>
      <c r="U2295">
        <v>0.72247309999999998</v>
      </c>
      <c r="V2295">
        <v>-2.835944E-2</v>
      </c>
      <c r="W2295">
        <v>0.19130810000000001</v>
      </c>
      <c r="X2295">
        <v>0.9811202</v>
      </c>
      <c r="Y2295">
        <v>0.20770040000000001</v>
      </c>
      <c r="Z2295">
        <v>2.19185E-2</v>
      </c>
      <c r="AA2295">
        <v>0.97794689999999995</v>
      </c>
      <c r="AB2295">
        <v>35</v>
      </c>
      <c r="AC2295">
        <v>-0.53319999999996504</v>
      </c>
      <c r="AD2295">
        <v>-0.16718839999999899</v>
      </c>
      <c r="AE2295">
        <v>0.160399999999981</v>
      </c>
      <c r="AF2295">
        <v>0.143364427769965</v>
      </c>
      <c r="AG2295">
        <v>-0.16718839999999899</v>
      </c>
      <c r="AH2295">
        <v>0.49022139981059298</v>
      </c>
      <c r="AI2295">
        <v>108.12513413865101</v>
      </c>
      <c r="AJ2295">
        <v>73.698529390805504</v>
      </c>
      <c r="AK2295">
        <v>0.537421939519245</v>
      </c>
      <c r="AL2295">
        <v>78.9708661440133</v>
      </c>
      <c r="AM2295">
        <v>91.655682877032305</v>
      </c>
      <c r="AN2295">
        <v>0.99999994690537997</v>
      </c>
    </row>
    <row r="2296" spans="1:40" x14ac:dyDescent="0.25">
      <c r="A2296" t="str">
        <f>"20190312172414609"</f>
        <v>20190312172414609</v>
      </c>
      <c r="B2296" t="str">
        <f>"1552382654602286"</f>
        <v>1552382654602286</v>
      </c>
      <c r="C2296" t="s">
        <v>40</v>
      </c>
      <c r="D2296">
        <v>3.5045410000000001</v>
      </c>
      <c r="E2296">
        <v>0.59865659999999998</v>
      </c>
      <c r="F2296" t="s">
        <v>41</v>
      </c>
      <c r="G2296">
        <v>-415.00200000000001</v>
      </c>
      <c r="H2296">
        <v>0.91642630000000003</v>
      </c>
      <c r="I2296">
        <v>284.73090000000002</v>
      </c>
      <c r="J2296">
        <v>-414.44150000000002</v>
      </c>
      <c r="K2296">
        <v>1.1103860000000001</v>
      </c>
      <c r="L2296">
        <v>284.54489999999998</v>
      </c>
      <c r="M2296">
        <v>-0.99986330000000001</v>
      </c>
      <c r="N2296">
        <v>0</v>
      </c>
      <c r="O2296">
        <v>7.6982999999999999E-3</v>
      </c>
      <c r="P2296">
        <v>-0.98401289999999997</v>
      </c>
      <c r="Q2296">
        <v>0.176869</v>
      </c>
      <c r="R2296">
        <v>-2.0878859999999999E-2</v>
      </c>
      <c r="S2296">
        <v>-3.198334</v>
      </c>
      <c r="T2296">
        <v>-0.74713090000000004</v>
      </c>
      <c r="U2296">
        <v>0.72265630000000003</v>
      </c>
      <c r="V2296">
        <v>-2.844729E-2</v>
      </c>
      <c r="W2296">
        <v>0.1912431</v>
      </c>
      <c r="X2296">
        <v>0.98113039999999996</v>
      </c>
      <c r="Y2296">
        <v>0.2077504</v>
      </c>
      <c r="Z2296">
        <v>2.1903289999999999E-2</v>
      </c>
      <c r="AA2296">
        <v>0.97793660000000004</v>
      </c>
      <c r="AB2296">
        <v>34</v>
      </c>
      <c r="AC2296">
        <v>-0.56049999999993305</v>
      </c>
      <c r="AD2296">
        <v>-0.19395970000000001</v>
      </c>
      <c r="AE2296">
        <v>0.186000000000035</v>
      </c>
      <c r="AF2296">
        <v>0.16398956069981599</v>
      </c>
      <c r="AG2296">
        <v>-0.19395970000000001</v>
      </c>
      <c r="AH2296">
        <v>0.50720335700881702</v>
      </c>
      <c r="AI2296">
        <v>109.994635613269</v>
      </c>
      <c r="AJ2296">
        <v>72.082883995338094</v>
      </c>
      <c r="AK2296">
        <v>0.56724614287240605</v>
      </c>
      <c r="AL2296">
        <v>78.974661205316593</v>
      </c>
      <c r="AM2296">
        <v>91.660791617691899</v>
      </c>
      <c r="AN2296">
        <v>1.00000001670505</v>
      </c>
    </row>
    <row r="2297" spans="1:40" x14ac:dyDescent="0.25">
      <c r="A2297" t="str">
        <f>"20190312172414620"</f>
        <v>20190312172414620</v>
      </c>
      <c r="B2297" t="str">
        <f>"1552382654612044"</f>
        <v>1552382654612044</v>
      </c>
      <c r="C2297" t="s">
        <v>40</v>
      </c>
      <c r="D2297">
        <v>3.6692300000000002</v>
      </c>
      <c r="E2297">
        <v>0.59865659999999998</v>
      </c>
      <c r="F2297" t="s">
        <v>41</v>
      </c>
      <c r="G2297">
        <v>-415.30619999999999</v>
      </c>
      <c r="H2297">
        <v>0.90815089999999998</v>
      </c>
      <c r="I2297">
        <v>284.73989999999998</v>
      </c>
      <c r="J2297">
        <v>-414.6343</v>
      </c>
      <c r="K2297">
        <v>1.1103860000000001</v>
      </c>
      <c r="L2297">
        <v>284.54629999999997</v>
      </c>
      <c r="M2297">
        <v>-0.99986339999999996</v>
      </c>
      <c r="N2297">
        <v>0</v>
      </c>
      <c r="O2297">
        <v>7.6983160000000002E-3</v>
      </c>
      <c r="P2297">
        <v>-0.98402940000000005</v>
      </c>
      <c r="Q2297">
        <v>0.17679010000000001</v>
      </c>
      <c r="R2297">
        <v>-2.077176E-2</v>
      </c>
      <c r="S2297">
        <v>-3.1984560000000002</v>
      </c>
      <c r="T2297">
        <v>-0.74807159999999995</v>
      </c>
      <c r="U2297">
        <v>0.72079469999999901</v>
      </c>
      <c r="V2297">
        <v>-2.834014E-2</v>
      </c>
      <c r="W2297">
        <v>0.1911621</v>
      </c>
      <c r="X2297">
        <v>0.9811493</v>
      </c>
      <c r="Y2297">
        <v>0.20720169999999999</v>
      </c>
      <c r="Z2297">
        <v>2.1868140000000001E-2</v>
      </c>
      <c r="AA2297">
        <v>0.97805379999999997</v>
      </c>
      <c r="AB2297">
        <v>34</v>
      </c>
      <c r="AC2297">
        <v>-0.67189999999999295</v>
      </c>
      <c r="AD2297">
        <v>-0.2022351</v>
      </c>
      <c r="AE2297">
        <v>0.19360000000000299</v>
      </c>
      <c r="AF2297">
        <v>0.173876447550074</v>
      </c>
      <c r="AG2297">
        <v>-0.2022351</v>
      </c>
      <c r="AH2297">
        <v>0.62139126781369702</v>
      </c>
      <c r="AI2297">
        <v>107.401856082707</v>
      </c>
      <c r="AJ2297">
        <v>74.367424941623</v>
      </c>
      <c r="AK2297">
        <v>0.67620940721033795</v>
      </c>
      <c r="AL2297">
        <v>78.979389549074398</v>
      </c>
      <c r="AM2297">
        <v>91.654507684183102</v>
      </c>
      <c r="AN2297">
        <v>1.0000000304510499</v>
      </c>
    </row>
    <row r="2298" spans="1:40" x14ac:dyDescent="0.25">
      <c r="A2298" t="str">
        <f>"20190312172414634"</f>
        <v>20190312172414634</v>
      </c>
      <c r="B2298" t="str">
        <f>"1552382654622780"</f>
        <v>1552382654622780</v>
      </c>
      <c r="C2298" t="s">
        <v>40</v>
      </c>
      <c r="D2298">
        <v>3.4852509999999999</v>
      </c>
      <c r="E2298">
        <v>0.59858230000000001</v>
      </c>
      <c r="F2298" t="s">
        <v>41</v>
      </c>
      <c r="G2298">
        <v>-415.32279999999997</v>
      </c>
      <c r="H2298">
        <v>0.94930789999999998</v>
      </c>
      <c r="I2298">
        <v>284.70179999999999</v>
      </c>
      <c r="J2298">
        <v>-414.83139999999997</v>
      </c>
      <c r="K2298">
        <v>1.110384</v>
      </c>
      <c r="L2298">
        <v>284.54790000000003</v>
      </c>
      <c r="M2298">
        <v>-0.99986339999999996</v>
      </c>
      <c r="N2298">
        <v>0</v>
      </c>
      <c r="O2298">
        <v>7.6983329999999999E-3</v>
      </c>
      <c r="P2298">
        <v>-0.98407990000000001</v>
      </c>
      <c r="Q2298">
        <v>0.17649489999999901</v>
      </c>
      <c r="R2298">
        <v>-2.089276E-2</v>
      </c>
      <c r="S2298">
        <v>-3.198334</v>
      </c>
      <c r="T2298">
        <v>-0.74822519999999904</v>
      </c>
      <c r="U2298">
        <v>0.72143550000000001</v>
      </c>
      <c r="V2298">
        <v>-2.8461589999999998E-2</v>
      </c>
      <c r="W2298">
        <v>0.19086539999999999</v>
      </c>
      <c r="X2298">
        <v>0.98120350000000001</v>
      </c>
      <c r="Y2298">
        <v>0.2073892</v>
      </c>
      <c r="Z2298">
        <v>2.1894230000000001E-2</v>
      </c>
      <c r="AA2298">
        <v>0.97801349999999998</v>
      </c>
      <c r="AB2298">
        <v>34</v>
      </c>
      <c r="AC2298">
        <v>-0.49139999999999801</v>
      </c>
      <c r="AD2298">
        <v>-0.1610761</v>
      </c>
      <c r="AE2298">
        <v>0.15389999999996401</v>
      </c>
      <c r="AF2298">
        <v>0.136732919226494</v>
      </c>
      <c r="AG2298">
        <v>-0.1610761</v>
      </c>
      <c r="AH2298">
        <v>0.44866864167809101</v>
      </c>
      <c r="AI2298">
        <v>108.953283130553</v>
      </c>
      <c r="AJ2298">
        <v>73.051265436453306</v>
      </c>
      <c r="AK2298">
        <v>0.49592837307082099</v>
      </c>
      <c r="AL2298">
        <v>78.996707588006004</v>
      </c>
      <c r="AM2298">
        <v>91.661502280983001</v>
      </c>
      <c r="AN2298">
        <v>0.99999998571736803</v>
      </c>
    </row>
    <row r="2299" spans="1:40" x14ac:dyDescent="0.25">
      <c r="A2299" t="str">
        <f>"20190312172414652"</f>
        <v>20190312172414652</v>
      </c>
      <c r="B2299" t="str">
        <f>"1552382654642299"</f>
        <v>1552382654642299</v>
      </c>
      <c r="C2299" t="s">
        <v>40</v>
      </c>
      <c r="D2299">
        <v>3.5159739999999999</v>
      </c>
      <c r="E2299">
        <v>0.59864799999999996</v>
      </c>
      <c r="F2299" t="s">
        <v>41</v>
      </c>
      <c r="G2299">
        <v>-415.62009999999998</v>
      </c>
      <c r="H2299">
        <v>0.92569400000000002</v>
      </c>
      <c r="I2299">
        <v>284.726</v>
      </c>
      <c r="J2299">
        <v>-415.11849999999998</v>
      </c>
      <c r="K2299">
        <v>1.110385</v>
      </c>
      <c r="L2299">
        <v>284.55</v>
      </c>
      <c r="M2299">
        <v>-0.99986359999999996</v>
      </c>
      <c r="N2299">
        <v>0</v>
      </c>
      <c r="O2299">
        <v>7.698178E-3</v>
      </c>
      <c r="P2299">
        <v>-0.98408609999999996</v>
      </c>
      <c r="Q2299">
        <v>0.17645</v>
      </c>
      <c r="R2299">
        <v>-2.0983379999999999E-2</v>
      </c>
      <c r="S2299">
        <v>-3.1981809999999999</v>
      </c>
      <c r="T2299">
        <v>-0.74903929999999996</v>
      </c>
      <c r="U2299">
        <v>0.72027589999999997</v>
      </c>
      <c r="V2299">
        <v>-2.8552149999999998E-2</v>
      </c>
      <c r="W2299">
        <v>0.1908176</v>
      </c>
      <c r="X2299">
        <v>0.98121020000000003</v>
      </c>
      <c r="Y2299">
        <v>0.2070584</v>
      </c>
      <c r="Z2299">
        <v>2.188153E-2</v>
      </c>
      <c r="AA2299">
        <v>0.97808379999999995</v>
      </c>
      <c r="AB2299">
        <v>34</v>
      </c>
      <c r="AC2299">
        <v>-0.50159999999999605</v>
      </c>
      <c r="AD2299">
        <v>-0.18469099999999899</v>
      </c>
      <c r="AE2299">
        <v>0.175999999999987</v>
      </c>
      <c r="AF2299">
        <v>0.15359243765891401</v>
      </c>
      <c r="AG2299">
        <v>-0.18469099999999899</v>
      </c>
      <c r="AH2299">
        <v>0.44876822202740102</v>
      </c>
      <c r="AI2299">
        <v>111.2747965976</v>
      </c>
      <c r="AJ2299">
        <v>71.106316025888106</v>
      </c>
      <c r="AK2299">
        <v>0.50901308380889598</v>
      </c>
      <c r="AL2299">
        <v>78.999497976889302</v>
      </c>
      <c r="AM2299">
        <v>91.666774549923403</v>
      </c>
      <c r="AN2299">
        <v>1.00000001916171</v>
      </c>
    </row>
    <row r="2300" spans="1:40" x14ac:dyDescent="0.25">
      <c r="A2300" t="str">
        <f>"20190312172414675"</f>
        <v>20190312172414675</v>
      </c>
      <c r="B2300" t="str">
        <f>"1552382654672555"</f>
        <v>1552382654672555</v>
      </c>
      <c r="C2300" t="s">
        <v>40</v>
      </c>
      <c r="D2300">
        <v>3.4555210000000001</v>
      </c>
      <c r="E2300">
        <v>0.59851560000000004</v>
      </c>
      <c r="F2300" t="s">
        <v>41</v>
      </c>
      <c r="G2300">
        <v>-415.92520000000002</v>
      </c>
      <c r="H2300">
        <v>0.92132230000000004</v>
      </c>
      <c r="I2300">
        <v>284.73200000000003</v>
      </c>
      <c r="J2300">
        <v>-415.464</v>
      </c>
      <c r="K2300">
        <v>1.11039</v>
      </c>
      <c r="L2300">
        <v>284.55270000000002</v>
      </c>
      <c r="M2300">
        <v>-0.99986359999999996</v>
      </c>
      <c r="N2300">
        <v>0</v>
      </c>
      <c r="O2300">
        <v>7.6982079999999998E-3</v>
      </c>
      <c r="P2300">
        <v>-0.9841453</v>
      </c>
      <c r="Q2300">
        <v>0.1761345</v>
      </c>
      <c r="R2300">
        <v>-2.085045E-2</v>
      </c>
      <c r="S2300">
        <v>-3.1983030000000001</v>
      </c>
      <c r="T2300">
        <v>-0.74966069999999996</v>
      </c>
      <c r="U2300">
        <v>0.72070310000000004</v>
      </c>
      <c r="V2300">
        <v>-2.8419659999999999E-2</v>
      </c>
      <c r="W2300">
        <v>0.1904988</v>
      </c>
      <c r="X2300">
        <v>0.98127600000000004</v>
      </c>
      <c r="Y2300">
        <v>0.20716409999999999</v>
      </c>
      <c r="Z2300">
        <v>2.1910200000000001E-2</v>
      </c>
      <c r="AA2300">
        <v>0.97806079999999995</v>
      </c>
      <c r="AB2300">
        <v>34</v>
      </c>
      <c r="AC2300">
        <v>-0.46120000000001898</v>
      </c>
      <c r="AD2300">
        <v>-0.18906769999999901</v>
      </c>
      <c r="AE2300">
        <v>0.17930000000001201</v>
      </c>
      <c r="AF2300">
        <v>0.15335531861638499</v>
      </c>
      <c r="AG2300">
        <v>-0.18906769999999901</v>
      </c>
      <c r="AH2300">
        <v>0.40363891238036398</v>
      </c>
      <c r="AI2300">
        <v>113.647169468595</v>
      </c>
      <c r="AJ2300">
        <v>69.196616127464907</v>
      </c>
      <c r="AK2300">
        <v>0.47136909160320001</v>
      </c>
      <c r="AL2300">
        <v>79.018105302580693</v>
      </c>
      <c r="AM2300">
        <v>91.658933394117199</v>
      </c>
      <c r="AN2300">
        <v>1.0000000290259701</v>
      </c>
    </row>
    <row r="2301" spans="1:40" x14ac:dyDescent="0.25">
      <c r="A2301" t="str">
        <f>"20190312172414688"</f>
        <v>20190312172414688</v>
      </c>
      <c r="B2301" t="str">
        <f>"1552382654682315"</f>
        <v>1552382654682315</v>
      </c>
      <c r="C2301" t="s">
        <v>40</v>
      </c>
      <c r="D2301">
        <v>3.53051</v>
      </c>
      <c r="E2301">
        <v>0.59863250000000001</v>
      </c>
      <c r="F2301" t="s">
        <v>41</v>
      </c>
      <c r="G2301">
        <v>-416.23480000000001</v>
      </c>
      <c r="H2301">
        <v>0.92956890000000003</v>
      </c>
      <c r="I2301">
        <v>284.72649999999999</v>
      </c>
      <c r="J2301">
        <v>-415.65629999999999</v>
      </c>
      <c r="K2301">
        <v>1.1103909999999999</v>
      </c>
      <c r="L2301">
        <v>284.55419999999998</v>
      </c>
      <c r="M2301">
        <v>-0.99986359999999996</v>
      </c>
      <c r="N2301">
        <v>0</v>
      </c>
      <c r="O2301">
        <v>7.69858E-3</v>
      </c>
      <c r="P2301">
        <v>-0.98418470000000002</v>
      </c>
      <c r="Q2301">
        <v>0.17586749999999901</v>
      </c>
      <c r="R2301">
        <v>-2.1234530000000001E-2</v>
      </c>
      <c r="S2301">
        <v>-3.1978759999999999</v>
      </c>
      <c r="T2301">
        <v>-0.75027180000000004</v>
      </c>
      <c r="U2301">
        <v>0.71994019999999903</v>
      </c>
      <c r="V2301">
        <v>-2.8804400000000001E-2</v>
      </c>
      <c r="W2301">
        <v>0.1902306</v>
      </c>
      <c r="X2301">
        <v>0.98131679999999999</v>
      </c>
      <c r="Y2301">
        <v>0.20696490000000001</v>
      </c>
      <c r="Z2301">
        <v>2.1908070000000002E-2</v>
      </c>
      <c r="AA2301">
        <v>0.97810299999999994</v>
      </c>
      <c r="AB2301">
        <v>34</v>
      </c>
      <c r="AC2301">
        <v>-0.578500000000019</v>
      </c>
      <c r="AD2301">
        <v>-0.18082209999999899</v>
      </c>
      <c r="AE2301">
        <v>0.172300000000007</v>
      </c>
      <c r="AF2301">
        <v>0.15401915076132</v>
      </c>
      <c r="AG2301">
        <v>-0.18082209999999899</v>
      </c>
      <c r="AH2301">
        <v>0.532062326558703</v>
      </c>
      <c r="AI2301">
        <v>108.07921358266</v>
      </c>
      <c r="AJ2301">
        <v>73.8555510428221</v>
      </c>
      <c r="AK2301">
        <v>0.58267387962110395</v>
      </c>
      <c r="AL2301">
        <v>79.033758150034103</v>
      </c>
      <c r="AM2301">
        <v>91.681309050189697</v>
      </c>
      <c r="AN2301">
        <v>1.0000000182989699</v>
      </c>
    </row>
    <row r="2302" spans="1:40" x14ac:dyDescent="0.25">
      <c r="A2302" t="str">
        <f>"20190312172414710"</f>
        <v>20190312172414710</v>
      </c>
      <c r="B2302" t="str">
        <f>"1552382654702811"</f>
        <v>1552382654702811</v>
      </c>
      <c r="C2302" t="s">
        <v>40</v>
      </c>
      <c r="D2302">
        <v>3.5042260000000001</v>
      </c>
      <c r="E2302">
        <v>0.59863599999999995</v>
      </c>
      <c r="F2302" t="s">
        <v>41</v>
      </c>
      <c r="G2302">
        <v>-416.53120000000001</v>
      </c>
      <c r="H2302">
        <v>0.90484419999999999</v>
      </c>
      <c r="I2302">
        <v>284.75150000000002</v>
      </c>
      <c r="J2302">
        <v>-416.00060000000002</v>
      </c>
      <c r="K2302">
        <v>1.110393</v>
      </c>
      <c r="L2302">
        <v>284.55680000000001</v>
      </c>
      <c r="M2302">
        <v>-0.99986370000000002</v>
      </c>
      <c r="N2302">
        <v>0</v>
      </c>
      <c r="O2302">
        <v>7.6986069999999997E-3</v>
      </c>
      <c r="P2302">
        <v>-0.98416110000000001</v>
      </c>
      <c r="Q2302">
        <v>0.17601320000000001</v>
      </c>
      <c r="R2302">
        <v>-2.1131859999999999E-2</v>
      </c>
      <c r="S2302">
        <v>-3.198029</v>
      </c>
      <c r="T2302">
        <v>-0.75139820000000002</v>
      </c>
      <c r="U2302">
        <v>0.72009279999999998</v>
      </c>
      <c r="V2302">
        <v>-2.8701600000000001E-2</v>
      </c>
      <c r="W2302">
        <v>0.19037200000000001</v>
      </c>
      <c r="X2302">
        <v>0.98129239999999995</v>
      </c>
      <c r="Y2302">
        <v>0.206984</v>
      </c>
      <c r="Z2302">
        <v>2.1941200000000001E-2</v>
      </c>
      <c r="AA2302">
        <v>0.97809829999999998</v>
      </c>
      <c r="AB2302">
        <v>34</v>
      </c>
      <c r="AC2302">
        <v>-0.53059999999999197</v>
      </c>
      <c r="AD2302">
        <v>-0.2055488</v>
      </c>
      <c r="AE2302">
        <v>0.194700000000011</v>
      </c>
      <c r="AF2302">
        <v>0.168343492955635</v>
      </c>
      <c r="AG2302">
        <v>-0.2055488</v>
      </c>
      <c r="AH2302">
        <v>0.46992959987836502</v>
      </c>
      <c r="AI2302">
        <v>112.38083282353401</v>
      </c>
      <c r="AJ2302">
        <v>70.290886336880405</v>
      </c>
      <c r="AK2302">
        <v>0.53983670646204196</v>
      </c>
      <c r="AL2302">
        <v>79.025505819433207</v>
      </c>
      <c r="AM2302">
        <v>91.675353686464305</v>
      </c>
      <c r="AN2302">
        <v>1.0000000272621501</v>
      </c>
    </row>
    <row r="2303" spans="1:40" x14ac:dyDescent="0.25">
      <c r="A2303" t="str">
        <f>"20190312172414733"</f>
        <v>20190312172414733</v>
      </c>
      <c r="B2303" t="str">
        <f>"1552382654722332"</f>
        <v>1552382654722332</v>
      </c>
      <c r="C2303" t="s">
        <v>40</v>
      </c>
      <c r="D2303">
        <v>3.5470290000000002</v>
      </c>
      <c r="E2303">
        <v>0.59869159999999999</v>
      </c>
      <c r="F2303" t="s">
        <v>41</v>
      </c>
      <c r="G2303">
        <v>-416.84010000000001</v>
      </c>
      <c r="H2303">
        <v>0.91307340000000003</v>
      </c>
      <c r="I2303">
        <v>284.74630000000002</v>
      </c>
      <c r="J2303">
        <v>-416.33670000000001</v>
      </c>
      <c r="K2303">
        <v>1.1103959999999999</v>
      </c>
      <c r="L2303">
        <v>284.55939999999998</v>
      </c>
      <c r="M2303">
        <v>-0.99986379999999997</v>
      </c>
      <c r="N2303">
        <v>0</v>
      </c>
      <c r="O2303">
        <v>7.69828099999999E-3</v>
      </c>
      <c r="P2303">
        <v>-0.9841493</v>
      </c>
      <c r="Q2303">
        <v>0.17604909999999999</v>
      </c>
      <c r="R2303">
        <v>-2.139052E-2</v>
      </c>
      <c r="S2303">
        <v>-3.198242</v>
      </c>
      <c r="T2303">
        <v>-0.75185360000000001</v>
      </c>
      <c r="U2303">
        <v>0.72006230000000004</v>
      </c>
      <c r="V2303">
        <v>-2.8959700000000001E-2</v>
      </c>
      <c r="W2303">
        <v>0.1904043</v>
      </c>
      <c r="X2303">
        <v>0.98127850000000005</v>
      </c>
      <c r="Y2303">
        <v>0.20695659999999999</v>
      </c>
      <c r="Z2303">
        <v>2.1949719999999999E-2</v>
      </c>
      <c r="AA2303">
        <v>0.97810390000000003</v>
      </c>
      <c r="AB2303">
        <v>34</v>
      </c>
      <c r="AC2303">
        <v>-0.50339999999999896</v>
      </c>
      <c r="AD2303">
        <v>-0.19732259999999899</v>
      </c>
      <c r="AE2303">
        <v>0.18690000000003601</v>
      </c>
      <c r="AF2303">
        <v>0.16124511680921799</v>
      </c>
      <c r="AG2303">
        <v>-0.19732259999999899</v>
      </c>
      <c r="AH2303">
        <v>0.44476546384100402</v>
      </c>
      <c r="AI2303">
        <v>112.640584803937</v>
      </c>
      <c r="AJ2303">
        <v>70.072411304942406</v>
      </c>
      <c r="AK2303">
        <v>0.51259390748552802</v>
      </c>
      <c r="AL2303">
        <v>79.023620138532706</v>
      </c>
      <c r="AM2303">
        <v>91.690434583831205</v>
      </c>
      <c r="AN2303">
        <v>0.99999997812241403</v>
      </c>
    </row>
    <row r="2304" spans="1:40" x14ac:dyDescent="0.25">
      <c r="A2304" t="str">
        <f>"20190312172414754"</f>
        <v>20190312172414754</v>
      </c>
      <c r="B2304" t="str">
        <f>"1552382654741851"</f>
        <v>1552382654741851</v>
      </c>
      <c r="C2304" t="s">
        <v>40</v>
      </c>
      <c r="D2304">
        <v>3.5467209999999998</v>
      </c>
      <c r="E2304">
        <v>0.59869719999999904</v>
      </c>
      <c r="F2304" t="s">
        <v>41</v>
      </c>
      <c r="G2304">
        <v>-417.14789999999999</v>
      </c>
      <c r="H2304">
        <v>0.91960350000000002</v>
      </c>
      <c r="I2304">
        <v>284.74209999999999</v>
      </c>
      <c r="J2304">
        <v>-416.66500000000002</v>
      </c>
      <c r="K2304">
        <v>1.1104000000000001</v>
      </c>
      <c r="L2304">
        <v>284.56200000000001</v>
      </c>
      <c r="M2304">
        <v>-0.99986379999999997</v>
      </c>
      <c r="N2304">
        <v>0</v>
      </c>
      <c r="O2304">
        <v>7.698664E-3</v>
      </c>
      <c r="P2304">
        <v>-0.9841259</v>
      </c>
      <c r="Q2304">
        <v>0.17616129999999999</v>
      </c>
      <c r="R2304">
        <v>-2.1532079999999999E-2</v>
      </c>
      <c r="S2304">
        <v>-3.1985169999999998</v>
      </c>
      <c r="T2304">
        <v>-0.75227650000000001</v>
      </c>
      <c r="U2304">
        <v>0.71957399999999905</v>
      </c>
      <c r="V2304">
        <v>-2.9101789999999999E-2</v>
      </c>
      <c r="W2304">
        <v>0.1905124</v>
      </c>
      <c r="X2304">
        <v>0.98125329999999999</v>
      </c>
      <c r="Y2304">
        <v>0.20679529999999999</v>
      </c>
      <c r="Z2304">
        <v>2.1941720000000001E-2</v>
      </c>
      <c r="AA2304">
        <v>0.97813810000000001</v>
      </c>
      <c r="AB2304">
        <v>34</v>
      </c>
      <c r="AC2304">
        <v>-0.48289999999997202</v>
      </c>
      <c r="AD2304">
        <v>-0.19079650000000001</v>
      </c>
      <c r="AE2304">
        <v>0.180099999999981</v>
      </c>
      <c r="AF2304">
        <v>0.15511824958082401</v>
      </c>
      <c r="AG2304">
        <v>-0.19079650000000001</v>
      </c>
      <c r="AH2304">
        <v>0.42590394422962502</v>
      </c>
      <c r="AI2304">
        <v>112.82774600662199</v>
      </c>
      <c r="AJ2304">
        <v>69.987897196338807</v>
      </c>
      <c r="AK2304">
        <v>0.49179177044316302</v>
      </c>
      <c r="AL2304">
        <v>79.017310817339407</v>
      </c>
      <c r="AM2304">
        <v>91.6987674086526</v>
      </c>
      <c r="AN2304">
        <v>0.99999996374792599</v>
      </c>
    </row>
    <row r="2305" spans="1:40" x14ac:dyDescent="0.25">
      <c r="A2305" t="str">
        <f>"20190312172414776"</f>
        <v>20190312172414776</v>
      </c>
      <c r="B2305" t="str">
        <f>"1552382654772107"</f>
        <v>1552382654772107</v>
      </c>
      <c r="C2305" t="s">
        <v>40</v>
      </c>
      <c r="D2305">
        <v>3.5439430000000001</v>
      </c>
      <c r="E2305">
        <v>0.59868399999999999</v>
      </c>
      <c r="F2305" t="s">
        <v>41</v>
      </c>
      <c r="G2305">
        <v>-417.45490000000001</v>
      </c>
      <c r="H2305">
        <v>0.92456190000000005</v>
      </c>
      <c r="I2305">
        <v>284.74009999999998</v>
      </c>
      <c r="J2305">
        <v>-416.99680000000001</v>
      </c>
      <c r="K2305">
        <v>1.1103989999999999</v>
      </c>
      <c r="L2305">
        <v>284.56450000000001</v>
      </c>
      <c r="M2305">
        <v>-0.99986390000000003</v>
      </c>
      <c r="N2305">
        <v>0</v>
      </c>
      <c r="O2305">
        <v>7.6983360000000001E-3</v>
      </c>
      <c r="P2305">
        <v>-0.98405019999999999</v>
      </c>
      <c r="Q2305">
        <v>0.1765989</v>
      </c>
      <c r="R2305">
        <v>-2.1410419999999999E-2</v>
      </c>
      <c r="S2305">
        <v>-3.1988219999999998</v>
      </c>
      <c r="T2305">
        <v>-0.75272539999999999</v>
      </c>
      <c r="U2305">
        <v>0.71920779999999995</v>
      </c>
      <c r="V2305">
        <v>-2.8979060000000001E-2</v>
      </c>
      <c r="W2305">
        <v>0.1909449</v>
      </c>
      <c r="X2305">
        <v>0.98117290000000001</v>
      </c>
      <c r="Y2305">
        <v>0.20666699999999999</v>
      </c>
      <c r="Z2305">
        <v>2.193811E-2</v>
      </c>
      <c r="AA2305">
        <v>0.97816530000000002</v>
      </c>
      <c r="AB2305">
        <v>34</v>
      </c>
      <c r="AC2305">
        <v>-0.45810000000000101</v>
      </c>
      <c r="AD2305">
        <v>-0.18583709999999901</v>
      </c>
      <c r="AE2305">
        <v>0.175599999999974</v>
      </c>
      <c r="AF2305">
        <v>0.15047673101414499</v>
      </c>
      <c r="AG2305">
        <v>-0.18583709999999901</v>
      </c>
      <c r="AH2305">
        <v>0.40178803214522402</v>
      </c>
      <c r="AI2305">
        <v>113.41958355248499</v>
      </c>
      <c r="AJ2305">
        <v>69.468185308292504</v>
      </c>
      <c r="AK2305">
        <v>0.46755993956737302</v>
      </c>
      <c r="AL2305">
        <v>78.992067391958102</v>
      </c>
      <c r="AM2305">
        <v>91.691745959696405</v>
      </c>
      <c r="AN2305">
        <v>1.00000000022445</v>
      </c>
    </row>
    <row r="2306" spans="1:40" x14ac:dyDescent="0.25">
      <c r="A2306" t="str">
        <f>"20190312172414798"</f>
        <v>20190312172414798</v>
      </c>
      <c r="B2306" t="str">
        <f>"1552382654792606"</f>
        <v>1552382654792606</v>
      </c>
      <c r="C2306" t="s">
        <v>40</v>
      </c>
      <c r="D2306">
        <v>3.5376840000000001</v>
      </c>
      <c r="E2306">
        <v>0.59874550000000004</v>
      </c>
      <c r="F2306" t="s">
        <v>41</v>
      </c>
      <c r="G2306">
        <v>-417.76179999999999</v>
      </c>
      <c r="H2306">
        <v>0.93050359999999999</v>
      </c>
      <c r="I2306">
        <v>284.73680000000002</v>
      </c>
      <c r="J2306">
        <v>-417.3449</v>
      </c>
      <c r="K2306">
        <v>1.1104019999999999</v>
      </c>
      <c r="L2306">
        <v>284.56720000000001</v>
      </c>
      <c r="M2306">
        <v>-0.99986390000000003</v>
      </c>
      <c r="N2306">
        <v>0</v>
      </c>
      <c r="O2306">
        <v>7.6985409999999997E-3</v>
      </c>
      <c r="P2306">
        <v>-0.98406479999999996</v>
      </c>
      <c r="Q2306">
        <v>0.176533299999999</v>
      </c>
      <c r="R2306">
        <v>-2.1276730000000001E-2</v>
      </c>
      <c r="S2306">
        <v>-3.1993100000000001</v>
      </c>
      <c r="T2306">
        <v>-0.75238179999999999</v>
      </c>
      <c r="U2306">
        <v>0.71932980000000002</v>
      </c>
      <c r="V2306">
        <v>-2.884565E-2</v>
      </c>
      <c r="W2306">
        <v>0.19087609999999999</v>
      </c>
      <c r="X2306">
        <v>0.98119020000000001</v>
      </c>
      <c r="Y2306">
        <v>0.20667640000000001</v>
      </c>
      <c r="Z2306">
        <v>2.192612E-2</v>
      </c>
      <c r="AA2306">
        <v>0.97816369999999997</v>
      </c>
      <c r="AB2306">
        <v>34</v>
      </c>
      <c r="AC2306">
        <v>-0.41689999999999799</v>
      </c>
      <c r="AD2306">
        <v>-0.17989840000000001</v>
      </c>
      <c r="AE2306">
        <v>0.169600000000002</v>
      </c>
      <c r="AF2306">
        <v>0.14346457947056801</v>
      </c>
      <c r="AG2306">
        <v>-0.17989840000000001</v>
      </c>
      <c r="AH2306">
        <v>0.36058483995973301</v>
      </c>
      <c r="AI2306">
        <v>114.870743709222</v>
      </c>
      <c r="AJ2306">
        <v>68.304054447722294</v>
      </c>
      <c r="AK2306">
        <v>0.42774635789684201</v>
      </c>
      <c r="AL2306">
        <v>78.996083008751697</v>
      </c>
      <c r="AM2306">
        <v>91.683932541978706</v>
      </c>
      <c r="AN2306">
        <v>0.999999982825586</v>
      </c>
    </row>
    <row r="2307" spans="1:40" x14ac:dyDescent="0.25">
      <c r="A2307" t="str">
        <f>"20190312172414811"</f>
        <v>20190312172414811</v>
      </c>
      <c r="B2307" t="str">
        <f>"1552382654802364"</f>
        <v>1552382654802364</v>
      </c>
      <c r="C2307" t="s">
        <v>40</v>
      </c>
      <c r="D2307">
        <v>3.5642299999999998</v>
      </c>
      <c r="E2307">
        <v>0.59874850000000002</v>
      </c>
      <c r="F2307" t="s">
        <v>41</v>
      </c>
      <c r="G2307">
        <v>-418.06979999999999</v>
      </c>
      <c r="H2307">
        <v>0.93973280000000003</v>
      </c>
      <c r="I2307">
        <v>284.73079999999999</v>
      </c>
      <c r="J2307">
        <v>-417.5376</v>
      </c>
      <c r="K2307">
        <v>1.110401</v>
      </c>
      <c r="L2307">
        <v>284.56869999999998</v>
      </c>
      <c r="M2307">
        <v>-0.99986390000000003</v>
      </c>
      <c r="N2307">
        <v>0</v>
      </c>
      <c r="O2307">
        <v>7.6983800000000003E-3</v>
      </c>
      <c r="P2307">
        <v>-0.98403949999999996</v>
      </c>
      <c r="Q2307">
        <v>0.17666750000000001</v>
      </c>
      <c r="R2307">
        <v>-2.1334200000000001E-2</v>
      </c>
      <c r="S2307">
        <v>-3.1993100000000001</v>
      </c>
      <c r="T2307">
        <v>-0.75333950000000005</v>
      </c>
      <c r="U2307">
        <v>0.72039790000000004</v>
      </c>
      <c r="V2307">
        <v>-2.8902440000000001E-2</v>
      </c>
      <c r="W2307">
        <v>0.1910076</v>
      </c>
      <c r="X2307">
        <v>0.98116300000000001</v>
      </c>
      <c r="Y2307">
        <v>0.20696729999999999</v>
      </c>
      <c r="Z2307">
        <v>2.1985959999999999E-2</v>
      </c>
      <c r="AA2307">
        <v>0.97810079999999999</v>
      </c>
      <c r="AB2307">
        <v>34</v>
      </c>
      <c r="AC2307">
        <v>-0.53219999999998802</v>
      </c>
      <c r="AD2307">
        <v>-0.17066819999999899</v>
      </c>
      <c r="AE2307">
        <v>0.16210000000000899</v>
      </c>
      <c r="AF2307">
        <v>0.14440777266463201</v>
      </c>
      <c r="AG2307">
        <v>-0.17066819999999899</v>
      </c>
      <c r="AH2307">
        <v>0.48754997385705001</v>
      </c>
      <c r="AI2307">
        <v>108.553789242357</v>
      </c>
      <c r="AJ2307">
        <v>73.501200210549698</v>
      </c>
      <c r="AK2307">
        <v>0.53636388422899095</v>
      </c>
      <c r="AL2307">
        <v>78.988408068346104</v>
      </c>
      <c r="AM2307">
        <v>91.687292624285803</v>
      </c>
      <c r="AN2307">
        <v>1.0000000434323499</v>
      </c>
    </row>
    <row r="2308" spans="1:40" x14ac:dyDescent="0.25">
      <c r="A2308" t="str">
        <f>"20190312172414831"</f>
        <v>20190312172414831</v>
      </c>
      <c r="B2308" t="str">
        <f>"1552382654822858"</f>
        <v>1552382654822858</v>
      </c>
      <c r="C2308" t="s">
        <v>40</v>
      </c>
      <c r="D2308">
        <v>3.7749389999999998</v>
      </c>
      <c r="E2308">
        <v>0.59865900000000005</v>
      </c>
      <c r="F2308" t="s">
        <v>41</v>
      </c>
      <c r="G2308">
        <v>-418.36430000000001</v>
      </c>
      <c r="H2308">
        <v>0.91585950000000005</v>
      </c>
      <c r="I2308">
        <v>284.75490000000002</v>
      </c>
      <c r="J2308">
        <v>-417.84710000000001</v>
      </c>
      <c r="K2308">
        <v>1.110398</v>
      </c>
      <c r="L2308">
        <v>284.57100000000003</v>
      </c>
      <c r="M2308">
        <v>-0.99986399999999998</v>
      </c>
      <c r="N2308">
        <v>0</v>
      </c>
      <c r="O2308">
        <v>7.6981080000000004E-3</v>
      </c>
      <c r="P2308">
        <v>-0.98404190000000002</v>
      </c>
      <c r="Q2308">
        <v>0.17666089999999901</v>
      </c>
      <c r="R2308">
        <v>-2.12824E-2</v>
      </c>
      <c r="S2308">
        <v>-3.1994630000000002</v>
      </c>
      <c r="T2308">
        <v>-0.7528937</v>
      </c>
      <c r="U2308">
        <v>0.72039790000000004</v>
      </c>
      <c r="V2308">
        <v>-2.8850560000000001E-2</v>
      </c>
      <c r="W2308">
        <v>0.1909978</v>
      </c>
      <c r="X2308">
        <v>0.98116639999999999</v>
      </c>
      <c r="Y2308">
        <v>0.20696419999999999</v>
      </c>
      <c r="Z2308">
        <v>2.1971999999999998E-2</v>
      </c>
      <c r="AA2308">
        <v>0.97810180000000002</v>
      </c>
      <c r="AB2308">
        <v>34</v>
      </c>
      <c r="AC2308">
        <v>-0.51720000000000199</v>
      </c>
      <c r="AD2308">
        <v>-0.1945385</v>
      </c>
      <c r="AE2308">
        <v>0.18390000000005099</v>
      </c>
      <c r="AF2308">
        <v>0.159837094988904</v>
      </c>
      <c r="AG2308">
        <v>-0.1945385</v>
      </c>
      <c r="AH2308">
        <v>0.46073242366633699</v>
      </c>
      <c r="AI2308">
        <v>111.74775010294501</v>
      </c>
      <c r="AJ2308">
        <v>70.867338897680796</v>
      </c>
      <c r="AK2308">
        <v>0.52504046618732103</v>
      </c>
      <c r="AL2308">
        <v>78.988979719489393</v>
      </c>
      <c r="AM2308">
        <v>91.684259839990503</v>
      </c>
      <c r="AN2308">
        <v>1.0000000094530499</v>
      </c>
    </row>
    <row r="2309" spans="1:40" x14ac:dyDescent="0.25">
      <c r="A2309" t="str">
        <f>"20190312172414854"</f>
        <v>20190312172414854</v>
      </c>
      <c r="B2309" t="str">
        <f>"1552382654842382"</f>
        <v>1552382654842382</v>
      </c>
      <c r="C2309" t="s">
        <v>40</v>
      </c>
      <c r="D2309">
        <v>3.5420729999999998</v>
      </c>
      <c r="E2309">
        <v>0.59113930000000003</v>
      </c>
      <c r="F2309" t="s">
        <v>41</v>
      </c>
      <c r="G2309">
        <v>-418.66840000000002</v>
      </c>
      <c r="H2309">
        <v>0.91714329999999999</v>
      </c>
      <c r="I2309">
        <v>284.7561</v>
      </c>
      <c r="J2309">
        <v>-418.18340000000001</v>
      </c>
      <c r="K2309">
        <v>1.1104000000000001</v>
      </c>
      <c r="L2309">
        <v>284.57369999999997</v>
      </c>
      <c r="M2309">
        <v>-0.99986399999999998</v>
      </c>
      <c r="N2309">
        <v>0</v>
      </c>
      <c r="O2309">
        <v>7.6982500000000002E-3</v>
      </c>
      <c r="P2309">
        <v>-0.98408280000000004</v>
      </c>
      <c r="Q2309">
        <v>0.17641299999999999</v>
      </c>
      <c r="R2309">
        <v>-2.143521E-2</v>
      </c>
      <c r="S2309">
        <v>-3.1993710000000002</v>
      </c>
      <c r="T2309">
        <v>-0.75287749999999998</v>
      </c>
      <c r="U2309">
        <v>0.71942139999999999</v>
      </c>
      <c r="V2309">
        <v>-2.9004060000000002E-2</v>
      </c>
      <c r="W2309">
        <v>0.1907469</v>
      </c>
      <c r="X2309">
        <v>0.98121060000000004</v>
      </c>
      <c r="Y2309">
        <v>0.2066924</v>
      </c>
      <c r="Z2309">
        <v>2.1941619999999998E-2</v>
      </c>
      <c r="AA2309">
        <v>0.97815989999999997</v>
      </c>
      <c r="AB2309">
        <v>34</v>
      </c>
      <c r="AC2309">
        <v>-0.48500000000001298</v>
      </c>
      <c r="AD2309">
        <v>-0.193256699999999</v>
      </c>
      <c r="AE2309">
        <v>0.18240000000002901</v>
      </c>
      <c r="AF2309">
        <v>0.15684332840173401</v>
      </c>
      <c r="AG2309">
        <v>-0.193256699999999</v>
      </c>
      <c r="AH2309">
        <v>0.42699419820796602</v>
      </c>
      <c r="AI2309">
        <v>113.017909923725</v>
      </c>
      <c r="AJ2309">
        <v>69.830727898946705</v>
      </c>
      <c r="AK2309">
        <v>0.49423883605225499</v>
      </c>
      <c r="AL2309">
        <v>79.003623574488103</v>
      </c>
      <c r="AM2309">
        <v>91.693139547701804</v>
      </c>
      <c r="AN2309">
        <v>0.99999992845422403</v>
      </c>
    </row>
    <row r="2310" spans="1:40" x14ac:dyDescent="0.25">
      <c r="A2310" t="str">
        <f>"20190312172414866"</f>
        <v>20190312172414866</v>
      </c>
      <c r="B2310" t="str">
        <f>"1552382654862875"</f>
        <v>1552382654862875</v>
      </c>
      <c r="C2310" t="s">
        <v>40</v>
      </c>
      <c r="D2310">
        <v>3.5287320000000002</v>
      </c>
      <c r="E2310">
        <v>0.59128749999999997</v>
      </c>
      <c r="F2310" t="s">
        <v>41</v>
      </c>
      <c r="G2310">
        <v>-418.97710000000001</v>
      </c>
      <c r="H2310">
        <v>0.93196259999999997</v>
      </c>
      <c r="I2310">
        <v>284.73779999999999</v>
      </c>
      <c r="J2310">
        <v>-418.38310000000001</v>
      </c>
      <c r="K2310">
        <v>1.110398</v>
      </c>
      <c r="L2310">
        <v>284.5752</v>
      </c>
      <c r="M2310">
        <v>-0.99986410000000003</v>
      </c>
      <c r="N2310">
        <v>0</v>
      </c>
      <c r="O2310">
        <v>7.698267E-3</v>
      </c>
      <c r="P2310">
        <v>-0.98407770000000006</v>
      </c>
      <c r="Q2310">
        <v>0.176440299999999</v>
      </c>
      <c r="R2310">
        <v>-2.1454689999999998E-2</v>
      </c>
      <c r="S2310">
        <v>-3.1914980000000002</v>
      </c>
      <c r="T2310">
        <v>-0.71768129999999997</v>
      </c>
      <c r="U2310">
        <v>0.65930180000000005</v>
      </c>
      <c r="V2310">
        <v>-2.9023569999999999E-2</v>
      </c>
      <c r="W2310">
        <v>0.19077169999999999</v>
      </c>
      <c r="X2310">
        <v>0.98120529999999995</v>
      </c>
      <c r="Y2310">
        <v>0.19038720000000001</v>
      </c>
      <c r="Z2310">
        <v>1.923706E-2</v>
      </c>
      <c r="AA2310">
        <v>0.98152059999999997</v>
      </c>
      <c r="AB2310">
        <v>34</v>
      </c>
      <c r="AC2310">
        <v>-0.59399999999999398</v>
      </c>
      <c r="AD2310">
        <v>-0.17843539999999999</v>
      </c>
      <c r="AE2310">
        <v>0.162599999999997</v>
      </c>
      <c r="AF2310">
        <v>0.14578373489087901</v>
      </c>
      <c r="AG2310">
        <v>-0.17843539999999999</v>
      </c>
      <c r="AH2310">
        <v>0.54913566496955402</v>
      </c>
      <c r="AI2310">
        <v>107.435406254154</v>
      </c>
      <c r="AJ2310">
        <v>75.132156737476706</v>
      </c>
      <c r="AK2310">
        <v>0.59551831867159899</v>
      </c>
      <c r="AL2310">
        <v>79.002177132463899</v>
      </c>
      <c r="AM2310">
        <v>91.6942869452282</v>
      </c>
      <c r="AN2310">
        <v>1.00000002494226</v>
      </c>
    </row>
    <row r="2311" spans="1:40" x14ac:dyDescent="0.25">
      <c r="A2311" t="str">
        <f>"20190312172414888"</f>
        <v>20190312172414888</v>
      </c>
      <c r="B2311" t="str">
        <f>"1552382654882398"</f>
        <v>1552382654882398</v>
      </c>
      <c r="C2311" t="s">
        <v>40</v>
      </c>
      <c r="D2311">
        <v>3.5430019999999902</v>
      </c>
      <c r="E2311">
        <v>0.59130760000000004</v>
      </c>
      <c r="F2311" t="s">
        <v>41</v>
      </c>
      <c r="G2311">
        <v>-419.2713</v>
      </c>
      <c r="H2311">
        <v>0.91003440000000002</v>
      </c>
      <c r="I2311">
        <v>284.75940000000003</v>
      </c>
      <c r="J2311">
        <v>-418.70080000000002</v>
      </c>
      <c r="K2311">
        <v>1.110398</v>
      </c>
      <c r="L2311">
        <v>284.57760000000002</v>
      </c>
      <c r="M2311">
        <v>-0.99986419999999998</v>
      </c>
      <c r="N2311">
        <v>0</v>
      </c>
      <c r="O2311">
        <v>7.6981749999999998E-3</v>
      </c>
      <c r="P2311">
        <v>-0.98409369999999996</v>
      </c>
      <c r="Q2311">
        <v>0.176321799999999</v>
      </c>
      <c r="R2311">
        <v>-2.1688410000000002E-2</v>
      </c>
      <c r="S2311">
        <v>-3.1920470000000001</v>
      </c>
      <c r="T2311">
        <v>-0.72017989999999998</v>
      </c>
      <c r="U2311">
        <v>0.66018679999999996</v>
      </c>
      <c r="V2311">
        <v>-2.9257269999999998E-2</v>
      </c>
      <c r="W2311">
        <v>0.19064999999999999</v>
      </c>
      <c r="X2311">
        <v>0.98122200000000004</v>
      </c>
      <c r="Y2311">
        <v>0.1905818</v>
      </c>
      <c r="Z2311">
        <v>1.9320219999999999E-2</v>
      </c>
      <c r="AA2311">
        <v>0.98148120000000005</v>
      </c>
      <c r="AB2311">
        <v>34</v>
      </c>
      <c r="AC2311">
        <v>-0.57049999999998102</v>
      </c>
      <c r="AD2311">
        <v>-0.200363599999999</v>
      </c>
      <c r="AE2311">
        <v>0.18180000000000901</v>
      </c>
      <c r="AF2311">
        <v>0.15953801084057401</v>
      </c>
      <c r="AG2311">
        <v>-0.200363599999999</v>
      </c>
      <c r="AH2311">
        <v>0.51429446199906503</v>
      </c>
      <c r="AI2311">
        <v>110.410092652429</v>
      </c>
      <c r="AJ2311">
        <v>72.765716751393697</v>
      </c>
      <c r="AK2311">
        <v>0.57454046223989697</v>
      </c>
      <c r="AL2311">
        <v>79.009280254149999</v>
      </c>
      <c r="AM2311">
        <v>91.707892374201194</v>
      </c>
      <c r="AN2311">
        <v>1.00000001181592</v>
      </c>
    </row>
    <row r="2312" spans="1:40" x14ac:dyDescent="0.25">
      <c r="A2312" t="str">
        <f>"20190312172414909"</f>
        <v>20190312172414909</v>
      </c>
      <c r="B2312" t="str">
        <f>"1552382654901917"</f>
        <v>1552382654901917</v>
      </c>
      <c r="C2312" t="s">
        <v>40</v>
      </c>
      <c r="D2312">
        <v>3.5385209999999998</v>
      </c>
      <c r="E2312">
        <v>0.59150599999999998</v>
      </c>
      <c r="F2312" t="s">
        <v>41</v>
      </c>
      <c r="G2312">
        <v>-419.57510000000002</v>
      </c>
      <c r="H2312">
        <v>0.91318330000000003</v>
      </c>
      <c r="I2312">
        <v>284.75850000000003</v>
      </c>
      <c r="J2312">
        <v>-419.03230000000002</v>
      </c>
      <c r="K2312">
        <v>1.110403</v>
      </c>
      <c r="L2312">
        <v>284.58010000000002</v>
      </c>
      <c r="M2312">
        <v>-0.99986430000000004</v>
      </c>
      <c r="N2312">
        <v>0</v>
      </c>
      <c r="O2312">
        <v>7.6978469999999998E-3</v>
      </c>
      <c r="P2312">
        <v>-0.98407199999999995</v>
      </c>
      <c r="Q2312">
        <v>0.17640449999999999</v>
      </c>
      <c r="R2312">
        <v>-2.2007539999999999E-2</v>
      </c>
      <c r="S2312">
        <v>-3.1920470000000001</v>
      </c>
      <c r="T2312">
        <v>-0.72012889999999996</v>
      </c>
      <c r="U2312">
        <v>0.65957639999999995</v>
      </c>
      <c r="V2312">
        <v>-2.9575440000000001E-2</v>
      </c>
      <c r="W2312">
        <v>0.19072919999999999</v>
      </c>
      <c r="X2312">
        <v>0.98119710000000004</v>
      </c>
      <c r="Y2312">
        <v>0.19040679999999999</v>
      </c>
      <c r="Z2312">
        <v>1.9300020000000001E-2</v>
      </c>
      <c r="AA2312">
        <v>0.98151549999999999</v>
      </c>
      <c r="AB2312">
        <v>34</v>
      </c>
      <c r="AC2312">
        <v>-0.54279999999999895</v>
      </c>
      <c r="AD2312">
        <v>-0.1972197</v>
      </c>
      <c r="AE2312">
        <v>0.17840000000001</v>
      </c>
      <c r="AF2312">
        <v>0.155668845507307</v>
      </c>
      <c r="AG2312">
        <v>-0.1972197</v>
      </c>
      <c r="AH2312">
        <v>0.48622633054463399</v>
      </c>
      <c r="AI2312">
        <v>111.121444236122</v>
      </c>
      <c r="AJ2312">
        <v>72.247160094227894</v>
      </c>
      <c r="AK2312">
        <v>0.54730653572250298</v>
      </c>
      <c r="AL2312">
        <v>79.004657937482193</v>
      </c>
      <c r="AM2312">
        <v>91.726498145693895</v>
      </c>
      <c r="AN2312">
        <v>1.0000000417161199</v>
      </c>
    </row>
    <row r="2313" spans="1:40" x14ac:dyDescent="0.25">
      <c r="A2313" t="str">
        <f>"20190312172414933"</f>
        <v>20190312172414933</v>
      </c>
      <c r="B2313" t="str">
        <f>"1552382654922411"</f>
        <v>1552382654922411</v>
      </c>
      <c r="C2313" t="s">
        <v>40</v>
      </c>
      <c r="D2313">
        <v>3.5302720000000001</v>
      </c>
      <c r="E2313">
        <v>0.59102889999999997</v>
      </c>
      <c r="F2313" t="s">
        <v>41</v>
      </c>
      <c r="G2313">
        <v>-419.87979999999999</v>
      </c>
      <c r="H2313">
        <v>0.91940189999999999</v>
      </c>
      <c r="I2313">
        <v>284.7559</v>
      </c>
      <c r="J2313">
        <v>-419.37860000000001</v>
      </c>
      <c r="K2313">
        <v>1.110406</v>
      </c>
      <c r="L2313">
        <v>284.58280000000002</v>
      </c>
      <c r="M2313">
        <v>-0.99986419999999998</v>
      </c>
      <c r="N2313">
        <v>0</v>
      </c>
      <c r="O2313">
        <v>7.6982300000000004E-3</v>
      </c>
      <c r="P2313">
        <v>-0.98404930000000002</v>
      </c>
      <c r="Q2313">
        <v>0.17647850000000001</v>
      </c>
      <c r="R2313">
        <v>-2.241218E-2</v>
      </c>
      <c r="S2313">
        <v>-3.1923219999999999</v>
      </c>
      <c r="T2313">
        <v>-0.71949219999999903</v>
      </c>
      <c r="U2313">
        <v>0.66061400000000003</v>
      </c>
      <c r="V2313">
        <v>-2.9980659999999999E-2</v>
      </c>
      <c r="W2313">
        <v>0.19079930000000001</v>
      </c>
      <c r="X2313">
        <v>0.98117109999999996</v>
      </c>
      <c r="Y2313">
        <v>0.19069739999999999</v>
      </c>
      <c r="Z2313">
        <v>1.93131E-2</v>
      </c>
      <c r="AA2313">
        <v>0.98145879999999996</v>
      </c>
      <c r="AB2313">
        <v>34</v>
      </c>
      <c r="AC2313">
        <v>-0.50119999999998299</v>
      </c>
      <c r="AD2313">
        <v>-0.19100410000000001</v>
      </c>
      <c r="AE2313">
        <v>0.173099999999976</v>
      </c>
      <c r="AF2313">
        <v>0.14979894727992399</v>
      </c>
      <c r="AG2313">
        <v>-0.19100410000000001</v>
      </c>
      <c r="AH2313">
        <v>0.44480250863949</v>
      </c>
      <c r="AI2313">
        <v>112.144106550705</v>
      </c>
      <c r="AJ2313">
        <v>71.387693736563094</v>
      </c>
      <c r="AK2313">
        <v>0.50672631914571697</v>
      </c>
      <c r="AL2313">
        <v>79.000565568553895</v>
      </c>
      <c r="AM2313">
        <v>91.750185035320897</v>
      </c>
      <c r="AN2313">
        <v>0.99999997016486697</v>
      </c>
    </row>
    <row r="2314" spans="1:40" x14ac:dyDescent="0.25">
      <c r="A2314" t="str">
        <f>"20190312172414955"</f>
        <v>20190312172414955</v>
      </c>
      <c r="B2314" t="str">
        <f>"1552382654952667"</f>
        <v>1552382654952667</v>
      </c>
      <c r="C2314" t="s">
        <v>40</v>
      </c>
      <c r="D2314">
        <v>3.5982059999999998</v>
      </c>
      <c r="E2314">
        <v>0.53268660000000001</v>
      </c>
      <c r="F2314" t="s">
        <v>41</v>
      </c>
      <c r="G2314">
        <v>-420.1848</v>
      </c>
      <c r="H2314">
        <v>0.92778850000000002</v>
      </c>
      <c r="I2314">
        <v>284.7484</v>
      </c>
      <c r="J2314">
        <v>-419.71510000000001</v>
      </c>
      <c r="K2314">
        <v>1.1104069999999999</v>
      </c>
      <c r="L2314">
        <v>284.58539999999999</v>
      </c>
      <c r="M2314">
        <v>-0.99986439999999999</v>
      </c>
      <c r="N2314">
        <v>0</v>
      </c>
      <c r="O2314">
        <v>7.6980779999999997E-3</v>
      </c>
      <c r="P2314">
        <v>-0.984016</v>
      </c>
      <c r="Q2314">
        <v>0.17660419999999999</v>
      </c>
      <c r="R2314">
        <v>-2.288602E-2</v>
      </c>
      <c r="S2314">
        <v>-3.193298</v>
      </c>
      <c r="T2314">
        <v>-0.72335930000000004</v>
      </c>
      <c r="U2314">
        <v>0.65554809999999997</v>
      </c>
      <c r="V2314">
        <v>-3.0453870000000001E-2</v>
      </c>
      <c r="W2314">
        <v>0.1909206</v>
      </c>
      <c r="X2314">
        <v>0.98113300000000003</v>
      </c>
      <c r="Y2314">
        <v>0.1891361</v>
      </c>
      <c r="Z2314">
        <v>1.9238849999999998E-2</v>
      </c>
      <c r="AA2314">
        <v>0.98176240000000004</v>
      </c>
      <c r="AB2314">
        <v>34</v>
      </c>
      <c r="AC2314">
        <v>-0.46969999999998802</v>
      </c>
      <c r="AD2314">
        <v>-0.18261849999999899</v>
      </c>
      <c r="AE2314">
        <v>0.16300000000001</v>
      </c>
      <c r="AF2314">
        <v>0.14043240700204199</v>
      </c>
      <c r="AG2314">
        <v>-0.18261849999999899</v>
      </c>
      <c r="AH2314">
        <v>0.414956666783522</v>
      </c>
      <c r="AI2314">
        <v>112.629556286351</v>
      </c>
      <c r="AJ2314">
        <v>71.302809187178696</v>
      </c>
      <c r="AK2314">
        <v>0.47461543673455098</v>
      </c>
      <c r="AL2314">
        <v>78.993486201910002</v>
      </c>
      <c r="AM2314">
        <v>91.777861081900099</v>
      </c>
      <c r="AN2314">
        <v>1.00000003869566</v>
      </c>
    </row>
    <row r="2315" spans="1:40" x14ac:dyDescent="0.25">
      <c r="A2315" t="str">
        <f>"20190312172415032"</f>
        <v>20190312172415032</v>
      </c>
      <c r="B2315" t="str">
        <f>"1552382655021963"</f>
        <v>1552382655021963</v>
      </c>
      <c r="C2315" t="s">
        <v>40</v>
      </c>
      <c r="D2315">
        <v>3.5334240000000001</v>
      </c>
      <c r="E2315">
        <v>0.47851470000000002</v>
      </c>
      <c r="F2315" t="s">
        <v>41</v>
      </c>
      <c r="G2315">
        <v>-421.40429999999998</v>
      </c>
      <c r="H2315">
        <v>0.96380889999999997</v>
      </c>
      <c r="I2315">
        <v>284.6422</v>
      </c>
      <c r="J2315">
        <v>-420.88130000000001</v>
      </c>
      <c r="K2315">
        <v>1.110409</v>
      </c>
      <c r="L2315">
        <v>284.59440000000001</v>
      </c>
      <c r="M2315">
        <v>-0.99986450000000004</v>
      </c>
      <c r="N2315">
        <v>0</v>
      </c>
      <c r="O2315">
        <v>7.6979919999999999E-3</v>
      </c>
      <c r="P2315">
        <v>-0.98384559999999999</v>
      </c>
      <c r="Q2315">
        <v>0.1771858</v>
      </c>
      <c r="R2315">
        <v>-2.556027E-2</v>
      </c>
      <c r="S2315">
        <v>-3.1501459999999999</v>
      </c>
      <c r="T2315">
        <v>-0.53651150000000003</v>
      </c>
      <c r="U2315">
        <v>0.18362429999999999</v>
      </c>
      <c r="V2315">
        <v>-3.3126540000000003E-2</v>
      </c>
      <c r="W2315">
        <v>0.1914874</v>
      </c>
      <c r="X2315">
        <v>0.98093589999999997</v>
      </c>
      <c r="Y2315">
        <v>4.9898890000000001E-2</v>
      </c>
      <c r="Z2315">
        <v>2.9146699999999998E-3</v>
      </c>
      <c r="AA2315">
        <v>0.99875000000000003</v>
      </c>
      <c r="AB2315">
        <v>34</v>
      </c>
      <c r="AC2315">
        <v>-0.52299999999996705</v>
      </c>
      <c r="AD2315">
        <v>-0.14660010000000001</v>
      </c>
      <c r="AE2315">
        <v>4.7799999999995103E-2</v>
      </c>
      <c r="AF2315">
        <v>4.0607912970429198E-2</v>
      </c>
      <c r="AG2315">
        <v>-0.14660010000000001</v>
      </c>
      <c r="AH2315">
        <v>0.485520442447888</v>
      </c>
      <c r="AI2315">
        <v>106.746207403751</v>
      </c>
      <c r="AJ2315">
        <v>85.219028386410599</v>
      </c>
      <c r="AK2315">
        <v>0.50879336861894797</v>
      </c>
      <c r="AL2315">
        <v>78.960400280764006</v>
      </c>
      <c r="AM2315">
        <v>91.934162981715801</v>
      </c>
      <c r="AN2315">
        <v>1.00000001595997</v>
      </c>
    </row>
    <row r="2316" spans="1:40" x14ac:dyDescent="0.25">
      <c r="A2316" t="str">
        <f>"20190312172415055"</f>
        <v>20190312172415055</v>
      </c>
      <c r="B2316" t="str">
        <f>"1552382655052219"</f>
        <v>1552382655052219</v>
      </c>
      <c r="C2316" t="s">
        <v>40</v>
      </c>
      <c r="D2316">
        <v>3.559974</v>
      </c>
      <c r="E2316">
        <v>0.48257850000000002</v>
      </c>
      <c r="F2316" t="s">
        <v>48</v>
      </c>
      <c r="G2316">
        <v>-430.66390000000001</v>
      </c>
      <c r="H2316" s="1">
        <v>2.5823159999999998E-6</v>
      </c>
      <c r="I2316">
        <v>283.80500000000001</v>
      </c>
      <c r="J2316">
        <v>-421.21170000000001</v>
      </c>
      <c r="K2316">
        <v>1.1104149999999999</v>
      </c>
      <c r="L2316">
        <v>284.59690000000001</v>
      </c>
      <c r="M2316">
        <v>-0.99986459999999999</v>
      </c>
      <c r="N2316">
        <v>0</v>
      </c>
      <c r="O2316">
        <v>7.698018E-3</v>
      </c>
      <c r="P2316">
        <v>-0.9838133</v>
      </c>
      <c r="Q2316">
        <v>0.177307399999999</v>
      </c>
      <c r="R2316">
        <v>-2.5955289999999999E-2</v>
      </c>
      <c r="S2316">
        <v>-3.106201</v>
      </c>
      <c r="T2316">
        <v>-0.35257909999999998</v>
      </c>
      <c r="U2316">
        <v>-0.2506409</v>
      </c>
      <c r="V2316">
        <v>-3.3521469999999998E-2</v>
      </c>
      <c r="W2316">
        <v>0.19160489999999999</v>
      </c>
      <c r="X2316">
        <v>0.98089950000000004</v>
      </c>
      <c r="Y2316">
        <v>-8.7493169999999995E-2</v>
      </c>
      <c r="Z2316">
        <v>-5.8114919999999997E-3</v>
      </c>
      <c r="AA2316">
        <v>0.99614820000000004</v>
      </c>
      <c r="AB2316">
        <v>34</v>
      </c>
      <c r="AC2316">
        <v>-9.4521999999999995</v>
      </c>
      <c r="AD2316">
        <v>-1.110412417684</v>
      </c>
      <c r="AE2316">
        <v>-0.79189999999999805</v>
      </c>
      <c r="AF2316">
        <v>-0.852958017531947</v>
      </c>
      <c r="AG2316">
        <v>-1.110412417684</v>
      </c>
      <c r="AH2316">
        <v>9.3181223812935698</v>
      </c>
      <c r="AI2316">
        <v>96.767686853975107</v>
      </c>
      <c r="AJ2316">
        <v>95.230139322576704</v>
      </c>
      <c r="AK2316">
        <v>9.4227362177757605</v>
      </c>
      <c r="AL2316">
        <v>78.953540592012303</v>
      </c>
      <c r="AM2316">
        <v>91.957276548370501</v>
      </c>
      <c r="AN2316">
        <v>0.99999997787760997</v>
      </c>
    </row>
    <row r="2317" spans="1:40" x14ac:dyDescent="0.25">
      <c r="A2317" t="str">
        <f>"20190312172415077"</f>
        <v>20190312172415077</v>
      </c>
      <c r="B2317" t="str">
        <f>"1552382655072715"</f>
        <v>1552382655072715</v>
      </c>
      <c r="C2317" t="s">
        <v>40</v>
      </c>
      <c r="D2317">
        <v>3.5032570000000001</v>
      </c>
      <c r="E2317">
        <v>0.48415459999999999</v>
      </c>
      <c r="F2317" t="s">
        <v>48</v>
      </c>
      <c r="G2317">
        <v>-437.26010000000002</v>
      </c>
      <c r="H2317" s="1">
        <v>5.5379220000000001E-6</v>
      </c>
      <c r="I2317">
        <v>283.45659999999998</v>
      </c>
      <c r="J2317">
        <v>-421.55180000000001</v>
      </c>
      <c r="K2317">
        <v>1.1104160000000001</v>
      </c>
      <c r="L2317">
        <v>284.59949999999998</v>
      </c>
      <c r="M2317">
        <v>-0.99986450000000004</v>
      </c>
      <c r="N2317">
        <v>0</v>
      </c>
      <c r="O2317">
        <v>7.6980460000000001E-3</v>
      </c>
      <c r="P2317">
        <v>-0.98373489999999997</v>
      </c>
      <c r="Q2317">
        <v>0.17771960000000001</v>
      </c>
      <c r="R2317">
        <v>-2.6109980000000001E-2</v>
      </c>
      <c r="S2317">
        <v>-3.0820620000000001</v>
      </c>
      <c r="T2317">
        <v>-0.21325189999999999</v>
      </c>
      <c r="U2317">
        <v>-0.2189941</v>
      </c>
      <c r="V2317">
        <v>-3.3675419999999998E-2</v>
      </c>
      <c r="W2317">
        <v>0.1920125</v>
      </c>
      <c r="X2317">
        <v>0.98081459999999998</v>
      </c>
      <c r="Y2317">
        <v>-7.8348440000000005E-2</v>
      </c>
      <c r="Z2317">
        <v>-3.2353070000000002E-3</v>
      </c>
      <c r="AA2317">
        <v>0.99692080000000005</v>
      </c>
      <c r="AB2317">
        <v>34</v>
      </c>
      <c r="AC2317">
        <v>-15.708299999999999</v>
      </c>
      <c r="AD2317">
        <v>-1.110410462078</v>
      </c>
      <c r="AE2317">
        <v>-1.14289999999999</v>
      </c>
      <c r="AF2317">
        <v>-1.2575512630155901</v>
      </c>
      <c r="AG2317">
        <v>-1.110410462078</v>
      </c>
      <c r="AH2317">
        <v>15.621386524219799</v>
      </c>
      <c r="AI2317">
        <v>94.052833195754403</v>
      </c>
      <c r="AJ2317">
        <v>94.602493876891998</v>
      </c>
      <c r="AK2317">
        <v>15.7112113954488</v>
      </c>
      <c r="AL2317">
        <v>78.929745887926501</v>
      </c>
      <c r="AM2317">
        <v>91.966428522914796</v>
      </c>
      <c r="AN2317">
        <v>1.0000000568207901</v>
      </c>
    </row>
    <row r="2318" spans="1:40" x14ac:dyDescent="0.25">
      <c r="A2318" t="str">
        <f>"20190312172415100"</f>
        <v>20190312172415100</v>
      </c>
      <c r="B2318" t="str">
        <f>"1552382655092239"</f>
        <v>1552382655092239</v>
      </c>
      <c r="C2318" t="s">
        <v>40</v>
      </c>
      <c r="D2318">
        <v>3.4732759999999998</v>
      </c>
      <c r="E2318">
        <v>0.48479929999999899</v>
      </c>
      <c r="F2318" t="s">
        <v>47</v>
      </c>
      <c r="G2318">
        <v>-440.1653</v>
      </c>
      <c r="H2318" s="1">
        <v>-1.3934139999999901E-6</v>
      </c>
      <c r="I2318">
        <v>283.34910000000002</v>
      </c>
      <c r="J2318">
        <v>-421.8861</v>
      </c>
      <c r="K2318">
        <v>1.1104210000000001</v>
      </c>
      <c r="L2318">
        <v>284.60210000000001</v>
      </c>
      <c r="M2318">
        <v>-0.99986450000000004</v>
      </c>
      <c r="N2318">
        <v>0</v>
      </c>
      <c r="O2318">
        <v>7.6980719999999898E-3</v>
      </c>
      <c r="P2318">
        <v>-0.98373920000000004</v>
      </c>
      <c r="Q2318">
        <v>0.1776614</v>
      </c>
      <c r="R2318">
        <v>-2.6340269999999999E-2</v>
      </c>
      <c r="S2318">
        <v>-3.0772710000000001</v>
      </c>
      <c r="T2318">
        <v>-0.1835794</v>
      </c>
      <c r="U2318">
        <v>-0.2067261</v>
      </c>
      <c r="V2318">
        <v>-3.3905949999999997E-2</v>
      </c>
      <c r="W2318">
        <v>0.19195019999999999</v>
      </c>
      <c r="X2318">
        <v>0.98081879999999999</v>
      </c>
      <c r="Y2318">
        <v>-7.4561279999999994E-2</v>
      </c>
      <c r="Z2318">
        <v>-2.6779579999999998E-3</v>
      </c>
      <c r="AA2318">
        <v>0.99721280000000001</v>
      </c>
      <c r="AB2318">
        <v>34</v>
      </c>
      <c r="AC2318">
        <v>-18.279199999999999</v>
      </c>
      <c r="AD2318">
        <v>-1.1104223934139901</v>
      </c>
      <c r="AE2318">
        <v>-1.2529999999999799</v>
      </c>
      <c r="AF2318">
        <v>-1.3885920012769</v>
      </c>
      <c r="AG2318">
        <v>-1.1104223934139901</v>
      </c>
      <c r="AH2318">
        <v>18.202154237398702</v>
      </c>
      <c r="AI2318">
        <v>93.480913184423699</v>
      </c>
      <c r="AJ2318">
        <v>94.362486788718698</v>
      </c>
      <c r="AK2318">
        <v>18.288784664921199</v>
      </c>
      <c r="AL2318">
        <v>78.933382497355495</v>
      </c>
      <c r="AM2318">
        <v>91.979870847768197</v>
      </c>
      <c r="AN2318">
        <v>1.00000000557944</v>
      </c>
    </row>
    <row r="2319" spans="1:40" x14ac:dyDescent="0.25">
      <c r="A2319" t="str">
        <f>"20190312172415121"</f>
        <v>20190312172415121</v>
      </c>
      <c r="B2319" t="str">
        <f>"1552382655112734"</f>
        <v>1552382655112734</v>
      </c>
      <c r="C2319" t="s">
        <v>40</v>
      </c>
      <c r="D2319">
        <v>3.5178790000000002</v>
      </c>
      <c r="E2319">
        <v>0.48544290000000001</v>
      </c>
      <c r="F2319" t="s">
        <v>47</v>
      </c>
      <c r="G2319">
        <v>-442.07380000000001</v>
      </c>
      <c r="H2319" s="1">
        <v>-3.7457489999999999E-7</v>
      </c>
      <c r="I2319">
        <v>283.27429999999998</v>
      </c>
      <c r="J2319">
        <v>-422.21</v>
      </c>
      <c r="K2319">
        <v>1.1104210000000001</v>
      </c>
      <c r="L2319">
        <v>284.6046</v>
      </c>
      <c r="M2319">
        <v>-0.9998648</v>
      </c>
      <c r="N2319">
        <v>0</v>
      </c>
      <c r="O2319">
        <v>7.6980979999999996E-3</v>
      </c>
      <c r="P2319">
        <v>-0.98380089999999998</v>
      </c>
      <c r="Q2319">
        <v>0.17724470000000001</v>
      </c>
      <c r="R2319">
        <v>-2.6839289999999998E-2</v>
      </c>
      <c r="S2319">
        <v>-3.0747070000000001</v>
      </c>
      <c r="T2319">
        <v>-0.1691242</v>
      </c>
      <c r="U2319">
        <v>-0.20224</v>
      </c>
      <c r="V2319">
        <v>-3.4405499999999999E-2</v>
      </c>
      <c r="W2319">
        <v>0.1915309</v>
      </c>
      <c r="X2319">
        <v>0.98088339999999996</v>
      </c>
      <c r="Y2319">
        <v>-7.3192160000000006E-2</v>
      </c>
      <c r="Z2319">
        <v>-2.4320079999999998E-3</v>
      </c>
      <c r="AA2319">
        <v>0.9973149</v>
      </c>
      <c r="AB2319">
        <v>33</v>
      </c>
      <c r="AC2319">
        <v>-19.863800000000001</v>
      </c>
      <c r="AD2319">
        <v>-1.1104213745749001</v>
      </c>
      <c r="AE2319">
        <v>-1.33030000000002</v>
      </c>
      <c r="AF2319">
        <v>-1.4785902240992801</v>
      </c>
      <c r="AG2319">
        <v>-1.1104213745749001</v>
      </c>
      <c r="AH2319">
        <v>19.791397342987999</v>
      </c>
      <c r="AI2319">
        <v>93.202379584751796</v>
      </c>
      <c r="AJ2319">
        <v>94.272557958370101</v>
      </c>
      <c r="AK2319">
        <v>19.877592245237999</v>
      </c>
      <c r="AL2319">
        <v>78.9578611171886</v>
      </c>
      <c r="AM2319">
        <v>92.008885147583001</v>
      </c>
      <c r="AN2319">
        <v>1.0000000342402999</v>
      </c>
    </row>
    <row r="2320" spans="1:40" x14ac:dyDescent="0.25">
      <c r="A2320" t="str">
        <f>"20190312172415144"</f>
        <v>20190312172415144</v>
      </c>
      <c r="B2320" t="str">
        <f>"1552382655132251"</f>
        <v>1552382655132251</v>
      </c>
      <c r="C2320" t="s">
        <v>40</v>
      </c>
      <c r="D2320">
        <v>3.7487249999999999</v>
      </c>
      <c r="E2320">
        <v>0.48562080000000002</v>
      </c>
      <c r="F2320" t="s">
        <v>47</v>
      </c>
      <c r="G2320">
        <v>-443.4273</v>
      </c>
      <c r="H2320" s="1">
        <v>3.4734040000000001E-7</v>
      </c>
      <c r="I2320">
        <v>283.2373</v>
      </c>
      <c r="J2320">
        <v>-422.55130000000003</v>
      </c>
      <c r="K2320">
        <v>1.11042</v>
      </c>
      <c r="L2320">
        <v>284.60719999999998</v>
      </c>
      <c r="M2320">
        <v>-0.9998648</v>
      </c>
      <c r="N2320">
        <v>0</v>
      </c>
      <c r="O2320">
        <v>7.6979459999999998E-3</v>
      </c>
      <c r="P2320">
        <v>-0.98382999999999998</v>
      </c>
      <c r="Q2320">
        <v>0.1770225</v>
      </c>
      <c r="R2320">
        <v>-2.723298E-2</v>
      </c>
      <c r="S2320">
        <v>-3.0729679999999999</v>
      </c>
      <c r="T2320">
        <v>-0.16082560000000001</v>
      </c>
      <c r="U2320">
        <v>-0.1980286</v>
      </c>
      <c r="V2320">
        <v>-3.4799480000000001E-2</v>
      </c>
      <c r="W2320">
        <v>0.1913058</v>
      </c>
      <c r="X2320">
        <v>0.98091340000000005</v>
      </c>
      <c r="Y2320">
        <v>-7.1881200000000006E-2</v>
      </c>
      <c r="Z2320">
        <v>-2.2799930000000001E-3</v>
      </c>
      <c r="AA2320">
        <v>0.99741060000000004</v>
      </c>
      <c r="AB2320">
        <v>33</v>
      </c>
      <c r="AC2320">
        <v>-20.875999999999902</v>
      </c>
      <c r="AD2320">
        <v>-1.1104196526596</v>
      </c>
      <c r="AE2320">
        <v>-1.3698999999999699</v>
      </c>
      <c r="AF2320">
        <v>-1.52627889661672</v>
      </c>
      <c r="AG2320">
        <v>-1.1104196526596</v>
      </c>
      <c r="AH2320">
        <v>20.806220058369199</v>
      </c>
      <c r="AI2320">
        <v>93.046783340111404</v>
      </c>
      <c r="AJ2320">
        <v>94.195523348097794</v>
      </c>
      <c r="AK2320">
        <v>20.891657478346598</v>
      </c>
      <c r="AL2320">
        <v>78.971001059640201</v>
      </c>
      <c r="AM2320">
        <v>92.031807781472907</v>
      </c>
      <c r="AN2320">
        <v>1.0000000056107301</v>
      </c>
    </row>
    <row r="2321" spans="1:40" x14ac:dyDescent="0.25">
      <c r="A2321" t="str">
        <f>"20190312172415169"</f>
        <v>20190312172415169</v>
      </c>
      <c r="B2321" t="str">
        <f>"1552382655162507"</f>
        <v>1552382655162507</v>
      </c>
      <c r="C2321" t="s">
        <v>40</v>
      </c>
      <c r="D2321">
        <v>3.5384929999999999</v>
      </c>
      <c r="E2321">
        <v>0.48645139999999998</v>
      </c>
      <c r="F2321" t="s">
        <v>47</v>
      </c>
      <c r="G2321">
        <v>-444.58940000000001</v>
      </c>
      <c r="H2321" s="1">
        <v>9.6794969999999995E-7</v>
      </c>
      <c r="I2321">
        <v>283.18729999999999</v>
      </c>
      <c r="J2321">
        <v>-422.89699999999999</v>
      </c>
      <c r="K2321">
        <v>1.11042</v>
      </c>
      <c r="L2321">
        <v>284.60980000000001</v>
      </c>
      <c r="M2321">
        <v>-0.9998648</v>
      </c>
      <c r="N2321">
        <v>0</v>
      </c>
      <c r="O2321">
        <v>7.6981530000000001E-3</v>
      </c>
      <c r="P2321">
        <v>-0.98388869999999895</v>
      </c>
      <c r="Q2321">
        <v>0.17657709999999999</v>
      </c>
      <c r="R2321">
        <v>-2.7998530000000001E-2</v>
      </c>
      <c r="S2321">
        <v>-3.0716549999999998</v>
      </c>
      <c r="T2321">
        <v>-0.15476909999999999</v>
      </c>
      <c r="U2321">
        <v>-0.19790650000000001</v>
      </c>
      <c r="V2321">
        <v>-3.55655E-2</v>
      </c>
      <c r="W2321">
        <v>0.19085779999999999</v>
      </c>
      <c r="X2321">
        <v>0.98097319999999999</v>
      </c>
      <c r="Y2321">
        <v>-7.1877199999999905E-2</v>
      </c>
      <c r="Z2321">
        <v>-2.195088E-3</v>
      </c>
      <c r="AA2321">
        <v>0.99741109999999999</v>
      </c>
      <c r="AB2321">
        <v>33</v>
      </c>
      <c r="AC2321">
        <v>-21.692399999999999</v>
      </c>
      <c r="AD2321">
        <v>-1.1104190320503</v>
      </c>
      <c r="AE2321">
        <v>-1.4225000000000101</v>
      </c>
      <c r="AF2321">
        <v>-1.5853305582519801</v>
      </c>
      <c r="AG2321">
        <v>-1.1104190320503</v>
      </c>
      <c r="AH2321">
        <v>21.624384571727301</v>
      </c>
      <c r="AI2321">
        <v>92.931720406483905</v>
      </c>
      <c r="AJ2321">
        <v>94.192976703910901</v>
      </c>
      <c r="AK2321">
        <v>21.710833966285701</v>
      </c>
      <c r="AL2321">
        <v>78.997151481988595</v>
      </c>
      <c r="AM2321">
        <v>92.076367539232606</v>
      </c>
      <c r="AN2321">
        <v>1.0000000118646599</v>
      </c>
    </row>
    <row r="2322" spans="1:40" x14ac:dyDescent="0.25">
      <c r="A2322" t="str">
        <f>"20190312172415190"</f>
        <v>20190312172415190</v>
      </c>
      <c r="B2322" t="str">
        <f>"1552382655182377"</f>
        <v>1552382655182377</v>
      </c>
      <c r="C2322" t="s">
        <v>40</v>
      </c>
      <c r="D2322">
        <v>3.5391010000000001</v>
      </c>
      <c r="E2322">
        <v>0.48693570000000003</v>
      </c>
      <c r="F2322" t="s">
        <v>47</v>
      </c>
      <c r="G2322">
        <v>-445.56169999999997</v>
      </c>
      <c r="H2322" s="1">
        <v>1.4857739999999999E-6</v>
      </c>
      <c r="I2322">
        <v>283.17700000000002</v>
      </c>
      <c r="J2322">
        <v>-423.22539999999998</v>
      </c>
      <c r="K2322">
        <v>1.1104149999999999</v>
      </c>
      <c r="L2322">
        <v>284.61239999999998</v>
      </c>
      <c r="M2322">
        <v>-0.99986489999999995</v>
      </c>
      <c r="N2322">
        <v>0</v>
      </c>
      <c r="O2322">
        <v>7.698E-3</v>
      </c>
      <c r="P2322">
        <v>-0.98389740000000003</v>
      </c>
      <c r="Q2322">
        <v>0.17642140000000001</v>
      </c>
      <c r="R2322">
        <v>-2.8666810000000001E-2</v>
      </c>
      <c r="S2322">
        <v>-3.0706180000000001</v>
      </c>
      <c r="T2322">
        <v>-0.15043989999999999</v>
      </c>
      <c r="U2322">
        <v>-0.1941223</v>
      </c>
      <c r="V2322">
        <v>-3.6233670000000003E-2</v>
      </c>
      <c r="W2322">
        <v>0.19069820000000001</v>
      </c>
      <c r="X2322">
        <v>0.98097970000000001</v>
      </c>
      <c r="Y2322">
        <v>-7.0681309999999997E-2</v>
      </c>
      <c r="Z2322">
        <v>-2.1053069999999998E-3</v>
      </c>
      <c r="AA2322">
        <v>0.99749670000000001</v>
      </c>
      <c r="AB2322">
        <v>33</v>
      </c>
      <c r="AC2322">
        <v>-22.336299999999898</v>
      </c>
      <c r="AD2322">
        <v>-1.1104135142260001</v>
      </c>
      <c r="AE2322">
        <v>-1.43539999999995</v>
      </c>
      <c r="AF2322">
        <v>-1.6033741161624999</v>
      </c>
      <c r="AG2322">
        <v>-1.1104135142260001</v>
      </c>
      <c r="AH2322">
        <v>22.269775492602498</v>
      </c>
      <c r="AI2322">
        <v>92.847155201741003</v>
      </c>
      <c r="AJ2322">
        <v>94.1180624456223</v>
      </c>
      <c r="AK2322">
        <v>22.355015706097699</v>
      </c>
      <c r="AL2322">
        <v>79.006466040369901</v>
      </c>
      <c r="AM2322">
        <v>92.115327196525001</v>
      </c>
      <c r="AN2322">
        <v>0.99999992706849605</v>
      </c>
    </row>
    <row r="2323" spans="1:40" x14ac:dyDescent="0.25">
      <c r="A2323" t="str">
        <f>"20190312172415210"</f>
        <v>20190312172415210</v>
      </c>
      <c r="B2323" t="str">
        <f>"1552382655202870"</f>
        <v>1552382655202870</v>
      </c>
      <c r="C2323" t="s">
        <v>40</v>
      </c>
      <c r="D2323">
        <v>3.5298180000000001</v>
      </c>
      <c r="E2323">
        <v>0.48724040000000002</v>
      </c>
      <c r="F2323" t="s">
        <v>47</v>
      </c>
      <c r="G2323">
        <v>-446.1379</v>
      </c>
      <c r="H2323" s="1">
        <v>1.7923040000000001E-6</v>
      </c>
      <c r="I2323">
        <v>283.17939999999999</v>
      </c>
      <c r="J2323">
        <v>-423.54680000000002</v>
      </c>
      <c r="K2323">
        <v>1.110414</v>
      </c>
      <c r="L2323">
        <v>284.61489999999998</v>
      </c>
      <c r="M2323">
        <v>-0.99986489999999995</v>
      </c>
      <c r="N2323">
        <v>0</v>
      </c>
      <c r="O2323">
        <v>7.6980260000000002E-3</v>
      </c>
      <c r="P2323">
        <v>-0.98390809999999995</v>
      </c>
      <c r="Q2323">
        <v>0.17614279999999999</v>
      </c>
      <c r="R2323">
        <v>-2.9979909999999999E-2</v>
      </c>
      <c r="S2323">
        <v>-3.0701900000000002</v>
      </c>
      <c r="T2323">
        <v>-0.14879129999999999</v>
      </c>
      <c r="U2323">
        <v>-0.19201660000000001</v>
      </c>
      <c r="V2323">
        <v>-3.7546879999999998E-2</v>
      </c>
      <c r="W2323">
        <v>0.19041640000000001</v>
      </c>
      <c r="X2323">
        <v>0.98098510000000005</v>
      </c>
      <c r="Y2323">
        <v>-7.0011399999999904E-2</v>
      </c>
      <c r="Z2323">
        <v>-2.06639E-3</v>
      </c>
      <c r="AA2323">
        <v>0.99754410000000004</v>
      </c>
      <c r="AB2323">
        <v>33</v>
      </c>
      <c r="AC2323">
        <v>-22.591099999999901</v>
      </c>
      <c r="AD2323">
        <v>-1.1104122076959999</v>
      </c>
      <c r="AE2323">
        <v>-1.43549999999999</v>
      </c>
      <c r="AF2323">
        <v>-1.6055193681401501</v>
      </c>
      <c r="AG2323">
        <v>-1.1104122076959999</v>
      </c>
      <c r="AH2323">
        <v>22.525177222260499</v>
      </c>
      <c r="AI2323">
        <v>92.815066086445995</v>
      </c>
      <c r="AJ2323">
        <v>94.076956908630706</v>
      </c>
      <c r="AK2323">
        <v>22.609606732685901</v>
      </c>
      <c r="AL2323">
        <v>79.022913849161398</v>
      </c>
      <c r="AM2323">
        <v>92.191907069018399</v>
      </c>
      <c r="AN2323">
        <v>0.99999997000435104</v>
      </c>
    </row>
    <row r="2324" spans="1:40" x14ac:dyDescent="0.25">
      <c r="A2324" t="str">
        <f>"20190312172415233"</f>
        <v>20190312172415233</v>
      </c>
      <c r="B2324" t="str">
        <f>"1552382655222390"</f>
        <v>1552382655222390</v>
      </c>
      <c r="C2324" t="s">
        <v>40</v>
      </c>
      <c r="D2324">
        <v>3.5802559999999999</v>
      </c>
      <c r="E2324">
        <v>0.48749179999999998</v>
      </c>
      <c r="F2324" t="s">
        <v>47</v>
      </c>
      <c r="G2324">
        <v>-446.56689999999998</v>
      </c>
      <c r="H2324" s="1">
        <v>2.021254E-6</v>
      </c>
      <c r="I2324">
        <v>283.16390000000001</v>
      </c>
      <c r="J2324">
        <v>-423.88069999999999</v>
      </c>
      <c r="K2324">
        <v>1.1104210000000001</v>
      </c>
      <c r="L2324">
        <v>284.61739999999998</v>
      </c>
      <c r="M2324">
        <v>-0.99986489999999995</v>
      </c>
      <c r="N2324">
        <v>0</v>
      </c>
      <c r="O2324">
        <v>7.6980529999999998E-3</v>
      </c>
      <c r="P2324">
        <v>-0.98386560000000001</v>
      </c>
      <c r="Q2324">
        <v>0.1761211</v>
      </c>
      <c r="R2324">
        <v>-3.1460549999999997E-2</v>
      </c>
      <c r="S2324">
        <v>-3.0696409999999998</v>
      </c>
      <c r="T2324">
        <v>-0.14806910000000001</v>
      </c>
      <c r="U2324">
        <v>-0.1934814</v>
      </c>
      <c r="V2324">
        <v>-3.9027069999999997E-2</v>
      </c>
      <c r="W2324">
        <v>0.19039020000000001</v>
      </c>
      <c r="X2324">
        <v>0.98093240000000004</v>
      </c>
      <c r="Y2324">
        <v>-7.0496989999999995E-2</v>
      </c>
      <c r="Z2324">
        <v>-2.0684029999999999E-3</v>
      </c>
      <c r="AA2324">
        <v>0.9975098</v>
      </c>
      <c r="AB2324">
        <v>33</v>
      </c>
      <c r="AC2324">
        <v>-22.6861999999999</v>
      </c>
      <c r="AD2324">
        <v>-1.1104189787459999</v>
      </c>
      <c r="AE2324">
        <v>-1.45349999999996</v>
      </c>
      <c r="AF2324">
        <v>-1.6242394719801301</v>
      </c>
      <c r="AG2324">
        <v>-1.1104189787459999</v>
      </c>
      <c r="AH2324">
        <v>22.6203650779761</v>
      </c>
      <c r="AI2324">
        <v>92.803151012513794</v>
      </c>
      <c r="AJ2324">
        <v>94.107034570371198</v>
      </c>
      <c r="AK2324">
        <v>22.705772403325501</v>
      </c>
      <c r="AL2324">
        <v>79.024442826971494</v>
      </c>
      <c r="AM2324">
        <v>92.278350355860994</v>
      </c>
      <c r="AN2324">
        <v>0.999999956909291</v>
      </c>
    </row>
    <row r="2325" spans="1:40" x14ac:dyDescent="0.25">
      <c r="A2325" t="str">
        <f>"20190312172415255"</f>
        <v>20190312172415255</v>
      </c>
      <c r="B2325" t="str">
        <f>"1552382655252647"</f>
        <v>1552382655252647</v>
      </c>
      <c r="C2325" t="s">
        <v>40</v>
      </c>
      <c r="D2325">
        <v>3.5686719999999998</v>
      </c>
      <c r="E2325">
        <v>0.48770770000000002</v>
      </c>
      <c r="F2325" t="s">
        <v>47</v>
      </c>
      <c r="G2325">
        <v>-447.19189999999998</v>
      </c>
      <c r="H2325" s="1">
        <v>2.3555990000000001E-6</v>
      </c>
      <c r="I2325">
        <v>283.12470000000002</v>
      </c>
      <c r="J2325">
        <v>-424.20710000000003</v>
      </c>
      <c r="K2325">
        <v>1.1104210000000001</v>
      </c>
      <c r="L2325">
        <v>284.62</v>
      </c>
      <c r="M2325">
        <v>-0.99986509999999995</v>
      </c>
      <c r="N2325">
        <v>0</v>
      </c>
      <c r="O2325">
        <v>7.697901E-3</v>
      </c>
      <c r="P2325">
        <v>-0.98390979999999995</v>
      </c>
      <c r="Q2325">
        <v>0.17555950000000001</v>
      </c>
      <c r="R2325">
        <v>-3.3176009999999999E-2</v>
      </c>
      <c r="S2325">
        <v>-3.069153</v>
      </c>
      <c r="T2325">
        <v>-0.14619760000000001</v>
      </c>
      <c r="U2325">
        <v>-0.19653319999999999</v>
      </c>
      <c r="V2325">
        <v>-4.0742550000000002E-2</v>
      </c>
      <c r="W2325">
        <v>0.18982560000000001</v>
      </c>
      <c r="X2325">
        <v>0.98097210000000001</v>
      </c>
      <c r="Y2325">
        <v>-7.1495760000000005E-2</v>
      </c>
      <c r="Z2325">
        <v>-2.066291E-3</v>
      </c>
      <c r="AA2325">
        <v>0.99743879999999996</v>
      </c>
      <c r="AB2325">
        <v>33</v>
      </c>
      <c r="AC2325">
        <v>-22.9847999999999</v>
      </c>
      <c r="AD2325">
        <v>-1.11041864440099</v>
      </c>
      <c r="AE2325">
        <v>-1.4952999999999801</v>
      </c>
      <c r="AF2325">
        <v>-1.66833163167599</v>
      </c>
      <c r="AG2325">
        <v>-1.11041864440099</v>
      </c>
      <c r="AH2325">
        <v>22.919339739913401</v>
      </c>
      <c r="AI2325">
        <v>92.766445146561793</v>
      </c>
      <c r="AJ2325">
        <v>94.163299168812898</v>
      </c>
      <c r="AK2325">
        <v>23.006792347319099</v>
      </c>
      <c r="AL2325">
        <v>79.057393268002599</v>
      </c>
      <c r="AM2325">
        <v>92.378289149445294</v>
      </c>
      <c r="AN2325">
        <v>0.99999998738713602</v>
      </c>
    </row>
    <row r="2326" spans="1:40" x14ac:dyDescent="0.25">
      <c r="A2326" t="str">
        <f>"20190312172415278"</f>
        <v>20190312172415278</v>
      </c>
      <c r="B2326" t="str">
        <f>"1552382655272166"</f>
        <v>1552382655272166</v>
      </c>
      <c r="C2326" t="s">
        <v>40</v>
      </c>
      <c r="D2326">
        <v>3.5702959999999999</v>
      </c>
      <c r="E2326">
        <v>0.48788779999999998</v>
      </c>
      <c r="F2326" t="s">
        <v>47</v>
      </c>
      <c r="G2326">
        <v>-447.64049999999997</v>
      </c>
      <c r="H2326" s="1">
        <v>2.5958510000000001E-6</v>
      </c>
      <c r="I2326">
        <v>283.08909999999997</v>
      </c>
      <c r="J2326">
        <v>-424.5453</v>
      </c>
      <c r="K2326">
        <v>1.1104240000000001</v>
      </c>
      <c r="L2326">
        <v>284.62259999999998</v>
      </c>
      <c r="M2326">
        <v>-0.999865</v>
      </c>
      <c r="N2326">
        <v>0</v>
      </c>
      <c r="O2326">
        <v>7.6979279999999997E-3</v>
      </c>
      <c r="P2326">
        <v>-0.98388450000000005</v>
      </c>
      <c r="Q2326">
        <v>0.17536559999999901</v>
      </c>
      <c r="R2326">
        <v>-3.4906960000000001E-2</v>
      </c>
      <c r="S2326">
        <v>-3.0682369999999999</v>
      </c>
      <c r="T2326">
        <v>-0.14539179999999999</v>
      </c>
      <c r="U2326">
        <v>-0.20043949999999999</v>
      </c>
      <c r="V2326">
        <v>-4.2473469999999999E-2</v>
      </c>
      <c r="W2326">
        <v>0.1896272</v>
      </c>
      <c r="X2326">
        <v>0.98093710000000001</v>
      </c>
      <c r="Y2326">
        <v>-7.2778789999999996E-2</v>
      </c>
      <c r="Z2326">
        <v>-2.0857940000000002E-3</v>
      </c>
      <c r="AA2326">
        <v>0.99734590000000001</v>
      </c>
      <c r="AB2326">
        <v>33</v>
      </c>
      <c r="AC2326">
        <v>-23.095199999999899</v>
      </c>
      <c r="AD2326">
        <v>-1.1104214041489999</v>
      </c>
      <c r="AE2326">
        <v>-1.5335000000000001</v>
      </c>
      <c r="AF2326">
        <v>-1.7073289607656399</v>
      </c>
      <c r="AG2326">
        <v>-1.1104214041489999</v>
      </c>
      <c r="AH2326">
        <v>23.029705368789202</v>
      </c>
      <c r="AI2326">
        <v>92.752944693899707</v>
      </c>
      <c r="AJ2326">
        <v>94.239920356768906</v>
      </c>
      <c r="AK2326">
        <v>23.119587739583501</v>
      </c>
      <c r="AL2326">
        <v>79.068971535910705</v>
      </c>
      <c r="AM2326">
        <v>92.479294013914</v>
      </c>
      <c r="AN2326">
        <v>1.00000003239504</v>
      </c>
    </row>
    <row r="2327" spans="1:40" x14ac:dyDescent="0.25">
      <c r="A2327" t="str">
        <f>"20190312172415300"</f>
        <v>20190312172415300</v>
      </c>
      <c r="B2327" t="str">
        <f>"1552382655292210"</f>
        <v>1552382655292210</v>
      </c>
      <c r="C2327" t="s">
        <v>40</v>
      </c>
      <c r="D2327">
        <v>3.5768279999999999</v>
      </c>
      <c r="E2327">
        <v>0.48807020000000001</v>
      </c>
      <c r="F2327" t="s">
        <v>47</v>
      </c>
      <c r="G2327">
        <v>-448.04899999999998</v>
      </c>
      <c r="H2327" s="1">
        <v>2.8147509999999998E-6</v>
      </c>
      <c r="I2327">
        <v>283.05509999999998</v>
      </c>
      <c r="J2327">
        <v>-424.86599999999999</v>
      </c>
      <c r="K2327">
        <v>1.1104270000000001</v>
      </c>
      <c r="L2327">
        <v>284.62509999999997</v>
      </c>
      <c r="M2327">
        <v>-0.999865</v>
      </c>
      <c r="N2327">
        <v>0</v>
      </c>
      <c r="O2327">
        <v>7.6979550000000002E-3</v>
      </c>
      <c r="P2327">
        <v>-0.98384329999999998</v>
      </c>
      <c r="Q2327">
        <v>0.175336299999999</v>
      </c>
      <c r="R2327">
        <v>-3.6191309999999997E-2</v>
      </c>
      <c r="S2327">
        <v>-3.067688</v>
      </c>
      <c r="T2327">
        <v>-0.14493159999999999</v>
      </c>
      <c r="U2327">
        <v>-0.20458979999999999</v>
      </c>
      <c r="V2327">
        <v>-4.3757219999999999E-2</v>
      </c>
      <c r="W2327">
        <v>0.18959390000000001</v>
      </c>
      <c r="X2327">
        <v>0.98088710000000001</v>
      </c>
      <c r="Y2327">
        <v>-7.4132890000000007E-2</v>
      </c>
      <c r="Z2327">
        <v>-2.1114129999999999E-3</v>
      </c>
      <c r="AA2327">
        <v>0.99724610000000002</v>
      </c>
      <c r="AB2327">
        <v>33</v>
      </c>
      <c r="AC2327">
        <v>-23.183</v>
      </c>
      <c r="AD2327">
        <v>-1.110424185249</v>
      </c>
      <c r="AE2327">
        <v>-1.5699999999999901</v>
      </c>
      <c r="AF2327">
        <v>-1.7444500552542099</v>
      </c>
      <c r="AG2327">
        <v>-1.110424185249</v>
      </c>
      <c r="AH2327">
        <v>23.117431119031199</v>
      </c>
      <c r="AI2327">
        <v>92.742250939874907</v>
      </c>
      <c r="AJ2327">
        <v>94.315382510880198</v>
      </c>
      <c r="AK2327">
        <v>23.209734367493599</v>
      </c>
      <c r="AL2327">
        <v>79.070914622074994</v>
      </c>
      <c r="AM2327">
        <v>92.554262294424603</v>
      </c>
      <c r="AN2327">
        <v>1.00000002208287</v>
      </c>
    </row>
    <row r="2328" spans="1:40" x14ac:dyDescent="0.25">
      <c r="A2328" t="str">
        <f>"20190312172415323"</f>
        <v>20190312172415323</v>
      </c>
      <c r="B2328" t="str">
        <f>"1552382655312689"</f>
        <v>1552382655312689</v>
      </c>
      <c r="C2328" t="s">
        <v>40</v>
      </c>
      <c r="D2328">
        <v>3.5747070000000001</v>
      </c>
      <c r="E2328">
        <v>0.48821389999999998</v>
      </c>
      <c r="F2328" t="s">
        <v>47</v>
      </c>
      <c r="G2328">
        <v>-448.44060000000002</v>
      </c>
      <c r="H2328" s="1">
        <v>3.0241340000000001E-6</v>
      </c>
      <c r="I2328">
        <v>283.03230000000002</v>
      </c>
      <c r="J2328">
        <v>-425.19880000000001</v>
      </c>
      <c r="K2328">
        <v>1.110422</v>
      </c>
      <c r="L2328">
        <v>284.62759999999997</v>
      </c>
      <c r="M2328">
        <v>-0.99986520000000001</v>
      </c>
      <c r="N2328">
        <v>0</v>
      </c>
      <c r="O2328">
        <v>7.6978019999999897E-3</v>
      </c>
      <c r="P2328">
        <v>-0.98373739999999998</v>
      </c>
      <c r="Q2328">
        <v>0.17556529999999901</v>
      </c>
      <c r="R2328">
        <v>-3.7917319999999997E-2</v>
      </c>
      <c r="S2328">
        <v>-3.0674130000000002</v>
      </c>
      <c r="T2328">
        <v>-0.144483</v>
      </c>
      <c r="U2328">
        <v>-0.20724490000000001</v>
      </c>
      <c r="V2328">
        <v>-4.5482450000000001E-2</v>
      </c>
      <c r="W2328">
        <v>0.18981770000000001</v>
      </c>
      <c r="X2328">
        <v>0.98076529999999995</v>
      </c>
      <c r="Y2328">
        <v>-7.4997540000000001E-2</v>
      </c>
      <c r="Z2328">
        <v>-2.125334E-3</v>
      </c>
      <c r="AA2328">
        <v>0.99718150000000005</v>
      </c>
      <c r="AB2328">
        <v>33</v>
      </c>
      <c r="AC2328">
        <v>-23.241800000000001</v>
      </c>
      <c r="AD2328">
        <v>-1.1104189758659999</v>
      </c>
      <c r="AE2328">
        <v>-1.59529999999995</v>
      </c>
      <c r="AF2328">
        <v>-1.7701606535866701</v>
      </c>
      <c r="AG2328">
        <v>-1.1104189758659999</v>
      </c>
      <c r="AH2328">
        <v>23.176175237458398</v>
      </c>
      <c r="AI2328">
        <v>92.735108711315206</v>
      </c>
      <c r="AJ2328">
        <v>94.367683566588795</v>
      </c>
      <c r="AK2328">
        <v>23.270186885344302</v>
      </c>
      <c r="AL2328">
        <v>79.057854349781906</v>
      </c>
      <c r="AM2328">
        <v>92.6551578878736</v>
      </c>
      <c r="AN2328">
        <v>0.99999999308769105</v>
      </c>
    </row>
    <row r="2329" spans="1:40" x14ac:dyDescent="0.25">
      <c r="A2329" t="str">
        <f>"20190312172415345"</f>
        <v>20190312172415345</v>
      </c>
      <c r="B2329" t="str">
        <f>"1552382655341971"</f>
        <v>1552382655341971</v>
      </c>
      <c r="C2329" t="s">
        <v>40</v>
      </c>
      <c r="D2329">
        <v>3.5847099999999998</v>
      </c>
      <c r="E2329">
        <v>0.48855310000000002</v>
      </c>
      <c r="F2329" t="s">
        <v>47</v>
      </c>
      <c r="G2329">
        <v>-448.96820000000002</v>
      </c>
      <c r="H2329" s="1">
        <v>3.3068039999999999E-6</v>
      </c>
      <c r="I2329">
        <v>282.98829999999998</v>
      </c>
      <c r="J2329">
        <v>-425.53449999999998</v>
      </c>
      <c r="K2329">
        <v>1.1104270000000001</v>
      </c>
      <c r="L2329">
        <v>284.6302</v>
      </c>
      <c r="M2329">
        <v>-0.99986520000000001</v>
      </c>
      <c r="N2329">
        <v>0</v>
      </c>
      <c r="O2329">
        <v>7.6978289999999998E-3</v>
      </c>
      <c r="P2329">
        <v>-0.98367130000000003</v>
      </c>
      <c r="Q2329">
        <v>0.175645</v>
      </c>
      <c r="R2329">
        <v>-3.9242010000000001E-2</v>
      </c>
      <c r="S2329">
        <v>-3.0670470000000001</v>
      </c>
      <c r="T2329">
        <v>-0.14328109999999999</v>
      </c>
      <c r="U2329">
        <v>-0.21151729999999999</v>
      </c>
      <c r="V2329">
        <v>-4.6807069999999999E-2</v>
      </c>
      <c r="W2329">
        <v>0.18989259999999999</v>
      </c>
      <c r="X2329">
        <v>0.98068849999999996</v>
      </c>
      <c r="Y2329">
        <v>-7.6388139999999993E-2</v>
      </c>
      <c r="Z2329">
        <v>-2.1402529999999999E-3</v>
      </c>
      <c r="AA2329">
        <v>0.99707590000000001</v>
      </c>
      <c r="AB2329">
        <v>33</v>
      </c>
      <c r="AC2329">
        <v>-23.433700000000002</v>
      </c>
      <c r="AD2329">
        <v>-1.1104236931960001</v>
      </c>
      <c r="AE2329">
        <v>-1.6419000000000199</v>
      </c>
      <c r="AF2329">
        <v>-1.8181962787211401</v>
      </c>
      <c r="AG2329">
        <v>-1.1104236931960001</v>
      </c>
      <c r="AH2329">
        <v>23.368150396411099</v>
      </c>
      <c r="AI2329">
        <v>92.712387884274307</v>
      </c>
      <c r="AJ2329">
        <v>94.449026181774499</v>
      </c>
      <c r="AK2329">
        <v>23.4650661928675</v>
      </c>
      <c r="AL2329">
        <v>79.0534836700444</v>
      </c>
      <c r="AM2329">
        <v>92.732584191732698</v>
      </c>
      <c r="AN2329">
        <v>1.0000000176844901</v>
      </c>
    </row>
    <row r="2330" spans="1:40" x14ac:dyDescent="0.25">
      <c r="A2330" t="str">
        <f>"20190312172415368"</f>
        <v>20190312172415368</v>
      </c>
      <c r="B2330" t="str">
        <f>"1552382655362465"</f>
        <v>1552382655362465</v>
      </c>
      <c r="C2330" t="s">
        <v>40</v>
      </c>
      <c r="D2330">
        <v>3.5819709999999998</v>
      </c>
      <c r="E2330">
        <v>0.48880970000000001</v>
      </c>
      <c r="F2330" t="s">
        <v>47</v>
      </c>
      <c r="G2330">
        <v>-449.38240000000002</v>
      </c>
      <c r="H2330" s="1">
        <v>3.5277729999999998E-6</v>
      </c>
      <c r="I2330">
        <v>282.97489999999999</v>
      </c>
      <c r="J2330">
        <v>-425.86739999999998</v>
      </c>
      <c r="K2330">
        <v>1.1104270000000001</v>
      </c>
      <c r="L2330">
        <v>284.6327</v>
      </c>
      <c r="M2330">
        <v>-0.99986540000000002</v>
      </c>
      <c r="N2330">
        <v>0</v>
      </c>
      <c r="O2330">
        <v>7.6977349999999998E-3</v>
      </c>
      <c r="P2330">
        <v>-0.98354909999999995</v>
      </c>
      <c r="Q2330">
        <v>0.17598929999999999</v>
      </c>
      <c r="R2330">
        <v>-4.0730170000000003E-2</v>
      </c>
      <c r="S2330">
        <v>-3.0668030000000002</v>
      </c>
      <c r="T2330">
        <v>-0.14279900000000001</v>
      </c>
      <c r="U2330">
        <v>-0.2128601</v>
      </c>
      <c r="V2330">
        <v>-4.8294139999999999E-2</v>
      </c>
      <c r="W2330">
        <v>0.19023109999999999</v>
      </c>
      <c r="X2330">
        <v>0.98055079999999994</v>
      </c>
      <c r="Y2330">
        <v>-7.6828099999999996E-2</v>
      </c>
      <c r="Z2330">
        <v>-2.1434169999999999E-3</v>
      </c>
      <c r="AA2330">
        <v>0.99704210000000004</v>
      </c>
      <c r="AB2330">
        <v>33</v>
      </c>
      <c r="AC2330">
        <v>-23.515000000000001</v>
      </c>
      <c r="AD2330">
        <v>-1.1104234722270001</v>
      </c>
      <c r="AE2330">
        <v>-1.6577999999999999</v>
      </c>
      <c r="AF2330">
        <v>-1.8347111069781601</v>
      </c>
      <c r="AG2330">
        <v>-1.1104234722270001</v>
      </c>
      <c r="AH2330">
        <v>23.449508824568799</v>
      </c>
      <c r="AI2330">
        <v>92.702899750607699</v>
      </c>
      <c r="AJ2330">
        <v>94.473760346874897</v>
      </c>
      <c r="AK2330">
        <v>23.5473707501978</v>
      </c>
      <c r="AL2330">
        <v>79.033729136641995</v>
      </c>
      <c r="AM2330">
        <v>92.819656302982395</v>
      </c>
      <c r="AN2330">
        <v>1.0000000333730901</v>
      </c>
    </row>
    <row r="2331" spans="1:40" x14ac:dyDescent="0.25">
      <c r="A2331" t="str">
        <f>"20190312172415390"</f>
        <v>20190312172415390</v>
      </c>
      <c r="B2331" t="str">
        <f>"1552382655382325"</f>
        <v>1552382655382325</v>
      </c>
      <c r="C2331" t="s">
        <v>40</v>
      </c>
      <c r="D2331">
        <v>3.5992229999999998</v>
      </c>
      <c r="E2331">
        <v>0.48908659999999998</v>
      </c>
      <c r="F2331" t="s">
        <v>47</v>
      </c>
      <c r="G2331">
        <v>-449.84780000000001</v>
      </c>
      <c r="H2331" s="1">
        <v>3.776584E-6</v>
      </c>
      <c r="I2331">
        <v>282.95</v>
      </c>
      <c r="J2331">
        <v>-426.19240000000002</v>
      </c>
      <c r="K2331">
        <v>1.1104320000000001</v>
      </c>
      <c r="L2331">
        <v>284.6352</v>
      </c>
      <c r="M2331">
        <v>-0.99986529999999996</v>
      </c>
      <c r="N2331">
        <v>0</v>
      </c>
      <c r="O2331">
        <v>7.697761E-3</v>
      </c>
      <c r="P2331">
        <v>-0.98344209999999999</v>
      </c>
      <c r="Q2331">
        <v>0.17650260000000001</v>
      </c>
      <c r="R2331">
        <v>-4.1095439999999997E-2</v>
      </c>
      <c r="S2331">
        <v>-3.0666500000000001</v>
      </c>
      <c r="T2331">
        <v>-0.1420025</v>
      </c>
      <c r="U2331">
        <v>-0.21517939999999999</v>
      </c>
      <c r="V2331">
        <v>-4.8658149999999997E-2</v>
      </c>
      <c r="W2331">
        <v>0.1907394</v>
      </c>
      <c r="X2331">
        <v>0.98043400000000003</v>
      </c>
      <c r="Y2331">
        <v>-7.7582170000000006E-2</v>
      </c>
      <c r="Z2331">
        <v>-2.1489529999999999E-3</v>
      </c>
      <c r="AA2331">
        <v>0.99698359999999997</v>
      </c>
      <c r="AB2331">
        <v>33</v>
      </c>
      <c r="AC2331">
        <v>-23.655399999999901</v>
      </c>
      <c r="AD2331">
        <v>-1.1104282234159999</v>
      </c>
      <c r="AE2331">
        <v>-1.6852</v>
      </c>
      <c r="AF2331">
        <v>-1.8631779589034301</v>
      </c>
      <c r="AG2331">
        <v>-1.1104282234159999</v>
      </c>
      <c r="AH2331">
        <v>23.5900063762857</v>
      </c>
      <c r="AI2331">
        <v>92.686681673964003</v>
      </c>
      <c r="AJ2331">
        <v>94.515941277058104</v>
      </c>
      <c r="AK2331">
        <v>23.689509994491299</v>
      </c>
      <c r="AL2331">
        <v>79.004061918562996</v>
      </c>
      <c r="AM2331">
        <v>92.841212245115898</v>
      </c>
      <c r="AN2331">
        <v>0.99999998131489098</v>
      </c>
    </row>
    <row r="2332" spans="1:40" x14ac:dyDescent="0.25">
      <c r="A2332" t="str">
        <f>"20190312172415411"</f>
        <v>20190312172415411</v>
      </c>
      <c r="B2332" t="str">
        <f>"1552382655402817"</f>
        <v>1552382655402817</v>
      </c>
      <c r="C2332" t="s">
        <v>40</v>
      </c>
      <c r="D2332">
        <v>3.5479240000000001</v>
      </c>
      <c r="E2332">
        <v>0.48936360000000001</v>
      </c>
      <c r="F2332" t="s">
        <v>47</v>
      </c>
      <c r="G2332">
        <v>-450.51060000000001</v>
      </c>
      <c r="H2332" s="1">
        <v>-1.191739E-6</v>
      </c>
      <c r="I2332">
        <v>282.9384</v>
      </c>
      <c r="J2332">
        <v>-426.51170000000002</v>
      </c>
      <c r="K2332">
        <v>1.110433</v>
      </c>
      <c r="L2332">
        <v>284.63760000000002</v>
      </c>
      <c r="M2332">
        <v>-0.99986540000000002</v>
      </c>
      <c r="N2332">
        <v>0</v>
      </c>
      <c r="O2332">
        <v>7.6977850000000004E-3</v>
      </c>
      <c r="P2332">
        <v>-0.98340240000000001</v>
      </c>
      <c r="Q2332">
        <v>0.1766547</v>
      </c>
      <c r="R2332">
        <v>-4.1389019999999999E-2</v>
      </c>
      <c r="S2332">
        <v>-3.0667719999999998</v>
      </c>
      <c r="T2332">
        <v>-0.140037299999999</v>
      </c>
      <c r="U2332">
        <v>-0.21398929999999999</v>
      </c>
      <c r="V2332">
        <v>-4.895124E-2</v>
      </c>
      <c r="W2332">
        <v>0.19088740000000001</v>
      </c>
      <c r="X2332">
        <v>0.9803906</v>
      </c>
      <c r="Y2332">
        <v>-7.7197279999999993E-2</v>
      </c>
      <c r="Z2332">
        <v>-2.1104180000000002E-3</v>
      </c>
      <c r="AA2332">
        <v>0.99701360000000006</v>
      </c>
      <c r="AB2332">
        <v>33</v>
      </c>
      <c r="AC2332">
        <v>-23.9988999999999</v>
      </c>
      <c r="AD2332">
        <v>-1.1104341917389999</v>
      </c>
      <c r="AE2332">
        <v>-1.69920000000001</v>
      </c>
      <c r="AF2332">
        <v>-1.8799027419443799</v>
      </c>
      <c r="AG2332">
        <v>-1.1104341917389999</v>
      </c>
      <c r="AH2332">
        <v>23.9341216098729</v>
      </c>
      <c r="AI2332">
        <v>92.648213650558006</v>
      </c>
      <c r="AJ2332">
        <v>94.491069765254693</v>
      </c>
      <c r="AK2332">
        <v>24.033503191368901</v>
      </c>
      <c r="AL2332">
        <v>78.995423362588596</v>
      </c>
      <c r="AM2332">
        <v>92.858424175183998</v>
      </c>
      <c r="AN2332">
        <v>0.99999997597232804</v>
      </c>
    </row>
    <row r="2333" spans="1:40" x14ac:dyDescent="0.25">
      <c r="A2333" t="str">
        <f>"20190312172415434"</f>
        <v>20190312172415434</v>
      </c>
      <c r="B2333" t="str">
        <f>"1552382655422337"</f>
        <v>1552382655422337</v>
      </c>
      <c r="C2333" t="s">
        <v>40</v>
      </c>
      <c r="D2333">
        <v>3.5677439999999998</v>
      </c>
      <c r="E2333">
        <v>0.48962559999999999</v>
      </c>
      <c r="F2333" t="s">
        <v>47</v>
      </c>
      <c r="G2333">
        <v>-450.91329999999999</v>
      </c>
      <c r="H2333" s="1">
        <v>-9.7787389999999997E-7</v>
      </c>
      <c r="I2333">
        <v>282.94810000000001</v>
      </c>
      <c r="J2333">
        <v>-426.83800000000002</v>
      </c>
      <c r="K2333">
        <v>1.1104369999999999</v>
      </c>
      <c r="L2333">
        <v>284.64019999999999</v>
      </c>
      <c r="M2333">
        <v>-0.99986540000000002</v>
      </c>
      <c r="N2333">
        <v>0</v>
      </c>
      <c r="O2333">
        <v>7.6978100000000002E-3</v>
      </c>
      <c r="P2333">
        <v>-0.98343119999999995</v>
      </c>
      <c r="Q2333">
        <v>0.1765292</v>
      </c>
      <c r="R2333">
        <v>-4.1241760000000002E-2</v>
      </c>
      <c r="S2333">
        <v>-3.0668030000000002</v>
      </c>
      <c r="T2333">
        <v>-0.13955989999999999</v>
      </c>
      <c r="U2333">
        <v>-0.21234130000000001</v>
      </c>
      <c r="V2333">
        <v>-4.880429E-2</v>
      </c>
      <c r="W2333">
        <v>0.1907596</v>
      </c>
      <c r="X2333">
        <v>0.98042289999999999</v>
      </c>
      <c r="Y2333">
        <v>-7.6664570000000001E-2</v>
      </c>
      <c r="Z2333">
        <v>-2.091149E-3</v>
      </c>
      <c r="AA2333">
        <v>0.99705480000000002</v>
      </c>
      <c r="AB2333">
        <v>33</v>
      </c>
      <c r="AC2333">
        <v>-24.075299999999899</v>
      </c>
      <c r="AD2333">
        <v>-1.1104379778739</v>
      </c>
      <c r="AE2333">
        <v>-1.69209999999998</v>
      </c>
      <c r="AF2333">
        <v>-1.8734304866203899</v>
      </c>
      <c r="AG2333">
        <v>-1.1104379778739</v>
      </c>
      <c r="AH2333">
        <v>24.010730822314699</v>
      </c>
      <c r="AI2333">
        <v>92.639891846423893</v>
      </c>
      <c r="AJ2333">
        <v>94.461448102995803</v>
      </c>
      <c r="AK2333">
        <v>24.1092929990192</v>
      </c>
      <c r="AL2333">
        <v>79.002883919402095</v>
      </c>
      <c r="AM2333">
        <v>92.849763713899705</v>
      </c>
      <c r="AN2333">
        <v>1.00000007327948</v>
      </c>
    </row>
    <row r="2334" spans="1:40" x14ac:dyDescent="0.25">
      <c r="A2334" t="str">
        <f>"20190312172415457"</f>
        <v>20190312172415457</v>
      </c>
      <c r="B2334" t="str">
        <f>"1552382655452596"</f>
        <v>1552382655452596</v>
      </c>
      <c r="C2334" t="s">
        <v>40</v>
      </c>
      <c r="D2334">
        <v>3.5937000000000001</v>
      </c>
      <c r="E2334">
        <v>0.48994130000000002</v>
      </c>
      <c r="F2334" t="s">
        <v>47</v>
      </c>
      <c r="G2334">
        <v>-451.14460000000003</v>
      </c>
      <c r="H2334" s="1">
        <v>-8.5611540000000001E-7</v>
      </c>
      <c r="I2334">
        <v>282.97899999999998</v>
      </c>
      <c r="J2334">
        <v>-427.17070000000001</v>
      </c>
      <c r="K2334">
        <v>1.11043799999999</v>
      </c>
      <c r="L2334">
        <v>284.64269999999999</v>
      </c>
      <c r="M2334">
        <v>-0.99986549999999996</v>
      </c>
      <c r="N2334">
        <v>0</v>
      </c>
      <c r="O2334">
        <v>7.6976569999999897E-3</v>
      </c>
      <c r="P2334">
        <v>-0.98344529999999997</v>
      </c>
      <c r="Q2334">
        <v>0.17647959999999999</v>
      </c>
      <c r="R2334">
        <v>-4.1117880000000002E-2</v>
      </c>
      <c r="S2334">
        <v>-3.0669249999999999</v>
      </c>
      <c r="T2334">
        <v>-0.14011129999999999</v>
      </c>
      <c r="U2334">
        <v>-0.20959469999999999</v>
      </c>
      <c r="V2334">
        <v>-4.8680439999999998E-2</v>
      </c>
      <c r="W2334">
        <v>0.19070670000000001</v>
      </c>
      <c r="X2334">
        <v>0.98043930000000001</v>
      </c>
      <c r="Y2334">
        <v>-7.5773190000000004E-2</v>
      </c>
      <c r="Z2334">
        <v>-2.0790510000000002E-3</v>
      </c>
      <c r="AA2334">
        <v>0.99712290000000003</v>
      </c>
      <c r="AB2334">
        <v>33</v>
      </c>
      <c r="AC2334">
        <v>-23.9739</v>
      </c>
      <c r="AD2334">
        <v>-1.1104388561153899</v>
      </c>
      <c r="AE2334">
        <v>-1.66369999999994</v>
      </c>
      <c r="AF2334">
        <v>-1.8442751353006399</v>
      </c>
      <c r="AG2334">
        <v>-1.1104388561153899</v>
      </c>
      <c r="AH2334">
        <v>23.9093319675946</v>
      </c>
      <c r="AI2334">
        <v>92.651255109334798</v>
      </c>
      <c r="AJ2334">
        <v>94.410844672569695</v>
      </c>
      <c r="AK2334">
        <v>24.006052994286701</v>
      </c>
      <c r="AL2334">
        <v>79.005971020620706</v>
      </c>
      <c r="AM2334">
        <v>92.842496312243895</v>
      </c>
      <c r="AN2334">
        <v>1.0000000258239801</v>
      </c>
    </row>
    <row r="2335" spans="1:40" x14ac:dyDescent="0.25">
      <c r="A2335" t="str">
        <f>"20190312172415479"</f>
        <v>20190312172415479</v>
      </c>
      <c r="B2335" t="str">
        <f>"1552382655472113"</f>
        <v>1552382655472113</v>
      </c>
      <c r="C2335" t="s">
        <v>40</v>
      </c>
      <c r="D2335">
        <v>3.59152</v>
      </c>
      <c r="E2335">
        <v>0.49016340000000003</v>
      </c>
      <c r="F2335" t="s">
        <v>47</v>
      </c>
      <c r="G2335">
        <v>-451.3526</v>
      </c>
      <c r="H2335" s="1">
        <v>-7.4698740000000004E-7</v>
      </c>
      <c r="I2335">
        <v>283.01499999999999</v>
      </c>
      <c r="J2335">
        <v>-427.49740000000003</v>
      </c>
      <c r="K2335">
        <v>1.11043799999999</v>
      </c>
      <c r="L2335">
        <v>284.64519999999999</v>
      </c>
      <c r="M2335">
        <v>-0.99986549999999996</v>
      </c>
      <c r="N2335">
        <v>0</v>
      </c>
      <c r="O2335">
        <v>7.6976800000000001E-3</v>
      </c>
      <c r="P2335">
        <v>-0.9835218</v>
      </c>
      <c r="Q2335">
        <v>0.17630009999999999</v>
      </c>
      <c r="R2335">
        <v>-4.0038909999999997E-2</v>
      </c>
      <c r="S2335">
        <v>-3.0672000000000001</v>
      </c>
      <c r="T2335">
        <v>-0.14084639999999901</v>
      </c>
      <c r="U2335">
        <v>-0.20645140000000001</v>
      </c>
      <c r="V2335">
        <v>-4.7602169999999999E-2</v>
      </c>
      <c r="W2335">
        <v>0.190525</v>
      </c>
      <c r="X2335">
        <v>0.9805275</v>
      </c>
      <c r="Y2335">
        <v>-7.4750079999999997E-2</v>
      </c>
      <c r="Z2335">
        <v>-2.0663809999999999E-3</v>
      </c>
      <c r="AA2335">
        <v>0.99720010000000003</v>
      </c>
      <c r="AB2335">
        <v>33</v>
      </c>
      <c r="AC2335">
        <v>-23.8551999999999</v>
      </c>
      <c r="AD2335">
        <v>-1.11043874698739</v>
      </c>
      <c r="AE2335">
        <v>-1.6302000000000001</v>
      </c>
      <c r="AF2335">
        <v>-1.80989715168332</v>
      </c>
      <c r="AG2335">
        <v>-1.11043874698739</v>
      </c>
      <c r="AH2335">
        <v>23.790632576147399</v>
      </c>
      <c r="AI2335">
        <v>92.664678657666599</v>
      </c>
      <c r="AJ2335">
        <v>94.350456167253896</v>
      </c>
      <c r="AK2335">
        <v>23.8852046313974</v>
      </c>
      <c r="AL2335">
        <v>79.016575381582001</v>
      </c>
      <c r="AM2335">
        <v>92.779385339147495</v>
      </c>
      <c r="AN2335">
        <v>0.99999996023497795</v>
      </c>
    </row>
    <row r="2336" spans="1:40" x14ac:dyDescent="0.25">
      <c r="A2336" t="str">
        <f>"20190312172415501"</f>
        <v>20190312172415501</v>
      </c>
      <c r="B2336" t="str">
        <f>"1552382655492051"</f>
        <v>1552382655492051</v>
      </c>
      <c r="C2336" t="s">
        <v>40</v>
      </c>
      <c r="D2336">
        <v>3.6017600000000001</v>
      </c>
      <c r="E2336">
        <v>0.49040830000000002</v>
      </c>
      <c r="F2336" t="s">
        <v>47</v>
      </c>
      <c r="G2336">
        <v>-451.48779999999999</v>
      </c>
      <c r="H2336" s="1">
        <v>-6.7744299999999999E-7</v>
      </c>
      <c r="I2336">
        <v>283.06900000000002</v>
      </c>
      <c r="J2336">
        <v>-427.82429999999999</v>
      </c>
      <c r="K2336">
        <v>1.110433</v>
      </c>
      <c r="L2336">
        <v>284.64780000000002</v>
      </c>
      <c r="M2336">
        <v>-0.99986560000000002</v>
      </c>
      <c r="N2336">
        <v>0</v>
      </c>
      <c r="O2336">
        <v>7.6975250000000002E-3</v>
      </c>
      <c r="P2336">
        <v>-0.98355159999999997</v>
      </c>
      <c r="Q2336">
        <v>0.1762725</v>
      </c>
      <c r="R2336">
        <v>-3.9426139999999998E-2</v>
      </c>
      <c r="S2336">
        <v>-3.0674739999999998</v>
      </c>
      <c r="T2336">
        <v>-0.141984</v>
      </c>
      <c r="U2336">
        <v>-0.2015381</v>
      </c>
      <c r="V2336">
        <v>-4.6989490000000002E-2</v>
      </c>
      <c r="W2336">
        <v>0.1904941</v>
      </c>
      <c r="X2336">
        <v>0.98056310000000002</v>
      </c>
      <c r="Y2336">
        <v>-7.3153930000000006E-2</v>
      </c>
      <c r="Z2336">
        <v>-2.0460890000000001E-3</v>
      </c>
      <c r="AA2336">
        <v>0.99731860000000006</v>
      </c>
      <c r="AB2336">
        <v>33</v>
      </c>
      <c r="AC2336">
        <v>-23.663499999999999</v>
      </c>
      <c r="AD2336">
        <v>-1.1104336774429999</v>
      </c>
      <c r="AE2336">
        <v>-1.5788</v>
      </c>
      <c r="AF2336">
        <v>-1.7570706732365799</v>
      </c>
      <c r="AG2336">
        <v>-1.1104336774429999</v>
      </c>
      <c r="AH2336">
        <v>23.598908968347899</v>
      </c>
      <c r="AI2336">
        <v>92.686608691577803</v>
      </c>
      <c r="AJ2336">
        <v>94.258134110959006</v>
      </c>
      <c r="AK2336">
        <v>23.690269411704001</v>
      </c>
      <c r="AL2336">
        <v>79.018379334345695</v>
      </c>
      <c r="AM2336">
        <v>92.743567868778001</v>
      </c>
      <c r="AN2336">
        <v>1.00000000369344</v>
      </c>
    </row>
    <row r="2337" spans="1:40" x14ac:dyDescent="0.25">
      <c r="A2337" t="str">
        <f>"20190312172415514"</f>
        <v>20190312172415514</v>
      </c>
      <c r="B2337" t="str">
        <f>"1552382655512548"</f>
        <v>1552382655512548</v>
      </c>
      <c r="C2337" t="s">
        <v>40</v>
      </c>
      <c r="D2337">
        <v>3.6849159999999999</v>
      </c>
      <c r="E2337">
        <v>0.51377299999999904</v>
      </c>
      <c r="F2337" t="s">
        <v>47</v>
      </c>
      <c r="G2337">
        <v>-451.7106</v>
      </c>
      <c r="H2337" s="1">
        <v>-5.6066849999999996E-7</v>
      </c>
      <c r="I2337">
        <v>283.10989999999998</v>
      </c>
      <c r="J2337">
        <v>-428.02359999999999</v>
      </c>
      <c r="K2337">
        <v>1.110433</v>
      </c>
      <c r="L2337">
        <v>284.64929999999998</v>
      </c>
      <c r="M2337">
        <v>-0.99986569999999997</v>
      </c>
      <c r="N2337">
        <v>0</v>
      </c>
      <c r="O2337">
        <v>7.6975400000000001E-3</v>
      </c>
      <c r="P2337">
        <v>-0.98360550000000002</v>
      </c>
      <c r="Q2337">
        <v>0.17604589999999901</v>
      </c>
      <c r="R2337">
        <v>-3.9094400000000001E-2</v>
      </c>
      <c r="S2337">
        <v>-3.0678100000000001</v>
      </c>
      <c r="T2337">
        <v>-0.142617299999999</v>
      </c>
      <c r="U2337">
        <v>-0.19750980000000001</v>
      </c>
      <c r="V2337">
        <v>-4.6658199999999997E-2</v>
      </c>
      <c r="W2337">
        <v>0.19026660000000001</v>
      </c>
      <c r="X2337">
        <v>0.98062309999999997</v>
      </c>
      <c r="Y2337">
        <v>-7.1843309999999994E-2</v>
      </c>
      <c r="Z2337">
        <v>-2.024653E-3</v>
      </c>
      <c r="AA2337">
        <v>0.99741389999999996</v>
      </c>
      <c r="AB2337">
        <v>33</v>
      </c>
      <c r="AC2337">
        <v>-23.687000000000001</v>
      </c>
      <c r="AD2337">
        <v>-1.1104335606685001</v>
      </c>
      <c r="AE2337">
        <v>-1.5394000000000001</v>
      </c>
      <c r="AF2337">
        <v>-1.7179454797723801</v>
      </c>
      <c r="AG2337">
        <v>-1.1104335606685001</v>
      </c>
      <c r="AH2337">
        <v>23.6227502885753</v>
      </c>
      <c r="AI2337">
        <v>92.684240556117004</v>
      </c>
      <c r="AJ2337">
        <v>94.159466835697202</v>
      </c>
      <c r="AK2337">
        <v>23.711152029383001</v>
      </c>
      <c r="AL2337">
        <v>79.031657097526207</v>
      </c>
      <c r="AM2337">
        <v>92.724087701245907</v>
      </c>
      <c r="AN2337">
        <v>1.0000000154782001</v>
      </c>
    </row>
    <row r="2338" spans="1:40" x14ac:dyDescent="0.25">
      <c r="A2338" t="str">
        <f>"20190312172415534"</f>
        <v>20190312172415534</v>
      </c>
      <c r="B2338" t="str">
        <f>"1552382655522307"</f>
        <v>1552382655522307</v>
      </c>
      <c r="C2338" t="s">
        <v>40</v>
      </c>
      <c r="D2338">
        <v>3.6949230000000002</v>
      </c>
      <c r="E2338">
        <v>0.52394149999999995</v>
      </c>
      <c r="F2338" t="s">
        <v>47</v>
      </c>
      <c r="G2338">
        <v>-452.18759999999997</v>
      </c>
      <c r="H2338" s="1">
        <v>-3.705905E-7</v>
      </c>
      <c r="I2338">
        <v>284.56920000000002</v>
      </c>
      <c r="J2338">
        <v>-428.3073</v>
      </c>
      <c r="K2338">
        <v>1.110433</v>
      </c>
      <c r="L2338">
        <v>284.6515</v>
      </c>
      <c r="M2338">
        <v>-0.99986560000000002</v>
      </c>
      <c r="N2338">
        <v>0</v>
      </c>
      <c r="O2338">
        <v>7.6977399999999998E-3</v>
      </c>
      <c r="P2338">
        <v>-0.98361710000000002</v>
      </c>
      <c r="Q2338">
        <v>0.17612149999999999</v>
      </c>
      <c r="R2338">
        <v>-3.8454929999999998E-2</v>
      </c>
      <c r="S2338">
        <v>-3.0748600000000001</v>
      </c>
      <c r="T2338">
        <v>-0.14130219999999999</v>
      </c>
      <c r="U2338">
        <v>-1.019287E-2</v>
      </c>
      <c r="V2338">
        <v>-4.6018799999999999E-2</v>
      </c>
      <c r="W2338">
        <v>0.1903397</v>
      </c>
      <c r="X2338">
        <v>0.98063909999999999</v>
      </c>
      <c r="Y2338">
        <v>-1.0993569999999999E-2</v>
      </c>
      <c r="Z2338">
        <v>-6.0605580000000004E-4</v>
      </c>
      <c r="AA2338">
        <v>0.99993940000000003</v>
      </c>
      <c r="AB2338">
        <v>33</v>
      </c>
      <c r="AC2338">
        <v>-23.880299999999899</v>
      </c>
      <c r="AD2338">
        <v>-1.1104333705904901</v>
      </c>
      <c r="AE2338">
        <v>-8.2299999999975101E-2</v>
      </c>
      <c r="AF2338">
        <v>-0.26556694799323399</v>
      </c>
      <c r="AG2338">
        <v>-1.1104333705904901</v>
      </c>
      <c r="AH2338">
        <v>23.8274385216144</v>
      </c>
      <c r="AI2338">
        <v>92.668067014039295</v>
      </c>
      <c r="AJ2338">
        <v>90.638559419236501</v>
      </c>
      <c r="AK2338">
        <v>23.854777604825902</v>
      </c>
      <c r="AL2338">
        <v>79.0273905049593</v>
      </c>
      <c r="AM2338">
        <v>92.686768344178603</v>
      </c>
      <c r="AN2338">
        <v>0.999999987899169</v>
      </c>
    </row>
    <row r="2339" spans="1:40" x14ac:dyDescent="0.25">
      <c r="A2339" t="str">
        <f>"20190312172415550"</f>
        <v>20190312172415550</v>
      </c>
      <c r="B2339" t="str">
        <f>"1552382655542804"</f>
        <v>1552382655542804</v>
      </c>
      <c r="C2339" t="s">
        <v>40</v>
      </c>
      <c r="D2339">
        <v>3.6743860000000002</v>
      </c>
      <c r="E2339">
        <v>0.53875209999999996</v>
      </c>
      <c r="F2339" t="s">
        <v>47</v>
      </c>
      <c r="G2339">
        <v>-452.3227</v>
      </c>
      <c r="H2339" s="1">
        <v>-3.2721529999999999E-7</v>
      </c>
      <c r="I2339">
        <v>285.221</v>
      </c>
      <c r="J2339">
        <v>-428.53449999999998</v>
      </c>
      <c r="K2339">
        <v>1.1104350000000001</v>
      </c>
      <c r="L2339">
        <v>284.6533</v>
      </c>
      <c r="M2339">
        <v>-0.99986560000000002</v>
      </c>
      <c r="N2339">
        <v>0</v>
      </c>
      <c r="O2339">
        <v>7.69775699999999E-3</v>
      </c>
      <c r="P2339">
        <v>-0.98365150000000001</v>
      </c>
      <c r="Q2339">
        <v>0.17599329999999999</v>
      </c>
      <c r="R2339">
        <v>-3.8161670000000002E-2</v>
      </c>
      <c r="S2339">
        <v>-3.0782470000000002</v>
      </c>
      <c r="T2339">
        <v>-0.1423335</v>
      </c>
      <c r="U2339">
        <v>7.2998049999999995E-2</v>
      </c>
      <c r="V2339">
        <v>-4.5725839999999997E-2</v>
      </c>
      <c r="W2339">
        <v>0.19020999999999999</v>
      </c>
      <c r="X2339">
        <v>0.98067800000000005</v>
      </c>
      <c r="Y2339">
        <v>1.600153E-2</v>
      </c>
      <c r="Z2339" s="1">
        <v>1.3974610000000001E-5</v>
      </c>
      <c r="AA2339">
        <v>0.99987199999999998</v>
      </c>
      <c r="AB2339">
        <v>33</v>
      </c>
      <c r="AC2339">
        <v>-23.7882</v>
      </c>
      <c r="AD2339">
        <v>-1.1104353272153</v>
      </c>
      <c r="AE2339">
        <v>0.56770000000000198</v>
      </c>
      <c r="AF2339">
        <v>0.38371256109565699</v>
      </c>
      <c r="AG2339">
        <v>-1.1104353272153</v>
      </c>
      <c r="AH2339">
        <v>23.740164420700701</v>
      </c>
      <c r="AI2339">
        <v>92.677682724224297</v>
      </c>
      <c r="AJ2339">
        <v>89.074008262017799</v>
      </c>
      <c r="AK2339">
        <v>23.769217670494999</v>
      </c>
      <c r="AL2339">
        <v>79.034960392274996</v>
      </c>
      <c r="AM2339">
        <v>92.669583205654305</v>
      </c>
      <c r="AN2339">
        <v>1.00000001811385</v>
      </c>
    </row>
    <row r="2340" spans="1:40" x14ac:dyDescent="0.25">
      <c r="A2340" t="str">
        <f>"20190312172415569"</f>
        <v>20190312172415569</v>
      </c>
      <c r="B2340" t="str">
        <f>"1552382655562324"</f>
        <v>1552382655562324</v>
      </c>
      <c r="C2340" t="s">
        <v>40</v>
      </c>
      <c r="D2340">
        <v>3.6771219999999998</v>
      </c>
      <c r="E2340">
        <v>0.54521359999999996</v>
      </c>
      <c r="F2340" t="s">
        <v>47</v>
      </c>
      <c r="G2340">
        <v>-454.00439999999998</v>
      </c>
      <c r="H2340" s="1">
        <v>5.2317589999999995E-7</v>
      </c>
      <c r="I2340">
        <v>286.24</v>
      </c>
      <c r="J2340">
        <v>-428.80829999999997</v>
      </c>
      <c r="K2340">
        <v>1.1104369999999999</v>
      </c>
      <c r="L2340">
        <v>284.65539999999999</v>
      </c>
      <c r="M2340">
        <v>-0.99986569999999997</v>
      </c>
      <c r="N2340">
        <v>0</v>
      </c>
      <c r="O2340">
        <v>7.6975990000000003E-3</v>
      </c>
      <c r="P2340">
        <v>-0.98365840000000004</v>
      </c>
      <c r="Q2340">
        <v>0.1760255</v>
      </c>
      <c r="R2340">
        <v>-3.7828779999999999E-2</v>
      </c>
      <c r="S2340">
        <v>-3.081299</v>
      </c>
      <c r="T2340">
        <v>-0.1343385</v>
      </c>
      <c r="U2340">
        <v>0.1919556</v>
      </c>
      <c r="V2340">
        <v>-4.5393559999999999E-2</v>
      </c>
      <c r="W2340">
        <v>0.19023899999999999</v>
      </c>
      <c r="X2340">
        <v>0.9806878</v>
      </c>
      <c r="Y2340">
        <v>5.4446849999999998E-2</v>
      </c>
      <c r="Z2340">
        <v>8.5004769999999996E-4</v>
      </c>
      <c r="AA2340">
        <v>0.99851630000000002</v>
      </c>
      <c r="AB2340">
        <v>33</v>
      </c>
      <c r="AC2340">
        <v>-25.196100000000001</v>
      </c>
      <c r="AD2340">
        <v>-1.1104364768241</v>
      </c>
      <c r="AE2340">
        <v>1.58460000000002</v>
      </c>
      <c r="AF2340">
        <v>1.3878981442399401</v>
      </c>
      <c r="AG2340">
        <v>-1.1104364768241</v>
      </c>
      <c r="AH2340">
        <v>25.158878176395401</v>
      </c>
      <c r="AI2340">
        <v>92.523389764866906</v>
      </c>
      <c r="AJ2340">
        <v>86.842459100532807</v>
      </c>
      <c r="AK2340">
        <v>25.221587609081102</v>
      </c>
      <c r="AL2340">
        <v>79.033267784753903</v>
      </c>
      <c r="AM2340">
        <v>92.650185223075098</v>
      </c>
      <c r="AN2340">
        <v>1.0000000067396499</v>
      </c>
    </row>
    <row r="2341" spans="1:40" x14ac:dyDescent="0.25">
      <c r="A2341" t="str">
        <f>"20190312172415591"</f>
        <v>20190312172415591</v>
      </c>
      <c r="B2341" t="str">
        <f>"1552382655582349"</f>
        <v>1552382655582349</v>
      </c>
      <c r="C2341" t="s">
        <v>40</v>
      </c>
      <c r="D2341">
        <v>3.6748919999999998</v>
      </c>
      <c r="E2341">
        <v>0.54925440000000003</v>
      </c>
      <c r="F2341" t="s">
        <v>47</v>
      </c>
      <c r="G2341">
        <v>-455.19080000000002</v>
      </c>
      <c r="H2341" s="1">
        <v>1.132331E-6</v>
      </c>
      <c r="I2341">
        <v>286.74759999999998</v>
      </c>
      <c r="J2341">
        <v>-429.12920000000003</v>
      </c>
      <c r="K2341">
        <v>1.11043799999999</v>
      </c>
      <c r="L2341">
        <v>284.65780000000001</v>
      </c>
      <c r="M2341">
        <v>-0.99986569999999997</v>
      </c>
      <c r="N2341">
        <v>0</v>
      </c>
      <c r="O2341">
        <v>7.6976249999999996E-3</v>
      </c>
      <c r="P2341">
        <v>-0.98370679999999999</v>
      </c>
      <c r="Q2341">
        <v>0.17589659999999999</v>
      </c>
      <c r="R2341">
        <v>-3.7162489999999999E-2</v>
      </c>
      <c r="S2341">
        <v>-3.0824579999999999</v>
      </c>
      <c r="T2341">
        <v>-0.12974059999999901</v>
      </c>
      <c r="U2341">
        <v>0.24444579999999999</v>
      </c>
      <c r="V2341">
        <v>-4.47274E-2</v>
      </c>
      <c r="W2341">
        <v>0.190108</v>
      </c>
      <c r="X2341">
        <v>0.98074380000000005</v>
      </c>
      <c r="Y2341">
        <v>7.1321380000000004E-2</v>
      </c>
      <c r="Z2341">
        <v>1.174596E-3</v>
      </c>
      <c r="AA2341">
        <v>0.99745269999999997</v>
      </c>
      <c r="AB2341">
        <v>33</v>
      </c>
      <c r="AC2341">
        <v>-26.061599999999999</v>
      </c>
      <c r="AD2341">
        <v>-1.11043686766899</v>
      </c>
      <c r="AE2341">
        <v>2.0897999999999599</v>
      </c>
      <c r="AF2341">
        <v>1.8857031099864801</v>
      </c>
      <c r="AG2341">
        <v>-1.11043686766899</v>
      </c>
      <c r="AH2341">
        <v>26.029961566220301</v>
      </c>
      <c r="AI2341">
        <v>92.436376946446103</v>
      </c>
      <c r="AJ2341">
        <v>85.856527992131404</v>
      </c>
      <c r="AK2341">
        <v>26.121788709715101</v>
      </c>
      <c r="AL2341">
        <v>79.040912941761903</v>
      </c>
      <c r="AM2341">
        <v>92.611198535607102</v>
      </c>
      <c r="AN2341">
        <v>0.99999999660659999</v>
      </c>
    </row>
    <row r="2342" spans="1:40" x14ac:dyDescent="0.25">
      <c r="A2342" t="str">
        <f>"20190312172415612"</f>
        <v>20190312172415612</v>
      </c>
      <c r="B2342" t="str">
        <f>"1552382655602846"</f>
        <v>1552382655602846</v>
      </c>
      <c r="C2342" t="s">
        <v>40</v>
      </c>
      <c r="D2342">
        <v>3.6900919999999999</v>
      </c>
      <c r="E2342">
        <v>0.55187169999999997</v>
      </c>
      <c r="F2342" t="s">
        <v>47</v>
      </c>
      <c r="G2342">
        <v>-455.69200000000001</v>
      </c>
      <c r="H2342" s="1">
        <v>1.385343E-6</v>
      </c>
      <c r="I2342">
        <v>287.06079999999997</v>
      </c>
      <c r="J2342">
        <v>-429.44450000000001</v>
      </c>
      <c r="K2342">
        <v>1.110436</v>
      </c>
      <c r="L2342">
        <v>284.66019999999997</v>
      </c>
      <c r="M2342">
        <v>-0.99986569999999997</v>
      </c>
      <c r="N2342">
        <v>0</v>
      </c>
      <c r="O2342">
        <v>7.6976500000000003E-3</v>
      </c>
      <c r="P2342">
        <v>-0.98375400000000002</v>
      </c>
      <c r="Q2342">
        <v>0.17568979999999901</v>
      </c>
      <c r="R2342">
        <v>-3.6895740000000003E-2</v>
      </c>
      <c r="S2342">
        <v>-3.0832820000000001</v>
      </c>
      <c r="T2342">
        <v>-0.12889429999999999</v>
      </c>
      <c r="U2342">
        <v>0.27893069999999998</v>
      </c>
      <c r="V2342">
        <v>-4.4460800000000002E-2</v>
      </c>
      <c r="W2342">
        <v>0.1898987</v>
      </c>
      <c r="X2342">
        <v>0.98079649999999996</v>
      </c>
      <c r="Y2342">
        <v>8.2363080000000005E-2</v>
      </c>
      <c r="Z2342">
        <v>1.3963070000000001E-3</v>
      </c>
      <c r="AA2342">
        <v>0.99660139999999997</v>
      </c>
      <c r="AB2342">
        <v>33</v>
      </c>
      <c r="AC2342">
        <v>-26.247499999999899</v>
      </c>
      <c r="AD2342">
        <v>-1.1104346146570001</v>
      </c>
      <c r="AE2342">
        <v>2.4005999999999901</v>
      </c>
      <c r="AF2342">
        <v>2.1945683383390202</v>
      </c>
      <c r="AG2342">
        <v>-1.1104346146570001</v>
      </c>
      <c r="AH2342">
        <v>26.2186656187361</v>
      </c>
      <c r="AI2342">
        <v>92.4167477198245</v>
      </c>
      <c r="AJ2342">
        <v>85.215352093442107</v>
      </c>
      <c r="AK2342">
        <v>26.333773410815301</v>
      </c>
      <c r="AL2342">
        <v>79.053127788422898</v>
      </c>
      <c r="AM2342">
        <v>92.595516422205606</v>
      </c>
      <c r="AN2342">
        <v>1.00000002670528</v>
      </c>
    </row>
    <row r="2343" spans="1:40" x14ac:dyDescent="0.25">
      <c r="A2343" t="str">
        <f>"20190312172415636"</f>
        <v>20190312172415636</v>
      </c>
      <c r="B2343" t="str">
        <f>"1552382655632126"</f>
        <v>1552382655632126</v>
      </c>
      <c r="C2343" t="s">
        <v>40</v>
      </c>
      <c r="D2343">
        <v>3.687872</v>
      </c>
      <c r="E2343">
        <v>0.55448909999999996</v>
      </c>
      <c r="F2343" t="s">
        <v>47</v>
      </c>
      <c r="G2343">
        <v>-455.93200000000002</v>
      </c>
      <c r="H2343" s="1">
        <v>1.505276E-6</v>
      </c>
      <c r="I2343">
        <v>287.23970000000003</v>
      </c>
      <c r="J2343">
        <v>-429.77210000000002</v>
      </c>
      <c r="K2343">
        <v>1.110436</v>
      </c>
      <c r="L2343">
        <v>284.6628</v>
      </c>
      <c r="M2343">
        <v>-0.99986580000000003</v>
      </c>
      <c r="N2343">
        <v>0</v>
      </c>
      <c r="O2343">
        <v>7.6974969999999898E-3</v>
      </c>
      <c r="P2343">
        <v>-0.98382709999999995</v>
      </c>
      <c r="Q2343">
        <v>0.17533679999999999</v>
      </c>
      <c r="R2343">
        <v>-3.6621590000000002E-2</v>
      </c>
      <c r="S2343">
        <v>-3.0838930000000002</v>
      </c>
      <c r="T2343">
        <v>-0.12928580000000001</v>
      </c>
      <c r="U2343">
        <v>0.30032350000000002</v>
      </c>
      <c r="V2343">
        <v>-4.4187030000000002E-2</v>
      </c>
      <c r="W2343">
        <v>0.18954289999999999</v>
      </c>
      <c r="X2343">
        <v>0.98087769999999996</v>
      </c>
      <c r="Y2343">
        <v>8.9190199999999997E-2</v>
      </c>
      <c r="Z2343">
        <v>1.542531E-3</v>
      </c>
      <c r="AA2343">
        <v>0.99601340000000005</v>
      </c>
      <c r="AB2343">
        <v>32</v>
      </c>
      <c r="AC2343">
        <v>-26.159899999999901</v>
      </c>
      <c r="AD2343">
        <v>-1.1104344947239999</v>
      </c>
      <c r="AE2343">
        <v>2.5769000000000202</v>
      </c>
      <c r="AF2343">
        <v>2.3712053806033002</v>
      </c>
      <c r="AG2343">
        <v>-1.1104344947239999</v>
      </c>
      <c r="AH2343">
        <v>26.13232907187</v>
      </c>
      <c r="AI2343">
        <v>92.423247925717007</v>
      </c>
      <c r="AJ2343">
        <v>84.815271703299203</v>
      </c>
      <c r="AK2343">
        <v>26.263173883683201</v>
      </c>
      <c r="AL2343">
        <v>79.073890795724196</v>
      </c>
      <c r="AM2343">
        <v>92.579342776268504</v>
      </c>
      <c r="AN2343">
        <v>1.0000000334589501</v>
      </c>
    </row>
    <row r="2344" spans="1:40" x14ac:dyDescent="0.25">
      <c r="A2344" t="str">
        <f>"20190312172415649"</f>
        <v>20190312172415649</v>
      </c>
      <c r="B2344" t="str">
        <f>"1552382655642862"</f>
        <v>1552382655642862</v>
      </c>
      <c r="C2344" t="s">
        <v>40</v>
      </c>
      <c r="D2344">
        <v>3.7052179999999999</v>
      </c>
      <c r="E2344">
        <v>0.55515239999999999</v>
      </c>
      <c r="F2344" t="s">
        <v>47</v>
      </c>
      <c r="G2344">
        <v>-456.08440000000002</v>
      </c>
      <c r="H2344" s="1">
        <v>1.5788889999999999E-6</v>
      </c>
      <c r="I2344">
        <v>287.41050000000001</v>
      </c>
      <c r="J2344">
        <v>-429.97030000000001</v>
      </c>
      <c r="K2344">
        <v>1.1104369999999999</v>
      </c>
      <c r="L2344">
        <v>284.66430000000003</v>
      </c>
      <c r="M2344">
        <v>-0.99986589999999997</v>
      </c>
      <c r="N2344">
        <v>0</v>
      </c>
      <c r="O2344">
        <v>7.6975119999999897E-3</v>
      </c>
      <c r="P2344">
        <v>-0.98385710000000004</v>
      </c>
      <c r="Q2344">
        <v>0.175207</v>
      </c>
      <c r="R2344">
        <v>-3.6442620000000002E-2</v>
      </c>
      <c r="S2344">
        <v>-3.0845030000000002</v>
      </c>
      <c r="T2344">
        <v>-0.1301726</v>
      </c>
      <c r="U2344">
        <v>0.32211299999999998</v>
      </c>
      <c r="V2344">
        <v>-4.400855E-2</v>
      </c>
      <c r="W2344">
        <v>0.18941179999999999</v>
      </c>
      <c r="X2344">
        <v>0.98091099999999998</v>
      </c>
      <c r="Y2344">
        <v>9.612706E-2</v>
      </c>
      <c r="Z2344">
        <v>1.6981639999999901E-3</v>
      </c>
      <c r="AA2344">
        <v>0.99536760000000002</v>
      </c>
      <c r="AB2344">
        <v>32</v>
      </c>
      <c r="AC2344">
        <v>-26.114100000000001</v>
      </c>
      <c r="AD2344">
        <v>-1.1104354211109999</v>
      </c>
      <c r="AE2344">
        <v>2.74619999999998</v>
      </c>
      <c r="AF2344">
        <v>2.5405405689122098</v>
      </c>
      <c r="AG2344">
        <v>-1.1104354211109999</v>
      </c>
      <c r="AH2344">
        <v>26.0878123471153</v>
      </c>
      <c r="AI2344">
        <v>92.425878280551501</v>
      </c>
      <c r="AJ2344">
        <v>84.437835729876596</v>
      </c>
      <c r="AK2344">
        <v>26.2347358718369</v>
      </c>
      <c r="AL2344">
        <v>79.081540329753594</v>
      </c>
      <c r="AM2344">
        <v>92.568851201530507</v>
      </c>
      <c r="AN2344">
        <v>0.99999998618667096</v>
      </c>
    </row>
    <row r="2345" spans="1:40" x14ac:dyDescent="0.25">
      <c r="A2345" t="str">
        <f>"20190312172415662"</f>
        <v>20190312172415662</v>
      </c>
      <c r="B2345" t="str">
        <f>"1552382655652622"</f>
        <v>1552382655652622</v>
      </c>
      <c r="C2345" t="s">
        <v>40</v>
      </c>
      <c r="D2345">
        <v>3.7031700000000001</v>
      </c>
      <c r="E2345">
        <v>0.5557223</v>
      </c>
      <c r="F2345" t="s">
        <v>47</v>
      </c>
      <c r="G2345">
        <v>-456.18900000000002</v>
      </c>
      <c r="H2345" s="1">
        <v>1.632689E-6</v>
      </c>
      <c r="I2345">
        <v>287.45249999999999</v>
      </c>
      <c r="J2345">
        <v>-430.1558</v>
      </c>
      <c r="K2345">
        <v>1.110433</v>
      </c>
      <c r="L2345">
        <v>284.66570000000002</v>
      </c>
      <c r="M2345">
        <v>-0.99986589999999997</v>
      </c>
      <c r="N2345">
        <v>0</v>
      </c>
      <c r="O2345">
        <v>7.6975269999999896E-3</v>
      </c>
      <c r="P2345">
        <v>-0.98392599999999997</v>
      </c>
      <c r="Q2345">
        <v>0.174862299999999</v>
      </c>
      <c r="R2345">
        <v>-3.6240769999999999E-2</v>
      </c>
      <c r="S2345">
        <v>-3.0845950000000002</v>
      </c>
      <c r="T2345">
        <v>-0.13064149999999999</v>
      </c>
      <c r="U2345">
        <v>0.32803339999999998</v>
      </c>
      <c r="V2345">
        <v>-4.380713E-2</v>
      </c>
      <c r="W2345">
        <v>0.18906619999999999</v>
      </c>
      <c r="X2345">
        <v>0.98098669999999999</v>
      </c>
      <c r="Y2345">
        <v>9.8011089999999995E-2</v>
      </c>
      <c r="Z2345">
        <v>1.743821E-3</v>
      </c>
      <c r="AA2345">
        <v>0.99518379999999995</v>
      </c>
      <c r="AB2345">
        <v>32</v>
      </c>
      <c r="AC2345">
        <v>-26.033200000000001</v>
      </c>
      <c r="AD2345">
        <v>-1.110431367311</v>
      </c>
      <c r="AE2345">
        <v>2.7867999999999702</v>
      </c>
      <c r="AF2345">
        <v>2.5816613618161801</v>
      </c>
      <c r="AG2345">
        <v>-1.110431367311</v>
      </c>
      <c r="AH2345">
        <v>26.007101021739501</v>
      </c>
      <c r="AI2345">
        <v>92.432943194904198</v>
      </c>
      <c r="AJ2345">
        <v>84.330960303766503</v>
      </c>
      <c r="AK2345">
        <v>26.1585041002647</v>
      </c>
      <c r="AL2345">
        <v>79.101706268620106</v>
      </c>
      <c r="AM2345">
        <v>92.556912564733693</v>
      </c>
      <c r="AN2345">
        <v>0.99999999909908299</v>
      </c>
    </row>
    <row r="2346" spans="1:40" x14ac:dyDescent="0.25">
      <c r="A2346" t="str">
        <f>"20190312172415679"</f>
        <v>20190312172415679</v>
      </c>
      <c r="B2346" t="str">
        <f>"1552382655672141"</f>
        <v>1552382655672141</v>
      </c>
      <c r="C2346" t="s">
        <v>40</v>
      </c>
      <c r="D2346">
        <v>3.6954889999999998</v>
      </c>
      <c r="E2346">
        <v>0.5566314</v>
      </c>
      <c r="F2346" t="s">
        <v>47</v>
      </c>
      <c r="G2346">
        <v>-456.10500000000002</v>
      </c>
      <c r="H2346" s="1">
        <v>1.5873579999999999E-6</v>
      </c>
      <c r="I2346">
        <v>287.46809999999999</v>
      </c>
      <c r="J2346">
        <v>-430.4196</v>
      </c>
      <c r="K2346">
        <v>1.1104309999999999</v>
      </c>
      <c r="L2346">
        <v>284.66770000000002</v>
      </c>
      <c r="M2346">
        <v>-0.99986600000000003</v>
      </c>
      <c r="N2346">
        <v>0</v>
      </c>
      <c r="O2346">
        <v>7.6973689999999999E-3</v>
      </c>
      <c r="P2346">
        <v>-0.98394499999999996</v>
      </c>
      <c r="Q2346">
        <v>0.17490449999999999</v>
      </c>
      <c r="R2346">
        <v>-3.5508480000000002E-2</v>
      </c>
      <c r="S2346">
        <v>-3.0847169999999999</v>
      </c>
      <c r="T2346">
        <v>-0.13200239999999999</v>
      </c>
      <c r="U2346">
        <v>0.33312989999999998</v>
      </c>
      <c r="V2346">
        <v>-4.3074719999999997E-2</v>
      </c>
      <c r="W2346">
        <v>0.1891061</v>
      </c>
      <c r="X2346">
        <v>0.98101150000000004</v>
      </c>
      <c r="Y2346">
        <v>9.9629369999999995E-2</v>
      </c>
      <c r="Z2346">
        <v>1.796263E-3</v>
      </c>
      <c r="AA2346">
        <v>0.99502299999999999</v>
      </c>
      <c r="AB2346">
        <v>32</v>
      </c>
      <c r="AC2346">
        <v>-25.685400000000001</v>
      </c>
      <c r="AD2346">
        <v>-1.110429412642</v>
      </c>
      <c r="AE2346">
        <v>2.8003999999999598</v>
      </c>
      <c r="AF2346">
        <v>2.5977881515969901</v>
      </c>
      <c r="AG2346">
        <v>-1.110429412642</v>
      </c>
      <c r="AH2346">
        <v>25.6588039238673</v>
      </c>
      <c r="AI2346">
        <v>92.465440560078207</v>
      </c>
      <c r="AJ2346">
        <v>84.218871408023105</v>
      </c>
      <c r="AK2346">
        <v>25.8138678923656</v>
      </c>
      <c r="AL2346">
        <v>79.099378795424698</v>
      </c>
      <c r="AM2346">
        <v>92.514155469536107</v>
      </c>
      <c r="AN2346">
        <v>1.0000000558462601</v>
      </c>
    </row>
    <row r="2347" spans="1:40" x14ac:dyDescent="0.25">
      <c r="A2347" t="str">
        <f>"20190312172415696"</f>
        <v>20190312172415696</v>
      </c>
      <c r="B2347" t="str">
        <f>"1552382655692167"</f>
        <v>1552382655692167</v>
      </c>
      <c r="C2347" t="s">
        <v>40</v>
      </c>
      <c r="D2347">
        <v>3.7234060000000002</v>
      </c>
      <c r="E2347">
        <v>0.55743580000000004</v>
      </c>
      <c r="F2347" t="s">
        <v>47</v>
      </c>
      <c r="G2347">
        <v>-456.22399999999999</v>
      </c>
      <c r="H2347" s="1">
        <v>1.647626E-6</v>
      </c>
      <c r="I2347">
        <v>287.53719999999998</v>
      </c>
      <c r="J2347">
        <v>-430.63560000000001</v>
      </c>
      <c r="K2347">
        <v>1.1104339999999999</v>
      </c>
      <c r="L2347">
        <v>284.6694</v>
      </c>
      <c r="M2347">
        <v>-0.99986589999999997</v>
      </c>
      <c r="N2347">
        <v>0</v>
      </c>
      <c r="O2347">
        <v>7.6973869999999896E-3</v>
      </c>
      <c r="P2347">
        <v>-0.98396289999999997</v>
      </c>
      <c r="Q2347">
        <v>0.1748934</v>
      </c>
      <c r="R2347">
        <v>-3.5064030000000003E-2</v>
      </c>
      <c r="S2347">
        <v>-3.0849609999999998</v>
      </c>
      <c r="T2347">
        <v>-0.13275379999999901</v>
      </c>
      <c r="U2347">
        <v>0.34304810000000002</v>
      </c>
      <c r="V2347">
        <v>-4.2630899999999999E-2</v>
      </c>
      <c r="W2347">
        <v>0.18909290000000001</v>
      </c>
      <c r="X2347">
        <v>0.98103340000000006</v>
      </c>
      <c r="Y2347">
        <v>0.1027777</v>
      </c>
      <c r="Z2347">
        <v>1.873525E-3</v>
      </c>
      <c r="AA2347">
        <v>0.99470259999999999</v>
      </c>
      <c r="AB2347">
        <v>32</v>
      </c>
      <c r="AC2347">
        <v>-25.588399999999901</v>
      </c>
      <c r="AD2347">
        <v>-1.1104323523739901</v>
      </c>
      <c r="AE2347">
        <v>2.8677999999999799</v>
      </c>
      <c r="AF2347">
        <v>2.6657727000920999</v>
      </c>
      <c r="AG2347">
        <v>-1.1104323523739901</v>
      </c>
      <c r="AH2347">
        <v>25.562176945164701</v>
      </c>
      <c r="AI2347">
        <v>92.473990542985405</v>
      </c>
      <c r="AJ2347">
        <v>84.046383070158996</v>
      </c>
      <c r="AK2347">
        <v>25.724779771140199</v>
      </c>
      <c r="AL2347">
        <v>79.100148657441594</v>
      </c>
      <c r="AM2347">
        <v>92.488228142063406</v>
      </c>
      <c r="AN2347">
        <v>1.00000002519038</v>
      </c>
    </row>
    <row r="2348" spans="1:40" x14ac:dyDescent="0.25">
      <c r="A2348" t="str">
        <f>"20190312172415713"</f>
        <v>20190312172415713</v>
      </c>
      <c r="B2348" t="str">
        <f>"1552382655701928"</f>
        <v>1552382655701928</v>
      </c>
      <c r="C2348" t="s">
        <v>40</v>
      </c>
      <c r="D2348">
        <v>3.7047840000000001</v>
      </c>
      <c r="E2348">
        <v>0.557708599999999</v>
      </c>
      <c r="F2348" t="s">
        <v>47</v>
      </c>
      <c r="G2348">
        <v>-456.37810000000002</v>
      </c>
      <c r="H2348" s="1">
        <v>1.727185E-6</v>
      </c>
      <c r="I2348">
        <v>287.5933</v>
      </c>
      <c r="J2348">
        <v>-430.90249999999997</v>
      </c>
      <c r="K2348">
        <v>1.110436</v>
      </c>
      <c r="L2348">
        <v>284.67140000000001</v>
      </c>
      <c r="M2348">
        <v>-0.99986609999999998</v>
      </c>
      <c r="N2348">
        <v>0</v>
      </c>
      <c r="O2348">
        <v>7.6972890000000004E-3</v>
      </c>
      <c r="P2348">
        <v>-0.98400670000000001</v>
      </c>
      <c r="Q2348">
        <v>0.17473759999999999</v>
      </c>
      <c r="R2348">
        <v>-3.4609809999999998E-2</v>
      </c>
      <c r="S2348">
        <v>-3.0850219999999999</v>
      </c>
      <c r="T2348">
        <v>-0.13307579999999999</v>
      </c>
      <c r="U2348">
        <v>0.35040280000000001</v>
      </c>
      <c r="V2348">
        <v>-4.2176569999999997E-2</v>
      </c>
      <c r="W2348">
        <v>0.18893470000000001</v>
      </c>
      <c r="X2348">
        <v>0.9810835</v>
      </c>
      <c r="Y2348">
        <v>0.1051146</v>
      </c>
      <c r="Z2348">
        <v>1.9280020000000001E-3</v>
      </c>
      <c r="AA2348">
        <v>0.99445830000000002</v>
      </c>
      <c r="AB2348">
        <v>32</v>
      </c>
      <c r="AC2348">
        <v>-25.4756</v>
      </c>
      <c r="AD2348">
        <v>-1.1104342728150001</v>
      </c>
      <c r="AE2348">
        <v>2.9218999999999902</v>
      </c>
      <c r="AF2348">
        <v>2.7205980928920899</v>
      </c>
      <c r="AG2348">
        <v>-1.1104342728150001</v>
      </c>
      <c r="AH2348">
        <v>25.449613593851399</v>
      </c>
      <c r="AI2348">
        <v>92.4842457995031</v>
      </c>
      <c r="AJ2348">
        <v>83.898176984114997</v>
      </c>
      <c r="AK2348">
        <v>25.618695328483</v>
      </c>
      <c r="AL2348">
        <v>79.109379056897296</v>
      </c>
      <c r="AM2348">
        <v>92.461617607033702</v>
      </c>
      <c r="AN2348">
        <v>1.0000000089466501</v>
      </c>
    </row>
    <row r="2349" spans="1:40" x14ac:dyDescent="0.25">
      <c r="A2349" t="str">
        <f>"20190312172415729"</f>
        <v>20190312172415729</v>
      </c>
      <c r="B2349" t="str">
        <f>"1552382655722424"</f>
        <v>1552382655722424</v>
      </c>
      <c r="C2349" t="s">
        <v>40</v>
      </c>
      <c r="D2349">
        <v>3.7108829999999999</v>
      </c>
      <c r="E2349">
        <v>0.55827890000000002</v>
      </c>
      <c r="F2349" t="s">
        <v>47</v>
      </c>
      <c r="G2349">
        <v>-456.57560000000001</v>
      </c>
      <c r="H2349" s="1">
        <v>1.8311079999999999E-6</v>
      </c>
      <c r="I2349">
        <v>287.62009999999998</v>
      </c>
      <c r="J2349">
        <v>-431.1173</v>
      </c>
      <c r="K2349">
        <v>1.110436</v>
      </c>
      <c r="L2349">
        <v>284.67320000000001</v>
      </c>
      <c r="M2349">
        <v>-0.99986609999999998</v>
      </c>
      <c r="N2349">
        <v>0</v>
      </c>
      <c r="O2349">
        <v>7.6974259999999899E-3</v>
      </c>
      <c r="P2349">
        <v>-0.98398110000000005</v>
      </c>
      <c r="Q2349">
        <v>0.1748991</v>
      </c>
      <c r="R2349">
        <v>-3.4521980000000001E-2</v>
      </c>
      <c r="S2349">
        <v>-3.0849299999999999</v>
      </c>
      <c r="T2349">
        <v>-0.13343189999999999</v>
      </c>
      <c r="U2349">
        <v>0.35430909999999999</v>
      </c>
      <c r="V2349">
        <v>-4.2088720000000003E-2</v>
      </c>
      <c r="W2349">
        <v>0.18909339999999999</v>
      </c>
      <c r="X2349">
        <v>0.9810567</v>
      </c>
      <c r="Y2349">
        <v>0.1063591</v>
      </c>
      <c r="Z2349">
        <v>1.9598829999999999E-3</v>
      </c>
      <c r="AA2349">
        <v>0.99432589999999998</v>
      </c>
      <c r="AB2349">
        <v>32</v>
      </c>
      <c r="AC2349">
        <v>-25.458300000000001</v>
      </c>
      <c r="AD2349">
        <v>-1.1104341688920001</v>
      </c>
      <c r="AE2349">
        <v>2.9468999999999701</v>
      </c>
      <c r="AF2349">
        <v>2.7456742573542399</v>
      </c>
      <c r="AG2349">
        <v>-1.1104341688920001</v>
      </c>
      <c r="AH2349">
        <v>25.432485734568601</v>
      </c>
      <c r="AI2349">
        <v>92.485637560391595</v>
      </c>
      <c r="AJ2349">
        <v>83.838250614647393</v>
      </c>
      <c r="AK2349">
        <v>25.6043574769995</v>
      </c>
      <c r="AL2349">
        <v>79.100119331566205</v>
      </c>
      <c r="AM2349">
        <v>92.456563589685999</v>
      </c>
      <c r="AN2349">
        <v>1.00000001144484</v>
      </c>
    </row>
    <row r="2350" spans="1:40" x14ac:dyDescent="0.25">
      <c r="A2350" t="str">
        <f>"20190312172415748"</f>
        <v>20190312172415748</v>
      </c>
      <c r="B2350" t="str">
        <f>"1552382655741955"</f>
        <v>1552382655741955</v>
      </c>
      <c r="C2350" t="s">
        <v>40</v>
      </c>
      <c r="D2350">
        <v>3.7214140000000002</v>
      </c>
      <c r="E2350">
        <v>0.55878530000000004</v>
      </c>
      <c r="F2350" t="s">
        <v>47</v>
      </c>
      <c r="G2350">
        <v>-456.93720000000002</v>
      </c>
      <c r="H2350" s="1">
        <v>2.0210199999999999E-6</v>
      </c>
      <c r="I2350">
        <v>287.67739999999998</v>
      </c>
      <c r="J2350">
        <v>-431.3954</v>
      </c>
      <c r="K2350">
        <v>1.1104369999999999</v>
      </c>
      <c r="L2350">
        <v>284.67529999999999</v>
      </c>
      <c r="M2350">
        <v>-0.99986609999999998</v>
      </c>
      <c r="N2350">
        <v>0</v>
      </c>
      <c r="O2350">
        <v>7.6973299999999996E-3</v>
      </c>
      <c r="P2350">
        <v>-0.98400089999999996</v>
      </c>
      <c r="Q2350">
        <v>0.17489060000000001</v>
      </c>
      <c r="R2350">
        <v>-3.3990399999999997E-2</v>
      </c>
      <c r="S2350">
        <v>-3.084991</v>
      </c>
      <c r="T2350">
        <v>-0.13267619999999999</v>
      </c>
      <c r="U2350">
        <v>0.35894779999999998</v>
      </c>
      <c r="V2350">
        <v>-4.1556910000000002E-2</v>
      </c>
      <c r="W2350">
        <v>0.1890821</v>
      </c>
      <c r="X2350">
        <v>0.98108150000000005</v>
      </c>
      <c r="Y2350">
        <v>0.10783189999999999</v>
      </c>
      <c r="Z2350">
        <v>1.9801419999999998E-3</v>
      </c>
      <c r="AA2350">
        <v>0.99416709999999997</v>
      </c>
      <c r="AB2350">
        <v>32</v>
      </c>
      <c r="AC2350">
        <v>-25.541799999999999</v>
      </c>
      <c r="AD2350">
        <v>-1.1104349789799901</v>
      </c>
      <c r="AE2350">
        <v>3.00209999999998</v>
      </c>
      <c r="AF2350">
        <v>2.8001664227005501</v>
      </c>
      <c r="AG2350">
        <v>-1.1104349789799901</v>
      </c>
      <c r="AH2350">
        <v>25.516582204918699</v>
      </c>
      <c r="AI2350">
        <v>92.476983842758301</v>
      </c>
      <c r="AJ2350">
        <v>83.737472445962197</v>
      </c>
      <c r="AK2350">
        <v>25.6937728887319</v>
      </c>
      <c r="AL2350">
        <v>79.100778138946097</v>
      </c>
      <c r="AM2350">
        <v>92.425499866965595</v>
      </c>
      <c r="AN2350">
        <v>0.99999996347570297</v>
      </c>
    </row>
    <row r="2351" spans="1:40" x14ac:dyDescent="0.25">
      <c r="A2351" t="str">
        <f>"20190312172415771"</f>
        <v>20190312172415771</v>
      </c>
      <c r="B2351" t="str">
        <f>"1552382655762439"</f>
        <v>1552382655762439</v>
      </c>
      <c r="C2351" t="s">
        <v>40</v>
      </c>
      <c r="D2351">
        <v>3.6841349999999999</v>
      </c>
      <c r="E2351">
        <v>0.55916379999999999</v>
      </c>
      <c r="F2351" t="s">
        <v>47</v>
      </c>
      <c r="G2351">
        <v>-457.2602</v>
      </c>
      <c r="H2351" s="1">
        <v>2.190544E-6</v>
      </c>
      <c r="I2351">
        <v>287.73140000000001</v>
      </c>
      <c r="J2351">
        <v>-431.72089999999997</v>
      </c>
      <c r="K2351">
        <v>1.1104369999999999</v>
      </c>
      <c r="L2351">
        <v>284.67779999999999</v>
      </c>
      <c r="M2351">
        <v>-0.99986609999999998</v>
      </c>
      <c r="N2351">
        <v>0</v>
      </c>
      <c r="O2351">
        <v>7.69717699999999E-3</v>
      </c>
      <c r="P2351">
        <v>-0.98400710000000002</v>
      </c>
      <c r="Q2351">
        <v>0.1748392</v>
      </c>
      <c r="R2351">
        <v>-3.4078499999999998E-2</v>
      </c>
      <c r="S2351">
        <v>-3.0848689999999999</v>
      </c>
      <c r="T2351">
        <v>-0.13244059999999999</v>
      </c>
      <c r="U2351">
        <v>0.36450199999999999</v>
      </c>
      <c r="V2351">
        <v>-4.1645300000000003E-2</v>
      </c>
      <c r="W2351">
        <v>0.18902740000000001</v>
      </c>
      <c r="X2351">
        <v>0.98108830000000002</v>
      </c>
      <c r="Y2351">
        <v>0.1096009</v>
      </c>
      <c r="Z2351">
        <v>2.014329E-3</v>
      </c>
      <c r="AA2351">
        <v>0.99397360000000001</v>
      </c>
      <c r="AB2351">
        <v>32</v>
      </c>
      <c r="AC2351">
        <v>-25.539300000000001</v>
      </c>
      <c r="AD2351">
        <v>-1.1104348094559999</v>
      </c>
      <c r="AE2351">
        <v>3.0536000000000101</v>
      </c>
      <c r="AF2351">
        <v>2.85159365712562</v>
      </c>
      <c r="AG2351">
        <v>-1.1104348094559999</v>
      </c>
      <c r="AH2351">
        <v>25.514495442166201</v>
      </c>
      <c r="AI2351">
        <v>92.476637825585698</v>
      </c>
      <c r="AJ2351">
        <v>83.622877977417403</v>
      </c>
      <c r="AK2351">
        <v>25.697356469483999</v>
      </c>
      <c r="AL2351">
        <v>79.103969853866403</v>
      </c>
      <c r="AM2351">
        <v>92.430635807088706</v>
      </c>
      <c r="AN2351">
        <v>0.99999997067986901</v>
      </c>
    </row>
    <row r="2352" spans="1:40" x14ac:dyDescent="0.25">
      <c r="A2352" t="str">
        <f>"20190312172415792"</f>
        <v>20190312172415792</v>
      </c>
      <c r="B2352" t="str">
        <f>"1552382655782467"</f>
        <v>1552382655782467</v>
      </c>
      <c r="C2352" t="s">
        <v>40</v>
      </c>
      <c r="D2352">
        <v>3.6935959999999999</v>
      </c>
      <c r="E2352">
        <v>0.55951319999999904</v>
      </c>
      <c r="F2352" t="s">
        <v>47</v>
      </c>
      <c r="G2352">
        <v>-457.53660000000002</v>
      </c>
      <c r="H2352" s="1">
        <v>2.3367559999999999E-6</v>
      </c>
      <c r="I2352">
        <v>287.75200000000001</v>
      </c>
      <c r="J2352">
        <v>-432.0308</v>
      </c>
      <c r="K2352">
        <v>1.110436</v>
      </c>
      <c r="L2352">
        <v>284.68020000000001</v>
      </c>
      <c r="M2352">
        <v>-0.99986620000000004</v>
      </c>
      <c r="N2352">
        <v>0</v>
      </c>
      <c r="O2352">
        <v>7.6972009999999999E-3</v>
      </c>
      <c r="P2352">
        <v>-0.98401039999999995</v>
      </c>
      <c r="Q2352">
        <v>0.174819899999999</v>
      </c>
      <c r="R2352">
        <v>-3.4081729999999998E-2</v>
      </c>
      <c r="S2352">
        <v>-3.0850520000000001</v>
      </c>
      <c r="T2352">
        <v>-0.13270009999999999</v>
      </c>
      <c r="U2352">
        <v>0.36737059999999999</v>
      </c>
      <c r="V2352">
        <v>-4.164876E-2</v>
      </c>
      <c r="W2352">
        <v>0.1890049</v>
      </c>
      <c r="X2352">
        <v>0.98109250000000003</v>
      </c>
      <c r="Y2352">
        <v>0.1105042</v>
      </c>
      <c r="Z2352">
        <v>2.0373940000000001E-3</v>
      </c>
      <c r="AA2352">
        <v>0.99387360000000002</v>
      </c>
      <c r="AB2352">
        <v>32</v>
      </c>
      <c r="AC2352">
        <v>-25.505800000000001</v>
      </c>
      <c r="AD2352">
        <v>-1.1104336632439999</v>
      </c>
      <c r="AE2352">
        <v>3.0717999999999899</v>
      </c>
      <c r="AF2352">
        <v>2.87000315011925</v>
      </c>
      <c r="AG2352">
        <v>-1.1104336632439999</v>
      </c>
      <c r="AH2352">
        <v>25.481083946356399</v>
      </c>
      <c r="AI2352">
        <v>92.479640172947498</v>
      </c>
      <c r="AJ2352">
        <v>83.573705552091596</v>
      </c>
      <c r="AK2352">
        <v>25.666235019640499</v>
      </c>
      <c r="AL2352">
        <v>79.105282804161305</v>
      </c>
      <c r="AM2352">
        <v>92.430827114619703</v>
      </c>
      <c r="AN2352">
        <v>0.99999998249489797</v>
      </c>
    </row>
    <row r="2353" spans="1:40" x14ac:dyDescent="0.25">
      <c r="A2353" t="str">
        <f>"20190312172415806"</f>
        <v>20190312172415806</v>
      </c>
      <c r="B2353" t="str">
        <f>"1552382655801987"</f>
        <v>1552382655801987</v>
      </c>
      <c r="C2353" t="s">
        <v>40</v>
      </c>
      <c r="D2353">
        <v>3.7029480000000001</v>
      </c>
      <c r="E2353">
        <v>0.55983539999999998</v>
      </c>
      <c r="F2353" t="s">
        <v>47</v>
      </c>
      <c r="G2353">
        <v>-457.7722</v>
      </c>
      <c r="H2353" s="1">
        <v>2.4616829999999998E-6</v>
      </c>
      <c r="I2353">
        <v>287.7627</v>
      </c>
      <c r="J2353">
        <v>-432.2346</v>
      </c>
      <c r="K2353">
        <v>1.1104339999999999</v>
      </c>
      <c r="L2353">
        <v>284.68180000000001</v>
      </c>
      <c r="M2353">
        <v>-0.99986620000000004</v>
      </c>
      <c r="N2353">
        <v>0</v>
      </c>
      <c r="O2353">
        <v>7.6972169999999897E-3</v>
      </c>
      <c r="P2353">
        <v>-0.98397860000000004</v>
      </c>
      <c r="Q2353">
        <v>0.1749483</v>
      </c>
      <c r="R2353">
        <v>-3.4340490000000001E-2</v>
      </c>
      <c r="S2353">
        <v>-3.085175</v>
      </c>
      <c r="T2353">
        <v>-0.13308809999999999</v>
      </c>
      <c r="U2353">
        <v>0.36944579999999999</v>
      </c>
      <c r="V2353">
        <v>-4.1906899999999997E-2</v>
      </c>
      <c r="W2353">
        <v>0.1891304</v>
      </c>
      <c r="X2353">
        <v>0.98105730000000002</v>
      </c>
      <c r="Y2353">
        <v>0.11115750000000001</v>
      </c>
      <c r="Z2353">
        <v>2.0572189999999999E-3</v>
      </c>
      <c r="AA2353">
        <v>0.99380069999999998</v>
      </c>
      <c r="AB2353">
        <v>32</v>
      </c>
      <c r="AC2353">
        <v>-25.537600000000001</v>
      </c>
      <c r="AD2353">
        <v>-1.11043153831699</v>
      </c>
      <c r="AE2353">
        <v>3.0808999999999802</v>
      </c>
      <c r="AF2353">
        <v>2.87885480770364</v>
      </c>
      <c r="AG2353">
        <v>-1.11043153831699</v>
      </c>
      <c r="AH2353">
        <v>25.513014596129199</v>
      </c>
      <c r="AI2353">
        <v>92.476479212446193</v>
      </c>
      <c r="AJ2353">
        <v>83.562051763246501</v>
      </c>
      <c r="AK2353">
        <v>25.6989255998656</v>
      </c>
      <c r="AL2353">
        <v>79.097959876844996</v>
      </c>
      <c r="AM2353">
        <v>92.445962848374094</v>
      </c>
      <c r="AN2353">
        <v>0.99999996117752898</v>
      </c>
    </row>
    <row r="2354" spans="1:40" x14ac:dyDescent="0.25">
      <c r="A2354" t="str">
        <f>"20190312172415826"</f>
        <v>20190312172415826</v>
      </c>
      <c r="B2354" t="str">
        <f>"1552382655822483"</f>
        <v>1552382655822483</v>
      </c>
      <c r="C2354" t="s">
        <v>40</v>
      </c>
      <c r="D2354">
        <v>3.6929319999999999</v>
      </c>
      <c r="E2354">
        <v>0.55998119999999996</v>
      </c>
      <c r="F2354" t="s">
        <v>47</v>
      </c>
      <c r="G2354">
        <v>-458.03339999999997</v>
      </c>
      <c r="H2354" s="1">
        <v>2.5997810000000002E-6</v>
      </c>
      <c r="I2354">
        <v>287.78269999999998</v>
      </c>
      <c r="J2354">
        <v>-432.51389999999998</v>
      </c>
      <c r="K2354">
        <v>1.110439</v>
      </c>
      <c r="L2354">
        <v>284.68389999999999</v>
      </c>
      <c r="M2354">
        <v>-0.99986629999999999</v>
      </c>
      <c r="N2354">
        <v>0</v>
      </c>
      <c r="O2354">
        <v>7.6970600000000004E-3</v>
      </c>
      <c r="P2354">
        <v>-0.9840759</v>
      </c>
      <c r="Q2354">
        <v>0.1742582</v>
      </c>
      <c r="R2354">
        <v>-3.506008E-2</v>
      </c>
      <c r="S2354">
        <v>-3.085388</v>
      </c>
      <c r="T2354">
        <v>-0.13280110000000001</v>
      </c>
      <c r="U2354">
        <v>0.3708496</v>
      </c>
      <c r="V2354">
        <v>-4.2627470000000001E-2</v>
      </c>
      <c r="W2354">
        <v>0.18843869999999999</v>
      </c>
      <c r="X2354">
        <v>0.98115940000000001</v>
      </c>
      <c r="Y2354">
        <v>0.11159529999999999</v>
      </c>
      <c r="Z2354">
        <v>2.0619800000000001E-3</v>
      </c>
      <c r="AA2354">
        <v>0.99375159999999996</v>
      </c>
      <c r="AB2354">
        <v>32</v>
      </c>
      <c r="AC2354">
        <v>-25.519499999999901</v>
      </c>
      <c r="AD2354">
        <v>-1.1104364002189999</v>
      </c>
      <c r="AE2354">
        <v>3.0987999999999798</v>
      </c>
      <c r="AF2354">
        <v>2.8968573993164299</v>
      </c>
      <c r="AG2354">
        <v>-1.1104364002189999</v>
      </c>
      <c r="AH2354">
        <v>25.495027085366299</v>
      </c>
      <c r="AI2354">
        <v>92.478017686954601</v>
      </c>
      <c r="AJ2354">
        <v>83.517602494331001</v>
      </c>
      <c r="AK2354">
        <v>25.683092840903399</v>
      </c>
      <c r="AL2354">
        <v>79.138317549970594</v>
      </c>
      <c r="AM2354">
        <v>92.487709085707294</v>
      </c>
      <c r="AN2354">
        <v>1.00000000653232</v>
      </c>
    </row>
    <row r="2355" spans="1:40" x14ac:dyDescent="0.25">
      <c r="A2355" t="str">
        <f>"20190312172415839"</f>
        <v>20190312172415839</v>
      </c>
      <c r="B2355" t="str">
        <f>"1552382655832243"</f>
        <v>1552382655832243</v>
      </c>
      <c r="C2355" t="s">
        <v>40</v>
      </c>
      <c r="D2355">
        <v>3.7355999999999998</v>
      </c>
      <c r="E2355">
        <v>0.55999049999999995</v>
      </c>
      <c r="F2355" t="s">
        <v>47</v>
      </c>
      <c r="G2355">
        <v>-457.87479999999999</v>
      </c>
      <c r="H2355" s="1">
        <v>2.5178740000000002E-6</v>
      </c>
      <c r="I2355">
        <v>287.72609999999997</v>
      </c>
      <c r="J2355">
        <v>-432.70890000000003</v>
      </c>
      <c r="K2355">
        <v>1.11043799999999</v>
      </c>
      <c r="L2355">
        <v>284.68540000000002</v>
      </c>
      <c r="M2355">
        <v>-0.99986640000000004</v>
      </c>
      <c r="N2355">
        <v>0</v>
      </c>
      <c r="O2355">
        <v>7.6970750000000003E-3</v>
      </c>
      <c r="P2355">
        <v>-0.98400489999999996</v>
      </c>
      <c r="Q2355">
        <v>0.17450679999999999</v>
      </c>
      <c r="R2355">
        <v>-3.5806039999999997E-2</v>
      </c>
      <c r="S2355">
        <v>-3.0856629999999998</v>
      </c>
      <c r="T2355">
        <v>-0.1351068</v>
      </c>
      <c r="U2355">
        <v>0.37014770000000002</v>
      </c>
      <c r="V2355">
        <v>-4.3372540000000001E-2</v>
      </c>
      <c r="W2355">
        <v>0.18868409999999999</v>
      </c>
      <c r="X2355">
        <v>0.98107960000000005</v>
      </c>
      <c r="Y2355">
        <v>0.1113589</v>
      </c>
      <c r="Z2355">
        <v>2.0924350000000001E-3</v>
      </c>
      <c r="AA2355">
        <v>0.99377800000000005</v>
      </c>
      <c r="AB2355">
        <v>32</v>
      </c>
      <c r="AC2355">
        <v>-25.165899999999901</v>
      </c>
      <c r="AD2355">
        <v>-1.1104354821260001</v>
      </c>
      <c r="AE2355">
        <v>3.04069999999995</v>
      </c>
      <c r="AF2355">
        <v>2.8414333305148798</v>
      </c>
      <c r="AG2355">
        <v>-1.1104354821260001</v>
      </c>
      <c r="AH2355">
        <v>25.140317868520601</v>
      </c>
      <c r="AI2355">
        <v>92.513102788930894</v>
      </c>
      <c r="AJ2355">
        <v>83.551625648383094</v>
      </c>
      <c r="AK2355">
        <v>25.3247387520973</v>
      </c>
      <c r="AL2355">
        <v>79.124000529224404</v>
      </c>
      <c r="AM2355">
        <v>92.531340392389097</v>
      </c>
      <c r="AN2355">
        <v>1.00000002417751</v>
      </c>
    </row>
    <row r="2356" spans="1:40" x14ac:dyDescent="0.25">
      <c r="A2356" t="str">
        <f>"20190312172415851"</f>
        <v>20190312172415851</v>
      </c>
      <c r="B2356" t="str">
        <f>"1552382655842003"</f>
        <v>1552382655842003</v>
      </c>
      <c r="C2356" t="s">
        <v>40</v>
      </c>
      <c r="D2356">
        <v>3.742073</v>
      </c>
      <c r="E2356">
        <v>0.56000220000000001</v>
      </c>
      <c r="F2356" t="s">
        <v>47</v>
      </c>
      <c r="G2356">
        <v>-458.14879999999999</v>
      </c>
      <c r="H2356" s="1">
        <v>2.6640229999999998E-6</v>
      </c>
      <c r="I2356">
        <v>287.71789999999999</v>
      </c>
      <c r="J2356">
        <v>-432.88150000000002</v>
      </c>
      <c r="K2356">
        <v>1.1104369999999999</v>
      </c>
      <c r="L2356">
        <v>284.68669999999997</v>
      </c>
      <c r="M2356">
        <v>-0.99986620000000004</v>
      </c>
      <c r="N2356">
        <v>0</v>
      </c>
      <c r="O2356">
        <v>7.6972669999999998E-3</v>
      </c>
      <c r="P2356">
        <v>-0.98401959999999999</v>
      </c>
      <c r="Q2356">
        <v>0.174343</v>
      </c>
      <c r="R2356">
        <v>-3.6192479999999999E-2</v>
      </c>
      <c r="S2356">
        <v>-3.0859990000000002</v>
      </c>
      <c r="T2356">
        <v>-0.1347016</v>
      </c>
      <c r="U2356">
        <v>0.36785889999999999</v>
      </c>
      <c r="V2356">
        <v>-4.375896E-2</v>
      </c>
      <c r="W2356">
        <v>0.18851879999999999</v>
      </c>
      <c r="X2356">
        <v>0.98109420000000003</v>
      </c>
      <c r="Y2356">
        <v>0.1106205</v>
      </c>
      <c r="Z2356">
        <v>2.0699730000000001E-3</v>
      </c>
      <c r="AA2356">
        <v>0.99386050000000004</v>
      </c>
      <c r="AB2356">
        <v>32</v>
      </c>
      <c r="AC2356">
        <v>-25.267299999999899</v>
      </c>
      <c r="AD2356">
        <v>-1.1104343359769999</v>
      </c>
      <c r="AE2356">
        <v>3.0312000000000099</v>
      </c>
      <c r="AF2356">
        <v>2.8312101988396998</v>
      </c>
      <c r="AG2356">
        <v>-1.1104343359769999</v>
      </c>
      <c r="AH2356">
        <v>25.2418257672404</v>
      </c>
      <c r="AI2356">
        <v>92.503245760421805</v>
      </c>
      <c r="AJ2356">
        <v>83.600256019016896</v>
      </c>
      <c r="AK2356">
        <v>25.424369877506301</v>
      </c>
      <c r="AL2356">
        <v>79.133644406577005</v>
      </c>
      <c r="AM2356">
        <v>92.553825240961999</v>
      </c>
      <c r="AN2356">
        <v>1.0000000069036801</v>
      </c>
    </row>
    <row r="2357" spans="1:40" x14ac:dyDescent="0.25">
      <c r="A2357" t="str">
        <f>"20190312172415864"</f>
        <v>20190312172415864</v>
      </c>
      <c r="B2357" t="str">
        <f>"1552382655852740"</f>
        <v>1552382655852740</v>
      </c>
      <c r="C2357" t="s">
        <v>40</v>
      </c>
      <c r="D2357">
        <v>3.7455539999999998</v>
      </c>
      <c r="E2357">
        <v>0.56003119999999995</v>
      </c>
      <c r="F2357" t="s">
        <v>47</v>
      </c>
      <c r="G2357">
        <v>-458.17750000000001</v>
      </c>
      <c r="H2357" s="1">
        <v>2.6802920000000002E-6</v>
      </c>
      <c r="I2357">
        <v>287.69450000000001</v>
      </c>
      <c r="J2357">
        <v>-433.06549999999999</v>
      </c>
      <c r="K2357">
        <v>1.110439</v>
      </c>
      <c r="L2357">
        <v>284.68810000000002</v>
      </c>
      <c r="M2357">
        <v>-0.99986640000000004</v>
      </c>
      <c r="N2357">
        <v>0</v>
      </c>
      <c r="O2357">
        <v>7.6972799999999999E-3</v>
      </c>
      <c r="P2357">
        <v>-0.98399979999999998</v>
      </c>
      <c r="Q2357">
        <v>0.17438409999999999</v>
      </c>
      <c r="R2357">
        <v>-3.6533389999999999E-2</v>
      </c>
      <c r="S2357">
        <v>-3.0862430000000001</v>
      </c>
      <c r="T2357">
        <v>-0.13547890000000001</v>
      </c>
      <c r="U2357">
        <v>0.36697390000000002</v>
      </c>
      <c r="V2357">
        <v>-4.4100130000000001E-2</v>
      </c>
      <c r="W2357">
        <v>0.18855769999999999</v>
      </c>
      <c r="X2357">
        <v>0.98107149999999999</v>
      </c>
      <c r="Y2357">
        <v>0.11032939999999899</v>
      </c>
      <c r="Z2357">
        <v>2.075412E-3</v>
      </c>
      <c r="AA2357">
        <v>0.99389289999999997</v>
      </c>
      <c r="AB2357">
        <v>32</v>
      </c>
      <c r="AC2357">
        <v>-25.111999999999998</v>
      </c>
      <c r="AD2357">
        <v>-1.1104363197080001</v>
      </c>
      <c r="AE2357">
        <v>3.0063999999999802</v>
      </c>
      <c r="AF2357">
        <v>2.8075844833052201</v>
      </c>
      <c r="AG2357">
        <v>-1.1104363197080001</v>
      </c>
      <c r="AH2357">
        <v>25.086040529407601</v>
      </c>
      <c r="AI2357">
        <v>92.518843809503295</v>
      </c>
      <c r="AJ2357">
        <v>83.6141334994918</v>
      </c>
      <c r="AK2357">
        <v>25.267074007373701</v>
      </c>
      <c r="AL2357">
        <v>79.131375460122001</v>
      </c>
      <c r="AM2357">
        <v>92.573769130545998</v>
      </c>
      <c r="AN2357">
        <v>1.00000005790377</v>
      </c>
    </row>
    <row r="2358" spans="1:40" x14ac:dyDescent="0.25">
      <c r="A2358" t="str">
        <f>"20190312172415881"</f>
        <v>20190312172415881</v>
      </c>
      <c r="B2358" t="str">
        <f>"1552382655872259"</f>
        <v>1552382655872259</v>
      </c>
      <c r="C2358" t="s">
        <v>40</v>
      </c>
      <c r="D2358">
        <v>3.7165710000000001</v>
      </c>
      <c r="E2358">
        <v>0.56029989999999996</v>
      </c>
      <c r="F2358" t="s">
        <v>47</v>
      </c>
      <c r="G2358">
        <v>-458.37040000000002</v>
      </c>
      <c r="H2358" s="1">
        <v>2.7831620000000001E-6</v>
      </c>
      <c r="I2358">
        <v>287.68990000000002</v>
      </c>
      <c r="J2358">
        <v>-433.30900000000003</v>
      </c>
      <c r="K2358">
        <v>1.110439</v>
      </c>
      <c r="L2358">
        <v>284.69</v>
      </c>
      <c r="M2358">
        <v>-0.99986640000000004</v>
      </c>
      <c r="N2358">
        <v>0</v>
      </c>
      <c r="O2358">
        <v>7.6971209999999899E-3</v>
      </c>
      <c r="P2358">
        <v>-0.98398660000000004</v>
      </c>
      <c r="Q2358">
        <v>0.17430039999999999</v>
      </c>
      <c r="R2358">
        <v>-3.7279159999999999E-2</v>
      </c>
      <c r="S2358">
        <v>-3.0863339999999999</v>
      </c>
      <c r="T2358">
        <v>-0.13543529999999901</v>
      </c>
      <c r="U2358">
        <v>0.36611939999999998</v>
      </c>
      <c r="V2358">
        <v>-4.48461E-2</v>
      </c>
      <c r="W2358">
        <v>0.18847149999999999</v>
      </c>
      <c r="X2358">
        <v>0.98105419999999999</v>
      </c>
      <c r="Y2358">
        <v>0.1100551</v>
      </c>
      <c r="Z2358">
        <v>2.0687309999999999E-3</v>
      </c>
      <c r="AA2358">
        <v>0.99392329999999995</v>
      </c>
      <c r="AB2358">
        <v>32</v>
      </c>
      <c r="AC2358">
        <v>-25.0613999999999</v>
      </c>
      <c r="AD2358">
        <v>-1.110436216838</v>
      </c>
      <c r="AE2358">
        <v>2.9999000000000202</v>
      </c>
      <c r="AF2358">
        <v>2.80146812696134</v>
      </c>
      <c r="AG2358">
        <v>-1.110436216838</v>
      </c>
      <c r="AH2358">
        <v>25.0352940981006</v>
      </c>
      <c r="AI2358">
        <v>92.523947527523006</v>
      </c>
      <c r="AJ2358">
        <v>83.615121037587699</v>
      </c>
      <c r="AK2358">
        <v>25.2160116361894</v>
      </c>
      <c r="AL2358">
        <v>79.136404011314099</v>
      </c>
      <c r="AM2358">
        <v>92.617291440524497</v>
      </c>
      <c r="AN2358">
        <v>1.00000001116755</v>
      </c>
    </row>
    <row r="2359" spans="1:40" x14ac:dyDescent="0.25">
      <c r="A2359" t="str">
        <f>"20190312172415895"</f>
        <v>20190312172415895</v>
      </c>
      <c r="B2359" t="str">
        <f>"1552382655892755"</f>
        <v>1552382655892755</v>
      </c>
      <c r="C2359" t="s">
        <v>40</v>
      </c>
      <c r="D2359">
        <v>3.715379</v>
      </c>
      <c r="E2359">
        <v>0.56041859999999999</v>
      </c>
      <c r="F2359" t="s">
        <v>47</v>
      </c>
      <c r="G2359">
        <v>-458.58019999999999</v>
      </c>
      <c r="H2359" s="1">
        <v>2.8950810000000001E-6</v>
      </c>
      <c r="I2359">
        <v>287.68369999999999</v>
      </c>
      <c r="J2359">
        <v>-433.5213</v>
      </c>
      <c r="K2359">
        <v>1.110441</v>
      </c>
      <c r="L2359">
        <v>284.69159999999999</v>
      </c>
      <c r="M2359">
        <v>-0.99986640000000004</v>
      </c>
      <c r="N2359">
        <v>0</v>
      </c>
      <c r="O2359">
        <v>7.6971369999999997E-3</v>
      </c>
      <c r="P2359">
        <v>-0.9839656</v>
      </c>
      <c r="Q2359">
        <v>0.17426469999999999</v>
      </c>
      <c r="R2359">
        <v>-3.7994640000000003E-2</v>
      </c>
      <c r="S2359">
        <v>-3.0867309999999999</v>
      </c>
      <c r="T2359">
        <v>-0.13563329999999901</v>
      </c>
      <c r="U2359">
        <v>0.36566159999999998</v>
      </c>
      <c r="V2359">
        <v>-4.5561240000000003E-2</v>
      </c>
      <c r="W2359">
        <v>0.18843260000000001</v>
      </c>
      <c r="X2359">
        <v>0.98102869999999998</v>
      </c>
      <c r="Y2359">
        <v>0.109894699999999</v>
      </c>
      <c r="Z2359">
        <v>2.067995E-3</v>
      </c>
      <c r="AA2359">
        <v>0.99394110000000002</v>
      </c>
      <c r="AB2359">
        <v>32</v>
      </c>
      <c r="AC2359">
        <v>-25.058899999999898</v>
      </c>
      <c r="AD2359">
        <v>-1.110438104919</v>
      </c>
      <c r="AE2359">
        <v>2.99209999999999</v>
      </c>
      <c r="AF2359">
        <v>2.7937007564631302</v>
      </c>
      <c r="AG2359">
        <v>-1.110438104919</v>
      </c>
      <c r="AH2359">
        <v>25.032725891606699</v>
      </c>
      <c r="AI2359">
        <v>92.524293563809806</v>
      </c>
      <c r="AJ2359">
        <v>83.632030322663098</v>
      </c>
      <c r="AK2359">
        <v>25.212600069525401</v>
      </c>
      <c r="AL2359">
        <v>79.138673256427197</v>
      </c>
      <c r="AM2359">
        <v>92.659037761228205</v>
      </c>
      <c r="AN2359">
        <v>0.99999999077839297</v>
      </c>
    </row>
    <row r="2360" spans="1:40" x14ac:dyDescent="0.25">
      <c r="A2360" t="str">
        <f>"20190312172415927"</f>
        <v>20190312172415927</v>
      </c>
      <c r="B2360" t="str">
        <f>"1552382655922035"</f>
        <v>1552382655922035</v>
      </c>
      <c r="C2360" t="s">
        <v>40</v>
      </c>
      <c r="D2360">
        <v>3.7348189999999999</v>
      </c>
      <c r="E2360">
        <v>0.5605426</v>
      </c>
      <c r="F2360" t="s">
        <v>47</v>
      </c>
      <c r="G2360">
        <v>-458.81889999999999</v>
      </c>
      <c r="H2360" s="1">
        <v>3.0224149999999998E-6</v>
      </c>
      <c r="I2360">
        <v>287.67720000000003</v>
      </c>
      <c r="J2360">
        <v>-433.95600000000002</v>
      </c>
      <c r="K2360">
        <v>1.1104430000000001</v>
      </c>
      <c r="L2360">
        <v>284.69490000000002</v>
      </c>
      <c r="M2360">
        <v>-0.99986649999999999</v>
      </c>
      <c r="N2360">
        <v>0</v>
      </c>
      <c r="O2360">
        <v>7.697171E-3</v>
      </c>
      <c r="P2360">
        <v>-0.98401660000000002</v>
      </c>
      <c r="Q2360">
        <v>0.173841</v>
      </c>
      <c r="R2360">
        <v>-3.8614740000000002E-2</v>
      </c>
      <c r="S2360">
        <v>-3.0869140000000002</v>
      </c>
      <c r="T2360">
        <v>-0.13550009999999901</v>
      </c>
      <c r="U2360">
        <v>0.3643188</v>
      </c>
      <c r="V2360">
        <v>-4.6181630000000001E-2</v>
      </c>
      <c r="W2360">
        <v>0.18800510000000001</v>
      </c>
      <c r="X2360">
        <v>0.98108169999999995</v>
      </c>
      <c r="Y2360">
        <v>0.1094619</v>
      </c>
      <c r="Z2360">
        <v>2.0564350000000001E-3</v>
      </c>
      <c r="AA2360">
        <v>0.99398889999999995</v>
      </c>
      <c r="AB2360">
        <v>32</v>
      </c>
      <c r="AC2360">
        <v>-24.8629</v>
      </c>
      <c r="AD2360">
        <v>-1.110439977585</v>
      </c>
      <c r="AE2360">
        <v>2.9823</v>
      </c>
      <c r="AF2360">
        <v>2.7853405333589101</v>
      </c>
      <c r="AG2360">
        <v>-1.110439977585</v>
      </c>
      <c r="AH2360">
        <v>24.836281711351401</v>
      </c>
      <c r="AI2360">
        <v>92.544084464169202</v>
      </c>
      <c r="AJ2360">
        <v>83.601127338397902</v>
      </c>
      <c r="AK2360">
        <v>25.016636226243499</v>
      </c>
      <c r="AL2360">
        <v>79.163612843229899</v>
      </c>
      <c r="AM2360">
        <v>92.695046447310901</v>
      </c>
      <c r="AN2360">
        <v>0.99999998132517798</v>
      </c>
    </row>
    <row r="2361" spans="1:40" x14ac:dyDescent="0.25">
      <c r="A2361" t="str">
        <f>"20190312172415948"</f>
        <v>20190312172415948</v>
      </c>
      <c r="B2361" t="str">
        <f>"1552382655942531"</f>
        <v>1552382655942531</v>
      </c>
      <c r="C2361" t="s">
        <v>40</v>
      </c>
      <c r="D2361">
        <v>3.7146870000000001</v>
      </c>
      <c r="E2361">
        <v>0.56061419999999995</v>
      </c>
      <c r="F2361" t="s">
        <v>47</v>
      </c>
      <c r="G2361">
        <v>-458.96159999999998</v>
      </c>
      <c r="H2361" s="1">
        <v>3.0999609999999999E-6</v>
      </c>
      <c r="I2361">
        <v>287.63990000000001</v>
      </c>
      <c r="J2361">
        <v>-434.26560000000001</v>
      </c>
      <c r="K2361">
        <v>1.1104449999999999</v>
      </c>
      <c r="L2361">
        <v>284.69729999999998</v>
      </c>
      <c r="M2361">
        <v>-0.9998667</v>
      </c>
      <c r="N2361">
        <v>0</v>
      </c>
      <c r="O2361">
        <v>7.6970160000000001E-3</v>
      </c>
      <c r="P2361">
        <v>-0.98393249999999999</v>
      </c>
      <c r="Q2361">
        <v>0.1741856</v>
      </c>
      <c r="R2361">
        <v>-3.9195130000000002E-2</v>
      </c>
      <c r="S2361">
        <v>-3.087189</v>
      </c>
      <c r="T2361">
        <v>-0.13709470000000001</v>
      </c>
      <c r="U2361">
        <v>0.36358639999999998</v>
      </c>
      <c r="V2361">
        <v>-4.6760940000000001E-2</v>
      </c>
      <c r="W2361">
        <v>0.1883456</v>
      </c>
      <c r="X2361">
        <v>0.980989</v>
      </c>
      <c r="Y2361">
        <v>0.1092172</v>
      </c>
      <c r="Z2361">
        <v>2.0750510000000001E-3</v>
      </c>
      <c r="AA2361">
        <v>0.9940158</v>
      </c>
      <c r="AB2361">
        <v>32</v>
      </c>
      <c r="AC2361">
        <v>-24.695999999999898</v>
      </c>
      <c r="AD2361">
        <v>-1.110441900039</v>
      </c>
      <c r="AE2361">
        <v>2.9426000000000201</v>
      </c>
      <c r="AF2361">
        <v>2.74693159419042</v>
      </c>
      <c r="AG2361">
        <v>-1.110441900039</v>
      </c>
      <c r="AH2361">
        <v>24.668742773697701</v>
      </c>
      <c r="AI2361">
        <v>92.561568780610202</v>
      </c>
      <c r="AJ2361">
        <v>83.646134295473601</v>
      </c>
      <c r="AK2361">
        <v>24.8460376002168</v>
      </c>
      <c r="AL2361">
        <v>79.143749349466404</v>
      </c>
      <c r="AM2361">
        <v>92.729060243851194</v>
      </c>
      <c r="AN2361">
        <v>1.0000000343350199</v>
      </c>
    </row>
    <row r="2362" spans="1:40" x14ac:dyDescent="0.25">
      <c r="A2362" t="str">
        <f>"20190312172415972"</f>
        <v>20190312172415972</v>
      </c>
      <c r="B2362" t="str">
        <f>"1552382655962051"</f>
        <v>1552382655962051</v>
      </c>
      <c r="C2362" t="s">
        <v>40</v>
      </c>
      <c r="D2362">
        <v>3.7777810000000001</v>
      </c>
      <c r="E2362">
        <v>0.56057919999999895</v>
      </c>
      <c r="F2362" t="s">
        <v>47</v>
      </c>
      <c r="G2362">
        <v>-459.47890000000001</v>
      </c>
      <c r="H2362" s="1">
        <v>3.3744470000000001E-6</v>
      </c>
      <c r="I2362">
        <v>287.65800000000002</v>
      </c>
      <c r="J2362">
        <v>-434.6035</v>
      </c>
      <c r="K2362">
        <v>1.110447</v>
      </c>
      <c r="L2362">
        <v>284.69990000000001</v>
      </c>
      <c r="M2362">
        <v>-0.9998667</v>
      </c>
      <c r="N2362">
        <v>0</v>
      </c>
      <c r="O2362">
        <v>7.697041E-3</v>
      </c>
      <c r="P2362">
        <v>-0.98381759999999996</v>
      </c>
      <c r="Q2362">
        <v>0.17466189999999901</v>
      </c>
      <c r="R2362">
        <v>-3.9954179999999999E-2</v>
      </c>
      <c r="S2362">
        <v>-3.087494</v>
      </c>
      <c r="T2362">
        <v>-0.13597890000000001</v>
      </c>
      <c r="U2362">
        <v>0.3625488</v>
      </c>
      <c r="V2362">
        <v>-4.7519489999999998E-2</v>
      </c>
      <c r="W2362">
        <v>0.1888167</v>
      </c>
      <c r="X2362">
        <v>0.98086200000000001</v>
      </c>
      <c r="Y2362">
        <v>0.10887819999999999</v>
      </c>
      <c r="Z2362">
        <v>2.0505810000000001E-3</v>
      </c>
      <c r="AA2362">
        <v>0.99405299999999996</v>
      </c>
      <c r="AB2362">
        <v>32</v>
      </c>
      <c r="AC2362">
        <v>-24.875399999999999</v>
      </c>
      <c r="AD2362">
        <v>-1.1104436255529999</v>
      </c>
      <c r="AE2362">
        <v>2.9581</v>
      </c>
      <c r="AF2362">
        <v>2.7611000684804301</v>
      </c>
      <c r="AG2362">
        <v>-1.1104436255529999</v>
      </c>
      <c r="AH2362">
        <v>24.848607345166599</v>
      </c>
      <c r="AI2362">
        <v>92.543121263913804</v>
      </c>
      <c r="AJ2362">
        <v>83.659480959706897</v>
      </c>
      <c r="AK2362">
        <v>25.0261871971733</v>
      </c>
      <c r="AL2362">
        <v>79.116264392517905</v>
      </c>
      <c r="AM2362">
        <v>92.773620664270496</v>
      </c>
      <c r="AN2362">
        <v>1.00000005558637</v>
      </c>
    </row>
    <row r="2363" spans="1:40" x14ac:dyDescent="0.25">
      <c r="A2363" t="str">
        <f>"20190312172415994"</f>
        <v>20190312172415994</v>
      </c>
      <c r="B2363" t="str">
        <f>"1552382655982078"</f>
        <v>1552382655982078</v>
      </c>
      <c r="C2363" t="s">
        <v>40</v>
      </c>
      <c r="D2363">
        <v>3.7168420000000002</v>
      </c>
      <c r="E2363">
        <v>0.52199510000000005</v>
      </c>
      <c r="F2363" t="s">
        <v>47</v>
      </c>
      <c r="G2363">
        <v>-460.06509999999997</v>
      </c>
      <c r="H2363" s="1">
        <v>-1.6355649999999999E-6</v>
      </c>
      <c r="I2363">
        <v>287.66820000000001</v>
      </c>
      <c r="J2363">
        <v>-434.9144</v>
      </c>
      <c r="K2363">
        <v>1.1104510000000001</v>
      </c>
      <c r="L2363">
        <v>284.70240000000001</v>
      </c>
      <c r="M2363">
        <v>-0.9998667</v>
      </c>
      <c r="N2363">
        <v>0</v>
      </c>
      <c r="O2363">
        <v>7.6970650000000003E-3</v>
      </c>
      <c r="P2363">
        <v>-0.98368929999999999</v>
      </c>
      <c r="Q2363">
        <v>0.17512610000000001</v>
      </c>
      <c r="R2363">
        <v>-4.1064990000000003E-2</v>
      </c>
      <c r="S2363">
        <v>-3.08786</v>
      </c>
      <c r="T2363">
        <v>-0.13466979999999901</v>
      </c>
      <c r="U2363">
        <v>0.35998540000000001</v>
      </c>
      <c r="V2363">
        <v>-4.8629169999999999E-2</v>
      </c>
      <c r="W2363">
        <v>0.18927550000000001</v>
      </c>
      <c r="X2363">
        <v>0.98071909999999896</v>
      </c>
      <c r="Y2363">
        <v>0.108053</v>
      </c>
      <c r="Z2363">
        <v>2.0127890000000001E-3</v>
      </c>
      <c r="AA2363">
        <v>0.99414309999999995</v>
      </c>
      <c r="AB2363">
        <v>32</v>
      </c>
      <c r="AC2363">
        <v>-25.150699999999901</v>
      </c>
      <c r="AD2363">
        <v>-1.110452635565</v>
      </c>
      <c r="AE2363">
        <v>2.9658000000000002</v>
      </c>
      <c r="AF2363">
        <v>2.7667858931448701</v>
      </c>
      <c r="AG2363">
        <v>-1.110452635565</v>
      </c>
      <c r="AH2363">
        <v>25.124479301579399</v>
      </c>
      <c r="AI2363">
        <v>92.515526539175497</v>
      </c>
      <c r="AJ2363">
        <v>83.715732034677004</v>
      </c>
      <c r="AK2363">
        <v>25.300744443787199</v>
      </c>
      <c r="AL2363">
        <v>79.089493567236403</v>
      </c>
      <c r="AM2363">
        <v>92.838698722425505</v>
      </c>
      <c r="AN2363">
        <v>0.99999998208997398</v>
      </c>
    </row>
    <row r="2364" spans="1:40" x14ac:dyDescent="0.25">
      <c r="A2364" t="str">
        <f>"20190312172416015"</f>
        <v>20190312172416015</v>
      </c>
      <c r="B2364" t="str">
        <f>"1552382656012334"</f>
        <v>1552382656012334</v>
      </c>
      <c r="C2364" t="s">
        <v>40</v>
      </c>
      <c r="D2364">
        <v>3.6286339999999999</v>
      </c>
      <c r="E2364">
        <v>0.50083069999999996</v>
      </c>
      <c r="F2364" t="s">
        <v>47</v>
      </c>
      <c r="G2364">
        <v>-460.5487</v>
      </c>
      <c r="H2364" s="1">
        <v>-1.2663770000000001E-6</v>
      </c>
      <c r="I2364">
        <v>285.11040000000003</v>
      </c>
      <c r="J2364">
        <v>-435.21609999999998</v>
      </c>
      <c r="K2364">
        <v>1.110452</v>
      </c>
      <c r="L2364">
        <v>284.7047</v>
      </c>
      <c r="M2364">
        <v>-0.9998667</v>
      </c>
      <c r="N2364">
        <v>0</v>
      </c>
      <c r="O2364">
        <v>7.696909E-3</v>
      </c>
      <c r="P2364">
        <v>-0.9836068</v>
      </c>
      <c r="Q2364">
        <v>0.1753448</v>
      </c>
      <c r="R2364">
        <v>-4.2094529999999998E-2</v>
      </c>
      <c r="S2364">
        <v>-3.0755309999999998</v>
      </c>
      <c r="T2364">
        <v>-0.13322890000000001</v>
      </c>
      <c r="U2364">
        <v>4.8950199999999902E-2</v>
      </c>
      <c r="V2364">
        <v>-4.96582E-2</v>
      </c>
      <c r="W2364">
        <v>0.18948999999999999</v>
      </c>
      <c r="X2364">
        <v>0.98062609999999995</v>
      </c>
      <c r="Y2364">
        <v>8.2163069999999904E-3</v>
      </c>
      <c r="Z2364">
        <v>-1.5540549999999999E-4</v>
      </c>
      <c r="AA2364">
        <v>0.99996620000000003</v>
      </c>
      <c r="AB2364">
        <v>32</v>
      </c>
      <c r="AC2364">
        <v>-25.332599999999999</v>
      </c>
      <c r="AD2364">
        <v>-1.1104532663769999</v>
      </c>
      <c r="AE2364">
        <v>0.40570000000002399</v>
      </c>
      <c r="AF2364">
        <v>0.210281093965595</v>
      </c>
      <c r="AG2364">
        <v>-1.1104532663769999</v>
      </c>
      <c r="AH2364">
        <v>25.286396984736101</v>
      </c>
      <c r="AI2364">
        <v>92.514444295932805</v>
      </c>
      <c r="AJ2364">
        <v>89.523540602443703</v>
      </c>
      <c r="AK2364">
        <v>25.3116415324047</v>
      </c>
      <c r="AL2364">
        <v>79.076977009915595</v>
      </c>
      <c r="AM2364">
        <v>92.8989407806272</v>
      </c>
      <c r="AN2364">
        <v>0.99999997246422401</v>
      </c>
    </row>
    <row r="2365" spans="1:40" x14ac:dyDescent="0.25">
      <c r="A2365" t="str">
        <f>"20190312172416037"</f>
        <v>20190312172416037</v>
      </c>
      <c r="B2365" t="str">
        <f>"1552382656032833"</f>
        <v>1552382656032833</v>
      </c>
      <c r="C2365" t="s">
        <v>40</v>
      </c>
      <c r="D2365">
        <v>3.6190159999999998</v>
      </c>
      <c r="E2365">
        <v>0.49559540000000002</v>
      </c>
      <c r="F2365" t="s">
        <v>47</v>
      </c>
      <c r="G2365">
        <v>-461.82990000000001</v>
      </c>
      <c r="H2365" s="1">
        <v>-5.202577E-7</v>
      </c>
      <c r="I2365">
        <v>283.6379</v>
      </c>
      <c r="J2365">
        <v>-435.53519999999997</v>
      </c>
      <c r="K2365">
        <v>1.110452</v>
      </c>
      <c r="L2365">
        <v>284.70710000000003</v>
      </c>
      <c r="M2365">
        <v>-0.9998667</v>
      </c>
      <c r="N2365">
        <v>0</v>
      </c>
      <c r="O2365">
        <v>7.6966409999999997E-3</v>
      </c>
      <c r="P2365">
        <v>-0.98365720000000001</v>
      </c>
      <c r="Q2365">
        <v>0.1747031</v>
      </c>
      <c r="R2365">
        <v>-4.3562070000000001E-2</v>
      </c>
      <c r="S2365">
        <v>-3.0675349999999999</v>
      </c>
      <c r="T2365">
        <v>-0.12799199999999999</v>
      </c>
      <c r="U2365">
        <v>-0.1229553</v>
      </c>
      <c r="V2365">
        <v>-5.1125400000000001E-2</v>
      </c>
      <c r="W2365">
        <v>0.18884519999999999</v>
      </c>
      <c r="X2365">
        <v>0.98067510000000002</v>
      </c>
      <c r="Y2365">
        <v>-4.7692579999999998E-2</v>
      </c>
      <c r="Z2365">
        <v>-1.31506299999999E-3</v>
      </c>
      <c r="AA2365">
        <v>0.9988612</v>
      </c>
      <c r="AB2365">
        <v>32</v>
      </c>
      <c r="AC2365">
        <v>-26.294699999999999</v>
      </c>
      <c r="AD2365">
        <v>-1.1104525202577</v>
      </c>
      <c r="AE2365">
        <v>-1.0692000000000199</v>
      </c>
      <c r="AF2365">
        <v>-1.2693101467443499</v>
      </c>
      <c r="AG2365">
        <v>-1.1104525202577</v>
      </c>
      <c r="AH2365">
        <v>26.238971968639301</v>
      </c>
      <c r="AI2365">
        <v>92.420526127206202</v>
      </c>
      <c r="AJ2365">
        <v>92.769524055349194</v>
      </c>
      <c r="AK2365">
        <v>26.293115125816001</v>
      </c>
      <c r="AL2365">
        <v>79.114600758071603</v>
      </c>
      <c r="AM2365">
        <v>92.984291339202997</v>
      </c>
      <c r="AN2365">
        <v>0.99999998392410405</v>
      </c>
    </row>
    <row r="2366" spans="1:40" x14ac:dyDescent="0.25">
      <c r="A2366" t="str">
        <f>"20190312172416060"</f>
        <v>20190312172416060</v>
      </c>
      <c r="B2366" t="str">
        <f>"1552382656052353"</f>
        <v>1552382656052353</v>
      </c>
      <c r="C2366" t="s">
        <v>40</v>
      </c>
      <c r="D2366">
        <v>3.6176460000000001</v>
      </c>
      <c r="E2366">
        <v>0.49268190000000001</v>
      </c>
      <c r="F2366" t="s">
        <v>47</v>
      </c>
      <c r="G2366">
        <v>-461.99860000000001</v>
      </c>
      <c r="H2366" s="1">
        <v>-4.1347109999999998E-7</v>
      </c>
      <c r="I2366">
        <v>283.2491</v>
      </c>
      <c r="J2366">
        <v>-435.85169999999999</v>
      </c>
      <c r="K2366">
        <v>1.1104430000000001</v>
      </c>
      <c r="L2366">
        <v>284.70949999999999</v>
      </c>
      <c r="M2366">
        <v>-0.99986679999999994</v>
      </c>
      <c r="N2366">
        <v>0</v>
      </c>
      <c r="O2366">
        <v>7.6963090000000001E-3</v>
      </c>
      <c r="P2366">
        <v>-0.98357640000000002</v>
      </c>
      <c r="Q2366">
        <v>0.17490810000000001</v>
      </c>
      <c r="R2366">
        <v>-4.4551199999999902E-2</v>
      </c>
      <c r="S2366">
        <v>-3.0652159999999999</v>
      </c>
      <c r="T2366">
        <v>-0.12862219999999999</v>
      </c>
      <c r="U2366">
        <v>-0.16888429999999999</v>
      </c>
      <c r="V2366">
        <v>-5.2113739999999999E-2</v>
      </c>
      <c r="W2366">
        <v>0.18904560000000001</v>
      </c>
      <c r="X2366">
        <v>0.98058440000000002</v>
      </c>
      <c r="Y2366">
        <v>-6.2635700000000002E-2</v>
      </c>
      <c r="Z2366">
        <v>-1.635196E-3</v>
      </c>
      <c r="AA2366">
        <v>0.99803509999999995</v>
      </c>
      <c r="AB2366">
        <v>32</v>
      </c>
      <c r="AC2366">
        <v>-26.146899999999999</v>
      </c>
      <c r="AD2366">
        <v>-1.1104434134711001</v>
      </c>
      <c r="AE2366">
        <v>-1.4603999999999899</v>
      </c>
      <c r="AF2366">
        <v>-1.6586299206364701</v>
      </c>
      <c r="AG2366">
        <v>-1.1104434134711001</v>
      </c>
      <c r="AH2366">
        <v>26.087977324985701</v>
      </c>
      <c r="AI2366">
        <v>92.432437255284896</v>
      </c>
      <c r="AJ2366">
        <v>93.637873331905695</v>
      </c>
      <c r="AK2366">
        <v>26.164225551258301</v>
      </c>
      <c r="AL2366">
        <v>79.102907399842593</v>
      </c>
      <c r="AM2366">
        <v>93.042156222739195</v>
      </c>
      <c r="AN2366">
        <v>0.99999992314974995</v>
      </c>
    </row>
    <row r="2367" spans="1:40" x14ac:dyDescent="0.25">
      <c r="A2367" t="str">
        <f>"20190312172416082"</f>
        <v>20190312172416082</v>
      </c>
      <c r="B2367" t="str">
        <f>"1552382656072846"</f>
        <v>1552382656072846</v>
      </c>
      <c r="C2367" t="s">
        <v>40</v>
      </c>
      <c r="D2367">
        <v>3.6092559999999998</v>
      </c>
      <c r="E2367">
        <v>0.49081859999999999</v>
      </c>
      <c r="F2367" t="s">
        <v>47</v>
      </c>
      <c r="G2367">
        <v>-462.23070000000001</v>
      </c>
      <c r="H2367" s="1">
        <v>-2.8032979999999999E-7</v>
      </c>
      <c r="I2367">
        <v>283.02839999999998</v>
      </c>
      <c r="J2367">
        <v>-436.1601</v>
      </c>
      <c r="K2367">
        <v>1.1104400000000001</v>
      </c>
      <c r="L2367">
        <v>284.71190000000001</v>
      </c>
      <c r="M2367">
        <v>-0.99986679999999994</v>
      </c>
      <c r="N2367">
        <v>0</v>
      </c>
      <c r="O2367">
        <v>7.6996979999999996E-3</v>
      </c>
      <c r="P2367">
        <v>-0.98348150000000001</v>
      </c>
      <c r="Q2367">
        <v>0.175252399999999</v>
      </c>
      <c r="R2367">
        <v>-4.5287330000000001E-2</v>
      </c>
      <c r="S2367">
        <v>-3.064209</v>
      </c>
      <c r="T2367">
        <v>-0.1289902</v>
      </c>
      <c r="U2367">
        <v>-0.19528200000000001</v>
      </c>
      <c r="V2367">
        <v>-5.2851309999999999E-2</v>
      </c>
      <c r="W2367">
        <v>0.18938550000000001</v>
      </c>
      <c r="X2367">
        <v>0.9804794</v>
      </c>
      <c r="Y2367">
        <v>-7.1214349999999996E-2</v>
      </c>
      <c r="Z2367">
        <v>-1.820435E-3</v>
      </c>
      <c r="AA2367">
        <v>0.9974594</v>
      </c>
      <c r="AB2367">
        <v>32</v>
      </c>
      <c r="AC2367">
        <v>-26.070599999999999</v>
      </c>
      <c r="AD2367">
        <v>-1.1104402803297999</v>
      </c>
      <c r="AE2367">
        <v>-1.68350000000003</v>
      </c>
      <c r="AF2367">
        <v>-1.8808086025155699</v>
      </c>
      <c r="AG2367">
        <v>-1.1104402803297999</v>
      </c>
      <c r="AH2367">
        <v>26.009871734479098</v>
      </c>
      <c r="AI2367">
        <v>92.438287184734904</v>
      </c>
      <c r="AJ2367">
        <v>94.135935611780894</v>
      </c>
      <c r="AK2367">
        <v>26.101416556568999</v>
      </c>
      <c r="AL2367">
        <v>79.083075041045205</v>
      </c>
      <c r="AM2367">
        <v>93.085459260733401</v>
      </c>
      <c r="AN2367">
        <v>0.99999999120166305</v>
      </c>
    </row>
    <row r="2368" spans="1:40" x14ac:dyDescent="0.25">
      <c r="A2368" t="str">
        <f>"20190312172416104"</f>
        <v>20190312172416104</v>
      </c>
      <c r="B2368" t="str">
        <f>"1552382656092365"</f>
        <v>1552382656092365</v>
      </c>
      <c r="C2368" t="s">
        <v>40</v>
      </c>
      <c r="D2368">
        <v>3.65265</v>
      </c>
      <c r="E2368">
        <v>0.4896335</v>
      </c>
      <c r="F2368" t="s">
        <v>47</v>
      </c>
      <c r="G2368">
        <v>-462.584</v>
      </c>
      <c r="H2368" s="1">
        <v>-8.5581529999999994E-8</v>
      </c>
      <c r="I2368">
        <v>282.87509999999997</v>
      </c>
      <c r="J2368">
        <v>-436.47</v>
      </c>
      <c r="K2368">
        <v>1.1104369999999999</v>
      </c>
      <c r="L2368">
        <v>284.71429999999998</v>
      </c>
      <c r="M2368">
        <v>-0.9998667</v>
      </c>
      <c r="N2368">
        <v>0</v>
      </c>
      <c r="O2368">
        <v>7.71629699999999E-3</v>
      </c>
      <c r="P2368">
        <v>-0.98353860000000004</v>
      </c>
      <c r="Q2368">
        <v>0.1746772</v>
      </c>
      <c r="R2368">
        <v>-4.6255329999999997E-2</v>
      </c>
      <c r="S2368">
        <v>-3.0634769999999998</v>
      </c>
      <c r="T2368">
        <v>-0.12873960000000001</v>
      </c>
      <c r="U2368">
        <v>-0.21295169999999999</v>
      </c>
      <c r="V2368">
        <v>-5.3832650000000003E-2</v>
      </c>
      <c r="W2368">
        <v>0.1888087</v>
      </c>
      <c r="X2368">
        <v>0.98053729999999995</v>
      </c>
      <c r="Y2368">
        <v>-7.6967789999999994E-2</v>
      </c>
      <c r="Z2368">
        <v>-1.9383790000000001E-3</v>
      </c>
      <c r="AA2368">
        <v>0.99703169999999997</v>
      </c>
      <c r="AB2368">
        <v>32</v>
      </c>
      <c r="AC2368">
        <v>-26.113999999999901</v>
      </c>
      <c r="AD2368">
        <v>-1.11043708558153</v>
      </c>
      <c r="AE2368">
        <v>-1.8391999999999999</v>
      </c>
      <c r="AF2368">
        <v>-2.0370043906363802</v>
      </c>
      <c r="AG2368">
        <v>-1.11043708558153</v>
      </c>
      <c r="AH2368">
        <v>26.052154701594802</v>
      </c>
      <c r="AI2368">
        <v>92.433258396364394</v>
      </c>
      <c r="AJ2368">
        <v>94.470830978779205</v>
      </c>
      <c r="AK2368">
        <v>26.155252283324199</v>
      </c>
      <c r="AL2368">
        <v>79.116730961096295</v>
      </c>
      <c r="AM2368">
        <v>93.142450895993406</v>
      </c>
      <c r="AN2368">
        <v>1.0000000380465</v>
      </c>
    </row>
    <row r="2369" spans="1:40" x14ac:dyDescent="0.25">
      <c r="A2369" t="str">
        <f>"20190312172416127"</f>
        <v>20190312172416127</v>
      </c>
      <c r="B2369" t="str">
        <f>"1552382656122621"</f>
        <v>1552382656122621</v>
      </c>
      <c r="C2369" t="s">
        <v>40</v>
      </c>
      <c r="D2369">
        <v>3.6058780000000001</v>
      </c>
      <c r="E2369">
        <v>0.48845189999999999</v>
      </c>
      <c r="F2369" t="s">
        <v>47</v>
      </c>
      <c r="G2369">
        <v>-462.59429999999998</v>
      </c>
      <c r="H2369" s="1">
        <v>-7.6363280000000004E-8</v>
      </c>
      <c r="I2369">
        <v>282.78930000000003</v>
      </c>
      <c r="J2369">
        <v>-436.79539999999997</v>
      </c>
      <c r="K2369">
        <v>1.11043</v>
      </c>
      <c r="L2369">
        <v>284.71679999999998</v>
      </c>
      <c r="M2369">
        <v>-0.99986649999999999</v>
      </c>
      <c r="N2369">
        <v>0</v>
      </c>
      <c r="O2369">
        <v>7.7487769999999897E-3</v>
      </c>
      <c r="P2369">
        <v>-0.98356239999999995</v>
      </c>
      <c r="Q2369">
        <v>0.1743584</v>
      </c>
      <c r="R2369">
        <v>-4.6951350000000003E-2</v>
      </c>
      <c r="S2369">
        <v>-3.0626829999999998</v>
      </c>
      <c r="T2369">
        <v>-0.13018189999999999</v>
      </c>
      <c r="U2369">
        <v>-0.2256775</v>
      </c>
      <c r="V2369">
        <v>-5.4555159999999998E-2</v>
      </c>
      <c r="W2369">
        <v>0.18848790000000001</v>
      </c>
      <c r="X2369">
        <v>0.98055910000000002</v>
      </c>
      <c r="Y2369">
        <v>-8.1133570000000002E-2</v>
      </c>
      <c r="Z2369">
        <v>-2.0500459999999998E-3</v>
      </c>
      <c r="AA2369">
        <v>0.99670110000000001</v>
      </c>
      <c r="AB2369">
        <v>32</v>
      </c>
      <c r="AC2369">
        <v>-25.7989</v>
      </c>
      <c r="AD2369">
        <v>-1.1104300763632799</v>
      </c>
      <c r="AE2369">
        <v>-1.92749999999995</v>
      </c>
      <c r="AF2369">
        <v>-2.12346065922251</v>
      </c>
      <c r="AG2369">
        <v>-1.1104300763632799</v>
      </c>
      <c r="AH2369">
        <v>25.735774724771201</v>
      </c>
      <c r="AI2369">
        <v>92.462270837366006</v>
      </c>
      <c r="AJ2369">
        <v>94.716794490269507</v>
      </c>
      <c r="AK2369">
        <v>25.847093469284601</v>
      </c>
      <c r="AL2369">
        <v>79.135447652801005</v>
      </c>
      <c r="AM2369">
        <v>93.184470126110995</v>
      </c>
      <c r="AN2369">
        <v>1.00000005126092</v>
      </c>
    </row>
    <row r="2370" spans="1:40" x14ac:dyDescent="0.25">
      <c r="A2370" t="str">
        <f>"20190312172416149"</f>
        <v>20190312172416149</v>
      </c>
      <c r="B2370" t="str">
        <f>"1552382656142141"</f>
        <v>1552382656142141</v>
      </c>
      <c r="C2370" t="s">
        <v>40</v>
      </c>
      <c r="D2370">
        <v>3.6120019999999999</v>
      </c>
      <c r="E2370">
        <v>0.48790359999999999</v>
      </c>
      <c r="F2370" t="s">
        <v>47</v>
      </c>
      <c r="G2370">
        <v>-462.50400000000002</v>
      </c>
      <c r="H2370" s="1">
        <v>-1.2166369999999999E-7</v>
      </c>
      <c r="I2370">
        <v>282.72590000000002</v>
      </c>
      <c r="J2370">
        <v>-437.11259999999999</v>
      </c>
      <c r="K2370">
        <v>1.110411</v>
      </c>
      <c r="L2370">
        <v>284.71929999999998</v>
      </c>
      <c r="M2370">
        <v>-0.99986609999999998</v>
      </c>
      <c r="N2370">
        <v>0</v>
      </c>
      <c r="O2370">
        <v>7.8059059999999996E-3</v>
      </c>
      <c r="P2370">
        <v>-0.98357969999999895</v>
      </c>
      <c r="Q2370">
        <v>0.17426040000000001</v>
      </c>
      <c r="R2370">
        <v>-4.6951649999999998E-2</v>
      </c>
      <c r="S2370">
        <v>-3.0622560000000001</v>
      </c>
      <c r="T2370">
        <v>-0.1322682</v>
      </c>
      <c r="U2370">
        <v>-0.2371521</v>
      </c>
      <c r="V2370">
        <v>-5.4603899999999997E-2</v>
      </c>
      <c r="W2370">
        <v>0.1883891</v>
      </c>
      <c r="X2370">
        <v>0.98057530000000004</v>
      </c>
      <c r="Y2370">
        <v>-8.490752E-2</v>
      </c>
      <c r="Z2370">
        <v>-2.1666749999999999E-3</v>
      </c>
      <c r="AA2370">
        <v>0.99638649999999995</v>
      </c>
      <c r="AB2370">
        <v>32</v>
      </c>
      <c r="AC2370">
        <v>-25.391400000000001</v>
      </c>
      <c r="AD2370">
        <v>-1.11041112166369</v>
      </c>
      <c r="AE2370">
        <v>-1.9933999999999501</v>
      </c>
      <c r="AF2370">
        <v>-2.18740492151717</v>
      </c>
      <c r="AG2370">
        <v>-1.11041112166369</v>
      </c>
      <c r="AH2370">
        <v>25.326924106480998</v>
      </c>
      <c r="AI2370">
        <v>92.501118491457902</v>
      </c>
      <c r="AJ2370">
        <v>94.9362029815223</v>
      </c>
      <c r="AK2370">
        <v>25.445448273615501</v>
      </c>
      <c r="AL2370">
        <v>79.141210944227097</v>
      </c>
      <c r="AM2370">
        <v>93.187256744316699</v>
      </c>
      <c r="AN2370">
        <v>0.99999997893205395</v>
      </c>
    </row>
    <row r="2371" spans="1:40" x14ac:dyDescent="0.25">
      <c r="A2371" t="str">
        <f>"20190312172416172"</f>
        <v>20190312172416172</v>
      </c>
      <c r="B2371" t="str">
        <f>"1552382656162638"</f>
        <v>1552382656162638</v>
      </c>
      <c r="C2371" t="s">
        <v>40</v>
      </c>
      <c r="D2371">
        <v>3.6617220000000001</v>
      </c>
      <c r="E2371">
        <v>0.4873826</v>
      </c>
      <c r="F2371" t="s">
        <v>47</v>
      </c>
      <c r="G2371">
        <v>-462.68729999999999</v>
      </c>
      <c r="H2371" s="1">
        <v>-2.297904E-8</v>
      </c>
      <c r="I2371">
        <v>282.69940000000003</v>
      </c>
      <c r="J2371">
        <v>-437.42689999999999</v>
      </c>
      <c r="K2371">
        <v>1.1103879999999999</v>
      </c>
      <c r="L2371">
        <v>284.72190000000001</v>
      </c>
      <c r="M2371">
        <v>-0.99986540000000002</v>
      </c>
      <c r="N2371">
        <v>0</v>
      </c>
      <c r="O2371">
        <v>7.895984E-3</v>
      </c>
      <c r="P2371">
        <v>-0.98364870000000004</v>
      </c>
      <c r="Q2371">
        <v>0.1740747</v>
      </c>
      <c r="R2371">
        <v>-4.6185820000000002E-2</v>
      </c>
      <c r="S2371">
        <v>-3.062103</v>
      </c>
      <c r="T2371">
        <v>-0.13295170000000001</v>
      </c>
      <c r="U2371">
        <v>-0.24185180000000001</v>
      </c>
      <c r="V2371">
        <v>-5.391663E-2</v>
      </c>
      <c r="W2371">
        <v>0.1882046</v>
      </c>
      <c r="X2371">
        <v>0.98064879999999999</v>
      </c>
      <c r="Y2371">
        <v>-8.651847E-2</v>
      </c>
      <c r="Z2371">
        <v>-2.2166460000000001E-3</v>
      </c>
      <c r="AA2371">
        <v>0.99624780000000002</v>
      </c>
      <c r="AB2371">
        <v>31</v>
      </c>
      <c r="AC2371">
        <v>-25.260400000000001</v>
      </c>
      <c r="AD2371">
        <v>-1.1103880229790399</v>
      </c>
      <c r="AE2371">
        <v>-2.0224999999999702</v>
      </c>
      <c r="AF2371">
        <v>-2.2176554560495298</v>
      </c>
      <c r="AG2371">
        <v>-1.1103880229790399</v>
      </c>
      <c r="AH2371">
        <v>25.195266999324801</v>
      </c>
      <c r="AI2371">
        <v>92.513760141465994</v>
      </c>
      <c r="AJ2371">
        <v>95.0301386024355</v>
      </c>
      <c r="AK2371">
        <v>25.317038461292899</v>
      </c>
      <c r="AL2371">
        <v>79.151975023042596</v>
      </c>
      <c r="AM2371">
        <v>93.146986199190707</v>
      </c>
      <c r="AN2371">
        <v>1.0000000216965701</v>
      </c>
    </row>
    <row r="2372" spans="1:40" x14ac:dyDescent="0.25">
      <c r="A2372" t="str">
        <f>"20190312172416194"</f>
        <v>20190312172416194</v>
      </c>
      <c r="B2372" t="str">
        <f>"1552382656182157"</f>
        <v>1552382656182157</v>
      </c>
      <c r="C2372" t="s">
        <v>40</v>
      </c>
      <c r="D2372">
        <v>3.668256</v>
      </c>
      <c r="E2372">
        <v>0.4869676</v>
      </c>
      <c r="F2372" t="s">
        <v>47</v>
      </c>
      <c r="G2372">
        <v>-462.46899999999999</v>
      </c>
      <c r="H2372" s="1">
        <v>-1.4013220000000001E-7</v>
      </c>
      <c r="I2372">
        <v>282.72269999999997</v>
      </c>
      <c r="J2372">
        <v>-437.73770000000002</v>
      </c>
      <c r="K2372">
        <v>1.1103590000000001</v>
      </c>
      <c r="L2372">
        <v>284.72449999999998</v>
      </c>
      <c r="M2372">
        <v>-0.99986450000000004</v>
      </c>
      <c r="N2372">
        <v>0</v>
      </c>
      <c r="O2372">
        <v>8.0220789999999997E-3</v>
      </c>
      <c r="P2372">
        <v>-0.98375060000000003</v>
      </c>
      <c r="Q2372">
        <v>0.17368789999999901</v>
      </c>
      <c r="R2372">
        <v>-4.5469679999999998E-2</v>
      </c>
      <c r="S2372">
        <v>-3.062408</v>
      </c>
      <c r="T2372">
        <v>-0.13578959999999901</v>
      </c>
      <c r="U2372">
        <v>-0.24447630000000001</v>
      </c>
      <c r="V2372">
        <v>-5.3312249999999999E-2</v>
      </c>
      <c r="W2372">
        <v>0.1878196</v>
      </c>
      <c r="X2372">
        <v>0.98075559999999995</v>
      </c>
      <c r="Y2372">
        <v>-8.7479870000000001E-2</v>
      </c>
      <c r="Z2372">
        <v>-2.2904660000000001E-3</v>
      </c>
      <c r="AA2372">
        <v>0.99616369999999999</v>
      </c>
      <c r="AB2372">
        <v>31</v>
      </c>
      <c r="AC2372">
        <v>-24.731299999999901</v>
      </c>
      <c r="AD2372">
        <v>-1.1103591401321999</v>
      </c>
      <c r="AE2372">
        <v>-2.0017999999999998</v>
      </c>
      <c r="AF2372">
        <v>-2.1957552688343198</v>
      </c>
      <c r="AG2372">
        <v>-1.1103591401321999</v>
      </c>
      <c r="AH2372">
        <v>24.6650492440113</v>
      </c>
      <c r="AI2372">
        <v>92.567433323039296</v>
      </c>
      <c r="AJ2372">
        <v>95.087228283661801</v>
      </c>
      <c r="AK2372">
        <v>24.7874745149681</v>
      </c>
      <c r="AL2372">
        <v>79.174433884161999</v>
      </c>
      <c r="AM2372">
        <v>93.1114414938463</v>
      </c>
      <c r="AN2372">
        <v>0.99999997253779005</v>
      </c>
    </row>
    <row r="2373" spans="1:40" x14ac:dyDescent="0.25">
      <c r="A2373" t="str">
        <f>"20190312172416216"</f>
        <v>20190312172416216</v>
      </c>
      <c r="B2373" t="str">
        <f>"1552382656212417"</f>
        <v>1552382656212417</v>
      </c>
      <c r="C2373" t="s">
        <v>40</v>
      </c>
      <c r="D2373">
        <v>3.6785209999999999</v>
      </c>
      <c r="E2373">
        <v>0.48645899999999997</v>
      </c>
      <c r="F2373" t="s">
        <v>47</v>
      </c>
      <c r="G2373">
        <v>-462.19040000000001</v>
      </c>
      <c r="H2373" s="1">
        <v>-2.9001349999999998E-7</v>
      </c>
      <c r="I2373">
        <v>282.75990000000002</v>
      </c>
      <c r="J2373">
        <v>-438.04590000000002</v>
      </c>
      <c r="K2373">
        <v>1.1103270000000001</v>
      </c>
      <c r="L2373">
        <v>284.72710000000001</v>
      </c>
      <c r="M2373">
        <v>-0.99986330000000001</v>
      </c>
      <c r="N2373">
        <v>0</v>
      </c>
      <c r="O2373">
        <v>8.1839479999999999E-3</v>
      </c>
      <c r="P2373">
        <v>-0.98385259999999997</v>
      </c>
      <c r="Q2373">
        <v>0.17341010000000001</v>
      </c>
      <c r="R2373">
        <v>-4.4307149999999997E-2</v>
      </c>
      <c r="S2373">
        <v>-3.0627749999999998</v>
      </c>
      <c r="T2373">
        <v>-0.13907559999999999</v>
      </c>
      <c r="U2373">
        <v>-0.24606320000000001</v>
      </c>
      <c r="V2373">
        <v>-5.2296460000000003E-2</v>
      </c>
      <c r="W2373">
        <v>0.18754370000000001</v>
      </c>
      <c r="X2373">
        <v>0.98086309999999999</v>
      </c>
      <c r="Y2373">
        <v>-8.8139140000000005E-2</v>
      </c>
      <c r="Z2373">
        <v>-2.367783E-3</v>
      </c>
      <c r="AA2373">
        <v>0.99610540000000003</v>
      </c>
      <c r="AB2373">
        <v>31</v>
      </c>
      <c r="AC2373">
        <v>-24.144499999999901</v>
      </c>
      <c r="AD2373">
        <v>-1.1103272900134999</v>
      </c>
      <c r="AE2373">
        <v>-1.9671999999999901</v>
      </c>
      <c r="AF2373">
        <v>-2.1602135806789802</v>
      </c>
      <c r="AG2373">
        <v>-1.1103272900134999</v>
      </c>
      <c r="AH2373">
        <v>24.07700828978</v>
      </c>
      <c r="AI2373">
        <v>92.629813739083104</v>
      </c>
      <c r="AJ2373">
        <v>95.126907838382905</v>
      </c>
      <c r="AK2373">
        <v>24.199208201741499</v>
      </c>
      <c r="AL2373">
        <v>79.190527971666498</v>
      </c>
      <c r="AM2373">
        <v>93.0519366448775</v>
      </c>
      <c r="AN2373">
        <v>0.99999999003991502</v>
      </c>
    </row>
    <row r="2374" spans="1:40" x14ac:dyDescent="0.25">
      <c r="A2374" t="str">
        <f>"20190312172416239"</f>
        <v>20190312172416239</v>
      </c>
      <c r="B2374" t="str">
        <f>"1552382656232909"</f>
        <v>1552382656232909</v>
      </c>
      <c r="C2374" t="s">
        <v>40</v>
      </c>
      <c r="D2374">
        <v>3.6918329999999999</v>
      </c>
      <c r="E2374">
        <v>0.48613220000000001</v>
      </c>
      <c r="F2374" t="s">
        <v>47</v>
      </c>
      <c r="G2374">
        <v>-461.90260000000001</v>
      </c>
      <c r="H2374" s="1">
        <v>-4.4505519999999999E-7</v>
      </c>
      <c r="I2374">
        <v>282.80290000000002</v>
      </c>
      <c r="J2374">
        <v>-438.36320000000001</v>
      </c>
      <c r="K2374">
        <v>1.1102959999999999</v>
      </c>
      <c r="L2374">
        <v>284.72989999999999</v>
      </c>
      <c r="M2374">
        <v>-0.99986180000000002</v>
      </c>
      <c r="N2374">
        <v>0</v>
      </c>
      <c r="O2374">
        <v>8.3842329999999996E-3</v>
      </c>
      <c r="P2374">
        <v>-0.98393229999999998</v>
      </c>
      <c r="Q2374">
        <v>0.17321310000000001</v>
      </c>
      <c r="R2374">
        <v>-4.330001E-2</v>
      </c>
      <c r="S2374">
        <v>-3.0632929999999998</v>
      </c>
      <c r="T2374">
        <v>-0.14257010000000001</v>
      </c>
      <c r="U2374">
        <v>-0.24707029999999999</v>
      </c>
      <c r="V2374">
        <v>-5.1474310000000002E-2</v>
      </c>
      <c r="W2374">
        <v>0.1873475</v>
      </c>
      <c r="X2374">
        <v>0.98094409999999999</v>
      </c>
      <c r="Y2374">
        <v>-8.8644819999999999E-2</v>
      </c>
      <c r="Z2374">
        <v>-2.4478189999999999E-3</v>
      </c>
      <c r="AA2374">
        <v>0.99606030000000001</v>
      </c>
      <c r="AB2374">
        <v>31</v>
      </c>
      <c r="AC2374">
        <v>-23.539400000000001</v>
      </c>
      <c r="AD2374">
        <v>-1.1102964450552</v>
      </c>
      <c r="AE2374">
        <v>-1.9269999999999601</v>
      </c>
      <c r="AF2374">
        <v>-2.1196280944463601</v>
      </c>
      <c r="AG2374">
        <v>-1.1102964450552</v>
      </c>
      <c r="AH2374">
        <v>23.470545174091999</v>
      </c>
      <c r="AI2374">
        <v>92.697450717617102</v>
      </c>
      <c r="AJ2374">
        <v>95.160390698819398</v>
      </c>
      <c r="AK2374">
        <v>23.592203632212101</v>
      </c>
      <c r="AL2374">
        <v>79.2019724592041</v>
      </c>
      <c r="AM2374">
        <v>93.003798283207303</v>
      </c>
      <c r="AN2374">
        <v>1.0000000088355101</v>
      </c>
    </row>
    <row r="2375" spans="1:40" x14ac:dyDescent="0.25">
      <c r="A2375" t="str">
        <f>"20190312172416261"</f>
        <v>20190312172416261</v>
      </c>
      <c r="B2375" t="str">
        <f>"1552382656252430"</f>
        <v>1552382656252430</v>
      </c>
      <c r="C2375" t="s">
        <v>40</v>
      </c>
      <c r="D2375">
        <v>3.6896550000000001</v>
      </c>
      <c r="E2375">
        <v>0.485844</v>
      </c>
      <c r="F2375" t="s">
        <v>47</v>
      </c>
      <c r="G2375">
        <v>-461.89120000000003</v>
      </c>
      <c r="H2375" s="1">
        <v>-4.5248640000000001E-7</v>
      </c>
      <c r="I2375">
        <v>282.83429999999998</v>
      </c>
      <c r="J2375">
        <v>-438.673</v>
      </c>
      <c r="K2375">
        <v>1.1102730000000001</v>
      </c>
      <c r="L2375">
        <v>284.73270000000002</v>
      </c>
      <c r="M2375">
        <v>-0.99985990000000002</v>
      </c>
      <c r="N2375">
        <v>0</v>
      </c>
      <c r="O2375">
        <v>8.6089219999999998E-3</v>
      </c>
      <c r="P2375">
        <v>-0.98398300000000005</v>
      </c>
      <c r="Q2375">
        <v>0.17318129999999901</v>
      </c>
      <c r="R2375">
        <v>-4.2260069999999997E-2</v>
      </c>
      <c r="S2375">
        <v>-3.0635680000000001</v>
      </c>
      <c r="T2375">
        <v>-0.144570899999999</v>
      </c>
      <c r="U2375">
        <v>-0.2468262</v>
      </c>
      <c r="V2375">
        <v>-5.0645740000000002E-2</v>
      </c>
      <c r="W2375">
        <v>0.1873157</v>
      </c>
      <c r="X2375">
        <v>0.98099329999999996</v>
      </c>
      <c r="Y2375">
        <v>-8.8779289999999997E-2</v>
      </c>
      <c r="Z2375">
        <v>-2.4956679999999999E-3</v>
      </c>
      <c r="AA2375">
        <v>0.99604820000000005</v>
      </c>
      <c r="AB2375">
        <v>31</v>
      </c>
      <c r="AC2375">
        <v>-23.2182</v>
      </c>
      <c r="AD2375">
        <v>-1.1102734524864</v>
      </c>
      <c r="AE2375">
        <v>-1.8984000000000301</v>
      </c>
      <c r="AF2375">
        <v>-2.0934786094352398</v>
      </c>
      <c r="AG2375">
        <v>-1.1102734524864</v>
      </c>
      <c r="AH2375">
        <v>23.148413372767699</v>
      </c>
      <c r="AI2375">
        <v>92.734843997842702</v>
      </c>
      <c r="AJ2375">
        <v>95.167614286486099</v>
      </c>
      <c r="AK2375">
        <v>23.269387647808699</v>
      </c>
      <c r="AL2375">
        <v>79.203827298583093</v>
      </c>
      <c r="AM2375">
        <v>92.955385299246998</v>
      </c>
      <c r="AN2375">
        <v>1.0000000085457601</v>
      </c>
    </row>
    <row r="2376" spans="1:40" x14ac:dyDescent="0.25">
      <c r="A2376" t="str">
        <f>"20190312172416283"</f>
        <v>20190312172416283</v>
      </c>
      <c r="B2376" t="str">
        <f>"1552382656271960"</f>
        <v>1552382656271960</v>
      </c>
      <c r="C2376" t="s">
        <v>40</v>
      </c>
      <c r="D2376">
        <v>3.6554440000000001</v>
      </c>
      <c r="E2376">
        <v>0.48560750000000003</v>
      </c>
      <c r="F2376" t="s">
        <v>47</v>
      </c>
      <c r="G2376">
        <v>-461.97460000000001</v>
      </c>
      <c r="H2376" s="1">
        <v>-4.0937929999999998E-7</v>
      </c>
      <c r="I2376">
        <v>282.8639</v>
      </c>
      <c r="J2376">
        <v>-438.98180000000002</v>
      </c>
      <c r="K2376">
        <v>1.110257</v>
      </c>
      <c r="L2376">
        <v>284.73570000000001</v>
      </c>
      <c r="M2376">
        <v>-0.99985780000000002</v>
      </c>
      <c r="N2376">
        <v>0</v>
      </c>
      <c r="O2376">
        <v>8.8532409999999995E-3</v>
      </c>
      <c r="P2376">
        <v>-0.98402420000000002</v>
      </c>
      <c r="Q2376">
        <v>0.1730342</v>
      </c>
      <c r="R2376">
        <v>-4.1904940000000002E-2</v>
      </c>
      <c r="S2376">
        <v>-3.0639340000000002</v>
      </c>
      <c r="T2376">
        <v>-0.14599000000000001</v>
      </c>
      <c r="U2376">
        <v>-0.24572749999999999</v>
      </c>
      <c r="V2376">
        <v>-5.0523239999999997E-2</v>
      </c>
      <c r="W2376">
        <v>0.18716720000000001</v>
      </c>
      <c r="X2376">
        <v>0.98102800000000001</v>
      </c>
      <c r="Y2376">
        <v>-8.8656059999999995E-2</v>
      </c>
      <c r="Z2376">
        <v>-2.5285630000000002E-3</v>
      </c>
      <c r="AA2376">
        <v>0.99605909999999998</v>
      </c>
      <c r="AB2376">
        <v>31</v>
      </c>
      <c r="AC2376">
        <v>-22.9927999999999</v>
      </c>
      <c r="AD2376">
        <v>-1.1102574093793001</v>
      </c>
      <c r="AE2376">
        <v>-1.8717999999999999</v>
      </c>
      <c r="AF2376">
        <v>-2.0705124678582001</v>
      </c>
      <c r="AG2376">
        <v>-1.1102574093793001</v>
      </c>
      <c r="AH2376">
        <v>22.922230727092401</v>
      </c>
      <c r="AI2376">
        <v>92.761775432592103</v>
      </c>
      <c r="AJ2376">
        <v>95.161389193804794</v>
      </c>
      <c r="AK2376">
        <v>23.042316613151002</v>
      </c>
      <c r="AL2376">
        <v>79.212489338751496</v>
      </c>
      <c r="AM2376">
        <v>92.948145453165907</v>
      </c>
      <c r="AN2376">
        <v>1.00000004765996</v>
      </c>
    </row>
    <row r="2377" spans="1:40" x14ac:dyDescent="0.25">
      <c r="A2377" t="str">
        <f>"20190312172416306"</f>
        <v>20190312172416306</v>
      </c>
      <c r="B2377" t="str">
        <f>"1552382656302206"</f>
        <v>1552382656302206</v>
      </c>
      <c r="C2377" t="s">
        <v>40</v>
      </c>
      <c r="D2377">
        <v>3.6863060000000001</v>
      </c>
      <c r="E2377">
        <v>0.4852766</v>
      </c>
      <c r="F2377" t="s">
        <v>47</v>
      </c>
      <c r="G2377">
        <v>-461.99110000000002</v>
      </c>
      <c r="H2377" s="1">
        <v>-4.0155170000000002E-7</v>
      </c>
      <c r="I2377">
        <v>282.88499999999999</v>
      </c>
      <c r="J2377">
        <v>-439.29719999999998</v>
      </c>
      <c r="K2377">
        <v>1.1102479999999999</v>
      </c>
      <c r="L2377">
        <v>284.73869999999999</v>
      </c>
      <c r="M2377">
        <v>-0.99985539999999995</v>
      </c>
      <c r="N2377">
        <v>0</v>
      </c>
      <c r="O2377">
        <v>9.1151129999999993E-3</v>
      </c>
      <c r="P2377">
        <v>-0.98397579999999996</v>
      </c>
      <c r="Q2377">
        <v>0.17333390000000001</v>
      </c>
      <c r="R2377">
        <v>-4.179952E-2</v>
      </c>
      <c r="S2377">
        <v>-3.0642399999999999</v>
      </c>
      <c r="T2377">
        <v>-0.14785709999999999</v>
      </c>
      <c r="U2377">
        <v>-0.24646000000000001</v>
      </c>
      <c r="V2377">
        <v>-5.0670010000000001E-2</v>
      </c>
      <c r="W2377">
        <v>0.18746409999999999</v>
      </c>
      <c r="X2377">
        <v>0.98096369999999999</v>
      </c>
      <c r="Y2377">
        <v>-8.9141899999999996E-2</v>
      </c>
      <c r="Z2377">
        <v>-2.584893E-3</v>
      </c>
      <c r="AA2377">
        <v>0.9960156</v>
      </c>
      <c r="AB2377">
        <v>31</v>
      </c>
      <c r="AC2377">
        <v>-22.693899999999999</v>
      </c>
      <c r="AD2377">
        <v>-1.11024840155169</v>
      </c>
      <c r="AE2377">
        <v>-1.8536999999999999</v>
      </c>
      <c r="AF2377">
        <v>-2.0556143821050101</v>
      </c>
      <c r="AG2377">
        <v>-1.11024840155169</v>
      </c>
      <c r="AH2377">
        <v>22.6222724710953</v>
      </c>
      <c r="AI2377">
        <v>92.798179134645906</v>
      </c>
      <c r="AJ2377">
        <v>95.192027864654307</v>
      </c>
      <c r="AK2377">
        <v>22.742590304482501</v>
      </c>
      <c r="AL2377">
        <v>79.195171281436103</v>
      </c>
      <c r="AM2377">
        <v>92.956888101438295</v>
      </c>
      <c r="AN2377">
        <v>1.00000000970995</v>
      </c>
    </row>
    <row r="2378" spans="1:40" x14ac:dyDescent="0.25">
      <c r="A2378" t="str">
        <f>"20190312172416328"</f>
        <v>20190312172416328</v>
      </c>
      <c r="B2378" t="str">
        <f>"1552382656322702"</f>
        <v>1552382656322702</v>
      </c>
      <c r="C2378" t="s">
        <v>40</v>
      </c>
      <c r="D2378">
        <v>3.6875260000000001</v>
      </c>
      <c r="E2378">
        <v>0.48508129999999999</v>
      </c>
      <c r="F2378" t="s">
        <v>47</v>
      </c>
      <c r="G2378">
        <v>-462.1823</v>
      </c>
      <c r="H2378" s="1">
        <v>-2.9954780000000002E-7</v>
      </c>
      <c r="I2378">
        <v>282.87880000000001</v>
      </c>
      <c r="J2378">
        <v>-439.61040000000003</v>
      </c>
      <c r="K2378">
        <v>1.110241</v>
      </c>
      <c r="L2378">
        <v>284.74180000000001</v>
      </c>
      <c r="M2378">
        <v>-0.99985299999999999</v>
      </c>
      <c r="N2378">
        <v>0</v>
      </c>
      <c r="O2378">
        <v>9.3810219999999993E-3</v>
      </c>
      <c r="P2378">
        <v>-0.98391439999999997</v>
      </c>
      <c r="Q2378">
        <v>0.17357259999999999</v>
      </c>
      <c r="R2378">
        <v>-4.2252480000000002E-2</v>
      </c>
      <c r="S2378">
        <v>-3.0644529999999999</v>
      </c>
      <c r="T2378">
        <v>-0.14866949999999901</v>
      </c>
      <c r="U2378">
        <v>-0.249054</v>
      </c>
      <c r="V2378">
        <v>-5.1380040000000002E-2</v>
      </c>
      <c r="W2378">
        <v>0.18770020000000001</v>
      </c>
      <c r="X2378">
        <v>0.98088160000000002</v>
      </c>
      <c r="Y2378">
        <v>-9.0236010000000005E-2</v>
      </c>
      <c r="Z2378">
        <v>-2.6381669999999999E-3</v>
      </c>
      <c r="AA2378">
        <v>0.99591689999999999</v>
      </c>
      <c r="AB2378">
        <v>31</v>
      </c>
      <c r="AC2378">
        <v>-22.5718999999999</v>
      </c>
      <c r="AD2378">
        <v>-1.1102412995477999</v>
      </c>
      <c r="AE2378">
        <v>-1.86299999999999</v>
      </c>
      <c r="AF2378">
        <v>-2.0697138275712699</v>
      </c>
      <c r="AG2378">
        <v>-1.1102412995477999</v>
      </c>
      <c r="AH2378">
        <v>22.499362422188899</v>
      </c>
      <c r="AI2378">
        <v>92.813136624082901</v>
      </c>
      <c r="AJ2378">
        <v>95.255840424327999</v>
      </c>
      <c r="AK2378">
        <v>22.621619315961201</v>
      </c>
      <c r="AL2378">
        <v>79.181399101539199</v>
      </c>
      <c r="AM2378">
        <v>92.998497874928702</v>
      </c>
      <c r="AN2378">
        <v>0.99999999340449996</v>
      </c>
    </row>
    <row r="2379" spans="1:40" x14ac:dyDescent="0.25">
      <c r="A2379" t="str">
        <f>"20190312172416351"</f>
        <v>20190312172416351</v>
      </c>
      <c r="B2379" t="str">
        <f>"1552382656342221"</f>
        <v>1552382656342221</v>
      </c>
      <c r="C2379" t="s">
        <v>40</v>
      </c>
      <c r="D2379">
        <v>3.8530470000000001</v>
      </c>
      <c r="E2379">
        <v>0.48493249999999999</v>
      </c>
      <c r="F2379" t="s">
        <v>47</v>
      </c>
      <c r="G2379">
        <v>-462.47730000000001</v>
      </c>
      <c r="H2379" s="1">
        <v>-1.4167889999999999E-7</v>
      </c>
      <c r="I2379">
        <v>282.85860000000002</v>
      </c>
      <c r="J2379">
        <v>-439.91800000000001</v>
      </c>
      <c r="K2379">
        <v>1.1102379999999901</v>
      </c>
      <c r="L2379">
        <v>284.745</v>
      </c>
      <c r="M2379">
        <v>-0.99985049999999998</v>
      </c>
      <c r="N2379">
        <v>0</v>
      </c>
      <c r="O2379">
        <v>9.6433639999999998E-3</v>
      </c>
      <c r="P2379">
        <v>-0.98372700000000002</v>
      </c>
      <c r="Q2379">
        <v>0.17437040000000001</v>
      </c>
      <c r="R2379">
        <v>-4.3315619999999999E-2</v>
      </c>
      <c r="S2379">
        <v>-3.0644529999999999</v>
      </c>
      <c r="T2379">
        <v>-0.1487869</v>
      </c>
      <c r="U2379">
        <v>-0.2523804</v>
      </c>
      <c r="V2379">
        <v>-5.2696890000000003E-2</v>
      </c>
      <c r="W2379">
        <v>0.18849350000000001</v>
      </c>
      <c r="X2379">
        <v>0.98065959999999996</v>
      </c>
      <c r="Y2379">
        <v>-9.1569049999999999E-2</v>
      </c>
      <c r="Z2379">
        <v>-2.6851309999999999E-3</v>
      </c>
      <c r="AA2379">
        <v>0.99579510000000004</v>
      </c>
      <c r="AB2379">
        <v>31</v>
      </c>
      <c r="AC2379">
        <v>-22.5593</v>
      </c>
      <c r="AD2379">
        <v>-1.11023814167889</v>
      </c>
      <c r="AE2379">
        <v>-1.8863999999999801</v>
      </c>
      <c r="AF2379">
        <v>-2.09883405900711</v>
      </c>
      <c r="AG2379">
        <v>-1.11023814167889</v>
      </c>
      <c r="AH2379">
        <v>22.485973969889599</v>
      </c>
      <c r="AI2379">
        <v>92.814452422414902</v>
      </c>
      <c r="AJ2379">
        <v>95.332520500331498</v>
      </c>
      <c r="AK2379">
        <v>22.610987561648798</v>
      </c>
      <c r="AL2379">
        <v>79.135120446949202</v>
      </c>
      <c r="AM2379">
        <v>93.075897338408694</v>
      </c>
      <c r="AN2379">
        <v>1.0000000064150401</v>
      </c>
    </row>
    <row r="2380" spans="1:40" x14ac:dyDescent="0.25">
      <c r="A2380" t="str">
        <f>"20190312172416373"</f>
        <v>20190312172416373</v>
      </c>
      <c r="B2380" t="str">
        <f>"1552382656362718"</f>
        <v>1552382656362718</v>
      </c>
      <c r="C2380" t="s">
        <v>40</v>
      </c>
      <c r="D2380">
        <v>3.7195529999999999</v>
      </c>
      <c r="E2380">
        <v>0.48479240000000001</v>
      </c>
      <c r="F2380" t="s">
        <v>47</v>
      </c>
      <c r="G2380">
        <v>-463.21449999999999</v>
      </c>
      <c r="H2380" s="1">
        <v>2.5352810000000001E-7</v>
      </c>
      <c r="I2380">
        <v>282.7928</v>
      </c>
      <c r="J2380">
        <v>-440.23410000000001</v>
      </c>
      <c r="K2380">
        <v>1.1102430000000001</v>
      </c>
      <c r="L2380">
        <v>284.74829999999997</v>
      </c>
      <c r="M2380">
        <v>-0.99984790000000001</v>
      </c>
      <c r="N2380">
        <v>0</v>
      </c>
      <c r="O2380">
        <v>9.9126579999999995E-3</v>
      </c>
      <c r="P2380">
        <v>-0.98362700000000003</v>
      </c>
      <c r="Q2380">
        <v>0.1747059</v>
      </c>
      <c r="R2380">
        <v>-4.4226990000000001E-2</v>
      </c>
      <c r="S2380">
        <v>-3.064209</v>
      </c>
      <c r="T2380">
        <v>-0.14603070000000001</v>
      </c>
      <c r="U2380">
        <v>-0.25677489999999997</v>
      </c>
      <c r="V2380">
        <v>-5.387082E-2</v>
      </c>
      <c r="W2380">
        <v>0.1888251</v>
      </c>
      <c r="X2380">
        <v>0.98053199999999996</v>
      </c>
      <c r="Y2380">
        <v>-9.3264070000000004E-2</v>
      </c>
      <c r="Z2380">
        <v>-2.6886039999999998E-3</v>
      </c>
      <c r="AA2380">
        <v>0.99563780000000002</v>
      </c>
      <c r="AB2380">
        <v>31</v>
      </c>
      <c r="AC2380">
        <v>-22.9803999999999</v>
      </c>
      <c r="AD2380">
        <v>-1.11024274647189</v>
      </c>
      <c r="AE2380">
        <v>-1.95549999999997</v>
      </c>
      <c r="AF2380">
        <v>-2.17817665893896</v>
      </c>
      <c r="AG2380">
        <v>-1.11024274647189</v>
      </c>
      <c r="AH2380">
        <v>22.906801955359199</v>
      </c>
      <c r="AI2380">
        <v>92.762389037998602</v>
      </c>
      <c r="AJ2380">
        <v>95.431845764500494</v>
      </c>
      <c r="AK2380">
        <v>23.036897975545401</v>
      </c>
      <c r="AL2380">
        <v>79.115773605967505</v>
      </c>
      <c r="AM2380">
        <v>93.144691541626003</v>
      </c>
      <c r="AN2380">
        <v>0.99999999333074097</v>
      </c>
    </row>
    <row r="2381" spans="1:40" x14ac:dyDescent="0.25">
      <c r="A2381" t="str">
        <f>"20190312172416395"</f>
        <v>20190312172416395</v>
      </c>
      <c r="B2381" t="str">
        <f>"1552382656391999"</f>
        <v>1552382656391999</v>
      </c>
      <c r="C2381" t="s">
        <v>40</v>
      </c>
      <c r="D2381">
        <v>3.745317</v>
      </c>
      <c r="E2381">
        <v>0.479798</v>
      </c>
      <c r="F2381" t="s">
        <v>47</v>
      </c>
      <c r="G2381">
        <v>-463.65370000000001</v>
      </c>
      <c r="H2381" s="1">
        <v>4.8885539999999999E-7</v>
      </c>
      <c r="I2381">
        <v>282.75650000000002</v>
      </c>
      <c r="J2381">
        <v>-440.54590000000002</v>
      </c>
      <c r="K2381">
        <v>1.110244</v>
      </c>
      <c r="L2381">
        <v>284.75170000000003</v>
      </c>
      <c r="M2381">
        <v>-0.99984510000000004</v>
      </c>
      <c r="N2381">
        <v>0</v>
      </c>
      <c r="O2381">
        <v>1.018023E-2</v>
      </c>
      <c r="P2381">
        <v>-0.98342540000000001</v>
      </c>
      <c r="Q2381">
        <v>0.1756259</v>
      </c>
      <c r="R2381">
        <v>-4.5056020000000002E-2</v>
      </c>
      <c r="S2381">
        <v>-3.0639949999999998</v>
      </c>
      <c r="T2381">
        <v>-0.1452531</v>
      </c>
      <c r="U2381">
        <v>-0.26058959999999998</v>
      </c>
      <c r="V2381">
        <v>-5.4958729999999997E-2</v>
      </c>
      <c r="W2381">
        <v>0.18973950000000001</v>
      </c>
      <c r="X2381">
        <v>0.98029509999999997</v>
      </c>
      <c r="Y2381">
        <v>-9.4766249999999996E-2</v>
      </c>
      <c r="Z2381">
        <v>-2.7225309999999998E-3</v>
      </c>
      <c r="AA2381">
        <v>0.99549589999999999</v>
      </c>
      <c r="AB2381">
        <v>31</v>
      </c>
      <c r="AC2381">
        <v>-23.107800000000001</v>
      </c>
      <c r="AD2381">
        <v>-1.1102435111446001</v>
      </c>
      <c r="AE2381">
        <v>-1.9952000000000101</v>
      </c>
      <c r="AF2381">
        <v>-2.2252646712140698</v>
      </c>
      <c r="AG2381">
        <v>-1.1102435111446001</v>
      </c>
      <c r="AH2381">
        <v>23.033510526557102</v>
      </c>
      <c r="AI2381">
        <v>92.746821934306297</v>
      </c>
      <c r="AJ2381">
        <v>95.518212841494204</v>
      </c>
      <c r="AK2381">
        <v>23.1673703878539</v>
      </c>
      <c r="AL2381">
        <v>79.062418015556105</v>
      </c>
      <c r="AM2381">
        <v>93.208840242793002</v>
      </c>
      <c r="AN2381">
        <v>1.00000001147373</v>
      </c>
    </row>
    <row r="2382" spans="1:40" x14ac:dyDescent="0.25">
      <c r="A2382" t="str">
        <f>"20190312172416417"</f>
        <v>20190312172416417</v>
      </c>
      <c r="B2382" t="str">
        <f>"1552382656412497"</f>
        <v>1552382656412497</v>
      </c>
      <c r="C2382" t="s">
        <v>40</v>
      </c>
      <c r="D2382">
        <v>3.7375039999999999</v>
      </c>
      <c r="E2382">
        <v>0.48036410000000002</v>
      </c>
      <c r="F2382" t="s">
        <v>47</v>
      </c>
      <c r="G2382">
        <v>-460.26049999999998</v>
      </c>
      <c r="H2382" s="1">
        <v>-1.318723E-6</v>
      </c>
      <c r="I2382">
        <v>282.79899999999998</v>
      </c>
      <c r="J2382">
        <v>-440.8467</v>
      </c>
      <c r="K2382">
        <v>1.110236</v>
      </c>
      <c r="L2382">
        <v>284.755</v>
      </c>
      <c r="M2382">
        <v>-0.99984260000000003</v>
      </c>
      <c r="N2382">
        <v>0</v>
      </c>
      <c r="O2382">
        <v>1.0446840000000001E-2</v>
      </c>
      <c r="P2382">
        <v>-0.9833421</v>
      </c>
      <c r="Q2382">
        <v>0.17589279999999999</v>
      </c>
      <c r="R2382">
        <v>-4.5827930000000003E-2</v>
      </c>
      <c r="S2382">
        <v>-3.0674739999999998</v>
      </c>
      <c r="T2382">
        <v>-0.1727477</v>
      </c>
      <c r="U2382">
        <v>-0.30383300000000002</v>
      </c>
      <c r="V2382">
        <v>-5.5988370000000003E-2</v>
      </c>
      <c r="W2382">
        <v>0.19000310000000001</v>
      </c>
      <c r="X2382">
        <v>0.98018570000000005</v>
      </c>
      <c r="Y2382">
        <v>-0.1087721</v>
      </c>
      <c r="Z2382">
        <v>-3.639481E-3</v>
      </c>
      <c r="AA2382">
        <v>0.99406000000000005</v>
      </c>
      <c r="AB2382">
        <v>31</v>
      </c>
      <c r="AC2382">
        <v>-19.413799999999899</v>
      </c>
      <c r="AD2382">
        <v>-1.1102373187229999</v>
      </c>
      <c r="AE2382">
        <v>-1.95599999999996</v>
      </c>
      <c r="AF2382">
        <v>-2.1517604032878301</v>
      </c>
      <c r="AG2382">
        <v>-1.1102373187229999</v>
      </c>
      <c r="AH2382">
        <v>19.3297222072834</v>
      </c>
      <c r="AI2382">
        <v>93.267137793049997</v>
      </c>
      <c r="AJ2382">
        <v>96.351942902575203</v>
      </c>
      <c r="AK2382">
        <v>19.480781820753101</v>
      </c>
      <c r="AL2382">
        <v>79.047034234823897</v>
      </c>
      <c r="AM2382">
        <v>93.269192052348203</v>
      </c>
      <c r="AN2382">
        <v>0.99999994103467604</v>
      </c>
    </row>
    <row r="2383" spans="1:40" x14ac:dyDescent="0.25">
      <c r="A2383" t="str">
        <f>"20190312172416439"</f>
        <v>20190312172416439</v>
      </c>
      <c r="B2383" t="str">
        <f>"1552382656432014"</f>
        <v>1552382656432014</v>
      </c>
      <c r="C2383" t="s">
        <v>40</v>
      </c>
      <c r="D2383">
        <v>3.8573949999999999</v>
      </c>
      <c r="E2383">
        <v>0.48067789999999999</v>
      </c>
      <c r="F2383" t="s">
        <v>47</v>
      </c>
      <c r="G2383">
        <v>-461.3802</v>
      </c>
      <c r="H2383" s="1">
        <v>-7.20288E-7</v>
      </c>
      <c r="I2383">
        <v>282.73970000000003</v>
      </c>
      <c r="J2383">
        <v>-441.15780000000001</v>
      </c>
      <c r="K2383">
        <v>1.1102270000000001</v>
      </c>
      <c r="L2383">
        <v>284.75850000000003</v>
      </c>
      <c r="M2383">
        <v>-0.99983940000000004</v>
      </c>
      <c r="N2383">
        <v>0</v>
      </c>
      <c r="O2383">
        <v>1.074289E-2</v>
      </c>
      <c r="P2383">
        <v>-0.9832166</v>
      </c>
      <c r="Q2383">
        <v>0.17633180000000001</v>
      </c>
      <c r="R2383">
        <v>-4.6819890000000003E-2</v>
      </c>
      <c r="S2383">
        <v>-3.0664669999999998</v>
      </c>
      <c r="T2383">
        <v>-0.165802799999999</v>
      </c>
      <c r="U2383">
        <v>-0.30096440000000002</v>
      </c>
      <c r="V2383">
        <v>-5.7263559999999998E-2</v>
      </c>
      <c r="W2383">
        <v>0.1904399</v>
      </c>
      <c r="X2383">
        <v>0.98002730000000005</v>
      </c>
      <c r="Y2383">
        <v>-0.1081925</v>
      </c>
      <c r="Z2383">
        <v>-3.4950189999999998E-3</v>
      </c>
      <c r="AA2383">
        <v>0.9941238</v>
      </c>
      <c r="AB2383">
        <v>31</v>
      </c>
      <c r="AC2383">
        <v>-20.2224</v>
      </c>
      <c r="AD2383">
        <v>-1.110227720288</v>
      </c>
      <c r="AE2383">
        <v>-2.0188000000000001</v>
      </c>
      <c r="AF2383">
        <v>-2.2292998061640401</v>
      </c>
      <c r="AG2383">
        <v>-1.110227720288</v>
      </c>
      <c r="AH2383">
        <v>20.139439373510001</v>
      </c>
      <c r="AI2383">
        <v>93.136236017397493</v>
      </c>
      <c r="AJ2383">
        <v>96.316540418594997</v>
      </c>
      <c r="AK2383">
        <v>20.292841139080199</v>
      </c>
      <c r="AL2383">
        <v>79.0215425203275</v>
      </c>
      <c r="AM2383">
        <v>93.344023233424096</v>
      </c>
      <c r="AN2383">
        <v>0.99999998978058602</v>
      </c>
    </row>
    <row r="2384" spans="1:40" x14ac:dyDescent="0.25">
      <c r="A2384" t="str">
        <f>"20190312172416462"</f>
        <v>20190312172416462</v>
      </c>
      <c r="B2384" t="str">
        <f>"1552382656452510"</f>
        <v>1552382656452510</v>
      </c>
      <c r="C2384" t="s">
        <v>40</v>
      </c>
      <c r="D2384">
        <v>3.8561529999999999</v>
      </c>
      <c r="E2384">
        <v>0.48065449999999998</v>
      </c>
      <c r="F2384" t="s">
        <v>47</v>
      </c>
      <c r="G2384">
        <v>-462.4735</v>
      </c>
      <c r="H2384" s="1">
        <v>-1.3507570000000001E-7</v>
      </c>
      <c r="I2384">
        <v>282.66160000000002</v>
      </c>
      <c r="J2384">
        <v>-441.46589999999998</v>
      </c>
      <c r="K2384">
        <v>1.110212</v>
      </c>
      <c r="L2384">
        <v>284.76220000000001</v>
      </c>
      <c r="M2384">
        <v>-0.99983610000000001</v>
      </c>
      <c r="N2384">
        <v>0</v>
      </c>
      <c r="O2384">
        <v>1.1071050000000001E-2</v>
      </c>
      <c r="P2384">
        <v>-0.98316550000000003</v>
      </c>
      <c r="Q2384">
        <v>0.1764144</v>
      </c>
      <c r="R2384">
        <v>-4.7582909999999999E-2</v>
      </c>
      <c r="S2384">
        <v>-3.0654910000000002</v>
      </c>
      <c r="T2384">
        <v>-0.15966629999999901</v>
      </c>
      <c r="U2384">
        <v>-0.30157469999999997</v>
      </c>
      <c r="V2384">
        <v>-5.8337399999999998E-2</v>
      </c>
      <c r="W2384">
        <v>0.1905222</v>
      </c>
      <c r="X2384">
        <v>0.97994800000000004</v>
      </c>
      <c r="Y2384">
        <v>-0.1087568</v>
      </c>
      <c r="Z2384">
        <v>-3.398571E-3</v>
      </c>
      <c r="AA2384">
        <v>0.99406260000000002</v>
      </c>
      <c r="AB2384">
        <v>31</v>
      </c>
      <c r="AC2384">
        <v>-21.0076</v>
      </c>
      <c r="AD2384">
        <v>-1.1102121350756999</v>
      </c>
      <c r="AE2384">
        <v>-2.10059999999998</v>
      </c>
      <c r="AF2384">
        <v>-2.3266375001227502</v>
      </c>
      <c r="AG2384">
        <v>-1.1102121350756999</v>
      </c>
      <c r="AH2384">
        <v>20.925190123773699</v>
      </c>
      <c r="AI2384">
        <v>93.018485141655006</v>
      </c>
      <c r="AJ2384">
        <v>96.344563572203498</v>
      </c>
      <c r="AK2384">
        <v>21.0833914434543</v>
      </c>
      <c r="AL2384">
        <v>79.016739488016995</v>
      </c>
      <c r="AM2384">
        <v>93.406861019970407</v>
      </c>
      <c r="AN2384">
        <v>1.00000002181779</v>
      </c>
    </row>
    <row r="2385" spans="1:40" x14ac:dyDescent="0.25">
      <c r="A2385" t="str">
        <f>"20190312172416484"</f>
        <v>20190312172416484</v>
      </c>
      <c r="B2385" t="str">
        <f>"1552382656472030"</f>
        <v>1552382656472030</v>
      </c>
      <c r="C2385" t="s">
        <v>40</v>
      </c>
      <c r="D2385">
        <v>3.8787379999999998</v>
      </c>
      <c r="E2385">
        <v>0.4802594</v>
      </c>
      <c r="F2385" t="s">
        <v>47</v>
      </c>
      <c r="G2385">
        <v>-462.98809999999997</v>
      </c>
      <c r="H2385" s="1">
        <v>1.40273E-7</v>
      </c>
      <c r="I2385">
        <v>282.62700000000001</v>
      </c>
      <c r="J2385">
        <v>-441.77140000000003</v>
      </c>
      <c r="K2385">
        <v>1.110177</v>
      </c>
      <c r="L2385">
        <v>284.76600000000002</v>
      </c>
      <c r="M2385">
        <v>-0.9998319</v>
      </c>
      <c r="N2385">
        <v>0</v>
      </c>
      <c r="O2385">
        <v>1.1447799999999999E-2</v>
      </c>
      <c r="P2385">
        <v>-0.98316179999999997</v>
      </c>
      <c r="Q2385">
        <v>0.17612659999999999</v>
      </c>
      <c r="R2385">
        <v>-4.8708550000000003E-2</v>
      </c>
      <c r="S2385">
        <v>-3.0650330000000001</v>
      </c>
      <c r="T2385">
        <v>-0.15810859999999999</v>
      </c>
      <c r="U2385">
        <v>-0.30407709999999999</v>
      </c>
      <c r="V2385">
        <v>-5.9817290000000002E-2</v>
      </c>
      <c r="W2385">
        <v>0.19023709999999999</v>
      </c>
      <c r="X2385">
        <v>0.97991410000000001</v>
      </c>
      <c r="Y2385">
        <v>-0.10995050000000001</v>
      </c>
      <c r="Z2385">
        <v>-3.415899E-3</v>
      </c>
      <c r="AA2385">
        <v>0.99393120000000001</v>
      </c>
      <c r="AB2385">
        <v>31</v>
      </c>
      <c r="AC2385">
        <v>-21.2166999999999</v>
      </c>
      <c r="AD2385">
        <v>-1.1101768597270001</v>
      </c>
      <c r="AE2385">
        <v>-2.1389999999999501</v>
      </c>
      <c r="AF2385">
        <v>-2.3753311111073798</v>
      </c>
      <c r="AG2385">
        <v>-1.1101768597270001</v>
      </c>
      <c r="AH2385">
        <v>21.133539275522899</v>
      </c>
      <c r="AI2385">
        <v>92.988288392505595</v>
      </c>
      <c r="AJ2385">
        <v>96.412917984793594</v>
      </c>
      <c r="AK2385">
        <v>21.2955669766583</v>
      </c>
      <c r="AL2385">
        <v>79.033378073875596</v>
      </c>
      <c r="AM2385">
        <v>93.493194691893507</v>
      </c>
      <c r="AN2385">
        <v>0.99999995288908095</v>
      </c>
    </row>
    <row r="2386" spans="1:40" x14ac:dyDescent="0.25">
      <c r="A2386" t="str">
        <f>"20190312172416498"</f>
        <v>20190312172416498</v>
      </c>
      <c r="B2386" t="str">
        <f>"1552382656492526"</f>
        <v>1552382656492526</v>
      </c>
      <c r="C2386" t="s">
        <v>40</v>
      </c>
      <c r="D2386">
        <v>3.914917</v>
      </c>
      <c r="E2386">
        <v>0.47988609999999998</v>
      </c>
      <c r="F2386" t="s">
        <v>47</v>
      </c>
      <c r="G2386">
        <v>-462.58069999999998</v>
      </c>
      <c r="H2386" s="1">
        <v>-7.7893229999999995E-8</v>
      </c>
      <c r="I2386">
        <v>282.65859999999998</v>
      </c>
      <c r="J2386">
        <v>-441.9692</v>
      </c>
      <c r="K2386">
        <v>1.110152</v>
      </c>
      <c r="L2386">
        <v>284.76850000000002</v>
      </c>
      <c r="M2386">
        <v>-0.99982879999999996</v>
      </c>
      <c r="N2386">
        <v>0</v>
      </c>
      <c r="O2386">
        <v>1.1713869999999999E-2</v>
      </c>
      <c r="P2386">
        <v>-0.98316789999999998</v>
      </c>
      <c r="Q2386">
        <v>0.17602509999999999</v>
      </c>
      <c r="R2386">
        <v>-4.895592E-2</v>
      </c>
      <c r="S2386">
        <v>-3.0653079999999999</v>
      </c>
      <c r="T2386">
        <v>-0.1635344</v>
      </c>
      <c r="U2386">
        <v>-0.3104248</v>
      </c>
      <c r="V2386">
        <v>-6.0314239999999998E-2</v>
      </c>
      <c r="W2386">
        <v>0.190137</v>
      </c>
      <c r="X2386">
        <v>0.97990310000000003</v>
      </c>
      <c r="Y2386">
        <v>-0.112229</v>
      </c>
      <c r="Z2386">
        <v>-3.6070189999999999E-3</v>
      </c>
      <c r="AA2386">
        <v>0.9936758</v>
      </c>
      <c r="AB2386">
        <v>31</v>
      </c>
      <c r="AC2386">
        <v>-20.6114999999999</v>
      </c>
      <c r="AD2386">
        <v>-1.1101520778932299</v>
      </c>
      <c r="AE2386">
        <v>-2.1099000000000299</v>
      </c>
      <c r="AF2386">
        <v>-2.3444896085806</v>
      </c>
      <c r="AG2386">
        <v>-1.1101520778932299</v>
      </c>
      <c r="AH2386">
        <v>20.526438502727199</v>
      </c>
      <c r="AI2386">
        <v>93.075809972979499</v>
      </c>
      <c r="AJ2386">
        <v>96.515974358185304</v>
      </c>
      <c r="AK2386">
        <v>20.6897014663584</v>
      </c>
      <c r="AL2386">
        <v>79.039220375217994</v>
      </c>
      <c r="AM2386">
        <v>93.522182132035496</v>
      </c>
      <c r="AN2386">
        <v>0.99999998585269301</v>
      </c>
    </row>
    <row r="2387" spans="1:40" x14ac:dyDescent="0.25">
      <c r="A2387" t="str">
        <f>"20190312172416517"</f>
        <v>20190312172416517</v>
      </c>
      <c r="B2387" t="str">
        <f>"1552382656512046"</f>
        <v>1552382656512046</v>
      </c>
      <c r="C2387" t="s">
        <v>40</v>
      </c>
      <c r="D2387">
        <v>3.9042650000000001</v>
      </c>
      <c r="E2387">
        <v>0.47967959999999898</v>
      </c>
      <c r="F2387" t="s">
        <v>47</v>
      </c>
      <c r="G2387">
        <v>-462.39620000000002</v>
      </c>
      <c r="H2387" s="1">
        <v>-1.7674489999999999E-7</v>
      </c>
      <c r="I2387">
        <v>282.67439999999999</v>
      </c>
      <c r="J2387">
        <v>-442.23570000000001</v>
      </c>
      <c r="K2387">
        <v>1.110117</v>
      </c>
      <c r="L2387">
        <v>284.77210000000002</v>
      </c>
      <c r="M2387">
        <v>-0.99982400000000005</v>
      </c>
      <c r="N2387">
        <v>0</v>
      </c>
      <c r="O2387">
        <v>1.2112629999999999E-2</v>
      </c>
      <c r="P2387">
        <v>-0.98305370000000003</v>
      </c>
      <c r="Q2387">
        <v>0.17640910000000001</v>
      </c>
      <c r="R2387">
        <v>-4.9851979999999997E-2</v>
      </c>
      <c r="S2387">
        <v>-3.065582</v>
      </c>
      <c r="T2387">
        <v>-0.1666058</v>
      </c>
      <c r="U2387">
        <v>-0.31426999999999999</v>
      </c>
      <c r="V2387">
        <v>-6.1584159999999999E-2</v>
      </c>
      <c r="W2387">
        <v>0.19052369999999999</v>
      </c>
      <c r="X2387">
        <v>0.97974899999999998</v>
      </c>
      <c r="Y2387">
        <v>-0.11384030000000001</v>
      </c>
      <c r="Z2387">
        <v>-3.7393539999999999E-3</v>
      </c>
      <c r="AA2387">
        <v>0.99349200000000004</v>
      </c>
      <c r="AB2387">
        <v>31</v>
      </c>
      <c r="AC2387">
        <v>-20.160499999999999</v>
      </c>
      <c r="AD2387">
        <v>-1.1101171767448901</v>
      </c>
      <c r="AE2387">
        <v>-2.0977000000000299</v>
      </c>
      <c r="AF2387">
        <v>-2.33476454082802</v>
      </c>
      <c r="AG2387">
        <v>-1.1101171767448901</v>
      </c>
      <c r="AH2387">
        <v>20.073397949481699</v>
      </c>
      <c r="AI2387">
        <v>93.144244735262006</v>
      </c>
      <c r="AJ2387">
        <v>96.634340938022007</v>
      </c>
      <c r="AK2387">
        <v>20.2391894809418</v>
      </c>
      <c r="AL2387">
        <v>79.016651653774503</v>
      </c>
      <c r="AM2387">
        <v>93.596713416205304</v>
      </c>
      <c r="AN2387">
        <v>0.99999999601279699</v>
      </c>
    </row>
    <row r="2388" spans="1:40" x14ac:dyDescent="0.25">
      <c r="A2388" t="str">
        <f>"20190312172416540"</f>
        <v>20190312172416540</v>
      </c>
      <c r="B2388" t="str">
        <f>"1552382656532545"</f>
        <v>1552382656532545</v>
      </c>
      <c r="C2388" t="s">
        <v>40</v>
      </c>
      <c r="D2388">
        <v>3.8994949999999999</v>
      </c>
      <c r="E2388">
        <v>0.47979719999999998</v>
      </c>
      <c r="F2388" t="s">
        <v>47</v>
      </c>
      <c r="G2388">
        <v>-462.54250000000002</v>
      </c>
      <c r="H2388" s="1">
        <v>-9.8505949999999999E-8</v>
      </c>
      <c r="I2388">
        <v>282.66469999999998</v>
      </c>
      <c r="J2388">
        <v>-442.54309999999998</v>
      </c>
      <c r="K2388">
        <v>1.1100719999999999</v>
      </c>
      <c r="L2388">
        <v>284.77629999999999</v>
      </c>
      <c r="M2388">
        <v>-0.99981739999999997</v>
      </c>
      <c r="N2388">
        <v>0</v>
      </c>
      <c r="O2388">
        <v>1.2655049999999999E-2</v>
      </c>
      <c r="P2388">
        <v>-0.9829928</v>
      </c>
      <c r="Q2388">
        <v>0.17664349999999901</v>
      </c>
      <c r="R2388">
        <v>-5.022103E-2</v>
      </c>
      <c r="S2388">
        <v>-3.0656430000000001</v>
      </c>
      <c r="T2388">
        <v>-0.167590299999999</v>
      </c>
      <c r="U2388">
        <v>-0.31814579999999998</v>
      </c>
      <c r="V2388">
        <v>-6.2459010000000002E-2</v>
      </c>
      <c r="W2388">
        <v>0.19076280000000001</v>
      </c>
      <c r="X2388">
        <v>0.97964709999999999</v>
      </c>
      <c r="Y2388">
        <v>-0.11561440000000001</v>
      </c>
      <c r="Z2388">
        <v>-3.8389869999999999E-3</v>
      </c>
      <c r="AA2388">
        <v>0.99328669999999997</v>
      </c>
      <c r="AB2388">
        <v>31</v>
      </c>
      <c r="AC2388">
        <v>-19.999400000000001</v>
      </c>
      <c r="AD2388">
        <v>-1.11007209850595</v>
      </c>
      <c r="AE2388">
        <v>-2.1116000000000099</v>
      </c>
      <c r="AF2388">
        <v>-2.3573676363656899</v>
      </c>
      <c r="AG2388">
        <v>-1.11007209850595</v>
      </c>
      <c r="AH2388">
        <v>19.9104086005268</v>
      </c>
      <c r="AI2388">
        <v>93.1690389315348</v>
      </c>
      <c r="AJ2388">
        <v>96.752314272245997</v>
      </c>
      <c r="AK2388">
        <v>20.080184582737299</v>
      </c>
      <c r="AL2388">
        <v>79.002696406919199</v>
      </c>
      <c r="AM2388">
        <v>93.648048885771303</v>
      </c>
      <c r="AN2388">
        <v>1.0000000071662101</v>
      </c>
    </row>
    <row r="2389" spans="1:40" x14ac:dyDescent="0.25">
      <c r="A2389" t="str">
        <f>"20190312172416554"</f>
        <v>20190312172416554</v>
      </c>
      <c r="B2389" t="str">
        <f>"1552382656542302"</f>
        <v>1552382656542302</v>
      </c>
      <c r="C2389" t="s">
        <v>40</v>
      </c>
      <c r="D2389">
        <v>3.851804</v>
      </c>
      <c r="E2389">
        <v>0.47996699999999998</v>
      </c>
      <c r="F2389" t="s">
        <v>47</v>
      </c>
      <c r="G2389">
        <v>-463.30689999999998</v>
      </c>
      <c r="H2389" s="1">
        <v>3.1011589999999998E-7</v>
      </c>
      <c r="I2389">
        <v>282.62220000000002</v>
      </c>
      <c r="J2389">
        <v>-442.73219999999998</v>
      </c>
      <c r="K2389">
        <v>1.1100289999999999</v>
      </c>
      <c r="L2389">
        <v>284.77910000000003</v>
      </c>
      <c r="M2389">
        <v>-0.99981220000000004</v>
      </c>
      <c r="N2389">
        <v>0</v>
      </c>
      <c r="O2389">
        <v>1.305393E-2</v>
      </c>
      <c r="P2389">
        <v>-0.98289899999999997</v>
      </c>
      <c r="Q2389">
        <v>0.17706540000000001</v>
      </c>
      <c r="R2389">
        <v>-5.0570259999999999E-2</v>
      </c>
      <c r="S2389">
        <v>-3.0651549999999999</v>
      </c>
      <c r="T2389">
        <v>-0.1638693</v>
      </c>
      <c r="U2389">
        <v>-0.31799319999999998</v>
      </c>
      <c r="V2389">
        <v>-6.3176759999999998E-2</v>
      </c>
      <c r="W2389">
        <v>0.1911892</v>
      </c>
      <c r="X2389">
        <v>0.97951790000000005</v>
      </c>
      <c r="Y2389">
        <v>-0.11598509999999999</v>
      </c>
      <c r="Z2389">
        <v>-3.7856140000000001E-3</v>
      </c>
      <c r="AA2389">
        <v>0.99324380000000001</v>
      </c>
      <c r="AB2389">
        <v>31</v>
      </c>
      <c r="AC2389">
        <v>-20.5747</v>
      </c>
      <c r="AD2389">
        <v>-1.1100286898841001</v>
      </c>
      <c r="AE2389">
        <v>-2.1568999999999998</v>
      </c>
      <c r="AF2389">
        <v>-2.4183617593695002</v>
      </c>
      <c r="AG2389">
        <v>-1.1100286898841001</v>
      </c>
      <c r="AH2389">
        <v>20.485807246055</v>
      </c>
      <c r="AI2389">
        <v>93.080206450788594</v>
      </c>
      <c r="AJ2389">
        <v>96.732641083275297</v>
      </c>
      <c r="AK2389">
        <v>20.657902502772799</v>
      </c>
      <c r="AL2389">
        <v>78.977806924266801</v>
      </c>
      <c r="AM2389">
        <v>93.690340767288006</v>
      </c>
      <c r="AN2389">
        <v>0.99999996481057296</v>
      </c>
    </row>
    <row r="2390" spans="1:40" x14ac:dyDescent="0.25">
      <c r="A2390" t="str">
        <f>"20190312172416574"</f>
        <v>20190312172416574</v>
      </c>
      <c r="B2390" t="str">
        <f>"1552382656562798"</f>
        <v>1552382656562798</v>
      </c>
      <c r="C2390" t="s">
        <v>40</v>
      </c>
      <c r="D2390">
        <v>3.7516880000000001</v>
      </c>
      <c r="E2390">
        <v>0.48014829999999997</v>
      </c>
      <c r="F2390" t="s">
        <v>47</v>
      </c>
      <c r="G2390">
        <v>-463.78969999999998</v>
      </c>
      <c r="H2390" s="1">
        <v>5.6808889999999998E-7</v>
      </c>
      <c r="I2390">
        <v>282.5985</v>
      </c>
      <c r="J2390">
        <v>-443.00850000000003</v>
      </c>
      <c r="K2390">
        <v>1.10996299999999</v>
      </c>
      <c r="L2390">
        <v>284.7833</v>
      </c>
      <c r="M2390">
        <v>-0.99980369999999996</v>
      </c>
      <c r="N2390">
        <v>0</v>
      </c>
      <c r="O2390">
        <v>1.370177E-2</v>
      </c>
      <c r="P2390">
        <v>-0.98281850000000004</v>
      </c>
      <c r="Q2390">
        <v>0.17736350000000001</v>
      </c>
      <c r="R2390">
        <v>-5.109176E-2</v>
      </c>
      <c r="S2390">
        <v>-3.0649410000000001</v>
      </c>
      <c r="T2390">
        <v>-0.16156579999999901</v>
      </c>
      <c r="U2390">
        <v>-0.31738280000000002</v>
      </c>
      <c r="V2390">
        <v>-6.4297499999999994E-2</v>
      </c>
      <c r="W2390">
        <v>0.19149669999999999</v>
      </c>
      <c r="X2390">
        <v>0.9793849</v>
      </c>
      <c r="Y2390">
        <v>-0.116443699999999</v>
      </c>
      <c r="Z2390">
        <v>-3.7788639999999998E-3</v>
      </c>
      <c r="AA2390">
        <v>0.99319009999999996</v>
      </c>
      <c r="AB2390">
        <v>31</v>
      </c>
      <c r="AC2390">
        <v>-20.781199999999899</v>
      </c>
      <c r="AD2390">
        <v>-1.1099624319110999</v>
      </c>
      <c r="AE2390">
        <v>-2.1847999999999899</v>
      </c>
      <c r="AF2390">
        <v>-2.4624152050503501</v>
      </c>
      <c r="AG2390">
        <v>-1.1099624319110999</v>
      </c>
      <c r="AH2390">
        <v>20.690927781427199</v>
      </c>
      <c r="AI2390">
        <v>93.049205795877796</v>
      </c>
      <c r="AJ2390">
        <v>96.7868162063683</v>
      </c>
      <c r="AK2390">
        <v>20.866480242210301</v>
      </c>
      <c r="AL2390">
        <v>78.959856852509205</v>
      </c>
      <c r="AM2390">
        <v>93.756129315172998</v>
      </c>
      <c r="AN2390">
        <v>0.999999968482574</v>
      </c>
    </row>
    <row r="2391" spans="1:40" x14ac:dyDescent="0.25">
      <c r="A2391" t="str">
        <f>"20190312172416596"</f>
        <v>20190312172416596</v>
      </c>
      <c r="B2391" t="str">
        <f>"1552382656592078"</f>
        <v>1552382656592078</v>
      </c>
      <c r="C2391" t="s">
        <v>40</v>
      </c>
      <c r="D2391">
        <v>3.796986</v>
      </c>
      <c r="E2391">
        <v>0.48042119999999999</v>
      </c>
      <c r="F2391" t="s">
        <v>47</v>
      </c>
      <c r="G2391">
        <v>-464.14760000000001</v>
      </c>
      <c r="H2391" s="1">
        <v>7.5853419999999999E-7</v>
      </c>
      <c r="I2391">
        <v>282.59879999999998</v>
      </c>
      <c r="J2391">
        <v>-443.31319999999999</v>
      </c>
      <c r="K2391">
        <v>1.1098749999999999</v>
      </c>
      <c r="L2391">
        <v>284.78840000000002</v>
      </c>
      <c r="M2391">
        <v>-0.99979229999999997</v>
      </c>
      <c r="N2391">
        <v>0</v>
      </c>
      <c r="O2391">
        <v>1.451874E-2</v>
      </c>
      <c r="P2391">
        <v>-0.98264830000000003</v>
      </c>
      <c r="Q2391">
        <v>0.17826429999999999</v>
      </c>
      <c r="R2391">
        <v>-5.1229160000000003E-2</v>
      </c>
      <c r="S2391">
        <v>-3.0650019999999998</v>
      </c>
      <c r="T2391">
        <v>-0.16093579999999999</v>
      </c>
      <c r="U2391">
        <v>-0.31674190000000002</v>
      </c>
      <c r="V2391">
        <v>-6.5191180000000001E-2</v>
      </c>
      <c r="W2391">
        <v>0.19240689999999999</v>
      </c>
      <c r="X2391">
        <v>0.9791474</v>
      </c>
      <c r="Y2391">
        <v>-0.1170471</v>
      </c>
      <c r="Z2391">
        <v>-3.8226750000000002E-3</v>
      </c>
      <c r="AA2391">
        <v>0.99311899999999997</v>
      </c>
      <c r="AB2391">
        <v>31</v>
      </c>
      <c r="AC2391">
        <v>-20.834399999999999</v>
      </c>
      <c r="AD2391">
        <v>-1.1098742414658</v>
      </c>
      <c r="AE2391">
        <v>-2.18960000000004</v>
      </c>
      <c r="AF2391">
        <v>-2.4849146282271599</v>
      </c>
      <c r="AG2391">
        <v>-1.1098742414658</v>
      </c>
      <c r="AH2391">
        <v>20.7421904092487</v>
      </c>
      <c r="AI2391">
        <v>93.041160348230406</v>
      </c>
      <c r="AJ2391">
        <v>96.831477250483303</v>
      </c>
      <c r="AK2391">
        <v>20.9199685591297</v>
      </c>
      <c r="AL2391">
        <v>78.906718075250097</v>
      </c>
      <c r="AM2391">
        <v>93.809104700751107</v>
      </c>
      <c r="AN2391">
        <v>0.99999996802208002</v>
      </c>
    </row>
    <row r="2392" spans="1:40" x14ac:dyDescent="0.25">
      <c r="A2392" t="str">
        <f>"20190312172416619"</f>
        <v>20190312172416619</v>
      </c>
      <c r="B2392" t="str">
        <f>"1552382656612577"</f>
        <v>1552382656612577</v>
      </c>
      <c r="C2392" t="s">
        <v>40</v>
      </c>
      <c r="D2392">
        <v>3.9060459999999999</v>
      </c>
      <c r="E2392">
        <v>0.4802575</v>
      </c>
      <c r="F2392" t="s">
        <v>47</v>
      </c>
      <c r="G2392">
        <v>-465.17829999999998</v>
      </c>
      <c r="H2392" s="1">
        <v>1.3094239999999999E-6</v>
      </c>
      <c r="I2392">
        <v>282.54360000000003</v>
      </c>
      <c r="J2392">
        <v>-443.62180000000001</v>
      </c>
      <c r="K2392">
        <v>1.1097859999999999</v>
      </c>
      <c r="L2392">
        <v>284.79379999999998</v>
      </c>
      <c r="M2392">
        <v>-0.9997781</v>
      </c>
      <c r="N2392">
        <v>0</v>
      </c>
      <c r="O2392">
        <v>1.5455719999999999E-2</v>
      </c>
      <c r="P2392">
        <v>-0.98255210000000004</v>
      </c>
      <c r="Q2392">
        <v>0.17890639999999999</v>
      </c>
      <c r="R2392">
        <v>-5.0834589999999999E-2</v>
      </c>
      <c r="S2392">
        <v>-3.0647579999999999</v>
      </c>
      <c r="T2392">
        <v>-0.1555676</v>
      </c>
      <c r="U2392">
        <v>-0.31463619999999998</v>
      </c>
      <c r="V2392">
        <v>-6.5671419999999994E-2</v>
      </c>
      <c r="W2392">
        <v>0.1930606</v>
      </c>
      <c r="X2392">
        <v>0.97898669999999999</v>
      </c>
      <c r="Y2392">
        <v>-0.11732099999999999</v>
      </c>
      <c r="Z2392">
        <v>-3.7501069999999999E-3</v>
      </c>
      <c r="AA2392">
        <v>0.99308700000000005</v>
      </c>
      <c r="AB2392">
        <v>31</v>
      </c>
      <c r="AC2392">
        <v>-21.5564999999999</v>
      </c>
      <c r="AD2392">
        <v>-1.109784690576</v>
      </c>
      <c r="AE2392">
        <v>-2.2501999999999498</v>
      </c>
      <c r="AF2392">
        <v>-2.5763815417203602</v>
      </c>
      <c r="AG2392">
        <v>-1.109784690576</v>
      </c>
      <c r="AH2392">
        <v>21.4628693351019</v>
      </c>
      <c r="AI2392">
        <v>92.938906980848998</v>
      </c>
      <c r="AJ2392">
        <v>96.844976663665804</v>
      </c>
      <c r="AK2392">
        <v>21.645418083363801</v>
      </c>
      <c r="AL2392">
        <v>78.868549042945702</v>
      </c>
      <c r="AM2392">
        <v>93.837709459822506</v>
      </c>
      <c r="AN2392">
        <v>1.0000000447270301</v>
      </c>
    </row>
    <row r="2393" spans="1:40" x14ac:dyDescent="0.25">
      <c r="A2393" t="str">
        <f>"20190312172416640"</f>
        <v>20190312172416640</v>
      </c>
      <c r="B2393" t="str">
        <f>"1552382656632094"</f>
        <v>1552382656632094</v>
      </c>
      <c r="C2393" t="s">
        <v>40</v>
      </c>
      <c r="D2393">
        <v>3.936083</v>
      </c>
      <c r="E2393">
        <v>0.48012169999999998</v>
      </c>
      <c r="F2393" t="s">
        <v>47</v>
      </c>
      <c r="G2393">
        <v>-465.47449999999998</v>
      </c>
      <c r="H2393" s="1">
        <v>1.466835E-6</v>
      </c>
      <c r="I2393">
        <v>282.54880000000003</v>
      </c>
      <c r="J2393">
        <v>-443.92270000000002</v>
      </c>
      <c r="K2393">
        <v>1.109707</v>
      </c>
      <c r="L2393">
        <v>284.79950000000002</v>
      </c>
      <c r="M2393">
        <v>-0.99976189999999998</v>
      </c>
      <c r="N2393">
        <v>0</v>
      </c>
      <c r="O2393">
        <v>1.647502E-2</v>
      </c>
      <c r="P2393">
        <v>-0.98265219999999998</v>
      </c>
      <c r="Q2393">
        <v>0.17844670000000001</v>
      </c>
      <c r="R2393">
        <v>-5.0516900000000003E-2</v>
      </c>
      <c r="S2393">
        <v>-3.0653380000000001</v>
      </c>
      <c r="T2393">
        <v>-0.15567230000000001</v>
      </c>
      <c r="U2393">
        <v>-0.31491089999999999</v>
      </c>
      <c r="V2393">
        <v>-6.6319199999999995E-2</v>
      </c>
      <c r="W2393">
        <v>0.1926138</v>
      </c>
      <c r="X2393">
        <v>0.97903099999999998</v>
      </c>
      <c r="Y2393">
        <v>-0.1183995</v>
      </c>
      <c r="Z2393">
        <v>-3.8308190000000001E-3</v>
      </c>
      <c r="AA2393">
        <v>0.99295869999999997</v>
      </c>
      <c r="AB2393">
        <v>31</v>
      </c>
      <c r="AC2393">
        <v>-21.551799999999901</v>
      </c>
      <c r="AD2393">
        <v>-1.1097055331649901</v>
      </c>
      <c r="AE2393">
        <v>-2.2506999999999899</v>
      </c>
      <c r="AF2393">
        <v>-2.5986817629852901</v>
      </c>
      <c r="AG2393">
        <v>-1.1097055331649901</v>
      </c>
      <c r="AH2393">
        <v>21.4555202503158</v>
      </c>
      <c r="AI2393">
        <v>92.939325720191604</v>
      </c>
      <c r="AJ2393">
        <v>96.9059967762214</v>
      </c>
      <c r="AK2393">
        <v>21.6407934810006</v>
      </c>
      <c r="AL2393">
        <v>78.894638034925094</v>
      </c>
      <c r="AM2393">
        <v>93.875274838452597</v>
      </c>
      <c r="AN2393">
        <v>1.00000000560004</v>
      </c>
    </row>
    <row r="2394" spans="1:40" x14ac:dyDescent="0.25">
      <c r="A2394" t="str">
        <f>"20190312172416663"</f>
        <v>20190312172416663</v>
      </c>
      <c r="B2394" t="str">
        <f>"1552382656652590"</f>
        <v>1552382656652590</v>
      </c>
      <c r="C2394" t="s">
        <v>40</v>
      </c>
      <c r="D2394">
        <v>3.8120340000000001</v>
      </c>
      <c r="E2394">
        <v>0.48015580000000002</v>
      </c>
      <c r="F2394" t="s">
        <v>47</v>
      </c>
      <c r="G2394">
        <v>-465.25029999999998</v>
      </c>
      <c r="H2394" s="1">
        <v>1.3450949999999999E-6</v>
      </c>
      <c r="I2394">
        <v>282.60469999999998</v>
      </c>
      <c r="J2394">
        <v>-444.2217</v>
      </c>
      <c r="K2394">
        <v>1.1096330000000001</v>
      </c>
      <c r="L2394">
        <v>284.80560000000003</v>
      </c>
      <c r="M2394">
        <v>-0.9997431</v>
      </c>
      <c r="N2394">
        <v>0</v>
      </c>
      <c r="O2394">
        <v>1.7581320000000001E-2</v>
      </c>
      <c r="P2394">
        <v>-0.9828192</v>
      </c>
      <c r="Q2394">
        <v>0.177586299999999</v>
      </c>
      <c r="R2394">
        <v>-5.0297559999999998E-2</v>
      </c>
      <c r="S2394">
        <v>-3.0657350000000001</v>
      </c>
      <c r="T2394">
        <v>-0.1595145</v>
      </c>
      <c r="U2394">
        <v>-0.31549070000000001</v>
      </c>
      <c r="V2394">
        <v>-6.715873E-2</v>
      </c>
      <c r="W2394">
        <v>0.1917654</v>
      </c>
      <c r="X2394">
        <v>0.97914029999999996</v>
      </c>
      <c r="Y2394">
        <v>-0.11965919999999999</v>
      </c>
      <c r="Z2394">
        <v>-4.0147619999999998E-3</v>
      </c>
      <c r="AA2394">
        <v>0.99280690000000005</v>
      </c>
      <c r="AB2394">
        <v>31</v>
      </c>
      <c r="AC2394">
        <v>-21.028599999999901</v>
      </c>
      <c r="AD2394">
        <v>-1.109631654905</v>
      </c>
      <c r="AE2394">
        <v>-2.2009000000000398</v>
      </c>
      <c r="AF2394">
        <v>-2.5632482695239802</v>
      </c>
      <c r="AG2394">
        <v>-1.109631654905</v>
      </c>
      <c r="AH2394">
        <v>20.929006399121601</v>
      </c>
      <c r="AI2394">
        <v>93.012447252578696</v>
      </c>
      <c r="AJ2394">
        <v>96.982440497583895</v>
      </c>
      <c r="AK2394">
        <v>21.1145644746762</v>
      </c>
      <c r="AL2394">
        <v>78.944171067297503</v>
      </c>
      <c r="AM2394">
        <v>93.923742667544403</v>
      </c>
      <c r="AN2394">
        <v>0.99999999536823103</v>
      </c>
    </row>
    <row r="2395" spans="1:40" x14ac:dyDescent="0.25">
      <c r="A2395" t="str">
        <f>"20190312172416677"</f>
        <v>20190312172416677</v>
      </c>
      <c r="B2395" t="str">
        <f>"1552382656672111"</f>
        <v>1552382656672111</v>
      </c>
      <c r="C2395" t="s">
        <v>40</v>
      </c>
      <c r="D2395">
        <v>3.967123</v>
      </c>
      <c r="E2395">
        <v>0.48020980000000002</v>
      </c>
      <c r="F2395" t="s">
        <v>47</v>
      </c>
      <c r="G2395">
        <v>-465.07920000000001</v>
      </c>
      <c r="H2395" s="1">
        <v>1.251447E-6</v>
      </c>
      <c r="I2395">
        <v>282.66419999999999</v>
      </c>
      <c r="J2395">
        <v>-444.43520000000001</v>
      </c>
      <c r="K2395">
        <v>1.1095919999999999</v>
      </c>
      <c r="L2395">
        <v>284.81020000000001</v>
      </c>
      <c r="M2395">
        <v>-0.99972810000000001</v>
      </c>
      <c r="N2395">
        <v>0</v>
      </c>
      <c r="O2395">
        <v>1.841282E-2</v>
      </c>
      <c r="P2395">
        <v>-0.98290809999999995</v>
      </c>
      <c r="Q2395">
        <v>0.17727560000000001</v>
      </c>
      <c r="R2395">
        <v>-4.965207E-2</v>
      </c>
      <c r="S2395">
        <v>-3.0657649999999999</v>
      </c>
      <c r="T2395">
        <v>-0.16310060000000001</v>
      </c>
      <c r="U2395">
        <v>-0.31475829999999999</v>
      </c>
      <c r="V2395">
        <v>-6.7313620000000005E-2</v>
      </c>
      <c r="W2395">
        <v>0.19146070000000001</v>
      </c>
      <c r="X2395">
        <v>0.97918930000000004</v>
      </c>
      <c r="Y2395">
        <v>-0.1202389</v>
      </c>
      <c r="Z2395">
        <v>-4.1643799999999996E-3</v>
      </c>
      <c r="AA2395">
        <v>0.99273630000000002</v>
      </c>
      <c r="AB2395">
        <v>31</v>
      </c>
      <c r="AC2395">
        <v>-20.643999999999998</v>
      </c>
      <c r="AD2395">
        <v>-1.1095907485530001</v>
      </c>
      <c r="AE2395">
        <v>-2.1460000000000101</v>
      </c>
      <c r="AF2395">
        <v>-2.5185910158744398</v>
      </c>
      <c r="AG2395">
        <v>-1.1095907485530001</v>
      </c>
      <c r="AH2395">
        <v>20.5422706724306</v>
      </c>
      <c r="AI2395">
        <v>93.068891516201404</v>
      </c>
      <c r="AJ2395">
        <v>96.989880765610494</v>
      </c>
      <c r="AK2395">
        <v>20.725814259370299</v>
      </c>
      <c r="AL2395">
        <v>78.961958784529898</v>
      </c>
      <c r="AM2395">
        <v>93.932567553750502</v>
      </c>
      <c r="AN2395">
        <v>1.00000000415824</v>
      </c>
    </row>
    <row r="2396" spans="1:40" x14ac:dyDescent="0.25">
      <c r="A2396" t="str">
        <f>"20190312172416690"</f>
        <v>20190312172416690</v>
      </c>
      <c r="B2396" t="str">
        <f>"1552382656682847"</f>
        <v>1552382656682847</v>
      </c>
      <c r="C2396" t="s">
        <v>40</v>
      </c>
      <c r="D2396">
        <v>3.8098740000000002</v>
      </c>
      <c r="E2396">
        <v>0.48028579999999998</v>
      </c>
      <c r="F2396" t="s">
        <v>47</v>
      </c>
      <c r="G2396">
        <v>-465.22489999999999</v>
      </c>
      <c r="H2396" s="1">
        <v>1.3278189999999999E-6</v>
      </c>
      <c r="I2396">
        <v>282.69049999999999</v>
      </c>
      <c r="J2396">
        <v>-444.6037</v>
      </c>
      <c r="K2396">
        <v>1.1095649999999999</v>
      </c>
      <c r="L2396">
        <v>284.81400000000002</v>
      </c>
      <c r="M2396">
        <v>-0.99971540000000003</v>
      </c>
      <c r="N2396">
        <v>0</v>
      </c>
      <c r="O2396">
        <v>1.9085990000000001E-2</v>
      </c>
      <c r="P2396">
        <v>-0.98298030000000003</v>
      </c>
      <c r="Q2396">
        <v>0.17694979999999999</v>
      </c>
      <c r="R2396">
        <v>-4.938302E-2</v>
      </c>
      <c r="S2396">
        <v>-3.065887</v>
      </c>
      <c r="T2396">
        <v>-0.16363329999999901</v>
      </c>
      <c r="U2396">
        <v>-0.31259160000000002</v>
      </c>
      <c r="V2396">
        <v>-6.7696129999999993E-2</v>
      </c>
      <c r="W2396">
        <v>0.19113920000000001</v>
      </c>
      <c r="X2396">
        <v>0.97922580000000004</v>
      </c>
      <c r="Y2396">
        <v>-0.1202068</v>
      </c>
      <c r="Z2396">
        <v>-4.2129200000000002E-3</v>
      </c>
      <c r="AA2396">
        <v>0.99273990000000001</v>
      </c>
      <c r="AB2396">
        <v>31</v>
      </c>
      <c r="AC2396">
        <v>-20.621199999999899</v>
      </c>
      <c r="AD2396">
        <v>-1.1095636721809901</v>
      </c>
      <c r="AE2396">
        <v>-2.1235000000000301</v>
      </c>
      <c r="AF2396">
        <v>-2.5095401002619702</v>
      </c>
      <c r="AG2396">
        <v>-1.1095636721809901</v>
      </c>
      <c r="AH2396">
        <v>20.518129244256901</v>
      </c>
      <c r="AI2396">
        <v>93.072530429536499</v>
      </c>
      <c r="AJ2396">
        <v>96.973123129462493</v>
      </c>
      <c r="AK2396">
        <v>20.700786234862601</v>
      </c>
      <c r="AL2396">
        <v>78.980726640310905</v>
      </c>
      <c r="AM2396">
        <v>93.954696729714598</v>
      </c>
      <c r="AN2396">
        <v>1.00000006358962</v>
      </c>
    </row>
    <row r="2397" spans="1:40" x14ac:dyDescent="0.25">
      <c r="A2397" t="str">
        <f>"20190312172416709"</f>
        <v>20190312172416709</v>
      </c>
      <c r="B2397" t="str">
        <f>"1552382656702366"</f>
        <v>1552382656702366</v>
      </c>
      <c r="C2397" t="s">
        <v>40</v>
      </c>
      <c r="D2397">
        <v>3.8119200000000002</v>
      </c>
      <c r="E2397">
        <v>0.4802961</v>
      </c>
      <c r="F2397" t="s">
        <v>47</v>
      </c>
      <c r="G2397">
        <v>-465.31009999999998</v>
      </c>
      <c r="H2397" s="1">
        <v>1.372292E-6</v>
      </c>
      <c r="I2397">
        <v>282.71050000000002</v>
      </c>
      <c r="J2397">
        <v>-444.8424</v>
      </c>
      <c r="K2397">
        <v>1.1095360000000001</v>
      </c>
      <c r="L2397">
        <v>284.81950000000001</v>
      </c>
      <c r="M2397">
        <v>-0.99969660000000005</v>
      </c>
      <c r="N2397">
        <v>0</v>
      </c>
      <c r="O2397">
        <v>2.0054720000000002E-2</v>
      </c>
      <c r="P2397">
        <v>-0.9830508</v>
      </c>
      <c r="Q2397">
        <v>0.17669309999999999</v>
      </c>
      <c r="R2397">
        <v>-4.889748E-2</v>
      </c>
      <c r="S2397">
        <v>-3.0657960000000002</v>
      </c>
      <c r="T2397">
        <v>-0.16428219999999999</v>
      </c>
      <c r="U2397">
        <v>-0.31143189999999998</v>
      </c>
      <c r="V2397">
        <v>-6.8150600000000006E-2</v>
      </c>
      <c r="W2397">
        <v>0.19088640000000001</v>
      </c>
      <c r="X2397">
        <v>0.97924350000000004</v>
      </c>
      <c r="Y2397">
        <v>-0.12079620000000001</v>
      </c>
      <c r="Z2397">
        <v>-4.2973100000000004E-3</v>
      </c>
      <c r="AA2397">
        <v>0.99266799999999999</v>
      </c>
      <c r="AB2397">
        <v>30</v>
      </c>
      <c r="AC2397">
        <v>-20.467699999999901</v>
      </c>
      <c r="AD2397">
        <v>-1.109534627708</v>
      </c>
      <c r="AE2397">
        <v>-2.10899999999998</v>
      </c>
      <c r="AF2397">
        <v>-2.5117880836028399</v>
      </c>
      <c r="AG2397">
        <v>-1.109534627708</v>
      </c>
      <c r="AH2397">
        <v>20.362075241754201</v>
      </c>
      <c r="AI2397">
        <v>93.095559900667695</v>
      </c>
      <c r="AJ2397">
        <v>97.032263434113105</v>
      </c>
      <c r="AK2397">
        <v>20.5463927397943</v>
      </c>
      <c r="AL2397">
        <v>78.995481744654299</v>
      </c>
      <c r="AM2397">
        <v>93.981089302559297</v>
      </c>
      <c r="AN2397">
        <v>0.99999997713878397</v>
      </c>
    </row>
    <row r="2398" spans="1:40" x14ac:dyDescent="0.25">
      <c r="A2398" t="str">
        <f>"20190312172416730"</f>
        <v>20190312172416730</v>
      </c>
      <c r="B2398" t="str">
        <f>"1552382656722862"</f>
        <v>1552382656722862</v>
      </c>
      <c r="C2398" t="s">
        <v>40</v>
      </c>
      <c r="D2398">
        <v>3.813113</v>
      </c>
      <c r="E2398">
        <v>0.46860980000000002</v>
      </c>
      <c r="F2398" t="s">
        <v>47</v>
      </c>
      <c r="G2398">
        <v>-465.49599999999998</v>
      </c>
      <c r="H2398" s="1">
        <v>1.470396E-6</v>
      </c>
      <c r="I2398">
        <v>282.72890000000001</v>
      </c>
      <c r="J2398">
        <v>-445.14150000000001</v>
      </c>
      <c r="K2398">
        <v>1.1095060000000001</v>
      </c>
      <c r="L2398">
        <v>284.82679999999999</v>
      </c>
      <c r="M2398">
        <v>-0.99967119999999998</v>
      </c>
      <c r="N2398">
        <v>0</v>
      </c>
      <c r="O2398">
        <v>2.1287589999999999E-2</v>
      </c>
      <c r="P2398">
        <v>-0.98313459999999997</v>
      </c>
      <c r="Q2398">
        <v>0.17635379999999901</v>
      </c>
      <c r="R2398">
        <v>-4.8432889999999999E-2</v>
      </c>
      <c r="S2398">
        <v>-3.065887</v>
      </c>
      <c r="T2398">
        <v>-0.16470290000000001</v>
      </c>
      <c r="U2398">
        <v>-0.31033329999999998</v>
      </c>
      <c r="V2398">
        <v>-6.8888249999999998E-2</v>
      </c>
      <c r="W2398">
        <v>0.19055079999999999</v>
      </c>
      <c r="X2398">
        <v>0.9792573</v>
      </c>
      <c r="Y2398">
        <v>-0.1216613</v>
      </c>
      <c r="Z2398">
        <v>-4.397453E-3</v>
      </c>
      <c r="AA2398">
        <v>0.9925619</v>
      </c>
      <c r="AB2398">
        <v>30</v>
      </c>
      <c r="AC2398">
        <v>-20.354499999999899</v>
      </c>
      <c r="AD2398">
        <v>-1.10950452960399</v>
      </c>
      <c r="AE2398">
        <v>-2.0978999999999801</v>
      </c>
      <c r="AF2398">
        <v>-2.5233483735009701</v>
      </c>
      <c r="AG2398">
        <v>-1.10950452960399</v>
      </c>
      <c r="AH2398">
        <v>20.245700335620601</v>
      </c>
      <c r="AI2398">
        <v>93.112748721276802</v>
      </c>
      <c r="AJ2398">
        <v>97.104495298647905</v>
      </c>
      <c r="AK2398">
        <v>20.4324905333395</v>
      </c>
      <c r="AL2398">
        <v>79.015070328199798</v>
      </c>
      <c r="AM2398">
        <v>94.023982578441604</v>
      </c>
      <c r="AN2398">
        <v>1.0000000289859901</v>
      </c>
    </row>
    <row r="2399" spans="1:40" x14ac:dyDescent="0.25">
      <c r="A2399" t="str">
        <f>"20190312172416752"</f>
        <v>20190312172416752</v>
      </c>
      <c r="B2399" t="str">
        <f>"1552382656742382"</f>
        <v>1552382656742382</v>
      </c>
      <c r="C2399" t="s">
        <v>40</v>
      </c>
      <c r="D2399">
        <v>3.8320460000000001</v>
      </c>
      <c r="E2399">
        <v>0.46786489999999997</v>
      </c>
      <c r="F2399" t="s">
        <v>47</v>
      </c>
      <c r="G2399">
        <v>-464.7867</v>
      </c>
      <c r="H2399" s="1">
        <v>1.1139930000000001E-6</v>
      </c>
      <c r="I2399">
        <v>282.24759999999998</v>
      </c>
      <c r="J2399">
        <v>-445.43950000000001</v>
      </c>
      <c r="K2399">
        <v>1.1094930000000001</v>
      </c>
      <c r="L2399">
        <v>284.83449999999999</v>
      </c>
      <c r="M2399">
        <v>-0.99964399999999998</v>
      </c>
      <c r="N2399">
        <v>0</v>
      </c>
      <c r="O2399">
        <v>2.2524720000000002E-2</v>
      </c>
      <c r="P2399">
        <v>-0.98311570000000004</v>
      </c>
      <c r="Q2399">
        <v>0.1764848</v>
      </c>
      <c r="R2399">
        <v>-4.8340660000000001E-2</v>
      </c>
      <c r="S2399">
        <v>-3.0626829999999998</v>
      </c>
      <c r="T2399">
        <v>-0.1729715</v>
      </c>
      <c r="U2399">
        <v>-0.4020996</v>
      </c>
      <c r="V2399">
        <v>-7.0003780000000002E-2</v>
      </c>
      <c r="W2399">
        <v>0.1906823</v>
      </c>
      <c r="X2399">
        <v>0.97915260000000004</v>
      </c>
      <c r="Y2399">
        <v>-0.15220129999999901</v>
      </c>
      <c r="Z2399">
        <v>-5.5424350000000001E-3</v>
      </c>
      <c r="AA2399">
        <v>0.98833400000000005</v>
      </c>
      <c r="AB2399">
        <v>30</v>
      </c>
      <c r="AC2399">
        <v>-19.347199999999901</v>
      </c>
      <c r="AD2399">
        <v>-1.109491886007</v>
      </c>
      <c r="AE2399">
        <v>-2.5869000000000102</v>
      </c>
      <c r="AF2399">
        <v>-3.0123459402314898</v>
      </c>
      <c r="AG2399">
        <v>-1.109491886007</v>
      </c>
      <c r="AH2399">
        <v>19.2219121564363</v>
      </c>
      <c r="AI2399">
        <v>93.263709837340699</v>
      </c>
      <c r="AJ2399">
        <v>98.9066182740996</v>
      </c>
      <c r="AK2399">
        <v>19.488127340986299</v>
      </c>
      <c r="AL2399">
        <v>79.007395345126497</v>
      </c>
      <c r="AM2399">
        <v>94.089360720409701</v>
      </c>
      <c r="AN2399">
        <v>1.0000000414171599</v>
      </c>
    </row>
    <row r="2400" spans="1:40" x14ac:dyDescent="0.25">
      <c r="A2400" t="str">
        <f>"20190312172416776"</f>
        <v>20190312172416776</v>
      </c>
      <c r="B2400" t="str">
        <f>"1552382656772639"</f>
        <v>1552382656772639</v>
      </c>
      <c r="C2400" t="s">
        <v>40</v>
      </c>
      <c r="D2400">
        <v>3.8301759999999998</v>
      </c>
      <c r="E2400">
        <v>0.4670628</v>
      </c>
      <c r="F2400" t="s">
        <v>47</v>
      </c>
      <c r="G2400">
        <v>-464.03089999999997</v>
      </c>
      <c r="H2400" s="1">
        <v>7.0678770000000001E-7</v>
      </c>
      <c r="I2400">
        <v>282.36160000000001</v>
      </c>
      <c r="J2400">
        <v>-445.75819999999999</v>
      </c>
      <c r="K2400">
        <v>1.1094900000000001</v>
      </c>
      <c r="L2400">
        <v>284.84300000000002</v>
      </c>
      <c r="M2400">
        <v>-0.99961339999999999</v>
      </c>
      <c r="N2400">
        <v>0</v>
      </c>
      <c r="O2400">
        <v>2.3848069999999999E-2</v>
      </c>
      <c r="P2400">
        <v>-0.983039</v>
      </c>
      <c r="Q2400">
        <v>0.17683199999999999</v>
      </c>
      <c r="R2400">
        <v>-4.8632759999999997E-2</v>
      </c>
      <c r="S2400">
        <v>-3.0643310000000001</v>
      </c>
      <c r="T2400">
        <v>-0.1828728</v>
      </c>
      <c r="U2400">
        <v>-0.40759279999999998</v>
      </c>
      <c r="V2400">
        <v>-7.1589490000000006E-2</v>
      </c>
      <c r="W2400">
        <v>0.19102910000000001</v>
      </c>
      <c r="X2400">
        <v>0.97897029999999996</v>
      </c>
      <c r="Y2400">
        <v>-0.15514240000000001</v>
      </c>
      <c r="Z2400">
        <v>-6.0212659999999999E-3</v>
      </c>
      <c r="AA2400">
        <v>0.98787380000000002</v>
      </c>
      <c r="AB2400">
        <v>30</v>
      </c>
      <c r="AC2400">
        <v>-18.272699999999901</v>
      </c>
      <c r="AD2400">
        <v>-1.1094892932122999</v>
      </c>
      <c r="AE2400">
        <v>-2.4813999999999998</v>
      </c>
      <c r="AF2400">
        <v>-2.9059877000257002</v>
      </c>
      <c r="AG2400">
        <v>-1.1094892932122999</v>
      </c>
      <c r="AH2400">
        <v>18.1426436249692</v>
      </c>
      <c r="AI2400">
        <v>93.455551218714007</v>
      </c>
      <c r="AJ2400">
        <v>99.100021599512701</v>
      </c>
      <c r="AK2400">
        <v>18.407369413011999</v>
      </c>
      <c r="AL2400">
        <v>78.987152730237</v>
      </c>
      <c r="AM2400">
        <v>94.182442963949001</v>
      </c>
      <c r="AN2400">
        <v>1.0000000102036799</v>
      </c>
    </row>
    <row r="2401" spans="1:40" x14ac:dyDescent="0.25">
      <c r="A2401" t="str">
        <f>"20190312172416798"</f>
        <v>20190312172416798</v>
      </c>
      <c r="B2401" t="str">
        <f>"1552382656792158"</f>
        <v>1552382656792158</v>
      </c>
      <c r="C2401" t="s">
        <v>40</v>
      </c>
      <c r="D2401">
        <v>3.8226420000000001</v>
      </c>
      <c r="E2401">
        <v>0.46679189999999998</v>
      </c>
      <c r="F2401" t="s">
        <v>47</v>
      </c>
      <c r="G2401">
        <v>-463.97449999999998</v>
      </c>
      <c r="H2401" s="1">
        <v>6.7600969999999905E-7</v>
      </c>
      <c r="I2401">
        <v>282.37909999999999</v>
      </c>
      <c r="J2401">
        <v>-446.0575</v>
      </c>
      <c r="K2401">
        <v>1.109497</v>
      </c>
      <c r="L2401">
        <v>284.85149999999999</v>
      </c>
      <c r="M2401">
        <v>-0.99958320000000001</v>
      </c>
      <c r="N2401">
        <v>0</v>
      </c>
      <c r="O2401">
        <v>2.5085590000000001E-2</v>
      </c>
      <c r="P2401">
        <v>-0.98281169999999995</v>
      </c>
      <c r="Q2401">
        <v>0.17785010000000001</v>
      </c>
      <c r="R2401">
        <v>-4.9505210000000001E-2</v>
      </c>
      <c r="S2401">
        <v>-3.064819</v>
      </c>
      <c r="T2401">
        <v>-0.186668</v>
      </c>
      <c r="U2401">
        <v>-0.4145508</v>
      </c>
      <c r="V2401">
        <v>-7.3666679999999998E-2</v>
      </c>
      <c r="W2401">
        <v>0.1920452</v>
      </c>
      <c r="X2401">
        <v>0.97861730000000002</v>
      </c>
      <c r="Y2401">
        <v>-0.15852559999999999</v>
      </c>
      <c r="Z2401">
        <v>-6.3216089999999997E-3</v>
      </c>
      <c r="AA2401">
        <v>0.98733459999999995</v>
      </c>
      <c r="AB2401">
        <v>30</v>
      </c>
      <c r="AC2401">
        <v>-17.916999999999899</v>
      </c>
      <c r="AD2401">
        <v>-1.1094963239903</v>
      </c>
      <c r="AE2401">
        <v>-2.4723999999999902</v>
      </c>
      <c r="AF2401">
        <v>-2.91017533099998</v>
      </c>
      <c r="AG2401">
        <v>-1.1094963239903</v>
      </c>
      <c r="AH2401">
        <v>17.782418089694598</v>
      </c>
      <c r="AI2401">
        <v>93.523468798613905</v>
      </c>
      <c r="AJ2401">
        <v>99.294328760976995</v>
      </c>
      <c r="AK2401">
        <v>18.0531021064748</v>
      </c>
      <c r="AL2401">
        <v>78.927835916251993</v>
      </c>
      <c r="AM2401">
        <v>94.304894726885806</v>
      </c>
      <c r="AN2401">
        <v>0.99999997922227601</v>
      </c>
    </row>
    <row r="2402" spans="1:40" x14ac:dyDescent="0.25">
      <c r="A2402" t="str">
        <f>"20190312172416820"</f>
        <v>20190312172416820</v>
      </c>
      <c r="B2402" t="str">
        <f>"1552382656812654"</f>
        <v>1552382656812654</v>
      </c>
      <c r="C2402" t="s">
        <v>40</v>
      </c>
      <c r="D2402">
        <v>3.9857809999999998</v>
      </c>
      <c r="E2402">
        <v>0.46681129999999998</v>
      </c>
      <c r="F2402" t="s">
        <v>47</v>
      </c>
      <c r="G2402">
        <v>-464.42700000000002</v>
      </c>
      <c r="H2402" s="1">
        <v>9.185423E-7</v>
      </c>
      <c r="I2402">
        <v>282.34010000000001</v>
      </c>
      <c r="J2402">
        <v>-446.35469999999998</v>
      </c>
      <c r="K2402">
        <v>1.109504</v>
      </c>
      <c r="L2402">
        <v>284.8603</v>
      </c>
      <c r="M2402">
        <v>-0.99955179999999999</v>
      </c>
      <c r="N2402">
        <v>0</v>
      </c>
      <c r="O2402">
        <v>2.630913E-2</v>
      </c>
      <c r="P2402">
        <v>-0.98255519999999996</v>
      </c>
      <c r="Q2402">
        <v>0.1789857</v>
      </c>
      <c r="R2402">
        <v>-5.0494539999999997E-2</v>
      </c>
      <c r="S2402">
        <v>-3.064819</v>
      </c>
      <c r="T2402">
        <v>-0.185111</v>
      </c>
      <c r="U2402">
        <v>-0.4190063</v>
      </c>
      <c r="V2402">
        <v>-7.5846720000000006E-2</v>
      </c>
      <c r="W2402">
        <v>0.19317799999999999</v>
      </c>
      <c r="X2402">
        <v>0.97822770000000003</v>
      </c>
      <c r="Y2402">
        <v>-0.1611416</v>
      </c>
      <c r="Z2402">
        <v>-6.4204860000000004E-3</v>
      </c>
      <c r="AA2402">
        <v>0.98691039999999997</v>
      </c>
      <c r="AB2402">
        <v>30</v>
      </c>
      <c r="AC2402">
        <v>-18.072299999999899</v>
      </c>
      <c r="AD2402">
        <v>-1.1095030814577</v>
      </c>
      <c r="AE2402">
        <v>-2.52019999999998</v>
      </c>
      <c r="AF2402">
        <v>-2.9838109074457</v>
      </c>
      <c r="AG2402">
        <v>-1.1095030814577</v>
      </c>
      <c r="AH2402">
        <v>17.933429681103998</v>
      </c>
      <c r="AI2402">
        <v>93.492366838051197</v>
      </c>
      <c r="AJ2402">
        <v>99.4464863226642</v>
      </c>
      <c r="AK2402">
        <v>18.213786666870099</v>
      </c>
      <c r="AL2402">
        <v>78.861692382654695</v>
      </c>
      <c r="AM2402">
        <v>94.433548500473293</v>
      </c>
      <c r="AN2402">
        <v>0.99999994883302301</v>
      </c>
    </row>
    <row r="2403" spans="1:40" x14ac:dyDescent="0.25">
      <c r="A2403" t="str">
        <f>"20190312172416842"</f>
        <v>20190312172416842</v>
      </c>
      <c r="B2403" t="str">
        <f>"1552382656832175"</f>
        <v>1552382656832175</v>
      </c>
      <c r="C2403" t="s">
        <v>40</v>
      </c>
      <c r="D2403">
        <v>3.8130359999999999</v>
      </c>
      <c r="E2403">
        <v>0.46647870000000002</v>
      </c>
      <c r="F2403" t="s">
        <v>47</v>
      </c>
      <c r="G2403">
        <v>-465.48110000000003</v>
      </c>
      <c r="H2403" s="1">
        <v>1.484279E-6</v>
      </c>
      <c r="I2403">
        <v>282.23039999999997</v>
      </c>
      <c r="J2403">
        <v>-446.65620000000001</v>
      </c>
      <c r="K2403">
        <v>1.1095159999999999</v>
      </c>
      <c r="L2403">
        <v>284.86950000000002</v>
      </c>
      <c r="M2403">
        <v>-0.99951849999999998</v>
      </c>
      <c r="N2403">
        <v>0</v>
      </c>
      <c r="O2403">
        <v>2.7545819999999999E-2</v>
      </c>
      <c r="P2403">
        <v>-0.98236319999999999</v>
      </c>
      <c r="Q2403">
        <v>0.179705</v>
      </c>
      <c r="R2403">
        <v>-5.1659539999999997E-2</v>
      </c>
      <c r="S2403">
        <v>-3.0640260000000001</v>
      </c>
      <c r="T2403">
        <v>-0.17774119999999999</v>
      </c>
      <c r="U2403">
        <v>-0.42129519999999998</v>
      </c>
      <c r="V2403">
        <v>-7.8217850000000005E-2</v>
      </c>
      <c r="W2403">
        <v>0.1938957</v>
      </c>
      <c r="X2403">
        <v>0.97789899999999996</v>
      </c>
      <c r="Y2403">
        <v>-0.16314089999999901</v>
      </c>
      <c r="Z2403">
        <v>-6.2956349999999999E-3</v>
      </c>
      <c r="AA2403">
        <v>0.98658270000000003</v>
      </c>
      <c r="AB2403">
        <v>30</v>
      </c>
      <c r="AC2403">
        <v>-18.8249</v>
      </c>
      <c r="AD2403">
        <v>-1.109514515721</v>
      </c>
      <c r="AE2403">
        <v>-2.63910000000004</v>
      </c>
      <c r="AF2403">
        <v>-3.1459808154161801</v>
      </c>
      <c r="AG2403">
        <v>-1.109514515721</v>
      </c>
      <c r="AH2403">
        <v>18.681407689933501</v>
      </c>
      <c r="AI2403">
        <v>93.3517977270442</v>
      </c>
      <c r="AJ2403">
        <v>99.559018244391595</v>
      </c>
      <c r="AK2403">
        <v>18.976912578948902</v>
      </c>
      <c r="AL2403">
        <v>78.819779479628394</v>
      </c>
      <c r="AM2403">
        <v>94.573102130345006</v>
      </c>
      <c r="AN2403">
        <v>1.0000000143690499</v>
      </c>
    </row>
    <row r="2404" spans="1:40" x14ac:dyDescent="0.25">
      <c r="A2404" t="str">
        <f>"20190312172416864"</f>
        <v>20190312172416864</v>
      </c>
      <c r="B2404" t="str">
        <f>"1552382656852674"</f>
        <v>1552382656852674</v>
      </c>
      <c r="C2404" t="s">
        <v>40</v>
      </c>
      <c r="D2404">
        <v>3.8250709999999999</v>
      </c>
      <c r="E2404">
        <v>0.46611799999999998</v>
      </c>
      <c r="F2404" t="s">
        <v>47</v>
      </c>
      <c r="G2404">
        <v>-465.71129999999999</v>
      </c>
      <c r="H2404" s="1">
        <v>1.607451E-6</v>
      </c>
      <c r="I2404">
        <v>282.21480000000003</v>
      </c>
      <c r="J2404">
        <v>-446.95030000000003</v>
      </c>
      <c r="K2404">
        <v>1.1095219999999999</v>
      </c>
      <c r="L2404">
        <v>284.87889999999999</v>
      </c>
      <c r="M2404">
        <v>-0.9994847</v>
      </c>
      <c r="N2404">
        <v>0</v>
      </c>
      <c r="O2404">
        <v>2.8749710000000001E-2</v>
      </c>
      <c r="P2404">
        <v>-0.98218019999999995</v>
      </c>
      <c r="Q2404">
        <v>0.18014869999999999</v>
      </c>
      <c r="R2404">
        <v>-5.356122E-2</v>
      </c>
      <c r="S2404">
        <v>-3.064117</v>
      </c>
      <c r="T2404">
        <v>-0.17841290000000001</v>
      </c>
      <c r="U2404">
        <v>-0.42687989999999998</v>
      </c>
      <c r="V2404">
        <v>-8.1293820000000003E-2</v>
      </c>
      <c r="W2404">
        <v>0.19433909999999999</v>
      </c>
      <c r="X2404">
        <v>0.97755999999999998</v>
      </c>
      <c r="Y2404">
        <v>-0.1660797</v>
      </c>
      <c r="Z2404">
        <v>-6.4732610000000001E-3</v>
      </c>
      <c r="AA2404">
        <v>0.9860911</v>
      </c>
      <c r="AB2404">
        <v>30</v>
      </c>
      <c r="AC2404">
        <v>-18.7609999999999</v>
      </c>
      <c r="AD2404">
        <v>-1.10952039254899</v>
      </c>
      <c r="AE2404">
        <v>-2.6640999999999599</v>
      </c>
      <c r="AF2404">
        <v>-3.19148521486746</v>
      </c>
      <c r="AG2404">
        <v>-1.10952039254899</v>
      </c>
      <c r="AH2404">
        <v>18.612831720501202</v>
      </c>
      <c r="AI2404">
        <v>93.362437536533406</v>
      </c>
      <c r="AJ2404">
        <v>99.729713880440002</v>
      </c>
      <c r="AK2404">
        <v>18.917032484877101</v>
      </c>
      <c r="AL2404">
        <v>78.793881324286502</v>
      </c>
      <c r="AM2404">
        <v>94.753774721090096</v>
      </c>
      <c r="AN2404">
        <v>0.99999996227950005</v>
      </c>
    </row>
    <row r="2405" spans="1:40" x14ac:dyDescent="0.25">
      <c r="A2405" t="str">
        <f>"20190312172416879"</f>
        <v>20190312172416879</v>
      </c>
      <c r="B2405" t="str">
        <f>"1552382656872190"</f>
        <v>1552382656872190</v>
      </c>
      <c r="C2405" t="s">
        <v>40</v>
      </c>
      <c r="D2405">
        <v>3.8068339999999998</v>
      </c>
      <c r="E2405">
        <v>0.46571780000000002</v>
      </c>
      <c r="F2405" t="s">
        <v>47</v>
      </c>
      <c r="G2405">
        <v>-465.94720000000001</v>
      </c>
      <c r="H2405" s="1">
        <v>1.7342920000000001E-6</v>
      </c>
      <c r="I2405">
        <v>282.18549999999999</v>
      </c>
      <c r="J2405">
        <v>-447.15010000000001</v>
      </c>
      <c r="K2405">
        <v>1.109523</v>
      </c>
      <c r="L2405">
        <v>284.88549999999998</v>
      </c>
      <c r="M2405">
        <v>-0.99946080000000004</v>
      </c>
      <c r="N2405">
        <v>0</v>
      </c>
      <c r="O2405">
        <v>2.9567199999999998E-2</v>
      </c>
      <c r="P2405">
        <v>-0.9820333</v>
      </c>
      <c r="Q2405">
        <v>0.1806537</v>
      </c>
      <c r="R2405">
        <v>-5.4542420000000001E-2</v>
      </c>
      <c r="S2405">
        <v>-3.0635379999999999</v>
      </c>
      <c r="T2405">
        <v>-0.17892669999999999</v>
      </c>
      <c r="U2405">
        <v>-0.43435669999999998</v>
      </c>
      <c r="V2405">
        <v>-8.307146E-2</v>
      </c>
      <c r="W2405">
        <v>0.19484280000000001</v>
      </c>
      <c r="X2405">
        <v>0.97731029999999997</v>
      </c>
      <c r="Y2405">
        <v>-0.16926229999999901</v>
      </c>
      <c r="Z2405">
        <v>-6.631914E-3</v>
      </c>
      <c r="AA2405">
        <v>0.98554870000000006</v>
      </c>
      <c r="AB2405">
        <v>30</v>
      </c>
      <c r="AC2405">
        <v>-18.7971</v>
      </c>
      <c r="AD2405">
        <v>-1.109521265708</v>
      </c>
      <c r="AE2405">
        <v>-2.6999999999999802</v>
      </c>
      <c r="AF2405">
        <v>-3.24358110396143</v>
      </c>
      <c r="AG2405">
        <v>-1.109521265708</v>
      </c>
      <c r="AH2405">
        <v>18.645391523020301</v>
      </c>
      <c r="AI2405">
        <v>93.355181096984495</v>
      </c>
      <c r="AJ2405">
        <v>99.868504232832294</v>
      </c>
      <c r="AK2405">
        <v>18.957913410071001</v>
      </c>
      <c r="AL2405">
        <v>78.764459483176196</v>
      </c>
      <c r="AM2405">
        <v>94.858467837394798</v>
      </c>
      <c r="AN2405">
        <v>1.00000000333223</v>
      </c>
    </row>
    <row r="2406" spans="1:40" x14ac:dyDescent="0.25">
      <c r="A2406" t="str">
        <f>"20190312172416891"</f>
        <v>20190312172416891</v>
      </c>
      <c r="B2406" t="str">
        <f>"1552382656881952"</f>
        <v>1552382656881952</v>
      </c>
      <c r="C2406" t="s">
        <v>40</v>
      </c>
      <c r="D2406">
        <v>3.8257249999999998</v>
      </c>
      <c r="E2406">
        <v>0.46552830000000001</v>
      </c>
      <c r="F2406" t="s">
        <v>47</v>
      </c>
      <c r="G2406">
        <v>-466.26900000000001</v>
      </c>
      <c r="H2406" s="1">
        <v>1.9075400000000002E-6</v>
      </c>
      <c r="I2406">
        <v>282.13920000000002</v>
      </c>
      <c r="J2406">
        <v>-447.32209999999998</v>
      </c>
      <c r="K2406">
        <v>1.109529</v>
      </c>
      <c r="L2406">
        <v>284.8913</v>
      </c>
      <c r="M2406">
        <v>-0.99943979999999999</v>
      </c>
      <c r="N2406">
        <v>0</v>
      </c>
      <c r="O2406">
        <v>3.0270020000000002E-2</v>
      </c>
      <c r="P2406">
        <v>-0.98201000000000005</v>
      </c>
      <c r="Q2406">
        <v>0.18060010000000001</v>
      </c>
      <c r="R2406">
        <v>-5.5136360000000002E-2</v>
      </c>
      <c r="S2406">
        <v>-3.0631409999999999</v>
      </c>
      <c r="T2406">
        <v>-0.1777627</v>
      </c>
      <c r="U2406">
        <v>-0.44000240000000002</v>
      </c>
      <c r="V2406">
        <v>-8.4354310000000002E-2</v>
      </c>
      <c r="W2406">
        <v>0.19478909999999999</v>
      </c>
      <c r="X2406">
        <v>0.9772111</v>
      </c>
      <c r="Y2406">
        <v>-0.17175179999999901</v>
      </c>
      <c r="Z2406">
        <v>-6.7012340000000004E-3</v>
      </c>
      <c r="AA2406">
        <v>0.98511740000000003</v>
      </c>
      <c r="AB2406">
        <v>30</v>
      </c>
      <c r="AC2406">
        <v>-18.946899999999999</v>
      </c>
      <c r="AD2406">
        <v>-1.10952709246</v>
      </c>
      <c r="AE2406">
        <v>-2.75209999999998</v>
      </c>
      <c r="AF2406">
        <v>-3.31329276351949</v>
      </c>
      <c r="AG2406">
        <v>-1.10952709246</v>
      </c>
      <c r="AH2406">
        <v>18.791791082830201</v>
      </c>
      <c r="AI2406">
        <v>93.327789999770204</v>
      </c>
      <c r="AJ2406">
        <v>99.999387831527301</v>
      </c>
      <c r="AK2406">
        <v>19.1138790256303</v>
      </c>
      <c r="AL2406">
        <v>78.767596201408594</v>
      </c>
      <c r="AM2406">
        <v>94.933626693577096</v>
      </c>
      <c r="AN2406">
        <v>0.99999998852879801</v>
      </c>
    </row>
    <row r="2407" spans="1:40" x14ac:dyDescent="0.25">
      <c r="A2407" t="str">
        <f>"20190312172416909"</f>
        <v>20190312172416909</v>
      </c>
      <c r="B2407" t="str">
        <f>"1552382656902446"</f>
        <v>1552382656902446</v>
      </c>
      <c r="C2407" t="s">
        <v>40</v>
      </c>
      <c r="D2407">
        <v>3.838546</v>
      </c>
      <c r="E2407">
        <v>0.46530319999999997</v>
      </c>
      <c r="F2407" t="s">
        <v>47</v>
      </c>
      <c r="G2407">
        <v>-466.3854</v>
      </c>
      <c r="H2407" s="1">
        <v>1.9696900000000001E-6</v>
      </c>
      <c r="I2407">
        <v>282.13470000000001</v>
      </c>
      <c r="J2407">
        <v>-447.56270000000001</v>
      </c>
      <c r="K2407">
        <v>1.109551</v>
      </c>
      <c r="L2407">
        <v>284.89960000000002</v>
      </c>
      <c r="M2407">
        <v>-0.99940960000000001</v>
      </c>
      <c r="N2407">
        <v>0</v>
      </c>
      <c r="O2407">
        <v>3.1253379999999997E-2</v>
      </c>
      <c r="P2407">
        <v>-0.98163250000000002</v>
      </c>
      <c r="Q2407">
        <v>0.1817645</v>
      </c>
      <c r="R2407">
        <v>-5.7962689999999997E-2</v>
      </c>
      <c r="S2407">
        <v>-3.0628660000000001</v>
      </c>
      <c r="T2407">
        <v>-0.17826589999999901</v>
      </c>
      <c r="U2407">
        <v>-0.44290160000000001</v>
      </c>
      <c r="V2407">
        <v>-8.8129109999999997E-2</v>
      </c>
      <c r="W2407">
        <v>0.19595209999999999</v>
      </c>
      <c r="X2407">
        <v>0.97664530000000005</v>
      </c>
      <c r="Y2407">
        <v>-0.17363999999999999</v>
      </c>
      <c r="Z2407">
        <v>-6.8318789999999999E-3</v>
      </c>
      <c r="AA2407">
        <v>0.98478549999999998</v>
      </c>
      <c r="AB2407">
        <v>30</v>
      </c>
      <c r="AC2407">
        <v>-18.822700000000001</v>
      </c>
      <c r="AD2407">
        <v>-1.10954903031</v>
      </c>
      <c r="AE2407">
        <v>-2.7649000000000101</v>
      </c>
      <c r="AF2407">
        <v>-3.34051951805636</v>
      </c>
      <c r="AG2407">
        <v>-1.10954903031</v>
      </c>
      <c r="AH2407">
        <v>18.6635994439666</v>
      </c>
      <c r="AI2407">
        <v>93.349124513658893</v>
      </c>
      <c r="AJ2407">
        <v>100.14767877906699</v>
      </c>
      <c r="AK2407">
        <v>18.992633148302701</v>
      </c>
      <c r="AL2407">
        <v>78.699652057341794</v>
      </c>
      <c r="AM2407">
        <v>95.156209130185005</v>
      </c>
      <c r="AN2407">
        <v>1.00000000376794</v>
      </c>
    </row>
    <row r="2408" spans="1:40" x14ac:dyDescent="0.25">
      <c r="A2408" t="str">
        <f>"20190312172416943"</f>
        <v>20190312172416943</v>
      </c>
      <c r="B2408" t="str">
        <f>"1552382656932703"</f>
        <v>1552382656932703</v>
      </c>
      <c r="C2408" t="s">
        <v>40</v>
      </c>
      <c r="D2408">
        <v>3.8580049999999999</v>
      </c>
      <c r="E2408">
        <v>0.46503460000000002</v>
      </c>
      <c r="F2408" t="s">
        <v>47</v>
      </c>
      <c r="G2408">
        <v>-466.83819999999997</v>
      </c>
      <c r="H2408" s="1">
        <v>2.2143480000000002E-6</v>
      </c>
      <c r="I2408">
        <v>282.04989999999998</v>
      </c>
      <c r="J2408">
        <v>-448.01479999999998</v>
      </c>
      <c r="K2408">
        <v>1.1095699999999999</v>
      </c>
      <c r="L2408">
        <v>284.91590000000002</v>
      </c>
      <c r="M2408">
        <v>-0.99934999999999996</v>
      </c>
      <c r="N2408">
        <v>0</v>
      </c>
      <c r="O2408">
        <v>3.3101659999999998E-2</v>
      </c>
      <c r="P2408">
        <v>-0.98143349999999996</v>
      </c>
      <c r="Q2408">
        <v>0.1821255</v>
      </c>
      <c r="R2408">
        <v>-6.0156519999999998E-2</v>
      </c>
      <c r="S2408">
        <v>-3.0620419999999999</v>
      </c>
      <c r="T2408">
        <v>-0.17625950000000001</v>
      </c>
      <c r="U2408">
        <v>-0.45269779999999998</v>
      </c>
      <c r="V2408">
        <v>-9.2127100000000003E-2</v>
      </c>
      <c r="W2408">
        <v>0.19631119999999999</v>
      </c>
      <c r="X2408">
        <v>0.97620419999999997</v>
      </c>
      <c r="Y2408">
        <v>-0.17857770000000001</v>
      </c>
      <c r="Z2408">
        <v>-7.0024340000000001E-3</v>
      </c>
      <c r="AA2408">
        <v>0.98390089999999997</v>
      </c>
      <c r="AB2408">
        <v>30</v>
      </c>
      <c r="AC2408">
        <v>-18.8233999999999</v>
      </c>
      <c r="AD2408">
        <v>-1.1095677856520001</v>
      </c>
      <c r="AE2408">
        <v>-2.8660000000000401</v>
      </c>
      <c r="AF2408">
        <v>-3.4757749069559001</v>
      </c>
      <c r="AG2408">
        <v>-1.1095677856520001</v>
      </c>
      <c r="AH2408">
        <v>18.654852909078699</v>
      </c>
      <c r="AI2408">
        <v>93.346416593507399</v>
      </c>
      <c r="AJ2408">
        <v>100.554336530192</v>
      </c>
      <c r="AK2408">
        <v>19.008305788105901</v>
      </c>
      <c r="AL2408">
        <v>78.678670314671294</v>
      </c>
      <c r="AM2408">
        <v>95.391194527613905</v>
      </c>
      <c r="AN2408">
        <v>1.0000000649487399</v>
      </c>
    </row>
    <row r="2409" spans="1:40" x14ac:dyDescent="0.25">
      <c r="A2409" t="str">
        <f>"20190312172416964"</f>
        <v>20190312172416964</v>
      </c>
      <c r="B2409" t="str">
        <f>"1552382656952222"</f>
        <v>1552382656952222</v>
      </c>
      <c r="C2409" t="s">
        <v>40</v>
      </c>
      <c r="D2409">
        <v>3.8403499999999999</v>
      </c>
      <c r="E2409">
        <v>0.46489799999999998</v>
      </c>
      <c r="F2409" t="s">
        <v>47</v>
      </c>
      <c r="G2409">
        <v>-467.27260000000001</v>
      </c>
      <c r="H2409" s="1">
        <v>2.446968E-6</v>
      </c>
      <c r="I2409">
        <v>282.01620000000003</v>
      </c>
      <c r="J2409">
        <v>-448.30880000000002</v>
      </c>
      <c r="K2409">
        <v>1.1095870000000001</v>
      </c>
      <c r="L2409">
        <v>284.92689999999999</v>
      </c>
      <c r="M2409">
        <v>-0.99930949999999996</v>
      </c>
      <c r="N2409">
        <v>0</v>
      </c>
      <c r="O2409">
        <v>3.4304050000000003E-2</v>
      </c>
      <c r="P2409">
        <v>-0.98134460000000001</v>
      </c>
      <c r="Q2409">
        <v>0.1821053</v>
      </c>
      <c r="R2409">
        <v>-6.1649719999999998E-2</v>
      </c>
      <c r="S2409">
        <v>-3.0612490000000001</v>
      </c>
      <c r="T2409">
        <v>-0.17637849999999999</v>
      </c>
      <c r="U2409">
        <v>-0.4609375</v>
      </c>
      <c r="V2409">
        <v>-9.4795820000000003E-2</v>
      </c>
      <c r="W2409">
        <v>0.19629060000000001</v>
      </c>
      <c r="X2409">
        <v>0.97595270000000001</v>
      </c>
      <c r="Y2409">
        <v>-0.18237900000000001</v>
      </c>
      <c r="Z2409">
        <v>-7.1852900000000004E-3</v>
      </c>
      <c r="AA2409">
        <v>0.98320200000000002</v>
      </c>
      <c r="AB2409">
        <v>30</v>
      </c>
      <c r="AC2409">
        <v>-18.9637999999999</v>
      </c>
      <c r="AD2409">
        <v>-1.1095845530320001</v>
      </c>
      <c r="AE2409">
        <v>-2.9106999999999599</v>
      </c>
      <c r="AF2409">
        <v>-3.5477218921456899</v>
      </c>
      <c r="AG2409">
        <v>-1.1095845530320001</v>
      </c>
      <c r="AH2409">
        <v>18.789930746351299</v>
      </c>
      <c r="AI2409">
        <v>93.320968877151898</v>
      </c>
      <c r="AJ2409">
        <v>100.692131864462</v>
      </c>
      <c r="AK2409">
        <v>19.154085881529699</v>
      </c>
      <c r="AL2409">
        <v>78.679872822414396</v>
      </c>
      <c r="AM2409">
        <v>95.547825749618596</v>
      </c>
      <c r="AN2409">
        <v>0.99999995988755996</v>
      </c>
    </row>
    <row r="2410" spans="1:40" x14ac:dyDescent="0.25">
      <c r="A2410" t="str">
        <f>"20190312172416988"</f>
        <v>20190312172416988</v>
      </c>
      <c r="B2410" t="str">
        <f>"1552382656982479"</f>
        <v>1552382656982479</v>
      </c>
      <c r="C2410" t="s">
        <v>40</v>
      </c>
      <c r="D2410">
        <v>3.8492000000000002</v>
      </c>
      <c r="E2410">
        <v>0.46479169999999997</v>
      </c>
      <c r="F2410" t="s">
        <v>47</v>
      </c>
      <c r="G2410">
        <v>-467.45249999999999</v>
      </c>
      <c r="H2410" s="1">
        <v>2.5429689999999998E-6</v>
      </c>
      <c r="I2410">
        <v>282.00990000000002</v>
      </c>
      <c r="J2410">
        <v>-448.6164</v>
      </c>
      <c r="K2410">
        <v>1.1095950000000001</v>
      </c>
      <c r="L2410">
        <v>284.93889999999999</v>
      </c>
      <c r="M2410">
        <v>-0.99926570000000003</v>
      </c>
      <c r="N2410">
        <v>0</v>
      </c>
      <c r="O2410">
        <v>3.5562280000000002E-2</v>
      </c>
      <c r="P2410">
        <v>-0.98121990000000003</v>
      </c>
      <c r="Q2410">
        <v>0.18231510000000001</v>
      </c>
      <c r="R2410">
        <v>-6.300037E-2</v>
      </c>
      <c r="S2410">
        <v>-3.0606080000000002</v>
      </c>
      <c r="T2410">
        <v>-0.1773961</v>
      </c>
      <c r="U2410">
        <v>-0.4663696</v>
      </c>
      <c r="V2410">
        <v>-9.7373680000000004E-2</v>
      </c>
      <c r="W2410">
        <v>0.19649920000000001</v>
      </c>
      <c r="X2410">
        <v>0.97565690000000005</v>
      </c>
      <c r="Y2410">
        <v>-0.18534120000000001</v>
      </c>
      <c r="Z2410">
        <v>-7.3850359999999898E-3</v>
      </c>
      <c r="AA2410">
        <v>0.98264649999999998</v>
      </c>
      <c r="AB2410">
        <v>30</v>
      </c>
      <c r="AC2410">
        <v>-18.836099999999899</v>
      </c>
      <c r="AD2410">
        <v>-1.1095924570310001</v>
      </c>
      <c r="AE2410">
        <v>-2.9289999999999701</v>
      </c>
      <c r="AF2410">
        <v>-3.5849232832765998</v>
      </c>
      <c r="AG2410">
        <v>-1.1095924570310001</v>
      </c>
      <c r="AH2410">
        <v>18.656797600977399</v>
      </c>
      <c r="AI2410">
        <v>93.342588273624798</v>
      </c>
      <c r="AJ2410">
        <v>100.876872039115</v>
      </c>
      <c r="AK2410">
        <v>19.030474694329399</v>
      </c>
      <c r="AL2410">
        <v>78.667683740565707</v>
      </c>
      <c r="AM2410">
        <v>95.699428710384197</v>
      </c>
      <c r="AN2410">
        <v>0.99999997783749595</v>
      </c>
    </row>
    <row r="2411" spans="1:40" x14ac:dyDescent="0.25">
      <c r="A2411" t="str">
        <f>"20190312172417010"</f>
        <v>20190312172417010</v>
      </c>
      <c r="B2411" t="str">
        <f>"1552382657002974"</f>
        <v>1552382657002974</v>
      </c>
      <c r="C2411" t="s">
        <v>40</v>
      </c>
      <c r="D2411">
        <v>3.956226</v>
      </c>
      <c r="E2411">
        <v>0.46467229999999998</v>
      </c>
      <c r="F2411" t="s">
        <v>47</v>
      </c>
      <c r="G2411">
        <v>-467.61410000000001</v>
      </c>
      <c r="H2411" s="1">
        <v>2.6288269999999998E-6</v>
      </c>
      <c r="I2411">
        <v>282.01319999999998</v>
      </c>
      <c r="J2411">
        <v>-448.91309999999999</v>
      </c>
      <c r="K2411">
        <v>1.109605</v>
      </c>
      <c r="L2411">
        <v>284.95080000000002</v>
      </c>
      <c r="M2411">
        <v>-0.99922169999999999</v>
      </c>
      <c r="N2411">
        <v>0</v>
      </c>
      <c r="O2411">
        <v>3.6776530000000002E-2</v>
      </c>
      <c r="P2411">
        <v>-0.98101190000000005</v>
      </c>
      <c r="Q2411">
        <v>0.1831081</v>
      </c>
      <c r="R2411">
        <v>-6.393161E-2</v>
      </c>
      <c r="S2411">
        <v>-3.0603639999999999</v>
      </c>
      <c r="T2411">
        <v>-0.17874619999999999</v>
      </c>
      <c r="U2411">
        <v>-0.4713135</v>
      </c>
      <c r="V2411">
        <v>-9.9484390000000006E-2</v>
      </c>
      <c r="W2411">
        <v>0.1972883</v>
      </c>
      <c r="X2411">
        <v>0.9752847</v>
      </c>
      <c r="Y2411">
        <v>-0.188085</v>
      </c>
      <c r="Z2411">
        <v>-7.5909580000000001E-3</v>
      </c>
      <c r="AA2411">
        <v>0.98212339999999998</v>
      </c>
      <c r="AB2411">
        <v>30</v>
      </c>
      <c r="AC2411">
        <v>-18.701000000000001</v>
      </c>
      <c r="AD2411">
        <v>-1.1096023711730001</v>
      </c>
      <c r="AE2411">
        <v>-2.93760000000003</v>
      </c>
      <c r="AF2411">
        <v>-3.6110336873460098</v>
      </c>
      <c r="AG2411">
        <v>-1.1096023711730001</v>
      </c>
      <c r="AH2411">
        <v>18.5166824277374</v>
      </c>
      <c r="AI2411">
        <v>93.366058349243701</v>
      </c>
      <c r="AJ2411">
        <v>101.035045491109</v>
      </c>
      <c r="AK2411">
        <v>18.898103339831199</v>
      </c>
      <c r="AL2411">
        <v>78.621569553491</v>
      </c>
      <c r="AM2411">
        <v>95.824338614997401</v>
      </c>
      <c r="AN2411">
        <v>1.0000000316123201</v>
      </c>
    </row>
    <row r="2412" spans="1:40" x14ac:dyDescent="0.25">
      <c r="A2412" t="str">
        <f>"20190312172417032"</f>
        <v>20190312172417032</v>
      </c>
      <c r="B2412" t="str">
        <f>"1552382657022496"</f>
        <v>1552382657022496</v>
      </c>
      <c r="C2412" t="s">
        <v>40</v>
      </c>
      <c r="D2412">
        <v>3.8355649999999999</v>
      </c>
      <c r="E2412">
        <v>0.46464030000000001</v>
      </c>
      <c r="F2412" t="s">
        <v>47</v>
      </c>
      <c r="G2412">
        <v>-467.99790000000002</v>
      </c>
      <c r="H2412" s="1">
        <v>2.8341239999999999E-6</v>
      </c>
      <c r="I2412">
        <v>281.98899999999998</v>
      </c>
      <c r="J2412">
        <v>-449.20979999999997</v>
      </c>
      <c r="K2412">
        <v>1.1096140000000001</v>
      </c>
      <c r="L2412">
        <v>284.96300000000002</v>
      </c>
      <c r="M2412">
        <v>-0.99917639999999996</v>
      </c>
      <c r="N2412">
        <v>0</v>
      </c>
      <c r="O2412">
        <v>3.7991320000000002E-2</v>
      </c>
      <c r="P2412">
        <v>-0.98069669999999998</v>
      </c>
      <c r="Q2412">
        <v>0.18459900000000001</v>
      </c>
      <c r="R2412">
        <v>-6.4476649999999996E-2</v>
      </c>
      <c r="S2412">
        <v>-3.060333</v>
      </c>
      <c r="T2412">
        <v>-0.1779299</v>
      </c>
      <c r="U2412">
        <v>-0.47494510000000001</v>
      </c>
      <c r="V2412">
        <v>-0.10120419999999999</v>
      </c>
      <c r="W2412">
        <v>0.1987727</v>
      </c>
      <c r="X2412">
        <v>0.97480619999999996</v>
      </c>
      <c r="Y2412">
        <v>-0.1904159</v>
      </c>
      <c r="Z2412">
        <v>-7.6932739999999999E-3</v>
      </c>
      <c r="AA2412">
        <v>0.98167340000000003</v>
      </c>
      <c r="AB2412">
        <v>30</v>
      </c>
      <c r="AC2412">
        <v>-18.7881</v>
      </c>
      <c r="AD2412">
        <v>-1.1096111658759999</v>
      </c>
      <c r="AE2412">
        <v>-2.97399999999993</v>
      </c>
      <c r="AF2412">
        <v>-3.6732108201850102</v>
      </c>
      <c r="AG2412">
        <v>-1.1096111658759999</v>
      </c>
      <c r="AH2412">
        <v>18.598250937670102</v>
      </c>
      <c r="AI2412">
        <v>93.349783955647396</v>
      </c>
      <c r="AJ2412">
        <v>101.17230306590299</v>
      </c>
      <c r="AK2412">
        <v>18.989961890680799</v>
      </c>
      <c r="AL2412">
        <v>78.534800977146801</v>
      </c>
      <c r="AM2412">
        <v>95.927202576142093</v>
      </c>
      <c r="AN2412">
        <v>1.0000000019606801</v>
      </c>
    </row>
    <row r="2413" spans="1:40" x14ac:dyDescent="0.25">
      <c r="A2413" t="str">
        <f>"20190312172417053"</f>
        <v>20190312172417053</v>
      </c>
      <c r="B2413" t="str">
        <f>"1552382657042990"</f>
        <v>1552382657042990</v>
      </c>
      <c r="C2413" t="s">
        <v>40</v>
      </c>
      <c r="D2413">
        <v>3.8511540000000002</v>
      </c>
      <c r="E2413">
        <v>0.46462579999999998</v>
      </c>
      <c r="F2413" t="s">
        <v>47</v>
      </c>
      <c r="G2413">
        <v>-468.68720000000002</v>
      </c>
      <c r="H2413" s="1">
        <v>3.2037969999999998E-6</v>
      </c>
      <c r="I2413">
        <v>281.92430000000002</v>
      </c>
      <c r="J2413">
        <v>-449.49849999999998</v>
      </c>
      <c r="K2413">
        <v>1.1096239999999999</v>
      </c>
      <c r="L2413">
        <v>284.9753</v>
      </c>
      <c r="M2413">
        <v>-0.99913059999999998</v>
      </c>
      <c r="N2413">
        <v>0</v>
      </c>
      <c r="O2413">
        <v>3.9173810000000003E-2</v>
      </c>
      <c r="P2413">
        <v>-0.98049019999999998</v>
      </c>
      <c r="Q2413">
        <v>0.18536759999999999</v>
      </c>
      <c r="R2413">
        <v>-6.5405759999999993E-2</v>
      </c>
      <c r="S2413">
        <v>-3.0605159999999998</v>
      </c>
      <c r="T2413">
        <v>-0.1743546</v>
      </c>
      <c r="U2413">
        <v>-0.47747800000000001</v>
      </c>
      <c r="V2413">
        <v>-0.1032802</v>
      </c>
      <c r="W2413">
        <v>0.19953770000000001</v>
      </c>
      <c r="X2413">
        <v>0.97443210000000002</v>
      </c>
      <c r="Y2413">
        <v>-0.19237170000000001</v>
      </c>
      <c r="Z2413">
        <v>-7.6603289999999996E-3</v>
      </c>
      <c r="AA2413">
        <v>0.98129219999999895</v>
      </c>
      <c r="AB2413">
        <v>30</v>
      </c>
      <c r="AC2413">
        <v>-19.188700000000001</v>
      </c>
      <c r="AD2413">
        <v>-1.109620796203</v>
      </c>
      <c r="AE2413">
        <v>-3.0509999999999802</v>
      </c>
      <c r="AF2413">
        <v>-3.7880738394025602</v>
      </c>
      <c r="AG2413">
        <v>-1.109620796203</v>
      </c>
      <c r="AH2413">
        <v>18.992492823856502</v>
      </c>
      <c r="AI2413">
        <v>93.279214344168594</v>
      </c>
      <c r="AJ2413">
        <v>101.279689969873</v>
      </c>
      <c r="AK2413">
        <v>19.398338727539802</v>
      </c>
      <c r="AL2413">
        <v>78.490073767637497</v>
      </c>
      <c r="AM2413">
        <v>96.050199675952598</v>
      </c>
      <c r="AN2413">
        <v>1.0000000054718701</v>
      </c>
    </row>
    <row r="2414" spans="1:40" x14ac:dyDescent="0.25">
      <c r="A2414" t="str">
        <f>"20190312172417077"</f>
        <v>20190312172417077</v>
      </c>
      <c r="B2414" t="str">
        <f>"1552382657072270"</f>
        <v>1552382657072270</v>
      </c>
      <c r="C2414" t="s">
        <v>40</v>
      </c>
      <c r="D2414">
        <v>3.8327309999999999</v>
      </c>
      <c r="E2414">
        <v>0.46450999999999998</v>
      </c>
      <c r="F2414" t="s">
        <v>47</v>
      </c>
      <c r="G2414">
        <v>-469.13819999999998</v>
      </c>
      <c r="H2414" s="1">
        <v>3.4451720000000001E-6</v>
      </c>
      <c r="I2414">
        <v>281.89229999999998</v>
      </c>
      <c r="J2414">
        <v>-449.80160000000001</v>
      </c>
      <c r="K2414">
        <v>1.1096250000000001</v>
      </c>
      <c r="L2414">
        <v>284.98849999999999</v>
      </c>
      <c r="M2414">
        <v>-0.99908129999999995</v>
      </c>
      <c r="N2414">
        <v>0</v>
      </c>
      <c r="O2414">
        <v>4.0415529999999998E-2</v>
      </c>
      <c r="P2414">
        <v>-0.98056449999999995</v>
      </c>
      <c r="Q2414">
        <v>0.18449460000000001</v>
      </c>
      <c r="R2414">
        <v>-6.6749749999999997E-2</v>
      </c>
      <c r="S2414">
        <v>-3.0603639999999999</v>
      </c>
      <c r="T2414">
        <v>-0.17290720000000001</v>
      </c>
      <c r="U2414">
        <v>-0.48040769999999999</v>
      </c>
      <c r="V2414">
        <v>-0.1058434</v>
      </c>
      <c r="W2414">
        <v>0.1986657</v>
      </c>
      <c r="X2414">
        <v>0.97433519999999896</v>
      </c>
      <c r="Y2414">
        <v>-0.19451589999999999</v>
      </c>
      <c r="Z2414">
        <v>-7.7265739999999999E-3</v>
      </c>
      <c r="AA2414">
        <v>0.98086890000000004</v>
      </c>
      <c r="AB2414">
        <v>30</v>
      </c>
      <c r="AC2414">
        <v>-19.336599999999901</v>
      </c>
      <c r="AD2414">
        <v>-1.109621554828</v>
      </c>
      <c r="AE2414">
        <v>-3.0962000000000098</v>
      </c>
      <c r="AF2414">
        <v>-3.8628457824611502</v>
      </c>
      <c r="AG2414">
        <v>-1.109621554828</v>
      </c>
      <c r="AH2414">
        <v>19.1342171357444</v>
      </c>
      <c r="AI2414">
        <v>93.253457927799801</v>
      </c>
      <c r="AJ2414">
        <v>101.413554461649</v>
      </c>
      <c r="AK2414">
        <v>19.551754471960599</v>
      </c>
      <c r="AL2414">
        <v>78.541056169688204</v>
      </c>
      <c r="AM2414">
        <v>96.199809668212495</v>
      </c>
      <c r="AN2414">
        <v>0.99999998381954402</v>
      </c>
    </row>
    <row r="2415" spans="1:40" x14ac:dyDescent="0.25">
      <c r="A2415" t="str">
        <f>"20190312172417099"</f>
        <v>20190312172417099</v>
      </c>
      <c r="B2415" t="str">
        <f>"1552382657092770"</f>
        <v>1552382657092770</v>
      </c>
      <c r="C2415" t="s">
        <v>40</v>
      </c>
      <c r="D2415">
        <v>3.9831799999999999</v>
      </c>
      <c r="E2415">
        <v>0.46451320000000001</v>
      </c>
      <c r="F2415" t="s">
        <v>47</v>
      </c>
      <c r="G2415">
        <v>-468.96289999999999</v>
      </c>
      <c r="H2415" s="1">
        <v>3.3489900000000002E-6</v>
      </c>
      <c r="I2415">
        <v>281.95819999999998</v>
      </c>
      <c r="J2415">
        <v>-450.10629999999998</v>
      </c>
      <c r="K2415">
        <v>1.1096250000000001</v>
      </c>
      <c r="L2415">
        <v>285.00220000000002</v>
      </c>
      <c r="M2415">
        <v>-0.99903010000000003</v>
      </c>
      <c r="N2415">
        <v>0</v>
      </c>
      <c r="O2415">
        <v>4.166417E-2</v>
      </c>
      <c r="P2415">
        <v>-0.98071779999999997</v>
      </c>
      <c r="Q2415">
        <v>0.18301339999999999</v>
      </c>
      <c r="R2415">
        <v>-6.8548659999999997E-2</v>
      </c>
      <c r="S2415">
        <v>-3.0599059999999998</v>
      </c>
      <c r="T2415">
        <v>-0.17719840000000001</v>
      </c>
      <c r="U2415">
        <v>-0.48391719999999999</v>
      </c>
      <c r="V2415">
        <v>-0.1088731</v>
      </c>
      <c r="W2415">
        <v>0.19718830000000001</v>
      </c>
      <c r="X2415">
        <v>0.97430150000000004</v>
      </c>
      <c r="Y2415">
        <v>-0.19683719999999999</v>
      </c>
      <c r="Z2415">
        <v>-8.0571229999999994E-3</v>
      </c>
      <c r="AA2415">
        <v>0.98040309999999997</v>
      </c>
      <c r="AB2415">
        <v>30</v>
      </c>
      <c r="AC2415">
        <v>-18.8566</v>
      </c>
      <c r="AD2415">
        <v>-1.1096216510100001</v>
      </c>
      <c r="AE2415">
        <v>-3.04400000000004</v>
      </c>
      <c r="AF2415">
        <v>-3.8142083305725301</v>
      </c>
      <c r="AG2415">
        <v>-1.1096216510100001</v>
      </c>
      <c r="AH2415">
        <v>18.650442459663999</v>
      </c>
      <c r="AI2415">
        <v>93.335953594344105</v>
      </c>
      <c r="AJ2415">
        <v>101.55819966734001</v>
      </c>
      <c r="AK2415">
        <v>19.068782062277499</v>
      </c>
      <c r="AL2415">
        <v>78.627413521621705</v>
      </c>
      <c r="AM2415">
        <v>96.376052643928602</v>
      </c>
      <c r="AN2415">
        <v>0.99999999523137495</v>
      </c>
    </row>
    <row r="2416" spans="1:40" x14ac:dyDescent="0.25">
      <c r="A2416" t="str">
        <f>"20190312172417121"</f>
        <v>20190312172417121</v>
      </c>
      <c r="B2416" t="str">
        <f>"1552382657112290"</f>
        <v>1552382657112290</v>
      </c>
      <c r="C2416" t="s">
        <v>40</v>
      </c>
      <c r="D2416">
        <v>3.8446229999999999</v>
      </c>
      <c r="E2416">
        <v>0.4645012</v>
      </c>
      <c r="F2416" t="s">
        <v>47</v>
      </c>
      <c r="G2416">
        <v>-468.74189999999999</v>
      </c>
      <c r="H2416" s="1">
        <v>3.2281890000000002E-6</v>
      </c>
      <c r="I2416">
        <v>282.03140000000002</v>
      </c>
      <c r="J2416">
        <v>-450.39299999999997</v>
      </c>
      <c r="K2416">
        <v>1.109632</v>
      </c>
      <c r="L2416">
        <v>285.0154</v>
      </c>
      <c r="M2416">
        <v>-0.99898030000000004</v>
      </c>
      <c r="N2416">
        <v>0</v>
      </c>
      <c r="O2416">
        <v>4.2838790000000002E-2</v>
      </c>
      <c r="P2416">
        <v>-0.98078799999999999</v>
      </c>
      <c r="Q2416">
        <v>0.18212159999999999</v>
      </c>
      <c r="R2416">
        <v>-6.9905949999999994E-2</v>
      </c>
      <c r="S2416">
        <v>-3.0589599999999999</v>
      </c>
      <c r="T2416">
        <v>-0.18214060000000001</v>
      </c>
      <c r="U2416">
        <v>-0.48764039999999997</v>
      </c>
      <c r="V2416">
        <v>-0.1113842</v>
      </c>
      <c r="W2416">
        <v>0.19629759999999999</v>
      </c>
      <c r="X2416">
        <v>0.97419750000000005</v>
      </c>
      <c r="Y2416">
        <v>-0.19917170000000001</v>
      </c>
      <c r="Z2416">
        <v>-8.4217379999999998E-3</v>
      </c>
      <c r="AA2416">
        <v>0.97992840000000003</v>
      </c>
      <c r="AB2416">
        <v>30</v>
      </c>
      <c r="AC2416">
        <v>-18.348899999999901</v>
      </c>
      <c r="AD2416">
        <v>-1.1096287718110001</v>
      </c>
      <c r="AE2416">
        <v>-2.98399999999998</v>
      </c>
      <c r="AF2416">
        <v>-3.7540096596305101</v>
      </c>
      <c r="AG2416">
        <v>-1.1096287718110001</v>
      </c>
      <c r="AH2416">
        <v>18.139579515915301</v>
      </c>
      <c r="AI2416">
        <v>93.428056379095295</v>
      </c>
      <c r="AJ2416">
        <v>101.692377518339</v>
      </c>
      <c r="AK2416">
        <v>18.557160600427199</v>
      </c>
      <c r="AL2416">
        <v>78.679464006562398</v>
      </c>
      <c r="AM2416">
        <v>96.522550228053504</v>
      </c>
      <c r="AN2416">
        <v>0.999999978390824</v>
      </c>
    </row>
    <row r="2417" spans="1:40" x14ac:dyDescent="0.25">
      <c r="A2417" t="str">
        <f>"20190312172417144"</f>
        <v>20190312172417144</v>
      </c>
      <c r="B2417" t="str">
        <f>"1552382657132782"</f>
        <v>1552382657132782</v>
      </c>
      <c r="C2417" t="s">
        <v>40</v>
      </c>
      <c r="D2417">
        <v>4.0097319999999996</v>
      </c>
      <c r="E2417">
        <v>0.4644548</v>
      </c>
      <c r="F2417" t="s">
        <v>47</v>
      </c>
      <c r="G2417">
        <v>-468.70580000000001</v>
      </c>
      <c r="H2417" s="1">
        <v>3.2069129999999999E-6</v>
      </c>
      <c r="I2417">
        <v>282.07929999999999</v>
      </c>
      <c r="J2417">
        <v>-450.68900000000002</v>
      </c>
      <c r="K2417">
        <v>1.1096360000000001</v>
      </c>
      <c r="L2417">
        <v>285.02940000000001</v>
      </c>
      <c r="M2417">
        <v>-0.99892769999999997</v>
      </c>
      <c r="N2417">
        <v>0</v>
      </c>
      <c r="O2417">
        <v>4.4051420000000001E-2</v>
      </c>
      <c r="P2417">
        <v>-0.98050029999999999</v>
      </c>
      <c r="Q2417">
        <v>0.1831208</v>
      </c>
      <c r="R2417">
        <v>-7.1314909999999995E-2</v>
      </c>
      <c r="S2417">
        <v>-3.0582280000000002</v>
      </c>
      <c r="T2417">
        <v>-0.185307</v>
      </c>
      <c r="U2417">
        <v>-0.49032589999999998</v>
      </c>
      <c r="V2417">
        <v>-0.1139638</v>
      </c>
      <c r="W2417">
        <v>0.19729250000000001</v>
      </c>
      <c r="X2417">
        <v>0.97369810000000001</v>
      </c>
      <c r="Y2417">
        <v>-0.20121559999999999</v>
      </c>
      <c r="Z2417">
        <v>-8.7038329999999994E-3</v>
      </c>
      <c r="AA2417">
        <v>0.9795083</v>
      </c>
      <c r="AB2417">
        <v>30</v>
      </c>
      <c r="AC2417">
        <v>-18.0167999999999</v>
      </c>
      <c r="AD2417">
        <v>-1.109632793087</v>
      </c>
      <c r="AE2417">
        <v>-2.9501000000000199</v>
      </c>
      <c r="AF2417">
        <v>-3.72721299275968</v>
      </c>
      <c r="AG2417">
        <v>-1.109632793087</v>
      </c>
      <c r="AH2417">
        <v>17.803568866281299</v>
      </c>
      <c r="AI2417">
        <v>93.490940510171001</v>
      </c>
      <c r="AJ2417">
        <v>101.82421574944</v>
      </c>
      <c r="AK2417">
        <v>18.223349472731702</v>
      </c>
      <c r="AL2417">
        <v>78.621324115339405</v>
      </c>
      <c r="AM2417">
        <v>96.675653543623199</v>
      </c>
      <c r="AN2417">
        <v>1.00000003410514</v>
      </c>
    </row>
    <row r="2418" spans="1:40" x14ac:dyDescent="0.25">
      <c r="A2418" t="str">
        <f>"20190312172417165"</f>
        <v>20190312172417165</v>
      </c>
      <c r="B2418" t="str">
        <f>"1552382657163039"</f>
        <v>1552382657163039</v>
      </c>
      <c r="C2418" t="s">
        <v>40</v>
      </c>
      <c r="D2418">
        <v>3.8344809999999998</v>
      </c>
      <c r="E2418">
        <v>0.46440599999999999</v>
      </c>
      <c r="F2418" t="s">
        <v>47</v>
      </c>
      <c r="G2418">
        <v>-469.25990000000002</v>
      </c>
      <c r="H2418" s="1">
        <v>3.503962E-6</v>
      </c>
      <c r="I2418">
        <v>282.02859999999998</v>
      </c>
      <c r="J2418">
        <v>-450.9837</v>
      </c>
      <c r="K2418">
        <v>1.1096509999999999</v>
      </c>
      <c r="L2418">
        <v>285.04379999999998</v>
      </c>
      <c r="M2418">
        <v>-0.99887369999999998</v>
      </c>
      <c r="N2418">
        <v>0</v>
      </c>
      <c r="O2418">
        <v>4.5258809999999997E-2</v>
      </c>
      <c r="P2418">
        <v>-0.98025269999999998</v>
      </c>
      <c r="Q2418">
        <v>0.1839471</v>
      </c>
      <c r="R2418">
        <v>-7.2583209999999995E-2</v>
      </c>
      <c r="S2418">
        <v>-3.0578609999999999</v>
      </c>
      <c r="T2418">
        <v>-0.18271080000000001</v>
      </c>
      <c r="U2418">
        <v>-0.4941101</v>
      </c>
      <c r="V2418">
        <v>-0.1163989</v>
      </c>
      <c r="W2418">
        <v>0.19811419999999999</v>
      </c>
      <c r="X2418">
        <v>0.97324310000000003</v>
      </c>
      <c r="Y2418">
        <v>-0.2036047</v>
      </c>
      <c r="Z2418">
        <v>-8.7248480000000003E-3</v>
      </c>
      <c r="AA2418">
        <v>0.9790143</v>
      </c>
      <c r="AB2418">
        <v>30</v>
      </c>
      <c r="AC2418">
        <v>-18.276199999999999</v>
      </c>
      <c r="AD2418">
        <v>-1.1096474960379901</v>
      </c>
      <c r="AE2418">
        <v>-3.0151999999999899</v>
      </c>
      <c r="AF2418">
        <v>-3.82562373825251</v>
      </c>
      <c r="AG2418">
        <v>-1.1096474960379901</v>
      </c>
      <c r="AH2418">
        <v>18.056192252340001</v>
      </c>
      <c r="AI2418">
        <v>93.4405171334854</v>
      </c>
      <c r="AJ2418">
        <v>101.962535104674</v>
      </c>
      <c r="AK2418">
        <v>18.490343241963</v>
      </c>
      <c r="AL2418">
        <v>78.573296214470005</v>
      </c>
      <c r="AM2418">
        <v>96.8201227958711</v>
      </c>
      <c r="AN2418">
        <v>1.0000000359302199</v>
      </c>
    </row>
    <row r="2419" spans="1:40" x14ac:dyDescent="0.25">
      <c r="A2419" t="str">
        <f>"20190312172417189"</f>
        <v>20190312172417189</v>
      </c>
      <c r="B2419" t="str">
        <f>"1552382657182558"</f>
        <v>1552382657182558</v>
      </c>
      <c r="C2419" t="s">
        <v>40</v>
      </c>
      <c r="D2419">
        <v>3.8244199999999999</v>
      </c>
      <c r="E2419">
        <v>0.46446530000000003</v>
      </c>
      <c r="F2419" t="s">
        <v>47</v>
      </c>
      <c r="G2419">
        <v>-469.68560000000002</v>
      </c>
      <c r="H2419" s="1">
        <v>3.731823E-6</v>
      </c>
      <c r="I2419">
        <v>281.99900000000002</v>
      </c>
      <c r="J2419">
        <v>-451.28829999999999</v>
      </c>
      <c r="K2419">
        <v>1.109659</v>
      </c>
      <c r="L2419">
        <v>285.05900000000003</v>
      </c>
      <c r="M2419">
        <v>-0.99881640000000005</v>
      </c>
      <c r="N2419">
        <v>0</v>
      </c>
      <c r="O2419">
        <v>4.6506249999999999E-2</v>
      </c>
      <c r="P2419">
        <v>-0.98003470000000004</v>
      </c>
      <c r="Q2419">
        <v>0.18442230000000001</v>
      </c>
      <c r="R2419">
        <v>-7.429943E-2</v>
      </c>
      <c r="S2419">
        <v>-3.0576479999999999</v>
      </c>
      <c r="T2419">
        <v>-0.18142079999999999</v>
      </c>
      <c r="U2419">
        <v>-0.49780269999999999</v>
      </c>
      <c r="V2419">
        <v>-0.119322499999999</v>
      </c>
      <c r="W2419">
        <v>0.1985867</v>
      </c>
      <c r="X2419">
        <v>0.97279260000000001</v>
      </c>
      <c r="Y2419">
        <v>-0.20598939999999999</v>
      </c>
      <c r="Z2419">
        <v>-8.8069169999999992E-3</v>
      </c>
      <c r="AA2419">
        <v>0.97851460000000001</v>
      </c>
      <c r="AB2419">
        <v>30</v>
      </c>
      <c r="AC2419">
        <v>-18.397300000000001</v>
      </c>
      <c r="AD2419">
        <v>-1.109655268177</v>
      </c>
      <c r="AE2419">
        <v>-3.06</v>
      </c>
      <c r="AF2419">
        <v>-3.8985633505683701</v>
      </c>
      <c r="AG2419">
        <v>-1.109655268177</v>
      </c>
      <c r="AH2419">
        <v>18.1707401384086</v>
      </c>
      <c r="AI2419">
        <v>93.4170410510675</v>
      </c>
      <c r="AJ2419">
        <v>102.10932756778099</v>
      </c>
      <c r="AK2419">
        <v>18.617355563832401</v>
      </c>
      <c r="AL2419">
        <v>78.545674622388304</v>
      </c>
      <c r="AM2419">
        <v>96.992955132618505</v>
      </c>
      <c r="AN2419">
        <v>0.99999998951894997</v>
      </c>
    </row>
    <row r="2420" spans="1:40" x14ac:dyDescent="0.25">
      <c r="A2420" t="str">
        <f>"20190312172417211"</f>
        <v>20190312172417211</v>
      </c>
      <c r="B2420" t="str">
        <f>"1552382657202079"</f>
        <v>1552382657202079</v>
      </c>
      <c r="C2420" t="s">
        <v>40</v>
      </c>
      <c r="D2420">
        <v>4.0279559999999996</v>
      </c>
      <c r="E2420">
        <v>0.46449479999999999</v>
      </c>
      <c r="F2420" t="s">
        <v>46</v>
      </c>
      <c r="G2420">
        <v>-469.99959999999999</v>
      </c>
      <c r="H2420" s="1">
        <v>6.3848219999999996E-6</v>
      </c>
      <c r="I2420">
        <v>281.99130000000002</v>
      </c>
      <c r="J2420">
        <v>-451.58539999999999</v>
      </c>
      <c r="K2420">
        <v>1.1096699999999999</v>
      </c>
      <c r="L2420">
        <v>285.07409999999999</v>
      </c>
      <c r="M2420">
        <v>-0.99875930000000002</v>
      </c>
      <c r="N2420">
        <v>0</v>
      </c>
      <c r="O2420">
        <v>4.7719339999999999E-2</v>
      </c>
      <c r="P2420">
        <v>-0.97986510000000004</v>
      </c>
      <c r="Q2420">
        <v>0.1847297</v>
      </c>
      <c r="R2420">
        <v>-7.5760610000000006E-2</v>
      </c>
      <c r="S2420">
        <v>-3.0571899999999999</v>
      </c>
      <c r="T2420">
        <v>-0.18130360000000001</v>
      </c>
      <c r="U2420">
        <v>-0.50122069999999996</v>
      </c>
      <c r="V2420">
        <v>-0.1219594</v>
      </c>
      <c r="W2420">
        <v>0.1988905</v>
      </c>
      <c r="X2420">
        <v>0.97240349999999998</v>
      </c>
      <c r="Y2420">
        <v>-0.20826059999999999</v>
      </c>
      <c r="Z2420">
        <v>-8.9400969999999993E-3</v>
      </c>
      <c r="AA2420">
        <v>0.97803249999999997</v>
      </c>
      <c r="AB2420">
        <v>30</v>
      </c>
      <c r="AC2420">
        <v>-18.414199999999902</v>
      </c>
      <c r="AD2420">
        <v>-1.1096636151779999</v>
      </c>
      <c r="AE2420">
        <v>-3.0827999999999598</v>
      </c>
      <c r="AF2420">
        <v>-3.9441574460696098</v>
      </c>
      <c r="AG2420">
        <v>-1.1096636151779999</v>
      </c>
      <c r="AH2420">
        <v>18.181867907953599</v>
      </c>
      <c r="AI2420">
        <v>93.413311767568402</v>
      </c>
      <c r="AJ2420">
        <v>102.239427429381</v>
      </c>
      <c r="AK2420">
        <v>18.637812423149601</v>
      </c>
      <c r="AL2420">
        <v>78.527914545410198</v>
      </c>
      <c r="AM2420">
        <v>97.148741212220301</v>
      </c>
      <c r="AN2420">
        <v>1.00000004652542</v>
      </c>
    </row>
    <row r="2421" spans="1:40" x14ac:dyDescent="0.25">
      <c r="A2421" t="str">
        <f>"20190312172417232"</f>
        <v>20190312172417232</v>
      </c>
      <c r="B2421" t="str">
        <f>"1552382657222574"</f>
        <v>1552382657222574</v>
      </c>
      <c r="C2421" t="s">
        <v>40</v>
      </c>
      <c r="D2421">
        <v>3.8753350000000002</v>
      </c>
      <c r="E2421">
        <v>0.46454400000000001</v>
      </c>
      <c r="F2421" t="s">
        <v>46</v>
      </c>
      <c r="G2421">
        <v>-470.40280000000001</v>
      </c>
      <c r="H2421" s="1">
        <v>6.2038450000000004E-6</v>
      </c>
      <c r="I2421">
        <v>281.9667</v>
      </c>
      <c r="J2421">
        <v>-451.8716</v>
      </c>
      <c r="K2421">
        <v>1.1096870000000001</v>
      </c>
      <c r="L2421">
        <v>285.08909999999997</v>
      </c>
      <c r="M2421">
        <v>-0.99870360000000002</v>
      </c>
      <c r="N2421">
        <v>0</v>
      </c>
      <c r="O2421">
        <v>4.887586E-2</v>
      </c>
      <c r="P2421">
        <v>-0.97968230000000001</v>
      </c>
      <c r="Q2421">
        <v>0.1852655</v>
      </c>
      <c r="R2421">
        <v>-7.6810649999999994E-2</v>
      </c>
      <c r="S2421">
        <v>-3.05661</v>
      </c>
      <c r="T2421">
        <v>-0.18024899999999999</v>
      </c>
      <c r="U2421">
        <v>-0.50476069999999995</v>
      </c>
      <c r="V2421">
        <v>-0.1241317</v>
      </c>
      <c r="W2421">
        <v>0.1994204</v>
      </c>
      <c r="X2421">
        <v>0.97202</v>
      </c>
      <c r="Y2421">
        <v>-0.21052409999999999</v>
      </c>
      <c r="Z2421">
        <v>-9.0230339999999992E-3</v>
      </c>
      <c r="AA2421">
        <v>0.97754700000000005</v>
      </c>
      <c r="AB2421">
        <v>30</v>
      </c>
      <c r="AC2421">
        <v>-18.531199999999998</v>
      </c>
      <c r="AD2421">
        <v>-1.1096807961549999</v>
      </c>
      <c r="AE2421">
        <v>-3.1223999999999701</v>
      </c>
      <c r="AF2421">
        <v>-4.0105035399202498</v>
      </c>
      <c r="AG2421">
        <v>-1.1096807961549999</v>
      </c>
      <c r="AH2421">
        <v>18.292639365596301</v>
      </c>
      <c r="AI2421">
        <v>93.391113505346297</v>
      </c>
      <c r="AJ2421">
        <v>102.365952954229</v>
      </c>
      <c r="AK2421">
        <v>18.759962288683599</v>
      </c>
      <c r="AL2421">
        <v>78.496932665334896</v>
      </c>
      <c r="AM2421">
        <v>97.277559281022803</v>
      </c>
      <c r="AN2421">
        <v>1.0000000276405201</v>
      </c>
    </row>
    <row r="2422" spans="1:40" x14ac:dyDescent="0.25">
      <c r="A2422" t="str">
        <f>"20190312172417254"</f>
        <v>20190312172417254</v>
      </c>
      <c r="B2422" t="str">
        <f>"1552382657242095"</f>
        <v>1552382657242095</v>
      </c>
      <c r="C2422" t="s">
        <v>40</v>
      </c>
      <c r="D2422">
        <v>3.935559</v>
      </c>
      <c r="E2422">
        <v>0.46458250000000001</v>
      </c>
      <c r="F2422" t="s">
        <v>46</v>
      </c>
      <c r="G2422">
        <v>-470.8965</v>
      </c>
      <c r="H2422" s="1">
        <v>5.9813459999999998E-6</v>
      </c>
      <c r="I2422">
        <v>281.92579999999998</v>
      </c>
      <c r="J2422">
        <v>-452.1644</v>
      </c>
      <c r="K2422">
        <v>1.1097109999999999</v>
      </c>
      <c r="L2422">
        <v>285.10469999999998</v>
      </c>
      <c r="M2422">
        <v>-0.99864620000000004</v>
      </c>
      <c r="N2422">
        <v>0</v>
      </c>
      <c r="O2422">
        <v>5.0033800000000003E-2</v>
      </c>
      <c r="P2422">
        <v>-0.97955840000000005</v>
      </c>
      <c r="Q2422">
        <v>0.18561530000000001</v>
      </c>
      <c r="R2422">
        <v>-7.7541780000000005E-2</v>
      </c>
      <c r="S2422">
        <v>-3.0560909999999999</v>
      </c>
      <c r="T2422">
        <v>-0.1782552</v>
      </c>
      <c r="U2422">
        <v>-0.50814820000000005</v>
      </c>
      <c r="V2422">
        <v>-0.12599360000000001</v>
      </c>
      <c r="W2422">
        <v>0.19976099999999999</v>
      </c>
      <c r="X2422">
        <v>0.97171039999999997</v>
      </c>
      <c r="Y2422">
        <v>-0.21274219999999999</v>
      </c>
      <c r="Z2422">
        <v>-9.0554050000000007E-3</v>
      </c>
      <c r="AA2422">
        <v>0.9770664</v>
      </c>
      <c r="AB2422">
        <v>30</v>
      </c>
      <c r="AC2422">
        <v>-18.732099999999999</v>
      </c>
      <c r="AD2422">
        <v>-1.1097050186540001</v>
      </c>
      <c r="AE2422">
        <v>-3.1788999999999898</v>
      </c>
      <c r="AF2422">
        <v>-4.0982705417505496</v>
      </c>
      <c r="AG2422">
        <v>-1.1097050186540001</v>
      </c>
      <c r="AH2422">
        <v>18.486503425430801</v>
      </c>
      <c r="AI2422">
        <v>93.353983306825398</v>
      </c>
      <c r="AJ2422">
        <v>102.499738267187</v>
      </c>
      <c r="AK2422">
        <v>18.967816836954899</v>
      </c>
      <c r="AL2422">
        <v>78.477016368180401</v>
      </c>
      <c r="AM2422">
        <v>97.3878489767107</v>
      </c>
      <c r="AN2422">
        <v>0.99999997291505904</v>
      </c>
    </row>
    <row r="2423" spans="1:40" x14ac:dyDescent="0.25">
      <c r="A2423" t="str">
        <f>"20190312172417278"</f>
        <v>20190312172417278</v>
      </c>
      <c r="B2423" t="str">
        <f>"1552382657272351"</f>
        <v>1552382657272351</v>
      </c>
      <c r="C2423" t="s">
        <v>40</v>
      </c>
      <c r="D2423">
        <v>4.0245369999999996</v>
      </c>
      <c r="E2423">
        <v>0.46461469999999999</v>
      </c>
      <c r="F2423" t="s">
        <v>46</v>
      </c>
      <c r="G2423">
        <v>-471.38139999999999</v>
      </c>
      <c r="H2423" s="1">
        <v>5.7630450000000003E-6</v>
      </c>
      <c r="I2423">
        <v>281.88830000000002</v>
      </c>
      <c r="J2423">
        <v>-452.47340000000003</v>
      </c>
      <c r="K2423">
        <v>1.109742</v>
      </c>
      <c r="L2423">
        <v>285.12150000000003</v>
      </c>
      <c r="M2423">
        <v>-0.99858670000000005</v>
      </c>
      <c r="N2423">
        <v>0</v>
      </c>
      <c r="O2423">
        <v>5.1206450000000001E-2</v>
      </c>
      <c r="P2423">
        <v>-0.97960910000000001</v>
      </c>
      <c r="Q2423">
        <v>0.18522420000000001</v>
      </c>
      <c r="R2423">
        <v>-7.7834979999999998E-2</v>
      </c>
      <c r="S2423">
        <v>-3.0555729999999999</v>
      </c>
      <c r="T2423">
        <v>-0.1764472</v>
      </c>
      <c r="U2423">
        <v>-0.51141359999999902</v>
      </c>
      <c r="V2423">
        <v>-0.12745119999999999</v>
      </c>
      <c r="W2423">
        <v>0.1993578</v>
      </c>
      <c r="X2423">
        <v>0.9716032</v>
      </c>
      <c r="Y2423">
        <v>-0.21493490000000001</v>
      </c>
      <c r="Z2423">
        <v>-9.0945439999999995E-3</v>
      </c>
      <c r="AA2423">
        <v>0.97658599999999995</v>
      </c>
      <c r="AB2423">
        <v>29</v>
      </c>
      <c r="AC2423">
        <v>-18.907999999999902</v>
      </c>
      <c r="AD2423">
        <v>-1.1097362369549999</v>
      </c>
      <c r="AE2423">
        <v>-3.2332000000000098</v>
      </c>
      <c r="AF2423">
        <v>-4.1832664526179499</v>
      </c>
      <c r="AG2423">
        <v>-1.1097362369549999</v>
      </c>
      <c r="AH2423">
        <v>18.655176466695401</v>
      </c>
      <c r="AI2423">
        <v>93.322022460558998</v>
      </c>
      <c r="AJ2423">
        <v>102.639016988984</v>
      </c>
      <c r="AK2423">
        <v>19.150635543833999</v>
      </c>
      <c r="AL2423">
        <v>78.500593248285796</v>
      </c>
      <c r="AM2423">
        <v>97.473172537054594</v>
      </c>
      <c r="AN2423">
        <v>1.0000000595262499</v>
      </c>
    </row>
    <row r="2424" spans="1:40" x14ac:dyDescent="0.25">
      <c r="A2424" t="str">
        <f>"20190312172417300"</f>
        <v>20190312172417300</v>
      </c>
      <c r="B2424" t="str">
        <f>"1552382657292850"</f>
        <v>1552382657292850</v>
      </c>
      <c r="C2424" t="s">
        <v>40</v>
      </c>
      <c r="D2424">
        <v>4.0679239999999997</v>
      </c>
      <c r="E2424">
        <v>0.46089760000000002</v>
      </c>
      <c r="F2424" t="s">
        <v>46</v>
      </c>
      <c r="G2424">
        <v>-471.55279999999999</v>
      </c>
      <c r="H2424" s="1">
        <v>5.6899329999999998E-6</v>
      </c>
      <c r="I2424">
        <v>281.92160000000001</v>
      </c>
      <c r="J2424">
        <v>-452.75799999999998</v>
      </c>
      <c r="K2424">
        <v>1.1097900000000001</v>
      </c>
      <c r="L2424">
        <v>285.13720000000001</v>
      </c>
      <c r="M2424">
        <v>-0.99853479999999994</v>
      </c>
      <c r="N2424">
        <v>0</v>
      </c>
      <c r="O2424">
        <v>5.221129E-2</v>
      </c>
      <c r="P2424">
        <v>-0.97985809999999995</v>
      </c>
      <c r="Q2424">
        <v>0.183587</v>
      </c>
      <c r="R2424">
        <v>-7.8576359999999998E-2</v>
      </c>
      <c r="S2424">
        <v>-3.0553279999999998</v>
      </c>
      <c r="T2424">
        <v>-0.17771020000000001</v>
      </c>
      <c r="U2424">
        <v>-0.51242069999999995</v>
      </c>
      <c r="V2424">
        <v>-0.12921440000000001</v>
      </c>
      <c r="W2424">
        <v>0.1977053</v>
      </c>
      <c r="X2424">
        <v>0.97170789999999996</v>
      </c>
      <c r="Y2424">
        <v>-0.21623319999999999</v>
      </c>
      <c r="Z2424">
        <v>-9.2555420000000003E-3</v>
      </c>
      <c r="AA2424">
        <v>0.97629790000000005</v>
      </c>
      <c r="AB2424">
        <v>29</v>
      </c>
      <c r="AC2424">
        <v>-18.794799999999899</v>
      </c>
      <c r="AD2424">
        <v>-1.109784310067</v>
      </c>
      <c r="AE2424">
        <v>-3.21559999999999</v>
      </c>
      <c r="AF2424">
        <v>-4.1784589412886701</v>
      </c>
      <c r="AG2424">
        <v>-1.109784310067</v>
      </c>
      <c r="AH2424">
        <v>18.5384543229919</v>
      </c>
      <c r="AI2424">
        <v>93.342213255527099</v>
      </c>
      <c r="AJ2424">
        <v>102.701875999294</v>
      </c>
      <c r="AK2424">
        <v>19.035898429665998</v>
      </c>
      <c r="AL2424">
        <v>78.597196739419502</v>
      </c>
      <c r="AM2424">
        <v>97.574559397165103</v>
      </c>
      <c r="AN2424">
        <v>0.99999999486892999</v>
      </c>
    </row>
    <row r="2425" spans="1:40" x14ac:dyDescent="0.25">
      <c r="A2425" t="str">
        <f>"20190312172417322"</f>
        <v>20190312172417322</v>
      </c>
      <c r="B2425" t="str">
        <f>"1552382657312367"</f>
        <v>1552382657312367</v>
      </c>
      <c r="C2425" t="s">
        <v>40</v>
      </c>
      <c r="D2425">
        <v>4.007968</v>
      </c>
      <c r="E2425">
        <v>0.46130470000000001</v>
      </c>
      <c r="F2425" t="s">
        <v>47</v>
      </c>
      <c r="G2425">
        <v>-467.5204</v>
      </c>
      <c r="H2425" s="1">
        <v>2.5568389999999998E-6</v>
      </c>
      <c r="I2425">
        <v>282.51979999999998</v>
      </c>
      <c r="J2425">
        <v>-453.04430000000002</v>
      </c>
      <c r="K2425">
        <v>1.1098570000000001</v>
      </c>
      <c r="L2425">
        <v>285.15320000000003</v>
      </c>
      <c r="M2425">
        <v>-0.99848689999999996</v>
      </c>
      <c r="N2425">
        <v>0</v>
      </c>
      <c r="O2425">
        <v>5.311718E-2</v>
      </c>
      <c r="P2425">
        <v>-0.98007290000000002</v>
      </c>
      <c r="Q2425">
        <v>0.18183450000000001</v>
      </c>
      <c r="R2425">
        <v>-7.995787E-2</v>
      </c>
      <c r="S2425">
        <v>-3.0612490000000001</v>
      </c>
      <c r="T2425">
        <v>-0.2301337</v>
      </c>
      <c r="U2425">
        <v>-0.54275509999999905</v>
      </c>
      <c r="V2425">
        <v>-0.13153000000000001</v>
      </c>
      <c r="W2425">
        <v>0.19592960000000001</v>
      </c>
      <c r="X2425">
        <v>0.97175690000000003</v>
      </c>
      <c r="Y2425">
        <v>-0.22587119999999999</v>
      </c>
      <c r="Z2425">
        <v>-1.2373240000000001E-2</v>
      </c>
      <c r="AA2425">
        <v>0.97407860000000002</v>
      </c>
      <c r="AB2425">
        <v>29</v>
      </c>
      <c r="AC2425">
        <v>-14.476099999999899</v>
      </c>
      <c r="AD2425">
        <v>-1.10985444316099</v>
      </c>
      <c r="AE2425">
        <v>-2.6334000000000501</v>
      </c>
      <c r="AF2425">
        <v>-3.3794609731540302</v>
      </c>
      <c r="AG2425">
        <v>-1.10985444316099</v>
      </c>
      <c r="AH2425">
        <v>14.234775147180599</v>
      </c>
      <c r="AI2425">
        <v>94.338109090681002</v>
      </c>
      <c r="AJ2425">
        <v>103.355272306617</v>
      </c>
      <c r="AK2425">
        <v>14.6724693506194</v>
      </c>
      <c r="AL2425">
        <v>78.700966777080396</v>
      </c>
      <c r="AM2425">
        <v>97.708297982553404</v>
      </c>
      <c r="AN2425">
        <v>1.0000000108768801</v>
      </c>
    </row>
    <row r="2426" spans="1:40" x14ac:dyDescent="0.25">
      <c r="A2426" t="str">
        <f>"20190312172417344"</f>
        <v>20190312172417344</v>
      </c>
      <c r="B2426" t="str">
        <f>"1552382657332862"</f>
        <v>1552382657332862</v>
      </c>
      <c r="C2426" t="s">
        <v>40</v>
      </c>
      <c r="D2426">
        <v>3.8886050000000001</v>
      </c>
      <c r="E2426">
        <v>0.46167439999999998</v>
      </c>
      <c r="F2426" t="s">
        <v>47</v>
      </c>
      <c r="G2426">
        <v>-467.90679999999998</v>
      </c>
      <c r="H2426" s="1">
        <v>2.7625880000000001E-6</v>
      </c>
      <c r="I2426">
        <v>282.5172</v>
      </c>
      <c r="J2426">
        <v>-453.33640000000003</v>
      </c>
      <c r="K2426">
        <v>1.1099600000000001</v>
      </c>
      <c r="L2426">
        <v>285.16969999999998</v>
      </c>
      <c r="M2426">
        <v>-0.99844549999999999</v>
      </c>
      <c r="N2426">
        <v>0</v>
      </c>
      <c r="O2426">
        <v>5.389385E-2</v>
      </c>
      <c r="P2426">
        <v>-0.9801242</v>
      </c>
      <c r="Q2426">
        <v>0.1812425</v>
      </c>
      <c r="R2426">
        <v>-8.0671619999999999E-2</v>
      </c>
      <c r="S2426">
        <v>-3.059113</v>
      </c>
      <c r="T2426">
        <v>-0.228438</v>
      </c>
      <c r="U2426">
        <v>-0.54257200000000005</v>
      </c>
      <c r="V2426">
        <v>-0.1330537</v>
      </c>
      <c r="W2426">
        <v>0.19530159999999999</v>
      </c>
      <c r="X2426">
        <v>0.97167590000000004</v>
      </c>
      <c r="Y2426">
        <v>-0.22669500000000001</v>
      </c>
      <c r="Z2426">
        <v>-1.237884E-2</v>
      </c>
      <c r="AA2426">
        <v>0.97388710000000001</v>
      </c>
      <c r="AB2426">
        <v>29</v>
      </c>
      <c r="AC2426">
        <v>-14.5703999999999</v>
      </c>
      <c r="AD2426">
        <v>-1.1099572374119999</v>
      </c>
      <c r="AE2426">
        <v>-2.6524999999999701</v>
      </c>
      <c r="AF2426">
        <v>-3.4147973949298098</v>
      </c>
      <c r="AG2426">
        <v>-1.1099572374119999</v>
      </c>
      <c r="AH2426">
        <v>14.3257833084264</v>
      </c>
      <c r="AI2426">
        <v>94.310125442563105</v>
      </c>
      <c r="AJ2426">
        <v>103.407245203722</v>
      </c>
      <c r="AK2426">
        <v>14.7689171477563</v>
      </c>
      <c r="AL2426">
        <v>78.737657564502996</v>
      </c>
      <c r="AM2426">
        <v>97.797144097734602</v>
      </c>
      <c r="AN2426">
        <v>1.00000002834352</v>
      </c>
    </row>
    <row r="2427" spans="1:40" x14ac:dyDescent="0.25">
      <c r="A2427" t="str">
        <f>"20190312172417367"</f>
        <v>20190312172417367</v>
      </c>
      <c r="B2427" t="str">
        <f>"1552382657362142"</f>
        <v>1552382657362142</v>
      </c>
      <c r="C2427" t="s">
        <v>40</v>
      </c>
      <c r="D2427">
        <v>3.9078369999999998</v>
      </c>
      <c r="E2427">
        <v>0.46211259999999998</v>
      </c>
      <c r="F2427" t="s">
        <v>47</v>
      </c>
      <c r="G2427">
        <v>-468.1549</v>
      </c>
      <c r="H2427" s="1">
        <v>2.893405E-6</v>
      </c>
      <c r="I2427">
        <v>282.54500000000002</v>
      </c>
      <c r="J2427">
        <v>-453.63630000000001</v>
      </c>
      <c r="K2427">
        <v>1.1100680000000001</v>
      </c>
      <c r="L2427">
        <v>285.1866</v>
      </c>
      <c r="M2427">
        <v>-0.99840969999999996</v>
      </c>
      <c r="N2427">
        <v>0</v>
      </c>
      <c r="O2427">
        <v>5.4554129999999999E-2</v>
      </c>
      <c r="P2427">
        <v>-0.97993359999999996</v>
      </c>
      <c r="Q2427">
        <v>0.1820504</v>
      </c>
      <c r="R2427">
        <v>-8.1165539999999994E-2</v>
      </c>
      <c r="S2427">
        <v>-3.0585939999999998</v>
      </c>
      <c r="T2427">
        <v>-0.2290981</v>
      </c>
      <c r="U2427">
        <v>-0.54174800000000001</v>
      </c>
      <c r="V2427">
        <v>-0.1342332</v>
      </c>
      <c r="W2427">
        <v>0.1960662</v>
      </c>
      <c r="X2427">
        <v>0.97135959999999999</v>
      </c>
      <c r="Y2427">
        <v>-0.22710540000000001</v>
      </c>
      <c r="Z2427">
        <v>-1.248116E-2</v>
      </c>
      <c r="AA2427">
        <v>0.97379020000000005</v>
      </c>
      <c r="AB2427">
        <v>29</v>
      </c>
      <c r="AC2427">
        <v>-14.5185999999999</v>
      </c>
      <c r="AD2427">
        <v>-1.110065106595</v>
      </c>
      <c r="AE2427">
        <v>-2.64159999999998</v>
      </c>
      <c r="AF2427">
        <v>-3.4104965608558699</v>
      </c>
      <c r="AG2427">
        <v>-1.110065106595</v>
      </c>
      <c r="AH2427">
        <v>14.272091016906399</v>
      </c>
      <c r="AI2427">
        <v>94.326118288967194</v>
      </c>
      <c r="AJ2427">
        <v>103.43952084412</v>
      </c>
      <c r="AK2427">
        <v>14.715852449904199</v>
      </c>
      <c r="AL2427">
        <v>78.692985125491504</v>
      </c>
      <c r="AM2427">
        <v>97.867932263797698</v>
      </c>
      <c r="AN2427">
        <v>0.99999998963841896</v>
      </c>
    </row>
    <row r="2428" spans="1:40" x14ac:dyDescent="0.25">
      <c r="A2428" t="str">
        <f>"20190312172417389"</f>
        <v>20190312172417389</v>
      </c>
      <c r="B2428" t="str">
        <f>"1552382657382642"</f>
        <v>1552382657382642</v>
      </c>
      <c r="C2428" t="s">
        <v>40</v>
      </c>
      <c r="D2428">
        <v>3.8836729999999999</v>
      </c>
      <c r="E2428">
        <v>0.46208539999999998</v>
      </c>
      <c r="F2428" t="s">
        <v>47</v>
      </c>
      <c r="G2428">
        <v>-468.88720000000001</v>
      </c>
      <c r="H2428" s="1">
        <v>3.2854829999999999E-6</v>
      </c>
      <c r="I2428">
        <v>282.48950000000002</v>
      </c>
      <c r="J2428">
        <v>-453.92700000000002</v>
      </c>
      <c r="K2428">
        <v>1.11019</v>
      </c>
      <c r="L2428">
        <v>285.20310000000001</v>
      </c>
      <c r="M2428">
        <v>-0.99838360000000004</v>
      </c>
      <c r="N2428">
        <v>0</v>
      </c>
      <c r="O2428">
        <v>5.5032159999999997E-2</v>
      </c>
      <c r="P2428">
        <v>-0.97970780000000002</v>
      </c>
      <c r="Q2428">
        <v>0.18289859999999999</v>
      </c>
      <c r="R2428">
        <v>-8.1983479999999997E-2</v>
      </c>
      <c r="S2428">
        <v>-3.0579529999999999</v>
      </c>
      <c r="T2428">
        <v>-0.22257959999999999</v>
      </c>
      <c r="U2428">
        <v>-0.540802</v>
      </c>
      <c r="V2428">
        <v>-0.1355587</v>
      </c>
      <c r="W2428">
        <v>0.19686899999999999</v>
      </c>
      <c r="X2428">
        <v>0.97101309999999996</v>
      </c>
      <c r="Y2428">
        <v>-0.22735520000000001</v>
      </c>
      <c r="Z2428">
        <v>-1.217332E-2</v>
      </c>
      <c r="AA2428">
        <v>0.97373580000000004</v>
      </c>
      <c r="AB2428">
        <v>29</v>
      </c>
      <c r="AC2428">
        <v>-14.9602</v>
      </c>
      <c r="AD2428">
        <v>-1.1101867145169999</v>
      </c>
      <c r="AE2428">
        <v>-2.71359999999998</v>
      </c>
      <c r="AF2428">
        <v>-3.5141261261958698</v>
      </c>
      <c r="AG2428">
        <v>-1.1101867145169999</v>
      </c>
      <c r="AH2428">
        <v>14.709747520963001</v>
      </c>
      <c r="AI2428">
        <v>94.198390761694995</v>
      </c>
      <c r="AJ2428">
        <v>103.436005647355</v>
      </c>
      <c r="AK2428">
        <v>15.164374998739</v>
      </c>
      <c r="AL2428">
        <v>78.646073930730793</v>
      </c>
      <c r="AM2428">
        <v>97.9474365028004</v>
      </c>
      <c r="AN2428">
        <v>1.00000000233914</v>
      </c>
    </row>
    <row r="2429" spans="1:40" x14ac:dyDescent="0.25">
      <c r="A2429" t="str">
        <f>"20190312172417411"</f>
        <v>20190312172417411</v>
      </c>
      <c r="B2429" t="str">
        <f>"1552382657402159"</f>
        <v>1552382657402159</v>
      </c>
      <c r="C2429" t="s">
        <v>40</v>
      </c>
      <c r="D2429">
        <v>3.9943249999999999</v>
      </c>
      <c r="E2429">
        <v>0.46223160000000002</v>
      </c>
      <c r="F2429" t="s">
        <v>47</v>
      </c>
      <c r="G2429">
        <v>-469.73390000000001</v>
      </c>
      <c r="H2429" s="1">
        <v>3.740615E-6</v>
      </c>
      <c r="I2429">
        <v>282.38589999999999</v>
      </c>
      <c r="J2429">
        <v>-454.21820000000002</v>
      </c>
      <c r="K2429">
        <v>1.110328</v>
      </c>
      <c r="L2429">
        <v>285.21960000000001</v>
      </c>
      <c r="M2429">
        <v>-0.99836769999999997</v>
      </c>
      <c r="N2429">
        <v>0</v>
      </c>
      <c r="O2429">
        <v>5.5319239999999999E-2</v>
      </c>
      <c r="P2429">
        <v>-0.97964430000000002</v>
      </c>
      <c r="Q2429">
        <v>0.1826074</v>
      </c>
      <c r="R2429">
        <v>-8.3378010000000002E-2</v>
      </c>
      <c r="S2429">
        <v>-3.05661</v>
      </c>
      <c r="T2429">
        <v>-0.21467890000000001</v>
      </c>
      <c r="U2429">
        <v>-0.54476930000000001</v>
      </c>
      <c r="V2429">
        <v>-0.13729089999999999</v>
      </c>
      <c r="W2429">
        <v>0.19652910000000001</v>
      </c>
      <c r="X2429">
        <v>0.97083850000000005</v>
      </c>
      <c r="Y2429">
        <v>-0.22897909999999999</v>
      </c>
      <c r="Z2429">
        <v>-1.1822569999999999E-2</v>
      </c>
      <c r="AA2429">
        <v>0.97335950000000004</v>
      </c>
      <c r="AB2429">
        <v>29</v>
      </c>
      <c r="AC2429">
        <v>-15.515699999999899</v>
      </c>
      <c r="AD2429">
        <v>-1.110324259385</v>
      </c>
      <c r="AE2429">
        <v>-2.8337000000000199</v>
      </c>
      <c r="AF2429">
        <v>-3.6695778250611202</v>
      </c>
      <c r="AG2429">
        <v>-1.110324259385</v>
      </c>
      <c r="AH2429">
        <v>15.2595402628285</v>
      </c>
      <c r="AI2429">
        <v>94.046692475593105</v>
      </c>
      <c r="AJ2429">
        <v>103.521605319936</v>
      </c>
      <c r="AK2429">
        <v>15.7337913551707</v>
      </c>
      <c r="AL2429">
        <v>78.6659360441773</v>
      </c>
      <c r="AM2429">
        <v>98.049096826613507</v>
      </c>
      <c r="AN2429">
        <v>0.99999993572593204</v>
      </c>
    </row>
    <row r="2430" spans="1:40" x14ac:dyDescent="0.25">
      <c r="A2430" t="str">
        <f>"20190312172417434"</f>
        <v>20190312172417434</v>
      </c>
      <c r="B2430" t="str">
        <f>"1552382657422654"</f>
        <v>1552382657422654</v>
      </c>
      <c r="C2430" t="s">
        <v>40</v>
      </c>
      <c r="D2430">
        <v>3.9631020000000001</v>
      </c>
      <c r="E2430">
        <v>0.4621537</v>
      </c>
      <c r="F2430" t="s">
        <v>46</v>
      </c>
      <c r="G2430">
        <v>-470.21530000000001</v>
      </c>
      <c r="H2430" s="1">
        <v>6.321141E-6</v>
      </c>
      <c r="I2430">
        <v>282.35750000000002</v>
      </c>
      <c r="J2430">
        <v>-454.51260000000002</v>
      </c>
      <c r="K2430">
        <v>1.110484</v>
      </c>
      <c r="L2430">
        <v>285.23610000000002</v>
      </c>
      <c r="M2430">
        <v>-0.99836340000000001</v>
      </c>
      <c r="N2430">
        <v>0</v>
      </c>
      <c r="O2430">
        <v>5.5396349999999997E-2</v>
      </c>
      <c r="P2430">
        <v>-0.97954209999999997</v>
      </c>
      <c r="Q2430">
        <v>0.18254239999999999</v>
      </c>
      <c r="R2430">
        <v>-8.4710770000000005E-2</v>
      </c>
      <c r="S2430">
        <v>-3.0552980000000001</v>
      </c>
      <c r="T2430">
        <v>-0.21206059999999999</v>
      </c>
      <c r="U2430">
        <v>-0.54663090000000003</v>
      </c>
      <c r="V2430">
        <v>-0.13876450000000001</v>
      </c>
      <c r="W2430">
        <v>0.19640659999999999</v>
      </c>
      <c r="X2430">
        <v>0.97065380000000001</v>
      </c>
      <c r="Y2430">
        <v>-0.22971520000000001</v>
      </c>
      <c r="Z2430">
        <v>-1.1713670000000001E-2</v>
      </c>
      <c r="AA2430">
        <v>0.97318740000000004</v>
      </c>
      <c r="AB2430">
        <v>29</v>
      </c>
      <c r="AC2430">
        <v>-15.702699999999901</v>
      </c>
      <c r="AD2430">
        <v>-1.1104776788590001</v>
      </c>
      <c r="AE2430">
        <v>-2.8786</v>
      </c>
      <c r="AF2430">
        <v>-3.7261098835650701</v>
      </c>
      <c r="AG2430">
        <v>-1.1104776788590001</v>
      </c>
      <c r="AH2430">
        <v>15.444374199412</v>
      </c>
      <c r="AI2430">
        <v>93.998261589161302</v>
      </c>
      <c r="AJ2430">
        <v>103.56397516878199</v>
      </c>
      <c r="AK2430">
        <v>15.9262597602547</v>
      </c>
      <c r="AL2430">
        <v>78.673094674334806</v>
      </c>
      <c r="AM2430">
        <v>98.135868010951796</v>
      </c>
      <c r="AN2430">
        <v>0.99999996921912404</v>
      </c>
    </row>
    <row r="2431" spans="1:40" x14ac:dyDescent="0.25">
      <c r="A2431" t="str">
        <f>"20190312172417455"</f>
        <v>20190312172417455</v>
      </c>
      <c r="B2431" t="str">
        <f>"1552382657452924"</f>
        <v>1552382657452924</v>
      </c>
      <c r="C2431" t="s">
        <v>40</v>
      </c>
      <c r="D2431">
        <v>4.0184519999999999</v>
      </c>
      <c r="E2431">
        <v>0.46186159999999998</v>
      </c>
      <c r="F2431" t="s">
        <v>46</v>
      </c>
      <c r="G2431">
        <v>-470.63389999999998</v>
      </c>
      <c r="H2431" s="1">
        <v>6.1332330000000003E-6</v>
      </c>
      <c r="I2431">
        <v>282.33139999999997</v>
      </c>
      <c r="J2431">
        <v>-454.7903</v>
      </c>
      <c r="K2431">
        <v>1.1106529999999999</v>
      </c>
      <c r="L2431">
        <v>285.2516</v>
      </c>
      <c r="M2431">
        <v>-0.99837209999999998</v>
      </c>
      <c r="N2431">
        <v>0</v>
      </c>
      <c r="O2431">
        <v>5.5243599999999997E-2</v>
      </c>
      <c r="P2431">
        <v>-0.97926530000000001</v>
      </c>
      <c r="Q2431">
        <v>0.18302289999999999</v>
      </c>
      <c r="R2431">
        <v>-8.6847279999999999E-2</v>
      </c>
      <c r="S2431">
        <v>-3.0542600000000002</v>
      </c>
      <c r="T2431">
        <v>-0.21038470000000001</v>
      </c>
      <c r="U2431">
        <v>-0.55032349999999997</v>
      </c>
      <c r="V2431">
        <v>-0.14081459999999901</v>
      </c>
      <c r="W2431">
        <v>0.19682169999999999</v>
      </c>
      <c r="X2431">
        <v>0.97027439999999998</v>
      </c>
      <c r="Y2431">
        <v>-0.23077139999999999</v>
      </c>
      <c r="Z2431">
        <v>-1.16496E-2</v>
      </c>
      <c r="AA2431">
        <v>0.97293819999999998</v>
      </c>
      <c r="AB2431">
        <v>29</v>
      </c>
      <c r="AC2431">
        <v>-15.843599999999901</v>
      </c>
      <c r="AD2431">
        <v>-1.110646866767</v>
      </c>
      <c r="AE2431">
        <v>-2.9202000000000199</v>
      </c>
      <c r="AF2431">
        <v>-3.7731528241299501</v>
      </c>
      <c r="AG2431">
        <v>-1.110646866767</v>
      </c>
      <c r="AH2431">
        <v>15.5839966228043</v>
      </c>
      <c r="AI2431">
        <v>93.962383051871299</v>
      </c>
      <c r="AJ2431">
        <v>103.610375167051</v>
      </c>
      <c r="AK2431">
        <v>16.0726839524852</v>
      </c>
      <c r="AL2431">
        <v>78.648837757055105</v>
      </c>
      <c r="AM2431">
        <v>98.257605614703294</v>
      </c>
      <c r="AN2431">
        <v>0.99999997222970405</v>
      </c>
    </row>
    <row r="2432" spans="1:40" x14ac:dyDescent="0.25">
      <c r="A2432" t="str">
        <f>"20190312172417479"</f>
        <v>20190312172417479</v>
      </c>
      <c r="B2432" t="str">
        <f>"1552382657472431"</f>
        <v>1552382657472431</v>
      </c>
      <c r="C2432" t="s">
        <v>40</v>
      </c>
      <c r="D2432">
        <v>3.9420829999999998</v>
      </c>
      <c r="E2432">
        <v>0.4617116</v>
      </c>
      <c r="F2432" t="s">
        <v>46</v>
      </c>
      <c r="G2432">
        <v>-471.00439999999998</v>
      </c>
      <c r="H2432" s="1">
        <v>5.9645899999999998E-6</v>
      </c>
      <c r="I2432">
        <v>282.28160000000003</v>
      </c>
      <c r="J2432">
        <v>-455.08920000000001</v>
      </c>
      <c r="K2432">
        <v>1.1108750000000001</v>
      </c>
      <c r="L2432">
        <v>285.26769999999999</v>
      </c>
      <c r="M2432">
        <v>-0.9983959</v>
      </c>
      <c r="N2432">
        <v>0</v>
      </c>
      <c r="O2432">
        <v>5.480981E-2</v>
      </c>
      <c r="P2432">
        <v>-0.97869600000000001</v>
      </c>
      <c r="Q2432">
        <v>0.18492720000000001</v>
      </c>
      <c r="R2432">
        <v>-8.9197699999999894E-2</v>
      </c>
      <c r="S2432">
        <v>-3.0529480000000002</v>
      </c>
      <c r="T2432">
        <v>-0.20912339999999999</v>
      </c>
      <c r="U2432">
        <v>-0.55920409999999998</v>
      </c>
      <c r="V2432">
        <v>-0.14280899999999999</v>
      </c>
      <c r="W2432">
        <v>0.1986414</v>
      </c>
      <c r="X2432">
        <v>0.96961189999999997</v>
      </c>
      <c r="Y2432">
        <v>-0.23316400000000001</v>
      </c>
      <c r="Z2432">
        <v>-1.1633599999999999E-2</v>
      </c>
      <c r="AA2432">
        <v>0.9723678</v>
      </c>
      <c r="AB2432">
        <v>29</v>
      </c>
      <c r="AC2432">
        <v>-15.915199999999899</v>
      </c>
      <c r="AD2432">
        <v>-1.1108690354099999</v>
      </c>
      <c r="AE2432">
        <v>-2.98609999999996</v>
      </c>
      <c r="AF2432">
        <v>-3.8359544227402602</v>
      </c>
      <c r="AG2432">
        <v>-1.1108690354099999</v>
      </c>
      <c r="AH2432">
        <v>15.6539161935307</v>
      </c>
      <c r="AI2432">
        <v>93.942878015679</v>
      </c>
      <c r="AJ2432">
        <v>103.768872910567</v>
      </c>
      <c r="AK2432">
        <v>16.1552984664863</v>
      </c>
      <c r="AL2432">
        <v>78.542477265072094</v>
      </c>
      <c r="AM2432">
        <v>98.378553649355098</v>
      </c>
      <c r="AN2432">
        <v>1.00000002644828</v>
      </c>
    </row>
    <row r="2433" spans="1:40" x14ac:dyDescent="0.25">
      <c r="A2433" t="str">
        <f>"20190312172417501"</f>
        <v>20190312172417501</v>
      </c>
      <c r="B2433" t="str">
        <f>"1552382657492457"</f>
        <v>1552382657492457</v>
      </c>
      <c r="C2433" t="s">
        <v>40</v>
      </c>
      <c r="D2433">
        <v>4.0596990000000002</v>
      </c>
      <c r="E2433">
        <v>0.46169349999999998</v>
      </c>
      <c r="F2433" t="s">
        <v>46</v>
      </c>
      <c r="G2433">
        <v>-471.94029999999998</v>
      </c>
      <c r="H2433" s="1">
        <v>5.535862E-6</v>
      </c>
      <c r="I2433">
        <v>282.125</v>
      </c>
      <c r="J2433">
        <v>-455.37580000000003</v>
      </c>
      <c r="K2433">
        <v>1.1111139999999999</v>
      </c>
      <c r="L2433">
        <v>285.28289999999998</v>
      </c>
      <c r="M2433">
        <v>-0.99843479999999996</v>
      </c>
      <c r="N2433">
        <v>0</v>
      </c>
      <c r="O2433">
        <v>5.4098430000000003E-2</v>
      </c>
      <c r="P2433">
        <v>-0.97832699999999995</v>
      </c>
      <c r="Q2433">
        <v>0.18557280000000001</v>
      </c>
      <c r="R2433">
        <v>-9.1867610000000002E-2</v>
      </c>
      <c r="S2433">
        <v>-3.051453</v>
      </c>
      <c r="T2433">
        <v>-0.20116000000000001</v>
      </c>
      <c r="U2433">
        <v>-0.56909180000000004</v>
      </c>
      <c r="V2433">
        <v>-0.14487159999999999</v>
      </c>
      <c r="W2433">
        <v>0.1991994</v>
      </c>
      <c r="X2433">
        <v>0.96919129999999998</v>
      </c>
      <c r="Y2433">
        <v>-0.23564650000000001</v>
      </c>
      <c r="Z2433">
        <v>-1.122828E-2</v>
      </c>
      <c r="AA2433">
        <v>0.97177400000000003</v>
      </c>
      <c r="AB2433">
        <v>29</v>
      </c>
      <c r="AC2433">
        <v>-16.564499999999899</v>
      </c>
      <c r="AD2433">
        <v>-1.111108464138</v>
      </c>
      <c r="AE2433">
        <v>-3.1578999999999802</v>
      </c>
      <c r="AF2433">
        <v>-4.0319730149046604</v>
      </c>
      <c r="AG2433">
        <v>-1.111108464138</v>
      </c>
      <c r="AH2433">
        <v>16.2986210966932</v>
      </c>
      <c r="AI2433">
        <v>93.786145825319196</v>
      </c>
      <c r="AJ2433">
        <v>103.89493862871601</v>
      </c>
      <c r="AK2433">
        <v>16.826657958892799</v>
      </c>
      <c r="AL2433">
        <v>78.5098537153129</v>
      </c>
      <c r="AM2433">
        <v>98.501445038194603</v>
      </c>
      <c r="AN2433">
        <v>0.99999997872130397</v>
      </c>
    </row>
    <row r="2434" spans="1:40" x14ac:dyDescent="0.25">
      <c r="A2434" t="str">
        <f>"20190312172417522"</f>
        <v>20190312172417522</v>
      </c>
      <c r="B2434" t="str">
        <f>"1552382657512954"</f>
        <v>1552382657512954</v>
      </c>
      <c r="C2434" t="s">
        <v>40</v>
      </c>
      <c r="D2434">
        <v>3.9567869999999998</v>
      </c>
      <c r="E2434">
        <v>0.46156979999999997</v>
      </c>
      <c r="F2434" t="s">
        <v>46</v>
      </c>
      <c r="G2434">
        <v>-472.53230000000002</v>
      </c>
      <c r="H2434" s="1">
        <v>5.2650889999999997E-6</v>
      </c>
      <c r="I2434">
        <v>282.03070000000002</v>
      </c>
      <c r="J2434">
        <v>-455.65949999999998</v>
      </c>
      <c r="K2434">
        <v>1.111359</v>
      </c>
      <c r="L2434">
        <v>285.29730000000001</v>
      </c>
      <c r="M2434">
        <v>-0.99848990000000004</v>
      </c>
      <c r="N2434">
        <v>0</v>
      </c>
      <c r="O2434">
        <v>5.3071500000000001E-2</v>
      </c>
      <c r="P2434">
        <v>-0.97814420000000002</v>
      </c>
      <c r="Q2434">
        <v>0.1845144</v>
      </c>
      <c r="R2434">
        <v>-9.5856540000000004E-2</v>
      </c>
      <c r="S2434">
        <v>-3.049652</v>
      </c>
      <c r="T2434">
        <v>-0.19750429999999999</v>
      </c>
      <c r="U2434">
        <v>-0.57809449999999996</v>
      </c>
      <c r="V2434">
        <v>-0.14796280000000001</v>
      </c>
      <c r="W2434">
        <v>0.19804640000000001</v>
      </c>
      <c r="X2434">
        <v>0.96896059999999995</v>
      </c>
      <c r="Y2434">
        <v>-0.23754069999999999</v>
      </c>
      <c r="Z2434">
        <v>-1.10229E-2</v>
      </c>
      <c r="AA2434">
        <v>0.97131500000000004</v>
      </c>
      <c r="AB2434">
        <v>29</v>
      </c>
      <c r="AC2434">
        <v>-16.872800000000002</v>
      </c>
      <c r="AD2434">
        <v>-1.1113537349110001</v>
      </c>
      <c r="AE2434">
        <v>-3.26659999999998</v>
      </c>
      <c r="AF2434">
        <v>-4.1402373518037301</v>
      </c>
      <c r="AG2434">
        <v>-1.1113537349110001</v>
      </c>
      <c r="AH2434">
        <v>16.606194155159798</v>
      </c>
      <c r="AI2434">
        <v>93.715357128665701</v>
      </c>
      <c r="AJ2434">
        <v>103.99950666875</v>
      </c>
      <c r="AK2434">
        <v>17.1505789048718</v>
      </c>
      <c r="AL2434">
        <v>78.577259043692806</v>
      </c>
      <c r="AM2434">
        <v>98.682145241406303</v>
      </c>
      <c r="AN2434">
        <v>1.0000000055445799</v>
      </c>
    </row>
    <row r="2435" spans="1:40" x14ac:dyDescent="0.25">
      <c r="A2435" t="str">
        <f>"20190312172417545"</f>
        <v>20190312172417545</v>
      </c>
      <c r="B2435" t="str">
        <f>"1552382657542234"</f>
        <v>1552382657542234</v>
      </c>
      <c r="C2435" t="s">
        <v>40</v>
      </c>
      <c r="D2435">
        <v>4.071383</v>
      </c>
      <c r="E2435">
        <v>0.46144350000000001</v>
      </c>
      <c r="F2435" t="s">
        <v>46</v>
      </c>
      <c r="G2435">
        <v>-472.65940000000001</v>
      </c>
      <c r="H2435" s="1">
        <v>5.2064349999999997E-6</v>
      </c>
      <c r="I2435">
        <v>282.00420000000003</v>
      </c>
      <c r="J2435">
        <v>-455.94880000000001</v>
      </c>
      <c r="K2435">
        <v>1.1116170000000001</v>
      </c>
      <c r="L2435">
        <v>285.31130000000002</v>
      </c>
      <c r="M2435">
        <v>-0.99856230000000001</v>
      </c>
      <c r="N2435">
        <v>0</v>
      </c>
      <c r="O2435">
        <v>5.1691819999999999E-2</v>
      </c>
      <c r="P2435">
        <v>-0.97793669999999999</v>
      </c>
      <c r="Q2435">
        <v>0.1834316</v>
      </c>
      <c r="R2435">
        <v>-9.9964040000000004E-2</v>
      </c>
      <c r="S2435">
        <v>-3.0468139999999999</v>
      </c>
      <c r="T2435">
        <v>-0.19918379999999999</v>
      </c>
      <c r="U2435">
        <v>-0.59021000000000001</v>
      </c>
      <c r="V2435">
        <v>-0.15083199999999999</v>
      </c>
      <c r="W2435">
        <v>0.19686290000000001</v>
      </c>
      <c r="X2435">
        <v>0.96875940000000005</v>
      </c>
      <c r="Y2435">
        <v>-0.24007590000000001</v>
      </c>
      <c r="Z2435">
        <v>-1.111519E-2</v>
      </c>
      <c r="AA2435">
        <v>0.97069050000000001</v>
      </c>
      <c r="AB2435">
        <v>29</v>
      </c>
      <c r="AC2435">
        <v>-16.710599999999999</v>
      </c>
      <c r="AD2435">
        <v>-1.1116117935650001</v>
      </c>
      <c r="AE2435">
        <v>-3.3070999999999899</v>
      </c>
      <c r="AF2435">
        <v>-4.1488987770694497</v>
      </c>
      <c r="AG2435">
        <v>-1.1116117935650001</v>
      </c>
      <c r="AH2435">
        <v>16.447250126673399</v>
      </c>
      <c r="AI2435">
        <v>93.749437492830495</v>
      </c>
      <c r="AJ2435">
        <v>104.157773120637</v>
      </c>
      <c r="AK2435">
        <v>16.998855213552499</v>
      </c>
      <c r="AL2435">
        <v>78.6464307794799</v>
      </c>
      <c r="AM2435">
        <v>98.849673257487694</v>
      </c>
      <c r="AN2435">
        <v>1.00000003435438</v>
      </c>
    </row>
    <row r="2436" spans="1:40" x14ac:dyDescent="0.25">
      <c r="A2436" t="str">
        <f>"20190312172417561"</f>
        <v>20190312172417561</v>
      </c>
      <c r="B2436" t="str">
        <f>"1552382657551996"</f>
        <v>1552382657551996</v>
      </c>
      <c r="C2436" t="s">
        <v>40</v>
      </c>
      <c r="D2436">
        <v>3.907076</v>
      </c>
      <c r="E2436">
        <v>0.4614222</v>
      </c>
      <c r="F2436" t="s">
        <v>46</v>
      </c>
      <c r="G2436">
        <v>-472.65440000000001</v>
      </c>
      <c r="H2436" s="1">
        <v>5.20866599999999E-6</v>
      </c>
      <c r="I2436">
        <v>282.00459999999998</v>
      </c>
      <c r="J2436">
        <v>-456.16390000000001</v>
      </c>
      <c r="K2436">
        <v>1.111804</v>
      </c>
      <c r="L2436">
        <v>285.32130000000001</v>
      </c>
      <c r="M2436">
        <v>-0.99862289999999998</v>
      </c>
      <c r="N2436">
        <v>0</v>
      </c>
      <c r="O2436">
        <v>5.0503939999999997E-2</v>
      </c>
      <c r="P2436">
        <v>-0.97766299999999995</v>
      </c>
      <c r="Q2436">
        <v>0.1835997</v>
      </c>
      <c r="R2436">
        <v>-0.10230499999999999</v>
      </c>
      <c r="S2436">
        <v>-3.044098</v>
      </c>
      <c r="T2436">
        <v>-0.2025574</v>
      </c>
      <c r="U2436">
        <v>-0.60253909999999999</v>
      </c>
      <c r="V2436">
        <v>-0.1520862</v>
      </c>
      <c r="W2436">
        <v>0.196961</v>
      </c>
      <c r="X2436">
        <v>0.9685433</v>
      </c>
      <c r="Y2436">
        <v>-0.2428438</v>
      </c>
      <c r="Z2436">
        <v>-1.132145E-2</v>
      </c>
      <c r="AA2436">
        <v>0.96999930000000001</v>
      </c>
      <c r="AB2436">
        <v>29</v>
      </c>
      <c r="AC2436">
        <v>-16.490499999999901</v>
      </c>
      <c r="AD2436">
        <v>-1.1117987913339999</v>
      </c>
      <c r="AE2436">
        <v>-3.31670000000002</v>
      </c>
      <c r="AF2436">
        <v>-4.1273541867652801</v>
      </c>
      <c r="AG2436">
        <v>-1.1117987913339999</v>
      </c>
      <c r="AH2436">
        <v>16.231018156080399</v>
      </c>
      <c r="AI2436">
        <v>93.798046975743006</v>
      </c>
      <c r="AJ2436">
        <v>104.26724489098901</v>
      </c>
      <c r="AK2436">
        <v>16.7844302708919</v>
      </c>
      <c r="AL2436">
        <v>78.640697260931503</v>
      </c>
      <c r="AM2436">
        <v>98.9240397354625</v>
      </c>
      <c r="AN2436">
        <v>0.99999998586316496</v>
      </c>
    </row>
    <row r="2437" spans="1:40" x14ac:dyDescent="0.25">
      <c r="A2437" t="str">
        <f>"20190312172417579"</f>
        <v>20190312172417579</v>
      </c>
      <c r="B2437" t="str">
        <f>"1552382657572490"</f>
        <v>1552382657572490</v>
      </c>
      <c r="C2437" t="s">
        <v>40</v>
      </c>
      <c r="D2437">
        <v>3.901179</v>
      </c>
      <c r="E2437">
        <v>0.46133940000000001</v>
      </c>
      <c r="F2437" t="s">
        <v>46</v>
      </c>
      <c r="G2437">
        <v>-472.84219999999999</v>
      </c>
      <c r="H2437" s="1">
        <v>5.1232770000000001E-6</v>
      </c>
      <c r="I2437">
        <v>281.9803</v>
      </c>
      <c r="J2437">
        <v>-456.38639999999998</v>
      </c>
      <c r="K2437">
        <v>1.1119810000000001</v>
      </c>
      <c r="L2437">
        <v>285.33120000000002</v>
      </c>
      <c r="M2437">
        <v>-0.99869319999999895</v>
      </c>
      <c r="N2437">
        <v>0</v>
      </c>
      <c r="O2437">
        <v>4.909554E-2</v>
      </c>
      <c r="P2437">
        <v>-0.97697529999999999</v>
      </c>
      <c r="Q2437">
        <v>0.18546950000000001</v>
      </c>
      <c r="R2437">
        <v>-0.1054524</v>
      </c>
      <c r="S2437">
        <v>-3.0428769999999998</v>
      </c>
      <c r="T2437">
        <v>-0.2028432</v>
      </c>
      <c r="U2437">
        <v>-0.60955809999999999</v>
      </c>
      <c r="V2437">
        <v>-0.15391099999999999</v>
      </c>
      <c r="W2437">
        <v>0.19875680000000001</v>
      </c>
      <c r="X2437">
        <v>0.96788799999999997</v>
      </c>
      <c r="Y2437">
        <v>-0.24370140000000001</v>
      </c>
      <c r="Z2437">
        <v>-1.1274620000000001E-2</v>
      </c>
      <c r="AA2437">
        <v>0.9697848</v>
      </c>
      <c r="AB2437">
        <v>29</v>
      </c>
      <c r="AC2437">
        <v>-16.4558</v>
      </c>
      <c r="AD2437">
        <v>-1.1119758767229999</v>
      </c>
      <c r="AE2437">
        <v>-3.3509000000000202</v>
      </c>
      <c r="AF2437">
        <v>-4.1367092009187099</v>
      </c>
      <c r="AG2437">
        <v>-1.1119758767229999</v>
      </c>
      <c r="AH2437">
        <v>16.2003922761205</v>
      </c>
      <c r="AI2437">
        <v>93.804849511808499</v>
      </c>
      <c r="AJ2437">
        <v>104.32417700286101</v>
      </c>
      <c r="AK2437">
        <v>16.757134697303201</v>
      </c>
      <c r="AL2437">
        <v>78.535730748433295</v>
      </c>
      <c r="AM2437">
        <v>99.035373043922903</v>
      </c>
      <c r="AN2437">
        <v>1.0000000210056199</v>
      </c>
    </row>
    <row r="2438" spans="1:40" x14ac:dyDescent="0.25">
      <c r="A2438" t="str">
        <f>"20190312172417602"</f>
        <v>20190312172417602</v>
      </c>
      <c r="B2438" t="str">
        <f>"1552382657592010"</f>
        <v>1552382657592010</v>
      </c>
      <c r="C2438" t="s">
        <v>40</v>
      </c>
      <c r="D2438">
        <v>3.9905919999999999</v>
      </c>
      <c r="E2438">
        <v>0.46123180000000003</v>
      </c>
      <c r="F2438" t="s">
        <v>46</v>
      </c>
      <c r="G2438">
        <v>-473.40629999999999</v>
      </c>
      <c r="H2438" s="1">
        <v>4.8627540000000003E-6</v>
      </c>
      <c r="I2438">
        <v>281.86149999999998</v>
      </c>
      <c r="J2438">
        <v>-456.67599999999999</v>
      </c>
      <c r="K2438">
        <v>1.1121909999999999</v>
      </c>
      <c r="L2438">
        <v>285.3433</v>
      </c>
      <c r="M2438">
        <v>-0.99879269999999998</v>
      </c>
      <c r="N2438">
        <v>0</v>
      </c>
      <c r="O2438">
        <v>4.7028349999999997E-2</v>
      </c>
      <c r="P2438">
        <v>-0.97635280000000002</v>
      </c>
      <c r="Q2438">
        <v>0.18684590000000001</v>
      </c>
      <c r="R2438">
        <v>-0.1087395</v>
      </c>
      <c r="S2438">
        <v>-3.0414729999999999</v>
      </c>
      <c r="T2438">
        <v>-0.19871130000000001</v>
      </c>
      <c r="U2438">
        <v>-0.62002559999999995</v>
      </c>
      <c r="V2438">
        <v>-0.15525799999999901</v>
      </c>
      <c r="W2438">
        <v>0.2000479</v>
      </c>
      <c r="X2438">
        <v>0.96740669999999995</v>
      </c>
      <c r="Y2438">
        <v>-0.2450137</v>
      </c>
      <c r="Z2438">
        <v>-1.0955400000000001E-2</v>
      </c>
      <c r="AA2438">
        <v>0.96945769999999998</v>
      </c>
      <c r="AB2438">
        <v>29</v>
      </c>
      <c r="AC2438">
        <v>-16.7303</v>
      </c>
      <c r="AD2438">
        <v>-1.112186137246</v>
      </c>
      <c r="AE2438">
        <v>-3.4818000000000202</v>
      </c>
      <c r="AF2438">
        <v>-4.2468358080571997</v>
      </c>
      <c r="AG2438">
        <v>-1.112186137246</v>
      </c>
      <c r="AH2438">
        <v>16.478227122188301</v>
      </c>
      <c r="AI2438">
        <v>93.739451309697003</v>
      </c>
      <c r="AJ2438">
        <v>104.452004566958</v>
      </c>
      <c r="AK2438">
        <v>17.0529921560675</v>
      </c>
      <c r="AL2438">
        <v>78.460239495074305</v>
      </c>
      <c r="AM2438">
        <v>99.117585393006493</v>
      </c>
      <c r="AN2438">
        <v>0.99999996603164898</v>
      </c>
    </row>
    <row r="2439" spans="1:40" x14ac:dyDescent="0.25">
      <c r="A2439" t="str">
        <f>"20190312172417625"</f>
        <v>20190312172417625</v>
      </c>
      <c r="B2439" t="str">
        <f>"1552382657612506"</f>
        <v>1552382657612506</v>
      </c>
      <c r="C2439" t="s">
        <v>40</v>
      </c>
      <c r="D2439">
        <v>3.9981040000000001</v>
      </c>
      <c r="E2439">
        <v>0.46121659999999998</v>
      </c>
      <c r="F2439" t="s">
        <v>46</v>
      </c>
      <c r="G2439">
        <v>-473.8562</v>
      </c>
      <c r="H2439" s="1">
        <v>4.655632E-6</v>
      </c>
      <c r="I2439">
        <v>281.77460000000002</v>
      </c>
      <c r="J2439">
        <v>-456.96359999999999</v>
      </c>
      <c r="K2439">
        <v>1.1124039999999999</v>
      </c>
      <c r="L2439">
        <v>285.3544</v>
      </c>
      <c r="M2439">
        <v>-0.99890129999999999</v>
      </c>
      <c r="N2439">
        <v>0</v>
      </c>
      <c r="O2439">
        <v>4.4661720000000002E-2</v>
      </c>
      <c r="P2439">
        <v>-0.97586220000000001</v>
      </c>
      <c r="Q2439">
        <v>0.1868841</v>
      </c>
      <c r="R2439">
        <v>-0.112993899999999</v>
      </c>
      <c r="S2439">
        <v>-3.0399780000000001</v>
      </c>
      <c r="T2439">
        <v>-0.19679820000000001</v>
      </c>
      <c r="U2439">
        <v>-0.63146969999999902</v>
      </c>
      <c r="V2439">
        <v>-0.1572847</v>
      </c>
      <c r="W2439">
        <v>0.2000007</v>
      </c>
      <c r="X2439">
        <v>0.96708910000000003</v>
      </c>
      <c r="Y2439">
        <v>-0.24632480000000001</v>
      </c>
      <c r="Z2439">
        <v>-1.074162E-2</v>
      </c>
      <c r="AA2439">
        <v>0.96912779999999998</v>
      </c>
      <c r="AB2439">
        <v>29</v>
      </c>
      <c r="AC2439">
        <v>-16.892600000000002</v>
      </c>
      <c r="AD2439">
        <v>-1.112399344368</v>
      </c>
      <c r="AE2439">
        <v>-3.5797999999999699</v>
      </c>
      <c r="AF2439">
        <v>-4.3128573902750897</v>
      </c>
      <c r="AG2439">
        <v>-1.112399344368</v>
      </c>
      <c r="AH2439">
        <v>16.646760064150399</v>
      </c>
      <c r="AI2439">
        <v>93.701193042136097</v>
      </c>
      <c r="AJ2439">
        <v>104.524878450358</v>
      </c>
      <c r="AK2439">
        <v>17.232318236487899</v>
      </c>
      <c r="AL2439">
        <v>78.463000525441103</v>
      </c>
      <c r="AM2439">
        <v>99.2375469335947</v>
      </c>
      <c r="AN2439">
        <v>1.0000000420966899</v>
      </c>
    </row>
    <row r="2440" spans="1:40" x14ac:dyDescent="0.25">
      <c r="A2440" t="str">
        <f>"20190312172417646"</f>
        <v>20190312172417646</v>
      </c>
      <c r="B2440" t="str">
        <f>"1552382657642762"</f>
        <v>1552382657642762</v>
      </c>
      <c r="C2440" t="s">
        <v>40</v>
      </c>
      <c r="D2440">
        <v>3.9044560000000001</v>
      </c>
      <c r="E2440">
        <v>0.4611596</v>
      </c>
      <c r="F2440" t="s">
        <v>46</v>
      </c>
      <c r="G2440">
        <v>-474.02030000000002</v>
      </c>
      <c r="H2440" s="1">
        <v>4.5800799999999999E-6</v>
      </c>
      <c r="I2440">
        <v>281.74299999999999</v>
      </c>
      <c r="J2440">
        <v>-457.24459999999999</v>
      </c>
      <c r="K2440">
        <v>1.112601</v>
      </c>
      <c r="L2440">
        <v>285.36430000000001</v>
      </c>
      <c r="M2440">
        <v>-0.99901110000000004</v>
      </c>
      <c r="N2440">
        <v>0</v>
      </c>
      <c r="O2440">
        <v>4.2131710000000003E-2</v>
      </c>
      <c r="P2440">
        <v>-0.97540660000000001</v>
      </c>
      <c r="Q2440">
        <v>0.18647929999999999</v>
      </c>
      <c r="R2440">
        <v>-0.117506</v>
      </c>
      <c r="S2440">
        <v>-3.0376889999999999</v>
      </c>
      <c r="T2440">
        <v>-0.19811139999999999</v>
      </c>
      <c r="U2440">
        <v>-0.64315800000000001</v>
      </c>
      <c r="V2440">
        <v>-0.15940460000000001</v>
      </c>
      <c r="W2440">
        <v>0.1995162</v>
      </c>
      <c r="X2440">
        <v>0.96684199999999998</v>
      </c>
      <c r="Y2440">
        <v>-0.247582</v>
      </c>
      <c r="Z2440">
        <v>-1.0694169999999999E-2</v>
      </c>
      <c r="AA2440">
        <v>0.96880790000000006</v>
      </c>
      <c r="AB2440">
        <v>29</v>
      </c>
      <c r="AC2440">
        <v>-16.775700000000001</v>
      </c>
      <c r="AD2440">
        <v>-1.11259641992</v>
      </c>
      <c r="AE2440">
        <v>-3.62130000000001</v>
      </c>
      <c r="AF2440">
        <v>-4.3068434964321298</v>
      </c>
      <c r="AG2440">
        <v>-1.11259641992</v>
      </c>
      <c r="AH2440">
        <v>16.538706179508701</v>
      </c>
      <c r="AI2440">
        <v>93.724763271857697</v>
      </c>
      <c r="AJ2440">
        <v>104.596214633293</v>
      </c>
      <c r="AK2440">
        <v>17.126458296696899</v>
      </c>
      <c r="AL2440">
        <v>78.491330803393296</v>
      </c>
      <c r="AM2440">
        <v>99.362212334069994</v>
      </c>
      <c r="AN2440">
        <v>0.99999999676380003</v>
      </c>
    </row>
    <row r="2441" spans="1:40" x14ac:dyDescent="0.25">
      <c r="A2441" t="str">
        <f>"20190312172417669"</f>
        <v>20190312172417669</v>
      </c>
      <c r="B2441" t="str">
        <f>"1552382657662285"</f>
        <v>1552382657662285</v>
      </c>
      <c r="C2441" t="s">
        <v>40</v>
      </c>
      <c r="D2441">
        <v>3.9174099999999998</v>
      </c>
      <c r="E2441">
        <v>0.46103810000000001</v>
      </c>
      <c r="F2441" t="s">
        <v>46</v>
      </c>
      <c r="G2441">
        <v>-473.97039999999998</v>
      </c>
      <c r="H2441" s="1">
        <v>4.6030860000000001E-6</v>
      </c>
      <c r="I2441">
        <v>281.75310000000002</v>
      </c>
      <c r="J2441">
        <v>-457.53410000000002</v>
      </c>
      <c r="K2441">
        <v>1.1127880000000001</v>
      </c>
      <c r="L2441">
        <v>285.37360000000001</v>
      </c>
      <c r="M2441">
        <v>-0.9991255</v>
      </c>
      <c r="N2441">
        <v>0</v>
      </c>
      <c r="O2441">
        <v>3.9321450000000001E-2</v>
      </c>
      <c r="P2441">
        <v>-0.9748346</v>
      </c>
      <c r="Q2441">
        <v>0.18670610000000001</v>
      </c>
      <c r="R2441">
        <v>-0.1218115</v>
      </c>
      <c r="S2441">
        <v>-3.0353089999999998</v>
      </c>
      <c r="T2441">
        <v>-0.201908</v>
      </c>
      <c r="U2441">
        <v>-0.65533450000000004</v>
      </c>
      <c r="V2441">
        <v>-0.16104189999999999</v>
      </c>
      <c r="W2441">
        <v>0.19966709999999999</v>
      </c>
      <c r="X2441">
        <v>0.96653940000000005</v>
      </c>
      <c r="Y2441">
        <v>-0.24870800000000001</v>
      </c>
      <c r="Z2441">
        <v>-1.0754639999999999E-2</v>
      </c>
      <c r="AA2441">
        <v>0.96851880000000001</v>
      </c>
      <c r="AB2441">
        <v>29</v>
      </c>
      <c r="AC2441">
        <v>-16.4362999999999</v>
      </c>
      <c r="AD2441">
        <v>-1.112783396914</v>
      </c>
      <c r="AE2441">
        <v>-3.6204999999999901</v>
      </c>
      <c r="AF2441">
        <v>-4.2455043783790103</v>
      </c>
      <c r="AG2441">
        <v>-1.112783396914</v>
      </c>
      <c r="AH2441">
        <v>16.210343682832001</v>
      </c>
      <c r="AI2441">
        <v>93.799250156381007</v>
      </c>
      <c r="AJ2441">
        <v>104.676188645121</v>
      </c>
      <c r="AK2441">
        <v>16.793982155248699</v>
      </c>
      <c r="AL2441">
        <v>78.482506532577403</v>
      </c>
      <c r="AM2441">
        <v>99.4595536821856</v>
      </c>
      <c r="AN2441">
        <v>0.999999928065187</v>
      </c>
    </row>
    <row r="2442" spans="1:40" x14ac:dyDescent="0.25">
      <c r="A2442" t="str">
        <f>"20190312172417690"</f>
        <v>20190312172417690</v>
      </c>
      <c r="B2442" t="str">
        <f>"1552382657682781"</f>
        <v>1552382657682781</v>
      </c>
      <c r="C2442" t="s">
        <v>40</v>
      </c>
      <c r="D2442">
        <v>4.0332910000000002</v>
      </c>
      <c r="E2442">
        <v>0.46101760000000003</v>
      </c>
      <c r="F2442" t="s">
        <v>46</v>
      </c>
      <c r="G2442">
        <v>-474.23239999999998</v>
      </c>
      <c r="H2442" s="1">
        <v>4.4813440000000001E-6</v>
      </c>
      <c r="I2442">
        <v>281.6893</v>
      </c>
      <c r="J2442">
        <v>-457.81709999999998</v>
      </c>
      <c r="K2442">
        <v>1.112949</v>
      </c>
      <c r="L2442">
        <v>285.38170000000002</v>
      </c>
      <c r="M2442">
        <v>-0.99923689999999998</v>
      </c>
      <c r="N2442">
        <v>0</v>
      </c>
      <c r="O2442">
        <v>3.6381139999999999E-2</v>
      </c>
      <c r="P2442">
        <v>-0.9742227</v>
      </c>
      <c r="Q2442">
        <v>0.18722620000000001</v>
      </c>
      <c r="R2442">
        <v>-0.1258444</v>
      </c>
      <c r="S2442">
        <v>-3.032562</v>
      </c>
      <c r="T2442">
        <v>-0.20209170000000001</v>
      </c>
      <c r="U2442">
        <v>-0.66909790000000002</v>
      </c>
      <c r="V2442">
        <v>-0.16227510000000001</v>
      </c>
      <c r="W2442">
        <v>0.20011889999999999</v>
      </c>
      <c r="X2442">
        <v>0.96623979999999998</v>
      </c>
      <c r="Y2442">
        <v>-0.25023600000000001</v>
      </c>
      <c r="Z2442">
        <v>-1.062536E-2</v>
      </c>
      <c r="AA2442">
        <v>0.96812659999999995</v>
      </c>
      <c r="AB2442">
        <v>29</v>
      </c>
      <c r="AC2442">
        <v>-16.415299999999998</v>
      </c>
      <c r="AD2442">
        <v>-1.1129445186560001</v>
      </c>
      <c r="AE2442">
        <v>-3.6924000000000201</v>
      </c>
      <c r="AF2442">
        <v>-4.2685463406458304</v>
      </c>
      <c r="AG2442">
        <v>-1.1129445186560001</v>
      </c>
      <c r="AH2442">
        <v>16.199206066932199</v>
      </c>
      <c r="AI2442">
        <v>93.800910805211302</v>
      </c>
      <c r="AJ2442">
        <v>104.762076668048</v>
      </c>
      <c r="AK2442">
        <v>16.789086055017499</v>
      </c>
      <c r="AL2442">
        <v>78.456088714934097</v>
      </c>
      <c r="AM2442">
        <v>99.533568471032595</v>
      </c>
      <c r="AN2442">
        <v>1.0000000666606199</v>
      </c>
    </row>
    <row r="2443" spans="1:40" x14ac:dyDescent="0.25">
      <c r="A2443" t="str">
        <f>"20190312172417713"</f>
        <v>20190312172417713</v>
      </c>
      <c r="B2443" t="str">
        <f>"1552382657702298"</f>
        <v>1552382657702298</v>
      </c>
      <c r="C2443" t="s">
        <v>40</v>
      </c>
      <c r="D2443">
        <v>3.9131649999999998</v>
      </c>
      <c r="E2443">
        <v>0.46087400000000001</v>
      </c>
      <c r="F2443" t="s">
        <v>46</v>
      </c>
      <c r="G2443">
        <v>-474.55860000000001</v>
      </c>
      <c r="H2443" s="1">
        <v>4.3300260000000003E-6</v>
      </c>
      <c r="I2443">
        <v>281.61320000000001</v>
      </c>
      <c r="J2443">
        <v>-458.10109999999997</v>
      </c>
      <c r="K2443">
        <v>1.113103</v>
      </c>
      <c r="L2443">
        <v>285.38869999999997</v>
      </c>
      <c r="M2443">
        <v>-0.99934610000000001</v>
      </c>
      <c r="N2443">
        <v>0</v>
      </c>
      <c r="O2443">
        <v>3.3244530000000001E-2</v>
      </c>
      <c r="P2443">
        <v>-0.97361750000000002</v>
      </c>
      <c r="Q2443">
        <v>0.1872028</v>
      </c>
      <c r="R2443">
        <v>-0.13047719999999999</v>
      </c>
      <c r="S2443">
        <v>-3.0299680000000002</v>
      </c>
      <c r="T2443">
        <v>-0.20142699999999999</v>
      </c>
      <c r="U2443">
        <v>-0.68203740000000002</v>
      </c>
      <c r="V2443">
        <v>-0.16391310000000001</v>
      </c>
      <c r="W2443">
        <v>0.2000297</v>
      </c>
      <c r="X2443">
        <v>0.96598170000000005</v>
      </c>
      <c r="Y2443">
        <v>-0.2513184</v>
      </c>
      <c r="Z2443">
        <v>-1.0423969999999999E-2</v>
      </c>
      <c r="AA2443">
        <v>0.96784840000000005</v>
      </c>
      <c r="AB2443">
        <v>29</v>
      </c>
      <c r="AC2443">
        <v>-16.4575</v>
      </c>
      <c r="AD2443">
        <v>-1.113098669974</v>
      </c>
      <c r="AE2443">
        <v>-3.7754999999999601</v>
      </c>
      <c r="AF2443">
        <v>-4.3018948819262697</v>
      </c>
      <c r="AG2443">
        <v>-1.113098669974</v>
      </c>
      <c r="AH2443">
        <v>16.2522456765589</v>
      </c>
      <c r="AI2443">
        <v>93.787954210644301</v>
      </c>
      <c r="AJ2443">
        <v>104.825919399219</v>
      </c>
      <c r="AK2443">
        <v>16.848761905714898</v>
      </c>
      <c r="AL2443">
        <v>78.461304362461505</v>
      </c>
      <c r="AM2443">
        <v>99.6305317266836</v>
      </c>
      <c r="AN2443">
        <v>1.00000001498429</v>
      </c>
    </row>
    <row r="2444" spans="1:40" x14ac:dyDescent="0.25">
      <c r="A2444" t="str">
        <f>"20190312172417735"</f>
        <v>20190312172417735</v>
      </c>
      <c r="B2444" t="str">
        <f>"1552382657732554"</f>
        <v>1552382657732554</v>
      </c>
      <c r="C2444" t="s">
        <v>40</v>
      </c>
      <c r="D2444">
        <v>3.8658809999999999</v>
      </c>
      <c r="E2444">
        <v>0.46074229999999999</v>
      </c>
      <c r="F2444" t="s">
        <v>46</v>
      </c>
      <c r="G2444">
        <v>-474.73410000000001</v>
      </c>
      <c r="H2444" s="1">
        <v>4.2473760000000004E-6</v>
      </c>
      <c r="I2444">
        <v>281.5582</v>
      </c>
      <c r="J2444">
        <v>-458.3886</v>
      </c>
      <c r="K2444">
        <v>1.113248</v>
      </c>
      <c r="L2444">
        <v>285.3947</v>
      </c>
      <c r="M2444">
        <v>-0.99945200000000001</v>
      </c>
      <c r="N2444">
        <v>0</v>
      </c>
      <c r="O2444">
        <v>2.9892869999999998E-2</v>
      </c>
      <c r="P2444">
        <v>-0.9732497</v>
      </c>
      <c r="Q2444">
        <v>0.18557029999999999</v>
      </c>
      <c r="R2444">
        <v>-0.1354592</v>
      </c>
      <c r="S2444">
        <v>-3.0267940000000002</v>
      </c>
      <c r="T2444">
        <v>-0.2025565</v>
      </c>
      <c r="U2444">
        <v>-0.697052</v>
      </c>
      <c r="V2444">
        <v>-0.16568769999999999</v>
      </c>
      <c r="W2444">
        <v>0.19833719999999999</v>
      </c>
      <c r="X2444">
        <v>0.96602790000000005</v>
      </c>
      <c r="Y2444">
        <v>-0.25285099999999999</v>
      </c>
      <c r="Z2444">
        <v>-1.031642E-2</v>
      </c>
      <c r="AA2444">
        <v>0.96745020000000004</v>
      </c>
      <c r="AB2444">
        <v>29</v>
      </c>
      <c r="AC2444">
        <v>-16.345500000000001</v>
      </c>
      <c r="AD2444">
        <v>-1.113243752624</v>
      </c>
      <c r="AE2444">
        <v>-3.8365</v>
      </c>
      <c r="AF2444">
        <v>-4.3045241515176498</v>
      </c>
      <c r="AG2444">
        <v>-1.113243752624</v>
      </c>
      <c r="AH2444">
        <v>16.1524859127755</v>
      </c>
      <c r="AI2444">
        <v>93.810081115823095</v>
      </c>
      <c r="AJ2444">
        <v>104.922126097912</v>
      </c>
      <c r="AK2444">
        <v>16.7532397161315</v>
      </c>
      <c r="AL2444">
        <v>78.560259947760699</v>
      </c>
      <c r="AM2444">
        <v>99.732355956679498</v>
      </c>
      <c r="AN2444">
        <v>0.99999998120676903</v>
      </c>
    </row>
    <row r="2445" spans="1:40" x14ac:dyDescent="0.25">
      <c r="A2445" t="str">
        <f>"20190312172417757"</f>
        <v>20190312172417757</v>
      </c>
      <c r="B2445" t="str">
        <f>"1552382657752074"</f>
        <v>1552382657752074</v>
      </c>
      <c r="C2445" t="s">
        <v>40</v>
      </c>
      <c r="D2445">
        <v>3.898676</v>
      </c>
      <c r="E2445">
        <v>0.46069209999999999</v>
      </c>
      <c r="F2445" t="s">
        <v>46</v>
      </c>
      <c r="G2445">
        <v>-474.44479999999999</v>
      </c>
      <c r="H2445" s="1">
        <v>4.380352E-6</v>
      </c>
      <c r="I2445">
        <v>281.61180000000002</v>
      </c>
      <c r="J2445">
        <v>-458.6696</v>
      </c>
      <c r="K2445">
        <v>1.1133740000000001</v>
      </c>
      <c r="L2445">
        <v>285.39949999999999</v>
      </c>
      <c r="M2445">
        <v>-0.99954889999999996</v>
      </c>
      <c r="N2445">
        <v>0</v>
      </c>
      <c r="O2445">
        <v>2.645695E-2</v>
      </c>
      <c r="P2445">
        <v>-0.9729778</v>
      </c>
      <c r="Q2445">
        <v>0.18308269999999999</v>
      </c>
      <c r="R2445">
        <v>-0.14069579999999901</v>
      </c>
      <c r="S2445">
        <v>-3.023285</v>
      </c>
      <c r="T2445">
        <v>-0.20961740000000001</v>
      </c>
      <c r="U2445">
        <v>-0.71231080000000002</v>
      </c>
      <c r="V2445">
        <v>-0.16762929999999901</v>
      </c>
      <c r="W2445">
        <v>0.19579360000000001</v>
      </c>
      <c r="X2445">
        <v>0.96621179999999995</v>
      </c>
      <c r="Y2445">
        <v>-0.25436340000000002</v>
      </c>
      <c r="Z2445">
        <v>-1.0497879999999999E-2</v>
      </c>
      <c r="AA2445">
        <v>0.96705169999999996</v>
      </c>
      <c r="AB2445">
        <v>29</v>
      </c>
      <c r="AC2445">
        <v>-15.7751999999999</v>
      </c>
      <c r="AD2445">
        <v>-1.1133696196480001</v>
      </c>
      <c r="AE2445">
        <v>-3.7876999999999699</v>
      </c>
      <c r="AF2445">
        <v>-4.1840742580927204</v>
      </c>
      <c r="AG2445">
        <v>-1.1133696196480001</v>
      </c>
      <c r="AH2445">
        <v>15.5960042908139</v>
      </c>
      <c r="AI2445">
        <v>93.944299044419296</v>
      </c>
      <c r="AJ2445">
        <v>105.017608127401</v>
      </c>
      <c r="AK2445">
        <v>16.185840081573598</v>
      </c>
      <c r="AL2445">
        <v>78.708912545331401</v>
      </c>
      <c r="AM2445">
        <v>99.842348183462306</v>
      </c>
      <c r="AN2445">
        <v>0.99999997923934403</v>
      </c>
    </row>
    <row r="2446" spans="1:40" x14ac:dyDescent="0.25">
      <c r="A2446" t="str">
        <f>"20190312172417772"</f>
        <v>20190312172417772</v>
      </c>
      <c r="B2446" t="str">
        <f>"1552382657762810"</f>
        <v>1552382657762810</v>
      </c>
      <c r="C2446" t="s">
        <v>40</v>
      </c>
      <c r="D2446">
        <v>4.0296709999999996</v>
      </c>
      <c r="E2446">
        <v>0.46067459999999999</v>
      </c>
      <c r="F2446" t="s">
        <v>46</v>
      </c>
      <c r="G2446">
        <v>-474.00529999999998</v>
      </c>
      <c r="H2446" s="1">
        <v>4.5833779999999998E-6</v>
      </c>
      <c r="I2446">
        <v>281.7047</v>
      </c>
      <c r="J2446">
        <v>-458.86180000000002</v>
      </c>
      <c r="K2446">
        <v>1.1134580000000001</v>
      </c>
      <c r="L2446">
        <v>285.40210000000002</v>
      </c>
      <c r="M2446">
        <v>-0.99961049999999996</v>
      </c>
      <c r="N2446">
        <v>0</v>
      </c>
      <c r="O2446">
        <v>2.401474E-2</v>
      </c>
      <c r="P2446">
        <v>-0.97270319999999999</v>
      </c>
      <c r="Q2446">
        <v>0.18181829999999999</v>
      </c>
      <c r="R2446">
        <v>-0.14419079999999901</v>
      </c>
      <c r="S2446">
        <v>-3.0193789999999998</v>
      </c>
      <c r="T2446">
        <v>-0.21920629999999999</v>
      </c>
      <c r="U2446">
        <v>-0.72744750000000002</v>
      </c>
      <c r="V2446">
        <v>-0.16877899999999901</v>
      </c>
      <c r="W2446">
        <v>0.19449250000000001</v>
      </c>
      <c r="X2446">
        <v>0.96627439999999998</v>
      </c>
      <c r="Y2446">
        <v>-0.25680619999999998</v>
      </c>
      <c r="Z2446">
        <v>-1.0896960000000001E-2</v>
      </c>
      <c r="AA2446">
        <v>0.96640150000000002</v>
      </c>
      <c r="AB2446">
        <v>29</v>
      </c>
      <c r="AC2446">
        <v>-15.1434999999999</v>
      </c>
      <c r="AD2446">
        <v>-1.113453416622</v>
      </c>
      <c r="AE2446">
        <v>-3.6974000000000098</v>
      </c>
      <c r="AF2446">
        <v>-4.0394281012539199</v>
      </c>
      <c r="AG2446">
        <v>-1.113453416622</v>
      </c>
      <c r="AH2446">
        <v>14.9739330354665</v>
      </c>
      <c r="AI2446">
        <v>94.106392584472204</v>
      </c>
      <c r="AJ2446">
        <v>105.096971438365</v>
      </c>
      <c r="AK2446">
        <v>15.549129507686899</v>
      </c>
      <c r="AL2446">
        <v>78.784921042431804</v>
      </c>
      <c r="AM2446">
        <v>99.9078901119004</v>
      </c>
      <c r="AN2446">
        <v>0.99999994974630302</v>
      </c>
    </row>
    <row r="2447" spans="1:40" x14ac:dyDescent="0.25">
      <c r="A2447" t="str">
        <f>"20190312172417791"</f>
        <v>20190312172417791</v>
      </c>
      <c r="B2447" t="str">
        <f>"1552382657782330"</f>
        <v>1552382657782330</v>
      </c>
      <c r="C2447" t="s">
        <v>40</v>
      </c>
      <c r="D2447">
        <v>4.0451969999999999</v>
      </c>
      <c r="E2447">
        <v>0.46062959999999897</v>
      </c>
      <c r="F2447" t="s">
        <v>46</v>
      </c>
      <c r="G2447">
        <v>-473.90499999999997</v>
      </c>
      <c r="H2447" s="1">
        <v>4.6293970000000002E-6</v>
      </c>
      <c r="I2447">
        <v>281.72199999999998</v>
      </c>
      <c r="J2447">
        <v>-459.09719999999999</v>
      </c>
      <c r="K2447">
        <v>1.1135469999999901</v>
      </c>
      <c r="L2447">
        <v>285.40449999999998</v>
      </c>
      <c r="M2447">
        <v>-0.99967930000000005</v>
      </c>
      <c r="N2447">
        <v>0</v>
      </c>
      <c r="O2447">
        <v>2.0942550000000001E-2</v>
      </c>
      <c r="P2447">
        <v>-0.97229500000000002</v>
      </c>
      <c r="Q2447">
        <v>0.17997460000000001</v>
      </c>
      <c r="R2447">
        <v>-0.14916949999999901</v>
      </c>
      <c r="S2447">
        <v>-3.0165410000000001</v>
      </c>
      <c r="T2447">
        <v>-0.2232758</v>
      </c>
      <c r="U2447">
        <v>-0.73794559999999998</v>
      </c>
      <c r="V2447">
        <v>-0.17080090000000001</v>
      </c>
      <c r="W2447">
        <v>0.1926011</v>
      </c>
      <c r="X2447">
        <v>0.96629799999999999</v>
      </c>
      <c r="Y2447">
        <v>-0.25719969999999998</v>
      </c>
      <c r="Z2447">
        <v>-1.0894650000000001E-2</v>
      </c>
      <c r="AA2447">
        <v>0.96629690000000001</v>
      </c>
      <c r="AB2447">
        <v>29</v>
      </c>
      <c r="AC2447">
        <v>-14.807799999999901</v>
      </c>
      <c r="AD2447">
        <v>-1.1135423706030001</v>
      </c>
      <c r="AE2447">
        <v>-3.6825000000000001</v>
      </c>
      <c r="AF2447">
        <v>-3.9706902785998999</v>
      </c>
      <c r="AG2447">
        <v>-1.1135423706030001</v>
      </c>
      <c r="AH2447">
        <v>14.649405579028</v>
      </c>
      <c r="AI2447">
        <v>94.1960209737112</v>
      </c>
      <c r="AJ2447">
        <v>105.165519824404</v>
      </c>
      <c r="AK2447">
        <v>15.218785816173201</v>
      </c>
      <c r="AL2447">
        <v>78.895379265443296</v>
      </c>
      <c r="AM2447">
        <v>100.023949048269</v>
      </c>
      <c r="AN2447">
        <v>0.99999997798300899</v>
      </c>
    </row>
    <row r="2448" spans="1:40" x14ac:dyDescent="0.25">
      <c r="A2448" t="str">
        <f>"20190312172417813"</f>
        <v>20190312172417813</v>
      </c>
      <c r="B2448" t="str">
        <f>"1552382657802826"</f>
        <v>1552382657802826</v>
      </c>
      <c r="C2448" t="s">
        <v>40</v>
      </c>
      <c r="D2448">
        <v>3.968067</v>
      </c>
      <c r="E2448">
        <v>0.46058749999999998</v>
      </c>
      <c r="F2448" t="s">
        <v>46</v>
      </c>
      <c r="G2448">
        <v>-473.76209999999998</v>
      </c>
      <c r="H2448" s="1">
        <v>4.6937149999999998E-6</v>
      </c>
      <c r="I2448">
        <v>281.73329999999999</v>
      </c>
      <c r="J2448">
        <v>-459.38040000000001</v>
      </c>
      <c r="K2448">
        <v>1.1136429999999999</v>
      </c>
      <c r="L2448">
        <v>285.40640000000002</v>
      </c>
      <c r="M2448">
        <v>-0.99975199999999997</v>
      </c>
      <c r="N2448">
        <v>0</v>
      </c>
      <c r="O2448">
        <v>1.712843E-2</v>
      </c>
      <c r="P2448">
        <v>-0.97187159999999995</v>
      </c>
      <c r="Q2448">
        <v>0.1776712</v>
      </c>
      <c r="R2448">
        <v>-0.15459329999999999</v>
      </c>
      <c r="S2448">
        <v>-3.0121150000000001</v>
      </c>
      <c r="T2448">
        <v>-0.22871630000000001</v>
      </c>
      <c r="U2448">
        <v>-0.75405880000000003</v>
      </c>
      <c r="V2448">
        <v>-0.1725497</v>
      </c>
      <c r="W2448">
        <v>0.19025020000000001</v>
      </c>
      <c r="X2448">
        <v>0.96645300000000001</v>
      </c>
      <c r="Y2448">
        <v>-0.25868150000000001</v>
      </c>
      <c r="Z2448">
        <v>-1.0938440000000001E-2</v>
      </c>
      <c r="AA2448">
        <v>0.96590069999999995</v>
      </c>
      <c r="AB2448">
        <v>29</v>
      </c>
      <c r="AC2448">
        <v>-14.381699999999899</v>
      </c>
      <c r="AD2448">
        <v>-1.1136383062849999</v>
      </c>
      <c r="AE2448">
        <v>-3.67310000000003</v>
      </c>
      <c r="AF2448">
        <v>-3.8969861320019601</v>
      </c>
      <c r="AG2448">
        <v>-1.1136383062849999</v>
      </c>
      <c r="AH2448">
        <v>14.2365327142799</v>
      </c>
      <c r="AI2448">
        <v>94.314700492709804</v>
      </c>
      <c r="AJ2448">
        <v>105.30865467220301</v>
      </c>
      <c r="AK2448">
        <v>14.8022145273943</v>
      </c>
      <c r="AL2448">
        <v>79.032613719516505</v>
      </c>
      <c r="AM2448">
        <v>100.122879535685</v>
      </c>
      <c r="AN2448">
        <v>0.99999996938956404</v>
      </c>
    </row>
    <row r="2449" spans="1:40" x14ac:dyDescent="0.25">
      <c r="A2449" t="str">
        <f>"20190312172417836"</f>
        <v>20190312172417836</v>
      </c>
      <c r="B2449" t="str">
        <f>"1552382657832106"</f>
        <v>1552382657832106</v>
      </c>
      <c r="C2449" t="s">
        <v>40</v>
      </c>
      <c r="D2449">
        <v>3.899429</v>
      </c>
      <c r="E2449">
        <v>0.46046029999999999</v>
      </c>
      <c r="F2449" t="s">
        <v>46</v>
      </c>
      <c r="G2449">
        <v>-473.59809999999999</v>
      </c>
      <c r="H2449" s="1">
        <v>4.768701E-6</v>
      </c>
      <c r="I2449">
        <v>281.75909999999999</v>
      </c>
      <c r="J2449">
        <v>-459.66430000000003</v>
      </c>
      <c r="K2449">
        <v>1.1137189999999999</v>
      </c>
      <c r="L2449">
        <v>285.40699999999998</v>
      </c>
      <c r="M2449">
        <v>-0.99981149999999996</v>
      </c>
      <c r="N2449">
        <v>0</v>
      </c>
      <c r="O2449">
        <v>1.319212E-2</v>
      </c>
      <c r="P2449">
        <v>-0.97143009999999996</v>
      </c>
      <c r="Q2449">
        <v>0.17522360000000001</v>
      </c>
      <c r="R2449">
        <v>-0.16006409999999999</v>
      </c>
      <c r="S2449">
        <v>-3.0071409999999998</v>
      </c>
      <c r="T2449">
        <v>-0.2355421</v>
      </c>
      <c r="U2449">
        <v>-0.77142330000000003</v>
      </c>
      <c r="V2449">
        <v>-0.17422019999999999</v>
      </c>
      <c r="W2449">
        <v>0.1877607</v>
      </c>
      <c r="X2449">
        <v>0.96664019999999995</v>
      </c>
      <c r="Y2449">
        <v>-0.26045550000000001</v>
      </c>
      <c r="Z2449">
        <v>-1.1039149999999999E-2</v>
      </c>
      <c r="AA2449">
        <v>0.96542269999999997</v>
      </c>
      <c r="AB2449">
        <v>29</v>
      </c>
      <c r="AC2449">
        <v>-13.9337999999999</v>
      </c>
      <c r="AD2449">
        <v>-1.113714231299</v>
      </c>
      <c r="AE2449">
        <v>-3.6478999999999902</v>
      </c>
      <c r="AF2449">
        <v>-3.8086461986684199</v>
      </c>
      <c r="AG2449">
        <v>-1.113714231299</v>
      </c>
      <c r="AH2449">
        <v>13.801939136366199</v>
      </c>
      <c r="AI2449">
        <v>94.447813645324302</v>
      </c>
      <c r="AJ2449">
        <v>105.426847226552</v>
      </c>
      <c r="AK2449">
        <v>14.361046938840801</v>
      </c>
      <c r="AL2449">
        <v>79.177870223659696</v>
      </c>
      <c r="AM2449">
        <v>100.216889042014</v>
      </c>
      <c r="AN2449">
        <v>1.00000001740428</v>
      </c>
    </row>
    <row r="2450" spans="1:40" x14ac:dyDescent="0.25">
      <c r="A2450" t="str">
        <f>"20190312172417859"</f>
        <v>20190312172417859</v>
      </c>
      <c r="B2450" t="str">
        <f>"1552382657852605"</f>
        <v>1552382657852605</v>
      </c>
      <c r="C2450" t="s">
        <v>40</v>
      </c>
      <c r="D2450">
        <v>3.8675009999999999</v>
      </c>
      <c r="E2450">
        <v>0.46042379999999999</v>
      </c>
      <c r="F2450" t="s">
        <v>46</v>
      </c>
      <c r="G2450">
        <v>-473.34089999999998</v>
      </c>
      <c r="H2450" s="1">
        <v>4.8874239999999998E-6</v>
      </c>
      <c r="I2450">
        <v>281.81220000000002</v>
      </c>
      <c r="J2450">
        <v>-459.94799999999998</v>
      </c>
      <c r="K2450">
        <v>1.1137999999999999</v>
      </c>
      <c r="L2450">
        <v>285.40649999999999</v>
      </c>
      <c r="M2450">
        <v>-0.99985670000000004</v>
      </c>
      <c r="N2450">
        <v>0</v>
      </c>
      <c r="O2450">
        <v>9.1504450000000001E-3</v>
      </c>
      <c r="P2450">
        <v>-0.97088929999999996</v>
      </c>
      <c r="Q2450">
        <v>0.17323520000000001</v>
      </c>
      <c r="R2450">
        <v>-0.16541919999999999</v>
      </c>
      <c r="S2450">
        <v>-3.002319</v>
      </c>
      <c r="T2450">
        <v>-0.24448510000000001</v>
      </c>
      <c r="U2450">
        <v>-0.78915409999999997</v>
      </c>
      <c r="V2450">
        <v>-0.17567169999999999</v>
      </c>
      <c r="W2450">
        <v>0.1857346</v>
      </c>
      <c r="X2450">
        <v>0.96676890000000004</v>
      </c>
      <c r="Y2450">
        <v>-0.26221240000000001</v>
      </c>
      <c r="Z2450">
        <v>-1.1213290000000001E-2</v>
      </c>
      <c r="AA2450">
        <v>0.96494500000000005</v>
      </c>
      <c r="AB2450">
        <v>28</v>
      </c>
      <c r="AC2450">
        <v>-13.3928999999999</v>
      </c>
      <c r="AD2450">
        <v>-1.1137951125759999</v>
      </c>
      <c r="AE2450">
        <v>-3.5942999999999699</v>
      </c>
      <c r="AF2450">
        <v>-3.6928884652093101</v>
      </c>
      <c r="AG2450">
        <v>-1.1137951125759999</v>
      </c>
      <c r="AH2450">
        <v>13.273811189795699</v>
      </c>
      <c r="AI2450">
        <v>94.621686156388506</v>
      </c>
      <c r="AJ2450">
        <v>105.547024678874</v>
      </c>
      <c r="AK2450">
        <v>13.8228806068641</v>
      </c>
      <c r="AL2450">
        <v>79.296035783563497</v>
      </c>
      <c r="AM2450">
        <v>100.298853407522</v>
      </c>
      <c r="AN2450">
        <v>0.99999999691262997</v>
      </c>
    </row>
    <row r="2451" spans="1:40" x14ac:dyDescent="0.25">
      <c r="A2451" t="str">
        <f>"20190312172417880"</f>
        <v>20190312172417880</v>
      </c>
      <c r="B2451" t="str">
        <f>"1552382657872122"</f>
        <v>1552382657872122</v>
      </c>
      <c r="C2451" t="s">
        <v>40</v>
      </c>
      <c r="D2451">
        <v>3.8223739999999999</v>
      </c>
      <c r="E2451">
        <v>0.46040890000000001</v>
      </c>
      <c r="F2451" t="s">
        <v>46</v>
      </c>
      <c r="G2451">
        <v>-473.25459999999998</v>
      </c>
      <c r="H2451" s="1">
        <v>4.9272040000000001E-6</v>
      </c>
      <c r="I2451">
        <v>281.82960000000003</v>
      </c>
      <c r="J2451">
        <v>-460.2278</v>
      </c>
      <c r="K2451">
        <v>1.113874</v>
      </c>
      <c r="L2451">
        <v>285.40469999999999</v>
      </c>
      <c r="M2451">
        <v>-0.99988580000000005</v>
      </c>
      <c r="N2451">
        <v>0</v>
      </c>
      <c r="O2451">
        <v>5.0648170000000001E-3</v>
      </c>
      <c r="P2451">
        <v>-0.97010560000000001</v>
      </c>
      <c r="Q2451">
        <v>0.17259269999999999</v>
      </c>
      <c r="R2451">
        <v>-0.17060829999999999</v>
      </c>
      <c r="S2451">
        <v>-2.9974059999999998</v>
      </c>
      <c r="T2451">
        <v>-0.25089060000000002</v>
      </c>
      <c r="U2451">
        <v>-0.80572509999999997</v>
      </c>
      <c r="V2451">
        <v>-0.1769213</v>
      </c>
      <c r="W2451">
        <v>0.1850552</v>
      </c>
      <c r="X2451">
        <v>0.96667130000000001</v>
      </c>
      <c r="Y2451">
        <v>-0.263604</v>
      </c>
      <c r="Z2451">
        <v>-1.1237779999999999E-2</v>
      </c>
      <c r="AA2451">
        <v>0.96456549999999996</v>
      </c>
      <c r="AB2451">
        <v>28</v>
      </c>
      <c r="AC2451">
        <v>-13.0267999999999</v>
      </c>
      <c r="AD2451">
        <v>-1.1138690727959999</v>
      </c>
      <c r="AE2451">
        <v>-3.57509999999996</v>
      </c>
      <c r="AF2451">
        <v>-3.6164503313337701</v>
      </c>
      <c r="AG2451">
        <v>-1.1138690727959999</v>
      </c>
      <c r="AH2451">
        <v>12.920673991978999</v>
      </c>
      <c r="AI2451">
        <v>94.745681689649999</v>
      </c>
      <c r="AJ2451">
        <v>105.63674280748999</v>
      </c>
      <c r="AK2451">
        <v>13.4634034967885</v>
      </c>
      <c r="AL2451">
        <v>79.335649174818201</v>
      </c>
      <c r="AM2451">
        <v>100.371552116909</v>
      </c>
      <c r="AN2451">
        <v>0.999999987842209</v>
      </c>
    </row>
    <row r="2452" spans="1:40" x14ac:dyDescent="0.25">
      <c r="A2452" t="str">
        <f>"20190312172417895"</f>
        <v>20190312172417895</v>
      </c>
      <c r="B2452" t="str">
        <f>"1552382657892618"</f>
        <v>1552382657892618</v>
      </c>
      <c r="C2452" t="s">
        <v>40</v>
      </c>
      <c r="D2452">
        <v>3.9702869999999999</v>
      </c>
      <c r="E2452">
        <v>0.46047670000000002</v>
      </c>
      <c r="F2452" t="s">
        <v>46</v>
      </c>
      <c r="G2452">
        <v>-473.43430000000001</v>
      </c>
      <c r="H2452" s="1">
        <v>4.842823E-6</v>
      </c>
      <c r="I2452">
        <v>281.7758</v>
      </c>
      <c r="J2452">
        <v>-460.411</v>
      </c>
      <c r="K2452">
        <v>1.1139220000000001</v>
      </c>
      <c r="L2452">
        <v>285.40280000000001</v>
      </c>
      <c r="M2452">
        <v>-0.9998958</v>
      </c>
      <c r="N2452">
        <v>0</v>
      </c>
      <c r="O2452">
        <v>2.3280280000000002E-3</v>
      </c>
      <c r="P2452">
        <v>-0.96962420000000005</v>
      </c>
      <c r="Q2452">
        <v>0.17216579999999901</v>
      </c>
      <c r="R2452">
        <v>-0.17374679999999901</v>
      </c>
      <c r="S2452">
        <v>-2.992737</v>
      </c>
      <c r="T2452">
        <v>-0.2524149</v>
      </c>
      <c r="U2452">
        <v>-0.82235720000000001</v>
      </c>
      <c r="V2452">
        <v>-0.17742279999999999</v>
      </c>
      <c r="W2452">
        <v>0.1846072</v>
      </c>
      <c r="X2452">
        <v>0.96666510000000005</v>
      </c>
      <c r="Y2452">
        <v>-0.26632030000000001</v>
      </c>
      <c r="Z2452">
        <v>-1.1200689999999999E-2</v>
      </c>
      <c r="AA2452">
        <v>0.96381950000000005</v>
      </c>
      <c r="AB2452">
        <v>28</v>
      </c>
      <c r="AC2452">
        <v>-13.023300000000001</v>
      </c>
      <c r="AD2452">
        <v>-1.1139171571769999</v>
      </c>
      <c r="AE2452">
        <v>-3.6269999999999998</v>
      </c>
      <c r="AF2452">
        <v>-3.6326489295564</v>
      </c>
      <c r="AG2452">
        <v>-1.1139171571769999</v>
      </c>
      <c r="AH2452">
        <v>12.927055210996</v>
      </c>
      <c r="AI2452">
        <v>94.742184993224896</v>
      </c>
      <c r="AJ2452">
        <v>105.69596446386301</v>
      </c>
      <c r="AK2452">
        <v>13.4738897912444</v>
      </c>
      <c r="AL2452">
        <v>79.361768281250505</v>
      </c>
      <c r="AM2452">
        <v>100.400375831559</v>
      </c>
      <c r="AN2452">
        <v>1.00000004190484</v>
      </c>
    </row>
    <row r="2453" spans="1:40" x14ac:dyDescent="0.25">
      <c r="A2453" t="str">
        <f>"20190312172417914"</f>
        <v>20190312172417914</v>
      </c>
      <c r="B2453" t="str">
        <f>"1552382657902378"</f>
        <v>1552382657902378</v>
      </c>
      <c r="C2453" t="s">
        <v>40</v>
      </c>
      <c r="D2453">
        <v>3.9106779999999999</v>
      </c>
      <c r="E2453">
        <v>0.46049040000000002</v>
      </c>
      <c r="F2453" t="s">
        <v>46</v>
      </c>
      <c r="G2453">
        <v>-473.52690000000001</v>
      </c>
      <c r="H2453" s="1">
        <v>4.7997890000000001E-6</v>
      </c>
      <c r="I2453">
        <v>281.75310000000002</v>
      </c>
      <c r="J2453">
        <v>-460.63929999999999</v>
      </c>
      <c r="K2453">
        <v>1.1139859999999999</v>
      </c>
      <c r="L2453">
        <v>285.3997</v>
      </c>
      <c r="M2453">
        <v>-0.99989779999999995</v>
      </c>
      <c r="N2453">
        <v>0</v>
      </c>
      <c r="O2453">
        <v>-1.1293589999999999E-3</v>
      </c>
      <c r="P2453">
        <v>-0.96882500000000005</v>
      </c>
      <c r="Q2453">
        <v>0.1722823</v>
      </c>
      <c r="R2453">
        <v>-0.17803729999999901</v>
      </c>
      <c r="S2453">
        <v>-2.9899900000000001</v>
      </c>
      <c r="T2453">
        <v>-0.25393719999999997</v>
      </c>
      <c r="U2453">
        <v>-0.83200069999999904</v>
      </c>
      <c r="V2453">
        <v>-0.17838679999999901</v>
      </c>
      <c r="W2453">
        <v>0.18469289999999999</v>
      </c>
      <c r="X2453">
        <v>0.96647130000000003</v>
      </c>
      <c r="Y2453">
        <v>-0.26610329999999999</v>
      </c>
      <c r="Z2453">
        <v>-1.097649E-2</v>
      </c>
      <c r="AA2453">
        <v>0.96388200000000002</v>
      </c>
      <c r="AB2453">
        <v>28</v>
      </c>
      <c r="AC2453">
        <v>-12.887600000000001</v>
      </c>
      <c r="AD2453">
        <v>-1.1139812002109899</v>
      </c>
      <c r="AE2453">
        <v>-3.6465999999999701</v>
      </c>
      <c r="AF2453">
        <v>-3.6070886658107102</v>
      </c>
      <c r="AG2453">
        <v>-1.1139812002109899</v>
      </c>
      <c r="AH2453">
        <v>12.8031420610293</v>
      </c>
      <c r="AI2453">
        <v>94.7872443914857</v>
      </c>
      <c r="AJ2453">
        <v>105.73436712658101</v>
      </c>
      <c r="AK2453">
        <v>13.3481268121164</v>
      </c>
      <c r="AL2453">
        <v>79.356772161976295</v>
      </c>
      <c r="AM2453">
        <v>100.45769210028401</v>
      </c>
      <c r="AN2453">
        <v>1.00000004572416</v>
      </c>
    </row>
    <row r="2454" spans="1:40" x14ac:dyDescent="0.25">
      <c r="A2454" t="str">
        <f>"20190312172417940"</f>
        <v>20190312172417940</v>
      </c>
      <c r="B2454" t="str">
        <f>"1552382657932634"</f>
        <v>1552382657932634</v>
      </c>
      <c r="C2454" t="s">
        <v>40</v>
      </c>
      <c r="D2454">
        <v>3.7992309999999998</v>
      </c>
      <c r="E2454">
        <v>0.46046510000000002</v>
      </c>
      <c r="F2454" t="s">
        <v>46</v>
      </c>
      <c r="G2454">
        <v>-473.75720000000001</v>
      </c>
      <c r="H2454" s="1">
        <v>4.6918050000000001E-6</v>
      </c>
      <c r="I2454">
        <v>281.68630000000002</v>
      </c>
      <c r="J2454">
        <v>-460.96699999999998</v>
      </c>
      <c r="K2454">
        <v>1.114074</v>
      </c>
      <c r="L2454">
        <v>285.3938</v>
      </c>
      <c r="M2454">
        <v>-0.99987919999999997</v>
      </c>
      <c r="N2454">
        <v>0</v>
      </c>
      <c r="O2454">
        <v>-6.1883919999999896E-3</v>
      </c>
      <c r="P2454">
        <v>-0.96754850000000003</v>
      </c>
      <c r="Q2454">
        <v>0.17230200000000001</v>
      </c>
      <c r="R2454">
        <v>-0.18482989999999999</v>
      </c>
      <c r="S2454">
        <v>-2.9862980000000001</v>
      </c>
      <c r="T2454">
        <v>-0.2535982</v>
      </c>
      <c r="U2454">
        <v>-0.84533689999999995</v>
      </c>
      <c r="V2454">
        <v>-0.18031710000000001</v>
      </c>
      <c r="W2454">
        <v>0.18466340000000001</v>
      </c>
      <c r="X2454">
        <v>0.96611860000000005</v>
      </c>
      <c r="Y2454">
        <v>-0.26554549999999999</v>
      </c>
      <c r="Z2454">
        <v>-1.052468E-2</v>
      </c>
      <c r="AA2454">
        <v>0.96404089999999998</v>
      </c>
      <c r="AB2454">
        <v>28</v>
      </c>
      <c r="AC2454">
        <v>-12.7902</v>
      </c>
      <c r="AD2454">
        <v>-1.1140693081949999</v>
      </c>
      <c r="AE2454">
        <v>-3.70749999999998</v>
      </c>
      <c r="AF2454">
        <v>-3.60305272736852</v>
      </c>
      <c r="AG2454">
        <v>-1.1140693081949999</v>
      </c>
      <c r="AH2454">
        <v>12.7238477479798</v>
      </c>
      <c r="AI2454">
        <v>94.815513563457401</v>
      </c>
      <c r="AJ2454">
        <v>105.81070062261701</v>
      </c>
      <c r="AK2454">
        <v>13.2709999959849</v>
      </c>
      <c r="AL2454">
        <v>79.358491354294998</v>
      </c>
      <c r="AM2454">
        <v>100.572088489783</v>
      </c>
      <c r="AN2454">
        <v>0.99999998855896499</v>
      </c>
    </row>
    <row r="2455" spans="1:40" x14ac:dyDescent="0.25">
      <c r="A2455" t="str">
        <f>"20190312172417958"</f>
        <v>20190312172417958</v>
      </c>
      <c r="B2455" t="str">
        <f>"1552382657952154"</f>
        <v>1552382657952154</v>
      </c>
      <c r="C2455" t="s">
        <v>40</v>
      </c>
      <c r="D2455">
        <v>3.8176709999999998</v>
      </c>
      <c r="E2455">
        <v>0.46045160000000002</v>
      </c>
      <c r="F2455" t="s">
        <v>46</v>
      </c>
      <c r="G2455">
        <v>-474.01710000000003</v>
      </c>
      <c r="H2455" s="1">
        <v>4.5690169999999996E-6</v>
      </c>
      <c r="I2455">
        <v>281.60000000000002</v>
      </c>
      <c r="J2455">
        <v>-461.21030000000002</v>
      </c>
      <c r="K2455">
        <v>1.1141239999999999</v>
      </c>
      <c r="L2455">
        <v>285.38819999999998</v>
      </c>
      <c r="M2455">
        <v>-0.99984819999999996</v>
      </c>
      <c r="N2455">
        <v>0</v>
      </c>
      <c r="O2455">
        <v>-1.0021199999999999E-2</v>
      </c>
      <c r="P2455">
        <v>-0.96668270000000001</v>
      </c>
      <c r="Q2455">
        <v>0.1723181</v>
      </c>
      <c r="R2455">
        <v>-0.18929090000000001</v>
      </c>
      <c r="S2455">
        <v>-2.9803769999999998</v>
      </c>
      <c r="T2455">
        <v>-0.25443120000000002</v>
      </c>
      <c r="U2455">
        <v>-0.86642459999999899</v>
      </c>
      <c r="V2455">
        <v>-0.18109539999999999</v>
      </c>
      <c r="W2455">
        <v>0.18465210000000001</v>
      </c>
      <c r="X2455">
        <v>0.96597520000000003</v>
      </c>
      <c r="Y2455">
        <v>-0.26864829999999901</v>
      </c>
      <c r="Z2455">
        <v>-1.037886E-2</v>
      </c>
      <c r="AA2455">
        <v>0.96318239999999999</v>
      </c>
      <c r="AB2455">
        <v>28</v>
      </c>
      <c r="AC2455">
        <v>-12.806800000000001</v>
      </c>
      <c r="AD2455">
        <v>-1.11411943098299</v>
      </c>
      <c r="AE2455">
        <v>-3.7881999999999598</v>
      </c>
      <c r="AF2455">
        <v>-3.6343651851508199</v>
      </c>
      <c r="AG2455">
        <v>-1.11411943098299</v>
      </c>
      <c r="AH2455">
        <v>12.7553567921845</v>
      </c>
      <c r="AI2455">
        <v>94.801683301972901</v>
      </c>
      <c r="AJ2455">
        <v>105.903765071904</v>
      </c>
      <c r="AK2455">
        <v>13.309733254331499</v>
      </c>
      <c r="AL2455">
        <v>79.359150404561902</v>
      </c>
      <c r="AM2455">
        <v>100.618225647222</v>
      </c>
      <c r="AN2455">
        <v>1.0000000144753001</v>
      </c>
    </row>
    <row r="2456" spans="1:40" x14ac:dyDescent="0.25">
      <c r="A2456" t="str">
        <f>"20190312172418070"</f>
        <v>20190312172418070</v>
      </c>
      <c r="B2456" t="str">
        <f>"1552382658062442"</f>
        <v>1552382658062442</v>
      </c>
      <c r="C2456" t="s">
        <v>40</v>
      </c>
      <c r="D2456">
        <v>2.9466619999999999</v>
      </c>
      <c r="E2456">
        <v>0.45798729999999999</v>
      </c>
      <c r="F2456" t="s">
        <v>46</v>
      </c>
      <c r="G2456">
        <v>-474.24740000000003</v>
      </c>
      <c r="H2456" s="1">
        <v>4.4608370000000001E-6</v>
      </c>
      <c r="I2456">
        <v>281.53109999999998</v>
      </c>
      <c r="J2456">
        <v>-462.60039999999998</v>
      </c>
      <c r="K2456">
        <v>1.1142879999999999</v>
      </c>
      <c r="L2456">
        <v>285.33659999999998</v>
      </c>
      <c r="M2456">
        <v>-0.99935189999999996</v>
      </c>
      <c r="N2456">
        <v>0</v>
      </c>
      <c r="O2456">
        <v>-3.3046239999999998E-2</v>
      </c>
      <c r="P2456">
        <v>-0.96296040000000005</v>
      </c>
      <c r="Q2456">
        <v>0.16522510000000001</v>
      </c>
      <c r="R2456">
        <v>-0.21309259999999999</v>
      </c>
      <c r="S2456">
        <v>-2.976318</v>
      </c>
      <c r="T2456">
        <v>-0.25434790000000002</v>
      </c>
      <c r="U2456">
        <v>-0.88055419999999995</v>
      </c>
      <c r="V2456">
        <v>-0.18269820000000001</v>
      </c>
      <c r="W2456">
        <v>0.17746870000000001</v>
      </c>
      <c r="X2456">
        <v>0.96701930000000003</v>
      </c>
      <c r="Y2456">
        <v>-0.25112210000000001</v>
      </c>
      <c r="Z2456">
        <v>-7.7304000000000001E-3</v>
      </c>
      <c r="AA2456">
        <v>0.96792449999999997</v>
      </c>
      <c r="AB2456">
        <v>28</v>
      </c>
      <c r="AC2456">
        <v>-11.647</v>
      </c>
      <c r="AD2456">
        <v>-1.1142835391629999</v>
      </c>
      <c r="AE2456">
        <v>-3.8054999999999901</v>
      </c>
      <c r="AF2456">
        <v>-3.3904529268985502</v>
      </c>
      <c r="AG2456">
        <v>-1.1142835391629999</v>
      </c>
      <c r="AH2456">
        <v>11.6698963819728</v>
      </c>
      <c r="AI2456">
        <v>95.238927426025995</v>
      </c>
      <c r="AJ2456">
        <v>106.20015671059799</v>
      </c>
      <c r="AK2456">
        <v>12.2034126547104</v>
      </c>
      <c r="AL2456">
        <v>79.777647185419198</v>
      </c>
      <c r="AM2456">
        <v>100.698741796313</v>
      </c>
      <c r="AN2456">
        <v>1.0000000491676999</v>
      </c>
    </row>
    <row r="2457" spans="1:40" x14ac:dyDescent="0.25">
      <c r="A2457" t="str">
        <f>"20190312172418092"</f>
        <v>20190312172418092</v>
      </c>
      <c r="B2457" t="str">
        <f>"1552382658082938"</f>
        <v>1552382658082938</v>
      </c>
      <c r="C2457" t="s">
        <v>40</v>
      </c>
      <c r="D2457">
        <v>4.3248509999999998</v>
      </c>
      <c r="E2457">
        <v>0.45479779999999997</v>
      </c>
      <c r="F2457" t="s">
        <v>47</v>
      </c>
      <c r="G2457">
        <v>-466.923</v>
      </c>
      <c r="H2457" s="1">
        <v>2.1770990000000001E-6</v>
      </c>
      <c r="I2457">
        <v>283.93470000000002</v>
      </c>
      <c r="J2457">
        <v>-462.87619999999998</v>
      </c>
      <c r="K2457">
        <v>1.114325</v>
      </c>
      <c r="L2457">
        <v>285.32240000000002</v>
      </c>
      <c r="M2457">
        <v>-0.99918260000000003</v>
      </c>
      <c r="N2457">
        <v>0</v>
      </c>
      <c r="O2457">
        <v>-3.781959E-2</v>
      </c>
      <c r="P2457">
        <v>-0.96220059999999996</v>
      </c>
      <c r="Q2457">
        <v>0.1635345</v>
      </c>
      <c r="R2457">
        <v>-0.21777679999999999</v>
      </c>
      <c r="S2457">
        <v>-3.0318299999999998</v>
      </c>
      <c r="T2457">
        <v>-0.78153819999999996</v>
      </c>
      <c r="U2457">
        <v>-0.98327640000000005</v>
      </c>
      <c r="V2457">
        <v>-0.18277760000000001</v>
      </c>
      <c r="W2457">
        <v>0.17576539999999999</v>
      </c>
      <c r="X2457">
        <v>0.96731529999999999</v>
      </c>
      <c r="Y2457">
        <v>-0.26557340000000002</v>
      </c>
      <c r="Z2457">
        <v>-2.3525999999999998E-2</v>
      </c>
      <c r="AA2457">
        <v>0.96380359999999998</v>
      </c>
      <c r="AB2457">
        <v>28</v>
      </c>
      <c r="AC2457">
        <v>-4.0468000000000099</v>
      </c>
      <c r="AD2457">
        <v>-1.114322822901</v>
      </c>
      <c r="AE2457">
        <v>-1.3876999999999899</v>
      </c>
      <c r="AF2457">
        <v>-1.15526445254246</v>
      </c>
      <c r="AG2457">
        <v>-1.114322822901</v>
      </c>
      <c r="AH2457">
        <v>3.8361304830881999</v>
      </c>
      <c r="AI2457">
        <v>105.543473249006</v>
      </c>
      <c r="AJ2457">
        <v>106.759863154698</v>
      </c>
      <c r="AK2457">
        <v>4.1583949298046301</v>
      </c>
      <c r="AL2457">
        <v>79.876797359152903</v>
      </c>
      <c r="AM2457">
        <v>100.700084446234</v>
      </c>
      <c r="AN2457">
        <v>1.0000000082564999</v>
      </c>
    </row>
    <row r="2458" spans="1:40" x14ac:dyDescent="0.25">
      <c r="A2458" t="str">
        <f>"20190312172418115"</f>
        <v>20190312172418115</v>
      </c>
      <c r="B2458" t="str">
        <f>"1552382658112218"</f>
        <v>1552382658112218</v>
      </c>
      <c r="C2458" t="s">
        <v>40</v>
      </c>
      <c r="D2458">
        <v>3.9079100000000002</v>
      </c>
      <c r="E2458">
        <v>0.45429829999999999</v>
      </c>
      <c r="F2458" t="s">
        <v>47</v>
      </c>
      <c r="G2458">
        <v>-467.8904</v>
      </c>
      <c r="H2458" s="1">
        <v>2.705961E-6</v>
      </c>
      <c r="I2458">
        <v>283.61290000000002</v>
      </c>
      <c r="J2458">
        <v>-463.15230000000003</v>
      </c>
      <c r="K2458">
        <v>1.114371</v>
      </c>
      <c r="L2458">
        <v>285.30669999999998</v>
      </c>
      <c r="M2458">
        <v>-0.99898739999999997</v>
      </c>
      <c r="N2458">
        <v>0</v>
      </c>
      <c r="O2458">
        <v>-4.2664670000000002E-2</v>
      </c>
      <c r="P2458">
        <v>-0.96121880000000004</v>
      </c>
      <c r="Q2458">
        <v>0.1626938</v>
      </c>
      <c r="R2458">
        <v>-0.22268740000000001</v>
      </c>
      <c r="S2458">
        <v>-2.999695</v>
      </c>
      <c r="T2458">
        <v>-0.66662730000000003</v>
      </c>
      <c r="U2458">
        <v>-1.0226440000000001</v>
      </c>
      <c r="V2458">
        <v>-0.183032</v>
      </c>
      <c r="W2458">
        <v>0.1749068</v>
      </c>
      <c r="X2458">
        <v>0.96742280000000003</v>
      </c>
      <c r="Y2458">
        <v>-0.27689209999999997</v>
      </c>
      <c r="Z2458">
        <v>-2.0487640000000001E-2</v>
      </c>
      <c r="AA2458">
        <v>0.96068260000000005</v>
      </c>
      <c r="AB2458">
        <v>28</v>
      </c>
      <c r="AC2458">
        <v>-4.73809999999997</v>
      </c>
      <c r="AD2458">
        <v>-1.1143682940390001</v>
      </c>
      <c r="AE2458">
        <v>-1.69379999999995</v>
      </c>
      <c r="AF2458">
        <v>-1.4204190191769099</v>
      </c>
      <c r="AG2458">
        <v>-1.1143682940390001</v>
      </c>
      <c r="AH2458">
        <v>4.5813527958086597</v>
      </c>
      <c r="AI2458">
        <v>103.079470625958</v>
      </c>
      <c r="AJ2458">
        <v>107.22571416147601</v>
      </c>
      <c r="AK2458">
        <v>4.9242461681421599</v>
      </c>
      <c r="AL2458">
        <v>79.926765385031104</v>
      </c>
      <c r="AM2458">
        <v>100.713469802886</v>
      </c>
      <c r="AN2458">
        <v>0.99999998783503996</v>
      </c>
    </row>
    <row r="2459" spans="1:40" x14ac:dyDescent="0.25">
      <c r="A2459" t="str">
        <f>"20190312172418138"</f>
        <v>20190312172418138</v>
      </c>
      <c r="B2459" t="str">
        <f>"1552382658132717"</f>
        <v>1552382658132717</v>
      </c>
      <c r="C2459" t="s">
        <v>40</v>
      </c>
      <c r="D2459">
        <v>4.0185320000000004</v>
      </c>
      <c r="E2459">
        <v>0.45410240000000002</v>
      </c>
      <c r="F2459" t="s">
        <v>47</v>
      </c>
      <c r="G2459">
        <v>-469.62909999999999</v>
      </c>
      <c r="H2459" s="1">
        <v>3.6564030000000001E-6</v>
      </c>
      <c r="I2459">
        <v>283.03579999999999</v>
      </c>
      <c r="J2459">
        <v>-463.43740000000003</v>
      </c>
      <c r="K2459">
        <v>1.1144369999999999</v>
      </c>
      <c r="L2459">
        <v>285.28899999999999</v>
      </c>
      <c r="M2459">
        <v>-0.99875769999999997</v>
      </c>
      <c r="N2459">
        <v>0</v>
      </c>
      <c r="O2459">
        <v>-4.774072E-2</v>
      </c>
      <c r="P2459">
        <v>-0.9600902</v>
      </c>
      <c r="Q2459">
        <v>0.1627894</v>
      </c>
      <c r="R2459">
        <v>-0.227435</v>
      </c>
      <c r="S2459">
        <v>-2.9664609999999998</v>
      </c>
      <c r="T2459">
        <v>-0.51039489999999998</v>
      </c>
      <c r="U2459">
        <v>-1.0401</v>
      </c>
      <c r="V2459">
        <v>-0.1829182</v>
      </c>
      <c r="W2459">
        <v>0.17498569999999999</v>
      </c>
      <c r="X2459">
        <v>0.96743009999999996</v>
      </c>
      <c r="Y2459">
        <v>-0.28237760000000001</v>
      </c>
      <c r="Z2459">
        <v>-1.5525219999999999E-2</v>
      </c>
      <c r="AA2459">
        <v>0.95917770000000002</v>
      </c>
      <c r="AB2459">
        <v>28</v>
      </c>
      <c r="AC2459">
        <v>-6.19169999999996</v>
      </c>
      <c r="AD2459">
        <v>-1.114433343597</v>
      </c>
      <c r="AE2459">
        <v>-2.2531999999999899</v>
      </c>
      <c r="AF2459">
        <v>-1.9006318743841999</v>
      </c>
      <c r="AG2459">
        <v>-1.114433343597</v>
      </c>
      <c r="AH2459">
        <v>6.1172213425492696</v>
      </c>
      <c r="AI2459">
        <v>99.8692900502719</v>
      </c>
      <c r="AJ2459">
        <v>107.260115319951</v>
      </c>
      <c r="AK2459">
        <v>6.5019043481880203</v>
      </c>
      <c r="AL2459">
        <v>79.922174375528897</v>
      </c>
      <c r="AM2459">
        <v>100.706883828683</v>
      </c>
      <c r="AN2459">
        <v>1.0000000307408601</v>
      </c>
    </row>
    <row r="2460" spans="1:40" x14ac:dyDescent="0.25">
      <c r="A2460" t="str">
        <f>"20190312172418160"</f>
        <v>20190312172418160</v>
      </c>
      <c r="B2460" t="str">
        <f>"1552382658152237"</f>
        <v>1552382658152237</v>
      </c>
      <c r="C2460" t="s">
        <v>40</v>
      </c>
      <c r="D2460">
        <v>4.0301559999999998</v>
      </c>
      <c r="E2460">
        <v>0.45394430000000002</v>
      </c>
      <c r="F2460" t="s">
        <v>46</v>
      </c>
      <c r="G2460">
        <v>-470.9051</v>
      </c>
      <c r="H2460" s="1">
        <v>6.0377900000000002E-6</v>
      </c>
      <c r="I2460">
        <v>282.61540000000002</v>
      </c>
      <c r="J2460">
        <v>-463.7088</v>
      </c>
      <c r="K2460">
        <v>1.114484</v>
      </c>
      <c r="L2460">
        <v>285.27069999999998</v>
      </c>
      <c r="M2460">
        <v>-0.99851140000000005</v>
      </c>
      <c r="N2460">
        <v>0</v>
      </c>
      <c r="O2460">
        <v>-5.2640180000000002E-2</v>
      </c>
      <c r="P2460">
        <v>-0.95881970000000005</v>
      </c>
      <c r="Q2460">
        <v>0.16360350000000001</v>
      </c>
      <c r="R2460">
        <v>-0.23216059999999999</v>
      </c>
      <c r="S2460">
        <v>-2.9491580000000002</v>
      </c>
      <c r="T2460">
        <v>-0.44010969999999999</v>
      </c>
      <c r="U2460">
        <v>-1.0558780000000001</v>
      </c>
      <c r="V2460">
        <v>-0.1829703</v>
      </c>
      <c r="W2460">
        <v>0.175780399999999</v>
      </c>
      <c r="X2460">
        <v>0.96727609999999997</v>
      </c>
      <c r="Y2460">
        <v>-0.28477279999999999</v>
      </c>
      <c r="Z2460">
        <v>-1.294298E-2</v>
      </c>
      <c r="AA2460">
        <v>0.95850769999999996</v>
      </c>
      <c r="AB2460">
        <v>28</v>
      </c>
      <c r="AC2460">
        <v>-7.1962999999999999</v>
      </c>
      <c r="AD2460">
        <v>-1.1144779622100001</v>
      </c>
      <c r="AE2460">
        <v>-2.6552999999999498</v>
      </c>
      <c r="AF2460">
        <v>-2.2257782673535398</v>
      </c>
      <c r="AG2460">
        <v>-1.1144779622100001</v>
      </c>
      <c r="AH2460">
        <v>7.17465285608806</v>
      </c>
      <c r="AI2460">
        <v>98.438858916760097</v>
      </c>
      <c r="AJ2460">
        <v>107.23535397529</v>
      </c>
      <c r="AK2460">
        <v>7.5941947320994903</v>
      </c>
      <c r="AL2460">
        <v>79.875923904577903</v>
      </c>
      <c r="AM2460">
        <v>100.711528571383</v>
      </c>
      <c r="AN2460">
        <v>0.99999996666872903</v>
      </c>
    </row>
    <row r="2461" spans="1:40" x14ac:dyDescent="0.25">
      <c r="A2461" t="str">
        <f>"20190312172418182"</f>
        <v>20190312172418182</v>
      </c>
      <c r="B2461" t="str">
        <f>"1552382658172730"</f>
        <v>1552382658172730</v>
      </c>
      <c r="C2461" t="s">
        <v>40</v>
      </c>
      <c r="D2461">
        <v>3.9377719999999998</v>
      </c>
      <c r="E2461">
        <v>0.45454889999999998</v>
      </c>
      <c r="F2461" t="s">
        <v>46</v>
      </c>
      <c r="G2461">
        <v>-472.03820000000002</v>
      </c>
      <c r="H2461" s="1">
        <v>5.501469E-6</v>
      </c>
      <c r="I2461">
        <v>282.22789999999998</v>
      </c>
      <c r="J2461">
        <v>-463.97890000000001</v>
      </c>
      <c r="K2461">
        <v>1.114522</v>
      </c>
      <c r="L2461">
        <v>285.25119999999998</v>
      </c>
      <c r="M2461">
        <v>-0.99823839999999997</v>
      </c>
      <c r="N2461">
        <v>0</v>
      </c>
      <c r="O2461">
        <v>-5.7586900000000003E-2</v>
      </c>
      <c r="P2461">
        <v>-0.95761989999999997</v>
      </c>
      <c r="Q2461">
        <v>0.1636859</v>
      </c>
      <c r="R2461">
        <v>-0.23700599999999999</v>
      </c>
      <c r="S2461">
        <v>-2.9361570000000001</v>
      </c>
      <c r="T2461">
        <v>-0.39286100000000002</v>
      </c>
      <c r="U2461">
        <v>-1.0726009999999999</v>
      </c>
      <c r="V2461">
        <v>-0.1830881</v>
      </c>
      <c r="W2461">
        <v>0.1758448</v>
      </c>
      <c r="X2461">
        <v>0.96724209999999999</v>
      </c>
      <c r="Y2461">
        <v>-0.286670599999999</v>
      </c>
      <c r="Z2461">
        <v>-1.1090249999999999E-2</v>
      </c>
      <c r="AA2461">
        <v>0.95796499999999996</v>
      </c>
      <c r="AB2461">
        <v>28</v>
      </c>
      <c r="AC2461">
        <v>-8.0593000000000004</v>
      </c>
      <c r="AD2461">
        <v>-1.1145164985310001</v>
      </c>
      <c r="AE2461">
        <v>-3.0232999999999999</v>
      </c>
      <c r="AF2461">
        <v>-2.5120110790571601</v>
      </c>
      <c r="AG2461">
        <v>-1.1145164985310001</v>
      </c>
      <c r="AH2461">
        <v>8.0845080773900495</v>
      </c>
      <c r="AI2461">
        <v>97.499834418384907</v>
      </c>
      <c r="AJ2461">
        <v>107.26101766093301</v>
      </c>
      <c r="AK2461">
        <v>8.5388299866075705</v>
      </c>
      <c r="AL2461">
        <v>79.872175635252404</v>
      </c>
      <c r="AM2461">
        <v>100.718633187303</v>
      </c>
      <c r="AN2461">
        <v>0.99999996303052896</v>
      </c>
    </row>
    <row r="2462" spans="1:40" x14ac:dyDescent="0.25">
      <c r="A2462" t="str">
        <f>"20190312172418203"</f>
        <v>20190312172418203</v>
      </c>
      <c r="B2462" t="str">
        <f>"1552382658192254"</f>
        <v>1552382658192254</v>
      </c>
      <c r="C2462" t="s">
        <v>40</v>
      </c>
      <c r="D2462">
        <v>3.8713090000000001</v>
      </c>
      <c r="E2462">
        <v>0.45531169999999999</v>
      </c>
      <c r="F2462" t="s">
        <v>46</v>
      </c>
      <c r="G2462">
        <v>-472.91800000000001</v>
      </c>
      <c r="H2462" s="1">
        <v>5.086463E-6</v>
      </c>
      <c r="I2462">
        <v>281.94389999999999</v>
      </c>
      <c r="J2462">
        <v>-464.25630000000001</v>
      </c>
      <c r="K2462">
        <v>1.114547</v>
      </c>
      <c r="L2462">
        <v>285.22949999999997</v>
      </c>
      <c r="M2462">
        <v>-0.99792749999999997</v>
      </c>
      <c r="N2462">
        <v>0</v>
      </c>
      <c r="O2462">
        <v>-6.2742370000000006E-2</v>
      </c>
      <c r="P2462">
        <v>-0.95638190000000001</v>
      </c>
      <c r="Q2462">
        <v>0.16328679999999901</v>
      </c>
      <c r="R2462">
        <v>-0.24222160000000001</v>
      </c>
      <c r="S2462">
        <v>-2.9270939999999999</v>
      </c>
      <c r="T2462">
        <v>-0.36494739999999998</v>
      </c>
      <c r="U2462">
        <v>-1.0829470000000001</v>
      </c>
      <c r="V2462">
        <v>-0.1833746</v>
      </c>
      <c r="W2462">
        <v>0.175427</v>
      </c>
      <c r="X2462">
        <v>0.96726380000000001</v>
      </c>
      <c r="Y2462">
        <v>-0.28594059999999999</v>
      </c>
      <c r="Z2462">
        <v>-9.6721020000000001E-3</v>
      </c>
      <c r="AA2462">
        <v>0.95819849999999995</v>
      </c>
      <c r="AB2462">
        <v>28</v>
      </c>
      <c r="AC2462">
        <v>-8.6616999999999909</v>
      </c>
      <c r="AD2462">
        <v>-1.1145419135370001</v>
      </c>
      <c r="AE2462">
        <v>-3.2855999999999801</v>
      </c>
      <c r="AF2462">
        <v>-2.6965825390084301</v>
      </c>
      <c r="AG2462">
        <v>-1.1145419135370001</v>
      </c>
      <c r="AH2462">
        <v>8.7245153324854794</v>
      </c>
      <c r="AI2462">
        <v>96.958612770516993</v>
      </c>
      <c r="AJ2462">
        <v>107.175389066036</v>
      </c>
      <c r="AK2462">
        <v>9.1995069896973405</v>
      </c>
      <c r="AL2462">
        <v>79.896492869949199</v>
      </c>
      <c r="AM2462">
        <v>100.734781196258</v>
      </c>
      <c r="AN2462">
        <v>1.00000006752229</v>
      </c>
    </row>
    <row r="2463" spans="1:40" x14ac:dyDescent="0.25">
      <c r="A2463" t="str">
        <f>"20190312172418227"</f>
        <v>20190312172418227</v>
      </c>
      <c r="B2463" t="str">
        <f>"1552382658222506"</f>
        <v>1552382658222506</v>
      </c>
      <c r="C2463" t="s">
        <v>40</v>
      </c>
      <c r="D2463">
        <v>3.8809450000000001</v>
      </c>
      <c r="E2463">
        <v>0.45636480000000001</v>
      </c>
      <c r="F2463" t="s">
        <v>46</v>
      </c>
      <c r="G2463">
        <v>-473.5926</v>
      </c>
      <c r="H2463" s="1">
        <v>4.7691340000000003E-6</v>
      </c>
      <c r="I2463">
        <v>281.73590000000002</v>
      </c>
      <c r="J2463">
        <v>-464.53489999999999</v>
      </c>
      <c r="K2463">
        <v>1.1145609999999999</v>
      </c>
      <c r="L2463">
        <v>285.20620000000002</v>
      </c>
      <c r="M2463">
        <v>-0.99758440000000004</v>
      </c>
      <c r="N2463">
        <v>0</v>
      </c>
      <c r="O2463">
        <v>-6.7978350000000007E-2</v>
      </c>
      <c r="P2463">
        <v>-0.955094</v>
      </c>
      <c r="Q2463">
        <v>0.16283789999999901</v>
      </c>
      <c r="R2463">
        <v>-0.24754689999999999</v>
      </c>
      <c r="S2463">
        <v>-2.9196469999999999</v>
      </c>
      <c r="T2463">
        <v>-0.34854170000000001</v>
      </c>
      <c r="U2463">
        <v>-1.0925290000000001</v>
      </c>
      <c r="V2463">
        <v>-0.18369489999999999</v>
      </c>
      <c r="W2463">
        <v>0.17496220000000001</v>
      </c>
      <c r="X2463">
        <v>0.96728709999999996</v>
      </c>
      <c r="Y2463">
        <v>-0.28463949999999999</v>
      </c>
      <c r="Z2463">
        <v>-8.5841379999999998E-3</v>
      </c>
      <c r="AA2463">
        <v>0.95859620000000001</v>
      </c>
      <c r="AB2463">
        <v>28</v>
      </c>
      <c r="AC2463">
        <v>-9.0577000000000094</v>
      </c>
      <c r="AD2463">
        <v>-1.114556230866</v>
      </c>
      <c r="AE2463">
        <v>-3.4702999999999999</v>
      </c>
      <c r="AF2463">
        <v>-2.8093871289700498</v>
      </c>
      <c r="AG2463">
        <v>-1.114556230866</v>
      </c>
      <c r="AH2463">
        <v>9.1518379027967107</v>
      </c>
      <c r="AI2463">
        <v>96.640648381660995</v>
      </c>
      <c r="AJ2463">
        <v>107.065186844357</v>
      </c>
      <c r="AK2463">
        <v>9.6379992027002803</v>
      </c>
      <c r="AL2463">
        <v>79.923541210966803</v>
      </c>
      <c r="AM2463">
        <v>100.752841798996</v>
      </c>
      <c r="AN2463">
        <v>0.99999996077062903</v>
      </c>
    </row>
    <row r="2464" spans="1:40" x14ac:dyDescent="0.25">
      <c r="A2464" t="str">
        <f>"20190312172418249"</f>
        <v>20190312172418249</v>
      </c>
      <c r="B2464" t="str">
        <f>"1552382658243002"</f>
        <v>1552382658243002</v>
      </c>
      <c r="C2464" t="s">
        <v>40</v>
      </c>
      <c r="D2464">
        <v>4.009544</v>
      </c>
      <c r="E2464">
        <v>0.45690550000000002</v>
      </c>
      <c r="F2464" t="s">
        <v>46</v>
      </c>
      <c r="G2464">
        <v>-474.28140000000002</v>
      </c>
      <c r="H2464" s="1">
        <v>4.4451029999999999E-6</v>
      </c>
      <c r="I2464">
        <v>281.52370000000002</v>
      </c>
      <c r="J2464">
        <v>-464.8116</v>
      </c>
      <c r="K2464">
        <v>1.114582</v>
      </c>
      <c r="L2464">
        <v>285.18150000000003</v>
      </c>
      <c r="M2464">
        <v>-0.99721190000000004</v>
      </c>
      <c r="N2464">
        <v>0</v>
      </c>
      <c r="O2464">
        <v>-7.3241550000000002E-2</v>
      </c>
      <c r="P2464">
        <v>-0.95375620000000005</v>
      </c>
      <c r="Q2464">
        <v>0.1625781</v>
      </c>
      <c r="R2464">
        <v>-0.25281949999999997</v>
      </c>
      <c r="S2464">
        <v>-2.912598</v>
      </c>
      <c r="T2464">
        <v>-0.3330669</v>
      </c>
      <c r="U2464">
        <v>-1.1004640000000001</v>
      </c>
      <c r="V2464">
        <v>-0.18394340000000001</v>
      </c>
      <c r="W2464">
        <v>0.1746866</v>
      </c>
      <c r="X2464">
        <v>0.96728970000000003</v>
      </c>
      <c r="Y2464">
        <v>-0.28278389999999998</v>
      </c>
      <c r="Z2464">
        <v>-7.54259099999999E-3</v>
      </c>
      <c r="AA2464">
        <v>0.95915399999999995</v>
      </c>
      <c r="AB2464">
        <v>28</v>
      </c>
      <c r="AC2464">
        <v>-9.46980000000001</v>
      </c>
      <c r="AD2464">
        <v>-1.1145775548970001</v>
      </c>
      <c r="AE2464">
        <v>-3.6577999999999999</v>
      </c>
      <c r="AF2464">
        <v>-2.9191320498151598</v>
      </c>
      <c r="AG2464">
        <v>-1.1145775548970001</v>
      </c>
      <c r="AH2464">
        <v>9.5966102461513501</v>
      </c>
      <c r="AI2464">
        <v>96.340462774846699</v>
      </c>
      <c r="AJ2464">
        <v>106.91890416086</v>
      </c>
      <c r="AK2464">
        <v>10.092499356783501</v>
      </c>
      <c r="AL2464">
        <v>79.9395790411794</v>
      </c>
      <c r="AM2464">
        <v>100.767020007074</v>
      </c>
      <c r="AN2464">
        <v>0.99999997317460398</v>
      </c>
    </row>
    <row r="2465" spans="1:40" x14ac:dyDescent="0.25">
      <c r="A2465" t="str">
        <f>"20190312172418271"</f>
        <v>20190312172418271</v>
      </c>
      <c r="B2465" t="str">
        <f>"1552382658262523"</f>
        <v>1552382658262523</v>
      </c>
      <c r="C2465" t="s">
        <v>40</v>
      </c>
      <c r="D2465">
        <v>4.2483630000000003</v>
      </c>
      <c r="E2465">
        <v>0.45685049999999999</v>
      </c>
      <c r="F2465" t="s">
        <v>46</v>
      </c>
      <c r="G2465">
        <v>-474.7801</v>
      </c>
      <c r="H2465" s="1">
        <v>4.2099500000000002E-6</v>
      </c>
      <c r="I2465">
        <v>281.36329999999998</v>
      </c>
      <c r="J2465">
        <v>-465.07760000000002</v>
      </c>
      <c r="K2465">
        <v>1.1146069999999999</v>
      </c>
      <c r="L2465">
        <v>285.15649999999999</v>
      </c>
      <c r="M2465">
        <v>-0.99682249999999994</v>
      </c>
      <c r="N2465">
        <v>0</v>
      </c>
      <c r="O2465">
        <v>-7.8362940000000006E-2</v>
      </c>
      <c r="P2465">
        <v>-0.95243540000000004</v>
      </c>
      <c r="Q2465">
        <v>0.16247529999999999</v>
      </c>
      <c r="R2465">
        <v>-0.25781579999999998</v>
      </c>
      <c r="S2465">
        <v>-2.9057309999999998</v>
      </c>
      <c r="T2465">
        <v>-0.324891599999999</v>
      </c>
      <c r="U2465">
        <v>-1.1130070000000001</v>
      </c>
      <c r="V2465">
        <v>-0.184058</v>
      </c>
      <c r="W2465">
        <v>0.17456969999999999</v>
      </c>
      <c r="X2465">
        <v>0.96728899999999995</v>
      </c>
      <c r="Y2465">
        <v>-0.28230880000000003</v>
      </c>
      <c r="Z2465">
        <v>-6.7974769999999997E-3</v>
      </c>
      <c r="AA2465">
        <v>0.95929949999999997</v>
      </c>
      <c r="AB2465">
        <v>28</v>
      </c>
      <c r="AC2465">
        <v>-9.7024999999999793</v>
      </c>
      <c r="AD2465">
        <v>-1.11460279005</v>
      </c>
      <c r="AE2465">
        <v>-3.7932000000000099</v>
      </c>
      <c r="AF2465">
        <v>-2.9869466187824898</v>
      </c>
      <c r="AG2465">
        <v>-1.11460279005</v>
      </c>
      <c r="AH2465">
        <v>9.8570972358074496</v>
      </c>
      <c r="AI2465">
        <v>96.1763314098786</v>
      </c>
      <c r="AJ2465">
        <v>106.858119037157</v>
      </c>
      <c r="AK2465">
        <v>10.359853058765101</v>
      </c>
      <c r="AL2465">
        <v>79.946381393304407</v>
      </c>
      <c r="AM2465">
        <v>100.773578709853</v>
      </c>
      <c r="AN2465">
        <v>0.99999996852154405</v>
      </c>
    </row>
    <row r="2466" spans="1:40" x14ac:dyDescent="0.25">
      <c r="A2466" t="str">
        <f>"20190312172418293"</f>
        <v>20190312172418293</v>
      </c>
      <c r="B2466" t="str">
        <f>"1552382658282042"</f>
        <v>1552382658282042</v>
      </c>
      <c r="C2466" t="s">
        <v>40</v>
      </c>
      <c r="D2466">
        <v>4.4047039999999997</v>
      </c>
      <c r="E2466">
        <v>0.45644659999999898</v>
      </c>
      <c r="F2466" t="s">
        <v>46</v>
      </c>
      <c r="G2466">
        <v>-475.09050000000002</v>
      </c>
      <c r="H2466" s="1">
        <v>4.0629709999999997E-6</v>
      </c>
      <c r="I2466">
        <v>281.25659999999999</v>
      </c>
      <c r="J2466">
        <v>-465.34960000000001</v>
      </c>
      <c r="K2466">
        <v>1.114657</v>
      </c>
      <c r="L2466">
        <v>285.1293</v>
      </c>
      <c r="M2466">
        <v>-0.9963902</v>
      </c>
      <c r="N2466">
        <v>0</v>
      </c>
      <c r="O2466">
        <v>-8.3678550000000004E-2</v>
      </c>
      <c r="P2466">
        <v>-0.95087259999999996</v>
      </c>
      <c r="Q2466">
        <v>0.16304560000000001</v>
      </c>
      <c r="R2466">
        <v>-0.26316800000000001</v>
      </c>
      <c r="S2466">
        <v>-2.8992</v>
      </c>
      <c r="T2466">
        <v>-0.32272840000000003</v>
      </c>
      <c r="U2466">
        <v>-1.129181</v>
      </c>
      <c r="V2466">
        <v>-0.18437129999999999</v>
      </c>
      <c r="W2466">
        <v>0.17511860000000001</v>
      </c>
      <c r="X2466">
        <v>0.96713009999999999</v>
      </c>
      <c r="Y2466">
        <v>-0.282611</v>
      </c>
      <c r="Z2466">
        <v>-6.2131089999999996E-3</v>
      </c>
      <c r="AA2466">
        <v>0.95921449999999997</v>
      </c>
      <c r="AB2466">
        <v>28</v>
      </c>
      <c r="AC2466">
        <v>-9.7408999999999999</v>
      </c>
      <c r="AD2466">
        <v>-1.1146529370289999</v>
      </c>
      <c r="AE2466">
        <v>-3.8727</v>
      </c>
      <c r="AF2466">
        <v>-3.0098941467637101</v>
      </c>
      <c r="AG2466">
        <v>-1.1146529370289999</v>
      </c>
      <c r="AH2466">
        <v>9.9186738936330201</v>
      </c>
      <c r="AI2466">
        <v>96.137824126826999</v>
      </c>
      <c r="AJ2466">
        <v>106.880804393509</v>
      </c>
      <c r="AK2466">
        <v>10.4250662229545</v>
      </c>
      <c r="AL2466">
        <v>79.914439680160399</v>
      </c>
      <c r="AM2466">
        <v>100.793218407303</v>
      </c>
      <c r="AN2466">
        <v>0.99999996532782898</v>
      </c>
    </row>
    <row r="2467" spans="1:40" x14ac:dyDescent="0.25">
      <c r="A2467" t="str">
        <f>"20190312172418316"</f>
        <v>20190312172418316</v>
      </c>
      <c r="B2467" t="str">
        <f>"1552382658312302"</f>
        <v>1552382658312302</v>
      </c>
      <c r="C2467" t="s">
        <v>40</v>
      </c>
      <c r="D2467">
        <v>3.8549199999999999</v>
      </c>
      <c r="E2467">
        <v>0.45689619999999997</v>
      </c>
      <c r="F2467" t="s">
        <v>46</v>
      </c>
      <c r="G2467">
        <v>-475.36619999999999</v>
      </c>
      <c r="H2467" s="1">
        <v>3.9311840000000001E-6</v>
      </c>
      <c r="I2467">
        <v>281.14789999999999</v>
      </c>
      <c r="J2467">
        <v>-465.62060000000002</v>
      </c>
      <c r="K2467">
        <v>1.114716</v>
      </c>
      <c r="L2467">
        <v>285.10059999999999</v>
      </c>
      <c r="M2467">
        <v>-0.99592389999999997</v>
      </c>
      <c r="N2467">
        <v>0</v>
      </c>
      <c r="O2467">
        <v>-8.9057639999999993E-2</v>
      </c>
      <c r="P2467">
        <v>-0.94930709999999996</v>
      </c>
      <c r="Q2467">
        <v>0.16403860000000001</v>
      </c>
      <c r="R2467">
        <v>-0.26815620000000001</v>
      </c>
      <c r="S2467">
        <v>-2.8919980000000001</v>
      </c>
      <c r="T2467">
        <v>-0.3218222</v>
      </c>
      <c r="U2467">
        <v>-1.1495059999999999</v>
      </c>
      <c r="V2467">
        <v>-0.1842734</v>
      </c>
      <c r="W2467">
        <v>0.17608979999999999</v>
      </c>
      <c r="X2467">
        <v>0.96697239999999995</v>
      </c>
      <c r="Y2467">
        <v>-0.2841012</v>
      </c>
      <c r="Z2467">
        <v>-5.7139259999999898E-3</v>
      </c>
      <c r="AA2467">
        <v>0.9587772</v>
      </c>
      <c r="AB2467">
        <v>28</v>
      </c>
      <c r="AC2467">
        <v>-9.7455999999999605</v>
      </c>
      <c r="AD2467">
        <v>-1.1147120688159999</v>
      </c>
      <c r="AE2467">
        <v>-3.9526999999999899</v>
      </c>
      <c r="AF2467">
        <v>-3.0348852649465701</v>
      </c>
      <c r="AG2467">
        <v>-1.1147120688159999</v>
      </c>
      <c r="AH2467">
        <v>9.9471666413903392</v>
      </c>
      <c r="AI2467">
        <v>96.117919723265004</v>
      </c>
      <c r="AJ2467">
        <v>106.96697257219699</v>
      </c>
      <c r="AK2467">
        <v>10.459408958413601</v>
      </c>
      <c r="AL2467">
        <v>79.857915655710798</v>
      </c>
      <c r="AM2467">
        <v>100.789339816555</v>
      </c>
      <c r="AN2467">
        <v>0.99999996298667904</v>
      </c>
    </row>
    <row r="2468" spans="1:40" x14ac:dyDescent="0.25">
      <c r="A2468" t="str">
        <f>"20190312172418338"</f>
        <v>20190312172418338</v>
      </c>
      <c r="B2468" t="str">
        <f>"1552382658332797"</f>
        <v>1552382658332797</v>
      </c>
      <c r="C2468" t="s">
        <v>40</v>
      </c>
      <c r="D2468">
        <v>3.8776660000000001</v>
      </c>
      <c r="E2468">
        <v>0.45716849999999998</v>
      </c>
      <c r="F2468" t="s">
        <v>46</v>
      </c>
      <c r="G2468">
        <v>-475.84039999999999</v>
      </c>
      <c r="H2468" s="1">
        <v>3.706668E-6</v>
      </c>
      <c r="I2468">
        <v>280.98469999999998</v>
      </c>
      <c r="J2468">
        <v>-465.8947</v>
      </c>
      <c r="K2468">
        <v>1.114778</v>
      </c>
      <c r="L2468">
        <v>285.07010000000002</v>
      </c>
      <c r="M2468">
        <v>-0.99541310000000005</v>
      </c>
      <c r="N2468">
        <v>0</v>
      </c>
      <c r="O2468">
        <v>-9.4594990000000004E-2</v>
      </c>
      <c r="P2468">
        <v>-0.94784449999999998</v>
      </c>
      <c r="Q2468">
        <v>0.16470209999999999</v>
      </c>
      <c r="R2468">
        <v>-0.27288129999999999</v>
      </c>
      <c r="S2468">
        <v>-2.8862299999999999</v>
      </c>
      <c r="T2468">
        <v>-0.31481350000000002</v>
      </c>
      <c r="U2468">
        <v>-1.162415</v>
      </c>
      <c r="V2468">
        <v>-0.18375430000000001</v>
      </c>
      <c r="W2468">
        <v>0.17673520000000001</v>
      </c>
      <c r="X2468">
        <v>0.96695350000000002</v>
      </c>
      <c r="Y2468">
        <v>-0.28319919999999998</v>
      </c>
      <c r="Z2468">
        <v>-4.9763960000000001E-3</v>
      </c>
      <c r="AA2468">
        <v>0.95904820000000002</v>
      </c>
      <c r="AB2468">
        <v>28</v>
      </c>
      <c r="AC2468">
        <v>-9.9456999999999791</v>
      </c>
      <c r="AD2468">
        <v>-1.114774293332</v>
      </c>
      <c r="AE2468">
        <v>-4.0854000000000497</v>
      </c>
      <c r="AF2468">
        <v>-3.0929197012095799</v>
      </c>
      <c r="AG2468">
        <v>-1.114774293332</v>
      </c>
      <c r="AH2468">
        <v>10.178180340494899</v>
      </c>
      <c r="AI2468">
        <v>95.982434419101807</v>
      </c>
      <c r="AJ2468">
        <v>106.902845106646</v>
      </c>
      <c r="AK2468">
        <v>10.695991260600501</v>
      </c>
      <c r="AL2468">
        <v>79.820348366275098</v>
      </c>
      <c r="AM2468">
        <v>100.759862046503</v>
      </c>
      <c r="AN2468">
        <v>1.00000002242488</v>
      </c>
    </row>
    <row r="2469" spans="1:40" x14ac:dyDescent="0.25">
      <c r="A2469" t="str">
        <f>"20190312172418362"</f>
        <v>20190312172418362</v>
      </c>
      <c r="B2469" t="str">
        <f>"1552382658352314"</f>
        <v>1552382658352314</v>
      </c>
      <c r="C2469" t="s">
        <v>40</v>
      </c>
      <c r="D2469">
        <v>3.8788320000000001</v>
      </c>
      <c r="E2469">
        <v>0.4575284</v>
      </c>
      <c r="F2469" t="s">
        <v>46</v>
      </c>
      <c r="G2469">
        <v>-476.26780000000002</v>
      </c>
      <c r="H2469" s="1">
        <v>3.5039730000000001E-6</v>
      </c>
      <c r="I2469">
        <v>280.83420000000001</v>
      </c>
      <c r="J2469">
        <v>-466.17349999999999</v>
      </c>
      <c r="K2469">
        <v>1.1148629999999999</v>
      </c>
      <c r="L2469">
        <v>285.03739999999999</v>
      </c>
      <c r="M2469">
        <v>-0.99485089999999998</v>
      </c>
      <c r="N2469">
        <v>0</v>
      </c>
      <c r="O2469">
        <v>-0.1003349</v>
      </c>
      <c r="P2469">
        <v>-0.94651660000000004</v>
      </c>
      <c r="Q2469">
        <v>0.16449839999999999</v>
      </c>
      <c r="R2469">
        <v>-0.27757340000000003</v>
      </c>
      <c r="S2469">
        <v>-2.8802189999999999</v>
      </c>
      <c r="T2469">
        <v>-0.30953340000000001</v>
      </c>
      <c r="U2469">
        <v>-1.1761779999999999</v>
      </c>
      <c r="V2469">
        <v>-0.18298970000000001</v>
      </c>
      <c r="W2469">
        <v>0.17651510000000001</v>
      </c>
      <c r="X2469">
        <v>0.96713859999999996</v>
      </c>
      <c r="Y2469">
        <v>-0.28235949999999999</v>
      </c>
      <c r="Z2469">
        <v>-4.2719450000000001E-3</v>
      </c>
      <c r="AA2469">
        <v>0.95929909999999996</v>
      </c>
      <c r="AB2469">
        <v>28</v>
      </c>
      <c r="AC2469">
        <v>-10.0943</v>
      </c>
      <c r="AD2469">
        <v>-1.114859496027</v>
      </c>
      <c r="AE2469">
        <v>-4.2031999999999803</v>
      </c>
      <c r="AF2469">
        <v>-3.1364656091255401</v>
      </c>
      <c r="AG2469">
        <v>-1.114859496027</v>
      </c>
      <c r="AH2469">
        <v>10.3574502041717</v>
      </c>
      <c r="AI2469">
        <v>95.881778493204607</v>
      </c>
      <c r="AJ2469">
        <v>106.84747626583101</v>
      </c>
      <c r="AK2469">
        <v>10.8792050695354</v>
      </c>
      <c r="AL2469">
        <v>79.833159764205604</v>
      </c>
      <c r="AM2469">
        <v>100.71412579402801</v>
      </c>
      <c r="AN2469">
        <v>0.99999994122202795</v>
      </c>
    </row>
    <row r="2470" spans="1:40" x14ac:dyDescent="0.25">
      <c r="A2470" t="str">
        <f>"20190312172418382"</f>
        <v>20190312172418382</v>
      </c>
      <c r="B2470" t="str">
        <f>"1552382658372810"</f>
        <v>1552382658372810</v>
      </c>
      <c r="C2470" t="s">
        <v>40</v>
      </c>
      <c r="D2470">
        <v>3.8251520000000001</v>
      </c>
      <c r="E2470">
        <v>0.45804010000000001</v>
      </c>
      <c r="F2470" t="s">
        <v>46</v>
      </c>
      <c r="G2470">
        <v>-476.61009999999999</v>
      </c>
      <c r="H2470" s="1">
        <v>3.3421300000000001E-6</v>
      </c>
      <c r="I2470">
        <v>280.71949999999998</v>
      </c>
      <c r="J2470">
        <v>-466.43360000000001</v>
      </c>
      <c r="K2470">
        <v>1.1149359999999999</v>
      </c>
      <c r="L2470">
        <v>285.00510000000003</v>
      </c>
      <c r="M2470">
        <v>-0.99428309999999998</v>
      </c>
      <c r="N2470">
        <v>0</v>
      </c>
      <c r="O2470">
        <v>-0.105813</v>
      </c>
      <c r="P2470">
        <v>-0.94527720000000004</v>
      </c>
      <c r="Q2470">
        <v>0.16357839999999901</v>
      </c>
      <c r="R2470">
        <v>-0.28229979999999999</v>
      </c>
      <c r="S2470">
        <v>-2.8741759999999998</v>
      </c>
      <c r="T2470">
        <v>-0.30702410000000002</v>
      </c>
      <c r="U2470">
        <v>-1.189117</v>
      </c>
      <c r="V2470">
        <v>-0.1824992</v>
      </c>
      <c r="W2470">
        <v>0.1755777</v>
      </c>
      <c r="X2470">
        <v>0.96740190000000004</v>
      </c>
      <c r="Y2470">
        <v>-0.28151959999999998</v>
      </c>
      <c r="Z2470">
        <v>-3.6470349999999999E-3</v>
      </c>
      <c r="AA2470">
        <v>0.95954850000000003</v>
      </c>
      <c r="AB2470">
        <v>28</v>
      </c>
      <c r="AC2470">
        <v>-10.1764999999999</v>
      </c>
      <c r="AD2470">
        <v>-1.1149326578700001</v>
      </c>
      <c r="AE2470">
        <v>-4.2856000000000396</v>
      </c>
      <c r="AF2470">
        <v>-3.15247951964191</v>
      </c>
      <c r="AG2470">
        <v>-1.1149326578700001</v>
      </c>
      <c r="AH2470">
        <v>10.466171825070701</v>
      </c>
      <c r="AI2470">
        <v>95.8240660575905</v>
      </c>
      <c r="AJ2470">
        <v>106.762645439473</v>
      </c>
      <c r="AK2470">
        <v>10.987354305075</v>
      </c>
      <c r="AL2470">
        <v>79.887721184057099</v>
      </c>
      <c r="AM2470">
        <v>100.683227537638</v>
      </c>
      <c r="AN2470">
        <v>0.99999996143076897</v>
      </c>
    </row>
    <row r="2471" spans="1:40" x14ac:dyDescent="0.25">
      <c r="A2471" t="str">
        <f>"20190312172418405"</f>
        <v>20190312172418405</v>
      </c>
      <c r="B2471" t="str">
        <f>"1552382658402091"</f>
        <v>1552382658402091</v>
      </c>
      <c r="C2471" t="s">
        <v>40</v>
      </c>
      <c r="D2471">
        <v>3.8897590000000002</v>
      </c>
      <c r="E2471">
        <v>0.45860489999999998</v>
      </c>
      <c r="F2471" t="s">
        <v>46</v>
      </c>
      <c r="G2471">
        <v>-476.86329999999998</v>
      </c>
      <c r="H2471" s="1">
        <v>3.222737E-6</v>
      </c>
      <c r="I2471">
        <v>280.63810000000001</v>
      </c>
      <c r="J2471">
        <v>-466.70260000000002</v>
      </c>
      <c r="K2471">
        <v>1.1149979999999999</v>
      </c>
      <c r="L2471">
        <v>284.9701</v>
      </c>
      <c r="M2471">
        <v>-0.99365219999999999</v>
      </c>
      <c r="N2471">
        <v>0</v>
      </c>
      <c r="O2471">
        <v>-0.11158079999999999</v>
      </c>
      <c r="P2471">
        <v>-0.94411400000000001</v>
      </c>
      <c r="Q2471">
        <v>0.1622179</v>
      </c>
      <c r="R2471">
        <v>-0.28693960000000002</v>
      </c>
      <c r="S2471">
        <v>-2.8680729999999999</v>
      </c>
      <c r="T2471">
        <v>-0.30659639999999999</v>
      </c>
      <c r="U2471">
        <v>-1.2008970000000001</v>
      </c>
      <c r="V2471">
        <v>-0.18162320000000001</v>
      </c>
      <c r="W2471">
        <v>0.17420769999999999</v>
      </c>
      <c r="X2471">
        <v>0.96781439999999996</v>
      </c>
      <c r="Y2471">
        <v>-0.28006760000000003</v>
      </c>
      <c r="Z2471">
        <v>-2.9913959999999999E-3</v>
      </c>
      <c r="AA2471">
        <v>0.95997569999999999</v>
      </c>
      <c r="AB2471">
        <v>27</v>
      </c>
      <c r="AC2471">
        <v>-10.160699999999901</v>
      </c>
      <c r="AD2471">
        <v>-1.114994777263</v>
      </c>
      <c r="AE2471">
        <v>-4.3319999999999901</v>
      </c>
      <c r="AF2471">
        <v>-3.1391006889500899</v>
      </c>
      <c r="AG2471">
        <v>-1.114994777263</v>
      </c>
      <c r="AH2471">
        <v>10.473927772077399</v>
      </c>
      <c r="AI2471">
        <v>95.822495410262704</v>
      </c>
      <c r="AJ2471">
        <v>106.683797386157</v>
      </c>
      <c r="AK2471">
        <v>10.990920319217301</v>
      </c>
      <c r="AL2471">
        <v>79.967445662159605</v>
      </c>
      <c r="AM2471">
        <v>100.628691123503</v>
      </c>
      <c r="AN2471">
        <v>1.0000000111824401</v>
      </c>
    </row>
    <row r="2472" spans="1:40" x14ac:dyDescent="0.25">
      <c r="A2472" t="str">
        <f>"20190312172418428"</f>
        <v>20190312172418428</v>
      </c>
      <c r="B2472" t="str">
        <f>"1552382658422587"</f>
        <v>1552382658422587</v>
      </c>
      <c r="C2472" t="s">
        <v>40</v>
      </c>
      <c r="D2472">
        <v>3.8359190000000001</v>
      </c>
      <c r="E2472">
        <v>0.45906580000000002</v>
      </c>
      <c r="F2472" t="s">
        <v>46</v>
      </c>
      <c r="G2472">
        <v>-477.08510000000001</v>
      </c>
      <c r="H2472" s="1">
        <v>3.1191259999999998E-6</v>
      </c>
      <c r="I2472">
        <v>280.57780000000002</v>
      </c>
      <c r="J2472">
        <v>-466.98140000000001</v>
      </c>
      <c r="K2472">
        <v>1.115057</v>
      </c>
      <c r="L2472">
        <v>284.93200000000002</v>
      </c>
      <c r="M2472">
        <v>-0.99294919999999998</v>
      </c>
      <c r="N2472">
        <v>0</v>
      </c>
      <c r="O2472">
        <v>-0.1176716</v>
      </c>
      <c r="P2472">
        <v>-0.94248799999999999</v>
      </c>
      <c r="Q2472">
        <v>0.16181609999999999</v>
      </c>
      <c r="R2472">
        <v>-0.29245900000000002</v>
      </c>
      <c r="S2472">
        <v>-2.8623660000000002</v>
      </c>
      <c r="T2472">
        <v>-0.30739709999999998</v>
      </c>
      <c r="U2472">
        <v>-1.2109379999999901</v>
      </c>
      <c r="V2472">
        <v>-0.181367</v>
      </c>
      <c r="W2472">
        <v>0.17378650000000001</v>
      </c>
      <c r="X2472">
        <v>0.96793810000000002</v>
      </c>
      <c r="Y2472">
        <v>-0.277758</v>
      </c>
      <c r="Z2472">
        <v>-2.2692749999999999E-3</v>
      </c>
      <c r="AA2472">
        <v>0.96064839999999996</v>
      </c>
      <c r="AB2472">
        <v>27</v>
      </c>
      <c r="AC2472">
        <v>-10.1037</v>
      </c>
      <c r="AD2472">
        <v>-1.115053880874</v>
      </c>
      <c r="AE2472">
        <v>-4.3541999999999899</v>
      </c>
      <c r="AF2472">
        <v>-3.1030287669024101</v>
      </c>
      <c r="AG2472">
        <v>-1.115053880874</v>
      </c>
      <c r="AH2472">
        <v>10.438684294504</v>
      </c>
      <c r="AI2472">
        <v>95.846212390784999</v>
      </c>
      <c r="AJ2472">
        <v>106.555236384699</v>
      </c>
      <c r="AK2472">
        <v>10.9470663872017</v>
      </c>
      <c r="AL2472">
        <v>79.991951857164807</v>
      </c>
      <c r="AM2472">
        <v>100.612713424478</v>
      </c>
      <c r="AN2472">
        <v>0.99999995085142801</v>
      </c>
    </row>
    <row r="2473" spans="1:40" x14ac:dyDescent="0.25">
      <c r="A2473" t="str">
        <f>"20190312172418450"</f>
        <v>20190312172418450</v>
      </c>
      <c r="B2473" t="str">
        <f>"1552382658442106"</f>
        <v>1552382658442106</v>
      </c>
      <c r="C2473" t="s">
        <v>40</v>
      </c>
      <c r="D2473">
        <v>3.89072</v>
      </c>
      <c r="E2473">
        <v>0.4595418</v>
      </c>
      <c r="F2473" t="s">
        <v>46</v>
      </c>
      <c r="G2473">
        <v>-477.3673</v>
      </c>
      <c r="H2473" s="1">
        <v>2.985521E-6</v>
      </c>
      <c r="I2473">
        <v>280.48110000000003</v>
      </c>
      <c r="J2473">
        <v>-467.2509</v>
      </c>
      <c r="K2473">
        <v>1.115113</v>
      </c>
      <c r="L2473">
        <v>284.89339999999999</v>
      </c>
      <c r="M2473">
        <v>-0.99221890000000001</v>
      </c>
      <c r="N2473">
        <v>0</v>
      </c>
      <c r="O2473">
        <v>-0.1236778</v>
      </c>
      <c r="P2473">
        <v>-0.9407681</v>
      </c>
      <c r="Q2473">
        <v>0.16196089999999999</v>
      </c>
      <c r="R2473">
        <v>-0.29786570000000001</v>
      </c>
      <c r="S2473">
        <v>-2.855896</v>
      </c>
      <c r="T2473">
        <v>-0.30661749999999999</v>
      </c>
      <c r="U2473">
        <v>-1.2239070000000001</v>
      </c>
      <c r="V2473">
        <v>-0.18109980000000001</v>
      </c>
      <c r="W2473">
        <v>0.17391089999999901</v>
      </c>
      <c r="X2473">
        <v>0.96796579999999999</v>
      </c>
      <c r="Y2473">
        <v>-0.27645639999999999</v>
      </c>
      <c r="Z2473">
        <v>-1.5951100000000001E-3</v>
      </c>
      <c r="AA2473">
        <v>0.96102509999999997</v>
      </c>
      <c r="AB2473">
        <v>27</v>
      </c>
      <c r="AC2473">
        <v>-10.116400000000001</v>
      </c>
      <c r="AD2473">
        <v>-1.115110014479</v>
      </c>
      <c r="AE2473">
        <v>-4.4122999999999504</v>
      </c>
      <c r="AF2473">
        <v>-3.0955147253041999</v>
      </c>
      <c r="AG2473">
        <v>-1.115110014479</v>
      </c>
      <c r="AH2473">
        <v>10.477516759649999</v>
      </c>
      <c r="AI2473">
        <v>95.827852449219506</v>
      </c>
      <c r="AJ2473">
        <v>106.45943528880601</v>
      </c>
      <c r="AK2473">
        <v>10.9819870336708</v>
      </c>
      <c r="AL2473">
        <v>79.984714183593297</v>
      </c>
      <c r="AM2473">
        <v>100.59713619749201</v>
      </c>
      <c r="AN2473">
        <v>0.99999996433424398</v>
      </c>
    </row>
    <row r="2474" spans="1:40" x14ac:dyDescent="0.25">
      <c r="A2474" t="str">
        <f>"20190312172418472"</f>
        <v>20190312172418472</v>
      </c>
      <c r="B2474" t="str">
        <f>"1552382658462602"</f>
        <v>1552382658462602</v>
      </c>
      <c r="C2474" t="s">
        <v>40</v>
      </c>
      <c r="D2474">
        <v>3.885427</v>
      </c>
      <c r="E2474">
        <v>0.45997209999999999</v>
      </c>
      <c r="F2474" t="s">
        <v>46</v>
      </c>
      <c r="G2474">
        <v>-477.68920000000003</v>
      </c>
      <c r="H2474" s="1">
        <v>2.8322280000000001E-6</v>
      </c>
      <c r="I2474">
        <v>280.36059999999998</v>
      </c>
      <c r="J2474">
        <v>-467.50850000000003</v>
      </c>
      <c r="K2474">
        <v>1.115181</v>
      </c>
      <c r="L2474">
        <v>284.85489999999999</v>
      </c>
      <c r="M2474">
        <v>-0.99147110000000005</v>
      </c>
      <c r="N2474">
        <v>0</v>
      </c>
      <c r="O2474">
        <v>-0.12953680000000001</v>
      </c>
      <c r="P2474">
        <v>-0.93897209999999998</v>
      </c>
      <c r="Q2474">
        <v>0.161657299999999</v>
      </c>
      <c r="R2474">
        <v>-0.30364249999999998</v>
      </c>
      <c r="S2474">
        <v>-2.849548</v>
      </c>
      <c r="T2474">
        <v>-0.30441449999999998</v>
      </c>
      <c r="U2474">
        <v>-1.2374270000000001</v>
      </c>
      <c r="V2474">
        <v>-0.1813515</v>
      </c>
      <c r="W2474">
        <v>0.17358129999999999</v>
      </c>
      <c r="X2474">
        <v>0.96797789999999995</v>
      </c>
      <c r="Y2474">
        <v>-0.27544000000000002</v>
      </c>
      <c r="Z2474">
        <v>-9.485222E-4</v>
      </c>
      <c r="AA2474">
        <v>0.9613178</v>
      </c>
      <c r="AB2474">
        <v>27</v>
      </c>
      <c r="AC2474">
        <v>-10.1807</v>
      </c>
      <c r="AD2474">
        <v>-1.1151781677720001</v>
      </c>
      <c r="AE2474">
        <v>-4.4943000000000097</v>
      </c>
      <c r="AF2474">
        <v>-3.1063224466707999</v>
      </c>
      <c r="AG2474">
        <v>-1.1151781677720001</v>
      </c>
      <c r="AH2474">
        <v>10.570991917959001</v>
      </c>
      <c r="AI2474">
        <v>95.779493860253197</v>
      </c>
      <c r="AJ2474">
        <v>106.375607174796</v>
      </c>
      <c r="AK2474">
        <v>11.074237292839699</v>
      </c>
      <c r="AL2474">
        <v>80.003891144761596</v>
      </c>
      <c r="AM2474">
        <v>100.611400627328</v>
      </c>
      <c r="AN2474">
        <v>1.0000000245751699</v>
      </c>
    </row>
    <row r="2475" spans="1:40" x14ac:dyDescent="0.25">
      <c r="A2475" t="str">
        <f>"20190312172418486"</f>
        <v>20190312172418486</v>
      </c>
      <c r="B2475" t="str">
        <f>"1552382658482123"</f>
        <v>1552382658482123</v>
      </c>
      <c r="C2475" t="s">
        <v>40</v>
      </c>
      <c r="D2475">
        <v>3.889891</v>
      </c>
      <c r="E2475">
        <v>0.4603758</v>
      </c>
      <c r="F2475" t="s">
        <v>46</v>
      </c>
      <c r="G2475">
        <v>-477.9212</v>
      </c>
      <c r="H2475" s="1">
        <v>2.7214619999999999E-6</v>
      </c>
      <c r="I2475">
        <v>280.27050000000003</v>
      </c>
      <c r="J2475">
        <v>-467.67</v>
      </c>
      <c r="K2475">
        <v>1.115229</v>
      </c>
      <c r="L2475">
        <v>284.82990000000001</v>
      </c>
      <c r="M2475">
        <v>-0.99097690000000005</v>
      </c>
      <c r="N2475">
        <v>0</v>
      </c>
      <c r="O2475">
        <v>-0.1332624</v>
      </c>
      <c r="P2475">
        <v>-0.93776939999999998</v>
      </c>
      <c r="Q2475">
        <v>0.16166620000000001</v>
      </c>
      <c r="R2475">
        <v>-0.30733139999999998</v>
      </c>
      <c r="S2475">
        <v>-2.8426819999999999</v>
      </c>
      <c r="T2475">
        <v>-0.30444599999999999</v>
      </c>
      <c r="U2475">
        <v>-1.2515259999999999</v>
      </c>
      <c r="V2475">
        <v>-0.18153920000000001</v>
      </c>
      <c r="W2475">
        <v>0.173571</v>
      </c>
      <c r="X2475">
        <v>0.96794460000000004</v>
      </c>
      <c r="Y2475">
        <v>-0.27668690000000001</v>
      </c>
      <c r="Z2475">
        <v>-6.4178179999999996E-4</v>
      </c>
      <c r="AA2475">
        <v>0.96095989999999998</v>
      </c>
      <c r="AB2475">
        <v>27</v>
      </c>
      <c r="AC2475">
        <v>-10.2511999999999</v>
      </c>
      <c r="AD2475">
        <v>-1.115226278538</v>
      </c>
      <c r="AE2475">
        <v>-4.5593999999999797</v>
      </c>
      <c r="AF2475">
        <v>-3.1216412948844998</v>
      </c>
      <c r="AG2475">
        <v>-1.115226278538</v>
      </c>
      <c r="AH2475">
        <v>10.662059507925299</v>
      </c>
      <c r="AI2475">
        <v>95.732355228486796</v>
      </c>
      <c r="AJ2475">
        <v>106.31899270324099</v>
      </c>
      <c r="AK2475">
        <v>11.165477463002199</v>
      </c>
      <c r="AL2475">
        <v>80.004490754560706</v>
      </c>
      <c r="AM2475">
        <v>100.622490807194</v>
      </c>
      <c r="AN2475">
        <v>1.0000000609233901</v>
      </c>
    </row>
    <row r="2476" spans="1:40" x14ac:dyDescent="0.25">
      <c r="A2476" t="str">
        <f>"20190312172418499"</f>
        <v>20190312172418499</v>
      </c>
      <c r="B2476" t="str">
        <f>"1552382658492859"</f>
        <v>1552382658492859</v>
      </c>
      <c r="C2476" t="s">
        <v>40</v>
      </c>
      <c r="D2476">
        <v>3.8894570000000002</v>
      </c>
      <c r="E2476">
        <v>0.46058680000000002</v>
      </c>
      <c r="F2476" t="s">
        <v>46</v>
      </c>
      <c r="G2476">
        <v>-478.10809999999998</v>
      </c>
      <c r="H2476" s="1">
        <v>2.632048E-6</v>
      </c>
      <c r="I2476">
        <v>280.19589999999999</v>
      </c>
      <c r="J2476">
        <v>-467.83629999999999</v>
      </c>
      <c r="K2476">
        <v>1.1152799999999901</v>
      </c>
      <c r="L2476">
        <v>284.80360000000002</v>
      </c>
      <c r="M2476">
        <v>-0.9904463</v>
      </c>
      <c r="N2476">
        <v>0</v>
      </c>
      <c r="O2476">
        <v>-0.13715050000000001</v>
      </c>
      <c r="P2476">
        <v>-0.93651810000000002</v>
      </c>
      <c r="Q2476">
        <v>0.16176070000000001</v>
      </c>
      <c r="R2476">
        <v>-0.31107489999999999</v>
      </c>
      <c r="S2476">
        <v>-2.838409</v>
      </c>
      <c r="T2476">
        <v>-0.3032588</v>
      </c>
      <c r="U2476">
        <v>-1.2601009999999999</v>
      </c>
      <c r="V2476">
        <v>-0.1816323</v>
      </c>
      <c r="W2476">
        <v>0.17364660000000001</v>
      </c>
      <c r="X2476">
        <v>0.96791349999999998</v>
      </c>
      <c r="Y2476">
        <v>-0.27590409999999999</v>
      </c>
      <c r="Z2476">
        <v>-2.1317039999999999E-4</v>
      </c>
      <c r="AA2476">
        <v>0.96118519999999996</v>
      </c>
      <c r="AB2476">
        <v>27</v>
      </c>
      <c r="AC2476">
        <v>-10.271799999999899</v>
      </c>
      <c r="AD2476">
        <v>-1.1152773679519901</v>
      </c>
      <c r="AE2476">
        <v>-4.6077000000000199</v>
      </c>
      <c r="AF2476">
        <v>-3.1245570647591601</v>
      </c>
      <c r="AG2476">
        <v>-1.1152773679519901</v>
      </c>
      <c r="AH2476">
        <v>10.7016997992518</v>
      </c>
      <c r="AI2476">
        <v>95.712763583962399</v>
      </c>
      <c r="AJ2476">
        <v>106.276130638428</v>
      </c>
      <c r="AK2476">
        <v>11.204154544262</v>
      </c>
      <c r="AL2476">
        <v>80.000091674845507</v>
      </c>
      <c r="AM2476">
        <v>100.628148046657</v>
      </c>
      <c r="AN2476">
        <v>0.99999998878854901</v>
      </c>
    </row>
    <row r="2477" spans="1:40" x14ac:dyDescent="0.25">
      <c r="A2477" t="str">
        <f>"20190312172418512"</f>
        <v>20190312172418512</v>
      </c>
      <c r="B2477" t="str">
        <f>"1552382658502618"</f>
        <v>1552382658502618</v>
      </c>
      <c r="C2477" t="s">
        <v>40</v>
      </c>
      <c r="D2477">
        <v>3.9179369999999998</v>
      </c>
      <c r="E2477">
        <v>0.46080719999999997</v>
      </c>
      <c r="F2477" t="s">
        <v>46</v>
      </c>
      <c r="G2477">
        <v>-478.28489999999999</v>
      </c>
      <c r="H2477" s="1">
        <v>2.5469699999999999E-6</v>
      </c>
      <c r="I2477">
        <v>280.11959999999999</v>
      </c>
      <c r="J2477">
        <v>-467.98649999999998</v>
      </c>
      <c r="K2477">
        <v>1.1153299999999999</v>
      </c>
      <c r="L2477">
        <v>284.77890000000002</v>
      </c>
      <c r="M2477">
        <v>-0.98994590000000005</v>
      </c>
      <c r="N2477">
        <v>0</v>
      </c>
      <c r="O2477">
        <v>-0.1407175</v>
      </c>
      <c r="P2477">
        <v>-0.93526969999999998</v>
      </c>
      <c r="Q2477">
        <v>0.162019</v>
      </c>
      <c r="R2477">
        <v>-0.31467580000000001</v>
      </c>
      <c r="S2477">
        <v>-2.833618</v>
      </c>
      <c r="T2477">
        <v>-0.3024578</v>
      </c>
      <c r="U2477">
        <v>-1.2702639999999901</v>
      </c>
      <c r="V2477">
        <v>-0.18189959999999999</v>
      </c>
      <c r="W2477">
        <v>0.1738837</v>
      </c>
      <c r="X2477">
        <v>0.96782080000000004</v>
      </c>
      <c r="Y2477">
        <v>-0.27593820000000002</v>
      </c>
      <c r="Z2477">
        <v>1.3914330000000001E-4</v>
      </c>
      <c r="AA2477">
        <v>0.96117540000000001</v>
      </c>
      <c r="AB2477">
        <v>27</v>
      </c>
      <c r="AC2477">
        <v>-10.298400000000001</v>
      </c>
      <c r="AD2477">
        <v>-1.1153274530299999</v>
      </c>
      <c r="AE2477">
        <v>-4.6593000000000302</v>
      </c>
      <c r="AF2477">
        <v>-3.1331106612976498</v>
      </c>
      <c r="AG2477">
        <v>-1.1153274530299999</v>
      </c>
      <c r="AH2477">
        <v>10.746985351147</v>
      </c>
      <c r="AI2477">
        <v>95.689763338426602</v>
      </c>
      <c r="AJ2477">
        <v>106.253194408708</v>
      </c>
      <c r="AK2477">
        <v>11.2498014151889</v>
      </c>
      <c r="AL2477">
        <v>79.986297640672404</v>
      </c>
      <c r="AM2477">
        <v>100.64442806973901</v>
      </c>
      <c r="AN2477">
        <v>1.0000000532592399</v>
      </c>
    </row>
    <row r="2478" spans="1:40" x14ac:dyDescent="0.25">
      <c r="A2478" t="str">
        <f>"20190312172418525"</f>
        <v>20190312172418525</v>
      </c>
      <c r="B2478" t="str">
        <f>"1552382658522140"</f>
        <v>1552382658522140</v>
      </c>
      <c r="C2478" t="s">
        <v>40</v>
      </c>
      <c r="D2478">
        <v>3.8872089999999999</v>
      </c>
      <c r="E2478">
        <v>0.46121780000000001</v>
      </c>
      <c r="F2478" t="s">
        <v>46</v>
      </c>
      <c r="G2478">
        <v>-478.4674</v>
      </c>
      <c r="H2478" s="1">
        <v>2.4587100000000001E-6</v>
      </c>
      <c r="I2478">
        <v>280.03539999999998</v>
      </c>
      <c r="J2478">
        <v>-468.13729999999998</v>
      </c>
      <c r="K2478">
        <v>1.115381</v>
      </c>
      <c r="L2478">
        <v>284.75369999999998</v>
      </c>
      <c r="M2478">
        <v>-0.98942580000000002</v>
      </c>
      <c r="N2478">
        <v>0</v>
      </c>
      <c r="O2478">
        <v>-0.1443277</v>
      </c>
      <c r="P2478">
        <v>-0.93414379999999997</v>
      </c>
      <c r="Q2478">
        <v>0.16210639999999901</v>
      </c>
      <c r="R2478">
        <v>-0.3179575</v>
      </c>
      <c r="S2478">
        <v>-2.8290099999999998</v>
      </c>
      <c r="T2478">
        <v>-0.30105110000000002</v>
      </c>
      <c r="U2478">
        <v>-1.280365</v>
      </c>
      <c r="V2478">
        <v>-0.18179110000000001</v>
      </c>
      <c r="W2478">
        <v>0.17395550000000001</v>
      </c>
      <c r="X2478">
        <v>0.96782820000000003</v>
      </c>
      <c r="Y2478">
        <v>-0.27589140000000001</v>
      </c>
      <c r="Z2478">
        <v>4.971903E-4</v>
      </c>
      <c r="AA2478">
        <v>0.96118870000000001</v>
      </c>
      <c r="AB2478">
        <v>27</v>
      </c>
      <c r="AC2478">
        <v>-10.3301</v>
      </c>
      <c r="AD2478">
        <v>-1.1153785412899999</v>
      </c>
      <c r="AE2478">
        <v>-4.7182999999999904</v>
      </c>
      <c r="AF2478">
        <v>-3.1474554952068798</v>
      </c>
      <c r="AG2478">
        <v>-1.1153785412899999</v>
      </c>
      <c r="AH2478">
        <v>10.798807776512101</v>
      </c>
      <c r="AI2478">
        <v>95.663001116222006</v>
      </c>
      <c r="AJ2478">
        <v>106.249462385426</v>
      </c>
      <c r="AK2478">
        <v>11.3033090189881</v>
      </c>
      <c r="AL2478">
        <v>79.982119319460793</v>
      </c>
      <c r="AM2478">
        <v>100.638144328601</v>
      </c>
      <c r="AN2478">
        <v>0.99999997236734905</v>
      </c>
    </row>
    <row r="2479" spans="1:40" x14ac:dyDescent="0.25">
      <c r="A2479" t="str">
        <f>"20190312172418537"</f>
        <v>20190312172418537</v>
      </c>
      <c r="B2479" t="str">
        <f>"1552382658532875"</f>
        <v>1552382658532875</v>
      </c>
      <c r="C2479" t="s">
        <v>40</v>
      </c>
      <c r="D2479">
        <v>3.8962889999999999</v>
      </c>
      <c r="E2479">
        <v>0.4614162</v>
      </c>
      <c r="F2479" t="s">
        <v>46</v>
      </c>
      <c r="G2479">
        <v>-478.64</v>
      </c>
      <c r="H2479" s="1">
        <v>2.376199E-6</v>
      </c>
      <c r="I2479">
        <v>279.96730000000002</v>
      </c>
      <c r="J2479">
        <v>-468.29500000000002</v>
      </c>
      <c r="K2479">
        <v>1.115437</v>
      </c>
      <c r="L2479">
        <v>284.72669999999999</v>
      </c>
      <c r="M2479">
        <v>-0.98885970000000001</v>
      </c>
      <c r="N2479">
        <v>0</v>
      </c>
      <c r="O2479">
        <v>-0.14815680000000001</v>
      </c>
      <c r="P2479">
        <v>-0.93288450000000001</v>
      </c>
      <c r="Q2479">
        <v>0.16217309999999999</v>
      </c>
      <c r="R2479">
        <v>-0.3216002</v>
      </c>
      <c r="S2479">
        <v>-2.8253170000000001</v>
      </c>
      <c r="T2479">
        <v>-0.30004579999999997</v>
      </c>
      <c r="U2479">
        <v>-1.287598</v>
      </c>
      <c r="V2479">
        <v>-0.18184639999999999</v>
      </c>
      <c r="W2479">
        <v>0.17400299999999999</v>
      </c>
      <c r="X2479">
        <v>0.96780929999999998</v>
      </c>
      <c r="Y2479">
        <v>-0.27470869999999997</v>
      </c>
      <c r="Z2479">
        <v>9.3230229999999997E-4</v>
      </c>
      <c r="AA2479">
        <v>0.96152700000000002</v>
      </c>
      <c r="AB2479">
        <v>27</v>
      </c>
      <c r="AC2479">
        <v>-10.344999999999899</v>
      </c>
      <c r="AD2479">
        <v>-1.115434623801</v>
      </c>
      <c r="AE2479">
        <v>-4.7593999999999701</v>
      </c>
      <c r="AF2479">
        <v>-3.1438584211654801</v>
      </c>
      <c r="AG2479">
        <v>-1.115434623801</v>
      </c>
      <c r="AH2479">
        <v>10.832083835986101</v>
      </c>
      <c r="AI2479">
        <v>95.647845746296994</v>
      </c>
      <c r="AJ2479">
        <v>106.184620026161</v>
      </c>
      <c r="AK2479">
        <v>11.334111363584601</v>
      </c>
      <c r="AL2479">
        <v>79.979355893076502</v>
      </c>
      <c r="AM2479">
        <v>100.64150957197199</v>
      </c>
      <c r="AN2479">
        <v>0.999999999184225</v>
      </c>
    </row>
    <row r="2480" spans="1:40" x14ac:dyDescent="0.25">
      <c r="A2480" t="str">
        <f>"20190312172418550"</f>
        <v>20190312172418550</v>
      </c>
      <c r="B2480" t="str">
        <f>"1552382658542635"</f>
        <v>1552382658542635</v>
      </c>
      <c r="C2480" t="s">
        <v>40</v>
      </c>
      <c r="D2480">
        <v>4.0248699999999999</v>
      </c>
      <c r="E2480">
        <v>0.46157389999999998</v>
      </c>
      <c r="F2480" t="s">
        <v>46</v>
      </c>
      <c r="G2480">
        <v>-478.80889999999999</v>
      </c>
      <c r="H2480" s="1">
        <v>2.2944769999999998E-6</v>
      </c>
      <c r="I2480">
        <v>279.88909999999998</v>
      </c>
      <c r="J2480">
        <v>-468.44229999999999</v>
      </c>
      <c r="K2480">
        <v>1.1154839999999999</v>
      </c>
      <c r="L2480">
        <v>284.70069999999998</v>
      </c>
      <c r="M2480">
        <v>-0.98830989999999996</v>
      </c>
      <c r="N2480">
        <v>0</v>
      </c>
      <c r="O2480">
        <v>-0.15178</v>
      </c>
      <c r="P2480">
        <v>-0.93159879999999995</v>
      </c>
      <c r="Q2480">
        <v>0.16252079999999999</v>
      </c>
      <c r="R2480">
        <v>-0.32513189999999997</v>
      </c>
      <c r="S2480">
        <v>-2.8204349999999998</v>
      </c>
      <c r="T2480">
        <v>-0.2992243</v>
      </c>
      <c r="U2480">
        <v>-1.2977289999999999</v>
      </c>
      <c r="V2480">
        <v>-0.18199940000000001</v>
      </c>
      <c r="W2480">
        <v>0.17433170000000001</v>
      </c>
      <c r="X2480">
        <v>0.96772139999999995</v>
      </c>
      <c r="Y2480">
        <v>-0.27468680000000001</v>
      </c>
      <c r="Z2480">
        <v>1.2867779999999999E-3</v>
      </c>
      <c r="AA2480">
        <v>0.96153290000000002</v>
      </c>
      <c r="AB2480">
        <v>27</v>
      </c>
      <c r="AC2480">
        <v>-10.3666</v>
      </c>
      <c r="AD2480">
        <v>-1.115481705523</v>
      </c>
      <c r="AE2480">
        <v>-4.8115999999999897</v>
      </c>
      <c r="AF2480">
        <v>-3.15220899871081</v>
      </c>
      <c r="AG2480">
        <v>-1.115481705523</v>
      </c>
      <c r="AH2480">
        <v>10.873269235201199</v>
      </c>
      <c r="AI2480">
        <v>95.627322202783901</v>
      </c>
      <c r="AJ2480">
        <v>106.167108298923</v>
      </c>
      <c r="AK2480">
        <v>11.375794691716299</v>
      </c>
      <c r="AL2480">
        <v>79.960230625129697</v>
      </c>
      <c r="AM2480">
        <v>100.651203526392</v>
      </c>
      <c r="AN2480">
        <v>1.0000000156216</v>
      </c>
    </row>
    <row r="2481" spans="1:40" x14ac:dyDescent="0.25">
      <c r="A2481" t="str">
        <f>"20190312172418572"</f>
        <v>20190312172418572</v>
      </c>
      <c r="B2481" t="str">
        <f>"1552382658562154"</f>
        <v>1552382658562154</v>
      </c>
      <c r="C2481" t="s">
        <v>40</v>
      </c>
      <c r="D2481">
        <v>3.8788149999999999</v>
      </c>
      <c r="E2481">
        <v>0.46199679999999999</v>
      </c>
      <c r="F2481" t="s">
        <v>46</v>
      </c>
      <c r="G2481">
        <v>-478.97410000000002</v>
      </c>
      <c r="H2481" s="1">
        <v>2.2141460000000001E-6</v>
      </c>
      <c r="I2481">
        <v>279.80829999999997</v>
      </c>
      <c r="J2481">
        <v>-468.70310000000001</v>
      </c>
      <c r="K2481">
        <v>1.11557</v>
      </c>
      <c r="L2481">
        <v>284.65350000000001</v>
      </c>
      <c r="M2481">
        <v>-0.98728839999999995</v>
      </c>
      <c r="N2481">
        <v>0</v>
      </c>
      <c r="O2481">
        <v>-0.15828739999999999</v>
      </c>
      <c r="P2481">
        <v>-0.9295793</v>
      </c>
      <c r="Q2481">
        <v>0.16188910000000001</v>
      </c>
      <c r="R2481">
        <v>-0.33117079999999999</v>
      </c>
      <c r="S2481">
        <v>-2.8157960000000002</v>
      </c>
      <c r="T2481">
        <v>-0.2982358</v>
      </c>
      <c r="U2481">
        <v>-1.308044</v>
      </c>
      <c r="V2481">
        <v>-0.18191470000000001</v>
      </c>
      <c r="W2481">
        <v>0.17367569999999999</v>
      </c>
      <c r="X2481">
        <v>0.96785529999999997</v>
      </c>
      <c r="Y2481">
        <v>-0.27189990000000003</v>
      </c>
      <c r="Z2481">
        <v>2.0596550000000001E-3</v>
      </c>
      <c r="AA2481">
        <v>0.96232329999999999</v>
      </c>
      <c r="AB2481">
        <v>27</v>
      </c>
      <c r="AC2481">
        <v>-10.271000000000001</v>
      </c>
      <c r="AD2481">
        <v>-1.1155677858540001</v>
      </c>
      <c r="AE2481">
        <v>-4.8452000000000304</v>
      </c>
      <c r="AF2481">
        <v>-3.1279828064101598</v>
      </c>
      <c r="AG2481">
        <v>-1.1155677858540001</v>
      </c>
      <c r="AH2481">
        <v>10.8042451306668</v>
      </c>
      <c r="AI2481">
        <v>95.664061028586204</v>
      </c>
      <c r="AJ2481">
        <v>106.14648271902</v>
      </c>
      <c r="AK2481">
        <v>11.3031181877201</v>
      </c>
      <c r="AL2481">
        <v>79.998399203643601</v>
      </c>
      <c r="AM2481">
        <v>100.644920711344</v>
      </c>
      <c r="AN2481">
        <v>1.00000004429233</v>
      </c>
    </row>
    <row r="2482" spans="1:40" x14ac:dyDescent="0.25">
      <c r="A2482" t="str">
        <f>"20190312172418586"</f>
        <v>20190312172418586</v>
      </c>
      <c r="B2482" t="str">
        <f>"1552382658582650"</f>
        <v>1552382658582650</v>
      </c>
      <c r="C2482" t="s">
        <v>40</v>
      </c>
      <c r="D2482">
        <v>3.8886620000000001</v>
      </c>
      <c r="E2482">
        <v>0.4624219</v>
      </c>
      <c r="F2482" t="s">
        <v>46</v>
      </c>
      <c r="G2482">
        <v>-479.15260000000001</v>
      </c>
      <c r="H2482" s="1">
        <v>2.1278460000000002E-6</v>
      </c>
      <c r="I2482">
        <v>279.72699999999998</v>
      </c>
      <c r="J2482">
        <v>-468.8621</v>
      </c>
      <c r="K2482">
        <v>1.1156189999999999</v>
      </c>
      <c r="L2482">
        <v>284.62369999999999</v>
      </c>
      <c r="M2482">
        <v>-0.98663469999999998</v>
      </c>
      <c r="N2482">
        <v>0</v>
      </c>
      <c r="O2482">
        <v>-0.16231180000000001</v>
      </c>
      <c r="P2482">
        <v>-0.92822459999999996</v>
      </c>
      <c r="Q2482">
        <v>0.16194020000000001</v>
      </c>
      <c r="R2482">
        <v>-0.33492450000000001</v>
      </c>
      <c r="S2482">
        <v>-2.8078919999999998</v>
      </c>
      <c r="T2482">
        <v>-0.29976209999999998</v>
      </c>
      <c r="U2482">
        <v>-1.3237920000000001</v>
      </c>
      <c r="V2482">
        <v>-0.1819016</v>
      </c>
      <c r="W2482">
        <v>0.17371139999999999</v>
      </c>
      <c r="X2482">
        <v>0.96785129999999997</v>
      </c>
      <c r="Y2482">
        <v>-0.27344069999999998</v>
      </c>
      <c r="Z2482">
        <v>2.3893539999999998E-3</v>
      </c>
      <c r="AA2482">
        <v>0.96188589999999996</v>
      </c>
      <c r="AB2482">
        <v>27</v>
      </c>
      <c r="AC2482">
        <v>-10.2905</v>
      </c>
      <c r="AD2482">
        <v>-1.1156168721539901</v>
      </c>
      <c r="AE2482">
        <v>-4.8966999999999503</v>
      </c>
      <c r="AF2482">
        <v>-3.1313033572975799</v>
      </c>
      <c r="AG2482">
        <v>-1.1156168721539901</v>
      </c>
      <c r="AH2482">
        <v>10.844958677390601</v>
      </c>
      <c r="AI2482">
        <v>95.644349541339295</v>
      </c>
      <c r="AJ2482">
        <v>106.105202903312</v>
      </c>
      <c r="AK2482">
        <v>11.3429621543566</v>
      </c>
      <c r="AL2482">
        <v>79.996321631816997</v>
      </c>
      <c r="AM2482">
        <v>100.644214654075</v>
      </c>
      <c r="AN2482">
        <v>0.99999999074210399</v>
      </c>
    </row>
    <row r="2483" spans="1:40" x14ac:dyDescent="0.25">
      <c r="A2483" t="str">
        <f>"20190312172418600"</f>
        <v>20190312172418600</v>
      </c>
      <c r="B2483" t="str">
        <f>"1552382658592411"</f>
        <v>1552382658592411</v>
      </c>
      <c r="C2483" t="s">
        <v>40</v>
      </c>
      <c r="D2483">
        <v>3.9188070000000002</v>
      </c>
      <c r="E2483">
        <v>0.4626362</v>
      </c>
      <c r="F2483" t="s">
        <v>46</v>
      </c>
      <c r="G2483">
        <v>-479.30829999999997</v>
      </c>
      <c r="H2483" s="1">
        <v>2.0530410000000002E-6</v>
      </c>
      <c r="I2483">
        <v>279.66090000000003</v>
      </c>
      <c r="J2483">
        <v>-469.02769999999998</v>
      </c>
      <c r="K2483">
        <v>1.115659</v>
      </c>
      <c r="L2483">
        <v>284.59199999999998</v>
      </c>
      <c r="M2483">
        <v>-0.98592849999999999</v>
      </c>
      <c r="N2483">
        <v>0</v>
      </c>
      <c r="O2483">
        <v>-0.16654820000000001</v>
      </c>
      <c r="P2483">
        <v>-0.92681190000000002</v>
      </c>
      <c r="Q2483">
        <v>0.16161719999999999</v>
      </c>
      <c r="R2483">
        <v>-0.33896910000000002</v>
      </c>
      <c r="S2483">
        <v>-2.8036189999999999</v>
      </c>
      <c r="T2483">
        <v>-0.29941459999999998</v>
      </c>
      <c r="U2483">
        <v>-1.3319399999999999</v>
      </c>
      <c r="V2483">
        <v>-0.18197169999999999</v>
      </c>
      <c r="W2483">
        <v>0.17337230000000001</v>
      </c>
      <c r="X2483">
        <v>0.96789899999999995</v>
      </c>
      <c r="Y2483">
        <v>-0.27218369999999997</v>
      </c>
      <c r="Z2483">
        <v>2.8672900000000002E-3</v>
      </c>
      <c r="AA2483">
        <v>0.96224109999999996</v>
      </c>
      <c r="AB2483">
        <v>27</v>
      </c>
      <c r="AC2483">
        <v>-10.2805999999999</v>
      </c>
      <c r="AD2483">
        <v>-1.1156569469590001</v>
      </c>
      <c r="AE2483">
        <v>-4.9310999999999501</v>
      </c>
      <c r="AF2483">
        <v>-3.1199515203319299</v>
      </c>
      <c r="AG2483">
        <v>-1.1156569469590001</v>
      </c>
      <c r="AH2483">
        <v>10.8544140562778</v>
      </c>
      <c r="AI2483">
        <v>95.641599731044195</v>
      </c>
      <c r="AJ2483">
        <v>106.03656681291901</v>
      </c>
      <c r="AK2483">
        <v>11.3488806680501</v>
      </c>
      <c r="AL2483">
        <v>80.016050719057802</v>
      </c>
      <c r="AM2483">
        <v>100.647710097836</v>
      </c>
      <c r="AN2483">
        <v>1.0000000641045801</v>
      </c>
    </row>
    <row r="2484" spans="1:40" x14ac:dyDescent="0.25">
      <c r="A2484" t="str">
        <f>"20190312172418612"</f>
        <v>20190312172418612</v>
      </c>
      <c r="B2484" t="str">
        <f>"1552382658602171"</f>
        <v>1552382658602171</v>
      </c>
      <c r="C2484" t="s">
        <v>40</v>
      </c>
      <c r="D2484">
        <v>3.86111</v>
      </c>
      <c r="E2484">
        <v>0.4626362</v>
      </c>
      <c r="F2484" t="s">
        <v>46</v>
      </c>
      <c r="G2484">
        <v>-479.41539999999998</v>
      </c>
      <c r="H2484" s="1">
        <v>2.0008730000000001E-6</v>
      </c>
      <c r="I2484">
        <v>279.61040000000003</v>
      </c>
      <c r="J2484">
        <v>-469.17540000000002</v>
      </c>
      <c r="K2484">
        <v>1.1156980000000001</v>
      </c>
      <c r="L2484">
        <v>284.56290000000001</v>
      </c>
      <c r="M2484">
        <v>-0.98527299999999995</v>
      </c>
      <c r="N2484">
        <v>0</v>
      </c>
      <c r="O2484">
        <v>-0.17038149999999999</v>
      </c>
      <c r="P2484">
        <v>-0.92549879999999995</v>
      </c>
      <c r="Q2484">
        <v>0.16165189999999999</v>
      </c>
      <c r="R2484">
        <v>-0.34252149999999998</v>
      </c>
      <c r="S2484">
        <v>-2.7984619999999998</v>
      </c>
      <c r="T2484">
        <v>-0.3005602</v>
      </c>
      <c r="U2484">
        <v>-1.3420719999999999</v>
      </c>
      <c r="V2484">
        <v>-0.18193770000000001</v>
      </c>
      <c r="W2484">
        <v>0.17339489999999999</v>
      </c>
      <c r="X2484">
        <v>0.96790129999999996</v>
      </c>
      <c r="Y2484">
        <v>-0.27197939999999998</v>
      </c>
      <c r="Z2484">
        <v>3.2679509999999998E-3</v>
      </c>
      <c r="AA2484">
        <v>0.96229759999999998</v>
      </c>
      <c r="AB2484">
        <v>27</v>
      </c>
      <c r="AC2484">
        <v>-10.239999999999901</v>
      </c>
      <c r="AD2484">
        <v>-1.1156959991269999</v>
      </c>
      <c r="AE2484">
        <v>-4.9524999999999801</v>
      </c>
      <c r="AF2484">
        <v>-3.1053075437163402</v>
      </c>
      <c r="AG2484">
        <v>-1.1156959991269999</v>
      </c>
      <c r="AH2484">
        <v>10.829950961714101</v>
      </c>
      <c r="AI2484">
        <v>95.655504750244802</v>
      </c>
      <c r="AJ2484">
        <v>105.999359977472</v>
      </c>
      <c r="AK2484">
        <v>11.321464142798099</v>
      </c>
      <c r="AL2484">
        <v>80.014735499216499</v>
      </c>
      <c r="AM2484">
        <v>100.64574141344001</v>
      </c>
      <c r="AN2484">
        <v>1.00000002228449</v>
      </c>
    </row>
    <row r="2485" spans="1:40" x14ac:dyDescent="0.25">
      <c r="A2485" t="str">
        <f>"20190312172418627"</f>
        <v>20190312172418627</v>
      </c>
      <c r="B2485" t="str">
        <f>"1552382658622667"</f>
        <v>1552382658622667</v>
      </c>
      <c r="C2485" t="s">
        <v>40</v>
      </c>
      <c r="D2485">
        <v>3.8296830000000002</v>
      </c>
      <c r="E2485">
        <v>0.47494740000000002</v>
      </c>
      <c r="F2485" t="s">
        <v>46</v>
      </c>
      <c r="G2485">
        <v>-479.54660000000001</v>
      </c>
      <c r="H2485" s="1">
        <v>1.9333179999999998E-6</v>
      </c>
      <c r="I2485">
        <v>279.5394</v>
      </c>
      <c r="J2485">
        <v>-469.34089999999998</v>
      </c>
      <c r="K2485">
        <v>1.115742</v>
      </c>
      <c r="L2485">
        <v>284.52969999999999</v>
      </c>
      <c r="M2485">
        <v>-0.98451540000000004</v>
      </c>
      <c r="N2485">
        <v>0</v>
      </c>
      <c r="O2485">
        <v>-0.17470620000000001</v>
      </c>
      <c r="P2485">
        <v>-0.92386900000000005</v>
      </c>
      <c r="Q2485">
        <v>0.16180530000000001</v>
      </c>
      <c r="R2485">
        <v>-0.34682180000000001</v>
      </c>
      <c r="S2485">
        <v>-2.7932130000000002</v>
      </c>
      <c r="T2485">
        <v>-0.30048619999999998</v>
      </c>
      <c r="U2485">
        <v>-1.3529659999999999</v>
      </c>
      <c r="V2485">
        <v>-0.18221480000000001</v>
      </c>
      <c r="W2485">
        <v>0.17353009999999999</v>
      </c>
      <c r="X2485">
        <v>0.96782489999999999</v>
      </c>
      <c r="Y2485">
        <v>-0.27152539999999997</v>
      </c>
      <c r="Z2485">
        <v>3.7179090000000001E-3</v>
      </c>
      <c r="AA2485">
        <v>0.9624241</v>
      </c>
      <c r="AB2485">
        <v>27</v>
      </c>
      <c r="AC2485">
        <v>-10.2057</v>
      </c>
      <c r="AD2485">
        <v>-1.1157400666820001</v>
      </c>
      <c r="AE2485">
        <v>-4.9902999999999897</v>
      </c>
      <c r="AF2485">
        <v>-3.1004462544576801</v>
      </c>
      <c r="AG2485">
        <v>-1.1157400666820001</v>
      </c>
      <c r="AH2485">
        <v>10.816304976923901</v>
      </c>
      <c r="AI2485">
        <v>95.6629463731351</v>
      </c>
      <c r="AJ2485">
        <v>105.99471705526599</v>
      </c>
      <c r="AK2485">
        <v>11.3070816848119</v>
      </c>
      <c r="AL2485">
        <v>80.0068694742275</v>
      </c>
      <c r="AM2485">
        <v>100.662406301441</v>
      </c>
      <c r="AN2485">
        <v>0.99999998300252901</v>
      </c>
    </row>
    <row r="2486" spans="1:40" x14ac:dyDescent="0.25">
      <c r="A2486" t="str">
        <f>"20190312172418640"</f>
        <v>20190312172418640</v>
      </c>
      <c r="B2486" t="str">
        <f>"1552382658632426"</f>
        <v>1552382658632426</v>
      </c>
      <c r="C2486" t="s">
        <v>40</v>
      </c>
      <c r="D2486">
        <v>3.8093460000000001</v>
      </c>
      <c r="E2486">
        <v>0.47423959999999998</v>
      </c>
      <c r="F2486" t="s">
        <v>46</v>
      </c>
      <c r="G2486">
        <v>-479.75020000000001</v>
      </c>
      <c r="H2486" s="1">
        <v>1.871906E-6</v>
      </c>
      <c r="I2486">
        <v>279.83030000000002</v>
      </c>
      <c r="J2486">
        <v>-469.50209999999998</v>
      </c>
      <c r="K2486">
        <v>1.115783</v>
      </c>
      <c r="L2486">
        <v>284.49669999999998</v>
      </c>
      <c r="M2486">
        <v>-0.9837513</v>
      </c>
      <c r="N2486">
        <v>0</v>
      </c>
      <c r="O2486">
        <v>-0.1789579</v>
      </c>
      <c r="P2486">
        <v>-0.92228140000000003</v>
      </c>
      <c r="Q2486">
        <v>0.1615867</v>
      </c>
      <c r="R2486">
        <v>-0.3511223</v>
      </c>
      <c r="S2486">
        <v>-2.82193</v>
      </c>
      <c r="T2486">
        <v>-0.30247380000000001</v>
      </c>
      <c r="U2486">
        <v>-1.273987</v>
      </c>
      <c r="V2486">
        <v>-0.18255160000000001</v>
      </c>
      <c r="W2486">
        <v>0.17329339999999999</v>
      </c>
      <c r="X2486">
        <v>0.96780379999999999</v>
      </c>
      <c r="Y2486">
        <v>-0.24140500000000001</v>
      </c>
      <c r="Z2486">
        <v>5.6955E-3</v>
      </c>
      <c r="AA2486">
        <v>0.97040769999999998</v>
      </c>
      <c r="AB2486">
        <v>27</v>
      </c>
      <c r="AC2486">
        <v>-10.248100000000001</v>
      </c>
      <c r="AD2486">
        <v>-1.115781128094</v>
      </c>
      <c r="AE2486">
        <v>-4.6663999999999497</v>
      </c>
      <c r="AF2486">
        <v>-2.7300794474288699</v>
      </c>
      <c r="AG2486">
        <v>-1.115781128094</v>
      </c>
      <c r="AH2486">
        <v>10.811649754824799</v>
      </c>
      <c r="AI2486">
        <v>95.714051299594303</v>
      </c>
      <c r="AJ2486">
        <v>104.171664476597</v>
      </c>
      <c r="AK2486">
        <v>11.206697628475901</v>
      </c>
      <c r="AL2486">
        <v>80.020639606185398</v>
      </c>
      <c r="AM2486">
        <v>100.68188878935401</v>
      </c>
      <c r="AN2486">
        <v>0.99999994222027799</v>
      </c>
    </row>
    <row r="2487" spans="1:40" x14ac:dyDescent="0.25">
      <c r="A2487" t="str">
        <f>"20190312172418663"</f>
        <v>20190312172418663</v>
      </c>
      <c r="B2487" t="str">
        <f>"1552382658652922"</f>
        <v>1552382658652922</v>
      </c>
      <c r="C2487" t="s">
        <v>40</v>
      </c>
      <c r="D2487">
        <v>4.0558740000000002</v>
      </c>
      <c r="E2487">
        <v>0.47356710000000002</v>
      </c>
      <c r="F2487" t="s">
        <v>46</v>
      </c>
      <c r="G2487">
        <v>-480.178</v>
      </c>
      <c r="H2487" s="1">
        <v>1.7912549999999999E-6</v>
      </c>
      <c r="I2487">
        <v>279.59100000000001</v>
      </c>
      <c r="J2487">
        <v>-469.76179999999999</v>
      </c>
      <c r="K2487">
        <v>1.115848</v>
      </c>
      <c r="L2487">
        <v>284.44159999999999</v>
      </c>
      <c r="M2487">
        <v>-0.98246009999999995</v>
      </c>
      <c r="N2487">
        <v>0</v>
      </c>
      <c r="O2487">
        <v>-0.18591489999999999</v>
      </c>
      <c r="P2487">
        <v>-0.91943580000000003</v>
      </c>
      <c r="Q2487">
        <v>0.1614823</v>
      </c>
      <c r="R2487">
        <v>-0.3585545</v>
      </c>
      <c r="S2487">
        <v>-2.8123469999999999</v>
      </c>
      <c r="T2487">
        <v>-0.293929</v>
      </c>
      <c r="U2487">
        <v>-1.292297</v>
      </c>
      <c r="V2487">
        <v>-0.18353949999999999</v>
      </c>
      <c r="W2487">
        <v>0.173154</v>
      </c>
      <c r="X2487">
        <v>0.96764190000000005</v>
      </c>
      <c r="Y2487">
        <v>-0.24105480000000001</v>
      </c>
      <c r="Z2487">
        <v>6.2286059999999898E-3</v>
      </c>
      <c r="AA2487">
        <v>0.97049149999999995</v>
      </c>
      <c r="AB2487">
        <v>27</v>
      </c>
      <c r="AC2487">
        <v>-10.4162</v>
      </c>
      <c r="AD2487">
        <v>-1.1158462087449901</v>
      </c>
      <c r="AE2487">
        <v>-4.8505999999999796</v>
      </c>
      <c r="AF2487">
        <v>-2.8028548638194799</v>
      </c>
      <c r="AG2487">
        <v>-1.1158462087449901</v>
      </c>
      <c r="AH2487">
        <v>11.0324118619972</v>
      </c>
      <c r="AI2487">
        <v>95.598725791477605</v>
      </c>
      <c r="AJ2487">
        <v>104.25477709292601</v>
      </c>
      <c r="AK2487">
        <v>11.4374481263061</v>
      </c>
      <c r="AL2487">
        <v>80.0287493261241</v>
      </c>
      <c r="AM2487">
        <v>100.740109294134</v>
      </c>
      <c r="AN2487">
        <v>0.99999995120592799</v>
      </c>
    </row>
    <row r="2488" spans="1:40" x14ac:dyDescent="0.25">
      <c r="A2488" t="str">
        <f>"20190312172418685"</f>
        <v>20190312172418685</v>
      </c>
      <c r="B2488" t="str">
        <f>"1552382658672444"</f>
        <v>1552382658672444</v>
      </c>
      <c r="C2488" t="s">
        <v>40</v>
      </c>
      <c r="D2488">
        <v>3.8066680000000002</v>
      </c>
      <c r="E2488">
        <v>0.47428320000000002</v>
      </c>
      <c r="F2488" t="s">
        <v>46</v>
      </c>
      <c r="G2488">
        <v>-480.07440000000003</v>
      </c>
      <c r="H2488" s="1">
        <v>1.7680869999999999E-6</v>
      </c>
      <c r="I2488">
        <v>279.57749999999999</v>
      </c>
      <c r="J2488">
        <v>-470.01609999999999</v>
      </c>
      <c r="K2488">
        <v>1.115904</v>
      </c>
      <c r="L2488">
        <v>284.38560000000001</v>
      </c>
      <c r="M2488">
        <v>-0.98112690000000002</v>
      </c>
      <c r="N2488">
        <v>0</v>
      </c>
      <c r="O2488">
        <v>-0.19282659999999999</v>
      </c>
      <c r="P2488">
        <v>-0.91682390000000002</v>
      </c>
      <c r="Q2488">
        <v>0.16024530000000001</v>
      </c>
      <c r="R2488">
        <v>-0.36572579999999999</v>
      </c>
      <c r="S2488">
        <v>-2.8009339999999998</v>
      </c>
      <c r="T2488">
        <v>-0.3030677</v>
      </c>
      <c r="U2488">
        <v>-1.3211059999999999</v>
      </c>
      <c r="V2488">
        <v>-0.18425730000000001</v>
      </c>
      <c r="W2488">
        <v>0.1718895</v>
      </c>
      <c r="X2488">
        <v>0.96773100000000001</v>
      </c>
      <c r="Y2488">
        <v>-0.24392130000000001</v>
      </c>
      <c r="Z2488">
        <v>6.9646609999999996E-3</v>
      </c>
      <c r="AA2488">
        <v>0.96977000000000002</v>
      </c>
      <c r="AB2488">
        <v>27</v>
      </c>
      <c r="AC2488">
        <v>-10.058299999999999</v>
      </c>
      <c r="AD2488">
        <v>-1.1159022319130001</v>
      </c>
      <c r="AE2488">
        <v>-4.80810000000002</v>
      </c>
      <c r="AF2488">
        <v>-2.75057912842118</v>
      </c>
      <c r="AG2488">
        <v>-1.1159022319130001</v>
      </c>
      <c r="AH2488">
        <v>10.689621031895401</v>
      </c>
      <c r="AI2488">
        <v>95.772872842502395</v>
      </c>
      <c r="AJ2488">
        <v>104.429919983253</v>
      </c>
      <c r="AK2488">
        <v>11.0940939755545</v>
      </c>
      <c r="AL2488">
        <v>80.102303423195806</v>
      </c>
      <c r="AM2488">
        <v>100.780160533466</v>
      </c>
      <c r="AN2488">
        <v>1.0000000205872599</v>
      </c>
    </row>
    <row r="2489" spans="1:40" x14ac:dyDescent="0.25">
      <c r="A2489" t="str">
        <f>"20190312172418697"</f>
        <v>20190312172418697</v>
      </c>
      <c r="B2489" t="str">
        <f>"1552382658692939"</f>
        <v>1552382658692939</v>
      </c>
      <c r="C2489" t="s">
        <v>40</v>
      </c>
      <c r="D2489">
        <v>3.7780480000000001</v>
      </c>
      <c r="E2489">
        <v>0.4746631</v>
      </c>
      <c r="F2489" t="s">
        <v>46</v>
      </c>
      <c r="G2489">
        <v>-480.1585</v>
      </c>
      <c r="H2489" s="1">
        <v>1.764928E-6</v>
      </c>
      <c r="I2489">
        <v>279.52629999999999</v>
      </c>
      <c r="J2489">
        <v>-470.16480000000001</v>
      </c>
      <c r="K2489">
        <v>1.115937</v>
      </c>
      <c r="L2489">
        <v>284.35199999999998</v>
      </c>
      <c r="M2489">
        <v>-0.98031550000000001</v>
      </c>
      <c r="N2489">
        <v>0</v>
      </c>
      <c r="O2489">
        <v>-0.19690920000000001</v>
      </c>
      <c r="P2489">
        <v>-0.91524839999999996</v>
      </c>
      <c r="Q2489">
        <v>0.15978049999999999</v>
      </c>
      <c r="R2489">
        <v>-0.36985190000000001</v>
      </c>
      <c r="S2489">
        <v>-2.7922060000000002</v>
      </c>
      <c r="T2489">
        <v>-0.30720760000000003</v>
      </c>
      <c r="U2489">
        <v>-1.337769</v>
      </c>
      <c r="V2489">
        <v>-0.1845812</v>
      </c>
      <c r="W2489">
        <v>0.17141129999999999</v>
      </c>
      <c r="X2489">
        <v>0.96775409999999995</v>
      </c>
      <c r="Y2489">
        <v>-0.24577379999999999</v>
      </c>
      <c r="Z2489">
        <v>7.3808779999999996E-3</v>
      </c>
      <c r="AA2489">
        <v>0.96929909999999997</v>
      </c>
      <c r="AB2489">
        <v>27</v>
      </c>
      <c r="AC2489">
        <v>-9.9936999999999898</v>
      </c>
      <c r="AD2489">
        <v>-1.115935235072</v>
      </c>
      <c r="AE2489">
        <v>-4.8257000000000403</v>
      </c>
      <c r="AF2489">
        <v>-2.7354857343893402</v>
      </c>
      <c r="AG2489">
        <v>-1.115935235072</v>
      </c>
      <c r="AH2489">
        <v>10.640732446764501</v>
      </c>
      <c r="AI2489">
        <v>95.7997144004772</v>
      </c>
      <c r="AJ2489">
        <v>104.41722446510801</v>
      </c>
      <c r="AK2489">
        <v>11.0432504569782</v>
      </c>
      <c r="AL2489">
        <v>80.130115096942603</v>
      </c>
      <c r="AM2489">
        <v>100.798413724524</v>
      </c>
      <c r="AN2489">
        <v>1.0000000256139601</v>
      </c>
    </row>
    <row r="2490" spans="1:40" x14ac:dyDescent="0.25">
      <c r="A2490" t="str">
        <f>"20190312172418719"</f>
        <v>20190312172418719</v>
      </c>
      <c r="B2490" t="str">
        <f>"1552382658712462"</f>
        <v>1552382658712462</v>
      </c>
      <c r="C2490" t="s">
        <v>40</v>
      </c>
      <c r="D2490">
        <v>3.8063549999999999</v>
      </c>
      <c r="E2490">
        <v>0.47521229999999998</v>
      </c>
      <c r="F2490" t="s">
        <v>46</v>
      </c>
      <c r="G2490">
        <v>-480.27589999999998</v>
      </c>
      <c r="H2490" s="1">
        <v>1.7632680000000001E-6</v>
      </c>
      <c r="I2490">
        <v>279.46269999999998</v>
      </c>
      <c r="J2490">
        <v>-470.4101</v>
      </c>
      <c r="K2490">
        <v>1.115985</v>
      </c>
      <c r="L2490">
        <v>284.29509999999999</v>
      </c>
      <c r="M2490">
        <v>-0.97892690000000004</v>
      </c>
      <c r="N2490">
        <v>0</v>
      </c>
      <c r="O2490">
        <v>-0.2037001</v>
      </c>
      <c r="P2490">
        <v>-0.91248359999999995</v>
      </c>
      <c r="Q2490">
        <v>0.159384</v>
      </c>
      <c r="R2490">
        <v>-0.37679020000000002</v>
      </c>
      <c r="S2490">
        <v>-2.786896</v>
      </c>
      <c r="T2490">
        <v>-0.30758210000000002</v>
      </c>
      <c r="U2490">
        <v>-1.347626</v>
      </c>
      <c r="V2490">
        <v>-0.1852229</v>
      </c>
      <c r="W2490">
        <v>0.17099039999999999</v>
      </c>
      <c r="X2490">
        <v>0.96770590000000001</v>
      </c>
      <c r="Y2490">
        <v>-0.2426015</v>
      </c>
      <c r="Z2490">
        <v>8.2424070000000002E-3</v>
      </c>
      <c r="AA2490">
        <v>0.97009100000000004</v>
      </c>
      <c r="AB2490">
        <v>27</v>
      </c>
      <c r="AC2490">
        <v>-9.8657999999999806</v>
      </c>
      <c r="AD2490">
        <v>-1.115983236732</v>
      </c>
      <c r="AE2490">
        <v>-4.8323999999999998</v>
      </c>
      <c r="AF2490">
        <v>-2.6933910459417101</v>
      </c>
      <c r="AG2490">
        <v>-1.115983236732</v>
      </c>
      <c r="AH2490">
        <v>10.5346542134734</v>
      </c>
      <c r="AI2490">
        <v>95.859930065610101</v>
      </c>
      <c r="AJ2490">
        <v>104.34157004257401</v>
      </c>
      <c r="AK2490">
        <v>10.9306318805675</v>
      </c>
      <c r="AL2490">
        <v>80.154591756526798</v>
      </c>
      <c r="AM2490">
        <v>100.835594359429</v>
      </c>
      <c r="AN2490">
        <v>0.99999997423568898</v>
      </c>
    </row>
    <row r="2491" spans="1:40" x14ac:dyDescent="0.25">
      <c r="A2491" t="str">
        <f>"20190312172418731"</f>
        <v>20190312172418731</v>
      </c>
      <c r="B2491" t="str">
        <f>"1552382658722219"</f>
        <v>1552382658722219</v>
      </c>
      <c r="C2491" t="s">
        <v>40</v>
      </c>
      <c r="D2491">
        <v>3.7114229999999999</v>
      </c>
      <c r="E2491">
        <v>0.47541139999999998</v>
      </c>
      <c r="F2491" t="s">
        <v>46</v>
      </c>
      <c r="G2491">
        <v>-480.42669999999998</v>
      </c>
      <c r="H2491" s="1">
        <v>1.7599840000000001E-6</v>
      </c>
      <c r="I2491">
        <v>279.37360000000001</v>
      </c>
      <c r="J2491">
        <v>-470.54950000000002</v>
      </c>
      <c r="K2491">
        <v>1.1160190000000001</v>
      </c>
      <c r="L2491">
        <v>284.26179999999999</v>
      </c>
      <c r="M2491">
        <v>-0.97810580000000003</v>
      </c>
      <c r="N2491">
        <v>0</v>
      </c>
      <c r="O2491">
        <v>-0.2076064</v>
      </c>
      <c r="P2491">
        <v>-0.91088349999999996</v>
      </c>
      <c r="Q2491">
        <v>0.1594537</v>
      </c>
      <c r="R2491">
        <v>-0.38061200000000001</v>
      </c>
      <c r="S2491">
        <v>-2.7781980000000002</v>
      </c>
      <c r="T2491">
        <v>-0.30952869999999999</v>
      </c>
      <c r="U2491">
        <v>-1.36502099999999</v>
      </c>
      <c r="V2491">
        <v>-0.18543229999999999</v>
      </c>
      <c r="W2491">
        <v>0.17104820000000001</v>
      </c>
      <c r="X2491">
        <v>0.96765559999999995</v>
      </c>
      <c r="Y2491">
        <v>-0.24482770000000001</v>
      </c>
      <c r="Z2491">
        <v>8.5808550000000001E-3</v>
      </c>
      <c r="AA2491">
        <v>0.96952859999999996</v>
      </c>
      <c r="AB2491">
        <v>27</v>
      </c>
      <c r="AC2491">
        <v>-9.8771999999999593</v>
      </c>
      <c r="AD2491">
        <v>-1.116017240016</v>
      </c>
      <c r="AE2491">
        <v>-4.8881999999999799</v>
      </c>
      <c r="AF2491">
        <v>-2.7031709689873402</v>
      </c>
      <c r="AG2491">
        <v>-1.116017240016</v>
      </c>
      <c r="AH2491">
        <v>10.5685030546534</v>
      </c>
      <c r="AI2491">
        <v>95.841320269626493</v>
      </c>
      <c r="AJ2491">
        <v>104.34729880881299</v>
      </c>
      <c r="AK2491">
        <v>10.965668451298701</v>
      </c>
      <c r="AL2491">
        <v>80.151230722657203</v>
      </c>
      <c r="AM2491">
        <v>100.84810433513699</v>
      </c>
      <c r="AN2491">
        <v>0.99999999240894499</v>
      </c>
    </row>
    <row r="2492" spans="1:40" x14ac:dyDescent="0.25">
      <c r="A2492" t="str">
        <f>"20190312172418743"</f>
        <v>20190312172418743</v>
      </c>
      <c r="B2492" t="str">
        <f>"1552382658732955"</f>
        <v>1552382658732955</v>
      </c>
      <c r="C2492" t="s">
        <v>40</v>
      </c>
      <c r="D2492">
        <v>3.7007249999999998</v>
      </c>
      <c r="E2492">
        <v>0.4755953</v>
      </c>
      <c r="F2492" t="s">
        <v>46</v>
      </c>
      <c r="G2492">
        <v>-480.59280000000001</v>
      </c>
      <c r="H2492" s="1">
        <v>1.758377E-6</v>
      </c>
      <c r="I2492">
        <v>279.2808</v>
      </c>
      <c r="J2492">
        <v>-470.70249999999999</v>
      </c>
      <c r="K2492">
        <v>1.1160509999999999</v>
      </c>
      <c r="L2492">
        <v>284.22469999999998</v>
      </c>
      <c r="M2492">
        <v>-0.97718130000000003</v>
      </c>
      <c r="N2492">
        <v>0</v>
      </c>
      <c r="O2492">
        <v>-0.2119153</v>
      </c>
      <c r="P2492">
        <v>-0.90920769999999995</v>
      </c>
      <c r="Q2492">
        <v>0.15946879999999999</v>
      </c>
      <c r="R2492">
        <v>-0.38459280000000001</v>
      </c>
      <c r="S2492">
        <v>-2.7728269999999999</v>
      </c>
      <c r="T2492">
        <v>-0.30811749999999999</v>
      </c>
      <c r="U2492">
        <v>-1.375183</v>
      </c>
      <c r="V2492">
        <v>-0.1854142</v>
      </c>
      <c r="W2492">
        <v>0.17105379999999901</v>
      </c>
      <c r="X2492">
        <v>0.96765809999999997</v>
      </c>
      <c r="Y2492">
        <v>-0.2441786</v>
      </c>
      <c r="Z2492">
        <v>9.0150500000000001E-3</v>
      </c>
      <c r="AA2492">
        <v>0.96968840000000001</v>
      </c>
      <c r="AB2492">
        <v>27</v>
      </c>
      <c r="AC2492">
        <v>-9.8903000000000194</v>
      </c>
      <c r="AD2492">
        <v>-1.1160492416229999</v>
      </c>
      <c r="AE2492">
        <v>-4.9438999999999798</v>
      </c>
      <c r="AF2492">
        <v>-2.7078786718123999</v>
      </c>
      <c r="AG2492">
        <v>-1.1160492416229999</v>
      </c>
      <c r="AH2492">
        <v>10.6053760332602</v>
      </c>
      <c r="AI2492">
        <v>95.821934265968494</v>
      </c>
      <c r="AJ2492">
        <v>104.323344270338</v>
      </c>
      <c r="AK2492">
        <v>11.0023712724955</v>
      </c>
      <c r="AL2492">
        <v>80.150905274399804</v>
      </c>
      <c r="AM2492">
        <v>100.84704321650899</v>
      </c>
      <c r="AN2492">
        <v>1.00000001327584</v>
      </c>
    </row>
    <row r="2493" spans="1:40" x14ac:dyDescent="0.25">
      <c r="A2493" t="str">
        <f>"20190312172418763"</f>
        <v>20190312172418763</v>
      </c>
      <c r="B2493" t="str">
        <f>"1552382658752475"</f>
        <v>1552382658752475</v>
      </c>
      <c r="C2493" t="s">
        <v>40</v>
      </c>
      <c r="D2493">
        <v>3.7101869999999999</v>
      </c>
      <c r="E2493">
        <v>0.47606320000000002</v>
      </c>
      <c r="F2493" t="s">
        <v>46</v>
      </c>
      <c r="G2493">
        <v>-480.7663</v>
      </c>
      <c r="H2493" s="1">
        <v>1.756551E-6</v>
      </c>
      <c r="I2493">
        <v>279.18310000000002</v>
      </c>
      <c r="J2493">
        <v>-470.9194</v>
      </c>
      <c r="K2493">
        <v>1.1161019999999999</v>
      </c>
      <c r="L2493">
        <v>284.17079999999999</v>
      </c>
      <c r="M2493">
        <v>-0.9758211</v>
      </c>
      <c r="N2493">
        <v>0</v>
      </c>
      <c r="O2493">
        <v>-0.21809339999999999</v>
      </c>
      <c r="P2493">
        <v>-0.90667180000000003</v>
      </c>
      <c r="Q2493">
        <v>0.1593369</v>
      </c>
      <c r="R2493">
        <v>-0.39058759999999998</v>
      </c>
      <c r="S2493">
        <v>-2.7670590000000002</v>
      </c>
      <c r="T2493">
        <v>-0.30685879999999999</v>
      </c>
      <c r="U2493">
        <v>-1.3862000000000001</v>
      </c>
      <c r="V2493">
        <v>-0.185695</v>
      </c>
      <c r="W2493">
        <v>0.170903</v>
      </c>
      <c r="X2493">
        <v>0.96763089999999996</v>
      </c>
      <c r="Y2493">
        <v>-0.24197879999999999</v>
      </c>
      <c r="Z2493">
        <v>9.7179060000000001E-3</v>
      </c>
      <c r="AA2493">
        <v>0.97023289999999995</v>
      </c>
      <c r="AB2493">
        <v>27</v>
      </c>
      <c r="AC2493">
        <v>-9.8468999999999998</v>
      </c>
      <c r="AD2493">
        <v>-1.1161002434489999</v>
      </c>
      <c r="AE2493">
        <v>-4.9876999999999603</v>
      </c>
      <c r="AF2493">
        <v>-2.69231620484589</v>
      </c>
      <c r="AG2493">
        <v>-1.1161002434489999</v>
      </c>
      <c r="AH2493">
        <v>10.5894456005291</v>
      </c>
      <c r="AI2493">
        <v>95.8324010481426</v>
      </c>
      <c r="AJ2493">
        <v>104.264940583322</v>
      </c>
      <c r="AK2493">
        <v>10.983196457628701</v>
      </c>
      <c r="AL2493">
        <v>80.159674610804899</v>
      </c>
      <c r="AM2493">
        <v>100.863378016707</v>
      </c>
      <c r="AN2493">
        <v>1.0000000135344</v>
      </c>
    </row>
    <row r="2494" spans="1:40" x14ac:dyDescent="0.25">
      <c r="A2494" t="str">
        <f>"20190312172418773"</f>
        <v>20190312172418773</v>
      </c>
      <c r="B2494" t="str">
        <f>"1552382658762235"</f>
        <v>1552382658762235</v>
      </c>
      <c r="C2494" t="s">
        <v>40</v>
      </c>
      <c r="D2494">
        <v>3.7106539999999999</v>
      </c>
      <c r="E2494">
        <v>0.47596899999999998</v>
      </c>
      <c r="F2494" t="s">
        <v>46</v>
      </c>
      <c r="G2494">
        <v>-480.89890000000003</v>
      </c>
      <c r="H2494" s="1">
        <v>1.7545539999999999E-6</v>
      </c>
      <c r="I2494">
        <v>279.10500000000002</v>
      </c>
      <c r="J2494">
        <v>-471.05279999999999</v>
      </c>
      <c r="K2494">
        <v>1.1161289999999999</v>
      </c>
      <c r="L2494">
        <v>284.13670000000002</v>
      </c>
      <c r="M2494">
        <v>-0.97495529999999997</v>
      </c>
      <c r="N2494">
        <v>0</v>
      </c>
      <c r="O2494">
        <v>-0.2219314</v>
      </c>
      <c r="P2494">
        <v>-0.90510159999999995</v>
      </c>
      <c r="Q2494">
        <v>0.1597943</v>
      </c>
      <c r="R2494">
        <v>-0.39402700000000002</v>
      </c>
      <c r="S2494">
        <v>-2.7596129999999999</v>
      </c>
      <c r="T2494">
        <v>-0.30863559999999901</v>
      </c>
      <c r="U2494">
        <v>-1.4008480000000001</v>
      </c>
      <c r="V2494">
        <v>-0.18559680000000001</v>
      </c>
      <c r="W2494">
        <v>0.17135310000000001</v>
      </c>
      <c r="X2494">
        <v>0.96757009999999999</v>
      </c>
      <c r="Y2494">
        <v>-0.24332229999999999</v>
      </c>
      <c r="Z2494">
        <v>1.009822E-2</v>
      </c>
      <c r="AA2494">
        <v>0.96989289999999995</v>
      </c>
      <c r="AB2494">
        <v>27</v>
      </c>
      <c r="AC2494">
        <v>-9.8461000000000301</v>
      </c>
      <c r="AD2494">
        <v>-1.1161272454460001</v>
      </c>
      <c r="AE2494">
        <v>-5.0316999999999998</v>
      </c>
      <c r="AF2494">
        <v>-2.6933650504901698</v>
      </c>
      <c r="AG2494">
        <v>-1.1161272454460001</v>
      </c>
      <c r="AH2494">
        <v>10.609220628463399</v>
      </c>
      <c r="AI2494">
        <v>95.822261886773205</v>
      </c>
      <c r="AJ2494">
        <v>104.244755349767</v>
      </c>
      <c r="AK2494">
        <v>11.0025232409045</v>
      </c>
      <c r="AL2494">
        <v>80.133499311877401</v>
      </c>
      <c r="AM2494">
        <v>100.85843584735299</v>
      </c>
      <c r="AN2494">
        <v>0.99999997773192895</v>
      </c>
    </row>
    <row r="2495" spans="1:40" x14ac:dyDescent="0.25">
      <c r="A2495" t="str">
        <f>"20190312172418786"</f>
        <v>20190312172418786</v>
      </c>
      <c r="B2495" t="str">
        <f>"1552382658782731"</f>
        <v>1552382658782731</v>
      </c>
      <c r="C2495" t="s">
        <v>40</v>
      </c>
      <c r="D2495">
        <v>3.825815</v>
      </c>
      <c r="E2495">
        <v>0.45623359999999902</v>
      </c>
      <c r="F2495" t="s">
        <v>46</v>
      </c>
      <c r="G2495">
        <v>-481.05790000000002</v>
      </c>
      <c r="H2495" s="1">
        <v>1.7513160000000001E-6</v>
      </c>
      <c r="I2495">
        <v>279.00650000000002</v>
      </c>
      <c r="J2495">
        <v>-471.1909</v>
      </c>
      <c r="K2495">
        <v>1.11616</v>
      </c>
      <c r="L2495">
        <v>284.101</v>
      </c>
      <c r="M2495">
        <v>-0.97403790000000001</v>
      </c>
      <c r="N2495">
        <v>0</v>
      </c>
      <c r="O2495">
        <v>-0.22592309999999999</v>
      </c>
      <c r="P2495">
        <v>-0.90340359999999997</v>
      </c>
      <c r="Q2495">
        <v>0.1599131</v>
      </c>
      <c r="R2495">
        <v>-0.39785690000000001</v>
      </c>
      <c r="S2495">
        <v>-2.7540589999999998</v>
      </c>
      <c r="T2495">
        <v>-0.3072298</v>
      </c>
      <c r="U2495">
        <v>-1.4121699999999999</v>
      </c>
      <c r="V2495">
        <v>-0.1857501</v>
      </c>
      <c r="W2495">
        <v>0.17146110000000001</v>
      </c>
      <c r="X2495">
        <v>0.96752150000000003</v>
      </c>
      <c r="Y2495">
        <v>-0.2433205</v>
      </c>
      <c r="Z2495">
        <v>1.045835E-2</v>
      </c>
      <c r="AA2495">
        <v>0.96988960000000002</v>
      </c>
      <c r="AB2495">
        <v>27</v>
      </c>
      <c r="AC2495">
        <v>-9.8670000000000098</v>
      </c>
      <c r="AD2495">
        <v>-1.1161582486839901</v>
      </c>
      <c r="AE2495">
        <v>-5.0944999999999796</v>
      </c>
      <c r="AF2495">
        <v>-2.7059998565401999</v>
      </c>
      <c r="AG2495">
        <v>-1.1161582486839901</v>
      </c>
      <c r="AH2495">
        <v>10.6552720403196</v>
      </c>
      <c r="AI2495">
        <v>95.7973084906655</v>
      </c>
      <c r="AJ2495">
        <v>104.24952261000099</v>
      </c>
      <c r="AK2495">
        <v>11.050025643088601</v>
      </c>
      <c r="AL2495">
        <v>80.127217943171402</v>
      </c>
      <c r="AM2495">
        <v>100.86772414718899</v>
      </c>
      <c r="AN2495">
        <v>0.99999993071273197</v>
      </c>
    </row>
    <row r="2496" spans="1:40" x14ac:dyDescent="0.25">
      <c r="A2496" t="str">
        <f>"20190312172418800"</f>
        <v>20190312172418800</v>
      </c>
      <c r="B2496" t="str">
        <f>"1552382658792491"</f>
        <v>1552382658792491</v>
      </c>
      <c r="C2496" t="s">
        <v>40</v>
      </c>
      <c r="D2496">
        <v>3.840792</v>
      </c>
      <c r="E2496">
        <v>0.45265260000000002</v>
      </c>
      <c r="F2496" t="s">
        <v>46</v>
      </c>
      <c r="G2496">
        <v>-480.77629999999999</v>
      </c>
      <c r="H2496" s="1">
        <v>1.637678E-6</v>
      </c>
      <c r="I2496">
        <v>278.50310000000002</v>
      </c>
      <c r="J2496">
        <v>-471.34440000000001</v>
      </c>
      <c r="K2496">
        <v>1.11619</v>
      </c>
      <c r="L2496">
        <v>284.06060000000002</v>
      </c>
      <c r="M2496">
        <v>-0.97299259999999999</v>
      </c>
      <c r="N2496">
        <v>0</v>
      </c>
      <c r="O2496">
        <v>-0.2303828</v>
      </c>
      <c r="P2496">
        <v>-0.90155850000000004</v>
      </c>
      <c r="Q2496">
        <v>0.1601784</v>
      </c>
      <c r="R2496">
        <v>-0.4019144</v>
      </c>
      <c r="S2496">
        <v>-2.685425</v>
      </c>
      <c r="T2496">
        <v>-0.31270229999999999</v>
      </c>
      <c r="U2496">
        <v>-1.568298</v>
      </c>
      <c r="V2496">
        <v>-0.18569459999999999</v>
      </c>
      <c r="W2496">
        <v>0.1717176</v>
      </c>
      <c r="X2496">
        <v>0.96748670000000003</v>
      </c>
      <c r="Y2496">
        <v>-0.29145779999999999</v>
      </c>
      <c r="Z2496">
        <v>8.5703369999999904E-3</v>
      </c>
      <c r="AA2496">
        <v>0.95654530000000004</v>
      </c>
      <c r="AB2496">
        <v>27</v>
      </c>
      <c r="AC2496">
        <v>-9.4318999999999793</v>
      </c>
      <c r="AD2496">
        <v>-1.1161883623219999</v>
      </c>
      <c r="AE2496">
        <v>-5.5575000000000001</v>
      </c>
      <c r="AF2496">
        <v>-3.20151549808786</v>
      </c>
      <c r="AG2496">
        <v>-1.1161883623219999</v>
      </c>
      <c r="AH2496">
        <v>10.351010226009899</v>
      </c>
      <c r="AI2496">
        <v>95.881789288826994</v>
      </c>
      <c r="AJ2496">
        <v>107.18657574392699</v>
      </c>
      <c r="AK2496">
        <v>10.8921527093427</v>
      </c>
      <c r="AL2496">
        <v>80.112300683782905</v>
      </c>
      <c r="AM2496">
        <v>100.864935778147</v>
      </c>
      <c r="AN2496">
        <v>0.99999996664790403</v>
      </c>
    </row>
    <row r="2497" spans="1:40" x14ac:dyDescent="0.25">
      <c r="A2497" t="str">
        <f>"20190312172418812"</f>
        <v>20190312172418812</v>
      </c>
      <c r="B2497" t="str">
        <f>"1552382658802251"</f>
        <v>1552382658802251</v>
      </c>
      <c r="C2497" t="s">
        <v>40</v>
      </c>
      <c r="D2497">
        <v>3.5860910000000001</v>
      </c>
      <c r="E2497">
        <v>0.45218269999999999</v>
      </c>
      <c r="F2497" t="s">
        <v>46</v>
      </c>
      <c r="G2497">
        <v>-480.9665</v>
      </c>
      <c r="H2497" s="1">
        <v>1.6121129999999999E-6</v>
      </c>
      <c r="I2497">
        <v>278.26209999999998</v>
      </c>
      <c r="J2497">
        <v>-471.49369999999999</v>
      </c>
      <c r="K2497">
        <v>1.116223</v>
      </c>
      <c r="L2497">
        <v>284.02030000000002</v>
      </c>
      <c r="M2497">
        <v>-0.97194530000000001</v>
      </c>
      <c r="N2497">
        <v>0</v>
      </c>
      <c r="O2497">
        <v>-0.23476169999999999</v>
      </c>
      <c r="P2497">
        <v>-0.8996267</v>
      </c>
      <c r="Q2497">
        <v>0.16042670000000001</v>
      </c>
      <c r="R2497">
        <v>-0.40612239999999999</v>
      </c>
      <c r="S2497">
        <v>-2.666229</v>
      </c>
      <c r="T2497">
        <v>-0.30928800000000001</v>
      </c>
      <c r="U2497">
        <v>-1.6067199999999999</v>
      </c>
      <c r="V2497">
        <v>-0.18588470000000001</v>
      </c>
      <c r="W2497">
        <v>0.17195439999999901</v>
      </c>
      <c r="X2497">
        <v>0.96740820000000005</v>
      </c>
      <c r="Y2497">
        <v>-0.30029319999999998</v>
      </c>
      <c r="Z2497">
        <v>8.4625910000000002E-3</v>
      </c>
      <c r="AA2497">
        <v>0.95380940000000003</v>
      </c>
      <c r="AB2497">
        <v>27</v>
      </c>
      <c r="AC2497">
        <v>-9.4727999999999994</v>
      </c>
      <c r="AD2497">
        <v>-1.116221387887</v>
      </c>
      <c r="AE2497">
        <v>-5.7582000000000404</v>
      </c>
      <c r="AF2497">
        <v>-3.3393016762984402</v>
      </c>
      <c r="AG2497">
        <v>-1.116221387887</v>
      </c>
      <c r="AH2497">
        <v>10.453963936997001</v>
      </c>
      <c r="AI2497">
        <v>95.807688429318702</v>
      </c>
      <c r="AJ2497">
        <v>107.71500182399301</v>
      </c>
      <c r="AK2497">
        <v>11.030967675963</v>
      </c>
      <c r="AL2497">
        <v>80.098528832224702</v>
      </c>
      <c r="AM2497">
        <v>100.876654810703</v>
      </c>
      <c r="AN2497">
        <v>1.0000000314003401</v>
      </c>
    </row>
    <row r="2498" spans="1:40" x14ac:dyDescent="0.25">
      <c r="A2498" t="str">
        <f>"20190312172418826"</f>
        <v>20190312172418826</v>
      </c>
      <c r="B2498" t="str">
        <f>"1552382658822747"</f>
        <v>1552382658822747</v>
      </c>
      <c r="C2498" t="s">
        <v>40</v>
      </c>
      <c r="D2498">
        <v>3.5635590000000001</v>
      </c>
      <c r="E2498">
        <v>0.45154509999999998</v>
      </c>
      <c r="F2498" t="s">
        <v>46</v>
      </c>
      <c r="G2498">
        <v>-481.44709999999998</v>
      </c>
      <c r="H2498" s="1">
        <v>1.5980730000000001E-6</v>
      </c>
      <c r="I2498">
        <v>277.94040000000001</v>
      </c>
      <c r="J2498">
        <v>-471.64389999999997</v>
      </c>
      <c r="K2498">
        <v>1.116252</v>
      </c>
      <c r="L2498">
        <v>283.97910000000002</v>
      </c>
      <c r="M2498">
        <v>-0.97086410000000001</v>
      </c>
      <c r="N2498">
        <v>0</v>
      </c>
      <c r="O2498">
        <v>-0.23919360000000001</v>
      </c>
      <c r="P2498">
        <v>-0.89763549999999903</v>
      </c>
      <c r="Q2498">
        <v>0.16093160000000001</v>
      </c>
      <c r="R2498">
        <v>-0.41030689999999997</v>
      </c>
      <c r="S2498">
        <v>-2.655548</v>
      </c>
      <c r="T2498">
        <v>-0.29780499999999999</v>
      </c>
      <c r="U2498">
        <v>-1.622101</v>
      </c>
      <c r="V2498">
        <v>-0.18601609999999999</v>
      </c>
      <c r="W2498">
        <v>0.17244709999999999</v>
      </c>
      <c r="X2498">
        <v>0.96729520000000002</v>
      </c>
      <c r="Y2498">
        <v>-0.30170540000000001</v>
      </c>
      <c r="Z2498">
        <v>8.5216430000000006E-3</v>
      </c>
      <c r="AA2498">
        <v>0.95336310000000002</v>
      </c>
      <c r="AB2498">
        <v>27</v>
      </c>
      <c r="AC2498">
        <v>-9.8032000000000004</v>
      </c>
      <c r="AD2498">
        <v>-1.1162504019270001</v>
      </c>
      <c r="AE2498">
        <v>-6.0387000000000004</v>
      </c>
      <c r="AF2498">
        <v>-3.4855022838829202</v>
      </c>
      <c r="AG2498">
        <v>-1.1162504019270001</v>
      </c>
      <c r="AH2498">
        <v>10.8610575271189</v>
      </c>
      <c r="AI2498">
        <v>95.589154727609696</v>
      </c>
      <c r="AJ2498">
        <v>107.792339287693</v>
      </c>
      <c r="AK2498">
        <v>11.461121748683301</v>
      </c>
      <c r="AL2498">
        <v>80.069870773136799</v>
      </c>
      <c r="AM2498">
        <v>100.885400950036</v>
      </c>
      <c r="AN2498">
        <v>0.99999999785033</v>
      </c>
    </row>
    <row r="2499" spans="1:40" x14ac:dyDescent="0.25">
      <c r="A2499" t="str">
        <f>"20190312172418839"</f>
        <v>20190312172418839</v>
      </c>
      <c r="B2499" t="str">
        <f>"1552382658832506"</f>
        <v>1552382658832506</v>
      </c>
      <c r="C2499" t="s">
        <v>40</v>
      </c>
      <c r="D2499">
        <v>3.5395569999999998</v>
      </c>
      <c r="E2499">
        <v>0.45152969999999998</v>
      </c>
      <c r="F2499" t="s">
        <v>46</v>
      </c>
      <c r="G2499">
        <v>-481.62040000000002</v>
      </c>
      <c r="H2499" s="1">
        <v>1.588387E-6</v>
      </c>
      <c r="I2499">
        <v>277.79809999999998</v>
      </c>
      <c r="J2499">
        <v>-471.79079999999999</v>
      </c>
      <c r="K2499">
        <v>1.116285</v>
      </c>
      <c r="L2499">
        <v>283.93819999999999</v>
      </c>
      <c r="M2499">
        <v>-0.96977869999999999</v>
      </c>
      <c r="N2499">
        <v>0</v>
      </c>
      <c r="O2499">
        <v>-0.24355650000000001</v>
      </c>
      <c r="P2499">
        <v>-0.89564169999999999</v>
      </c>
      <c r="Q2499">
        <v>0.16147039999999999</v>
      </c>
      <c r="R2499">
        <v>-0.4144312</v>
      </c>
      <c r="S2499">
        <v>-2.6458740000000001</v>
      </c>
      <c r="T2499">
        <v>-0.29604279999999999</v>
      </c>
      <c r="U2499">
        <v>-1.6392819999999999</v>
      </c>
      <c r="V2499">
        <v>-0.18615909999999999</v>
      </c>
      <c r="W2499">
        <v>0.17297409999999999</v>
      </c>
      <c r="X2499">
        <v>0.96717359999999997</v>
      </c>
      <c r="Y2499">
        <v>-0.30346800000000002</v>
      </c>
      <c r="Z2499">
        <v>8.8121599999999994E-3</v>
      </c>
      <c r="AA2499">
        <v>0.95280089999999995</v>
      </c>
      <c r="AB2499">
        <v>27</v>
      </c>
      <c r="AC2499">
        <v>-9.8296000000000205</v>
      </c>
      <c r="AD2499">
        <v>-1.116283411613</v>
      </c>
      <c r="AE2499">
        <v>-6.1401000000000101</v>
      </c>
      <c r="AF2499">
        <v>-3.5281182974507401</v>
      </c>
      <c r="AG2499">
        <v>-1.116283411613</v>
      </c>
      <c r="AH2499">
        <v>10.9277776134972</v>
      </c>
      <c r="AI2499">
        <v>95.552283661343694</v>
      </c>
      <c r="AJ2499">
        <v>107.893078827495</v>
      </c>
      <c r="AK2499">
        <v>11.537332054938</v>
      </c>
      <c r="AL2499">
        <v>80.039215358007795</v>
      </c>
      <c r="AM2499">
        <v>100.89490581230901</v>
      </c>
      <c r="AN2499">
        <v>1.00000001116028</v>
      </c>
    </row>
    <row r="2500" spans="1:40" x14ac:dyDescent="0.25">
      <c r="A2500" t="str">
        <f>"20190312172418853"</f>
        <v>20190312172418853</v>
      </c>
      <c r="B2500" t="str">
        <f>"1552382658842267"</f>
        <v>1552382658842267</v>
      </c>
      <c r="C2500" t="s">
        <v>40</v>
      </c>
      <c r="D2500">
        <v>3.536232</v>
      </c>
      <c r="E2500">
        <v>0.45165490000000003</v>
      </c>
      <c r="F2500" t="s">
        <v>46</v>
      </c>
      <c r="G2500">
        <v>-481.7715</v>
      </c>
      <c r="H2500" s="1">
        <v>1.582566E-6</v>
      </c>
      <c r="I2500">
        <v>277.68889999999999</v>
      </c>
      <c r="J2500">
        <v>-471.94569999999999</v>
      </c>
      <c r="K2500">
        <v>1.116317</v>
      </c>
      <c r="L2500">
        <v>283.89400000000001</v>
      </c>
      <c r="M2500">
        <v>-0.96860139999999995</v>
      </c>
      <c r="N2500">
        <v>0</v>
      </c>
      <c r="O2500">
        <v>-0.2481969</v>
      </c>
      <c r="P2500">
        <v>-0.89356740000000001</v>
      </c>
      <c r="Q2500">
        <v>0.16174559999999999</v>
      </c>
      <c r="R2500">
        <v>-0.4187787</v>
      </c>
      <c r="S2500">
        <v>-2.6383969999999999</v>
      </c>
      <c r="T2500">
        <v>-0.29509099999999999</v>
      </c>
      <c r="U2500">
        <v>-1.6520079999999999</v>
      </c>
      <c r="V2500">
        <v>-0.18625639999999999</v>
      </c>
      <c r="W2500">
        <v>0.17323849999999999</v>
      </c>
      <c r="X2500">
        <v>0.96710750000000001</v>
      </c>
      <c r="Y2500">
        <v>-0.30344379999999999</v>
      </c>
      <c r="Z2500">
        <v>9.2402390000000008E-3</v>
      </c>
      <c r="AA2500">
        <v>0.95280450000000005</v>
      </c>
      <c r="AB2500">
        <v>27</v>
      </c>
      <c r="AC2500">
        <v>-9.8258000000000099</v>
      </c>
      <c r="AD2500">
        <v>-1.116315417434</v>
      </c>
      <c r="AE2500">
        <v>-6.2051000000000096</v>
      </c>
      <c r="AF2500">
        <v>-3.53925167265233</v>
      </c>
      <c r="AG2500">
        <v>-1.116315417434</v>
      </c>
      <c r="AH2500">
        <v>10.9574205903305</v>
      </c>
      <c r="AI2500">
        <v>95.537284860491496</v>
      </c>
      <c r="AJ2500">
        <v>107.90047943637499</v>
      </c>
      <c r="AK2500">
        <v>11.568817074661199</v>
      </c>
      <c r="AL2500">
        <v>80.023833736247198</v>
      </c>
      <c r="AM2500">
        <v>100.90119106241499</v>
      </c>
      <c r="AN2500">
        <v>0.999999970489729</v>
      </c>
    </row>
    <row r="2501" spans="1:40" x14ac:dyDescent="0.25">
      <c r="A2501" t="str">
        <f>"20190312172418875"</f>
        <v>20190312172418875</v>
      </c>
      <c r="B2501" t="str">
        <f>"1552382658872523"</f>
        <v>1552382658872523</v>
      </c>
      <c r="C2501" t="s">
        <v>40</v>
      </c>
      <c r="D2501">
        <v>3.5342419999999999</v>
      </c>
      <c r="E2501">
        <v>0.4520034</v>
      </c>
      <c r="F2501" t="s">
        <v>46</v>
      </c>
      <c r="G2501">
        <v>-481.91269999999997</v>
      </c>
      <c r="H2501" s="1">
        <v>1.5770769999999999E-6</v>
      </c>
      <c r="I2501">
        <v>277.58670000000001</v>
      </c>
      <c r="J2501">
        <v>-472.19819999999999</v>
      </c>
      <c r="K2501">
        <v>1.1163620000000001</v>
      </c>
      <c r="L2501">
        <v>283.82049999999998</v>
      </c>
      <c r="M2501">
        <v>-0.96661600000000003</v>
      </c>
      <c r="N2501">
        <v>0</v>
      </c>
      <c r="O2501">
        <v>-0.25581959999999998</v>
      </c>
      <c r="P2501">
        <v>-0.89002340000000002</v>
      </c>
      <c r="Q2501">
        <v>0.16232550000000001</v>
      </c>
      <c r="R2501">
        <v>-0.426039</v>
      </c>
      <c r="S2501">
        <v>-2.630493</v>
      </c>
      <c r="T2501">
        <v>-0.2946203</v>
      </c>
      <c r="U2501">
        <v>-1.66464199999999</v>
      </c>
      <c r="V2501">
        <v>-0.18656510000000001</v>
      </c>
      <c r="W2501">
        <v>0.17379919999999999</v>
      </c>
      <c r="X2501">
        <v>0.96694740000000001</v>
      </c>
      <c r="Y2501">
        <v>-0.30054259999999999</v>
      </c>
      <c r="Z2501">
        <v>1.011652E-2</v>
      </c>
      <c r="AA2501">
        <v>0.95371470000000003</v>
      </c>
      <c r="AB2501">
        <v>27</v>
      </c>
      <c r="AC2501">
        <v>-9.7144999999999797</v>
      </c>
      <c r="AD2501">
        <v>-1.116360422923</v>
      </c>
      <c r="AE2501">
        <v>-6.2337999999999703</v>
      </c>
      <c r="AF2501">
        <v>-3.5080879157722502</v>
      </c>
      <c r="AG2501">
        <v>-1.116360422923</v>
      </c>
      <c r="AH2501">
        <v>10.884259846115601</v>
      </c>
      <c r="AI2501">
        <v>95.575614949572795</v>
      </c>
      <c r="AJ2501">
        <v>107.86456494743599</v>
      </c>
      <c r="AK2501">
        <v>11.489997990270499</v>
      </c>
      <c r="AL2501">
        <v>79.991213315896999</v>
      </c>
      <c r="AM2501">
        <v>100.920589087051</v>
      </c>
      <c r="AN2501">
        <v>0.99999998641270404</v>
      </c>
    </row>
    <row r="2502" spans="1:40" x14ac:dyDescent="0.25">
      <c r="A2502" t="str">
        <f>"20190312172418897"</f>
        <v>20190312172418897</v>
      </c>
      <c r="B2502" t="str">
        <f>"1552382658893019"</f>
        <v>1552382658893019</v>
      </c>
      <c r="C2502" t="s">
        <v>40</v>
      </c>
      <c r="D2502">
        <v>3.5320200000000002</v>
      </c>
      <c r="E2502">
        <v>0.45214399999999899</v>
      </c>
      <c r="F2502" t="s">
        <v>46</v>
      </c>
      <c r="G2502">
        <v>-482.09530000000001</v>
      </c>
      <c r="H2502" s="1">
        <v>1.5695679999999999E-6</v>
      </c>
      <c r="I2502">
        <v>277.45209999999997</v>
      </c>
      <c r="J2502">
        <v>-472.44560000000001</v>
      </c>
      <c r="K2502">
        <v>1.116401</v>
      </c>
      <c r="L2502">
        <v>283.74619999999999</v>
      </c>
      <c r="M2502">
        <v>-0.9645878</v>
      </c>
      <c r="N2502">
        <v>0</v>
      </c>
      <c r="O2502">
        <v>-0.26336340000000003</v>
      </c>
      <c r="P2502">
        <v>-0.88650130000000005</v>
      </c>
      <c r="Q2502">
        <v>0.16226299999999999</v>
      </c>
      <c r="R2502">
        <v>-0.4333436</v>
      </c>
      <c r="S2502">
        <v>-2.6181030000000001</v>
      </c>
      <c r="T2502">
        <v>-0.29531370000000001</v>
      </c>
      <c r="U2502">
        <v>-1.6846620000000001</v>
      </c>
      <c r="V2502">
        <v>-0.18697720000000001</v>
      </c>
      <c r="W2502">
        <v>0.17371889999999901</v>
      </c>
      <c r="X2502">
        <v>0.96688220000000002</v>
      </c>
      <c r="Y2502">
        <v>-0.30033459999999901</v>
      </c>
      <c r="Z2502">
        <v>1.089274E-2</v>
      </c>
      <c r="AA2502">
        <v>0.9537717</v>
      </c>
      <c r="AB2502">
        <v>27</v>
      </c>
      <c r="AC2502">
        <v>-9.6496999999999904</v>
      </c>
      <c r="AD2502">
        <v>-1.116399430432</v>
      </c>
      <c r="AE2502">
        <v>-6.29410000000001</v>
      </c>
      <c r="AF2502">
        <v>-3.4973651250793001</v>
      </c>
      <c r="AG2502">
        <v>-1.116399430432</v>
      </c>
      <c r="AH2502">
        <v>10.8647513356596</v>
      </c>
      <c r="AI2502">
        <v>95.586418316715495</v>
      </c>
      <c r="AJ2502">
        <v>107.843375057881</v>
      </c>
      <c r="AK2502">
        <v>11.468248867726301</v>
      </c>
      <c r="AL2502">
        <v>79.995884959397202</v>
      </c>
      <c r="AM2502">
        <v>100.944849684804</v>
      </c>
      <c r="AN2502">
        <v>0.99999995910694395</v>
      </c>
    </row>
    <row r="2503" spans="1:40" x14ac:dyDescent="0.25">
      <c r="A2503" t="str">
        <f>"20190312172418908"</f>
        <v>20190312172418908</v>
      </c>
      <c r="B2503" t="str">
        <f>"1552382658902780"</f>
        <v>1552382658902780</v>
      </c>
      <c r="C2503" t="s">
        <v>40</v>
      </c>
      <c r="D2503">
        <v>3.4932650000000001</v>
      </c>
      <c r="E2503">
        <v>0.45209339999999998</v>
      </c>
      <c r="F2503" t="s">
        <v>46</v>
      </c>
      <c r="G2503">
        <v>-482.27730000000003</v>
      </c>
      <c r="H2503" s="1">
        <v>1.559888E-6</v>
      </c>
      <c r="I2503">
        <v>277.30549999999999</v>
      </c>
      <c r="J2503">
        <v>-472.57319999999999</v>
      </c>
      <c r="K2503">
        <v>1.116422</v>
      </c>
      <c r="L2503">
        <v>283.70699999999999</v>
      </c>
      <c r="M2503">
        <v>-0.96350829999999998</v>
      </c>
      <c r="N2503">
        <v>0</v>
      </c>
      <c r="O2503">
        <v>-0.26728570000000001</v>
      </c>
      <c r="P2503">
        <v>-0.88459779999999999</v>
      </c>
      <c r="Q2503">
        <v>0.16194629999999999</v>
      </c>
      <c r="R2503">
        <v>-0.43733359999999899</v>
      </c>
      <c r="S2503">
        <v>-2.6042480000000001</v>
      </c>
      <c r="T2503">
        <v>-0.29571700000000001</v>
      </c>
      <c r="U2503">
        <v>-1.7060550000000001</v>
      </c>
      <c r="V2503">
        <v>-0.18738930000000001</v>
      </c>
      <c r="W2503">
        <v>0.17339109999999999</v>
      </c>
      <c r="X2503">
        <v>0.96686130000000003</v>
      </c>
      <c r="Y2503">
        <v>-0.30425859999999999</v>
      </c>
      <c r="Z2503">
        <v>1.11024E-2</v>
      </c>
      <c r="AA2503">
        <v>0.95252479999999995</v>
      </c>
      <c r="AB2503">
        <v>27</v>
      </c>
      <c r="AC2503">
        <v>-9.7041000000000395</v>
      </c>
      <c r="AD2503">
        <v>-1.1164204401119999</v>
      </c>
      <c r="AE2503">
        <v>-6.4014999999999898</v>
      </c>
      <c r="AF2503">
        <v>-3.5418425075009501</v>
      </c>
      <c r="AG2503">
        <v>-1.1164204401119999</v>
      </c>
      <c r="AH2503">
        <v>10.961085097974101</v>
      </c>
      <c r="AI2503">
        <v>95.535756063060902</v>
      </c>
      <c r="AJ2503">
        <v>107.90713997219</v>
      </c>
      <c r="AK2503">
        <v>11.5730907484591</v>
      </c>
      <c r="AL2503">
        <v>80.014956330646797</v>
      </c>
      <c r="AM2503">
        <v>100.968619184891</v>
      </c>
      <c r="AN2503">
        <v>0.99999999837569498</v>
      </c>
    </row>
    <row r="2504" spans="1:40" x14ac:dyDescent="0.25">
      <c r="A2504" t="str">
        <f>"20190312172418920"</f>
        <v>20190312172418920</v>
      </c>
      <c r="B2504" t="str">
        <f>"1552382658912539"</f>
        <v>1552382658912539</v>
      </c>
      <c r="C2504" t="s">
        <v>40</v>
      </c>
      <c r="D2504">
        <v>3.699649</v>
      </c>
      <c r="E2504">
        <v>0.45223360000000001</v>
      </c>
      <c r="F2504" t="s">
        <v>46</v>
      </c>
      <c r="G2504">
        <v>-482.27940000000001</v>
      </c>
      <c r="H2504" s="1">
        <v>1.5556969999999999E-6</v>
      </c>
      <c r="I2504">
        <v>277.28050000000002</v>
      </c>
      <c r="J2504">
        <v>-472.70909999999998</v>
      </c>
      <c r="K2504">
        <v>1.116441</v>
      </c>
      <c r="L2504">
        <v>283.66469999999998</v>
      </c>
      <c r="M2504">
        <v>-0.96233709999999995</v>
      </c>
      <c r="N2504">
        <v>0</v>
      </c>
      <c r="O2504">
        <v>-0.27147179999999999</v>
      </c>
      <c r="P2504">
        <v>-0.8827448</v>
      </c>
      <c r="Q2504">
        <v>0.16155659999999999</v>
      </c>
      <c r="R2504">
        <v>-0.44120379999999998</v>
      </c>
      <c r="S2504">
        <v>-2.596222</v>
      </c>
      <c r="T2504">
        <v>-0.29861969999999999</v>
      </c>
      <c r="U2504">
        <v>-1.718933</v>
      </c>
      <c r="V2504">
        <v>-0.18740480000000001</v>
      </c>
      <c r="W2504">
        <v>0.1729966</v>
      </c>
      <c r="X2504">
        <v>0.96692900000000004</v>
      </c>
      <c r="Y2504">
        <v>-0.30477029999999999</v>
      </c>
      <c r="Z2504">
        <v>1.1602110000000001E-2</v>
      </c>
      <c r="AA2504">
        <v>0.95235519999999996</v>
      </c>
      <c r="AB2504">
        <v>27</v>
      </c>
      <c r="AC2504">
        <v>-9.5703000000000298</v>
      </c>
      <c r="AD2504">
        <v>-1.1164394443029999</v>
      </c>
      <c r="AE2504">
        <v>-6.3841999999999599</v>
      </c>
      <c r="AF2504">
        <v>-3.5129743606853001</v>
      </c>
      <c r="AG2504">
        <v>-1.1164394443029999</v>
      </c>
      <c r="AH2504">
        <v>10.8420278515612</v>
      </c>
      <c r="AI2504">
        <v>95.594813144564995</v>
      </c>
      <c r="AJ2504">
        <v>107.953076776738</v>
      </c>
      <c r="AK2504">
        <v>11.451506181531601</v>
      </c>
      <c r="AL2504">
        <v>80.037906729331297</v>
      </c>
      <c r="AM2504">
        <v>100.96875504590299</v>
      </c>
      <c r="AN2504">
        <v>1.0000000368577899</v>
      </c>
    </row>
    <row r="2505" spans="1:40" x14ac:dyDescent="0.25">
      <c r="A2505" t="str">
        <f>"20190312172418934"</f>
        <v>20190312172418934</v>
      </c>
      <c r="B2505" t="str">
        <f>"1552382658922300"</f>
        <v>1552382658922300</v>
      </c>
      <c r="C2505" t="s">
        <v>40</v>
      </c>
      <c r="D2505">
        <v>3.6675589999999998</v>
      </c>
      <c r="E2505">
        <v>0.4524318</v>
      </c>
      <c r="F2505" t="s">
        <v>46</v>
      </c>
      <c r="G2505">
        <v>-482.32819999999998</v>
      </c>
      <c r="H2505" s="1">
        <v>1.552725E-6</v>
      </c>
      <c r="I2505">
        <v>277.23910000000001</v>
      </c>
      <c r="J2505">
        <v>-472.85739999999998</v>
      </c>
      <c r="K2505">
        <v>1.1164540000000001</v>
      </c>
      <c r="L2505">
        <v>283.61759999999998</v>
      </c>
      <c r="M2505">
        <v>-0.96102690000000002</v>
      </c>
      <c r="N2505">
        <v>0</v>
      </c>
      <c r="O2505">
        <v>-0.27607350000000003</v>
      </c>
      <c r="P2505">
        <v>-0.88052909999999995</v>
      </c>
      <c r="Q2505">
        <v>0.16135339999999901</v>
      </c>
      <c r="R2505">
        <v>-0.4456831</v>
      </c>
      <c r="S2505">
        <v>-2.5890499999999999</v>
      </c>
      <c r="T2505">
        <v>-0.30049769999999998</v>
      </c>
      <c r="U2505">
        <v>-1.72949199999999</v>
      </c>
      <c r="V2505">
        <v>-0.1876853</v>
      </c>
      <c r="W2505">
        <v>0.17278479999999999</v>
      </c>
      <c r="X2505">
        <v>0.96691240000000001</v>
      </c>
      <c r="Y2505">
        <v>-0.30413709999999899</v>
      </c>
      <c r="Z2505">
        <v>1.2169370000000001E-2</v>
      </c>
      <c r="AA2505">
        <v>0.95255049999999997</v>
      </c>
      <c r="AB2505">
        <v>27</v>
      </c>
      <c r="AC2505">
        <v>-9.4707999999999899</v>
      </c>
      <c r="AD2505">
        <v>-1.1164524472749999</v>
      </c>
      <c r="AE2505">
        <v>-6.3784999999999696</v>
      </c>
      <c r="AF2505">
        <v>-3.48235176999746</v>
      </c>
      <c r="AG2505">
        <v>-1.1164524472749999</v>
      </c>
      <c r="AH2505">
        <v>10.760897167008601</v>
      </c>
      <c r="AI2505">
        <v>95.637450540535397</v>
      </c>
      <c r="AJ2505">
        <v>107.932185491165</v>
      </c>
      <c r="AK2505">
        <v>11.365304560633801</v>
      </c>
      <c r="AL2505">
        <v>80.050226882808403</v>
      </c>
      <c r="AM2505">
        <v>100.98495756813</v>
      </c>
      <c r="AN2505">
        <v>0.99999997411044395</v>
      </c>
    </row>
    <row r="2506" spans="1:40" x14ac:dyDescent="0.25">
      <c r="A2506" t="str">
        <f>"20190312172418952"</f>
        <v>20190312172418952</v>
      </c>
      <c r="B2506" t="str">
        <f>"1552382658942795"</f>
        <v>1552382658942795</v>
      </c>
      <c r="C2506" t="s">
        <v>40</v>
      </c>
      <c r="D2506">
        <v>3.500165</v>
      </c>
      <c r="E2506">
        <v>0.45261499999999999</v>
      </c>
      <c r="F2506" t="s">
        <v>46</v>
      </c>
      <c r="G2506">
        <v>-482.40170000000001</v>
      </c>
      <c r="H2506" s="1">
        <v>1.548468E-6</v>
      </c>
      <c r="I2506">
        <v>277.17790000000002</v>
      </c>
      <c r="J2506">
        <v>-473.06779999999998</v>
      </c>
      <c r="K2506">
        <v>1.116473</v>
      </c>
      <c r="L2506">
        <v>283.54939999999999</v>
      </c>
      <c r="M2506">
        <v>-0.95911939999999996</v>
      </c>
      <c r="N2506">
        <v>0</v>
      </c>
      <c r="O2506">
        <v>-0.28262949999999998</v>
      </c>
      <c r="P2506">
        <v>-0.87723059999999997</v>
      </c>
      <c r="Q2506">
        <v>0.1611213</v>
      </c>
      <c r="R2506">
        <v>-0.45222400000000001</v>
      </c>
      <c r="S2506">
        <v>-2.5809329999999999</v>
      </c>
      <c r="T2506">
        <v>-0.30190519999999998</v>
      </c>
      <c r="U2506">
        <v>-1.7413639999999999</v>
      </c>
      <c r="V2506">
        <v>-0.188274</v>
      </c>
      <c r="W2506">
        <v>0.17253869999999999</v>
      </c>
      <c r="X2506">
        <v>0.96684190000000003</v>
      </c>
      <c r="Y2506">
        <v>-0.30206699999999997</v>
      </c>
      <c r="Z2506">
        <v>1.299256E-2</v>
      </c>
      <c r="AA2506">
        <v>0.9531982</v>
      </c>
      <c r="AB2506">
        <v>27</v>
      </c>
      <c r="AC2506">
        <v>-9.3339000000000194</v>
      </c>
      <c r="AD2506">
        <v>-1.116471451532</v>
      </c>
      <c r="AE2506">
        <v>-6.3714999999999602</v>
      </c>
      <c r="AF2506">
        <v>-3.4397875424177999</v>
      </c>
      <c r="AG2506">
        <v>-1.116471451532</v>
      </c>
      <c r="AH2506">
        <v>10.6502851695862</v>
      </c>
      <c r="AI2506">
        <v>95.696766128513801</v>
      </c>
      <c r="AJ2506">
        <v>107.89921647038</v>
      </c>
      <c r="AK2506">
        <v>11.2475428886742</v>
      </c>
      <c r="AL2506">
        <v>80.064542443905907</v>
      </c>
      <c r="AM2506">
        <v>101.019355142357</v>
      </c>
      <c r="AN2506">
        <v>0.99999998083464903</v>
      </c>
    </row>
    <row r="2507" spans="1:40" x14ac:dyDescent="0.25">
      <c r="A2507" t="str">
        <f>"20190312172418967"</f>
        <v>20190312172418967</v>
      </c>
      <c r="B2507" t="str">
        <f>"1552382658962314"</f>
        <v>1552382658962314</v>
      </c>
      <c r="C2507" t="s">
        <v>40</v>
      </c>
      <c r="D2507">
        <v>3.467638</v>
      </c>
      <c r="E2507">
        <v>0.45277499999999998</v>
      </c>
      <c r="F2507" t="s">
        <v>46</v>
      </c>
      <c r="G2507">
        <v>-482.4348</v>
      </c>
      <c r="H2507" s="1">
        <v>1.543133E-6</v>
      </c>
      <c r="I2507">
        <v>277.13099999999997</v>
      </c>
      <c r="J2507">
        <v>-473.21859999999998</v>
      </c>
      <c r="K2507">
        <v>1.1164879999999999</v>
      </c>
      <c r="L2507">
        <v>283.49970000000002</v>
      </c>
      <c r="M2507">
        <v>-0.95771810000000002</v>
      </c>
      <c r="N2507">
        <v>0</v>
      </c>
      <c r="O2507">
        <v>-0.28734219999999999</v>
      </c>
      <c r="P2507">
        <v>-0.87478440000000002</v>
      </c>
      <c r="Q2507">
        <v>0.16117339999999999</v>
      </c>
      <c r="R2507">
        <v>-0.45691989999999999</v>
      </c>
      <c r="S2507">
        <v>-2.568756</v>
      </c>
      <c r="T2507">
        <v>-0.30617519999999998</v>
      </c>
      <c r="U2507">
        <v>-1.760162</v>
      </c>
      <c r="V2507">
        <v>-0.1887114</v>
      </c>
      <c r="W2507">
        <v>0.1725815</v>
      </c>
      <c r="X2507">
        <v>0.96674899999999997</v>
      </c>
      <c r="Y2507">
        <v>-0.30424129999999999</v>
      </c>
      <c r="Z2507">
        <v>1.354696E-2</v>
      </c>
      <c r="AA2507">
        <v>0.95249870000000003</v>
      </c>
      <c r="AB2507">
        <v>27</v>
      </c>
      <c r="AC2507">
        <v>-9.2162000000000095</v>
      </c>
      <c r="AD2507">
        <v>-1.1164864568670001</v>
      </c>
      <c r="AE2507">
        <v>-6.3687000000000404</v>
      </c>
      <c r="AF2507">
        <v>-3.41763302194635</v>
      </c>
      <c r="AG2507">
        <v>-1.1164864568670001</v>
      </c>
      <c r="AH2507">
        <v>10.5528214884914</v>
      </c>
      <c r="AI2507">
        <v>95.747629074161196</v>
      </c>
      <c r="AJ2507">
        <v>107.945046255373</v>
      </c>
      <c r="AK2507">
        <v>11.1484886351931</v>
      </c>
      <c r="AL2507">
        <v>80.062053008370199</v>
      </c>
      <c r="AM2507">
        <v>101.045361879841</v>
      </c>
      <c r="AN2507">
        <v>0.99999999781660398</v>
      </c>
    </row>
    <row r="2508" spans="1:40" x14ac:dyDescent="0.25">
      <c r="A2508" t="str">
        <f>"20190312172418979"</f>
        <v>20190312172418979</v>
      </c>
      <c r="B2508" t="str">
        <f>"1552382658972076"</f>
        <v>1552382658972076</v>
      </c>
      <c r="C2508" t="s">
        <v>40</v>
      </c>
      <c r="D2508">
        <v>3.667421</v>
      </c>
      <c r="E2508">
        <v>0.45292900000000003</v>
      </c>
      <c r="F2508" t="s">
        <v>46</v>
      </c>
      <c r="G2508">
        <v>-482.46710000000002</v>
      </c>
      <c r="H2508" s="1">
        <v>1.5396470000000001E-6</v>
      </c>
      <c r="I2508">
        <v>277.0949</v>
      </c>
      <c r="J2508">
        <v>-473.36290000000002</v>
      </c>
      <c r="K2508">
        <v>1.1164940000000001</v>
      </c>
      <c r="L2508">
        <v>283.4513</v>
      </c>
      <c r="M2508">
        <v>-0.956349</v>
      </c>
      <c r="N2508">
        <v>0</v>
      </c>
      <c r="O2508">
        <v>-0.29186610000000002</v>
      </c>
      <c r="P2508">
        <v>-0.87246859999999904</v>
      </c>
      <c r="Q2508">
        <v>0.16127939999999999</v>
      </c>
      <c r="R2508">
        <v>-0.46128960000000002</v>
      </c>
      <c r="S2508">
        <v>-2.5602420000000001</v>
      </c>
      <c r="T2508">
        <v>-0.3090736</v>
      </c>
      <c r="U2508">
        <v>-1.77300999999999</v>
      </c>
      <c r="V2508">
        <v>-0.1889874</v>
      </c>
      <c r="W2508">
        <v>0.17268149999999999</v>
      </c>
      <c r="X2508">
        <v>0.96667720000000001</v>
      </c>
      <c r="Y2508">
        <v>-0.3044692</v>
      </c>
      <c r="Z2508">
        <v>1.413059E-2</v>
      </c>
      <c r="AA2508">
        <v>0.95241739999999997</v>
      </c>
      <c r="AB2508">
        <v>26</v>
      </c>
      <c r="AC2508">
        <v>-9.1041999999999899</v>
      </c>
      <c r="AD2508">
        <v>-1.116492460353</v>
      </c>
      <c r="AE2508">
        <v>-6.3563999999999998</v>
      </c>
      <c r="AF2508">
        <v>-3.3878365717545802</v>
      </c>
      <c r="AG2508">
        <v>-1.116492460353</v>
      </c>
      <c r="AH2508">
        <v>10.4573915748774</v>
      </c>
      <c r="AI2508">
        <v>95.799575478685597</v>
      </c>
      <c r="AJ2508">
        <v>107.950547684328</v>
      </c>
      <c r="AK2508">
        <v>11.049028491286499</v>
      </c>
      <c r="AL2508">
        <v>80.056235852846896</v>
      </c>
      <c r="AM2508">
        <v>101.061919467667</v>
      </c>
      <c r="AN2508">
        <v>0.99999997340042401</v>
      </c>
    </row>
    <row r="2509" spans="1:40" x14ac:dyDescent="0.25">
      <c r="A2509" t="str">
        <f>"20190312172418994"</f>
        <v>20190312172418994</v>
      </c>
      <c r="B2509" t="str">
        <f>"1552382658982812"</f>
        <v>1552382658982812</v>
      </c>
      <c r="C2509" t="s">
        <v>40</v>
      </c>
      <c r="D2509">
        <v>3.4761769999999999</v>
      </c>
      <c r="E2509">
        <v>0.4530458</v>
      </c>
      <c r="F2509" t="s">
        <v>46</v>
      </c>
      <c r="G2509">
        <v>-482.58359999999999</v>
      </c>
      <c r="H2509" s="1">
        <v>1.533647E-6</v>
      </c>
      <c r="I2509">
        <v>277.00220000000002</v>
      </c>
      <c r="J2509">
        <v>-473.5213</v>
      </c>
      <c r="K2509">
        <v>1.116498</v>
      </c>
      <c r="L2509">
        <v>283.39710000000002</v>
      </c>
      <c r="M2509">
        <v>-0.95481280000000002</v>
      </c>
      <c r="N2509">
        <v>0</v>
      </c>
      <c r="O2509">
        <v>-0.29685299999999998</v>
      </c>
      <c r="P2509">
        <v>-0.86998889999999995</v>
      </c>
      <c r="Q2509">
        <v>0.1611686</v>
      </c>
      <c r="R2509">
        <v>-0.46598729999999999</v>
      </c>
      <c r="S2509">
        <v>-2.551971</v>
      </c>
      <c r="T2509">
        <v>-0.30900549999999999</v>
      </c>
      <c r="U2509">
        <v>-1.7848820000000001</v>
      </c>
      <c r="V2509">
        <v>-0.18914980000000001</v>
      </c>
      <c r="W2509">
        <v>0.17256879999999999</v>
      </c>
      <c r="X2509">
        <v>0.96666560000000001</v>
      </c>
      <c r="Y2509">
        <v>-0.30394759999999998</v>
      </c>
      <c r="Z2509">
        <v>1.4671170000000001E-2</v>
      </c>
      <c r="AA2509">
        <v>0.95257579999999997</v>
      </c>
      <c r="AB2509">
        <v>26</v>
      </c>
      <c r="AC2509">
        <v>-9.0622999999999898</v>
      </c>
      <c r="AD2509">
        <v>-1.1164964663529999</v>
      </c>
      <c r="AE2509">
        <v>-6.3948999999999998</v>
      </c>
      <c r="AF2509">
        <v>-3.3818531492436898</v>
      </c>
      <c r="AG2509">
        <v>-1.1164964663529999</v>
      </c>
      <c r="AH2509">
        <v>10.4464040066121</v>
      </c>
      <c r="AI2509">
        <v>95.806046687203093</v>
      </c>
      <c r="AJ2509">
        <v>107.938515545689</v>
      </c>
      <c r="AK2509">
        <v>11.036795356977001</v>
      </c>
      <c r="AL2509">
        <v>80.062791869845995</v>
      </c>
      <c r="AM2509">
        <v>101.071319976152</v>
      </c>
      <c r="AN2509">
        <v>1.0000000098984201</v>
      </c>
    </row>
    <row r="2510" spans="1:40" x14ac:dyDescent="0.25">
      <c r="A2510" t="str">
        <f>"20190312172419010"</f>
        <v>20190312172419010</v>
      </c>
      <c r="B2510" t="str">
        <f>"1552382659002331"</f>
        <v>1552382659002331</v>
      </c>
      <c r="C2510" t="s">
        <v>40</v>
      </c>
      <c r="D2510">
        <v>3.561598</v>
      </c>
      <c r="E2510">
        <v>0.4532603</v>
      </c>
      <c r="F2510" t="s">
        <v>46</v>
      </c>
      <c r="G2510">
        <v>-482.65120000000002</v>
      </c>
      <c r="H2510" s="1">
        <v>1.5287789999999999E-6</v>
      </c>
      <c r="I2510">
        <v>276.94049999999999</v>
      </c>
      <c r="J2510">
        <v>-473.69349999999997</v>
      </c>
      <c r="K2510">
        <v>1.1164940000000001</v>
      </c>
      <c r="L2510">
        <v>283.33730000000003</v>
      </c>
      <c r="M2510">
        <v>-0.95310980000000001</v>
      </c>
      <c r="N2510">
        <v>0</v>
      </c>
      <c r="O2510">
        <v>-0.30227619999999999</v>
      </c>
      <c r="P2510">
        <v>-0.86700350000000004</v>
      </c>
      <c r="Q2510">
        <v>0.16146250000000001</v>
      </c>
      <c r="R2510">
        <v>-0.47141830000000001</v>
      </c>
      <c r="S2510">
        <v>-2.5427550000000001</v>
      </c>
      <c r="T2510">
        <v>-0.31095349999999999</v>
      </c>
      <c r="U2510">
        <v>-1.7982180000000001</v>
      </c>
      <c r="V2510">
        <v>-0.1897209</v>
      </c>
      <c r="W2510">
        <v>0.17285339999999999</v>
      </c>
      <c r="X2510">
        <v>0.9665028</v>
      </c>
      <c r="Y2510">
        <v>-0.30351549999999999</v>
      </c>
      <c r="Z2510">
        <v>1.5350920000000001E-2</v>
      </c>
      <c r="AA2510">
        <v>0.95270279999999996</v>
      </c>
      <c r="AB2510">
        <v>26</v>
      </c>
      <c r="AC2510">
        <v>-8.95770000000004</v>
      </c>
      <c r="AD2510">
        <v>-1.116492471221</v>
      </c>
      <c r="AE2510">
        <v>-6.3968000000000398</v>
      </c>
      <c r="AF2510">
        <v>-3.3549925170581498</v>
      </c>
      <c r="AG2510">
        <v>-1.116492471221</v>
      </c>
      <c r="AH2510">
        <v>10.365727592156</v>
      </c>
      <c r="AI2510">
        <v>95.851024053488302</v>
      </c>
      <c r="AJ2510">
        <v>107.93479839116701</v>
      </c>
      <c r="AK2510">
        <v>10.952207026101799</v>
      </c>
      <c r="AL2510">
        <v>80.046236509745995</v>
      </c>
      <c r="AM2510">
        <v>101.105741963344</v>
      </c>
      <c r="AN2510">
        <v>0.99999999009810503</v>
      </c>
    </row>
    <row r="2511" spans="1:40" x14ac:dyDescent="0.25">
      <c r="A2511" t="str">
        <f>"20190312172419022"</f>
        <v>20190312172419022</v>
      </c>
      <c r="B2511" t="str">
        <f>"1552382659012092"</f>
        <v>1552382659012092</v>
      </c>
      <c r="C2511" t="s">
        <v>40</v>
      </c>
      <c r="D2511">
        <v>3.5428380000000002</v>
      </c>
      <c r="E2511">
        <v>0.45337480000000002</v>
      </c>
      <c r="F2511" t="s">
        <v>46</v>
      </c>
      <c r="G2511">
        <v>-482.77690000000001</v>
      </c>
      <c r="H2511" s="1">
        <v>1.5207779999999999E-6</v>
      </c>
      <c r="I2511">
        <v>276.83179999999999</v>
      </c>
      <c r="J2511">
        <v>-473.8381</v>
      </c>
      <c r="K2511">
        <v>1.116493</v>
      </c>
      <c r="L2511">
        <v>283.28629999999998</v>
      </c>
      <c r="M2511">
        <v>-0.95165160000000004</v>
      </c>
      <c r="N2511">
        <v>0</v>
      </c>
      <c r="O2511">
        <v>-0.3068362</v>
      </c>
      <c r="P2511">
        <v>-0.86462320000000004</v>
      </c>
      <c r="Q2511">
        <v>0.16181129999999999</v>
      </c>
      <c r="R2511">
        <v>-0.4756515</v>
      </c>
      <c r="S2511">
        <v>-2.5321349999999998</v>
      </c>
      <c r="T2511">
        <v>-0.31123980000000001</v>
      </c>
      <c r="U2511">
        <v>-1.813507</v>
      </c>
      <c r="V2511">
        <v>-0.18984319999999999</v>
      </c>
      <c r="W2511">
        <v>0.17320139999999901</v>
      </c>
      <c r="X2511">
        <v>0.96641650000000001</v>
      </c>
      <c r="Y2511">
        <v>-0.3046625</v>
      </c>
      <c r="Z2511">
        <v>1.578243E-2</v>
      </c>
      <c r="AA2511">
        <v>0.9523296</v>
      </c>
      <c r="AB2511">
        <v>26</v>
      </c>
      <c r="AC2511">
        <v>-8.9388000000000094</v>
      </c>
      <c r="AD2511">
        <v>-1.116491479222</v>
      </c>
      <c r="AE2511">
        <v>-6.4544999999999897</v>
      </c>
      <c r="AF2511">
        <v>-3.3655346225957601</v>
      </c>
      <c r="AG2511">
        <v>-1.116491479222</v>
      </c>
      <c r="AH2511">
        <v>10.381744374346299</v>
      </c>
      <c r="AI2511">
        <v>95.841176784069205</v>
      </c>
      <c r="AJ2511">
        <v>107.96156103959601</v>
      </c>
      <c r="AK2511">
        <v>10.970596737340101</v>
      </c>
      <c r="AL2511">
        <v>80.025992419493207</v>
      </c>
      <c r="AM2511">
        <v>101.113690581833</v>
      </c>
      <c r="AN2511">
        <v>1.0000000085102201</v>
      </c>
    </row>
    <row r="2512" spans="1:40" x14ac:dyDescent="0.25">
      <c r="A2512" t="str">
        <f>"20190312172419035"</f>
        <v>20190312172419035</v>
      </c>
      <c r="B2512" t="str">
        <f>"1552382659032587"</f>
        <v>1552382659032587</v>
      </c>
      <c r="C2512" t="s">
        <v>40</v>
      </c>
      <c r="D2512">
        <v>3.6979190000000002</v>
      </c>
      <c r="E2512">
        <v>0.45372669999999998</v>
      </c>
      <c r="F2512" t="s">
        <v>46</v>
      </c>
      <c r="G2512">
        <v>-482.92009999999999</v>
      </c>
      <c r="H2512" s="1">
        <v>1.513255E-6</v>
      </c>
      <c r="I2512">
        <v>276.71690000000001</v>
      </c>
      <c r="J2512">
        <v>-473.98180000000002</v>
      </c>
      <c r="K2512">
        <v>1.11649</v>
      </c>
      <c r="L2512">
        <v>283.2346</v>
      </c>
      <c r="M2512">
        <v>-0.95017609999999997</v>
      </c>
      <c r="N2512">
        <v>0</v>
      </c>
      <c r="O2512">
        <v>-0.31137490000000001</v>
      </c>
      <c r="P2512">
        <v>-0.86225010000000002</v>
      </c>
      <c r="Q2512">
        <v>0.16208599999999901</v>
      </c>
      <c r="R2512">
        <v>-0.47984670000000001</v>
      </c>
      <c r="S2512">
        <v>-2.5235599999999998</v>
      </c>
      <c r="T2512">
        <v>-0.31023240000000002</v>
      </c>
      <c r="U2512">
        <v>-1.8253779999999999</v>
      </c>
      <c r="V2512">
        <v>-0.18994449999999999</v>
      </c>
      <c r="W2512">
        <v>0.17347609999999999</v>
      </c>
      <c r="X2512">
        <v>0.96634730000000002</v>
      </c>
      <c r="Y2512">
        <v>-0.30461480000000002</v>
      </c>
      <c r="Z2512">
        <v>1.6207829999999999E-2</v>
      </c>
      <c r="AA2512">
        <v>0.95233769999999995</v>
      </c>
      <c r="AB2512">
        <v>26</v>
      </c>
      <c r="AC2512">
        <v>-8.9382999999999697</v>
      </c>
      <c r="AD2512">
        <v>-1.116488486745</v>
      </c>
      <c r="AE2512">
        <v>-6.5176999999999898</v>
      </c>
      <c r="AF2512">
        <v>-3.3757734002446198</v>
      </c>
      <c r="AG2512">
        <v>-1.116488486745</v>
      </c>
      <c r="AH2512">
        <v>10.417401962004099</v>
      </c>
      <c r="AI2512">
        <v>95.821520113612806</v>
      </c>
      <c r="AJ2512">
        <v>107.954988045265</v>
      </c>
      <c r="AK2512">
        <v>11.0074818295921</v>
      </c>
      <c r="AL2512">
        <v>80.010011137527002</v>
      </c>
      <c r="AM2512">
        <v>101.12024949827401</v>
      </c>
      <c r="AN2512">
        <v>0.999999987284374</v>
      </c>
    </row>
    <row r="2513" spans="1:40" x14ac:dyDescent="0.25">
      <c r="A2513" t="str">
        <f>"20190312172419049"</f>
        <v>20190312172419049</v>
      </c>
      <c r="B2513" t="str">
        <f>"1552382659042347"</f>
        <v>1552382659042347</v>
      </c>
      <c r="C2513" t="s">
        <v>40</v>
      </c>
      <c r="D2513">
        <v>3.5477430000000001</v>
      </c>
      <c r="E2513">
        <v>0.45387719999999998</v>
      </c>
      <c r="F2513" t="s">
        <v>46</v>
      </c>
      <c r="G2513">
        <v>-483.06790000000001</v>
      </c>
      <c r="H2513" s="1">
        <v>1.5065830000000001E-6</v>
      </c>
      <c r="I2513">
        <v>276.6046</v>
      </c>
      <c r="J2513">
        <v>-474.12450000000001</v>
      </c>
      <c r="K2513">
        <v>1.1164860000000001</v>
      </c>
      <c r="L2513">
        <v>283.18259999999998</v>
      </c>
      <c r="M2513">
        <v>-0.94868719999999995</v>
      </c>
      <c r="N2513">
        <v>0</v>
      </c>
      <c r="O2513">
        <v>-0.31588290000000002</v>
      </c>
      <c r="P2513">
        <v>-0.85973670000000002</v>
      </c>
      <c r="Q2513">
        <v>0.1620924</v>
      </c>
      <c r="R2513">
        <v>-0.48433399999999999</v>
      </c>
      <c r="S2513">
        <v>-2.5158390000000002</v>
      </c>
      <c r="T2513">
        <v>-0.30914079999999999</v>
      </c>
      <c r="U2513">
        <v>-1.8357540000000001</v>
      </c>
      <c r="V2513">
        <v>-0.19039130000000001</v>
      </c>
      <c r="W2513">
        <v>0.17347850000000001</v>
      </c>
      <c r="X2513">
        <v>0.96625890000000003</v>
      </c>
      <c r="Y2513">
        <v>-0.30406929999999999</v>
      </c>
      <c r="Z2513">
        <v>1.6648590000000001E-2</v>
      </c>
      <c r="AA2513">
        <v>0.95250449999999998</v>
      </c>
      <c r="AB2513">
        <v>26</v>
      </c>
      <c r="AC2513">
        <v>-8.9433999999999898</v>
      </c>
      <c r="AD2513">
        <v>-1.116484493417</v>
      </c>
      <c r="AE2513">
        <v>-6.5779999999999701</v>
      </c>
      <c r="AF2513">
        <v>-3.3815574810003901</v>
      </c>
      <c r="AG2513">
        <v>-1.116484493417</v>
      </c>
      <c r="AH2513">
        <v>10.4577147771829</v>
      </c>
      <c r="AI2513">
        <v>95.800386540225006</v>
      </c>
      <c r="AJ2513">
        <v>107.91888858936601</v>
      </c>
      <c r="AK2513">
        <v>11.0474099671488</v>
      </c>
      <c r="AL2513">
        <v>80.009871128800995</v>
      </c>
      <c r="AM2513">
        <v>101.146747246237</v>
      </c>
      <c r="AN2513">
        <v>0.99999994945357296</v>
      </c>
    </row>
    <row r="2514" spans="1:40" x14ac:dyDescent="0.25">
      <c r="A2514" t="str">
        <f>"20190312172419062"</f>
        <v>20190312172419062</v>
      </c>
      <c r="B2514" t="str">
        <f>"1552382659053083"</f>
        <v>1552382659053083</v>
      </c>
      <c r="C2514" t="s">
        <v>40</v>
      </c>
      <c r="D2514">
        <v>3.5696050000000001</v>
      </c>
      <c r="E2514">
        <v>0.45404739999999999</v>
      </c>
      <c r="F2514" t="s">
        <v>46</v>
      </c>
      <c r="G2514">
        <v>-483.1712</v>
      </c>
      <c r="H2514" s="1">
        <v>1.4992720000000001E-6</v>
      </c>
      <c r="I2514">
        <v>276.5111</v>
      </c>
      <c r="J2514">
        <v>-474.27600000000001</v>
      </c>
      <c r="K2514">
        <v>1.1164810000000001</v>
      </c>
      <c r="L2514">
        <v>283.1266</v>
      </c>
      <c r="M2514">
        <v>-0.94707889999999995</v>
      </c>
      <c r="N2514">
        <v>0</v>
      </c>
      <c r="O2514">
        <v>-0.32067240000000002</v>
      </c>
      <c r="P2514">
        <v>-0.85702309999999904</v>
      </c>
      <c r="Q2514">
        <v>0.1621551</v>
      </c>
      <c r="R2514">
        <v>-0.48909839999999999</v>
      </c>
      <c r="S2514">
        <v>-2.5064700000000002</v>
      </c>
      <c r="T2514">
        <v>-0.30933070000000001</v>
      </c>
      <c r="U2514">
        <v>-1.8483890000000001</v>
      </c>
      <c r="V2514">
        <v>-0.19087499999999999</v>
      </c>
      <c r="W2514">
        <v>0.17353569999999999</v>
      </c>
      <c r="X2514">
        <v>0.96615329999999999</v>
      </c>
      <c r="Y2514">
        <v>-0.304087099999999</v>
      </c>
      <c r="Z2514">
        <v>1.7157450000000001E-2</v>
      </c>
      <c r="AA2514">
        <v>0.95248969999999999</v>
      </c>
      <c r="AB2514">
        <v>26</v>
      </c>
      <c r="AC2514">
        <v>-8.8951999999999796</v>
      </c>
      <c r="AD2514">
        <v>-1.116479500728</v>
      </c>
      <c r="AE2514">
        <v>-6.6154999999999902</v>
      </c>
      <c r="AF2514">
        <v>-3.37903983515525</v>
      </c>
      <c r="AG2514">
        <v>-1.116479500728</v>
      </c>
      <c r="AH2514">
        <v>10.441067277229999</v>
      </c>
      <c r="AI2514">
        <v>95.809082122716006</v>
      </c>
      <c r="AJ2514">
        <v>107.933123051235</v>
      </c>
      <c r="AK2514">
        <v>11.030880407780501</v>
      </c>
      <c r="AL2514">
        <v>80.006544370950706</v>
      </c>
      <c r="AM2514">
        <v>101.175545014798</v>
      </c>
      <c r="AN2514">
        <v>1.0000000519501799</v>
      </c>
    </row>
    <row r="2515" spans="1:40" x14ac:dyDescent="0.25">
      <c r="A2515" t="str">
        <f>"20190312172419088"</f>
        <v>20190312172419088</v>
      </c>
      <c r="B2515" t="str">
        <f>"1552382659082363"</f>
        <v>1552382659082363</v>
      </c>
      <c r="C2515" t="s">
        <v>40</v>
      </c>
      <c r="D2515">
        <v>3.6488740000000002</v>
      </c>
      <c r="E2515">
        <v>0.45470290000000002</v>
      </c>
      <c r="F2515" t="s">
        <v>46</v>
      </c>
      <c r="G2515">
        <v>-483.2835</v>
      </c>
      <c r="H2515" s="1">
        <v>1.49093E-6</v>
      </c>
      <c r="I2515">
        <v>276.40719999999999</v>
      </c>
      <c r="J2515">
        <v>-474.54340000000002</v>
      </c>
      <c r="K2515">
        <v>1.1164689999999999</v>
      </c>
      <c r="L2515">
        <v>283.02539999999999</v>
      </c>
      <c r="M2515">
        <v>-0.94417419999999996</v>
      </c>
      <c r="N2515">
        <v>0</v>
      </c>
      <c r="O2515">
        <v>-0.32912659999999899</v>
      </c>
      <c r="P2515">
        <v>-0.85213830000000002</v>
      </c>
      <c r="Q2515">
        <v>0.16248870000000001</v>
      </c>
      <c r="R2515">
        <v>-0.4974517</v>
      </c>
      <c r="S2515">
        <v>-2.4963069999999998</v>
      </c>
      <c r="T2515">
        <v>-0.3094171</v>
      </c>
      <c r="U2515">
        <v>-1.8622129999999999</v>
      </c>
      <c r="V2515">
        <v>-0.19170129999999999</v>
      </c>
      <c r="W2515">
        <v>0.17386119999999999</v>
      </c>
      <c r="X2515">
        <v>0.96593110000000004</v>
      </c>
      <c r="Y2515">
        <v>-0.3008673</v>
      </c>
      <c r="Z2515">
        <v>1.8205889999999999E-2</v>
      </c>
      <c r="AA2515">
        <v>0.95349220000000001</v>
      </c>
      <c r="AB2515">
        <v>26</v>
      </c>
      <c r="AC2515">
        <v>-8.7400999999999804</v>
      </c>
      <c r="AD2515">
        <v>-1.11646750907</v>
      </c>
      <c r="AE2515">
        <v>-6.6181999999999999</v>
      </c>
      <c r="AF2515">
        <v>-3.3378723543534998</v>
      </c>
      <c r="AG2515">
        <v>-1.11646750907</v>
      </c>
      <c r="AH2515">
        <v>10.324426435987601</v>
      </c>
      <c r="AI2515">
        <v>95.874757213154595</v>
      </c>
      <c r="AJ2515">
        <v>107.91594618475</v>
      </c>
      <c r="AK2515">
        <v>10.9078720557625</v>
      </c>
      <c r="AL2515">
        <v>79.987606172684806</v>
      </c>
      <c r="AM2515">
        <v>101.225214747018</v>
      </c>
      <c r="AN2515">
        <v>0.99999999761716996</v>
      </c>
    </row>
    <row r="2516" spans="1:40" x14ac:dyDescent="0.25">
      <c r="A2516" t="str">
        <f>"20190312172419109"</f>
        <v>20190312172419109</v>
      </c>
      <c r="B2516" t="str">
        <f>"1552382659102779"</f>
        <v>1552382659102779</v>
      </c>
      <c r="C2516" t="s">
        <v>40</v>
      </c>
      <c r="D2516">
        <v>3.5106630000000001</v>
      </c>
      <c r="E2516">
        <v>0.4627192</v>
      </c>
      <c r="F2516" t="s">
        <v>46</v>
      </c>
      <c r="G2516">
        <v>-483.5086</v>
      </c>
      <c r="H2516" s="1">
        <v>1.477545E-6</v>
      </c>
      <c r="I2516">
        <v>276.21780000000001</v>
      </c>
      <c r="J2516">
        <v>-474.78120000000001</v>
      </c>
      <c r="K2516">
        <v>1.1164459999999901</v>
      </c>
      <c r="L2516">
        <v>282.9332</v>
      </c>
      <c r="M2516">
        <v>-0.94151940000000001</v>
      </c>
      <c r="N2516">
        <v>0</v>
      </c>
      <c r="O2516">
        <v>-0.33664559999999999</v>
      </c>
      <c r="P2516">
        <v>-0.8481341</v>
      </c>
      <c r="Q2516">
        <v>0.1620434</v>
      </c>
      <c r="R2516">
        <v>-0.50439109999999998</v>
      </c>
      <c r="S2516">
        <v>-2.4800420000000001</v>
      </c>
      <c r="T2516">
        <v>-0.30884539999999999</v>
      </c>
      <c r="U2516">
        <v>-1.8831789999999999</v>
      </c>
      <c r="V2516">
        <v>-0.1918426</v>
      </c>
      <c r="W2516">
        <v>0.17342109999999999</v>
      </c>
      <c r="X2516">
        <v>0.96598209999999995</v>
      </c>
      <c r="Y2516">
        <v>-0.30141560000000001</v>
      </c>
      <c r="Z2516">
        <v>1.893125E-2</v>
      </c>
      <c r="AA2516">
        <v>0.95330490000000001</v>
      </c>
      <c r="AB2516">
        <v>26</v>
      </c>
      <c r="AC2516">
        <v>-8.7273999999999798</v>
      </c>
      <c r="AD2516">
        <v>-1.1164445224549999</v>
      </c>
      <c r="AE2516">
        <v>-6.7153999999999803</v>
      </c>
      <c r="AF2516">
        <v>-3.3505559732993402</v>
      </c>
      <c r="AG2516">
        <v>-1.1164445224549999</v>
      </c>
      <c r="AH2516">
        <v>10.3722177816844</v>
      </c>
      <c r="AI2516">
        <v>95.848210326899206</v>
      </c>
      <c r="AJ2516">
        <v>107.90210543111699</v>
      </c>
      <c r="AK2516">
        <v>10.9569875153996</v>
      </c>
      <c r="AL2516">
        <v>80.013210420537106</v>
      </c>
      <c r="AM2516">
        <v>101.23270035637501</v>
      </c>
      <c r="AN2516">
        <v>0.99999993931018805</v>
      </c>
    </row>
    <row r="2517" spans="1:40" x14ac:dyDescent="0.25">
      <c r="A2517" t="str">
        <f>"20190312172419132"</f>
        <v>20190312172419132</v>
      </c>
      <c r="B2517" t="str">
        <f>"1552382659122295"</f>
        <v>1552382659122295</v>
      </c>
      <c r="C2517" t="s">
        <v>40</v>
      </c>
      <c r="D2517">
        <v>3.5542159999999998</v>
      </c>
      <c r="E2517">
        <v>0.46264840000000002</v>
      </c>
      <c r="F2517" t="s">
        <v>46</v>
      </c>
      <c r="G2517">
        <v>-483.21140000000003</v>
      </c>
      <c r="H2517" s="1">
        <v>1.534872E-6</v>
      </c>
      <c r="I2517">
        <v>276.69299999999998</v>
      </c>
      <c r="J2517">
        <v>-475.01909999999998</v>
      </c>
      <c r="K2517">
        <v>1.116436</v>
      </c>
      <c r="L2517">
        <v>282.83870000000002</v>
      </c>
      <c r="M2517">
        <v>-0.93879650000000003</v>
      </c>
      <c r="N2517">
        <v>0</v>
      </c>
      <c r="O2517">
        <v>-0.34416649999999999</v>
      </c>
      <c r="P2517">
        <v>-0.84398660000000003</v>
      </c>
      <c r="Q2517">
        <v>0.16111059999999999</v>
      </c>
      <c r="R2517">
        <v>-0.511596099999999</v>
      </c>
      <c r="S2517">
        <v>-2.4999389999999999</v>
      </c>
      <c r="T2517">
        <v>-0.33107629999999999</v>
      </c>
      <c r="U2517">
        <v>-1.8504940000000001</v>
      </c>
      <c r="V2517">
        <v>-0.19226190000000001</v>
      </c>
      <c r="W2517">
        <v>0.1724889</v>
      </c>
      <c r="X2517">
        <v>0.96606570000000003</v>
      </c>
      <c r="Y2517">
        <v>-0.28221360000000001</v>
      </c>
      <c r="Z2517">
        <v>2.2174119999999999E-2</v>
      </c>
      <c r="AA2517">
        <v>0.95909529999999998</v>
      </c>
      <c r="AB2517">
        <v>26</v>
      </c>
      <c r="AC2517">
        <v>-8.1923000000000403</v>
      </c>
      <c r="AD2517">
        <v>-1.116434465128</v>
      </c>
      <c r="AE2517">
        <v>-6.1457000000000299</v>
      </c>
      <c r="AF2517">
        <v>-2.9157070241494401</v>
      </c>
      <c r="AG2517">
        <v>-1.116434465128</v>
      </c>
      <c r="AH2517">
        <v>9.6919013597396706</v>
      </c>
      <c r="AI2517">
        <v>96.294784693282594</v>
      </c>
      <c r="AJ2517">
        <v>106.74336373156601</v>
      </c>
      <c r="AK2517">
        <v>10.182373266214601</v>
      </c>
      <c r="AL2517">
        <v>80.0674393744969</v>
      </c>
      <c r="AM2517">
        <v>101.25567558995</v>
      </c>
      <c r="AN2517">
        <v>0.99999999776565496</v>
      </c>
    </row>
    <row r="2518" spans="1:40" x14ac:dyDescent="0.25">
      <c r="A2518" t="str">
        <f>"20190312172419153"</f>
        <v>20190312172419153</v>
      </c>
      <c r="B2518" t="str">
        <f>"1552382659142791"</f>
        <v>1552382659142791</v>
      </c>
      <c r="C2518" t="s">
        <v>40</v>
      </c>
      <c r="D2518">
        <v>3.5548890000000002</v>
      </c>
      <c r="E2518">
        <v>0.46331729999999999</v>
      </c>
      <c r="F2518" t="s">
        <v>46</v>
      </c>
      <c r="G2518">
        <v>-483.3707</v>
      </c>
      <c r="H2518" s="1">
        <v>1.5233460000000001E-6</v>
      </c>
      <c r="I2518">
        <v>276.54730000000001</v>
      </c>
      <c r="J2518">
        <v>-475.25360000000001</v>
      </c>
      <c r="K2518">
        <v>1.1164259999999999</v>
      </c>
      <c r="L2518">
        <v>282.74349999999998</v>
      </c>
      <c r="M2518">
        <v>-0.9360446</v>
      </c>
      <c r="N2518">
        <v>0</v>
      </c>
      <c r="O2518">
        <v>-0.35158210000000001</v>
      </c>
      <c r="P2518">
        <v>-0.83933239999999998</v>
      </c>
      <c r="Q2518">
        <v>0.16055359999999999</v>
      </c>
      <c r="R2518">
        <v>-0.51936879999999996</v>
      </c>
      <c r="S2518">
        <v>-2.483765</v>
      </c>
      <c r="T2518">
        <v>-0.33202659999999901</v>
      </c>
      <c r="U2518">
        <v>-1.8710629999999999</v>
      </c>
      <c r="V2518">
        <v>-0.19349340000000001</v>
      </c>
      <c r="W2518">
        <v>0.17191819999999999</v>
      </c>
      <c r="X2518">
        <v>0.96592149999999999</v>
      </c>
      <c r="Y2518">
        <v>-0.28272750000000002</v>
      </c>
      <c r="Z2518">
        <v>2.3045920000000001E-2</v>
      </c>
      <c r="AA2518">
        <v>0.95892339999999998</v>
      </c>
      <c r="AB2518">
        <v>26</v>
      </c>
      <c r="AC2518">
        <v>-8.11709999999999</v>
      </c>
      <c r="AD2518">
        <v>-1.1164244766539999</v>
      </c>
      <c r="AE2518">
        <v>-6.19619999999997</v>
      </c>
      <c r="AF2518">
        <v>-2.91160189516413</v>
      </c>
      <c r="AG2518">
        <v>-1.1164244766539999</v>
      </c>
      <c r="AH2518">
        <v>9.6619855614247303</v>
      </c>
      <c r="AI2518">
        <v>96.313185774763795</v>
      </c>
      <c r="AJ2518">
        <v>106.769976891821</v>
      </c>
      <c r="AK2518">
        <v>10.1527234866894</v>
      </c>
      <c r="AL2518">
        <v>80.100633517317505</v>
      </c>
      <c r="AM2518">
        <v>101.327561151246</v>
      </c>
      <c r="AN2518">
        <v>0.99999995374852302</v>
      </c>
    </row>
    <row r="2519" spans="1:40" x14ac:dyDescent="0.25">
      <c r="A2519" t="str">
        <f>"20190312172419175"</f>
        <v>20190312172419175</v>
      </c>
      <c r="B2519" t="str">
        <f>"1552382659173048"</f>
        <v>1552382659173048</v>
      </c>
      <c r="C2519" t="s">
        <v>40</v>
      </c>
      <c r="D2519">
        <v>3.5522130000000001</v>
      </c>
      <c r="E2519">
        <v>0.46382950000000001</v>
      </c>
      <c r="F2519" t="s">
        <v>46</v>
      </c>
      <c r="G2519">
        <v>-483.50580000000002</v>
      </c>
      <c r="H2519" s="1">
        <v>1.515825E-6</v>
      </c>
      <c r="I2519">
        <v>276.4366</v>
      </c>
      <c r="J2519">
        <v>-475.49299999999999</v>
      </c>
      <c r="K2519">
        <v>1.116414</v>
      </c>
      <c r="L2519">
        <v>282.64400000000001</v>
      </c>
      <c r="M2519">
        <v>-0.93316500000000002</v>
      </c>
      <c r="N2519">
        <v>0</v>
      </c>
      <c r="O2519">
        <v>-0.35915540000000001</v>
      </c>
      <c r="P2519">
        <v>-0.83452490000000001</v>
      </c>
      <c r="Q2519">
        <v>0.16153020000000001</v>
      </c>
      <c r="R2519">
        <v>-0.52676020000000001</v>
      </c>
      <c r="S2519">
        <v>-2.470062</v>
      </c>
      <c r="T2519">
        <v>-0.33416839999999998</v>
      </c>
      <c r="U2519">
        <v>-1.8877870000000001</v>
      </c>
      <c r="V2519">
        <v>-0.19427240000000001</v>
      </c>
      <c r="W2519">
        <v>0.17288390000000001</v>
      </c>
      <c r="X2519">
        <v>0.96559269999999997</v>
      </c>
      <c r="Y2519">
        <v>-0.2816652</v>
      </c>
      <c r="Z2519">
        <v>2.4111710000000001E-2</v>
      </c>
      <c r="AA2519">
        <v>0.95920970000000005</v>
      </c>
      <c r="AB2519">
        <v>26</v>
      </c>
      <c r="AC2519">
        <v>-8.0127999999999702</v>
      </c>
      <c r="AD2519">
        <v>-1.1164124841750001</v>
      </c>
      <c r="AE2519">
        <v>-6.2073999999999998</v>
      </c>
      <c r="AF2519">
        <v>-2.8800547224917201</v>
      </c>
      <c r="AG2519">
        <v>-1.1164124841750001</v>
      </c>
      <c r="AH2519">
        <v>9.5913476176875907</v>
      </c>
      <c r="AI2519">
        <v>96.361095080019894</v>
      </c>
      <c r="AJ2519">
        <v>106.713768726956</v>
      </c>
      <c r="AK2519">
        <v>10.0764597534397</v>
      </c>
      <c r="AL2519">
        <v>80.044461725949205</v>
      </c>
      <c r="AM2519">
        <v>101.37575104605099</v>
      </c>
      <c r="AN2519">
        <v>0.99999993528712705</v>
      </c>
    </row>
    <row r="2520" spans="1:40" x14ac:dyDescent="0.25">
      <c r="A2520" t="str">
        <f>"20190312172419198"</f>
        <v>20190312172419198</v>
      </c>
      <c r="B2520" t="str">
        <f>"1552382659192571"</f>
        <v>1552382659192571</v>
      </c>
      <c r="C2520" t="s">
        <v>40</v>
      </c>
      <c r="D2520">
        <v>3.6597550000000001</v>
      </c>
      <c r="E2520">
        <v>0.46384720000000002</v>
      </c>
      <c r="F2520" t="s">
        <v>46</v>
      </c>
      <c r="G2520">
        <v>-483.64789999999999</v>
      </c>
      <c r="H2520" s="1">
        <v>1.5060789999999999E-6</v>
      </c>
      <c r="I2520">
        <v>276.30970000000002</v>
      </c>
      <c r="J2520">
        <v>-475.73329999999999</v>
      </c>
      <c r="K2520">
        <v>1.1164099999999999</v>
      </c>
      <c r="L2520">
        <v>282.54180000000002</v>
      </c>
      <c r="M2520">
        <v>-0.93019430000000003</v>
      </c>
      <c r="N2520">
        <v>0</v>
      </c>
      <c r="O2520">
        <v>-0.3667803</v>
      </c>
      <c r="P2520">
        <v>-0.82999210000000001</v>
      </c>
      <c r="Q2520">
        <v>0.16189039999999999</v>
      </c>
      <c r="R2520">
        <v>-0.53376480000000004</v>
      </c>
      <c r="S2520">
        <v>-2.4558719999999998</v>
      </c>
      <c r="T2520">
        <v>-0.33621129999999999</v>
      </c>
      <c r="U2520">
        <v>-1.9075930000000001</v>
      </c>
      <c r="V2520">
        <v>-0.19452430000000001</v>
      </c>
      <c r="W2520">
        <v>0.1732408</v>
      </c>
      <c r="X2520">
        <v>0.96547810000000001</v>
      </c>
      <c r="Y2520">
        <v>-0.28136840000000002</v>
      </c>
      <c r="Z2520">
        <v>2.5134699999999999E-2</v>
      </c>
      <c r="AA2520">
        <v>0.95927059999999997</v>
      </c>
      <c r="AB2520">
        <v>26</v>
      </c>
      <c r="AC2520">
        <v>-7.9146000000000001</v>
      </c>
      <c r="AD2520">
        <v>-1.1164084939209999</v>
      </c>
      <c r="AE2520">
        <v>-6.2321</v>
      </c>
      <c r="AF2520">
        <v>-2.8593315339873402</v>
      </c>
      <c r="AG2520">
        <v>-1.1164084939209999</v>
      </c>
      <c r="AH2520">
        <v>9.5318746100724905</v>
      </c>
      <c r="AI2520">
        <v>96.400958606198898</v>
      </c>
      <c r="AJ2520">
        <v>106.697971174291</v>
      </c>
      <c r="AK2520">
        <v>10.0139292152829</v>
      </c>
      <c r="AL2520">
        <v>80.0237004300444</v>
      </c>
      <c r="AM2520">
        <v>101.39143254155</v>
      </c>
      <c r="AN2520">
        <v>1.00000001982736</v>
      </c>
    </row>
    <row r="2521" spans="1:40" x14ac:dyDescent="0.25">
      <c r="A2521" t="str">
        <f>"20190312172419220"</f>
        <v>20190312172419220</v>
      </c>
      <c r="B2521" t="str">
        <f>"1552382659212154"</f>
        <v>1552382659212154</v>
      </c>
      <c r="C2521" t="s">
        <v>40</v>
      </c>
      <c r="D2521">
        <v>3.4846379999999999</v>
      </c>
      <c r="E2521">
        <v>0.46416649999999998</v>
      </c>
      <c r="F2521" t="s">
        <v>46</v>
      </c>
      <c r="G2521">
        <v>-483.72910000000002</v>
      </c>
      <c r="H2521" s="1">
        <v>1.497061E-6</v>
      </c>
      <c r="I2521">
        <v>276.2176</v>
      </c>
      <c r="J2521">
        <v>-475.96969999999999</v>
      </c>
      <c r="K2521">
        <v>1.1164179999999999</v>
      </c>
      <c r="L2521">
        <v>282.4391</v>
      </c>
      <c r="M2521">
        <v>-0.9271895</v>
      </c>
      <c r="N2521">
        <v>0</v>
      </c>
      <c r="O2521">
        <v>-0.37431150000000002</v>
      </c>
      <c r="P2521">
        <v>-0.82531299999999996</v>
      </c>
      <c r="Q2521">
        <v>0.16213159999999999</v>
      </c>
      <c r="R2521">
        <v>-0.54089940000000003</v>
      </c>
      <c r="S2521">
        <v>-2.4399109999999999</v>
      </c>
      <c r="T2521">
        <v>-0.34067170000000002</v>
      </c>
      <c r="U2521">
        <v>-1.92984</v>
      </c>
      <c r="V2521">
        <v>-0.1950411</v>
      </c>
      <c r="W2521">
        <v>0.1734695</v>
      </c>
      <c r="X2521">
        <v>0.96533270000000004</v>
      </c>
      <c r="Y2521">
        <v>-0.28206870000000001</v>
      </c>
      <c r="Z2521">
        <v>2.6287390000000001E-2</v>
      </c>
      <c r="AA2521">
        <v>0.95903400000000005</v>
      </c>
      <c r="AB2521">
        <v>26</v>
      </c>
      <c r="AC2521">
        <v>-7.7594000000000198</v>
      </c>
      <c r="AD2521">
        <v>-1.1164165029390001</v>
      </c>
      <c r="AE2521">
        <v>-6.22149999999999</v>
      </c>
      <c r="AF2521">
        <v>-2.8287348020162901</v>
      </c>
      <c r="AG2521">
        <v>-1.1164165029390001</v>
      </c>
      <c r="AH2521">
        <v>9.4056990430468392</v>
      </c>
      <c r="AI2521">
        <v>96.484779293616597</v>
      </c>
      <c r="AJ2521">
        <v>106.73849675522899</v>
      </c>
      <c r="AK2521">
        <v>9.8851050007850194</v>
      </c>
      <c r="AL2521">
        <v>80.010394834911295</v>
      </c>
      <c r="AM2521">
        <v>101.422577300471</v>
      </c>
      <c r="AN2521">
        <v>0.99999995990437396</v>
      </c>
    </row>
    <row r="2522" spans="1:40" x14ac:dyDescent="0.25">
      <c r="A2522" t="str">
        <f>"20190312172419243"</f>
        <v>20190312172419243</v>
      </c>
      <c r="B2522" t="str">
        <f>"1552382659232650"</f>
        <v>1552382659232650</v>
      </c>
      <c r="C2522" t="s">
        <v>40</v>
      </c>
      <c r="D2522">
        <v>3.4537650000000002</v>
      </c>
      <c r="E2522">
        <v>0.46273199999999998</v>
      </c>
      <c r="F2522" t="s">
        <v>46</v>
      </c>
      <c r="G2522">
        <v>-483.83330000000001</v>
      </c>
      <c r="H2522" s="1">
        <v>1.48872899999999E-6</v>
      </c>
      <c r="I2522">
        <v>276.11779999999999</v>
      </c>
      <c r="J2522">
        <v>-476.20159999999998</v>
      </c>
      <c r="K2522">
        <v>1.1164430000000001</v>
      </c>
      <c r="L2522">
        <v>282.33580000000001</v>
      </c>
      <c r="M2522">
        <v>-0.92414220000000002</v>
      </c>
      <c r="N2522">
        <v>0</v>
      </c>
      <c r="O2522">
        <v>-0.38177280000000002</v>
      </c>
      <c r="P2522">
        <v>-0.82062049999999997</v>
      </c>
      <c r="Q2522">
        <v>0.162405299999999</v>
      </c>
      <c r="R2522">
        <v>-0.54791119999999904</v>
      </c>
      <c r="S2522">
        <v>-2.4250180000000001</v>
      </c>
      <c r="T2522">
        <v>-0.3442829</v>
      </c>
      <c r="U2522">
        <v>-1.949371</v>
      </c>
      <c r="V2522">
        <v>-0.19552059999999999</v>
      </c>
      <c r="W2522">
        <v>0.173724499999999</v>
      </c>
      <c r="X2522">
        <v>0.96518990000000005</v>
      </c>
      <c r="Y2522">
        <v>-0.28195320000000001</v>
      </c>
      <c r="Z2522">
        <v>2.7436519999999999E-2</v>
      </c>
      <c r="AA2522">
        <v>0.95903579999999999</v>
      </c>
      <c r="AB2522">
        <v>26</v>
      </c>
      <c r="AC2522">
        <v>-7.6317000000000199</v>
      </c>
      <c r="AD2522">
        <v>-1.116441511271</v>
      </c>
      <c r="AE2522">
        <v>-6.2180000000000097</v>
      </c>
      <c r="AF2522">
        <v>-2.7970624919130098</v>
      </c>
      <c r="AG2522">
        <v>-1.116441511271</v>
      </c>
      <c r="AH2522">
        <v>9.3079112402825306</v>
      </c>
      <c r="AI2522">
        <v>96.552899110940203</v>
      </c>
      <c r="AJ2522">
        <v>106.72572161279101</v>
      </c>
      <c r="AK2522">
        <v>9.7830062807264699</v>
      </c>
      <c r="AL2522">
        <v>79.995559814939597</v>
      </c>
      <c r="AM2522">
        <v>101.45156764814401</v>
      </c>
      <c r="AN2522">
        <v>1.0000000249933001</v>
      </c>
    </row>
    <row r="2523" spans="1:40" x14ac:dyDescent="0.25">
      <c r="A2523" t="str">
        <f>"20190312172419265"</f>
        <v>20190312172419265</v>
      </c>
      <c r="B2523" t="str">
        <f>"1552382659262907"</f>
        <v>1552382659262907</v>
      </c>
      <c r="C2523" t="s">
        <v>40</v>
      </c>
      <c r="D2523">
        <v>3.4156249999999999</v>
      </c>
      <c r="E2523">
        <v>0.46045720000000001</v>
      </c>
      <c r="F2523" t="s">
        <v>46</v>
      </c>
      <c r="G2523">
        <v>-484.10019999999997</v>
      </c>
      <c r="H2523" s="1">
        <v>1.460975E-6</v>
      </c>
      <c r="I2523">
        <v>275.82580000000002</v>
      </c>
      <c r="J2523">
        <v>-476.43770000000001</v>
      </c>
      <c r="K2523">
        <v>1.1164829999999999</v>
      </c>
      <c r="L2523">
        <v>282.22820000000002</v>
      </c>
      <c r="M2523">
        <v>-0.92093139999999996</v>
      </c>
      <c r="N2523">
        <v>0</v>
      </c>
      <c r="O2523">
        <v>-0.38945449999999998</v>
      </c>
      <c r="P2523">
        <v>-0.81594489999999997</v>
      </c>
      <c r="Q2523">
        <v>0.16232179999999999</v>
      </c>
      <c r="R2523">
        <v>-0.55487489999999995</v>
      </c>
      <c r="S2523">
        <v>-2.401459</v>
      </c>
      <c r="T2523">
        <v>-0.33943889999999999</v>
      </c>
      <c r="U2523">
        <v>-1.979279</v>
      </c>
      <c r="V2523">
        <v>-0.19570969999999999</v>
      </c>
      <c r="W2523">
        <v>0.17361979999999999</v>
      </c>
      <c r="X2523">
        <v>0.96517039999999998</v>
      </c>
      <c r="Y2523">
        <v>-0.28570119999999999</v>
      </c>
      <c r="Z2523">
        <v>2.773291E-2</v>
      </c>
      <c r="AA2523">
        <v>0.95791740000000003</v>
      </c>
      <c r="AB2523">
        <v>26</v>
      </c>
      <c r="AC2523">
        <v>-7.6624999999999597</v>
      </c>
      <c r="AD2523">
        <v>-1.11648153902499</v>
      </c>
      <c r="AE2523">
        <v>-6.4024000000000001</v>
      </c>
      <c r="AF2523">
        <v>-2.8763222295144399</v>
      </c>
      <c r="AG2523">
        <v>-1.11648153902499</v>
      </c>
      <c r="AH2523">
        <v>9.4331503915191792</v>
      </c>
      <c r="AI2523">
        <v>96.459030055531102</v>
      </c>
      <c r="AJ2523">
        <v>106.95732335898499</v>
      </c>
      <c r="AK2523">
        <v>9.9249225137529802</v>
      </c>
      <c r="AL2523">
        <v>80.001651113255605</v>
      </c>
      <c r="AM2523">
        <v>101.462575595871</v>
      </c>
      <c r="AN2523">
        <v>1.00000001133114</v>
      </c>
    </row>
    <row r="2524" spans="1:40" x14ac:dyDescent="0.25">
      <c r="A2524" t="str">
        <f>"20190312172419289"</f>
        <v>20190312172419289</v>
      </c>
      <c r="B2524" t="str">
        <f>"1552382659282427"</f>
        <v>1552382659282427</v>
      </c>
      <c r="C2524" t="s">
        <v>40</v>
      </c>
      <c r="D2524">
        <v>3.5429369999999998</v>
      </c>
      <c r="E2524">
        <v>0.45920260000000002</v>
      </c>
      <c r="F2524" t="s">
        <v>46</v>
      </c>
      <c r="G2524">
        <v>-484.56079999999997</v>
      </c>
      <c r="H2524" s="1">
        <v>1.4150509999999999E-6</v>
      </c>
      <c r="I2524">
        <v>275.3331</v>
      </c>
      <c r="J2524">
        <v>-476.67689999999999</v>
      </c>
      <c r="K2524">
        <v>1.116541</v>
      </c>
      <c r="L2524">
        <v>282.11660000000001</v>
      </c>
      <c r="M2524">
        <v>-0.9175586</v>
      </c>
      <c r="N2524">
        <v>0</v>
      </c>
      <c r="O2524">
        <v>-0.39733540000000001</v>
      </c>
      <c r="P2524">
        <v>-0.81093009999999999</v>
      </c>
      <c r="Q2524">
        <v>0.1624855</v>
      </c>
      <c r="R2524">
        <v>-0.56213119999999905</v>
      </c>
      <c r="S2524">
        <v>-2.3722530000000002</v>
      </c>
      <c r="T2524">
        <v>-0.3260555</v>
      </c>
      <c r="U2524">
        <v>-2.0136409999999998</v>
      </c>
      <c r="V2524">
        <v>-0.19608419999999999</v>
      </c>
      <c r="W2524">
        <v>0.17375650000000001</v>
      </c>
      <c r="X2524">
        <v>0.96506979999999998</v>
      </c>
      <c r="Y2524">
        <v>-0.29133619999999999</v>
      </c>
      <c r="Z2524">
        <v>2.7235510000000001E-2</v>
      </c>
      <c r="AA2524">
        <v>0.956233</v>
      </c>
      <c r="AB2524">
        <v>26</v>
      </c>
      <c r="AC2524">
        <v>-7.8838999999999801</v>
      </c>
      <c r="AD2524">
        <v>-1.1165395849490001</v>
      </c>
      <c r="AE2524">
        <v>-6.7835000000000001</v>
      </c>
      <c r="AF2524">
        <v>-3.0568029899484399</v>
      </c>
      <c r="AG2524">
        <v>-1.1165395849490001</v>
      </c>
      <c r="AH2524">
        <v>9.8171704360616303</v>
      </c>
      <c r="AI2524">
        <v>96.1975204175004</v>
      </c>
      <c r="AJ2524">
        <v>107.295184579622</v>
      </c>
      <c r="AK2524">
        <v>10.342511326307401</v>
      </c>
      <c r="AL2524">
        <v>79.993698053644195</v>
      </c>
      <c r="AM2524">
        <v>101.48509287052499</v>
      </c>
      <c r="AN2524">
        <v>1.00000002682696</v>
      </c>
    </row>
    <row r="2525" spans="1:40" x14ac:dyDescent="0.25">
      <c r="A2525" t="str">
        <f>"20190312172419311"</f>
        <v>20190312172419311</v>
      </c>
      <c r="B2525" t="str">
        <f>"1552382659302373"</f>
        <v>1552382659302373</v>
      </c>
      <c r="C2525" t="s">
        <v>40</v>
      </c>
      <c r="D2525">
        <v>3.5873620000000002</v>
      </c>
      <c r="E2525">
        <v>0.45813330000000002</v>
      </c>
      <c r="F2525" t="s">
        <v>46</v>
      </c>
      <c r="G2525">
        <v>-484.88659999999999</v>
      </c>
      <c r="H2525" s="1">
        <v>1.3807829999999999E-6</v>
      </c>
      <c r="I2525">
        <v>274.9744</v>
      </c>
      <c r="J2525">
        <v>-476.90280000000001</v>
      </c>
      <c r="K2525">
        <v>1.116601</v>
      </c>
      <c r="L2525">
        <v>282.00889999999998</v>
      </c>
      <c r="M2525">
        <v>-0.91425219999999896</v>
      </c>
      <c r="N2525">
        <v>0</v>
      </c>
      <c r="O2525">
        <v>-0.40488489999999999</v>
      </c>
      <c r="P2525">
        <v>-0.80605539999999998</v>
      </c>
      <c r="Q2525">
        <v>0.16282859999999999</v>
      </c>
      <c r="R2525">
        <v>-0.56900099999999998</v>
      </c>
      <c r="S2525">
        <v>-2.3476560000000002</v>
      </c>
      <c r="T2525">
        <v>-0.31928469999999998</v>
      </c>
      <c r="U2525">
        <v>-2.042389</v>
      </c>
      <c r="V2525">
        <v>-0.19638920000000001</v>
      </c>
      <c r="W2525">
        <v>0.17407059999999999</v>
      </c>
      <c r="X2525">
        <v>0.96495120000000001</v>
      </c>
      <c r="Y2525">
        <v>-0.29507410000000001</v>
      </c>
      <c r="Z2525">
        <v>2.7308010000000001E-2</v>
      </c>
      <c r="AA2525">
        <v>0.95508400000000004</v>
      </c>
      <c r="AB2525">
        <v>26</v>
      </c>
      <c r="AC2525">
        <v>-7.9837999999999703</v>
      </c>
      <c r="AD2525">
        <v>-1.116599619217</v>
      </c>
      <c r="AE2525">
        <v>-7.03449999999998</v>
      </c>
      <c r="AF2525">
        <v>-3.1642808801569</v>
      </c>
      <c r="AG2525">
        <v>-1.116599619217</v>
      </c>
      <c r="AH2525">
        <v>10.0379072022999</v>
      </c>
      <c r="AI2525">
        <v>96.055961504381798</v>
      </c>
      <c r="AJ2525">
        <v>107.496577997473</v>
      </c>
      <c r="AK2525">
        <v>10.5839051961054</v>
      </c>
      <c r="AL2525">
        <v>79.975423239634694</v>
      </c>
      <c r="AM2525">
        <v>101.503857675665</v>
      </c>
      <c r="AN2525">
        <v>1.00000005502121</v>
      </c>
    </row>
    <row r="2526" spans="1:40" x14ac:dyDescent="0.25">
      <c r="A2526" t="str">
        <f>"20190312172419332"</f>
        <v>20190312172419332</v>
      </c>
      <c r="B2526" t="str">
        <f>"1552382659322869"</f>
        <v>1552382659322869</v>
      </c>
      <c r="C2526" t="s">
        <v>40</v>
      </c>
      <c r="D2526">
        <v>3.419918</v>
      </c>
      <c r="E2526">
        <v>0.4574066</v>
      </c>
      <c r="F2526" t="s">
        <v>46</v>
      </c>
      <c r="G2526">
        <v>-485.13740000000001</v>
      </c>
      <c r="H2526" s="1">
        <v>1.351341E-6</v>
      </c>
      <c r="I2526">
        <v>274.68090000000001</v>
      </c>
      <c r="J2526">
        <v>-477.12520000000001</v>
      </c>
      <c r="K2526">
        <v>1.1166739999999999</v>
      </c>
      <c r="L2526">
        <v>281.90039999999999</v>
      </c>
      <c r="M2526">
        <v>-0.91086540000000005</v>
      </c>
      <c r="N2526">
        <v>0</v>
      </c>
      <c r="O2526">
        <v>-0.41244730000000002</v>
      </c>
      <c r="P2526">
        <v>-0.80115819999999904</v>
      </c>
      <c r="Q2526">
        <v>0.1633433</v>
      </c>
      <c r="R2526">
        <v>-0.57572950000000001</v>
      </c>
      <c r="S2526">
        <v>-2.324951</v>
      </c>
      <c r="T2526">
        <v>-0.31525959999999997</v>
      </c>
      <c r="U2526">
        <v>-2.0689700000000002</v>
      </c>
      <c r="V2526">
        <v>-0.19655339999999999</v>
      </c>
      <c r="W2526">
        <v>0.17455470000000001</v>
      </c>
      <c r="X2526">
        <v>0.96483030000000003</v>
      </c>
      <c r="Y2526">
        <v>-0.29789139999999997</v>
      </c>
      <c r="Z2526">
        <v>2.763753E-2</v>
      </c>
      <c r="AA2526">
        <v>0.95419960000000004</v>
      </c>
      <c r="AB2526">
        <v>26</v>
      </c>
      <c r="AC2526">
        <v>-8.0122</v>
      </c>
      <c r="AD2526">
        <v>-1.116672648659</v>
      </c>
      <c r="AE2526">
        <v>-7.2194999999999796</v>
      </c>
      <c r="AF2526">
        <v>-3.2370262534473699</v>
      </c>
      <c r="AG2526">
        <v>-1.116672648659</v>
      </c>
      <c r="AH2526">
        <v>10.167783065307701</v>
      </c>
      <c r="AI2526">
        <v>95.974215778383297</v>
      </c>
      <c r="AJ2526">
        <v>107.65944971016999</v>
      </c>
      <c r="AK2526">
        <v>10.7288913328884</v>
      </c>
      <c r="AL2526">
        <v>79.947255008977805</v>
      </c>
      <c r="AM2526">
        <v>101.51462342015201</v>
      </c>
      <c r="AN2526">
        <v>1.0000000450708599</v>
      </c>
    </row>
    <row r="2527" spans="1:40" x14ac:dyDescent="0.25">
      <c r="A2527" t="str">
        <f>"20190312172419355"</f>
        <v>20190312172419355</v>
      </c>
      <c r="B2527" t="str">
        <f>"1552382659342392"</f>
        <v>1552382659342392</v>
      </c>
      <c r="C2527" t="s">
        <v>40</v>
      </c>
      <c r="D2527">
        <v>3.4129550000000002</v>
      </c>
      <c r="E2527">
        <v>0.45682240000000002</v>
      </c>
      <c r="F2527" t="s">
        <v>46</v>
      </c>
      <c r="G2527">
        <v>-485.44920000000002</v>
      </c>
      <c r="H2527" s="1">
        <v>1.269219E-6</v>
      </c>
      <c r="I2527">
        <v>274.33800000000002</v>
      </c>
      <c r="J2527">
        <v>-477.351</v>
      </c>
      <c r="K2527">
        <v>1.116771</v>
      </c>
      <c r="L2527">
        <v>281.7878</v>
      </c>
      <c r="M2527">
        <v>-0.90727840000000004</v>
      </c>
      <c r="N2527">
        <v>0</v>
      </c>
      <c r="O2527">
        <v>-0.42027880000000001</v>
      </c>
      <c r="P2527">
        <v>-0.79561530000000003</v>
      </c>
      <c r="Q2527">
        <v>0.1642912</v>
      </c>
      <c r="R2527">
        <v>-0.58309949999999999</v>
      </c>
      <c r="S2527">
        <v>-2.3036500000000002</v>
      </c>
      <c r="T2527">
        <v>-0.30903819999999999</v>
      </c>
      <c r="U2527">
        <v>-2.0928960000000001</v>
      </c>
      <c r="V2527">
        <v>-0.1972817</v>
      </c>
      <c r="W2527">
        <v>0.1754561</v>
      </c>
      <c r="X2527">
        <v>0.96451810000000004</v>
      </c>
      <c r="Y2527">
        <v>-0.2994965</v>
      </c>
      <c r="Z2527">
        <v>2.7845689999999999E-2</v>
      </c>
      <c r="AA2527">
        <v>0.95369099999999996</v>
      </c>
      <c r="AB2527">
        <v>26</v>
      </c>
      <c r="AC2527">
        <v>-8.0982000000000198</v>
      </c>
      <c r="AD2527">
        <v>-1.1167697307810001</v>
      </c>
      <c r="AE2527">
        <v>-7.4498000000000397</v>
      </c>
      <c r="AF2527">
        <v>-3.3216813732435502</v>
      </c>
      <c r="AG2527">
        <v>-1.1167697307810001</v>
      </c>
      <c r="AH2527">
        <v>10.3725822945567</v>
      </c>
      <c r="AI2527">
        <v>95.854432562868993</v>
      </c>
      <c r="AJ2527">
        <v>107.756972190849</v>
      </c>
      <c r="AK2527">
        <v>10.948570922010401</v>
      </c>
      <c r="AL2527">
        <v>79.894799001018896</v>
      </c>
      <c r="AM2527">
        <v>101.559783372965</v>
      </c>
      <c r="AN2527">
        <v>1.00000003870485</v>
      </c>
    </row>
    <row r="2528" spans="1:40" x14ac:dyDescent="0.25">
      <c r="A2528" t="str">
        <f>"20190312172419377"</f>
        <v>20190312172419377</v>
      </c>
      <c r="B2528" t="str">
        <f>"1552382659372645"</f>
        <v>1552382659372645</v>
      </c>
      <c r="C2528" t="s">
        <v>40</v>
      </c>
      <c r="D2528">
        <v>3.3880300000000001</v>
      </c>
      <c r="E2528">
        <v>0.45622069999999998</v>
      </c>
      <c r="F2528" t="s">
        <v>46</v>
      </c>
      <c r="G2528">
        <v>-485.76310000000001</v>
      </c>
      <c r="H2528" s="1">
        <v>1.171366E-6</v>
      </c>
      <c r="I2528">
        <v>273.98239999999998</v>
      </c>
      <c r="J2528">
        <v>-477.58139999999997</v>
      </c>
      <c r="K2528">
        <v>1.1168819999999999</v>
      </c>
      <c r="L2528">
        <v>281.67009999999999</v>
      </c>
      <c r="M2528">
        <v>-0.90345220000000004</v>
      </c>
      <c r="N2528">
        <v>0</v>
      </c>
      <c r="O2528">
        <v>-0.42844149999999998</v>
      </c>
      <c r="P2528">
        <v>-0.78968119999999997</v>
      </c>
      <c r="Q2528">
        <v>0.165313299999999</v>
      </c>
      <c r="R2528">
        <v>-0.59082609999999902</v>
      </c>
      <c r="S2528">
        <v>-2.2816160000000001</v>
      </c>
      <c r="T2528">
        <v>-0.3029038</v>
      </c>
      <c r="U2528">
        <v>-2.1170650000000002</v>
      </c>
      <c r="V2528">
        <v>-0.1981395</v>
      </c>
      <c r="W2528">
        <v>0.17642449999999901</v>
      </c>
      <c r="X2528">
        <v>0.96416550000000001</v>
      </c>
      <c r="Y2528">
        <v>-0.30092390000000002</v>
      </c>
      <c r="Z2528">
        <v>2.8076509999999999E-2</v>
      </c>
      <c r="AA2528">
        <v>0.95323469999999999</v>
      </c>
      <c r="AB2528">
        <v>26</v>
      </c>
      <c r="AC2528">
        <v>-8.1817000000000295</v>
      </c>
      <c r="AD2528">
        <v>-1.116880828634</v>
      </c>
      <c r="AE2528">
        <v>-7.6877000000000004</v>
      </c>
      <c r="AF2528">
        <v>-3.4067380052042799</v>
      </c>
      <c r="AG2528">
        <v>-1.116880828634</v>
      </c>
      <c r="AH2528">
        <v>10.5819086702828</v>
      </c>
      <c r="AI2528">
        <v>95.737145025409006</v>
      </c>
      <c r="AJ2528">
        <v>107.845435499262</v>
      </c>
      <c r="AK2528">
        <v>11.172738148174799</v>
      </c>
      <c r="AL2528">
        <v>79.838434014090794</v>
      </c>
      <c r="AM2528">
        <v>101.61281501173001</v>
      </c>
      <c r="AN2528">
        <v>0.99999998852537497</v>
      </c>
    </row>
    <row r="2529" spans="1:40" x14ac:dyDescent="0.25">
      <c r="A2529" t="str">
        <f>"20190312172419399"</f>
        <v>20190312172419399</v>
      </c>
      <c r="B2529" t="str">
        <f>"1552382659392165"</f>
        <v>1552382659392165</v>
      </c>
      <c r="C2529" t="s">
        <v>40</v>
      </c>
      <c r="D2529">
        <v>3.3931019999999998</v>
      </c>
      <c r="E2529">
        <v>0.45598830000000001</v>
      </c>
      <c r="F2529" t="s">
        <v>46</v>
      </c>
      <c r="G2529">
        <v>-486.10840000000002</v>
      </c>
      <c r="H2529" s="1">
        <v>1.0578109999999999E-6</v>
      </c>
      <c r="I2529">
        <v>273.57459999999998</v>
      </c>
      <c r="J2529">
        <v>-477.80360000000002</v>
      </c>
      <c r="K2529">
        <v>1.1170009999999999</v>
      </c>
      <c r="L2529">
        <v>281.55399999999997</v>
      </c>
      <c r="M2529">
        <v>-0.89959069999999997</v>
      </c>
      <c r="N2529">
        <v>0</v>
      </c>
      <c r="O2529">
        <v>-0.4364904</v>
      </c>
      <c r="P2529">
        <v>-0.78359209999999901</v>
      </c>
      <c r="Q2529">
        <v>0.1669561</v>
      </c>
      <c r="R2529">
        <v>-0.59842240000000002</v>
      </c>
      <c r="S2529">
        <v>-2.2573850000000002</v>
      </c>
      <c r="T2529">
        <v>-0.29567789999999999</v>
      </c>
      <c r="U2529">
        <v>-2.1431879999999999</v>
      </c>
      <c r="V2529">
        <v>-0.19906740000000001</v>
      </c>
      <c r="W2529">
        <v>0.17800879999999999</v>
      </c>
      <c r="X2529">
        <v>0.96368310000000001</v>
      </c>
      <c r="Y2529">
        <v>-0.30331979999999997</v>
      </c>
      <c r="Z2529">
        <v>2.8117300000000001E-2</v>
      </c>
      <c r="AA2529">
        <v>0.95247389999999998</v>
      </c>
      <c r="AB2529">
        <v>26</v>
      </c>
      <c r="AC2529">
        <v>-8.3048000000000002</v>
      </c>
      <c r="AD2529">
        <v>-1.116999942189</v>
      </c>
      <c r="AE2529">
        <v>-7.9794000000000498</v>
      </c>
      <c r="AF2529">
        <v>-3.52049085958275</v>
      </c>
      <c r="AG2529">
        <v>-1.116999942189</v>
      </c>
      <c r="AH2529">
        <v>10.852928942057201</v>
      </c>
      <c r="AI2529">
        <v>95.591418923934995</v>
      </c>
      <c r="AJ2529">
        <v>107.972110945764</v>
      </c>
      <c r="AK2529">
        <v>11.464188213065899</v>
      </c>
      <c r="AL2529">
        <v>79.746200945563601</v>
      </c>
      <c r="AM2529">
        <v>101.67139076914199</v>
      </c>
      <c r="AN2529">
        <v>1.0000000399229001</v>
      </c>
    </row>
    <row r="2530" spans="1:40" x14ac:dyDescent="0.25">
      <c r="A2530" t="str">
        <f>"20190312172419422"</f>
        <v>20190312172419422</v>
      </c>
      <c r="B2530" t="str">
        <f>"1552382659412947"</f>
        <v>1552382659412947</v>
      </c>
      <c r="C2530" t="s">
        <v>40</v>
      </c>
      <c r="D2530">
        <v>3.37399</v>
      </c>
      <c r="E2530">
        <v>0.45578869999999999</v>
      </c>
      <c r="F2530" t="s">
        <v>46</v>
      </c>
      <c r="G2530">
        <v>-486.47590000000002</v>
      </c>
      <c r="H2530" s="1">
        <v>9.3870680000000001E-7</v>
      </c>
      <c r="I2530">
        <v>273.1454</v>
      </c>
      <c r="J2530">
        <v>-478.02609999999999</v>
      </c>
      <c r="K2530">
        <v>1.1171329999999999</v>
      </c>
      <c r="L2530">
        <v>281.43490000000003</v>
      </c>
      <c r="M2530">
        <v>-0.89554319999999898</v>
      </c>
      <c r="N2530">
        <v>0</v>
      </c>
      <c r="O2530">
        <v>-0.44473509999999999</v>
      </c>
      <c r="P2530">
        <v>-0.77734289999999995</v>
      </c>
      <c r="Q2530">
        <v>0.16747329999999999</v>
      </c>
      <c r="R2530">
        <v>-0.60637529999999995</v>
      </c>
      <c r="S2530">
        <v>-2.2349549999999998</v>
      </c>
      <c r="T2530">
        <v>-0.28786519999999999</v>
      </c>
      <c r="U2530">
        <v>-2.166992</v>
      </c>
      <c r="V2530">
        <v>-0.2001474</v>
      </c>
      <c r="W2530">
        <v>0.17846389999999901</v>
      </c>
      <c r="X2530">
        <v>0.96337519999999999</v>
      </c>
      <c r="Y2530">
        <v>-0.30457489999999998</v>
      </c>
      <c r="Z2530">
        <v>2.8137889999999999E-2</v>
      </c>
      <c r="AA2530">
        <v>0.95207269999999999</v>
      </c>
      <c r="AB2530">
        <v>26</v>
      </c>
      <c r="AC2530">
        <v>-8.44980000000003</v>
      </c>
      <c r="AD2530">
        <v>-1.1171320612932001</v>
      </c>
      <c r="AE2530">
        <v>-8.2895000000000305</v>
      </c>
      <c r="AF2530">
        <v>-3.6337083592693298</v>
      </c>
      <c r="AG2530">
        <v>-1.1171320612932001</v>
      </c>
      <c r="AH2530">
        <v>11.1556300119378</v>
      </c>
      <c r="AI2530">
        <v>95.439120399555705</v>
      </c>
      <c r="AJ2530">
        <v>108.041913926033</v>
      </c>
      <c r="AK2530">
        <v>11.7855802337365</v>
      </c>
      <c r="AL2530">
        <v>79.7197015326838</v>
      </c>
      <c r="AM2530">
        <v>101.736606562069</v>
      </c>
      <c r="AN2530">
        <v>1.0000000606524999</v>
      </c>
    </row>
    <row r="2531" spans="1:40" x14ac:dyDescent="0.25">
      <c r="A2531" t="str">
        <f>"20190312172419444"</f>
        <v>20190312172419444</v>
      </c>
      <c r="B2531" t="str">
        <f>"1552382659432467"</f>
        <v>1552382659432467</v>
      </c>
      <c r="C2531" t="s">
        <v>40</v>
      </c>
      <c r="D2531">
        <v>3.3509470000000001</v>
      </c>
      <c r="E2531">
        <v>0.45575169999999998</v>
      </c>
      <c r="F2531" t="s">
        <v>46</v>
      </c>
      <c r="G2531">
        <v>-486.71980000000002</v>
      </c>
      <c r="H2531" s="1">
        <v>8.4507809999999898E-7</v>
      </c>
      <c r="I2531">
        <v>272.8193</v>
      </c>
      <c r="J2531">
        <v>-478.24930000000001</v>
      </c>
      <c r="K2531">
        <v>1.1172599999999999</v>
      </c>
      <c r="L2531">
        <v>281.31220000000002</v>
      </c>
      <c r="M2531">
        <v>-0.89127579999999995</v>
      </c>
      <c r="N2531">
        <v>0</v>
      </c>
      <c r="O2531">
        <v>-0.45322570000000001</v>
      </c>
      <c r="P2531">
        <v>-0.77099419999999996</v>
      </c>
      <c r="Q2531">
        <v>0.167652</v>
      </c>
      <c r="R2531">
        <v>-0.61437830000000004</v>
      </c>
      <c r="S2531">
        <v>-2.211182</v>
      </c>
      <c r="T2531">
        <v>-0.28413260000000001</v>
      </c>
      <c r="U2531">
        <v>-2.191284</v>
      </c>
      <c r="V2531">
        <v>-0.20102800000000001</v>
      </c>
      <c r="W2531">
        <v>0.17858540000000001</v>
      </c>
      <c r="X2531">
        <v>0.96316930000000001</v>
      </c>
      <c r="Y2531">
        <v>-0.30592979999999997</v>
      </c>
      <c r="Z2531">
        <v>2.854868E-2</v>
      </c>
      <c r="AA2531">
        <v>0.95162590000000002</v>
      </c>
      <c r="AB2531">
        <v>26</v>
      </c>
      <c r="AC2531">
        <v>-8.4705000000000101</v>
      </c>
      <c r="AD2531">
        <v>-1.1172591549219</v>
      </c>
      <c r="AE2531">
        <v>-8.4929000000000094</v>
      </c>
      <c r="AF2531">
        <v>-3.6987770334525401</v>
      </c>
      <c r="AG2531">
        <v>-1.1172591549219</v>
      </c>
      <c r="AH2531">
        <v>11.3019180046816</v>
      </c>
      <c r="AI2531">
        <v>95.367312790955694</v>
      </c>
      <c r="AJ2531">
        <v>108.121711448106</v>
      </c>
      <c r="AK2531">
        <v>11.9441437594747</v>
      </c>
      <c r="AL2531">
        <v>79.712626338998405</v>
      </c>
      <c r="AM2531">
        <v>101.78925239206499</v>
      </c>
      <c r="AN2531">
        <v>1.0000000511698199</v>
      </c>
    </row>
    <row r="2532" spans="1:40" x14ac:dyDescent="0.25">
      <c r="A2532" t="str">
        <f>"20190312172419467"</f>
        <v>20190312172419467</v>
      </c>
      <c r="B2532" t="str">
        <f>"1552382659462722"</f>
        <v>1552382659462722</v>
      </c>
      <c r="C2532" t="s">
        <v>40</v>
      </c>
      <c r="D2532">
        <v>3.352725</v>
      </c>
      <c r="E2532">
        <v>0.45580389999999998</v>
      </c>
      <c r="F2532" t="s">
        <v>46</v>
      </c>
      <c r="G2532">
        <v>-486.9187</v>
      </c>
      <c r="H2532" s="1">
        <v>7.641598E-7</v>
      </c>
      <c r="I2532">
        <v>272.54050000000001</v>
      </c>
      <c r="J2532">
        <v>-478.4726</v>
      </c>
      <c r="K2532">
        <v>1.1173759999999999</v>
      </c>
      <c r="L2532">
        <v>281.18650000000002</v>
      </c>
      <c r="M2532">
        <v>-0.88681919999999903</v>
      </c>
      <c r="N2532">
        <v>0</v>
      </c>
      <c r="O2532">
        <v>-0.46188459999999998</v>
      </c>
      <c r="P2532">
        <v>-0.76458479999999995</v>
      </c>
      <c r="Q2532">
        <v>0.16771320000000001</v>
      </c>
      <c r="R2532">
        <v>-0.62232030000000005</v>
      </c>
      <c r="S2532">
        <v>-2.1881409999999999</v>
      </c>
      <c r="T2532">
        <v>-0.2819952</v>
      </c>
      <c r="U2532">
        <v>-2.213959</v>
      </c>
      <c r="V2532">
        <v>-0.20166809999999999</v>
      </c>
      <c r="W2532">
        <v>0.1786005</v>
      </c>
      <c r="X2532">
        <v>0.96303269999999996</v>
      </c>
      <c r="Y2532">
        <v>-0.30655850000000001</v>
      </c>
      <c r="Z2532">
        <v>2.9155150000000001E-2</v>
      </c>
      <c r="AA2532">
        <v>0.95140519999999995</v>
      </c>
      <c r="AB2532">
        <v>26</v>
      </c>
      <c r="AC2532">
        <v>-8.4460999999999995</v>
      </c>
      <c r="AD2532">
        <v>-1.1173752358401901</v>
      </c>
      <c r="AE2532">
        <v>-8.6460000000000097</v>
      </c>
      <c r="AF2532">
        <v>-3.7348002506474298</v>
      </c>
      <c r="AG2532">
        <v>-1.1173752358401901</v>
      </c>
      <c r="AH2532">
        <v>11.387527536795099</v>
      </c>
      <c r="AI2532">
        <v>95.326643851179099</v>
      </c>
      <c r="AJ2532">
        <v>108.158087746208</v>
      </c>
      <c r="AK2532">
        <v>12.036321852259199</v>
      </c>
      <c r="AL2532">
        <v>79.711747244723298</v>
      </c>
      <c r="AM2532">
        <v>101.827365657504</v>
      </c>
      <c r="AN2532">
        <v>1.0000000712135699</v>
      </c>
    </row>
    <row r="2533" spans="1:40" x14ac:dyDescent="0.25">
      <c r="A2533" t="str">
        <f>"20190312172419489"</f>
        <v>20190312172419489</v>
      </c>
      <c r="B2533" t="str">
        <f>"1552382659482243"</f>
        <v>1552382659482243</v>
      </c>
      <c r="C2533" t="s">
        <v>40</v>
      </c>
      <c r="D2533">
        <v>3.3418619999999999</v>
      </c>
      <c r="E2533">
        <v>0.45592749999999999</v>
      </c>
      <c r="F2533" t="s">
        <v>46</v>
      </c>
      <c r="G2533">
        <v>-487.0514</v>
      </c>
      <c r="H2533" s="1">
        <v>6.9988449999999996E-7</v>
      </c>
      <c r="I2533">
        <v>272.3254</v>
      </c>
      <c r="J2533">
        <v>-478.68720000000002</v>
      </c>
      <c r="K2533">
        <v>1.117472</v>
      </c>
      <c r="L2533">
        <v>281.06290000000001</v>
      </c>
      <c r="M2533">
        <v>-0.88235010000000003</v>
      </c>
      <c r="N2533">
        <v>0</v>
      </c>
      <c r="O2533">
        <v>-0.47036529999999999</v>
      </c>
      <c r="P2533">
        <v>-0.75820410000000005</v>
      </c>
      <c r="Q2533">
        <v>0.16831160000000001</v>
      </c>
      <c r="R2533">
        <v>-0.62991949999999997</v>
      </c>
      <c r="S2533">
        <v>-2.1651919999999998</v>
      </c>
      <c r="T2533">
        <v>-0.28201409999999999</v>
      </c>
      <c r="U2533">
        <v>-2.23645</v>
      </c>
      <c r="V2533">
        <v>-0.20216100000000001</v>
      </c>
      <c r="W2533">
        <v>0.17915970000000001</v>
      </c>
      <c r="X2533">
        <v>0.96282540000000005</v>
      </c>
      <c r="Y2533">
        <v>-0.30727860000000001</v>
      </c>
      <c r="Z2533">
        <v>2.9955269999999999E-2</v>
      </c>
      <c r="AA2533">
        <v>0.95114799999999999</v>
      </c>
      <c r="AB2533">
        <v>26</v>
      </c>
      <c r="AC2533">
        <v>-8.3641999999999808</v>
      </c>
      <c r="AD2533">
        <v>-1.1174713001154899</v>
      </c>
      <c r="AE2533">
        <v>-8.7375000000000096</v>
      </c>
      <c r="AF2533">
        <v>-3.7437560902928202</v>
      </c>
      <c r="AG2533">
        <v>-1.1174713001154899</v>
      </c>
      <c r="AH2533">
        <v>11.393953178095099</v>
      </c>
      <c r="AI2533">
        <v>95.323169427404594</v>
      </c>
      <c r="AJ2533">
        <v>108.189175583652</v>
      </c>
      <c r="AK2533">
        <v>12.0451907745295</v>
      </c>
      <c r="AL2533">
        <v>79.679181556847695</v>
      </c>
      <c r="AM2533">
        <v>101.85793624812599</v>
      </c>
      <c r="AN2533">
        <v>1.00000000945512</v>
      </c>
    </row>
    <row r="2534" spans="1:40" x14ac:dyDescent="0.25">
      <c r="A2534" t="str">
        <f>"20190312172419511"</f>
        <v>20190312172419511</v>
      </c>
      <c r="B2534" t="str">
        <f>"1552382659502270"</f>
        <v>1552382659502270</v>
      </c>
      <c r="C2534" t="s">
        <v>40</v>
      </c>
      <c r="D2534">
        <v>3.396344</v>
      </c>
      <c r="E2534">
        <v>0.4560014</v>
      </c>
      <c r="F2534" t="s">
        <v>46</v>
      </c>
      <c r="G2534">
        <v>-487.2448</v>
      </c>
      <c r="H2534" s="1">
        <v>6.2062419999999899E-7</v>
      </c>
      <c r="I2534">
        <v>272.05270000000002</v>
      </c>
      <c r="J2534">
        <v>-478.90339999999998</v>
      </c>
      <c r="K2534">
        <v>1.11757</v>
      </c>
      <c r="L2534">
        <v>280.93529999999998</v>
      </c>
      <c r="M2534">
        <v>-0.87765179999999998</v>
      </c>
      <c r="N2534">
        <v>0</v>
      </c>
      <c r="O2534">
        <v>-0.47907440000000001</v>
      </c>
      <c r="P2534">
        <v>-0.75168919999999995</v>
      </c>
      <c r="Q2534">
        <v>0.16835220000000001</v>
      </c>
      <c r="R2534">
        <v>-0.63766869999999998</v>
      </c>
      <c r="S2534">
        <v>-2.143707</v>
      </c>
      <c r="T2534">
        <v>-0.27993000000000001</v>
      </c>
      <c r="U2534">
        <v>-2.2570800000000002</v>
      </c>
      <c r="V2534">
        <v>-0.20256289999999999</v>
      </c>
      <c r="W2534">
        <v>0.179165299999999</v>
      </c>
      <c r="X2534">
        <v>0.96273989999999998</v>
      </c>
      <c r="Y2534">
        <v>-0.3069828</v>
      </c>
      <c r="Z2534">
        <v>3.0594429999999999E-2</v>
      </c>
      <c r="AA2534">
        <v>0.95122320000000005</v>
      </c>
      <c r="AB2534">
        <v>26</v>
      </c>
      <c r="AC2534">
        <v>-8.3414000000000197</v>
      </c>
      <c r="AD2534">
        <v>-1.1175693793757999</v>
      </c>
      <c r="AE2534">
        <v>-8.8825999999999592</v>
      </c>
      <c r="AF2534">
        <v>-3.76838882585841</v>
      </c>
      <c r="AG2534">
        <v>-1.1175693793757999</v>
      </c>
      <c r="AH2534">
        <v>11.4809419255068</v>
      </c>
      <c r="AI2534">
        <v>95.284062770718805</v>
      </c>
      <c r="AJ2534">
        <v>108.17138430722601</v>
      </c>
      <c r="AK2534">
        <v>12.1351449582373</v>
      </c>
      <c r="AL2534">
        <v>79.678855576460904</v>
      </c>
      <c r="AM2534">
        <v>101.881865861397</v>
      </c>
      <c r="AN2534">
        <v>1.0000000241162501</v>
      </c>
    </row>
    <row r="2535" spans="1:40" x14ac:dyDescent="0.25">
      <c r="A2535" t="str">
        <f>"20190312172419533"</f>
        <v>20190312172419533</v>
      </c>
      <c r="B2535" t="str">
        <f>"1552382659522766"</f>
        <v>1552382659522766</v>
      </c>
      <c r="C2535" t="s">
        <v>40</v>
      </c>
      <c r="D2535">
        <v>3.372322</v>
      </c>
      <c r="E2535">
        <v>0.45614860000000002</v>
      </c>
      <c r="F2535" t="s">
        <v>46</v>
      </c>
      <c r="G2535">
        <v>-487.3956</v>
      </c>
      <c r="H2535" s="1">
        <v>5.4948449999999999E-7</v>
      </c>
      <c r="I2535">
        <v>271.81360000000001</v>
      </c>
      <c r="J2535">
        <v>-479.1155</v>
      </c>
      <c r="K2535">
        <v>1.117664</v>
      </c>
      <c r="L2535">
        <v>280.80709999999999</v>
      </c>
      <c r="M2535">
        <v>-0.87284450000000002</v>
      </c>
      <c r="N2535">
        <v>0</v>
      </c>
      <c r="O2535">
        <v>-0.48777710000000002</v>
      </c>
      <c r="P2535">
        <v>-0.74507190000000001</v>
      </c>
      <c r="Q2535">
        <v>0.1688598</v>
      </c>
      <c r="R2535">
        <v>-0.64525519999999903</v>
      </c>
      <c r="S2535">
        <v>-2.1209410000000002</v>
      </c>
      <c r="T2535">
        <v>-0.27911649999999999</v>
      </c>
      <c r="U2535">
        <v>-2.278168</v>
      </c>
      <c r="V2535">
        <v>-0.20285549999999999</v>
      </c>
      <c r="W2535">
        <v>0.17963950000000001</v>
      </c>
      <c r="X2535">
        <v>0.9625899</v>
      </c>
      <c r="Y2535">
        <v>-0.30702610000000002</v>
      </c>
      <c r="Z2535">
        <v>3.1351980000000002E-2</v>
      </c>
      <c r="AA2535">
        <v>0.95118449999999999</v>
      </c>
      <c r="AB2535">
        <v>26</v>
      </c>
      <c r="AC2535">
        <v>-8.2800999999999991</v>
      </c>
      <c r="AD2535">
        <v>-1.1176634505155001</v>
      </c>
      <c r="AE2535">
        <v>-8.9934999999999796</v>
      </c>
      <c r="AF2535">
        <v>-3.7798998752865498</v>
      </c>
      <c r="AG2535">
        <v>-1.1176634505155001</v>
      </c>
      <c r="AH2535">
        <v>11.519031704083099</v>
      </c>
      <c r="AI2535">
        <v>95.267262823476699</v>
      </c>
      <c r="AJ2535">
        <v>108.16693365184599</v>
      </c>
      <c r="AK2535">
        <v>12.174765133483399</v>
      </c>
      <c r="AL2535">
        <v>79.651237691195405</v>
      </c>
      <c r="AM2535">
        <v>101.90034149338599</v>
      </c>
      <c r="AN2535">
        <v>1.00000000971125</v>
      </c>
    </row>
    <row r="2536" spans="1:40" x14ac:dyDescent="0.25">
      <c r="A2536" t="str">
        <f>"20190312172419555"</f>
        <v>20190312172419555</v>
      </c>
      <c r="B2536" t="str">
        <f>"1552382659553022"</f>
        <v>1552382659553022</v>
      </c>
      <c r="C2536" t="s">
        <v>40</v>
      </c>
      <c r="D2536">
        <v>3.5129579999999998</v>
      </c>
      <c r="E2536">
        <v>0.45638830000000002</v>
      </c>
      <c r="F2536" t="s">
        <v>46</v>
      </c>
      <c r="G2536">
        <v>-487.60610000000003</v>
      </c>
      <c r="H2536" s="1">
        <v>4.6025429999999999E-7</v>
      </c>
      <c r="I2536">
        <v>271.50839999999999</v>
      </c>
      <c r="J2536">
        <v>-479.32769999999999</v>
      </c>
      <c r="K2536">
        <v>1.1177619999999999</v>
      </c>
      <c r="L2536">
        <v>280.67570000000001</v>
      </c>
      <c r="M2536">
        <v>-0.86783159999999904</v>
      </c>
      <c r="N2536">
        <v>0</v>
      </c>
      <c r="O2536">
        <v>-0.49664009999999997</v>
      </c>
      <c r="P2536">
        <v>-0.73808649999999998</v>
      </c>
      <c r="Q2536">
        <v>0.1694185</v>
      </c>
      <c r="R2536">
        <v>-0.65308980000000005</v>
      </c>
      <c r="S2536">
        <v>-2.098633</v>
      </c>
      <c r="T2536">
        <v>-0.2762539</v>
      </c>
      <c r="U2536">
        <v>-2.2983699999999998</v>
      </c>
      <c r="V2536">
        <v>-0.20333879999999999</v>
      </c>
      <c r="W2536">
        <v>0.18016070000000001</v>
      </c>
      <c r="X2536">
        <v>0.96239050000000004</v>
      </c>
      <c r="Y2536">
        <v>-0.30654900000000002</v>
      </c>
      <c r="Z2536">
        <v>3.190846E-2</v>
      </c>
      <c r="AA2536">
        <v>0.9513199</v>
      </c>
      <c r="AB2536">
        <v>25</v>
      </c>
      <c r="AC2536">
        <v>-8.2784000000000297</v>
      </c>
      <c r="AD2536">
        <v>-1.1177615397456999</v>
      </c>
      <c r="AE2536">
        <v>-9.1673000000000098</v>
      </c>
      <c r="AF2536">
        <v>-3.81347608323233</v>
      </c>
      <c r="AG2536">
        <v>-1.1177615397456999</v>
      </c>
      <c r="AH2536">
        <v>11.6430355134802</v>
      </c>
      <c r="AI2536">
        <v>95.212867100954497</v>
      </c>
      <c r="AJ2536">
        <v>108.135318945308</v>
      </c>
      <c r="AK2536">
        <v>12.30253090487</v>
      </c>
      <c r="AL2536">
        <v>79.620879841501207</v>
      </c>
      <c r="AM2536">
        <v>101.930283236664</v>
      </c>
      <c r="AN2536">
        <v>1.0000000099500801</v>
      </c>
    </row>
    <row r="2537" spans="1:40" x14ac:dyDescent="0.25">
      <c r="A2537" t="str">
        <f>"20190312172419579"</f>
        <v>20190312172419579</v>
      </c>
      <c r="B2537" t="str">
        <f>"1552382659572541"</f>
        <v>1552382659572541</v>
      </c>
      <c r="C2537" t="s">
        <v>40</v>
      </c>
      <c r="D2537">
        <v>3.4842420000000001</v>
      </c>
      <c r="E2537">
        <v>0.45663340000000002</v>
      </c>
      <c r="F2537" t="s">
        <v>46</v>
      </c>
      <c r="G2537">
        <v>-487.79079999999999</v>
      </c>
      <c r="H2537" s="1">
        <v>3.747425E-7</v>
      </c>
      <c r="I2537">
        <v>271.2201</v>
      </c>
      <c r="J2537">
        <v>-479.54860000000002</v>
      </c>
      <c r="K2537">
        <v>1.1178709999999901</v>
      </c>
      <c r="L2537">
        <v>280.53559999999999</v>
      </c>
      <c r="M2537">
        <v>-0.8623866</v>
      </c>
      <c r="N2537">
        <v>0</v>
      </c>
      <c r="O2537">
        <v>-0.50603549999999997</v>
      </c>
      <c r="P2537">
        <v>-0.73079709999999998</v>
      </c>
      <c r="Q2537">
        <v>0.16979240000000001</v>
      </c>
      <c r="R2537">
        <v>-0.66114050000000002</v>
      </c>
      <c r="S2537">
        <v>-2.0755620000000001</v>
      </c>
      <c r="T2537">
        <v>-0.27412930000000002</v>
      </c>
      <c r="U2537">
        <v>-2.3189700000000002</v>
      </c>
      <c r="V2537">
        <v>-0.2035333</v>
      </c>
      <c r="W2537">
        <v>0.1805012</v>
      </c>
      <c r="X2537">
        <v>0.96228559999999996</v>
      </c>
      <c r="Y2537">
        <v>-0.30568689999999998</v>
      </c>
      <c r="Z2537">
        <v>3.2601459999999999E-2</v>
      </c>
      <c r="AA2537">
        <v>0.95157380000000003</v>
      </c>
      <c r="AB2537">
        <v>25</v>
      </c>
      <c r="AC2537">
        <v>-8.2421999999999596</v>
      </c>
      <c r="AD2537">
        <v>-1.1178706252574999</v>
      </c>
      <c r="AE2537">
        <v>-9.3154999999999806</v>
      </c>
      <c r="AF2537">
        <v>-3.8321834606618799</v>
      </c>
      <c r="AG2537">
        <v>-1.1178706252574999</v>
      </c>
      <c r="AH2537">
        <v>11.7284892099345</v>
      </c>
      <c r="AI2537">
        <v>95.176799394050505</v>
      </c>
      <c r="AJ2537">
        <v>108.094360421316</v>
      </c>
      <c r="AK2537">
        <v>12.3892180527478</v>
      </c>
      <c r="AL2537">
        <v>79.601045692308105</v>
      </c>
      <c r="AM2537">
        <v>101.942631844598</v>
      </c>
      <c r="AN2537">
        <v>1.00000003168884</v>
      </c>
    </row>
    <row r="2538" spans="1:40" x14ac:dyDescent="0.25">
      <c r="A2538" t="str">
        <f>"20190312172419600"</f>
        <v>20190312172419600</v>
      </c>
      <c r="B2538" t="str">
        <f>"1552382659593038"</f>
        <v>1552382659593038</v>
      </c>
      <c r="C2538" t="s">
        <v>40</v>
      </c>
      <c r="D2538">
        <v>3.3894069999999998</v>
      </c>
      <c r="E2538">
        <v>0.45698509999999998</v>
      </c>
      <c r="F2538" t="s">
        <v>46</v>
      </c>
      <c r="G2538">
        <v>-487.95310000000001</v>
      </c>
      <c r="H2538" s="1">
        <v>2.9209589999999998E-7</v>
      </c>
      <c r="I2538">
        <v>270.94560000000001</v>
      </c>
      <c r="J2538">
        <v>-479.7518</v>
      </c>
      <c r="K2538">
        <v>1.1179680000000001</v>
      </c>
      <c r="L2538">
        <v>280.40339999999998</v>
      </c>
      <c r="M2538">
        <v>-0.85716740000000002</v>
      </c>
      <c r="N2538">
        <v>0</v>
      </c>
      <c r="O2538">
        <v>-0.51482629999999996</v>
      </c>
      <c r="P2538">
        <v>-0.72373339999999997</v>
      </c>
      <c r="Q2538">
        <v>0.17048820000000001</v>
      </c>
      <c r="R2538">
        <v>-0.66868850000000002</v>
      </c>
      <c r="S2538">
        <v>-2.0511170000000001</v>
      </c>
      <c r="T2538">
        <v>-0.27281870000000003</v>
      </c>
      <c r="U2538">
        <v>-2.3404539999999998</v>
      </c>
      <c r="V2538">
        <v>-0.20382049999999999</v>
      </c>
      <c r="W2538">
        <v>0.18116289999999999</v>
      </c>
      <c r="X2538">
        <v>0.96210039999999997</v>
      </c>
      <c r="Y2538">
        <v>-0.30592160000000002</v>
      </c>
      <c r="Z2538">
        <v>3.3277840000000003E-2</v>
      </c>
      <c r="AA2538">
        <v>0.95147490000000001</v>
      </c>
      <c r="AB2538">
        <v>25</v>
      </c>
      <c r="AC2538">
        <v>-8.2012999999999998</v>
      </c>
      <c r="AD2538">
        <v>-1.1179677079040999</v>
      </c>
      <c r="AE2538">
        <v>-9.4577999999999598</v>
      </c>
      <c r="AF2538">
        <v>-3.8543558279224301</v>
      </c>
      <c r="AG2538">
        <v>-1.1179677079040999</v>
      </c>
      <c r="AH2538">
        <v>11.8061479671687</v>
      </c>
      <c r="AI2538">
        <v>95.143784270322698</v>
      </c>
      <c r="AJ2538">
        <v>108.080318951224</v>
      </c>
      <c r="AK2538">
        <v>12.469604663614501</v>
      </c>
      <c r="AL2538">
        <v>79.562497089790597</v>
      </c>
      <c r="AM2538">
        <v>101.961234634733</v>
      </c>
      <c r="AN2538">
        <v>0.99999998611840901</v>
      </c>
    </row>
    <row r="2539" spans="1:40" x14ac:dyDescent="0.25">
      <c r="A2539" t="str">
        <f>"20190312172419612"</f>
        <v>20190312172419612</v>
      </c>
      <c r="B2539" t="str">
        <f>"1552382659602798"</f>
        <v>1552382659602798</v>
      </c>
      <c r="C2539" t="s">
        <v>40</v>
      </c>
      <c r="D2539">
        <v>3.4025449999999999</v>
      </c>
      <c r="E2539">
        <v>0.45719510000000002</v>
      </c>
      <c r="F2539" t="s">
        <v>46</v>
      </c>
      <c r="G2539">
        <v>-488.13529999999997</v>
      </c>
      <c r="H2539" s="1">
        <v>2.0582220000000001E-7</v>
      </c>
      <c r="I2539">
        <v>270.6558</v>
      </c>
      <c r="J2539">
        <v>-479.8537</v>
      </c>
      <c r="K2539">
        <v>1.11802</v>
      </c>
      <c r="L2539">
        <v>280.3356</v>
      </c>
      <c r="M2539">
        <v>-0.85445400000000005</v>
      </c>
      <c r="N2539">
        <v>0</v>
      </c>
      <c r="O2539">
        <v>-0.51931689999999997</v>
      </c>
      <c r="P2539">
        <v>-0.72011729999999996</v>
      </c>
      <c r="Q2539">
        <v>0.17083229999999999</v>
      </c>
      <c r="R2539">
        <v>-0.67249380000000003</v>
      </c>
      <c r="S2539">
        <v>-2.029083</v>
      </c>
      <c r="T2539">
        <v>-0.27058219999999999</v>
      </c>
      <c r="U2539">
        <v>-2.3592219999999999</v>
      </c>
      <c r="V2539">
        <v>-0.20391300000000001</v>
      </c>
      <c r="W2539">
        <v>0.1814926</v>
      </c>
      <c r="X2539">
        <v>0.9620187</v>
      </c>
      <c r="Y2539">
        <v>-0.30976589999999998</v>
      </c>
      <c r="Z2539">
        <v>3.328192E-2</v>
      </c>
      <c r="AA2539">
        <v>0.95023020000000002</v>
      </c>
      <c r="AB2539">
        <v>25</v>
      </c>
      <c r="AC2539">
        <v>-8.2815999999999601</v>
      </c>
      <c r="AD2539">
        <v>-1.1180197941778001</v>
      </c>
      <c r="AE2539">
        <v>-9.6798000000000002</v>
      </c>
      <c r="AF2539">
        <v>-3.9402531251647299</v>
      </c>
      <c r="AG2539">
        <v>-1.1180197941778001</v>
      </c>
      <c r="AH2539">
        <v>12.0119309345634</v>
      </c>
      <c r="AI2539">
        <v>95.054042234008804</v>
      </c>
      <c r="AJ2539">
        <v>108.160953740439</v>
      </c>
      <c r="AK2539">
        <v>12.691022327900299</v>
      </c>
      <c r="AL2539">
        <v>79.543288675780204</v>
      </c>
      <c r="AM2539">
        <v>101.967493519521</v>
      </c>
      <c r="AN2539">
        <v>1.00000002728672</v>
      </c>
    </row>
    <row r="2540" spans="1:40" x14ac:dyDescent="0.25">
      <c r="A2540" t="str">
        <f>"20190312172419623"</f>
        <v>20190312172419623</v>
      </c>
      <c r="B2540" t="str">
        <f>"1552382659612558"</f>
        <v>1552382659612558</v>
      </c>
      <c r="C2540" t="s">
        <v>40</v>
      </c>
      <c r="D2540">
        <v>3.3927749999999999</v>
      </c>
      <c r="E2540">
        <v>0.4573856</v>
      </c>
      <c r="F2540" t="s">
        <v>46</v>
      </c>
      <c r="G2540">
        <v>-488.22660000000002</v>
      </c>
      <c r="H2540" s="1">
        <v>1.596132E-7</v>
      </c>
      <c r="I2540">
        <v>270.50220000000002</v>
      </c>
      <c r="J2540">
        <v>-479.9563</v>
      </c>
      <c r="K2540">
        <v>1.1180730000000001</v>
      </c>
      <c r="L2540">
        <v>280.267</v>
      </c>
      <c r="M2540">
        <v>-0.85168860000000002</v>
      </c>
      <c r="N2540">
        <v>0</v>
      </c>
      <c r="O2540">
        <v>-0.52383970000000002</v>
      </c>
      <c r="P2540">
        <v>-0.71653619999999996</v>
      </c>
      <c r="Q2540">
        <v>0.17121329999999901</v>
      </c>
      <c r="R2540">
        <v>-0.67621180000000003</v>
      </c>
      <c r="S2540">
        <v>-2.017334</v>
      </c>
      <c r="T2540">
        <v>-0.2693738</v>
      </c>
      <c r="U2540">
        <v>-2.3692319999999998</v>
      </c>
      <c r="V2540">
        <v>-0.2038672</v>
      </c>
      <c r="W2540">
        <v>0.18186069999999999</v>
      </c>
      <c r="X2540">
        <v>0.96195889999999995</v>
      </c>
      <c r="Y2540">
        <v>-0.30944640000000001</v>
      </c>
      <c r="Z2540">
        <v>3.3575239999999999E-2</v>
      </c>
      <c r="AA2540">
        <v>0.95032399999999995</v>
      </c>
      <c r="AB2540">
        <v>25</v>
      </c>
      <c r="AC2540">
        <v>-8.2703000000000095</v>
      </c>
      <c r="AD2540">
        <v>-1.1180728403868001</v>
      </c>
      <c r="AE2540">
        <v>-9.7647999999999797</v>
      </c>
      <c r="AF2540">
        <v>-3.95450341852042</v>
      </c>
      <c r="AG2540">
        <v>-1.1180728403868001</v>
      </c>
      <c r="AH2540">
        <v>12.0681088618055</v>
      </c>
      <c r="AI2540">
        <v>95.031386707788798</v>
      </c>
      <c r="AJ2540">
        <v>108.143044521752</v>
      </c>
      <c r="AK2540">
        <v>12.7486248538377</v>
      </c>
      <c r="AL2540">
        <v>79.521841284291995</v>
      </c>
      <c r="AM2540">
        <v>101.96560538544399</v>
      </c>
      <c r="AN2540">
        <v>1.00000003736476</v>
      </c>
    </row>
    <row r="2541" spans="1:40" x14ac:dyDescent="0.25">
      <c r="A2541" t="str">
        <f>"20190312172419634"</f>
        <v>20190312172419634</v>
      </c>
      <c r="B2541" t="str">
        <f>"1552382659622318"</f>
        <v>1552382659622318</v>
      </c>
      <c r="C2541" t="s">
        <v>40</v>
      </c>
      <c r="D2541">
        <v>3.4094139999999999</v>
      </c>
      <c r="E2541">
        <v>0.4573856</v>
      </c>
      <c r="F2541" t="s">
        <v>46</v>
      </c>
      <c r="G2541">
        <v>-488.32569999999998</v>
      </c>
      <c r="H2541" s="1">
        <v>1.2772629999999999E-7</v>
      </c>
      <c r="I2541">
        <v>270.34160000000003</v>
      </c>
      <c r="J2541">
        <v>-480.05959999999999</v>
      </c>
      <c r="K2541">
        <v>1.11812</v>
      </c>
      <c r="L2541">
        <v>280.19670000000002</v>
      </c>
      <c r="M2541">
        <v>-0.84882999999999997</v>
      </c>
      <c r="N2541">
        <v>0</v>
      </c>
      <c r="O2541">
        <v>-0.52845869999999995</v>
      </c>
      <c r="P2541">
        <v>-0.71281209999999995</v>
      </c>
      <c r="Q2541">
        <v>0.17158979999999999</v>
      </c>
      <c r="R2541">
        <v>-0.68004140000000002</v>
      </c>
      <c r="S2541">
        <v>-2.00589</v>
      </c>
      <c r="T2541">
        <v>-0.26797070000000001</v>
      </c>
      <c r="U2541">
        <v>-2.3788450000000001</v>
      </c>
      <c r="V2541">
        <v>-0.2038711</v>
      </c>
      <c r="W2541">
        <v>0.182225</v>
      </c>
      <c r="X2541">
        <v>0.96188910000000005</v>
      </c>
      <c r="Y2541">
        <v>-0.30885309999999999</v>
      </c>
      <c r="Z2541">
        <v>3.3860679999999997E-2</v>
      </c>
      <c r="AA2541">
        <v>0.95050679999999999</v>
      </c>
      <c r="AB2541">
        <v>25</v>
      </c>
      <c r="AC2541">
        <v>-8.2660999999999891</v>
      </c>
      <c r="AD2541">
        <v>-1.1181198722737</v>
      </c>
      <c r="AE2541">
        <v>-9.8550999999999895</v>
      </c>
      <c r="AF2541">
        <v>-3.9674706873952101</v>
      </c>
      <c r="AG2541">
        <v>-1.1181198722737</v>
      </c>
      <c r="AH2541">
        <v>12.1341771414225</v>
      </c>
      <c r="AI2541">
        <v>95.005394024210801</v>
      </c>
      <c r="AJ2541">
        <v>108.10601609326299</v>
      </c>
      <c r="AK2541">
        <v>12.815196861676901</v>
      </c>
      <c r="AL2541">
        <v>79.500613424919607</v>
      </c>
      <c r="AM2541">
        <v>101.966670966446</v>
      </c>
      <c r="AN2541">
        <v>1.00000000836951</v>
      </c>
    </row>
    <row r="2542" spans="1:40" x14ac:dyDescent="0.25">
      <c r="A2542" t="str">
        <f>"20190312172419644"</f>
        <v>20190312172419644</v>
      </c>
      <c r="B2542" t="str">
        <f>"1552382659642814"</f>
        <v>1552382659642814</v>
      </c>
      <c r="C2542" t="s">
        <v>40</v>
      </c>
      <c r="D2542">
        <v>3.4645519999999999</v>
      </c>
      <c r="E2542">
        <v>0.46934320000000002</v>
      </c>
      <c r="F2542" t="s">
        <v>46</v>
      </c>
      <c r="G2542">
        <v>-488.41669999999999</v>
      </c>
      <c r="H2542" s="1">
        <v>9.8544490000000003E-8</v>
      </c>
      <c r="I2542">
        <v>270.17590000000001</v>
      </c>
      <c r="J2542">
        <v>-480.15859999999998</v>
      </c>
      <c r="K2542">
        <v>1.1181639999999999</v>
      </c>
      <c r="L2542">
        <v>280.12860000000001</v>
      </c>
      <c r="M2542">
        <v>-0.84604559999999995</v>
      </c>
      <c r="N2542">
        <v>0</v>
      </c>
      <c r="O2542">
        <v>-0.53290490000000001</v>
      </c>
      <c r="P2542">
        <v>-0.70942950000000005</v>
      </c>
      <c r="Q2542">
        <v>0.17141819999999999</v>
      </c>
      <c r="R2542">
        <v>-0.68361240000000001</v>
      </c>
      <c r="S2542">
        <v>-1.9930110000000001</v>
      </c>
      <c r="T2542">
        <v>-0.26664769999999999</v>
      </c>
      <c r="U2542">
        <v>-2.3897400000000002</v>
      </c>
      <c r="V2542">
        <v>-0.20364860000000001</v>
      </c>
      <c r="W2542">
        <v>0.18204819999999999</v>
      </c>
      <c r="X2542">
        <v>0.96196970000000004</v>
      </c>
      <c r="Y2542">
        <v>-0.3090215</v>
      </c>
      <c r="Z2542">
        <v>3.4104429999999998E-2</v>
      </c>
      <c r="AA2542">
        <v>0.95044340000000005</v>
      </c>
      <c r="AB2542">
        <v>25</v>
      </c>
      <c r="AC2542">
        <v>-8.2581000000000095</v>
      </c>
      <c r="AD2542">
        <v>-1.11816390145551</v>
      </c>
      <c r="AE2542">
        <v>-9.9526999999999894</v>
      </c>
      <c r="AF2542">
        <v>-3.9902676143748401</v>
      </c>
      <c r="AG2542">
        <v>-1.11816390145551</v>
      </c>
      <c r="AH2542">
        <v>12.2007130479462</v>
      </c>
      <c r="AI2542">
        <v>94.978305017762494</v>
      </c>
      <c r="AJ2542">
        <v>108.11043631926999</v>
      </c>
      <c r="AK2542">
        <v>12.885259990515101</v>
      </c>
      <c r="AL2542">
        <v>79.510915569179701</v>
      </c>
      <c r="AM2542">
        <v>101.95301396636</v>
      </c>
      <c r="AN2542">
        <v>1.0000000015616399</v>
      </c>
    </row>
    <row r="2543" spans="1:40" x14ac:dyDescent="0.25">
      <c r="A2543" t="str">
        <f>"20190312172419656"</f>
        <v>20190312172419656</v>
      </c>
      <c r="B2543" t="str">
        <f>"1552382659652574"</f>
        <v>1552382659652574</v>
      </c>
      <c r="C2543" t="s">
        <v>40</v>
      </c>
      <c r="D2543">
        <v>3.4324780000000001</v>
      </c>
      <c r="E2543">
        <v>0.46926319999999999</v>
      </c>
      <c r="F2543" t="s">
        <v>46</v>
      </c>
      <c r="G2543">
        <v>-488.63690000000003</v>
      </c>
      <c r="H2543" s="1">
        <v>1.862309E-7</v>
      </c>
      <c r="I2543">
        <v>270.47449999999998</v>
      </c>
      <c r="J2543">
        <v>-480.26459999999997</v>
      </c>
      <c r="K2543">
        <v>1.118206</v>
      </c>
      <c r="L2543">
        <v>280.05489999999998</v>
      </c>
      <c r="M2543">
        <v>-0.84300180000000002</v>
      </c>
      <c r="N2543">
        <v>0</v>
      </c>
      <c r="O2543">
        <v>-0.53770629999999997</v>
      </c>
      <c r="P2543">
        <v>-0.70547280000000001</v>
      </c>
      <c r="Q2543">
        <v>0.17132359999999999</v>
      </c>
      <c r="R2543">
        <v>-0.68771839999999995</v>
      </c>
      <c r="S2543">
        <v>-2.0474549999999998</v>
      </c>
      <c r="T2543">
        <v>-0.2700285</v>
      </c>
      <c r="U2543">
        <v>-2.3313899999999999</v>
      </c>
      <c r="V2543">
        <v>-0.2037678</v>
      </c>
      <c r="W2543">
        <v>0.1819422</v>
      </c>
      <c r="X2543">
        <v>0.9619645</v>
      </c>
      <c r="Y2543">
        <v>-0.27932089999999998</v>
      </c>
      <c r="Z2543">
        <v>3.6254889999999998E-2</v>
      </c>
      <c r="AA2543">
        <v>0.95951310000000001</v>
      </c>
      <c r="AB2543">
        <v>25</v>
      </c>
      <c r="AC2543">
        <v>-8.3723000000000507</v>
      </c>
      <c r="AD2543">
        <v>-1.1182058137691</v>
      </c>
      <c r="AE2543">
        <v>-9.5803999999999903</v>
      </c>
      <c r="AF2543">
        <v>-3.54744798136996</v>
      </c>
      <c r="AG2543">
        <v>-1.1182058137691</v>
      </c>
      <c r="AH2543">
        <v>12.1170538815659</v>
      </c>
      <c r="AI2543">
        <v>95.061258000712101</v>
      </c>
      <c r="AJ2543">
        <v>106.318178080122</v>
      </c>
      <c r="AK2543">
        <v>12.675084464856401</v>
      </c>
      <c r="AL2543">
        <v>79.517091948939097</v>
      </c>
      <c r="AM2543">
        <v>101.959871707991</v>
      </c>
      <c r="AN2543">
        <v>0.99999998985896499</v>
      </c>
    </row>
    <row r="2544" spans="1:40" x14ac:dyDescent="0.25">
      <c r="A2544" t="str">
        <f>"20190312172419669"</f>
        <v>20190312172419669</v>
      </c>
      <c r="B2544" t="str">
        <f>"1552382659662334"</f>
        <v>1552382659662334</v>
      </c>
      <c r="C2544" t="s">
        <v>40</v>
      </c>
      <c r="D2544">
        <v>3.49709</v>
      </c>
      <c r="E2544">
        <v>0.46926319999999999</v>
      </c>
      <c r="F2544" t="s">
        <v>46</v>
      </c>
      <c r="G2544">
        <v>-488.7319</v>
      </c>
      <c r="H2544" s="1">
        <v>1.3310180000000001E-7</v>
      </c>
      <c r="I2544">
        <v>270.30040000000002</v>
      </c>
      <c r="J2544">
        <v>-480.37240000000003</v>
      </c>
      <c r="K2544">
        <v>1.118247</v>
      </c>
      <c r="L2544">
        <v>279.97879999999998</v>
      </c>
      <c r="M2544">
        <v>-0.83984509999999901</v>
      </c>
      <c r="N2544">
        <v>0</v>
      </c>
      <c r="O2544">
        <v>-0.54262319999999997</v>
      </c>
      <c r="P2544">
        <v>-0.70151249999999998</v>
      </c>
      <c r="Q2544">
        <v>0.1710266</v>
      </c>
      <c r="R2544">
        <v>-0.69183139999999999</v>
      </c>
      <c r="S2544">
        <v>-2.033722</v>
      </c>
      <c r="T2544">
        <v>-0.26857940000000002</v>
      </c>
      <c r="U2544">
        <v>-2.3428960000000001</v>
      </c>
      <c r="V2544">
        <v>-0.20374410000000001</v>
      </c>
      <c r="W2544">
        <v>0.18163840000000001</v>
      </c>
      <c r="X2544">
        <v>0.96202699999999997</v>
      </c>
      <c r="Y2544">
        <v>-0.27925539999999999</v>
      </c>
      <c r="Z2544">
        <v>3.6531139999999997E-2</v>
      </c>
      <c r="AA2544">
        <v>0.95952170000000003</v>
      </c>
      <c r="AB2544">
        <v>25</v>
      </c>
      <c r="AC2544">
        <v>-8.3594999999999597</v>
      </c>
      <c r="AD2544">
        <v>-1.1182468668982</v>
      </c>
      <c r="AE2544">
        <v>-9.6783999999999502</v>
      </c>
      <c r="AF2544">
        <v>-3.56543361309439</v>
      </c>
      <c r="AG2544">
        <v>-1.1182468668982</v>
      </c>
      <c r="AH2544">
        <v>12.180631779613501</v>
      </c>
      <c r="AI2544">
        <v>95.035229968911395</v>
      </c>
      <c r="AJ2544">
        <v>106.3154583387</v>
      </c>
      <c r="AK2544">
        <v>12.7409019875063</v>
      </c>
      <c r="AL2544">
        <v>79.534794077748998</v>
      </c>
      <c r="AM2544">
        <v>101.95776617408499</v>
      </c>
      <c r="AN2544">
        <v>1.0000000576841801</v>
      </c>
    </row>
    <row r="2545" spans="1:40" x14ac:dyDescent="0.25">
      <c r="A2545" t="str">
        <f>"20190312172419680"</f>
        <v>20190312172419680</v>
      </c>
      <c r="B2545" t="str">
        <f>"1552382659673070"</f>
        <v>1552382659673070</v>
      </c>
      <c r="C2545" t="s">
        <v>40</v>
      </c>
      <c r="D2545">
        <v>3.389907</v>
      </c>
      <c r="E2545">
        <v>0.4567464</v>
      </c>
      <c r="F2545" t="s">
        <v>46</v>
      </c>
      <c r="G2545">
        <v>-488.75150000000002</v>
      </c>
      <c r="H2545" s="1">
        <v>1.048972E-7</v>
      </c>
      <c r="I2545">
        <v>270.21190000000001</v>
      </c>
      <c r="J2545">
        <v>-480.4846</v>
      </c>
      <c r="K2545">
        <v>1.1182840000000001</v>
      </c>
      <c r="L2545">
        <v>279.89890000000003</v>
      </c>
      <c r="M2545">
        <v>-0.83650069999999999</v>
      </c>
      <c r="N2545">
        <v>0</v>
      </c>
      <c r="O2545">
        <v>-0.54776449999999999</v>
      </c>
      <c r="P2545">
        <v>-0.6970847</v>
      </c>
      <c r="Q2545">
        <v>0.1710989</v>
      </c>
      <c r="R2545">
        <v>-0.69627479999999997</v>
      </c>
      <c r="S2545">
        <v>-2.020111</v>
      </c>
      <c r="T2545">
        <v>-0.269596</v>
      </c>
      <c r="U2545">
        <v>-2.3546749999999999</v>
      </c>
      <c r="V2545">
        <v>-0.20398549999999999</v>
      </c>
      <c r="W2545">
        <v>0.181697</v>
      </c>
      <c r="X2545">
        <v>0.96196470000000001</v>
      </c>
      <c r="Y2545">
        <v>-0.27895229999999999</v>
      </c>
      <c r="Z2545">
        <v>3.7166680000000001E-2</v>
      </c>
      <c r="AA2545">
        <v>0.95958549999999998</v>
      </c>
      <c r="AB2545">
        <v>25</v>
      </c>
      <c r="AC2545">
        <v>-8.2669000000000192</v>
      </c>
      <c r="AD2545">
        <v>-1.1182838951028</v>
      </c>
      <c r="AE2545">
        <v>-9.68700000000001</v>
      </c>
      <c r="AF2545">
        <v>-3.5479046488483101</v>
      </c>
      <c r="AG2545">
        <v>-1.1182838951028</v>
      </c>
      <c r="AH2545">
        <v>12.1292824964329</v>
      </c>
      <c r="AI2545">
        <v>95.056882169167096</v>
      </c>
      <c r="AJ2545">
        <v>106.304587540019</v>
      </c>
      <c r="AK2545">
        <v>12.6869097949674</v>
      </c>
      <c r="AL2545">
        <v>79.531378950730101</v>
      </c>
      <c r="AM2545">
        <v>101.972278381292</v>
      </c>
      <c r="AN2545">
        <v>0.99999998403266899</v>
      </c>
    </row>
    <row r="2546" spans="1:40" x14ac:dyDescent="0.25">
      <c r="A2546" t="str">
        <f>"20190312172419693"</f>
        <v>20190312172419693</v>
      </c>
      <c r="B2546" t="str">
        <f>"1552382659682831"</f>
        <v>1552382659682831</v>
      </c>
      <c r="C2546" t="s">
        <v>40</v>
      </c>
      <c r="D2546">
        <v>3.517299</v>
      </c>
      <c r="E2546">
        <v>0.4550109</v>
      </c>
      <c r="F2546" t="s">
        <v>43</v>
      </c>
      <c r="G2546">
        <v>-489.70030000000003</v>
      </c>
      <c r="H2546" s="1">
        <v>-3.7655499999999999E-6</v>
      </c>
      <c r="I2546">
        <v>268.28649999999999</v>
      </c>
      <c r="J2546">
        <v>-480.59739999999999</v>
      </c>
      <c r="K2546">
        <v>1.1183240000000001</v>
      </c>
      <c r="L2546">
        <v>279.81700000000001</v>
      </c>
      <c r="M2546">
        <v>-0.83304699999999998</v>
      </c>
      <c r="N2546">
        <v>0</v>
      </c>
      <c r="O2546">
        <v>-0.55300269999999996</v>
      </c>
      <c r="P2546">
        <v>-0.69286569999999903</v>
      </c>
      <c r="Q2546">
        <v>0.17096739999999999</v>
      </c>
      <c r="R2546">
        <v>-0.70050539999999994</v>
      </c>
      <c r="S2546">
        <v>-1.930847</v>
      </c>
      <c r="T2546">
        <v>-0.2343007</v>
      </c>
      <c r="U2546">
        <v>-2.433014</v>
      </c>
      <c r="V2546">
        <v>-0.20380010000000001</v>
      </c>
      <c r="W2546">
        <v>0.18156430000000001</v>
      </c>
      <c r="X2546">
        <v>0.96202900000000002</v>
      </c>
      <c r="Y2546">
        <v>-0.30926320000000002</v>
      </c>
      <c r="Z2546">
        <v>3.1697139999999999E-2</v>
      </c>
      <c r="AA2546">
        <v>0.95044810000000002</v>
      </c>
      <c r="AB2546">
        <v>25</v>
      </c>
      <c r="AC2546">
        <v>-9.1029000000000302</v>
      </c>
      <c r="AD2546">
        <v>-1.1183277655499999</v>
      </c>
      <c r="AE2546">
        <v>-11.5305</v>
      </c>
      <c r="AF2546">
        <v>-4.5456823349482596</v>
      </c>
      <c r="AG2546">
        <v>-1.1183277655499999</v>
      </c>
      <c r="AH2546">
        <v>13.8806430975946</v>
      </c>
      <c r="AI2546">
        <v>94.378382246404399</v>
      </c>
      <c r="AJ2546">
        <v>108.13277042220599</v>
      </c>
      <c r="AK2546">
        <v>14.6487589127633</v>
      </c>
      <c r="AL2546">
        <v>79.539110199675903</v>
      </c>
      <c r="AM2546">
        <v>101.960934024313</v>
      </c>
      <c r="AN2546">
        <v>0.99999993631774797</v>
      </c>
    </row>
    <row r="2547" spans="1:40" x14ac:dyDescent="0.25">
      <c r="A2547" t="str">
        <f>"20190312172419706"</f>
        <v>20190312172419706</v>
      </c>
      <c r="B2547" t="str">
        <f>"1552382659702855"</f>
        <v>1552382659702855</v>
      </c>
      <c r="C2547" t="s">
        <v>40</v>
      </c>
      <c r="D2547">
        <v>3.5797310000000002</v>
      </c>
      <c r="E2547">
        <v>0.4527968</v>
      </c>
      <c r="F2547" t="s">
        <v>43</v>
      </c>
      <c r="G2547">
        <v>-489.53550000000001</v>
      </c>
      <c r="H2547" s="1">
        <v>-3.8021789999999998E-6</v>
      </c>
      <c r="I2547">
        <v>268.30369999999999</v>
      </c>
      <c r="J2547">
        <v>-480.71260000000001</v>
      </c>
      <c r="K2547">
        <v>1.11836</v>
      </c>
      <c r="L2547">
        <v>279.73239999999998</v>
      </c>
      <c r="M2547">
        <v>-0.82945569999999902</v>
      </c>
      <c r="N2547">
        <v>0</v>
      </c>
      <c r="O2547">
        <v>-0.5583745</v>
      </c>
      <c r="P2547">
        <v>-0.68860109999999997</v>
      </c>
      <c r="Q2547">
        <v>0.17061470000000001</v>
      </c>
      <c r="R2547">
        <v>-0.70478319999999905</v>
      </c>
      <c r="S2547">
        <v>-1.9061889999999999</v>
      </c>
      <c r="T2547">
        <v>-0.23850070000000001</v>
      </c>
      <c r="U2547">
        <v>-2.4553829999999999</v>
      </c>
      <c r="V2547">
        <v>-0.20350209999999999</v>
      </c>
      <c r="W2547">
        <v>0.18121219999999999</v>
      </c>
      <c r="X2547">
        <v>0.96215859999999997</v>
      </c>
      <c r="Y2547">
        <v>-0.3132915</v>
      </c>
      <c r="Z2547">
        <v>3.2555250000000001E-2</v>
      </c>
      <c r="AA2547">
        <v>0.94909880000000002</v>
      </c>
      <c r="AB2547">
        <v>25</v>
      </c>
      <c r="AC2547">
        <v>-8.8229000000000006</v>
      </c>
      <c r="AD2547">
        <v>-1.1183638021789899</v>
      </c>
      <c r="AE2547">
        <v>-11.4286999999999</v>
      </c>
      <c r="AF2547">
        <v>-4.5264630935458898</v>
      </c>
      <c r="AG2547">
        <v>-1.1183638021789899</v>
      </c>
      <c r="AH2547">
        <v>13.619498486452301</v>
      </c>
      <c r="AI2547">
        <v>94.4557097561446</v>
      </c>
      <c r="AJ2547">
        <v>108.384313376999</v>
      </c>
      <c r="AK2547">
        <v>14.395497377782201</v>
      </c>
      <c r="AL2547">
        <v>79.559625741792203</v>
      </c>
      <c r="AM2547">
        <v>101.942384570559</v>
      </c>
      <c r="AN2547">
        <v>1.0000000688435999</v>
      </c>
    </row>
    <row r="2548" spans="1:40" x14ac:dyDescent="0.25">
      <c r="A2548" t="str">
        <f>"20190312172419719"</f>
        <v>20190312172419719</v>
      </c>
      <c r="B2548" t="str">
        <f>"1552382659712615"</f>
        <v>1552382659712615</v>
      </c>
      <c r="C2548" t="s">
        <v>40</v>
      </c>
      <c r="D2548">
        <v>3.4221490000000001</v>
      </c>
      <c r="E2548">
        <v>0.45213759999999997</v>
      </c>
      <c r="F2548" t="s">
        <v>43</v>
      </c>
      <c r="G2548">
        <v>-489.22989999999999</v>
      </c>
      <c r="H2548" s="1">
        <v>-3.9371220000000001E-6</v>
      </c>
      <c r="I2548">
        <v>268.49189999999999</v>
      </c>
      <c r="J2548">
        <v>-480.82740000000001</v>
      </c>
      <c r="K2548">
        <v>1.11839</v>
      </c>
      <c r="L2548">
        <v>279.64699999999999</v>
      </c>
      <c r="M2548">
        <v>-0.82580229999999999</v>
      </c>
      <c r="N2548">
        <v>0</v>
      </c>
      <c r="O2548">
        <v>-0.56376340000000003</v>
      </c>
      <c r="P2548">
        <v>-0.68422139999999998</v>
      </c>
      <c r="Q2548">
        <v>0.1709079</v>
      </c>
      <c r="R2548">
        <v>-0.70896539999999997</v>
      </c>
      <c r="S2548">
        <v>-1.8793029999999999</v>
      </c>
      <c r="T2548">
        <v>-0.24676219999999999</v>
      </c>
      <c r="U2548">
        <v>-2.4801639999999998</v>
      </c>
      <c r="V2548">
        <v>-0.2031606</v>
      </c>
      <c r="W2548">
        <v>0.18150620000000001</v>
      </c>
      <c r="X2548">
        <v>0.96217529999999996</v>
      </c>
      <c r="Y2548">
        <v>-0.31824940000000002</v>
      </c>
      <c r="Z2548">
        <v>3.3940100000000001E-2</v>
      </c>
      <c r="AA2548">
        <v>0.94739930000000006</v>
      </c>
      <c r="AB2548">
        <v>25</v>
      </c>
      <c r="AC2548">
        <v>-8.4024999999999697</v>
      </c>
      <c r="AD2548">
        <v>-1.118393937122</v>
      </c>
      <c r="AE2548">
        <v>-11.155099999999999</v>
      </c>
      <c r="AF2548">
        <v>-4.44686240820067</v>
      </c>
      <c r="AG2548">
        <v>-1.118393937122</v>
      </c>
      <c r="AH2548">
        <v>13.144806105836301</v>
      </c>
      <c r="AI2548">
        <v>94.607826464724099</v>
      </c>
      <c r="AJ2548">
        <v>108.69057849456701</v>
      </c>
      <c r="AK2548">
        <v>13.9216133345274</v>
      </c>
      <c r="AL2548">
        <v>79.542496204711099</v>
      </c>
      <c r="AM2548">
        <v>101.922716874665</v>
      </c>
      <c r="AN2548">
        <v>1.0000000189804401</v>
      </c>
    </row>
    <row r="2549" spans="1:40" x14ac:dyDescent="0.25">
      <c r="A2549" t="str">
        <f>"20190312172419735"</f>
        <v>20190312172419735</v>
      </c>
      <c r="B2549" t="str">
        <f>"1552382659722376"</f>
        <v>1552382659722376</v>
      </c>
      <c r="C2549" t="s">
        <v>40</v>
      </c>
      <c r="D2549">
        <v>3.3491979999999999</v>
      </c>
      <c r="E2549">
        <v>0.4515381</v>
      </c>
      <c r="F2549" t="s">
        <v>43</v>
      </c>
      <c r="G2549">
        <v>-489.35640000000001</v>
      </c>
      <c r="H2549" s="1">
        <v>-3.788331E-6</v>
      </c>
      <c r="I2549">
        <v>268.19740000000002</v>
      </c>
      <c r="J2549">
        <v>-480.95920000000001</v>
      </c>
      <c r="K2549">
        <v>1.118428</v>
      </c>
      <c r="L2549">
        <v>279.54700000000003</v>
      </c>
      <c r="M2549">
        <v>-0.82149850000000002</v>
      </c>
      <c r="N2549">
        <v>0</v>
      </c>
      <c r="O2549">
        <v>-0.57001590000000002</v>
      </c>
      <c r="P2549">
        <v>-0.67958090000000004</v>
      </c>
      <c r="Q2549">
        <v>0.17031679999999999</v>
      </c>
      <c r="R2549">
        <v>-0.71355609999999903</v>
      </c>
      <c r="S2549">
        <v>-1.8592219999999999</v>
      </c>
      <c r="T2549">
        <v>-0.24379670000000001</v>
      </c>
      <c r="U2549">
        <v>-2.4958800000000001</v>
      </c>
      <c r="V2549">
        <v>-0.20225409999999999</v>
      </c>
      <c r="W2549">
        <v>0.18093029999999999</v>
      </c>
      <c r="X2549">
        <v>0.96247459999999996</v>
      </c>
      <c r="Y2549">
        <v>-0.31881409999999999</v>
      </c>
      <c r="Z2549">
        <v>3.4052249999999999E-2</v>
      </c>
      <c r="AA2549">
        <v>0.94720539999999998</v>
      </c>
      <c r="AB2549">
        <v>25</v>
      </c>
      <c r="AC2549">
        <v>-8.3971999999999891</v>
      </c>
      <c r="AD2549">
        <v>-1.118431788331</v>
      </c>
      <c r="AE2549">
        <v>-11.349600000000001</v>
      </c>
      <c r="AF2549">
        <v>-4.5093469773177404</v>
      </c>
      <c r="AG2549">
        <v>-1.118431788331</v>
      </c>
      <c r="AH2549">
        <v>13.285847853257</v>
      </c>
      <c r="AI2549">
        <v>94.557737123433</v>
      </c>
      <c r="AJ2549">
        <v>108.747715916427</v>
      </c>
      <c r="AK2549">
        <v>14.0747594298051</v>
      </c>
      <c r="AL2549">
        <v>79.576047380193799</v>
      </c>
      <c r="AM2549">
        <v>101.86744369769799</v>
      </c>
      <c r="AN2549">
        <v>0.99999992503502699</v>
      </c>
    </row>
    <row r="2550" spans="1:40" x14ac:dyDescent="0.25">
      <c r="A2550" t="str">
        <f>"20190312172419745"</f>
        <v>20190312172419745</v>
      </c>
      <c r="B2550" t="str">
        <f>"1552382659742872"</f>
        <v>1552382659742872</v>
      </c>
      <c r="C2550" t="s">
        <v>40</v>
      </c>
      <c r="D2550">
        <v>3.3491219999999999</v>
      </c>
      <c r="E2550">
        <v>0.45105430000000002</v>
      </c>
      <c r="F2550" t="s">
        <v>43</v>
      </c>
      <c r="G2550">
        <v>-489.41090000000003</v>
      </c>
      <c r="H2550" s="1">
        <v>-3.6939170000000002E-6</v>
      </c>
      <c r="I2550">
        <v>267.99979999999999</v>
      </c>
      <c r="J2550">
        <v>-481.05680000000001</v>
      </c>
      <c r="K2550">
        <v>1.118452</v>
      </c>
      <c r="L2550">
        <v>279.47219999999999</v>
      </c>
      <c r="M2550">
        <v>-0.8182545</v>
      </c>
      <c r="N2550">
        <v>0</v>
      </c>
      <c r="O2550">
        <v>-0.57466280000000003</v>
      </c>
      <c r="P2550">
        <v>-0.67576910000000001</v>
      </c>
      <c r="Q2550">
        <v>0.17020089999999999</v>
      </c>
      <c r="R2550">
        <v>-0.71719460000000002</v>
      </c>
      <c r="S2550">
        <v>-1.838287</v>
      </c>
      <c r="T2550">
        <v>-0.2432666</v>
      </c>
      <c r="U2550">
        <v>-2.5115970000000001</v>
      </c>
      <c r="V2550">
        <v>-0.2019591</v>
      </c>
      <c r="W2550">
        <v>0.18081729999999999</v>
      </c>
      <c r="X2550">
        <v>0.96255789999999997</v>
      </c>
      <c r="Y2550">
        <v>-0.32140970000000002</v>
      </c>
      <c r="Z2550">
        <v>3.4290050000000002E-2</v>
      </c>
      <c r="AA2550">
        <v>0.94631920000000003</v>
      </c>
      <c r="AB2550">
        <v>25</v>
      </c>
      <c r="AC2550">
        <v>-8.3541000000000096</v>
      </c>
      <c r="AD2550">
        <v>-1.1184556939170001</v>
      </c>
      <c r="AE2550">
        <v>-11.472399999999899</v>
      </c>
      <c r="AF2550">
        <v>-4.5587476843320802</v>
      </c>
      <c r="AG2550">
        <v>-1.1184556939170001</v>
      </c>
      <c r="AH2550">
        <v>13.347134494301301</v>
      </c>
      <c r="AI2550">
        <v>94.534040474102497</v>
      </c>
      <c r="AJ2550">
        <v>108.857731900565</v>
      </c>
      <c r="AK2550">
        <v>14.148467153639899</v>
      </c>
      <c r="AL2550">
        <v>79.582631618586802</v>
      </c>
      <c r="AM2550">
        <v>101.84962753822199</v>
      </c>
      <c r="AN2550">
        <v>1.0000000424522499</v>
      </c>
    </row>
    <row r="2551" spans="1:40" x14ac:dyDescent="0.25">
      <c r="A2551" t="str">
        <f>"20190312172419757"</f>
        <v>20190312172419757</v>
      </c>
      <c r="B2551" t="str">
        <f>"1552382659752632"</f>
        <v>1552382659752632</v>
      </c>
      <c r="C2551" t="s">
        <v>40</v>
      </c>
      <c r="D2551">
        <v>3.337256</v>
      </c>
      <c r="E2551">
        <v>0.45086890000000002</v>
      </c>
      <c r="F2551" t="s">
        <v>43</v>
      </c>
      <c r="G2551">
        <v>-489.52969999999999</v>
      </c>
      <c r="H2551" s="1">
        <v>-3.5596970000000001E-6</v>
      </c>
      <c r="I2551">
        <v>267.73610000000002</v>
      </c>
      <c r="J2551">
        <v>-481.15870000000001</v>
      </c>
      <c r="K2551">
        <v>1.118476</v>
      </c>
      <c r="L2551">
        <v>279.39299999999997</v>
      </c>
      <c r="M2551">
        <v>-0.81480319999999995</v>
      </c>
      <c r="N2551">
        <v>0</v>
      </c>
      <c r="O2551">
        <v>-0.57954559999999999</v>
      </c>
      <c r="P2551">
        <v>-0.671709</v>
      </c>
      <c r="Q2551">
        <v>0.16979269999999999</v>
      </c>
      <c r="R2551">
        <v>-0.72109499999999904</v>
      </c>
      <c r="S2551">
        <v>-1.8218080000000001</v>
      </c>
      <c r="T2551">
        <v>-0.2404848</v>
      </c>
      <c r="U2551">
        <v>-2.5234380000000001</v>
      </c>
      <c r="V2551">
        <v>-0.20172109999999999</v>
      </c>
      <c r="W2551">
        <v>0.18041160000000001</v>
      </c>
      <c r="X2551">
        <v>0.96268390000000004</v>
      </c>
      <c r="Y2551">
        <v>-0.32191439999999999</v>
      </c>
      <c r="Z2551">
        <v>3.4303720000000003E-2</v>
      </c>
      <c r="AA2551">
        <v>0.94614710000000002</v>
      </c>
      <c r="AB2551">
        <v>25</v>
      </c>
      <c r="AC2551">
        <v>-8.3709999999999791</v>
      </c>
      <c r="AD2551">
        <v>-1.1184795596969901</v>
      </c>
      <c r="AE2551">
        <v>-11.656899999999901</v>
      </c>
      <c r="AF2551">
        <v>-4.6191634564546504</v>
      </c>
      <c r="AG2551">
        <v>-1.1184795596969901</v>
      </c>
      <c r="AH2551">
        <v>13.495958921384799</v>
      </c>
      <c r="AI2551">
        <v>94.483371642655598</v>
      </c>
      <c r="AJ2551">
        <v>108.894162783485</v>
      </c>
      <c r="AK2551">
        <v>14.308339343565001</v>
      </c>
      <c r="AL2551">
        <v>79.606264952245098</v>
      </c>
      <c r="AM2551">
        <v>101.834551931055</v>
      </c>
      <c r="AN2551">
        <v>1.00000001945949</v>
      </c>
    </row>
    <row r="2552" spans="1:40" x14ac:dyDescent="0.25">
      <c r="A2552" t="str">
        <f>"20190312172419769"</f>
        <v>20190312172419769</v>
      </c>
      <c r="B2552" t="str">
        <f>"1552382659762392"</f>
        <v>1552382659762392</v>
      </c>
      <c r="C2552" t="s">
        <v>40</v>
      </c>
      <c r="D2552">
        <v>3.3550610000000001</v>
      </c>
      <c r="E2552">
        <v>0.45086490000000001</v>
      </c>
      <c r="F2552" t="s">
        <v>43</v>
      </c>
      <c r="G2552">
        <v>-489.57209999999998</v>
      </c>
      <c r="H2552" s="1">
        <v>-3.486746E-6</v>
      </c>
      <c r="I2552">
        <v>267.58350000000002</v>
      </c>
      <c r="J2552">
        <v>-481.25700000000001</v>
      </c>
      <c r="K2552">
        <v>1.1185020000000001</v>
      </c>
      <c r="L2552">
        <v>279.31549999999999</v>
      </c>
      <c r="M2552">
        <v>-0.81140599999999996</v>
      </c>
      <c r="N2552">
        <v>0</v>
      </c>
      <c r="O2552">
        <v>-0.58429219999999904</v>
      </c>
      <c r="P2552">
        <v>-0.66791929999999999</v>
      </c>
      <c r="Q2552">
        <v>0.16960600000000001</v>
      </c>
      <c r="R2552">
        <v>-0.72465029999999997</v>
      </c>
      <c r="S2552">
        <v>-1.805847</v>
      </c>
      <c r="T2552">
        <v>-0.24007010000000001</v>
      </c>
      <c r="U2552">
        <v>-2.5347900000000001</v>
      </c>
      <c r="V2552">
        <v>-0.20119020000000001</v>
      </c>
      <c r="W2552">
        <v>0.18023339999999999</v>
      </c>
      <c r="X2552">
        <v>0.96282829999999997</v>
      </c>
      <c r="Y2552">
        <v>-0.32234859999999999</v>
      </c>
      <c r="Z2552">
        <v>3.4639299999999998E-2</v>
      </c>
      <c r="AA2552">
        <v>0.94598700000000002</v>
      </c>
      <c r="AB2552">
        <v>25</v>
      </c>
      <c r="AC2552">
        <v>-8.3151000000000295</v>
      </c>
      <c r="AD2552">
        <v>-1.118505486746</v>
      </c>
      <c r="AE2552">
        <v>-11.7319999999999</v>
      </c>
      <c r="AF2552">
        <v>-4.63345364310499</v>
      </c>
      <c r="AG2552">
        <v>-1.118505486746</v>
      </c>
      <c r="AH2552">
        <v>13.521547089919601</v>
      </c>
      <c r="AI2552">
        <v>94.474466212346698</v>
      </c>
      <c r="AJ2552">
        <v>108.915144416942</v>
      </c>
      <c r="AK2552">
        <v>14.3370911586555</v>
      </c>
      <c r="AL2552">
        <v>79.616644543053894</v>
      </c>
      <c r="AM2552">
        <v>101.80255947764699</v>
      </c>
      <c r="AN2552">
        <v>0.99999995516624396</v>
      </c>
    </row>
    <row r="2553" spans="1:40" x14ac:dyDescent="0.25">
      <c r="A2553" t="str">
        <f>"20190312172419778"</f>
        <v>20190312172419778</v>
      </c>
      <c r="B2553" t="str">
        <f>"1552382659773128"</f>
        <v>1552382659773128</v>
      </c>
      <c r="C2553" t="s">
        <v>40</v>
      </c>
      <c r="D2553">
        <v>3.432137</v>
      </c>
      <c r="E2553">
        <v>0.45078170000000001</v>
      </c>
      <c r="F2553" t="s">
        <v>43</v>
      </c>
      <c r="G2553">
        <v>-489.58429999999998</v>
      </c>
      <c r="H2553" s="1">
        <v>-3.4464799999999998E-6</v>
      </c>
      <c r="I2553">
        <v>267.49470000000002</v>
      </c>
      <c r="J2553">
        <v>-481.35140000000001</v>
      </c>
      <c r="K2553">
        <v>1.1185259999999999</v>
      </c>
      <c r="L2553">
        <v>279.24040000000002</v>
      </c>
      <c r="M2553">
        <v>-0.80809869999999995</v>
      </c>
      <c r="N2553">
        <v>0</v>
      </c>
      <c r="O2553">
        <v>-0.58885750000000003</v>
      </c>
      <c r="P2553">
        <v>-0.66410029999999998</v>
      </c>
      <c r="Q2553">
        <v>0.16977100000000001</v>
      </c>
      <c r="R2553">
        <v>-0.72811300000000001</v>
      </c>
      <c r="S2553">
        <v>-1.7923279999999999</v>
      </c>
      <c r="T2553">
        <v>-0.24074219999999999</v>
      </c>
      <c r="U2553">
        <v>-2.5442499999999999</v>
      </c>
      <c r="V2553">
        <v>-0.2008055</v>
      </c>
      <c r="W2553">
        <v>0.1804036</v>
      </c>
      <c r="X2553">
        <v>0.96287679999999998</v>
      </c>
      <c r="Y2553">
        <v>-0.32203920000000003</v>
      </c>
      <c r="Z2553">
        <v>3.5141859999999997E-2</v>
      </c>
      <c r="AA2553">
        <v>0.94607390000000002</v>
      </c>
      <c r="AB2553">
        <v>25</v>
      </c>
      <c r="AC2553">
        <v>-8.2328999999999706</v>
      </c>
      <c r="AD2553">
        <v>-1.11852944648</v>
      </c>
      <c r="AE2553">
        <v>-11.745699999999999</v>
      </c>
      <c r="AF2553">
        <v>-4.6161281668090899</v>
      </c>
      <c r="AG2553">
        <v>-1.11852944648</v>
      </c>
      <c r="AH2553">
        <v>13.4890287098165</v>
      </c>
      <c r="AI2553">
        <v>94.485932211078904</v>
      </c>
      <c r="AJ2553">
        <v>108.891640618843</v>
      </c>
      <c r="AK2553">
        <v>14.300826651257101</v>
      </c>
      <c r="AL2553">
        <v>79.606730968947502</v>
      </c>
      <c r="AM2553">
        <v>101.780046020803</v>
      </c>
      <c r="AN2553">
        <v>1.00000001985072</v>
      </c>
    </row>
    <row r="2554" spans="1:40" x14ac:dyDescent="0.25">
      <c r="A2554" t="str">
        <f>"20190312172419791"</f>
        <v>20190312172419791</v>
      </c>
      <c r="B2554" t="str">
        <f>"1552382659782888"</f>
        <v>1552382659782888</v>
      </c>
      <c r="C2554" t="s">
        <v>40</v>
      </c>
      <c r="D2554">
        <v>3.3594580000000001</v>
      </c>
      <c r="E2554">
        <v>0.45082119999999998</v>
      </c>
      <c r="F2554" t="s">
        <v>43</v>
      </c>
      <c r="G2554">
        <v>-489.60539999999997</v>
      </c>
      <c r="H2554" s="1">
        <v>-3.3960449999999999E-6</v>
      </c>
      <c r="I2554">
        <v>267.38589999999999</v>
      </c>
      <c r="J2554">
        <v>-481.44929999999999</v>
      </c>
      <c r="K2554">
        <v>1.1185499999999999</v>
      </c>
      <c r="L2554">
        <v>279.16120000000001</v>
      </c>
      <c r="M2554">
        <v>-0.80459340000000001</v>
      </c>
      <c r="N2554">
        <v>0</v>
      </c>
      <c r="O2554">
        <v>-0.59363769999999905</v>
      </c>
      <c r="P2554">
        <v>-0.66010619999999998</v>
      </c>
      <c r="Q2554">
        <v>0.16977200000000001</v>
      </c>
      <c r="R2554">
        <v>-0.73173589999999999</v>
      </c>
      <c r="S2554">
        <v>-1.778473</v>
      </c>
      <c r="T2554">
        <v>-0.24100840000000001</v>
      </c>
      <c r="U2554">
        <v>-2.5542910000000001</v>
      </c>
      <c r="V2554">
        <v>-0.200375</v>
      </c>
      <c r="W2554">
        <v>0.18041109999999999</v>
      </c>
      <c r="X2554">
        <v>0.96296510000000002</v>
      </c>
      <c r="Y2554">
        <v>-0.32163819999999999</v>
      </c>
      <c r="Z2554">
        <v>3.5604879999999998E-2</v>
      </c>
      <c r="AA2554">
        <v>0.94619299999999995</v>
      </c>
      <c r="AB2554">
        <v>25</v>
      </c>
      <c r="AC2554">
        <v>-8.1560999999999808</v>
      </c>
      <c r="AD2554">
        <v>-1.118553396045</v>
      </c>
      <c r="AE2554">
        <v>-11.7753</v>
      </c>
      <c r="AF2554">
        <v>-4.6049978123800797</v>
      </c>
      <c r="AG2554">
        <v>-1.118553396045</v>
      </c>
      <c r="AH2554">
        <v>13.471972115419399</v>
      </c>
      <c r="AI2554">
        <v>94.492222531173894</v>
      </c>
      <c r="AJ2554">
        <v>108.871485798893</v>
      </c>
      <c r="AK2554">
        <v>14.281148386263199</v>
      </c>
      <c r="AL2554">
        <v>79.606294343553799</v>
      </c>
      <c r="AM2554">
        <v>101.754446770557</v>
      </c>
      <c r="AN2554">
        <v>1.0000000447230999</v>
      </c>
    </row>
    <row r="2555" spans="1:40" x14ac:dyDescent="0.25">
      <c r="A2555" t="str">
        <f>"20190312172419802"</f>
        <v>20190312172419802</v>
      </c>
      <c r="B2555" t="str">
        <f>"1552382659792648"</f>
        <v>1552382659792648</v>
      </c>
      <c r="C2555" t="s">
        <v>40</v>
      </c>
      <c r="D2555">
        <v>3.3487330000000002</v>
      </c>
      <c r="E2555">
        <v>0.45090069999999999</v>
      </c>
      <c r="F2555" t="s">
        <v>43</v>
      </c>
      <c r="G2555">
        <v>-489.65460000000002</v>
      </c>
      <c r="H2555" s="1">
        <v>-3.3255120000000001E-6</v>
      </c>
      <c r="I2555">
        <v>267.24180000000001</v>
      </c>
      <c r="J2555">
        <v>-481.54390000000001</v>
      </c>
      <c r="K2555">
        <v>1.118574</v>
      </c>
      <c r="L2555">
        <v>279.08429999999998</v>
      </c>
      <c r="M2555">
        <v>-0.80116919999999903</v>
      </c>
      <c r="N2555">
        <v>0</v>
      </c>
      <c r="O2555">
        <v>-0.59825109999999904</v>
      </c>
      <c r="P2555">
        <v>-0.65627579999999996</v>
      </c>
      <c r="Q2555">
        <v>0.16989479999999901</v>
      </c>
      <c r="R2555">
        <v>-0.73514489999999999</v>
      </c>
      <c r="S2555">
        <v>-1.7648009999999901</v>
      </c>
      <c r="T2555">
        <v>-0.24057909999999999</v>
      </c>
      <c r="U2555">
        <v>-2.5636290000000002</v>
      </c>
      <c r="V2555">
        <v>-0.19985990000000001</v>
      </c>
      <c r="W2555">
        <v>0.18054239999999999</v>
      </c>
      <c r="X2555">
        <v>0.96304749999999995</v>
      </c>
      <c r="Y2555">
        <v>-0.32123879999999999</v>
      </c>
      <c r="Z2555">
        <v>3.5955510000000003E-2</v>
      </c>
      <c r="AA2555">
        <v>0.94631540000000003</v>
      </c>
      <c r="AB2555">
        <v>25</v>
      </c>
      <c r="AC2555">
        <v>-8.1106999999999996</v>
      </c>
      <c r="AD2555">
        <v>-1.118577325512</v>
      </c>
      <c r="AE2555">
        <v>-11.8424999999999</v>
      </c>
      <c r="AF2555">
        <v>-4.6081438671056496</v>
      </c>
      <c r="AG2555">
        <v>-1.118577325512</v>
      </c>
      <c r="AH2555">
        <v>13.5023499128766</v>
      </c>
      <c r="AI2555">
        <v>94.482984543843102</v>
      </c>
      <c r="AJ2555">
        <v>108.843981931926</v>
      </c>
      <c r="AK2555">
        <v>14.310823117586599</v>
      </c>
      <c r="AL2555">
        <v>79.598645474987507</v>
      </c>
      <c r="AM2555">
        <v>101.724092012086</v>
      </c>
      <c r="AN2555">
        <v>1.00000001254101</v>
      </c>
    </row>
    <row r="2556" spans="1:40" x14ac:dyDescent="0.25">
      <c r="A2556" t="str">
        <f>"20190312172419813"</f>
        <v>20190312172419813</v>
      </c>
      <c r="B2556" t="str">
        <f>"1552382659802676"</f>
        <v>1552382659802676</v>
      </c>
      <c r="C2556" t="s">
        <v>40</v>
      </c>
      <c r="D2556">
        <v>3.3538739999999998</v>
      </c>
      <c r="E2556">
        <v>0.45102449999999999</v>
      </c>
      <c r="F2556" t="s">
        <v>43</v>
      </c>
      <c r="G2556">
        <v>-489.70269999999999</v>
      </c>
      <c r="H2556" s="1">
        <v>-3.2563929999999999E-6</v>
      </c>
      <c r="I2556">
        <v>267.10059999999999</v>
      </c>
      <c r="J2556">
        <v>-481.64210000000003</v>
      </c>
      <c r="K2556">
        <v>1.1186</v>
      </c>
      <c r="L2556">
        <v>279.0027</v>
      </c>
      <c r="M2556">
        <v>-0.7975255</v>
      </c>
      <c r="N2556">
        <v>0</v>
      </c>
      <c r="O2556">
        <v>-0.60309959999999996</v>
      </c>
      <c r="P2556">
        <v>-0.65225480000000002</v>
      </c>
      <c r="Q2556">
        <v>0.16987969999999999</v>
      </c>
      <c r="R2556">
        <v>-0.73871849999999994</v>
      </c>
      <c r="S2556">
        <v>-1.7515559999999999</v>
      </c>
      <c r="T2556">
        <v>-0.24013860000000001</v>
      </c>
      <c r="U2556">
        <v>-2.5726930000000001</v>
      </c>
      <c r="V2556">
        <v>-0.19928470000000001</v>
      </c>
      <c r="W2556">
        <v>0.18053730000000001</v>
      </c>
      <c r="X2556">
        <v>0.96316769999999996</v>
      </c>
      <c r="Y2556">
        <v>-0.32038329999999998</v>
      </c>
      <c r="Z2556">
        <v>3.633778E-2</v>
      </c>
      <c r="AA2556">
        <v>0.94659079999999995</v>
      </c>
      <c r="AB2556">
        <v>25</v>
      </c>
      <c r="AC2556">
        <v>-8.06059999999996</v>
      </c>
      <c r="AD2556">
        <v>-1.118603256393</v>
      </c>
      <c r="AE2556">
        <v>-11.902100000000001</v>
      </c>
      <c r="AF2556">
        <v>-4.6035254741895102</v>
      </c>
      <c r="AG2556">
        <v>-1.118603256393</v>
      </c>
      <c r="AH2556">
        <v>13.5263007762613</v>
      </c>
      <c r="AI2556">
        <v>94.476469440001097</v>
      </c>
      <c r="AJ2556">
        <v>108.795433653567</v>
      </c>
      <c r="AK2556">
        <v>14.331940996480901</v>
      </c>
      <c r="AL2556">
        <v>79.598943099530899</v>
      </c>
      <c r="AM2556">
        <v>101.689861137992</v>
      </c>
      <c r="AN2556">
        <v>1.00000006333433</v>
      </c>
    </row>
    <row r="2557" spans="1:40" x14ac:dyDescent="0.25">
      <c r="A2557" t="str">
        <f>"20190312172419825"</f>
        <v>20190312172419825</v>
      </c>
      <c r="B2557" t="str">
        <f>"1552382659812772"</f>
        <v>1552382659812772</v>
      </c>
      <c r="C2557" t="s">
        <v>40</v>
      </c>
      <c r="D2557">
        <v>3.3276699999999999</v>
      </c>
      <c r="E2557">
        <v>0.451295</v>
      </c>
      <c r="F2557" t="s">
        <v>43</v>
      </c>
      <c r="G2557">
        <v>-489.7414</v>
      </c>
      <c r="H2557" s="1">
        <v>-3.1944109999999999E-6</v>
      </c>
      <c r="I2557">
        <v>266.97210000000001</v>
      </c>
      <c r="J2557">
        <v>-481.73500000000001</v>
      </c>
      <c r="K2557">
        <v>1.1186130000000001</v>
      </c>
      <c r="L2557">
        <v>278.92500000000001</v>
      </c>
      <c r="M2557">
        <v>-0.79403419999999902</v>
      </c>
      <c r="N2557">
        <v>0</v>
      </c>
      <c r="O2557">
        <v>-0.60768880000000003</v>
      </c>
      <c r="P2557">
        <v>-0.64831159999999999</v>
      </c>
      <c r="Q2557">
        <v>0.1699608</v>
      </c>
      <c r="R2557">
        <v>-0.74216269999999995</v>
      </c>
      <c r="S2557">
        <v>-1.7380679999999999</v>
      </c>
      <c r="T2557">
        <v>-0.24004519999999999</v>
      </c>
      <c r="U2557">
        <v>-2.581696</v>
      </c>
      <c r="V2557">
        <v>-0.19885420000000001</v>
      </c>
      <c r="W2557">
        <v>0.18062590000000001</v>
      </c>
      <c r="X2557">
        <v>0.96323999999999999</v>
      </c>
      <c r="Y2557">
        <v>-0.31986179999999997</v>
      </c>
      <c r="Z2557">
        <v>3.6739380000000002E-2</v>
      </c>
      <c r="AA2557">
        <v>0.94675169999999997</v>
      </c>
      <c r="AB2557">
        <v>25</v>
      </c>
      <c r="AC2557">
        <v>-8.0063999999999798</v>
      </c>
      <c r="AD2557">
        <v>-1.11861619441099</v>
      </c>
      <c r="AE2557">
        <v>-11.9529</v>
      </c>
      <c r="AF2557">
        <v>-4.5983298866598004</v>
      </c>
      <c r="AG2557">
        <v>-1.11861619441099</v>
      </c>
      <c r="AH2557">
        <v>13.5406621192634</v>
      </c>
      <c r="AI2557">
        <v>94.472803235253394</v>
      </c>
      <c r="AJ2557">
        <v>108.757187636502</v>
      </c>
      <c r="AK2557">
        <v>14.3438304007333</v>
      </c>
      <c r="AL2557">
        <v>79.593781209015603</v>
      </c>
      <c r="AM2557">
        <v>101.66444960853801</v>
      </c>
      <c r="AN2557">
        <v>1.00000000310422</v>
      </c>
    </row>
    <row r="2558" spans="1:40" x14ac:dyDescent="0.25">
      <c r="A2558" t="str">
        <f>"20190312172419836"</f>
        <v>20190312172419836</v>
      </c>
      <c r="B2558" t="str">
        <f>"1552382659832292"</f>
        <v>1552382659832292</v>
      </c>
      <c r="C2558" t="s">
        <v>40</v>
      </c>
      <c r="D2558">
        <v>3.2997420000000002</v>
      </c>
      <c r="E2558">
        <v>0.45210060000000002</v>
      </c>
      <c r="F2558" t="s">
        <v>43</v>
      </c>
      <c r="G2558">
        <v>-489.77379999999999</v>
      </c>
      <c r="H2558" s="1">
        <v>-3.142249E-6</v>
      </c>
      <c r="I2558">
        <v>266.8639</v>
      </c>
      <c r="J2558">
        <v>-481.82580000000002</v>
      </c>
      <c r="K2558">
        <v>1.118633</v>
      </c>
      <c r="L2558">
        <v>278.84800000000001</v>
      </c>
      <c r="M2558">
        <v>-0.79055790000000004</v>
      </c>
      <c r="N2558">
        <v>0</v>
      </c>
      <c r="O2558">
        <v>-0.61220390000000002</v>
      </c>
      <c r="P2558">
        <v>-0.64427460000000003</v>
      </c>
      <c r="Q2558">
        <v>0.1701859</v>
      </c>
      <c r="R2558">
        <v>-0.74561880000000003</v>
      </c>
      <c r="S2558">
        <v>-1.726013</v>
      </c>
      <c r="T2558">
        <v>-0.2401769</v>
      </c>
      <c r="U2558">
        <v>-2.5896300000000001</v>
      </c>
      <c r="V2558">
        <v>-0.19856409999999999</v>
      </c>
      <c r="W2558">
        <v>0.1808553</v>
      </c>
      <c r="X2558">
        <v>0.96325680000000002</v>
      </c>
      <c r="Y2558">
        <v>-0.3188629</v>
      </c>
      <c r="Z2558">
        <v>3.7185179999999998E-2</v>
      </c>
      <c r="AA2558">
        <v>0.94707110000000005</v>
      </c>
      <c r="AB2558">
        <v>25</v>
      </c>
      <c r="AC2558">
        <v>-7.9479999999999702</v>
      </c>
      <c r="AD2558">
        <v>-1.1186361422490001</v>
      </c>
      <c r="AE2558">
        <v>-11.9841</v>
      </c>
      <c r="AF2558">
        <v>-4.5811241061135002</v>
      </c>
      <c r="AG2558">
        <v>-1.1186361422490001</v>
      </c>
      <c r="AH2558">
        <v>13.539663956408999</v>
      </c>
      <c r="AI2558">
        <v>94.474898745444406</v>
      </c>
      <c r="AJ2558">
        <v>108.693168301283</v>
      </c>
      <c r="AK2558">
        <v>14.337382778835201</v>
      </c>
      <c r="AL2558">
        <v>79.580417455928995</v>
      </c>
      <c r="AM2558">
        <v>101.647700554043</v>
      </c>
      <c r="AN2558">
        <v>1.00000000204657</v>
      </c>
    </row>
    <row r="2559" spans="1:40" x14ac:dyDescent="0.25">
      <c r="A2559" t="str">
        <f>"20190312172419846"</f>
        <v>20190312172419846</v>
      </c>
      <c r="B2559" t="str">
        <f>"1552382659843028"</f>
        <v>1552382659843028</v>
      </c>
      <c r="C2559" t="s">
        <v>40</v>
      </c>
      <c r="D2559">
        <v>3.4439709999999999</v>
      </c>
      <c r="E2559">
        <v>0.4522968</v>
      </c>
      <c r="F2559" t="s">
        <v>43</v>
      </c>
      <c r="G2559">
        <v>-489.77409999999998</v>
      </c>
      <c r="H2559" s="1">
        <v>-3.1292809999999902E-6</v>
      </c>
      <c r="I2559">
        <v>266.8338</v>
      </c>
      <c r="J2559">
        <v>-481.91289999999998</v>
      </c>
      <c r="K2559">
        <v>1.1186529999999999</v>
      </c>
      <c r="L2559">
        <v>278.77330000000001</v>
      </c>
      <c r="M2559">
        <v>-0.78717309999999996</v>
      </c>
      <c r="N2559">
        <v>0</v>
      </c>
      <c r="O2559">
        <v>-0.61655000000000004</v>
      </c>
      <c r="P2559">
        <v>-0.64041759999999903</v>
      </c>
      <c r="Q2559">
        <v>0.1701068</v>
      </c>
      <c r="R2559">
        <v>-0.74895230000000002</v>
      </c>
      <c r="S2559">
        <v>-1.716888</v>
      </c>
      <c r="T2559">
        <v>-0.2416333</v>
      </c>
      <c r="U2559">
        <v>-2.595154</v>
      </c>
      <c r="V2559">
        <v>-0.19824900000000001</v>
      </c>
      <c r="W2559">
        <v>0.1807821</v>
      </c>
      <c r="X2559">
        <v>0.96333550000000001</v>
      </c>
      <c r="Y2559">
        <v>-0.31690200000000002</v>
      </c>
      <c r="Z2559">
        <v>3.7859230000000001E-2</v>
      </c>
      <c r="AA2559">
        <v>0.9477023</v>
      </c>
      <c r="AB2559">
        <v>25</v>
      </c>
      <c r="AC2559">
        <v>-7.8611999999999904</v>
      </c>
      <c r="AD2559">
        <v>-1.118656129281</v>
      </c>
      <c r="AE2559">
        <v>-11.939500000000001</v>
      </c>
      <c r="AF2559">
        <v>-4.5244350566846698</v>
      </c>
      <c r="AG2559">
        <v>-1.118656129281</v>
      </c>
      <c r="AH2559">
        <v>13.4684681171934</v>
      </c>
      <c r="AI2559">
        <v>94.501820720746295</v>
      </c>
      <c r="AJ2559">
        <v>108.568639702822</v>
      </c>
      <c r="AK2559">
        <v>14.252071342144999</v>
      </c>
      <c r="AL2559">
        <v>79.584682404854405</v>
      </c>
      <c r="AM2559">
        <v>101.628796578875</v>
      </c>
      <c r="AN2559">
        <v>1.0000000596208201</v>
      </c>
    </row>
    <row r="2560" spans="1:40" x14ac:dyDescent="0.25">
      <c r="A2560" t="str">
        <f>"20190312172419857"</f>
        <v>20190312172419857</v>
      </c>
      <c r="B2560" t="str">
        <f>"1552382659852787"</f>
        <v>1552382659852787</v>
      </c>
      <c r="C2560" t="s">
        <v>40</v>
      </c>
      <c r="D2560">
        <v>3.3538670000000002</v>
      </c>
      <c r="E2560">
        <v>0.4522968</v>
      </c>
      <c r="F2560" t="s">
        <v>43</v>
      </c>
      <c r="G2560">
        <v>-489.74619999999999</v>
      </c>
      <c r="H2560" s="1">
        <v>-3.1249389999999999E-6</v>
      </c>
      <c r="I2560">
        <v>266.81220000000002</v>
      </c>
      <c r="J2560">
        <v>-482.01029999999997</v>
      </c>
      <c r="K2560">
        <v>1.1186799999999999</v>
      </c>
      <c r="L2560">
        <v>278.68880000000001</v>
      </c>
      <c r="M2560">
        <v>-0.78332449999999998</v>
      </c>
      <c r="N2560">
        <v>0</v>
      </c>
      <c r="O2560">
        <v>-0.62143219999999899</v>
      </c>
      <c r="P2560">
        <v>-0.63614369999999998</v>
      </c>
      <c r="Q2560">
        <v>0.16990669999999999</v>
      </c>
      <c r="R2560">
        <v>-0.75263080000000004</v>
      </c>
      <c r="S2560">
        <v>-1.7048029999999901</v>
      </c>
      <c r="T2560">
        <v>-0.2434578</v>
      </c>
      <c r="U2560">
        <v>-2.6031490000000002</v>
      </c>
      <c r="V2560">
        <v>-0.1977824</v>
      </c>
      <c r="W2560">
        <v>0.18059120000000001</v>
      </c>
      <c r="X2560">
        <v>0.96346710000000002</v>
      </c>
      <c r="Y2560">
        <v>-0.3154382</v>
      </c>
      <c r="Z2560">
        <v>3.8621540000000003E-2</v>
      </c>
      <c r="AA2560">
        <v>0.94815990000000006</v>
      </c>
      <c r="AB2560">
        <v>25</v>
      </c>
      <c r="AC2560">
        <v>-7.7359000000000098</v>
      </c>
      <c r="AD2560">
        <v>-1.1186831249389999</v>
      </c>
      <c r="AE2560">
        <v>-11.8765999999999</v>
      </c>
      <c r="AF2560">
        <v>-4.4685636978190404</v>
      </c>
      <c r="AG2560">
        <v>-1.1186831249389999</v>
      </c>
      <c r="AH2560">
        <v>13.3585180777429</v>
      </c>
      <c r="AI2560">
        <v>94.540759969990702</v>
      </c>
      <c r="AJ2560">
        <v>108.495626053102</v>
      </c>
      <c r="AK2560">
        <v>14.130446514136599</v>
      </c>
      <c r="AL2560">
        <v>79.595802119174706</v>
      </c>
      <c r="AM2560">
        <v>101.600628106676</v>
      </c>
      <c r="AN2560">
        <v>0.99999995602480396</v>
      </c>
    </row>
    <row r="2561" spans="1:40" x14ac:dyDescent="0.25">
      <c r="A2561" t="str">
        <f>"20190312172419869"</f>
        <v>20190312172419869</v>
      </c>
      <c r="B2561" t="str">
        <f>"1552382659862547"</f>
        <v>1552382659862547</v>
      </c>
      <c r="C2561" t="s">
        <v>40</v>
      </c>
      <c r="D2561">
        <v>3.4405329999999998</v>
      </c>
      <c r="E2561">
        <v>0.45289620000000003</v>
      </c>
      <c r="F2561" t="s">
        <v>43</v>
      </c>
      <c r="G2561">
        <v>-489.75599999999997</v>
      </c>
      <c r="H2561" s="1">
        <v>-3.0794819999999998E-6</v>
      </c>
      <c r="I2561">
        <v>266.71019999999999</v>
      </c>
      <c r="J2561">
        <v>-482.101</v>
      </c>
      <c r="K2561">
        <v>1.1186969999999901</v>
      </c>
      <c r="L2561">
        <v>278.60890000000001</v>
      </c>
      <c r="M2561">
        <v>-0.77967410000000004</v>
      </c>
      <c r="N2561">
        <v>0</v>
      </c>
      <c r="O2561">
        <v>-0.62600579999999995</v>
      </c>
      <c r="P2561">
        <v>-0.63200829999999997</v>
      </c>
      <c r="Q2561">
        <v>0.17005029999999999</v>
      </c>
      <c r="R2561">
        <v>-0.75607460000000004</v>
      </c>
      <c r="S2561">
        <v>-1.6896359999999999</v>
      </c>
      <c r="T2561">
        <v>-0.24403059999999999</v>
      </c>
      <c r="U2561">
        <v>-2.6130070000000001</v>
      </c>
      <c r="V2561">
        <v>-0.19741020000000001</v>
      </c>
      <c r="W2561">
        <v>0.18074180000000001</v>
      </c>
      <c r="X2561">
        <v>0.96351520000000002</v>
      </c>
      <c r="Y2561">
        <v>-0.31540770000000001</v>
      </c>
      <c r="Z2561">
        <v>3.9116959999999999E-2</v>
      </c>
      <c r="AA2561">
        <v>0.94814969999999998</v>
      </c>
      <c r="AB2561">
        <v>25</v>
      </c>
      <c r="AC2561">
        <v>-7.6549999999999701</v>
      </c>
      <c r="AD2561">
        <v>-1.1187000794819999</v>
      </c>
      <c r="AE2561">
        <v>-11.8987</v>
      </c>
      <c r="AF2561">
        <v>-4.4576697201339197</v>
      </c>
      <c r="AG2561">
        <v>-1.1187000794819999</v>
      </c>
      <c r="AH2561">
        <v>13.335200260129501</v>
      </c>
      <c r="AI2561">
        <v>94.549051355195999</v>
      </c>
      <c r="AJ2561">
        <v>108.483669707983</v>
      </c>
      <c r="AK2561">
        <v>14.104959240614299</v>
      </c>
      <c r="AL2561">
        <v>79.587029080939104</v>
      </c>
      <c r="AM2561">
        <v>101.578824960162</v>
      </c>
      <c r="AN2561">
        <v>0.99999996298115901</v>
      </c>
    </row>
    <row r="2562" spans="1:40" x14ac:dyDescent="0.25">
      <c r="A2562" t="str">
        <f>"20190312172419882"</f>
        <v>20190312172419882</v>
      </c>
      <c r="B2562" t="str">
        <f>"1552382659872308"</f>
        <v>1552382659872308</v>
      </c>
      <c r="C2562" t="s">
        <v>40</v>
      </c>
      <c r="D2562">
        <v>3.513236</v>
      </c>
      <c r="E2562">
        <v>0.453073</v>
      </c>
      <c r="F2562" t="s">
        <v>43</v>
      </c>
      <c r="G2562">
        <v>-489.79660000000001</v>
      </c>
      <c r="H2562" s="1">
        <v>-3.0265620000000002E-6</v>
      </c>
      <c r="I2562">
        <v>266.6037</v>
      </c>
      <c r="J2562">
        <v>-482.2047</v>
      </c>
      <c r="K2562">
        <v>1.118719</v>
      </c>
      <c r="L2562">
        <v>278.51679999999999</v>
      </c>
      <c r="M2562">
        <v>-0.77544029999999997</v>
      </c>
      <c r="N2562">
        <v>0</v>
      </c>
      <c r="O2562">
        <v>-0.63124250000000004</v>
      </c>
      <c r="P2562">
        <v>-0.62668690000000005</v>
      </c>
      <c r="Q2562">
        <v>0.16985839999999999</v>
      </c>
      <c r="R2562">
        <v>-0.76053419999999905</v>
      </c>
      <c r="S2562">
        <v>-1.6790160000000001</v>
      </c>
      <c r="T2562">
        <v>-0.2440753</v>
      </c>
      <c r="U2562">
        <v>-2.6192630000000001</v>
      </c>
      <c r="V2562">
        <v>-0.1977218</v>
      </c>
      <c r="W2562">
        <v>0.18054149999999999</v>
      </c>
      <c r="X2562">
        <v>0.96348889999999998</v>
      </c>
      <c r="Y2562">
        <v>-0.31278349999999999</v>
      </c>
      <c r="Z2562">
        <v>3.967946E-2</v>
      </c>
      <c r="AA2562">
        <v>0.94899529999999999</v>
      </c>
      <c r="AB2562">
        <v>25</v>
      </c>
      <c r="AC2562">
        <v>-7.5919000000000096</v>
      </c>
      <c r="AD2562">
        <v>-1.1187220265619999</v>
      </c>
      <c r="AE2562">
        <v>-11.913099999999901</v>
      </c>
      <c r="AF2562">
        <v>-4.41835880724184</v>
      </c>
      <c r="AG2562">
        <v>-1.1187220265619999</v>
      </c>
      <c r="AH2562">
        <v>13.3250619711645</v>
      </c>
      <c r="AI2562">
        <v>94.556251178222993</v>
      </c>
      <c r="AJ2562">
        <v>108.34462322912</v>
      </c>
      <c r="AK2562">
        <v>14.082993646864301</v>
      </c>
      <c r="AL2562">
        <v>79.598697791019902</v>
      </c>
      <c r="AM2562">
        <v>101.59691471721599</v>
      </c>
      <c r="AN2562">
        <v>1.0000000019203501</v>
      </c>
    </row>
    <row r="2563" spans="1:40" x14ac:dyDescent="0.25">
      <c r="A2563" t="str">
        <f>"20190312172419895"</f>
        <v>20190312172419895</v>
      </c>
      <c r="B2563" t="str">
        <f>"1552382659883044"</f>
        <v>1552382659883044</v>
      </c>
      <c r="C2563" t="s">
        <v>40</v>
      </c>
      <c r="D2563">
        <v>3.4980419999999999</v>
      </c>
      <c r="E2563">
        <v>0.45335019999999998</v>
      </c>
      <c r="F2563" t="s">
        <v>43</v>
      </c>
      <c r="G2563">
        <v>-489.78339999999997</v>
      </c>
      <c r="H2563" s="1">
        <v>-2.996654E-6</v>
      </c>
      <c r="I2563">
        <v>266.52850000000001</v>
      </c>
      <c r="J2563">
        <v>-482.31380000000001</v>
      </c>
      <c r="K2563">
        <v>1.1187400000000001</v>
      </c>
      <c r="L2563">
        <v>278.41789999999997</v>
      </c>
      <c r="M2563">
        <v>-0.77087649999999996</v>
      </c>
      <c r="N2563">
        <v>0</v>
      </c>
      <c r="O2563">
        <v>-0.63680729999999997</v>
      </c>
      <c r="P2563">
        <v>-0.62132229999999999</v>
      </c>
      <c r="Q2563">
        <v>0.1699311</v>
      </c>
      <c r="R2563">
        <v>-0.76490649999999905</v>
      </c>
      <c r="S2563">
        <v>-1.662415</v>
      </c>
      <c r="T2563">
        <v>-0.245393</v>
      </c>
      <c r="U2563">
        <v>-2.6296390000000001</v>
      </c>
      <c r="V2563">
        <v>-0.19756190000000001</v>
      </c>
      <c r="W2563">
        <v>0.18061659999999999</v>
      </c>
      <c r="X2563">
        <v>0.96350769999999997</v>
      </c>
      <c r="Y2563">
        <v>-0.3119364</v>
      </c>
      <c r="Z2563">
        <v>4.0417719999999997E-2</v>
      </c>
      <c r="AA2563">
        <v>0.9492429</v>
      </c>
      <c r="AB2563">
        <v>25</v>
      </c>
      <c r="AC2563">
        <v>-7.4695999999999501</v>
      </c>
      <c r="AD2563">
        <v>-1.1187429966539999</v>
      </c>
      <c r="AE2563">
        <v>-11.889399999999901</v>
      </c>
      <c r="AF2563">
        <v>-4.3812477498657598</v>
      </c>
      <c r="AG2563">
        <v>-1.1187429966539999</v>
      </c>
      <c r="AH2563">
        <v>13.246806749767501</v>
      </c>
      <c r="AI2563">
        <v>94.584286177068194</v>
      </c>
      <c r="AJ2563">
        <v>108.30111224989</v>
      </c>
      <c r="AK2563">
        <v>13.9973142711004</v>
      </c>
      <c r="AL2563">
        <v>79.594323718756101</v>
      </c>
      <c r="AM2563">
        <v>101.58756992200701</v>
      </c>
      <c r="AN2563">
        <v>1.00000007424322</v>
      </c>
    </row>
    <row r="2564" spans="1:40" x14ac:dyDescent="0.25">
      <c r="A2564" t="str">
        <f>"20190312172419909"</f>
        <v>20190312172419909</v>
      </c>
      <c r="B2564" t="str">
        <f>"1552382659902566"</f>
        <v>1552382659902566</v>
      </c>
      <c r="C2564" t="s">
        <v>40</v>
      </c>
      <c r="D2564">
        <v>3.4190339999999901</v>
      </c>
      <c r="E2564">
        <v>0.453654</v>
      </c>
      <c r="F2564" t="s">
        <v>43</v>
      </c>
      <c r="G2564">
        <v>-489.80880000000002</v>
      </c>
      <c r="H2564" s="1">
        <v>-2.9334550000000002E-6</v>
      </c>
      <c r="I2564">
        <v>266.39170000000001</v>
      </c>
      <c r="J2564">
        <v>-482.416</v>
      </c>
      <c r="K2564">
        <v>1.11876</v>
      </c>
      <c r="L2564">
        <v>278.32409999999999</v>
      </c>
      <c r="M2564">
        <v>-0.76652559999999903</v>
      </c>
      <c r="N2564">
        <v>0</v>
      </c>
      <c r="O2564">
        <v>-0.64203789999999905</v>
      </c>
      <c r="P2564">
        <v>-0.61627159999999903</v>
      </c>
      <c r="Q2564">
        <v>0.16987360000000001</v>
      </c>
      <c r="R2564">
        <v>-0.76899419999999996</v>
      </c>
      <c r="S2564">
        <v>-1.645386</v>
      </c>
      <c r="T2564">
        <v>-0.2455975</v>
      </c>
      <c r="U2564">
        <v>-2.6401059999999998</v>
      </c>
      <c r="V2564">
        <v>-0.19736770000000001</v>
      </c>
      <c r="W2564">
        <v>0.18056220000000001</v>
      </c>
      <c r="X2564">
        <v>0.96355760000000001</v>
      </c>
      <c r="Y2564">
        <v>-0.31158200000000003</v>
      </c>
      <c r="Z2564">
        <v>4.093165E-2</v>
      </c>
      <c r="AA2564">
        <v>0.94933730000000005</v>
      </c>
      <c r="AB2564">
        <v>25</v>
      </c>
      <c r="AC2564">
        <v>-7.3928000000000198</v>
      </c>
      <c r="AD2564">
        <v>-1.118762933455</v>
      </c>
      <c r="AE2564">
        <v>-11.9323999999999</v>
      </c>
      <c r="AF2564">
        <v>-4.3727521642175402</v>
      </c>
      <c r="AG2564">
        <v>-1.118762933455</v>
      </c>
      <c r="AH2564">
        <v>13.245191236505001</v>
      </c>
      <c r="AI2564">
        <v>94.585741864512201</v>
      </c>
      <c r="AJ2564">
        <v>108.27006373886501</v>
      </c>
      <c r="AK2564">
        <v>13.9931298458398</v>
      </c>
      <c r="AL2564">
        <v>79.597491749801705</v>
      </c>
      <c r="AM2564">
        <v>101.575903824007</v>
      </c>
      <c r="AN2564">
        <v>0.99999998279494395</v>
      </c>
    </row>
    <row r="2565" spans="1:40" x14ac:dyDescent="0.25">
      <c r="A2565" t="str">
        <f>"20190312172419922"</f>
        <v>20190312172419922</v>
      </c>
      <c r="B2565" t="str">
        <f>"1552382659912323"</f>
        <v>1552382659912323</v>
      </c>
      <c r="C2565" t="s">
        <v>40</v>
      </c>
      <c r="D2565">
        <v>3.4299659999999998</v>
      </c>
      <c r="E2565">
        <v>0.46282040000000002</v>
      </c>
      <c r="F2565" t="s">
        <v>43</v>
      </c>
      <c r="G2565">
        <v>-489.8329</v>
      </c>
      <c r="H2565" s="1">
        <v>-2.8744439999999999E-6</v>
      </c>
      <c r="I2565">
        <v>266.26409999999998</v>
      </c>
      <c r="J2565">
        <v>-482.51949999999999</v>
      </c>
      <c r="K2565">
        <v>1.118779</v>
      </c>
      <c r="L2565">
        <v>278.22809999999998</v>
      </c>
      <c r="M2565">
        <v>-0.76204899999999998</v>
      </c>
      <c r="N2565">
        <v>0</v>
      </c>
      <c r="O2565">
        <v>-0.64734449999999999</v>
      </c>
      <c r="P2565">
        <v>-0.61108169999999995</v>
      </c>
      <c r="Q2565">
        <v>0.16985839999999999</v>
      </c>
      <c r="R2565">
        <v>-0.77312829999999999</v>
      </c>
      <c r="S2565">
        <v>-1.6295170000000001</v>
      </c>
      <c r="T2565">
        <v>-0.24579599999999999</v>
      </c>
      <c r="U2565">
        <v>-2.6496279999999999</v>
      </c>
      <c r="V2565">
        <v>-0.19717380000000001</v>
      </c>
      <c r="W2565">
        <v>0.1805504</v>
      </c>
      <c r="X2565">
        <v>0.96359950000000005</v>
      </c>
      <c r="Y2565">
        <v>-0.31064380000000003</v>
      </c>
      <c r="Z2565">
        <v>4.1472710000000003E-2</v>
      </c>
      <c r="AA2565">
        <v>0.94962120000000005</v>
      </c>
      <c r="AB2565">
        <v>25</v>
      </c>
      <c r="AC2565">
        <v>-7.3133999999999997</v>
      </c>
      <c r="AD2565">
        <v>-1.1187818744439999</v>
      </c>
      <c r="AE2565">
        <v>-11.964</v>
      </c>
      <c r="AF2565">
        <v>-4.3556339340263301</v>
      </c>
      <c r="AG2565">
        <v>-1.1187818744439999</v>
      </c>
      <c r="AH2565">
        <v>13.235253130060901</v>
      </c>
      <c r="AI2565">
        <v>94.590668509685401</v>
      </c>
      <c r="AJ2565">
        <v>108.21603215001601</v>
      </c>
      <c r="AK2565">
        <v>13.978381353597801</v>
      </c>
      <c r="AL2565">
        <v>79.598179059411507</v>
      </c>
      <c r="AM2565">
        <v>101.56434850480299</v>
      </c>
      <c r="AN2565">
        <v>0.999999975373424</v>
      </c>
    </row>
    <row r="2566" spans="1:40" x14ac:dyDescent="0.25">
      <c r="A2566" t="str">
        <f>"20190312172419936"</f>
        <v>20190312172419936</v>
      </c>
      <c r="B2566" t="str">
        <f>"1552382659932820"</f>
        <v>1552382659932820</v>
      </c>
      <c r="C2566" t="s">
        <v>40</v>
      </c>
      <c r="D2566">
        <v>3.4072689999999999</v>
      </c>
      <c r="E2566">
        <v>0.4639047</v>
      </c>
      <c r="F2566" t="s">
        <v>43</v>
      </c>
      <c r="G2566">
        <v>-490.23680000000002</v>
      </c>
      <c r="H2566" s="1">
        <v>-2.869253E-6</v>
      </c>
      <c r="I2566">
        <v>266.13060000000002</v>
      </c>
      <c r="J2566">
        <v>-482.63810000000001</v>
      </c>
      <c r="K2566">
        <v>1.118798</v>
      </c>
      <c r="L2566">
        <v>278.1157</v>
      </c>
      <c r="M2566">
        <v>-0.75678250000000002</v>
      </c>
      <c r="N2566">
        <v>0</v>
      </c>
      <c r="O2566">
        <v>-0.65349349999999995</v>
      </c>
      <c r="P2566">
        <v>-0.60535569999999905</v>
      </c>
      <c r="Q2566">
        <v>0.1695102</v>
      </c>
      <c r="R2566">
        <v>-0.77769619999999995</v>
      </c>
      <c r="S2566">
        <v>-1.668121</v>
      </c>
      <c r="T2566">
        <v>-0.24182780000000001</v>
      </c>
      <c r="U2566">
        <v>-2.6149290000000001</v>
      </c>
      <c r="V2566">
        <v>-0.19654640000000001</v>
      </c>
      <c r="W2566">
        <v>0.1802165</v>
      </c>
      <c r="X2566">
        <v>0.96379020000000004</v>
      </c>
      <c r="Y2566">
        <v>-0.28725590000000001</v>
      </c>
      <c r="Z2566">
        <v>4.2204459999999999E-2</v>
      </c>
      <c r="AA2566">
        <v>0.95692370000000004</v>
      </c>
      <c r="AB2566">
        <v>25</v>
      </c>
      <c r="AC2566">
        <v>-7.5987</v>
      </c>
      <c r="AD2566">
        <v>-1.118800869253</v>
      </c>
      <c r="AE2566">
        <v>-11.9850999999999</v>
      </c>
      <c r="AF2566">
        <v>-4.07952109946741</v>
      </c>
      <c r="AG2566">
        <v>-1.118800869253</v>
      </c>
      <c r="AH2566">
        <v>13.5003736642606</v>
      </c>
      <c r="AI2566">
        <v>94.535724544076999</v>
      </c>
      <c r="AJ2566">
        <v>106.813682092581</v>
      </c>
      <c r="AK2566">
        <v>14.1475897898088</v>
      </c>
      <c r="AL2566">
        <v>79.617629556986401</v>
      </c>
      <c r="AM2566">
        <v>101.526317799347</v>
      </c>
      <c r="AN2566">
        <v>1.00000001192062</v>
      </c>
    </row>
    <row r="2567" spans="1:40" x14ac:dyDescent="0.25">
      <c r="A2567" t="str">
        <f>"20190312172419948"</f>
        <v>20190312172419948</v>
      </c>
      <c r="B2567" t="str">
        <f>"1552382659942580"</f>
        <v>1552382659942580</v>
      </c>
      <c r="C2567" t="s">
        <v>40</v>
      </c>
      <c r="D2567">
        <v>3.5964520000000002</v>
      </c>
      <c r="E2567">
        <v>0.46367170000000002</v>
      </c>
      <c r="F2567" t="s">
        <v>43</v>
      </c>
      <c r="G2567">
        <v>-490.20400000000001</v>
      </c>
      <c r="H2567" s="1">
        <v>-2.861921E-6</v>
      </c>
      <c r="I2567">
        <v>266.13380000000001</v>
      </c>
      <c r="J2567">
        <v>-482.72809999999998</v>
      </c>
      <c r="K2567">
        <v>1.1188149999999999</v>
      </c>
      <c r="L2567">
        <v>278.02940000000001</v>
      </c>
      <c r="M2567">
        <v>-0.75271699999999997</v>
      </c>
      <c r="N2567">
        <v>0</v>
      </c>
      <c r="O2567">
        <v>-0.65817199999999998</v>
      </c>
      <c r="P2567">
        <v>-0.60076490000000005</v>
      </c>
      <c r="Q2567">
        <v>0.16930339999999999</v>
      </c>
      <c r="R2567">
        <v>-0.7812924</v>
      </c>
      <c r="S2567">
        <v>-1.6557010000000001</v>
      </c>
      <c r="T2567">
        <v>-0.24483450000000001</v>
      </c>
      <c r="U2567">
        <v>-2.6220699999999999</v>
      </c>
      <c r="V2567">
        <v>-0.1962844</v>
      </c>
      <c r="W2567">
        <v>0.1800148</v>
      </c>
      <c r="X2567">
        <v>0.96388130000000005</v>
      </c>
      <c r="Y2567">
        <v>-0.28576220000000002</v>
      </c>
      <c r="Z2567">
        <v>4.3197770000000003E-2</v>
      </c>
      <c r="AA2567">
        <v>0.95732649999999997</v>
      </c>
      <c r="AB2567">
        <v>25</v>
      </c>
      <c r="AC2567">
        <v>-7.4759000000000198</v>
      </c>
      <c r="AD2567">
        <v>-1.1188178619210001</v>
      </c>
      <c r="AE2567">
        <v>-11.8956</v>
      </c>
      <c r="AF2567">
        <v>-4.0086293939925204</v>
      </c>
      <c r="AG2567">
        <v>-1.1188178619210001</v>
      </c>
      <c r="AH2567">
        <v>13.3733083982863</v>
      </c>
      <c r="AI2567">
        <v>94.581765438962606</v>
      </c>
      <c r="AJ2567">
        <v>106.686024266093</v>
      </c>
      <c r="AK2567">
        <v>14.005935903830601</v>
      </c>
      <c r="AL2567">
        <v>79.629378420632705</v>
      </c>
      <c r="AM2567">
        <v>101.51030446715799</v>
      </c>
      <c r="AN2567">
        <v>1.0000000271960401</v>
      </c>
    </row>
    <row r="2568" spans="1:40" x14ac:dyDescent="0.25">
      <c r="A2568" t="str">
        <f>"20190312172419961"</f>
        <v>20190312172419961</v>
      </c>
      <c r="B2568" t="str">
        <f>"1552382659952341"</f>
        <v>1552382659952341</v>
      </c>
      <c r="C2568" t="s">
        <v>40</v>
      </c>
      <c r="D2568">
        <v>3.599154</v>
      </c>
      <c r="E2568">
        <v>0.46382210000000001</v>
      </c>
      <c r="F2568" t="s">
        <v>43</v>
      </c>
      <c r="G2568">
        <v>-489.97890000000001</v>
      </c>
      <c r="H2568" s="1">
        <v>-2.9047689999999999E-6</v>
      </c>
      <c r="I2568">
        <v>266.37329999999997</v>
      </c>
      <c r="J2568">
        <v>-482.83109999999999</v>
      </c>
      <c r="K2568">
        <v>1.118835</v>
      </c>
      <c r="L2568">
        <v>277.92950000000002</v>
      </c>
      <c r="M2568">
        <v>-0.74799139999999997</v>
      </c>
      <c r="N2568">
        <v>0</v>
      </c>
      <c r="O2568">
        <v>-0.66353739999999894</v>
      </c>
      <c r="P2568">
        <v>-0.59542200000000001</v>
      </c>
      <c r="Q2568">
        <v>0.16892599999999999</v>
      </c>
      <c r="R2568">
        <v>-0.78545310000000002</v>
      </c>
      <c r="S2568">
        <v>-1.6387940000000001</v>
      </c>
      <c r="T2568">
        <v>-0.25286779999999998</v>
      </c>
      <c r="U2568">
        <v>-2.63443</v>
      </c>
      <c r="V2568">
        <v>-0.19602720000000001</v>
      </c>
      <c r="W2568">
        <v>0.17964330000000001</v>
      </c>
      <c r="X2568">
        <v>0.9640029</v>
      </c>
      <c r="Y2568">
        <v>-0.28541230000000001</v>
      </c>
      <c r="Z2568">
        <v>4.5090089999999999E-2</v>
      </c>
      <c r="AA2568">
        <v>0.95734359999999996</v>
      </c>
      <c r="AB2568">
        <v>25</v>
      </c>
      <c r="AC2568">
        <v>-7.1478000000000099</v>
      </c>
      <c r="AD2568">
        <v>-1.118837904769</v>
      </c>
      <c r="AE2568">
        <v>-11.5562</v>
      </c>
      <c r="AF2568">
        <v>-3.8752748698474102</v>
      </c>
      <c r="AG2568">
        <v>-1.118837904769</v>
      </c>
      <c r="AH2568">
        <v>12.928290064940899</v>
      </c>
      <c r="AI2568">
        <v>94.738853437939696</v>
      </c>
      <c r="AJ2568">
        <v>106.686183111361</v>
      </c>
      <c r="AK2568">
        <v>13.5429035873873</v>
      </c>
      <c r="AL2568">
        <v>79.651016106030497</v>
      </c>
      <c r="AM2568">
        <v>101.494212312266</v>
      </c>
      <c r="AN2568">
        <v>0.99999998479156904</v>
      </c>
    </row>
    <row r="2569" spans="1:40" x14ac:dyDescent="0.25">
      <c r="A2569" t="str">
        <f>"20190312172419973"</f>
        <v>20190312172419973</v>
      </c>
      <c r="B2569" t="str">
        <f>"1552382659963076"</f>
        <v>1552382659963076</v>
      </c>
      <c r="C2569" t="s">
        <v>40</v>
      </c>
      <c r="D2569">
        <v>3.5974200000000001</v>
      </c>
      <c r="E2569">
        <v>0.46414070000000002</v>
      </c>
      <c r="F2569" t="s">
        <v>43</v>
      </c>
      <c r="G2569">
        <v>-489.83679999999998</v>
      </c>
      <c r="H2569" s="1">
        <v>-2.9760599999999999E-6</v>
      </c>
      <c r="I2569">
        <v>266.50259999999997</v>
      </c>
      <c r="J2569">
        <v>-482.92329999999998</v>
      </c>
      <c r="K2569">
        <v>1.118851</v>
      </c>
      <c r="L2569">
        <v>277.8381</v>
      </c>
      <c r="M2569">
        <v>-0.74365119999999996</v>
      </c>
      <c r="N2569">
        <v>0</v>
      </c>
      <c r="O2569">
        <v>-0.66839799999999905</v>
      </c>
      <c r="P2569">
        <v>-0.59053549999999999</v>
      </c>
      <c r="Q2569">
        <v>0.16865869999999999</v>
      </c>
      <c r="R2569">
        <v>-0.78919110000000003</v>
      </c>
      <c r="S2569">
        <v>-1.6219790000000001</v>
      </c>
      <c r="T2569">
        <v>-0.2590365</v>
      </c>
      <c r="U2569">
        <v>-2.6455989999999998</v>
      </c>
      <c r="V2569">
        <v>-0.195772</v>
      </c>
      <c r="W2569">
        <v>0.17938109999999999</v>
      </c>
      <c r="X2569">
        <v>0.96410359999999995</v>
      </c>
      <c r="Y2569">
        <v>-0.28543659999999998</v>
      </c>
      <c r="Z2569">
        <v>4.6630640000000001E-2</v>
      </c>
      <c r="AA2569">
        <v>0.95726250000000002</v>
      </c>
      <c r="AB2569">
        <v>25</v>
      </c>
      <c r="AC2569">
        <v>-6.9134999999999902</v>
      </c>
      <c r="AD2569">
        <v>-1.11885397606</v>
      </c>
      <c r="AE2569">
        <v>-11.3355</v>
      </c>
      <c r="AF2569">
        <v>-3.7822631552064201</v>
      </c>
      <c r="AG2569">
        <v>-1.11885397606</v>
      </c>
      <c r="AH2569">
        <v>12.6296190367029</v>
      </c>
      <c r="AI2569">
        <v>94.850827033939893</v>
      </c>
      <c r="AJ2569">
        <v>106.671676938635</v>
      </c>
      <c r="AK2569">
        <v>13.231198955772101</v>
      </c>
      <c r="AL2569">
        <v>79.666287319136302</v>
      </c>
      <c r="AM2569">
        <v>101.478478750653</v>
      </c>
      <c r="AN2569">
        <v>1.0000000032770799</v>
      </c>
    </row>
    <row r="2570" spans="1:40" x14ac:dyDescent="0.25">
      <c r="A2570" t="str">
        <f>"20190312172419987"</f>
        <v>20190312172419987</v>
      </c>
      <c r="B2570" t="str">
        <f>"1552382659982596"</f>
        <v>1552382659982596</v>
      </c>
      <c r="C2570" t="s">
        <v>40</v>
      </c>
      <c r="D2570">
        <v>3.574913</v>
      </c>
      <c r="E2570">
        <v>0.46493079999999998</v>
      </c>
      <c r="F2570" t="s">
        <v>43</v>
      </c>
      <c r="G2570">
        <v>-489.74340000000001</v>
      </c>
      <c r="H2570" s="1">
        <v>-3.026549E-6</v>
      </c>
      <c r="I2570">
        <v>266.58170000000001</v>
      </c>
      <c r="J2570">
        <v>-483.02510000000001</v>
      </c>
      <c r="K2570">
        <v>1.118868</v>
      </c>
      <c r="L2570">
        <v>277.7364</v>
      </c>
      <c r="M2570">
        <v>-0.73879640000000002</v>
      </c>
      <c r="N2570">
        <v>0</v>
      </c>
      <c r="O2570">
        <v>-0.67376000000000003</v>
      </c>
      <c r="P2570">
        <v>-0.58494919999999995</v>
      </c>
      <c r="Q2570">
        <v>0.16837179999999999</v>
      </c>
      <c r="R2570">
        <v>-0.79340109999999997</v>
      </c>
      <c r="S2570">
        <v>-1.608215</v>
      </c>
      <c r="T2570">
        <v>-0.2638315</v>
      </c>
      <c r="U2570">
        <v>-2.6543269999999999</v>
      </c>
      <c r="V2570">
        <v>-0.19565080000000001</v>
      </c>
      <c r="W2570">
        <v>0.17909729999999999</v>
      </c>
      <c r="X2570">
        <v>0.96418090000000001</v>
      </c>
      <c r="Y2570">
        <v>-0.2835723</v>
      </c>
      <c r="Z2570">
        <v>4.8061020000000003E-2</v>
      </c>
      <c r="AA2570">
        <v>0.95774570000000003</v>
      </c>
      <c r="AB2570">
        <v>25</v>
      </c>
      <c r="AC2570">
        <v>-6.7182999999999904</v>
      </c>
      <c r="AD2570">
        <v>-1.1188710265490001</v>
      </c>
      <c r="AE2570">
        <v>-11.154699999999901</v>
      </c>
      <c r="AF2570">
        <v>-3.6877264433010102</v>
      </c>
      <c r="AG2570">
        <v>-1.1188710265490001</v>
      </c>
      <c r="AH2570">
        <v>12.3889980608343</v>
      </c>
      <c r="AI2570">
        <v>94.947100418547393</v>
      </c>
      <c r="AJ2570">
        <v>106.576236618991</v>
      </c>
      <c r="AK2570">
        <v>12.9745316542074</v>
      </c>
      <c r="AL2570">
        <v>79.682814900069602</v>
      </c>
      <c r="AM2570">
        <v>101.47066570055</v>
      </c>
      <c r="AN2570">
        <v>0.99999994316636798</v>
      </c>
    </row>
    <row r="2571" spans="1:40" x14ac:dyDescent="0.25">
      <c r="A2571" t="str">
        <f>"20190312172419999"</f>
        <v>20190312172419999</v>
      </c>
      <c r="B2571" t="str">
        <f>"1552382659992356"</f>
        <v>1552382659992356</v>
      </c>
      <c r="C2571" t="s">
        <v>40</v>
      </c>
      <c r="D2571">
        <v>3.5565730000000002</v>
      </c>
      <c r="E2571">
        <v>0.46533469999999999</v>
      </c>
      <c r="F2571" t="s">
        <v>43</v>
      </c>
      <c r="G2571">
        <v>-489.78030000000001</v>
      </c>
      <c r="H2571" s="1">
        <v>-2.9659689999999998E-6</v>
      </c>
      <c r="I2571">
        <v>266.45569999999998</v>
      </c>
      <c r="J2571">
        <v>-483.13119999999998</v>
      </c>
      <c r="K2571">
        <v>1.1188910000000001</v>
      </c>
      <c r="L2571">
        <v>277.62880000000001</v>
      </c>
      <c r="M2571">
        <v>-0.73363369999999894</v>
      </c>
      <c r="N2571">
        <v>0</v>
      </c>
      <c r="O2571">
        <v>-0.67937769999999897</v>
      </c>
      <c r="P2571">
        <v>-0.57914019999999899</v>
      </c>
      <c r="Q2571">
        <v>0.167968799999999</v>
      </c>
      <c r="R2571">
        <v>-0.79773629999999995</v>
      </c>
      <c r="S2571">
        <v>-1.5940859999999999</v>
      </c>
      <c r="T2571">
        <v>-0.26403009999999999</v>
      </c>
      <c r="U2571">
        <v>-2.6620180000000002</v>
      </c>
      <c r="V2571">
        <v>-0.19539670000000001</v>
      </c>
      <c r="W2571">
        <v>0.17869939999999901</v>
      </c>
      <c r="X2571">
        <v>0.96430629999999995</v>
      </c>
      <c r="Y2571">
        <v>-0.28123179999999998</v>
      </c>
      <c r="Z2571">
        <v>4.8724910000000003E-2</v>
      </c>
      <c r="AA2571">
        <v>0.95840210000000003</v>
      </c>
      <c r="AB2571">
        <v>25</v>
      </c>
      <c r="AC2571">
        <v>-6.64910000000003</v>
      </c>
      <c r="AD2571">
        <v>-1.118893965969</v>
      </c>
      <c r="AE2571">
        <v>-11.1731</v>
      </c>
      <c r="AF2571">
        <v>-3.6530775396614898</v>
      </c>
      <c r="AG2571">
        <v>-1.118893965969</v>
      </c>
      <c r="AH2571">
        <v>12.3785061086031</v>
      </c>
      <c r="AI2571">
        <v>94.9547935281349</v>
      </c>
      <c r="AJ2571">
        <v>106.44209802068301</v>
      </c>
      <c r="AK2571">
        <v>12.9547023392506</v>
      </c>
      <c r="AL2571">
        <v>79.705987229390303</v>
      </c>
      <c r="AM2571">
        <v>101.45471200466901</v>
      </c>
      <c r="AN2571">
        <v>0.99999999307546905</v>
      </c>
    </row>
    <row r="2572" spans="1:40" x14ac:dyDescent="0.25">
      <c r="A2572" t="str">
        <f>"20190312172420014"</f>
        <v>20190312172420014</v>
      </c>
      <c r="B2572" t="str">
        <f>"1552382660002623"</f>
        <v>1552382660002623</v>
      </c>
      <c r="C2572" t="s">
        <v>40</v>
      </c>
      <c r="D2572">
        <v>3.4538389999999999</v>
      </c>
      <c r="E2572">
        <v>0.46599030000000002</v>
      </c>
      <c r="F2572" t="s">
        <v>43</v>
      </c>
      <c r="G2572">
        <v>-489.76949999999999</v>
      </c>
      <c r="H2572" s="1">
        <v>-2.9359519999999999E-6</v>
      </c>
      <c r="I2572">
        <v>266.38130000000001</v>
      </c>
      <c r="J2572">
        <v>-483.23610000000002</v>
      </c>
      <c r="K2572">
        <v>1.1189070000000001</v>
      </c>
      <c r="L2572">
        <v>277.52019999999999</v>
      </c>
      <c r="M2572">
        <v>-0.72840139999999998</v>
      </c>
      <c r="N2572">
        <v>0</v>
      </c>
      <c r="O2572">
        <v>-0.6849845</v>
      </c>
      <c r="P2572">
        <v>-0.57311959999999995</v>
      </c>
      <c r="Q2572">
        <v>0.16803390000000001</v>
      </c>
      <c r="R2572">
        <v>-0.80205950000000004</v>
      </c>
      <c r="S2572">
        <v>-1.5769040000000001</v>
      </c>
      <c r="T2572">
        <v>-0.2657909</v>
      </c>
      <c r="U2572">
        <v>-2.6718440000000001</v>
      </c>
      <c r="V2572">
        <v>-0.1952576</v>
      </c>
      <c r="W2572">
        <v>0.1787675</v>
      </c>
      <c r="X2572">
        <v>0.96432189999999995</v>
      </c>
      <c r="Y2572">
        <v>-0.28000930000000002</v>
      </c>
      <c r="Z2572">
        <v>4.9636270000000003E-2</v>
      </c>
      <c r="AA2572">
        <v>0.95871320000000004</v>
      </c>
      <c r="AB2572">
        <v>25</v>
      </c>
      <c r="AC2572">
        <v>-6.5333999999999701</v>
      </c>
      <c r="AD2572">
        <v>-1.1189099359519901</v>
      </c>
      <c r="AE2572">
        <v>-11.1388999999999</v>
      </c>
      <c r="AF2572">
        <v>-3.6116124932319802</v>
      </c>
      <c r="AG2572">
        <v>-1.1189099359519901</v>
      </c>
      <c r="AH2572">
        <v>12.2979942605158</v>
      </c>
      <c r="AI2572">
        <v>94.989074728462398</v>
      </c>
      <c r="AJ2572">
        <v>106.36619081631299</v>
      </c>
      <c r="AK2572">
        <v>12.8660936992438</v>
      </c>
      <c r="AL2572">
        <v>79.702021998112102</v>
      </c>
      <c r="AM2572">
        <v>101.446592607409</v>
      </c>
      <c r="AN2572">
        <v>1.0000000381167999</v>
      </c>
    </row>
    <row r="2573" spans="1:40" x14ac:dyDescent="0.25">
      <c r="A2573" t="str">
        <f>"20190312172420026"</f>
        <v>20190312172420026</v>
      </c>
      <c r="B2573" t="str">
        <f>"1552382660023119"</f>
        <v>1552382660023119</v>
      </c>
      <c r="C2573" t="s">
        <v>40</v>
      </c>
      <c r="D2573">
        <v>3.4532020000000001</v>
      </c>
      <c r="E2573">
        <v>0.4666071</v>
      </c>
      <c r="F2573" t="s">
        <v>43</v>
      </c>
      <c r="G2573">
        <v>-489.82510000000002</v>
      </c>
      <c r="H2573" s="1">
        <v>-2.851471E-6</v>
      </c>
      <c r="I2573">
        <v>266.20729999999998</v>
      </c>
      <c r="J2573">
        <v>-483.31959999999998</v>
      </c>
      <c r="K2573">
        <v>1.118919</v>
      </c>
      <c r="L2573">
        <v>277.43290000000002</v>
      </c>
      <c r="M2573">
        <v>-0.72417369999999903</v>
      </c>
      <c r="N2573">
        <v>0</v>
      </c>
      <c r="O2573">
        <v>-0.68945219999999996</v>
      </c>
      <c r="P2573">
        <v>-0.56827890000000003</v>
      </c>
      <c r="Q2573">
        <v>0.16839689999999999</v>
      </c>
      <c r="R2573">
        <v>-0.80542049999999998</v>
      </c>
      <c r="S2573">
        <v>-1.5611269999999999</v>
      </c>
      <c r="T2573">
        <v>-0.26510309999999998</v>
      </c>
      <c r="U2573">
        <v>-2.6803590000000002</v>
      </c>
      <c r="V2573">
        <v>-0.19509090000000001</v>
      </c>
      <c r="W2573">
        <v>0.17913289999999901</v>
      </c>
      <c r="X2573">
        <v>0.96428780000000003</v>
      </c>
      <c r="Y2573">
        <v>-0.27964670000000003</v>
      </c>
      <c r="Z2573">
        <v>4.9962230000000003E-2</v>
      </c>
      <c r="AA2573">
        <v>0.95880209999999999</v>
      </c>
      <c r="AB2573">
        <v>25</v>
      </c>
      <c r="AC2573">
        <v>-6.5055000000000396</v>
      </c>
      <c r="AD2573">
        <v>-1.118921851471</v>
      </c>
      <c r="AE2573">
        <v>-11.2256</v>
      </c>
      <c r="AF2573">
        <v>-3.6175632945730798</v>
      </c>
      <c r="AG2573">
        <v>-1.118921851471</v>
      </c>
      <c r="AH2573">
        <v>12.3601193137654</v>
      </c>
      <c r="AI2573">
        <v>94.965503118508494</v>
      </c>
      <c r="AJ2573">
        <v>106.313713222421</v>
      </c>
      <c r="AK2573">
        <v>12.927153582690099</v>
      </c>
      <c r="AL2573">
        <v>79.680742319936698</v>
      </c>
      <c r="AM2573">
        <v>101.437471577165</v>
      </c>
      <c r="AN2573">
        <v>1.0000000081770299</v>
      </c>
    </row>
    <row r="2574" spans="1:40" x14ac:dyDescent="0.25">
      <c r="A2574" t="str">
        <f>"20190312172420035"</f>
        <v>20190312172420035</v>
      </c>
      <c r="B2574" t="str">
        <f>"1552382660032878"</f>
        <v>1552382660032878</v>
      </c>
      <c r="C2574" t="s">
        <v>40</v>
      </c>
      <c r="D2574">
        <v>3.5468259999999998</v>
      </c>
      <c r="E2574">
        <v>0.47519850000000002</v>
      </c>
      <c r="F2574" t="s">
        <v>43</v>
      </c>
      <c r="G2574">
        <v>-489.88569999999999</v>
      </c>
      <c r="H2574" s="1">
        <v>-2.771857E-6</v>
      </c>
      <c r="I2574">
        <v>266.04680000000002</v>
      </c>
      <c r="J2574">
        <v>-483.39949999999999</v>
      </c>
      <c r="K2574">
        <v>1.118933</v>
      </c>
      <c r="L2574">
        <v>277.34820000000002</v>
      </c>
      <c r="M2574">
        <v>-0.72006000000000003</v>
      </c>
      <c r="N2574">
        <v>0</v>
      </c>
      <c r="O2574">
        <v>-0.69374740000000001</v>
      </c>
      <c r="P2574">
        <v>-0.56360759999999999</v>
      </c>
      <c r="Q2574">
        <v>0.16865539999999901</v>
      </c>
      <c r="R2574">
        <v>-0.80864209999999903</v>
      </c>
      <c r="S2574">
        <v>-1.5494079999999999</v>
      </c>
      <c r="T2574">
        <v>-0.26403399999999999</v>
      </c>
      <c r="U2574">
        <v>-2.686798</v>
      </c>
      <c r="V2574">
        <v>-0.19490850000000001</v>
      </c>
      <c r="W2574">
        <v>0.17939469999999999</v>
      </c>
      <c r="X2574">
        <v>0.96427600000000002</v>
      </c>
      <c r="Y2574">
        <v>-0.27807270000000001</v>
      </c>
      <c r="Z2574">
        <v>5.0231779999999997E-2</v>
      </c>
      <c r="AA2574">
        <v>0.95924569999999998</v>
      </c>
      <c r="AB2574">
        <v>25</v>
      </c>
      <c r="AC2574">
        <v>-6.4861999999999904</v>
      </c>
      <c r="AD2574">
        <v>-1.1189357718570001</v>
      </c>
      <c r="AE2574">
        <v>-11.301399999999999</v>
      </c>
      <c r="AF2574">
        <v>-3.61168486646315</v>
      </c>
      <c r="AG2574">
        <v>-1.1189357718570001</v>
      </c>
      <c r="AH2574">
        <v>12.420610166210899</v>
      </c>
      <c r="AI2574">
        <v>94.944011921117394</v>
      </c>
      <c r="AJ2574">
        <v>106.21345859244001</v>
      </c>
      <c r="AK2574">
        <v>12.983367888847701</v>
      </c>
      <c r="AL2574">
        <v>79.665495140182998</v>
      </c>
      <c r="AM2574">
        <v>101.42719572534</v>
      </c>
      <c r="AN2574">
        <v>0.99999999296816999</v>
      </c>
    </row>
    <row r="2575" spans="1:40" x14ac:dyDescent="0.25">
      <c r="A2575" t="str">
        <f>"20190312172420048"</f>
        <v>20190312172420048</v>
      </c>
      <c r="B2575" t="str">
        <f>"1552382660042638"</f>
        <v>1552382660042638</v>
      </c>
      <c r="C2575" t="s">
        <v>40</v>
      </c>
      <c r="D2575">
        <v>3.5273050000000001</v>
      </c>
      <c r="E2575">
        <v>0.47570489999999999</v>
      </c>
      <c r="F2575" t="s">
        <v>43</v>
      </c>
      <c r="G2575">
        <v>-490.2176</v>
      </c>
      <c r="H2575" s="1">
        <v>-2.7888529999999999E-6</v>
      </c>
      <c r="I2575">
        <v>265.95499999999998</v>
      </c>
      <c r="J2575">
        <v>-483.4853</v>
      </c>
      <c r="K2575">
        <v>1.1189439999999999</v>
      </c>
      <c r="L2575">
        <v>277.2561</v>
      </c>
      <c r="M2575">
        <v>-0.71556750000000002</v>
      </c>
      <c r="N2575">
        <v>0</v>
      </c>
      <c r="O2575">
        <v>-0.69838009999999995</v>
      </c>
      <c r="P2575">
        <v>-0.55873130000000004</v>
      </c>
      <c r="Q2575">
        <v>0.16891400000000001</v>
      </c>
      <c r="R2575">
        <v>-0.81196550000000001</v>
      </c>
      <c r="S2575">
        <v>-1.589661</v>
      </c>
      <c r="T2575">
        <v>-0.26088139999999999</v>
      </c>
      <c r="U2575">
        <v>-2.656342</v>
      </c>
      <c r="V2575">
        <v>-0.1944593</v>
      </c>
      <c r="W2575">
        <v>0.17966299999999999</v>
      </c>
      <c r="X2575">
        <v>0.96431670000000003</v>
      </c>
      <c r="Y2575">
        <v>-0.25631279999999901</v>
      </c>
      <c r="Z2575">
        <v>5.086305E-2</v>
      </c>
      <c r="AA2575">
        <v>0.96525470000000002</v>
      </c>
      <c r="AB2575">
        <v>25</v>
      </c>
      <c r="AC2575">
        <v>-6.7323000000000004</v>
      </c>
      <c r="AD2575">
        <v>-1.118946788853</v>
      </c>
      <c r="AE2575">
        <v>-11.3011</v>
      </c>
      <c r="AF2575">
        <v>-3.36106277831162</v>
      </c>
      <c r="AG2575">
        <v>-1.118946788853</v>
      </c>
      <c r="AH2575">
        <v>12.620016470164799</v>
      </c>
      <c r="AI2575">
        <v>94.8970233862252</v>
      </c>
      <c r="AJ2575">
        <v>104.91329561983</v>
      </c>
      <c r="AK2575">
        <v>13.1077687126096</v>
      </c>
      <c r="AL2575">
        <v>79.649868403627494</v>
      </c>
      <c r="AM2575">
        <v>101.401081711354</v>
      </c>
      <c r="AN2575">
        <v>0.999999955412189</v>
      </c>
    </row>
    <row r="2576" spans="1:40" x14ac:dyDescent="0.25">
      <c r="A2576" t="str">
        <f>"20190312172420059"</f>
        <v>20190312172420059</v>
      </c>
      <c r="B2576" t="str">
        <f>"1552382660052398"</f>
        <v>1552382660052398</v>
      </c>
      <c r="C2576" t="s">
        <v>40</v>
      </c>
      <c r="D2576">
        <v>3.423492</v>
      </c>
      <c r="E2576">
        <v>0.47646909999999998</v>
      </c>
      <c r="F2576" t="s">
        <v>43</v>
      </c>
      <c r="G2576">
        <v>-490.25099999999998</v>
      </c>
      <c r="H2576" s="1">
        <v>-2.74342E-6</v>
      </c>
      <c r="I2576">
        <v>265.82839999999999</v>
      </c>
      <c r="J2576">
        <v>-483.56849999999997</v>
      </c>
      <c r="K2576">
        <v>1.1189610000000001</v>
      </c>
      <c r="L2576">
        <v>277.16579999999999</v>
      </c>
      <c r="M2576">
        <v>-0.71114639999999996</v>
      </c>
      <c r="N2576">
        <v>0</v>
      </c>
      <c r="O2576">
        <v>-0.70288139999999999</v>
      </c>
      <c r="P2576">
        <v>-0.5540254</v>
      </c>
      <c r="Q2576">
        <v>0.1691077</v>
      </c>
      <c r="R2576">
        <v>-0.81514330000000002</v>
      </c>
      <c r="S2576">
        <v>-1.5770869999999999</v>
      </c>
      <c r="T2576">
        <v>-0.2608258</v>
      </c>
      <c r="U2576">
        <v>-2.6637879999999998</v>
      </c>
      <c r="V2576">
        <v>-0.1939313</v>
      </c>
      <c r="W2576">
        <v>0.17986839999999901</v>
      </c>
      <c r="X2576">
        <v>0.96438480000000004</v>
      </c>
      <c r="Y2576">
        <v>-0.25478050000000002</v>
      </c>
      <c r="Z2576">
        <v>5.1327060000000001E-2</v>
      </c>
      <c r="AA2576">
        <v>0.96563580000000004</v>
      </c>
      <c r="AB2576">
        <v>25</v>
      </c>
      <c r="AC2576">
        <v>-6.6825000000000001</v>
      </c>
      <c r="AD2576">
        <v>-1.1189637434199999</v>
      </c>
      <c r="AE2576">
        <v>-11.337400000000001</v>
      </c>
      <c r="AF2576">
        <v>-3.3417718273489001</v>
      </c>
      <c r="AG2576">
        <v>-1.1189637434199999</v>
      </c>
      <c r="AH2576">
        <v>12.6312209364061</v>
      </c>
      <c r="AI2576">
        <v>94.894904049372997</v>
      </c>
      <c r="AJ2576">
        <v>104.818906036171</v>
      </c>
      <c r="AK2576">
        <v>13.1136288322285</v>
      </c>
      <c r="AL2576">
        <v>79.637905598438294</v>
      </c>
      <c r="AM2576">
        <v>101.37015072825101</v>
      </c>
      <c r="AN2576">
        <v>1.0000000164546401</v>
      </c>
    </row>
    <row r="2577" spans="1:40" x14ac:dyDescent="0.25">
      <c r="A2577" t="str">
        <f>"20190312172420071"</f>
        <v>20190312172420071</v>
      </c>
      <c r="B2577" t="str">
        <f>"1552382660062159"</f>
        <v>1552382660062159</v>
      </c>
      <c r="C2577" t="s">
        <v>40</v>
      </c>
      <c r="D2577">
        <v>3.6189840000000002</v>
      </c>
      <c r="E2577">
        <v>0.47631990000000002</v>
      </c>
      <c r="F2577" t="s">
        <v>43</v>
      </c>
      <c r="G2577">
        <v>-490.30720000000002</v>
      </c>
      <c r="H2577" s="1">
        <v>-2.694345E-6</v>
      </c>
      <c r="I2577">
        <v>265.67919999999998</v>
      </c>
      <c r="J2577">
        <v>-483.65159999999997</v>
      </c>
      <c r="K2577">
        <v>1.1189720000000001</v>
      </c>
      <c r="L2577">
        <v>277.07389999999998</v>
      </c>
      <c r="M2577">
        <v>-0.70663830000000005</v>
      </c>
      <c r="N2577">
        <v>0</v>
      </c>
      <c r="O2577">
        <v>-0.70741350000000003</v>
      </c>
      <c r="P2577">
        <v>-0.54896590000000001</v>
      </c>
      <c r="Q2577">
        <v>0.16915520000000001</v>
      </c>
      <c r="R2577">
        <v>-0.81854979999999999</v>
      </c>
      <c r="S2577">
        <v>-1.5662229999999999</v>
      </c>
      <c r="T2577">
        <v>-0.26007219999999998</v>
      </c>
      <c r="U2577">
        <v>-2.6697389999999999</v>
      </c>
      <c r="V2577">
        <v>-0.1937372</v>
      </c>
      <c r="W2577">
        <v>0.179921</v>
      </c>
      <c r="X2577">
        <v>0.96441399999999999</v>
      </c>
      <c r="Y2577">
        <v>-0.25246770000000002</v>
      </c>
      <c r="Z2577">
        <v>5.1686120000000002E-2</v>
      </c>
      <c r="AA2577">
        <v>0.96622390000000002</v>
      </c>
      <c r="AB2577">
        <v>25</v>
      </c>
      <c r="AC2577">
        <v>-6.6556000000000397</v>
      </c>
      <c r="AD2577">
        <v>-1.1189746943450001</v>
      </c>
      <c r="AE2577">
        <v>-11.3947</v>
      </c>
      <c r="AF2577">
        <v>-3.3201788207735299</v>
      </c>
      <c r="AG2577">
        <v>-1.1189746943450001</v>
      </c>
      <c r="AH2577">
        <v>12.6741925176756</v>
      </c>
      <c r="AI2577">
        <v>94.881545252072002</v>
      </c>
      <c r="AJ2577">
        <v>104.6795551511</v>
      </c>
      <c r="AK2577">
        <v>13.149556940962</v>
      </c>
      <c r="AL2577">
        <v>79.634841855052201</v>
      </c>
      <c r="AM2577">
        <v>101.358731700372</v>
      </c>
      <c r="AN2577">
        <v>1.0000000161504099</v>
      </c>
    </row>
    <row r="2578" spans="1:40" x14ac:dyDescent="0.25">
      <c r="A2578" t="str">
        <f>"20190312172420085"</f>
        <v>20190312172420085</v>
      </c>
      <c r="B2578" t="str">
        <f>"1552382660072895"</f>
        <v>1552382660072895</v>
      </c>
      <c r="C2578" t="s">
        <v>40</v>
      </c>
      <c r="D2578">
        <v>3.4529190000000001</v>
      </c>
      <c r="E2578">
        <v>0.4770221</v>
      </c>
      <c r="F2578" t="s">
        <v>43</v>
      </c>
      <c r="G2578">
        <v>-490.19260000000003</v>
      </c>
      <c r="H2578" s="1">
        <v>-2.6951869999999999E-6</v>
      </c>
      <c r="I2578">
        <v>265.75220000000002</v>
      </c>
      <c r="J2578">
        <v>-483.74779999999998</v>
      </c>
      <c r="K2578">
        <v>1.118981</v>
      </c>
      <c r="L2578">
        <v>276.9665</v>
      </c>
      <c r="M2578">
        <v>-0.70134439999999998</v>
      </c>
      <c r="N2578">
        <v>0</v>
      </c>
      <c r="O2578">
        <v>-0.71266180000000001</v>
      </c>
      <c r="P2578">
        <v>-0.54295680000000002</v>
      </c>
      <c r="Q2578">
        <v>0.16932329999999901</v>
      </c>
      <c r="R2578">
        <v>-0.82251319999999895</v>
      </c>
      <c r="S2578">
        <v>-1.54895</v>
      </c>
      <c r="T2578">
        <v>-0.26497939999999998</v>
      </c>
      <c r="U2578">
        <v>-2.6810299999999998</v>
      </c>
      <c r="V2578">
        <v>-0.19359399999999999</v>
      </c>
      <c r="W2578">
        <v>0.18009259999999999</v>
      </c>
      <c r="X2578">
        <v>0.96441069999999995</v>
      </c>
      <c r="Y2578">
        <v>-0.25173069999999997</v>
      </c>
      <c r="Z2578">
        <v>5.3166209999999998E-2</v>
      </c>
      <c r="AA2578">
        <v>0.96633579999999997</v>
      </c>
      <c r="AB2578">
        <v>25</v>
      </c>
      <c r="AC2578">
        <v>-6.4448000000000398</v>
      </c>
      <c r="AD2578">
        <v>-1.118983695187</v>
      </c>
      <c r="AE2578">
        <v>-11.2142999999999</v>
      </c>
      <c r="AF2578">
        <v>-3.2481877533308001</v>
      </c>
      <c r="AG2578">
        <v>-1.118983695187</v>
      </c>
      <c r="AH2578">
        <v>12.4205006096846</v>
      </c>
      <c r="AI2578">
        <v>94.981336160360598</v>
      </c>
      <c r="AJ2578">
        <v>104.655667948504</v>
      </c>
      <c r="AK2578">
        <v>12.886880289121899</v>
      </c>
      <c r="AL2578">
        <v>79.624846355141301</v>
      </c>
      <c r="AM2578">
        <v>101.350591797425</v>
      </c>
      <c r="AN2578">
        <v>0.99999998984262495</v>
      </c>
    </row>
    <row r="2579" spans="1:40" x14ac:dyDescent="0.25">
      <c r="A2579" t="str">
        <f>"20190312172420099"</f>
        <v>20190312172420099</v>
      </c>
      <c r="B2579" t="str">
        <f>"1552382660092414"</f>
        <v>1552382660092414</v>
      </c>
      <c r="C2579" t="s">
        <v>40</v>
      </c>
      <c r="D2579">
        <v>3.4308890000000001</v>
      </c>
      <c r="E2579">
        <v>0.4783347</v>
      </c>
      <c r="F2579" t="s">
        <v>43</v>
      </c>
      <c r="G2579">
        <v>-490.23919999999998</v>
      </c>
      <c r="H2579" s="1">
        <v>-2.6374220000000001E-6</v>
      </c>
      <c r="I2579">
        <v>265.58870000000002</v>
      </c>
      <c r="J2579">
        <v>-483.84859999999998</v>
      </c>
      <c r="K2579">
        <v>1.1189990000000001</v>
      </c>
      <c r="L2579">
        <v>276.85210000000001</v>
      </c>
      <c r="M2579">
        <v>-0.69568050000000003</v>
      </c>
      <c r="N2579">
        <v>0</v>
      </c>
      <c r="O2579">
        <v>-0.71819189999999999</v>
      </c>
      <c r="P2579">
        <v>-0.53663930000000004</v>
      </c>
      <c r="Q2579">
        <v>0.16892279999999901</v>
      </c>
      <c r="R2579">
        <v>-0.82673069999999904</v>
      </c>
      <c r="S2579">
        <v>-1.5341800000000001</v>
      </c>
      <c r="T2579">
        <v>-0.26445930000000001</v>
      </c>
      <c r="U2579">
        <v>-2.6890260000000001</v>
      </c>
      <c r="V2579">
        <v>-0.1934012</v>
      </c>
      <c r="W2579">
        <v>0.1796982</v>
      </c>
      <c r="X2579">
        <v>0.96452300000000002</v>
      </c>
      <c r="Y2579">
        <v>-0.24932000000000001</v>
      </c>
      <c r="Z2579">
        <v>5.3676649999999999E-2</v>
      </c>
      <c r="AA2579">
        <v>0.96693249999999997</v>
      </c>
      <c r="AB2579">
        <v>24</v>
      </c>
      <c r="AC2579">
        <v>-6.3906000000000001</v>
      </c>
      <c r="AD2579">
        <v>-1.119001637422</v>
      </c>
      <c r="AE2579">
        <v>-11.263399999999899</v>
      </c>
      <c r="AF2579">
        <v>-3.2223625534856102</v>
      </c>
      <c r="AG2579">
        <v>-1.119001637422</v>
      </c>
      <c r="AH2579">
        <v>12.443623646396899</v>
      </c>
      <c r="AI2579">
        <v>94.975294914152101</v>
      </c>
      <c r="AJ2579">
        <v>104.51822258067899</v>
      </c>
      <c r="AK2579">
        <v>12.902695630906999</v>
      </c>
      <c r="AL2579">
        <v>79.647819135757004</v>
      </c>
      <c r="AM2579">
        <v>101.33829470476999</v>
      </c>
      <c r="AN2579">
        <v>1.00000004238683</v>
      </c>
    </row>
    <row r="2580" spans="1:40" x14ac:dyDescent="0.25">
      <c r="A2580" t="str">
        <f>"20190312172420115"</f>
        <v>20190312172420115</v>
      </c>
      <c r="B2580" t="str">
        <f>"1552382660112441"</f>
        <v>1552382660112441</v>
      </c>
      <c r="C2580" t="s">
        <v>40</v>
      </c>
      <c r="D2580">
        <v>3.549331</v>
      </c>
      <c r="E2580">
        <v>0.47854849999999999</v>
      </c>
      <c r="F2580" t="s">
        <v>43</v>
      </c>
      <c r="G2580">
        <v>-490.2038</v>
      </c>
      <c r="H2580" s="1">
        <v>-2.6322E-6</v>
      </c>
      <c r="I2580">
        <v>265.59840000000003</v>
      </c>
      <c r="J2580">
        <v>-483.964</v>
      </c>
      <c r="K2580">
        <v>1.1190100000000001</v>
      </c>
      <c r="L2580">
        <v>276.71839999999997</v>
      </c>
      <c r="M2580">
        <v>-0.68904129999999997</v>
      </c>
      <c r="N2580">
        <v>0</v>
      </c>
      <c r="O2580">
        <v>-0.72456369999999903</v>
      </c>
      <c r="P2580">
        <v>-0.52927429999999998</v>
      </c>
      <c r="Q2580">
        <v>0.1688007</v>
      </c>
      <c r="R2580">
        <v>-0.831489699999999</v>
      </c>
      <c r="S2580">
        <v>-1.5222169999999999</v>
      </c>
      <c r="T2580">
        <v>-0.26802680000000001</v>
      </c>
      <c r="U2580">
        <v>-2.6954959999999999</v>
      </c>
      <c r="V2580">
        <v>-0.19311139999999999</v>
      </c>
      <c r="W2580">
        <v>0.1795842</v>
      </c>
      <c r="X2580">
        <v>0.96460219999999997</v>
      </c>
      <c r="Y2580">
        <v>-0.24469740000000001</v>
      </c>
      <c r="Z2580">
        <v>5.516741E-2</v>
      </c>
      <c r="AA2580">
        <v>0.96802880000000002</v>
      </c>
      <c r="AB2580">
        <v>24</v>
      </c>
      <c r="AC2580">
        <v>-6.2397999999999998</v>
      </c>
      <c r="AD2580">
        <v>-1.1190126322</v>
      </c>
      <c r="AE2580">
        <v>-11.1199999999999</v>
      </c>
      <c r="AF2580">
        <v>-3.1173587653394499</v>
      </c>
      <c r="AG2580">
        <v>-1.1190126322</v>
      </c>
      <c r="AH2580">
        <v>12.2635980414593</v>
      </c>
      <c r="AI2580">
        <v>95.053763999216798</v>
      </c>
      <c r="AJ2580">
        <v>104.262295519178</v>
      </c>
      <c r="AK2580">
        <v>12.702989878975201</v>
      </c>
      <c r="AL2580">
        <v>79.654457912037998</v>
      </c>
      <c r="AM2580">
        <v>101.32083850965</v>
      </c>
      <c r="AN2580">
        <v>0.99999995097221805</v>
      </c>
    </row>
    <row r="2581" spans="1:40" x14ac:dyDescent="0.25">
      <c r="A2581" t="str">
        <f>"20190312172420129"</f>
        <v>20190312172420129</v>
      </c>
      <c r="B2581" t="str">
        <f>"1552382660122200"</f>
        <v>1552382660122200</v>
      </c>
      <c r="C2581" t="s">
        <v>40</v>
      </c>
      <c r="D2581">
        <v>3.3964370000000002</v>
      </c>
      <c r="E2581">
        <v>0.4634337</v>
      </c>
      <c r="F2581" t="s">
        <v>43</v>
      </c>
      <c r="G2581">
        <v>-490.2124</v>
      </c>
      <c r="H2581" s="1">
        <v>-2.5659880000000002E-6</v>
      </c>
      <c r="I2581">
        <v>265.43880000000001</v>
      </c>
      <c r="J2581">
        <v>-484.05399999999997</v>
      </c>
      <c r="K2581">
        <v>1.1190169999999999</v>
      </c>
      <c r="L2581">
        <v>276.61250000000001</v>
      </c>
      <c r="M2581">
        <v>-0.6837626</v>
      </c>
      <c r="N2581">
        <v>0</v>
      </c>
      <c r="O2581">
        <v>-0.72954719999999995</v>
      </c>
      <c r="P2581">
        <v>-0.52328839999999999</v>
      </c>
      <c r="Q2581">
        <v>0.16878889999999999</v>
      </c>
      <c r="R2581">
        <v>-0.83527220000000002</v>
      </c>
      <c r="S2581">
        <v>-1.4999690000000001</v>
      </c>
      <c r="T2581">
        <v>-0.268628599999999</v>
      </c>
      <c r="U2581">
        <v>-2.7077640000000001</v>
      </c>
      <c r="V2581">
        <v>-0.19304180000000001</v>
      </c>
      <c r="W2581">
        <v>0.17957619999999999</v>
      </c>
      <c r="X2581">
        <v>0.96461770000000002</v>
      </c>
      <c r="Y2581">
        <v>-0.2456151</v>
      </c>
      <c r="Z2581">
        <v>5.5752040000000003E-2</v>
      </c>
      <c r="AA2581">
        <v>0.96776280000000003</v>
      </c>
      <c r="AB2581">
        <v>24</v>
      </c>
      <c r="AC2581">
        <v>-6.1583999999999701</v>
      </c>
      <c r="AD2581">
        <v>-1.119019565988</v>
      </c>
      <c r="AE2581">
        <v>-11.173699999999901</v>
      </c>
      <c r="AF2581">
        <v>-3.1236466417869702</v>
      </c>
      <c r="AG2581">
        <v>-1.119019565988</v>
      </c>
      <c r="AH2581">
        <v>12.2696572649737</v>
      </c>
      <c r="AI2581">
        <v>95.050847748717104</v>
      </c>
      <c r="AJ2581">
        <v>104.283118144855</v>
      </c>
      <c r="AK2581">
        <v>12.7103840434399</v>
      </c>
      <c r="AL2581">
        <v>79.654924654949596</v>
      </c>
      <c r="AM2581">
        <v>101.316686484032</v>
      </c>
      <c r="AN2581">
        <v>1.00000002765348</v>
      </c>
    </row>
    <row r="2582" spans="1:40" x14ac:dyDescent="0.25">
      <c r="A2582" t="str">
        <f>"20190312172420139"</f>
        <v>20190312172420139</v>
      </c>
      <c r="B2582" t="str">
        <f>"1552382660132936"</f>
        <v>1552382660132936</v>
      </c>
      <c r="C2582" t="s">
        <v>40</v>
      </c>
      <c r="D2582">
        <v>3.4210150000000001</v>
      </c>
      <c r="E2582">
        <v>0.46250720000000001</v>
      </c>
      <c r="F2582" t="s">
        <v>43</v>
      </c>
      <c r="G2582">
        <v>-489.56869999999998</v>
      </c>
      <c r="H2582" s="1">
        <v>-2.5846729999999999E-6</v>
      </c>
      <c r="I2582">
        <v>265.4794</v>
      </c>
      <c r="J2582">
        <v>-484.13260000000002</v>
      </c>
      <c r="K2582">
        <v>1.119024</v>
      </c>
      <c r="L2582">
        <v>276.51900000000001</v>
      </c>
      <c r="M2582">
        <v>-0.67908169999999901</v>
      </c>
      <c r="N2582">
        <v>0</v>
      </c>
      <c r="O2582">
        <v>-0.73390630000000001</v>
      </c>
      <c r="P2582">
        <v>-0.51809380000000005</v>
      </c>
      <c r="Q2582">
        <v>0.1686494</v>
      </c>
      <c r="R2582">
        <v>-0.83853239999999996</v>
      </c>
      <c r="S2582">
        <v>-1.3791199999999999</v>
      </c>
      <c r="T2582">
        <v>-0.27984150000000002</v>
      </c>
      <c r="U2582">
        <v>-2.7841490000000002</v>
      </c>
      <c r="V2582">
        <v>-0.1928764</v>
      </c>
      <c r="W2582">
        <v>0.1794425</v>
      </c>
      <c r="X2582">
        <v>0.96467570000000002</v>
      </c>
      <c r="Y2582">
        <v>-0.28369889999999998</v>
      </c>
      <c r="Z2582">
        <v>5.7066970000000002E-2</v>
      </c>
      <c r="AA2582">
        <v>0.9572138</v>
      </c>
      <c r="AB2582">
        <v>24</v>
      </c>
      <c r="AC2582">
        <v>-5.43609999999995</v>
      </c>
      <c r="AD2582">
        <v>-1.1190265846729901</v>
      </c>
      <c r="AE2582">
        <v>-11.0396</v>
      </c>
      <c r="AF2582">
        <v>-3.4788362731501001</v>
      </c>
      <c r="AG2582">
        <v>-1.1190265846729901</v>
      </c>
      <c r="AH2582">
        <v>11.6982022437789</v>
      </c>
      <c r="AI2582">
        <v>95.2387758110834</v>
      </c>
      <c r="AJ2582">
        <v>106.56153698895901</v>
      </c>
      <c r="AK2582">
        <v>12.2557112420676</v>
      </c>
      <c r="AL2582">
        <v>79.662711941257697</v>
      </c>
      <c r="AM2582">
        <v>101.306577825829</v>
      </c>
      <c r="AN2582">
        <v>1.0000000613268401</v>
      </c>
    </row>
    <row r="2583" spans="1:40" x14ac:dyDescent="0.25">
      <c r="A2583" t="str">
        <f>"20190312172420150"</f>
        <v>20190312172420150</v>
      </c>
      <c r="B2583" t="str">
        <f>"1552382660142697"</f>
        <v>1552382660142697</v>
      </c>
      <c r="C2583" t="s">
        <v>40</v>
      </c>
      <c r="D2583">
        <v>3.3907919999999998</v>
      </c>
      <c r="E2583">
        <v>0.46246589999999999</v>
      </c>
      <c r="F2583" t="s">
        <v>43</v>
      </c>
      <c r="G2583">
        <v>-489.64190000000002</v>
      </c>
      <c r="H2583" s="1">
        <v>-2.4327169999999999E-6</v>
      </c>
      <c r="I2583">
        <v>265.15539999999999</v>
      </c>
      <c r="J2583">
        <v>-484.2029</v>
      </c>
      <c r="K2583">
        <v>1.119027</v>
      </c>
      <c r="L2583">
        <v>276.43369999999999</v>
      </c>
      <c r="M2583">
        <v>-0.67480909999999905</v>
      </c>
      <c r="N2583">
        <v>0</v>
      </c>
      <c r="O2583">
        <v>-0.73783669999999901</v>
      </c>
      <c r="P2583">
        <v>-0.51325449999999995</v>
      </c>
      <c r="Q2583">
        <v>0.1689088</v>
      </c>
      <c r="R2583">
        <v>-0.84145119999999896</v>
      </c>
      <c r="S2583">
        <v>-1.3553770000000001</v>
      </c>
      <c r="T2583">
        <v>-0.27529789999999998</v>
      </c>
      <c r="U2583">
        <v>-2.7956240000000001</v>
      </c>
      <c r="V2583">
        <v>-0.1928049</v>
      </c>
      <c r="W2583">
        <v>0.17970429999999901</v>
      </c>
      <c r="X2583">
        <v>0.96464119999999998</v>
      </c>
      <c r="Y2583">
        <v>-0.28622940000000002</v>
      </c>
      <c r="Z2583">
        <v>5.6469610000000003E-2</v>
      </c>
      <c r="AA2583">
        <v>0.9564956</v>
      </c>
      <c r="AB2583">
        <v>24</v>
      </c>
      <c r="AC2583">
        <v>-5.4390000000000196</v>
      </c>
      <c r="AD2583">
        <v>-1.1190294327169901</v>
      </c>
      <c r="AE2583">
        <v>-11.2783</v>
      </c>
      <c r="AF2583">
        <v>-3.5695091513042501</v>
      </c>
      <c r="AG2583">
        <v>-1.1190294327169901</v>
      </c>
      <c r="AH2583">
        <v>11.898176787741599</v>
      </c>
      <c r="AI2583">
        <v>95.147534185267503</v>
      </c>
      <c r="AJ2583">
        <v>106.699492143955</v>
      </c>
      <c r="AK2583">
        <v>12.472378815802699</v>
      </c>
      <c r="AL2583">
        <v>79.647463454667204</v>
      </c>
      <c r="AM2583">
        <v>101.30288816974</v>
      </c>
      <c r="AN2583">
        <v>1.00000000481997</v>
      </c>
    </row>
    <row r="2584" spans="1:40" x14ac:dyDescent="0.25">
      <c r="A2584" t="str">
        <f>"20190312172420160"</f>
        <v>20190312172420160</v>
      </c>
      <c r="B2584" t="str">
        <f>"1552382660152458"</f>
        <v>1552382660152458</v>
      </c>
      <c r="C2584" t="s">
        <v>40</v>
      </c>
      <c r="D2584">
        <v>3.3895110000000002</v>
      </c>
      <c r="E2584">
        <v>0.46254060000000002</v>
      </c>
      <c r="F2584" t="s">
        <v>43</v>
      </c>
      <c r="G2584">
        <v>-489.74310000000003</v>
      </c>
      <c r="H2584" s="1">
        <v>-2.2783260000000001E-6</v>
      </c>
      <c r="I2584">
        <v>264.8374</v>
      </c>
      <c r="J2584">
        <v>-484.27550000000002</v>
      </c>
      <c r="K2584">
        <v>1.119035</v>
      </c>
      <c r="L2584">
        <v>276.34539999999998</v>
      </c>
      <c r="M2584">
        <v>-0.67036300000000004</v>
      </c>
      <c r="N2584">
        <v>0</v>
      </c>
      <c r="O2584">
        <v>-0.74187860000000005</v>
      </c>
      <c r="P2584">
        <v>-0.50818160000000001</v>
      </c>
      <c r="Q2584">
        <v>0.16885240000000001</v>
      </c>
      <c r="R2584">
        <v>-0.84453559999999905</v>
      </c>
      <c r="S2584">
        <v>-1.3390500000000001</v>
      </c>
      <c r="T2584">
        <v>-0.27046599999999998</v>
      </c>
      <c r="U2584">
        <v>-2.8027950000000001</v>
      </c>
      <c r="V2584">
        <v>-0.19282070000000001</v>
      </c>
      <c r="W2584">
        <v>0.17964939999999999</v>
      </c>
      <c r="X2584">
        <v>0.96464819999999996</v>
      </c>
      <c r="Y2584">
        <v>-0.285937099999999</v>
      </c>
      <c r="Z2584">
        <v>5.591119E-2</v>
      </c>
      <c r="AA2584">
        <v>0.95661589999999996</v>
      </c>
      <c r="AB2584">
        <v>24</v>
      </c>
      <c r="AC2584">
        <v>-5.4676</v>
      </c>
      <c r="AD2584">
        <v>-1.1190372783260001</v>
      </c>
      <c r="AE2584">
        <v>-11.5079999999999</v>
      </c>
      <c r="AF2584">
        <v>-3.6306542152144901</v>
      </c>
      <c r="AG2584">
        <v>-1.1190372783260001</v>
      </c>
      <c r="AH2584">
        <v>12.110791056641499</v>
      </c>
      <c r="AI2584">
        <v>95.057975206540704</v>
      </c>
      <c r="AJ2584">
        <v>106.688032039281</v>
      </c>
      <c r="AK2584">
        <v>12.6927205310117</v>
      </c>
      <c r="AL2584">
        <v>79.650660348006497</v>
      </c>
      <c r="AM2584">
        <v>101.30371065841101</v>
      </c>
      <c r="AN2584">
        <v>0.99999993951604305</v>
      </c>
    </row>
    <row r="2585" spans="1:40" x14ac:dyDescent="0.25">
      <c r="A2585" t="str">
        <f>"20190312172420171"</f>
        <v>20190312172420171</v>
      </c>
      <c r="B2585" t="str">
        <f>"1552382660162217"</f>
        <v>1552382660162217</v>
      </c>
      <c r="C2585" t="s">
        <v>40</v>
      </c>
      <c r="D2585">
        <v>3.557709</v>
      </c>
      <c r="E2585">
        <v>0.46319189999999999</v>
      </c>
      <c r="F2585" t="s">
        <v>43</v>
      </c>
      <c r="G2585">
        <v>-489.77800000000002</v>
      </c>
      <c r="H2585" s="1">
        <v>-2.1892999999999999E-6</v>
      </c>
      <c r="I2585">
        <v>264.64429999999999</v>
      </c>
      <c r="J2585">
        <v>-484.3449</v>
      </c>
      <c r="K2585">
        <v>1.119035</v>
      </c>
      <c r="L2585">
        <v>276.25900000000001</v>
      </c>
      <c r="M2585">
        <v>-0.66601860000000002</v>
      </c>
      <c r="N2585">
        <v>0</v>
      </c>
      <c r="O2585">
        <v>-0.74578120000000003</v>
      </c>
      <c r="P2585">
        <v>-0.50317590000000001</v>
      </c>
      <c r="Q2585">
        <v>0.16891889999999901</v>
      </c>
      <c r="R2585">
        <v>-0.84751460000000001</v>
      </c>
      <c r="S2585">
        <v>-1.3217159999999999</v>
      </c>
      <c r="T2585">
        <v>-0.26879320000000001</v>
      </c>
      <c r="U2585">
        <v>-2.8106080000000002</v>
      </c>
      <c r="V2585">
        <v>-0.1928877</v>
      </c>
      <c r="W2585">
        <v>0.17971699999999999</v>
      </c>
      <c r="X2585">
        <v>0.96462230000000004</v>
      </c>
      <c r="Y2585">
        <v>-0.28619169999999999</v>
      </c>
      <c r="Z2585">
        <v>5.595704E-2</v>
      </c>
      <c r="AA2585">
        <v>0.95653710000000003</v>
      </c>
      <c r="AB2585">
        <v>24</v>
      </c>
      <c r="AC2585">
        <v>-5.43310000000002</v>
      </c>
      <c r="AD2585">
        <v>-1.1190371893</v>
      </c>
      <c r="AE2585">
        <v>-11.614699999999999</v>
      </c>
      <c r="AF2585">
        <v>-3.65627868052289</v>
      </c>
      <c r="AG2585">
        <v>-1.1190371893</v>
      </c>
      <c r="AH2585">
        <v>12.189146542630301</v>
      </c>
      <c r="AI2585">
        <v>95.025386784203306</v>
      </c>
      <c r="AJ2585">
        <v>106.697237712118</v>
      </c>
      <c r="AK2585">
        <v>12.774815515630699</v>
      </c>
      <c r="AL2585">
        <v>79.646723948827699</v>
      </c>
      <c r="AM2585">
        <v>101.307832999149</v>
      </c>
      <c r="AN2585">
        <v>1.00000002327878</v>
      </c>
    </row>
    <row r="2586" spans="1:40" x14ac:dyDescent="0.25">
      <c r="A2586" t="str">
        <f>"20190312172420181"</f>
        <v>20190312172420181</v>
      </c>
      <c r="B2586" t="str">
        <f>"1552382660172952"</f>
        <v>1552382660172952</v>
      </c>
      <c r="C2586" t="s">
        <v>40</v>
      </c>
      <c r="D2586">
        <v>3.5851500000000001</v>
      </c>
      <c r="E2586">
        <v>0.46353739999999999</v>
      </c>
      <c r="F2586" t="s">
        <v>43</v>
      </c>
      <c r="G2586">
        <v>-489.8657</v>
      </c>
      <c r="H2586" s="1">
        <v>-2.0670740000000002E-6</v>
      </c>
      <c r="I2586">
        <v>264.3956</v>
      </c>
      <c r="J2586">
        <v>-484.41759999999999</v>
      </c>
      <c r="K2586">
        <v>1.1190329999999999</v>
      </c>
      <c r="L2586">
        <v>276.16820000000001</v>
      </c>
      <c r="M2586">
        <v>-0.66143229999999997</v>
      </c>
      <c r="N2586">
        <v>0</v>
      </c>
      <c r="O2586">
        <v>-0.7498515</v>
      </c>
      <c r="P2586">
        <v>-0.49790780000000001</v>
      </c>
      <c r="Q2586">
        <v>0.1689667</v>
      </c>
      <c r="R2586">
        <v>-0.85061069999999905</v>
      </c>
      <c r="S2586">
        <v>-1.309998</v>
      </c>
      <c r="T2586">
        <v>-0.26553130000000003</v>
      </c>
      <c r="U2586">
        <v>-2.8150019999999998</v>
      </c>
      <c r="V2586">
        <v>-0.1929517</v>
      </c>
      <c r="W2586">
        <v>0.17976619999999999</v>
      </c>
      <c r="X2586">
        <v>0.96460029999999997</v>
      </c>
      <c r="Y2586">
        <v>-0.28414889999999998</v>
      </c>
      <c r="Z2586">
        <v>5.5764439999999998E-2</v>
      </c>
      <c r="AA2586">
        <v>0.95715709999999998</v>
      </c>
      <c r="AB2586">
        <v>24</v>
      </c>
      <c r="AC2586">
        <v>-5.4481000000000099</v>
      </c>
      <c r="AD2586">
        <v>-1.1190350670739999</v>
      </c>
      <c r="AE2586">
        <v>-11.772600000000001</v>
      </c>
      <c r="AF2586">
        <v>-3.6745929634081098</v>
      </c>
      <c r="AG2586">
        <v>-1.1190350670739999</v>
      </c>
      <c r="AH2586">
        <v>12.3408457196558</v>
      </c>
      <c r="AI2586">
        <v>94.966900097649003</v>
      </c>
      <c r="AJ2586">
        <v>106.58135270847001</v>
      </c>
      <c r="AK2586">
        <v>12.9248344671959</v>
      </c>
      <c r="AL2586">
        <v>79.643857998881799</v>
      </c>
      <c r="AM2586">
        <v>101.311739546764</v>
      </c>
      <c r="AN2586">
        <v>0.99999999197770995</v>
      </c>
    </row>
    <row r="2587" spans="1:40" x14ac:dyDescent="0.25">
      <c r="A2587" t="str">
        <f>"20190312172420192"</f>
        <v>20190312172420192</v>
      </c>
      <c r="B2587" t="str">
        <f>"1552382660182713"</f>
        <v>1552382660182713</v>
      </c>
      <c r="C2587" t="s">
        <v>40</v>
      </c>
      <c r="D2587">
        <v>3.410072</v>
      </c>
      <c r="E2587">
        <v>0.46376630000000002</v>
      </c>
      <c r="F2587" t="s">
        <v>43</v>
      </c>
      <c r="G2587">
        <v>-489.9384</v>
      </c>
      <c r="H2587" s="1">
        <v>-1.9431449999999998E-6</v>
      </c>
      <c r="I2587">
        <v>264.13679999999999</v>
      </c>
      <c r="J2587">
        <v>-484.4907</v>
      </c>
      <c r="K2587">
        <v>1.119032</v>
      </c>
      <c r="L2587">
        <v>276.07490000000001</v>
      </c>
      <c r="M2587">
        <v>-0.65672169999999996</v>
      </c>
      <c r="N2587">
        <v>0</v>
      </c>
      <c r="O2587">
        <v>-0.75398050000000005</v>
      </c>
      <c r="P2587">
        <v>-0.49259900000000001</v>
      </c>
      <c r="Q2587">
        <v>0.16879920000000001</v>
      </c>
      <c r="R2587">
        <v>-0.85372919999999997</v>
      </c>
      <c r="S2587">
        <v>-1.294586</v>
      </c>
      <c r="T2587">
        <v>-0.26240469999999999</v>
      </c>
      <c r="U2587">
        <v>-2.821259</v>
      </c>
      <c r="V2587">
        <v>-0.19293550000000001</v>
      </c>
      <c r="W2587">
        <v>0.17960299999999901</v>
      </c>
      <c r="X2587">
        <v>0.96463390000000004</v>
      </c>
      <c r="Y2587">
        <v>-0.28325440000000002</v>
      </c>
      <c r="Z2587">
        <v>5.5556889999999998E-2</v>
      </c>
      <c r="AA2587">
        <v>0.95743420000000001</v>
      </c>
      <c r="AB2587">
        <v>24</v>
      </c>
      <c r="AC2587">
        <v>-5.4476999999999904</v>
      </c>
      <c r="AD2587">
        <v>-1.119033943145</v>
      </c>
      <c r="AE2587">
        <v>-11.9381</v>
      </c>
      <c r="AF2587">
        <v>-3.7060282165295502</v>
      </c>
      <c r="AG2587">
        <v>-1.119033943145</v>
      </c>
      <c r="AH2587">
        <v>12.489339645296299</v>
      </c>
      <c r="AI2587">
        <v>94.909495850356095</v>
      </c>
      <c r="AJ2587">
        <v>106.52748280668</v>
      </c>
      <c r="AK2587">
        <v>13.075568319702001</v>
      </c>
      <c r="AL2587">
        <v>79.653362968348702</v>
      </c>
      <c r="AM2587">
        <v>101.31043048911</v>
      </c>
      <c r="AN2587">
        <v>0.99999995289922905</v>
      </c>
    </row>
    <row r="2588" spans="1:40" x14ac:dyDescent="0.25">
      <c r="A2588" t="str">
        <f>"20190312172420204"</f>
        <v>20190312172420204</v>
      </c>
      <c r="B2588" t="str">
        <f>"1552382660192472"</f>
        <v>1552382660192472</v>
      </c>
      <c r="C2588" t="s">
        <v>40</v>
      </c>
      <c r="D2588">
        <v>3.4079250000000001</v>
      </c>
      <c r="E2588">
        <v>0.4641363</v>
      </c>
      <c r="F2588" t="s">
        <v>43</v>
      </c>
      <c r="G2588">
        <v>-489.91890000000001</v>
      </c>
      <c r="H2588" s="1">
        <v>-1.9156389999999999E-6</v>
      </c>
      <c r="I2588">
        <v>264.06459999999998</v>
      </c>
      <c r="J2588">
        <v>-484.56380000000001</v>
      </c>
      <c r="K2588">
        <v>1.119027</v>
      </c>
      <c r="L2588">
        <v>275.9812</v>
      </c>
      <c r="M2588">
        <v>-0.65197459999999996</v>
      </c>
      <c r="N2588">
        <v>0</v>
      </c>
      <c r="O2588">
        <v>-0.75808889999999995</v>
      </c>
      <c r="P2588">
        <v>-0.48720930000000001</v>
      </c>
      <c r="Q2588">
        <v>0.1688036</v>
      </c>
      <c r="R2588">
        <v>-0.8568152</v>
      </c>
      <c r="S2588">
        <v>-1.278351</v>
      </c>
      <c r="T2588">
        <v>-0.26353690000000002</v>
      </c>
      <c r="U2588">
        <v>-2.8284609999999999</v>
      </c>
      <c r="V2588">
        <v>-0.1929555</v>
      </c>
      <c r="W2588">
        <v>0.17961050000000001</v>
      </c>
      <c r="X2588">
        <v>0.96462859999999995</v>
      </c>
      <c r="Y2588">
        <v>-0.28272540000000002</v>
      </c>
      <c r="Z2588">
        <v>5.6219230000000002E-2</v>
      </c>
      <c r="AA2588">
        <v>0.95755199999999996</v>
      </c>
      <c r="AB2588">
        <v>24</v>
      </c>
      <c r="AC2588">
        <v>-5.3550999999999904</v>
      </c>
      <c r="AD2588">
        <v>-1.1190289156389901</v>
      </c>
      <c r="AE2588">
        <v>-11.916600000000001</v>
      </c>
      <c r="AF2588">
        <v>-3.6830847175447201</v>
      </c>
      <c r="AG2588">
        <v>-1.1190289156389901</v>
      </c>
      <c r="AH2588">
        <v>12.435440527695301</v>
      </c>
      <c r="AI2588">
        <v>94.931395693719097</v>
      </c>
      <c r="AJ2588">
        <v>106.498049044997</v>
      </c>
      <c r="AK2588">
        <v>13.0175850244388</v>
      </c>
      <c r="AL2588">
        <v>79.652927123818202</v>
      </c>
      <c r="AM2588">
        <v>101.31163326629201</v>
      </c>
      <c r="AN2588">
        <v>1.00000004631422</v>
      </c>
    </row>
    <row r="2589" spans="1:40" x14ac:dyDescent="0.25">
      <c r="A2589" t="str">
        <f>"20190312172420215"</f>
        <v>20190312172420215</v>
      </c>
      <c r="B2589" t="str">
        <f>"1552382660212390"</f>
        <v>1552382660212390</v>
      </c>
      <c r="C2589" t="s">
        <v>40</v>
      </c>
      <c r="D2589">
        <v>3.4119480000000002</v>
      </c>
      <c r="E2589">
        <v>0.46505390000000002</v>
      </c>
      <c r="F2589" t="s">
        <v>43</v>
      </c>
      <c r="G2589">
        <v>-489.91050000000001</v>
      </c>
      <c r="H2589" s="1">
        <v>-1.8806090000000001E-6</v>
      </c>
      <c r="I2589">
        <v>263.97949999999997</v>
      </c>
      <c r="J2589">
        <v>-484.63400000000001</v>
      </c>
      <c r="K2589">
        <v>1.1190199999999999</v>
      </c>
      <c r="L2589">
        <v>275.88940000000002</v>
      </c>
      <c r="M2589">
        <v>-0.64732559999999995</v>
      </c>
      <c r="N2589">
        <v>0</v>
      </c>
      <c r="O2589">
        <v>-0.76206240000000003</v>
      </c>
      <c r="P2589">
        <v>-0.4820198</v>
      </c>
      <c r="Q2589">
        <v>0.16871529999999901</v>
      </c>
      <c r="R2589">
        <v>-0.85976269999999999</v>
      </c>
      <c r="S2589">
        <v>-1.2630920000000001</v>
      </c>
      <c r="T2589">
        <v>-0.26435799999999998</v>
      </c>
      <c r="U2589">
        <v>-2.8352659999999998</v>
      </c>
      <c r="V2589">
        <v>-0.1928945</v>
      </c>
      <c r="W2589">
        <v>0.17952839999999901</v>
      </c>
      <c r="X2589">
        <v>0.96465610000000002</v>
      </c>
      <c r="Y2589">
        <v>-0.28202519999999998</v>
      </c>
      <c r="Z2589">
        <v>5.6808320000000002E-2</v>
      </c>
      <c r="AA2589">
        <v>0.95772360000000001</v>
      </c>
      <c r="AB2589">
        <v>24</v>
      </c>
      <c r="AC2589">
        <v>-5.2764999999999898</v>
      </c>
      <c r="AD2589">
        <v>-1.119021880609</v>
      </c>
      <c r="AE2589">
        <v>-11.9099</v>
      </c>
      <c r="AF2589">
        <v>-3.6619624997096301</v>
      </c>
      <c r="AG2589">
        <v>-1.119021880609</v>
      </c>
      <c r="AH2589">
        <v>12.4016221852618</v>
      </c>
      <c r="AI2589">
        <v>94.945944136765107</v>
      </c>
      <c r="AJ2589">
        <v>106.450865438873</v>
      </c>
      <c r="AK2589">
        <v>12.9793070748996</v>
      </c>
      <c r="AL2589">
        <v>79.657709005780006</v>
      </c>
      <c r="AM2589">
        <v>101.30783535717001</v>
      </c>
      <c r="AN2589">
        <v>1.0000000629020001</v>
      </c>
    </row>
    <row r="2590" spans="1:40" x14ac:dyDescent="0.25">
      <c r="A2590" t="str">
        <f>"20190312172420238"</f>
        <v>20190312172420238</v>
      </c>
      <c r="B2590" t="str">
        <f>"1552382660232889"</f>
        <v>1552382660232889</v>
      </c>
      <c r="C2590" t="s">
        <v>40</v>
      </c>
      <c r="D2590">
        <v>3.5871719999999998</v>
      </c>
      <c r="E2590">
        <v>0.46581840000000002</v>
      </c>
      <c r="F2590" t="s">
        <v>43</v>
      </c>
      <c r="G2590">
        <v>-489.90260000000001</v>
      </c>
      <c r="H2590" s="1">
        <v>-1.867289E-6</v>
      </c>
      <c r="I2590">
        <v>263.9452</v>
      </c>
      <c r="J2590">
        <v>-484.7792</v>
      </c>
      <c r="K2590">
        <v>1.119005</v>
      </c>
      <c r="L2590">
        <v>275.69650000000001</v>
      </c>
      <c r="M2590">
        <v>-0.63752989999999998</v>
      </c>
      <c r="N2590">
        <v>0</v>
      </c>
      <c r="O2590">
        <v>-0.77027619999999997</v>
      </c>
      <c r="P2590">
        <v>-0.47127259999999999</v>
      </c>
      <c r="Q2590">
        <v>0.16874239999999999</v>
      </c>
      <c r="R2590">
        <v>-0.86569529999999995</v>
      </c>
      <c r="S2590">
        <v>-1.2524409999999999</v>
      </c>
      <c r="T2590">
        <v>-0.26601449999999999</v>
      </c>
      <c r="U2590">
        <v>-2.8393860000000002</v>
      </c>
      <c r="V2590">
        <v>-0.19256719999999999</v>
      </c>
      <c r="W2590">
        <v>0.17957290000000001</v>
      </c>
      <c r="X2590">
        <v>0.96471320000000005</v>
      </c>
      <c r="Y2590">
        <v>-0.27330300000000002</v>
      </c>
      <c r="Z2590">
        <v>5.8245869999999998E-2</v>
      </c>
      <c r="AA2590">
        <v>0.96016290000000004</v>
      </c>
      <c r="AB2590">
        <v>24</v>
      </c>
      <c r="AC2590">
        <v>-5.1234000000000002</v>
      </c>
      <c r="AD2590">
        <v>-1.1190068672889999</v>
      </c>
      <c r="AE2590">
        <v>-11.751300000000001</v>
      </c>
      <c r="AF2590">
        <v>-3.5189680351486499</v>
      </c>
      <c r="AG2590">
        <v>-1.1190068672889999</v>
      </c>
      <c r="AH2590">
        <v>12.226329156560601</v>
      </c>
      <c r="AI2590">
        <v>95.026446583552499</v>
      </c>
      <c r="AJ2590">
        <v>106.05681605599</v>
      </c>
      <c r="AK2590">
        <v>12.771782845241299</v>
      </c>
      <c r="AL2590">
        <v>79.6551171475611</v>
      </c>
      <c r="AM2590">
        <v>101.28849053298801</v>
      </c>
      <c r="AN2590">
        <v>1.0000000555922399</v>
      </c>
    </row>
    <row r="2591" spans="1:40" x14ac:dyDescent="0.25">
      <c r="A2591" t="str">
        <f>"20190312172420249"</f>
        <v>20190312172420249</v>
      </c>
      <c r="B2591" t="str">
        <f>"1552382660242646"</f>
        <v>1552382660242646</v>
      </c>
      <c r="C2591" t="s">
        <v>40</v>
      </c>
      <c r="D2591">
        <v>3.4377110000000002</v>
      </c>
      <c r="E2591">
        <v>0.46581840000000002</v>
      </c>
      <c r="F2591" t="s">
        <v>43</v>
      </c>
      <c r="G2591">
        <v>-489.85160000000002</v>
      </c>
      <c r="H2591" s="1">
        <v>-1.839964E-6</v>
      </c>
      <c r="I2591">
        <v>263.86040000000003</v>
      </c>
      <c r="J2591">
        <v>-484.85</v>
      </c>
      <c r="K2591">
        <v>1.118995</v>
      </c>
      <c r="L2591">
        <v>275.6001</v>
      </c>
      <c r="M2591">
        <v>-0.63263419999999904</v>
      </c>
      <c r="N2591">
        <v>0</v>
      </c>
      <c r="O2591">
        <v>-0.77430189999999999</v>
      </c>
      <c r="P2591">
        <v>-0.46605439999999998</v>
      </c>
      <c r="Q2591">
        <v>0.16867739999999901</v>
      </c>
      <c r="R2591">
        <v>-0.86852819999999997</v>
      </c>
      <c r="S2591">
        <v>-1.2224729999999999</v>
      </c>
      <c r="T2591">
        <v>-0.2696848</v>
      </c>
      <c r="U2591">
        <v>-2.8525390000000002</v>
      </c>
      <c r="V2591">
        <v>-0.1922585</v>
      </c>
      <c r="W2591">
        <v>0.1795204</v>
      </c>
      <c r="X2591">
        <v>0.96478439999999999</v>
      </c>
      <c r="Y2591">
        <v>-0.2773523</v>
      </c>
      <c r="Z2591">
        <v>5.9331889999999998E-2</v>
      </c>
      <c r="AA2591">
        <v>0.95893450000000002</v>
      </c>
      <c r="AB2591">
        <v>24</v>
      </c>
      <c r="AC2591">
        <v>-5.0015999999999901</v>
      </c>
      <c r="AD2591">
        <v>-1.118996839964</v>
      </c>
      <c r="AE2591">
        <v>-11.7396999999999</v>
      </c>
      <c r="AF2591">
        <v>-3.52747211282272</v>
      </c>
      <c r="AG2591">
        <v>-1.118996839964</v>
      </c>
      <c r="AH2591">
        <v>12.162145525009199</v>
      </c>
      <c r="AI2591">
        <v>95.0498183788322</v>
      </c>
      <c r="AJ2591">
        <v>106.174114097844</v>
      </c>
      <c r="AK2591">
        <v>12.7127100653674</v>
      </c>
      <c r="AL2591">
        <v>79.658173465042594</v>
      </c>
      <c r="AM2591">
        <v>101.270047326313</v>
      </c>
      <c r="AN2591">
        <v>0.99999992166088103</v>
      </c>
    </row>
    <row r="2592" spans="1:40" x14ac:dyDescent="0.25">
      <c r="A2592" t="str">
        <f>"20190312172420261"</f>
        <v>20190312172420261</v>
      </c>
      <c r="B2592" t="str">
        <f>"1552382660252406"</f>
        <v>1552382660252406</v>
      </c>
      <c r="C2592" t="s">
        <v>40</v>
      </c>
      <c r="D2592">
        <v>3.3811909999999998</v>
      </c>
      <c r="E2592">
        <v>0.4752942</v>
      </c>
      <c r="F2592" t="s">
        <v>43</v>
      </c>
      <c r="G2592">
        <v>-489.84609999999998</v>
      </c>
      <c r="H2592" s="1">
        <v>-1.787928E-6</v>
      </c>
      <c r="I2592">
        <v>263.73680000000002</v>
      </c>
      <c r="J2592">
        <v>-484.923</v>
      </c>
      <c r="K2592">
        <v>1.118986</v>
      </c>
      <c r="L2592">
        <v>275.50020000000001</v>
      </c>
      <c r="M2592">
        <v>-0.627546099999999</v>
      </c>
      <c r="N2592">
        <v>0</v>
      </c>
      <c r="O2592">
        <v>-0.7784316</v>
      </c>
      <c r="P2592">
        <v>-0.46074209999999899</v>
      </c>
      <c r="Q2592">
        <v>0.16868250000000001</v>
      </c>
      <c r="R2592">
        <v>-0.8713571</v>
      </c>
      <c r="S2592">
        <v>-1.2044979999999901</v>
      </c>
      <c r="T2592">
        <v>-0.26977800000000002</v>
      </c>
      <c r="U2592">
        <v>-2.8601070000000002</v>
      </c>
      <c r="V2592">
        <v>-0.19181980000000001</v>
      </c>
      <c r="W2592">
        <v>0.17954149999999999</v>
      </c>
      <c r="X2592">
        <v>0.9648679</v>
      </c>
      <c r="Y2592">
        <v>-0.27708959999999999</v>
      </c>
      <c r="Z2592">
        <v>5.978058E-2</v>
      </c>
      <c r="AA2592">
        <v>0.95898260000000002</v>
      </c>
      <c r="AB2592">
        <v>24</v>
      </c>
      <c r="AC2592">
        <v>-4.9230999999999696</v>
      </c>
      <c r="AD2592">
        <v>-1.1189877879279999</v>
      </c>
      <c r="AE2592">
        <v>-11.763399999999899</v>
      </c>
      <c r="AF2592">
        <v>-3.5230601124093202</v>
      </c>
      <c r="AG2592">
        <v>-1.1189877879279999</v>
      </c>
      <c r="AH2592">
        <v>12.154295680373799</v>
      </c>
      <c r="AI2592">
        <v>95.053258462776697</v>
      </c>
      <c r="AJ2592">
        <v>106.164829030295</v>
      </c>
      <c r="AK2592">
        <v>12.7039753506977</v>
      </c>
      <c r="AL2592">
        <v>79.656945639508905</v>
      </c>
      <c r="AM2592">
        <v>101.244038738008</v>
      </c>
      <c r="AN2592">
        <v>1.00000002517234</v>
      </c>
    </row>
    <row r="2593" spans="1:40" x14ac:dyDescent="0.25">
      <c r="A2593" t="str">
        <f>"20190312172420271"</f>
        <v>20190312172420271</v>
      </c>
      <c r="B2593" t="str">
        <f>"1552382660263142"</f>
        <v>1552382660263142</v>
      </c>
      <c r="C2593" t="s">
        <v>40</v>
      </c>
      <c r="D2593">
        <v>3.3762850000000002</v>
      </c>
      <c r="E2593">
        <v>0.47620210000000002</v>
      </c>
      <c r="F2593" t="s">
        <v>43</v>
      </c>
      <c r="G2593">
        <v>-489.71859999999998</v>
      </c>
      <c r="H2593" s="1">
        <v>-2.2111720000000002E-6</v>
      </c>
      <c r="I2593">
        <v>264.67070000000001</v>
      </c>
      <c r="J2593">
        <v>-484.98770000000002</v>
      </c>
      <c r="K2593">
        <v>1.118973</v>
      </c>
      <c r="L2593">
        <v>275.40949999999998</v>
      </c>
      <c r="M2593">
        <v>-0.62293489999999996</v>
      </c>
      <c r="N2593">
        <v>0</v>
      </c>
      <c r="O2593">
        <v>-0.78212660000000001</v>
      </c>
      <c r="P2593">
        <v>-0.45565119999999998</v>
      </c>
      <c r="Q2593">
        <v>0.1687284</v>
      </c>
      <c r="R2593">
        <v>-0.87402139999999995</v>
      </c>
      <c r="S2593">
        <v>-1.2557069999999999</v>
      </c>
      <c r="T2593">
        <v>-0.2930024</v>
      </c>
      <c r="U2593">
        <v>-2.8356629999999998</v>
      </c>
      <c r="V2593">
        <v>-0.19173699999999999</v>
      </c>
      <c r="W2593">
        <v>0.17959410000000001</v>
      </c>
      <c r="X2593">
        <v>0.96487460000000003</v>
      </c>
      <c r="Y2593">
        <v>-0.25400529999999999</v>
      </c>
      <c r="Z2593">
        <v>6.6058809999999996E-2</v>
      </c>
      <c r="AA2593">
        <v>0.96494429999999998</v>
      </c>
      <c r="AB2593">
        <v>24</v>
      </c>
      <c r="AC2593">
        <v>-4.7308999999999601</v>
      </c>
      <c r="AD2593">
        <v>-1.1189752111719999</v>
      </c>
      <c r="AE2593">
        <v>-10.7387999999999</v>
      </c>
      <c r="AF2593">
        <v>-2.9628143268447702</v>
      </c>
      <c r="AG2593">
        <v>-1.1189752111719999</v>
      </c>
      <c r="AH2593">
        <v>11.2451992601868</v>
      </c>
      <c r="AI2593">
        <v>95.496257909082004</v>
      </c>
      <c r="AJ2593">
        <v>104.760484254357</v>
      </c>
      <c r="AK2593">
        <v>11.682674379605</v>
      </c>
      <c r="AL2593">
        <v>79.653882405972396</v>
      </c>
      <c r="AM2593">
        <v>101.239232713273</v>
      </c>
      <c r="AN2593">
        <v>1.0000000558244799</v>
      </c>
    </row>
    <row r="2594" spans="1:40" x14ac:dyDescent="0.25">
      <c r="A2594" t="str">
        <f>"20190312172420283"</f>
        <v>20190312172420283</v>
      </c>
      <c r="B2594" t="str">
        <f>"1552382660272901"</f>
        <v>1552382660272901</v>
      </c>
      <c r="C2594" t="s">
        <v>40</v>
      </c>
      <c r="D2594">
        <v>3.422936</v>
      </c>
      <c r="E2594">
        <v>0.47669679999999998</v>
      </c>
      <c r="F2594" t="s">
        <v>43</v>
      </c>
      <c r="G2594">
        <v>-489.8057</v>
      </c>
      <c r="H2594" s="1">
        <v>-2.089068E-6</v>
      </c>
      <c r="I2594">
        <v>264.4221</v>
      </c>
      <c r="J2594">
        <v>-485.06</v>
      </c>
      <c r="K2594">
        <v>1.11896</v>
      </c>
      <c r="L2594">
        <v>275.30770000000001</v>
      </c>
      <c r="M2594">
        <v>-0.617745199999999</v>
      </c>
      <c r="N2594">
        <v>0</v>
      </c>
      <c r="O2594">
        <v>-0.78623209999999999</v>
      </c>
      <c r="P2594">
        <v>-0.45005729999999999</v>
      </c>
      <c r="Q2594">
        <v>0.168767</v>
      </c>
      <c r="R2594">
        <v>-0.87690749999999995</v>
      </c>
      <c r="S2594">
        <v>-1.2449950000000001</v>
      </c>
      <c r="T2594">
        <v>-0.28915190000000002</v>
      </c>
      <c r="U2594">
        <v>-2.8392330000000001</v>
      </c>
      <c r="V2594">
        <v>-0.19150610000000001</v>
      </c>
      <c r="W2594">
        <v>0.17964379999999999</v>
      </c>
      <c r="X2594">
        <v>0.96491119999999997</v>
      </c>
      <c r="Y2594">
        <v>-0.2510868</v>
      </c>
      <c r="Z2594">
        <v>6.5749929999999998E-2</v>
      </c>
      <c r="AA2594">
        <v>0.9657289</v>
      </c>
      <c r="AB2594">
        <v>24</v>
      </c>
      <c r="AC2594">
        <v>-4.7456999999999896</v>
      </c>
      <c r="AD2594">
        <v>-1.1189620890680001</v>
      </c>
      <c r="AE2594">
        <v>-10.8856</v>
      </c>
      <c r="AF2594">
        <v>-2.9673034721581901</v>
      </c>
      <c r="AG2594">
        <v>-1.1189620890680001</v>
      </c>
      <c r="AH2594">
        <v>11.3904290574051</v>
      </c>
      <c r="AI2594">
        <v>95.430460222267996</v>
      </c>
      <c r="AJ2594">
        <v>104.601502364239</v>
      </c>
      <c r="AK2594">
        <v>11.823655955939801</v>
      </c>
      <c r="AL2594">
        <v>79.650987693348</v>
      </c>
      <c r="AM2594">
        <v>101.225626768422</v>
      </c>
      <c r="AN2594">
        <v>1.0000000525505399</v>
      </c>
    </row>
    <row r="2595" spans="1:40" x14ac:dyDescent="0.25">
      <c r="A2595" t="str">
        <f>"20190312172420295"</f>
        <v>20190312172420295</v>
      </c>
      <c r="B2595" t="str">
        <f>"1552382660282661"</f>
        <v>1552382660282661</v>
      </c>
      <c r="C2595" t="s">
        <v>40</v>
      </c>
      <c r="D2595">
        <v>3.608117</v>
      </c>
      <c r="E2595">
        <v>0.47669679999999998</v>
      </c>
      <c r="F2595" t="s">
        <v>43</v>
      </c>
      <c r="G2595">
        <v>-489.8254</v>
      </c>
      <c r="H2595" s="1">
        <v>-2.0273640000000001E-6</v>
      </c>
      <c r="I2595">
        <v>264.28640000000001</v>
      </c>
      <c r="J2595">
        <v>-485.13159999999999</v>
      </c>
      <c r="K2595">
        <v>1.1189420000000001</v>
      </c>
      <c r="L2595">
        <v>275.20499999999998</v>
      </c>
      <c r="M2595">
        <v>-0.61251129999999998</v>
      </c>
      <c r="N2595">
        <v>0</v>
      </c>
      <c r="O2595">
        <v>-0.79031619999999903</v>
      </c>
      <c r="P2595">
        <v>-0.44434180000000001</v>
      </c>
      <c r="Q2595">
        <v>0.16891110000000001</v>
      </c>
      <c r="R2595">
        <v>-0.87978959999999995</v>
      </c>
      <c r="S2595">
        <v>-1.2302550000000001</v>
      </c>
      <c r="T2595">
        <v>-0.28887649999999998</v>
      </c>
      <c r="U2595">
        <v>-2.8453059999999999</v>
      </c>
      <c r="V2595">
        <v>-0.19135750000000001</v>
      </c>
      <c r="W2595">
        <v>0.17979619999999999</v>
      </c>
      <c r="X2595">
        <v>0.9649122</v>
      </c>
      <c r="Y2595">
        <v>-0.2496332</v>
      </c>
      <c r="Z2595">
        <v>6.6178210000000001E-2</v>
      </c>
      <c r="AA2595">
        <v>0.96607639999999995</v>
      </c>
      <c r="AB2595">
        <v>24</v>
      </c>
      <c r="AC2595">
        <v>-4.6938000000000004</v>
      </c>
      <c r="AD2595">
        <v>-1.1189440273639999</v>
      </c>
      <c r="AE2595">
        <v>-10.9185999999999</v>
      </c>
      <c r="AF2595">
        <v>-2.9523525537946398</v>
      </c>
      <c r="AG2595">
        <v>-1.1189440273639999</v>
      </c>
      <c r="AH2595">
        <v>11.4043865563556</v>
      </c>
      <c r="AI2595">
        <v>95.425904838170695</v>
      </c>
      <c r="AJ2595">
        <v>104.514021041094</v>
      </c>
      <c r="AK2595">
        <v>11.833361908817601</v>
      </c>
      <c r="AL2595">
        <v>79.642110320736904</v>
      </c>
      <c r="AM2595">
        <v>101.217125820026</v>
      </c>
      <c r="AN2595">
        <v>0.99999996002476399</v>
      </c>
    </row>
    <row r="2596" spans="1:40" x14ac:dyDescent="0.25">
      <c r="A2596" t="str">
        <f>"20190312172420308"</f>
        <v>20190312172420308</v>
      </c>
      <c r="B2596" t="str">
        <f>"1552382660302689"</f>
        <v>1552382660302689</v>
      </c>
      <c r="C2596" t="s">
        <v>40</v>
      </c>
      <c r="D2596">
        <v>3.2875610000000002</v>
      </c>
      <c r="E2596">
        <v>0.45412989999999998</v>
      </c>
      <c r="F2596" t="s">
        <v>43</v>
      </c>
      <c r="G2596">
        <v>-489.83269999999999</v>
      </c>
      <c r="H2596" s="1">
        <v>-1.9624399999999999E-6</v>
      </c>
      <c r="I2596">
        <v>264.13810000000001</v>
      </c>
      <c r="J2596">
        <v>-485.20499999999998</v>
      </c>
      <c r="K2596">
        <v>1.118927</v>
      </c>
      <c r="L2596">
        <v>275.09829999999999</v>
      </c>
      <c r="M2596">
        <v>-0.607074</v>
      </c>
      <c r="N2596">
        <v>0</v>
      </c>
      <c r="O2596">
        <v>-0.7945004</v>
      </c>
      <c r="P2596">
        <v>-0.43854959999999998</v>
      </c>
      <c r="Q2596">
        <v>0.16893159999999999</v>
      </c>
      <c r="R2596">
        <v>-0.88268719999999901</v>
      </c>
      <c r="S2596">
        <v>-1.2120059999999999</v>
      </c>
      <c r="T2596">
        <v>-0.2884758</v>
      </c>
      <c r="U2596">
        <v>-2.8531490000000002</v>
      </c>
      <c r="V2596">
        <v>-0.19106980000000001</v>
      </c>
      <c r="W2596">
        <v>0.17982909999999999</v>
      </c>
      <c r="X2596">
        <v>0.96496309999999996</v>
      </c>
      <c r="Y2596">
        <v>-0.24918470000000001</v>
      </c>
      <c r="Z2596">
        <v>6.6550869999999998E-2</v>
      </c>
      <c r="AA2596">
        <v>0.96616659999999999</v>
      </c>
      <c r="AB2596">
        <v>24</v>
      </c>
      <c r="AC2596">
        <v>-4.6276999999999999</v>
      </c>
      <c r="AD2596">
        <v>-1.1189289624400001</v>
      </c>
      <c r="AE2596">
        <v>-10.960199999999899</v>
      </c>
      <c r="AF2596">
        <v>-2.95118118044235</v>
      </c>
      <c r="AG2596">
        <v>-1.1189289624400001</v>
      </c>
      <c r="AH2596">
        <v>11.417572115608801</v>
      </c>
      <c r="AI2596">
        <v>95.420128076432604</v>
      </c>
      <c r="AJ2596">
        <v>104.49245636598801</v>
      </c>
      <c r="AK2596">
        <v>11.8457766903615</v>
      </c>
      <c r="AL2596">
        <v>79.6401942550375</v>
      </c>
      <c r="AM2596">
        <v>101.20011204426601</v>
      </c>
      <c r="AN2596">
        <v>0.99999997902022897</v>
      </c>
    </row>
    <row r="2597" spans="1:40" x14ac:dyDescent="0.25">
      <c r="A2597" t="str">
        <f>"20190312172420320"</f>
        <v>20190312172420320</v>
      </c>
      <c r="B2597" t="str">
        <f>"1552382660312449"</f>
        <v>1552382660312449</v>
      </c>
      <c r="C2597" t="s">
        <v>40</v>
      </c>
      <c r="D2597">
        <v>3.2514289999999999</v>
      </c>
      <c r="E2597">
        <v>0.44764860000000001</v>
      </c>
      <c r="F2597" t="s">
        <v>43</v>
      </c>
      <c r="G2597">
        <v>-490.26889999999997</v>
      </c>
      <c r="H2597" s="1">
        <v>-5.3399409999999998E-7</v>
      </c>
      <c r="I2597">
        <v>260.6671</v>
      </c>
      <c r="J2597">
        <v>-485.2801</v>
      </c>
      <c r="K2597">
        <v>1.1189100000000001</v>
      </c>
      <c r="L2597">
        <v>274.98779999999999</v>
      </c>
      <c r="M2597">
        <v>-0.60142989999999996</v>
      </c>
      <c r="N2597">
        <v>0</v>
      </c>
      <c r="O2597">
        <v>-0.79878159999999998</v>
      </c>
      <c r="P2597">
        <v>-0.4324537</v>
      </c>
      <c r="Q2597">
        <v>0.1689377</v>
      </c>
      <c r="R2597">
        <v>-0.88568880000000005</v>
      </c>
      <c r="S2597">
        <v>-1.028564</v>
      </c>
      <c r="T2597">
        <v>-0.22727220000000001</v>
      </c>
      <c r="U2597">
        <v>-2.9312130000000001</v>
      </c>
      <c r="V2597">
        <v>-0.19087870000000001</v>
      </c>
      <c r="W2597">
        <v>0.179845</v>
      </c>
      <c r="X2597">
        <v>0.96499800000000002</v>
      </c>
      <c r="Y2597">
        <v>-0.30356139999999998</v>
      </c>
      <c r="Z2597">
        <v>5.1489779999999999E-2</v>
      </c>
      <c r="AA2597">
        <v>0.95141969999999998</v>
      </c>
      <c r="AB2597">
        <v>24</v>
      </c>
      <c r="AC2597">
        <v>-4.9887999999999604</v>
      </c>
      <c r="AD2597">
        <v>-1.1189105339940999</v>
      </c>
      <c r="AE2597">
        <v>-14.320699999999899</v>
      </c>
      <c r="AF2597">
        <v>-4.6034069318305502</v>
      </c>
      <c r="AG2597">
        <v>-1.1189105339940999</v>
      </c>
      <c r="AH2597">
        <v>14.3629939987584</v>
      </c>
      <c r="AI2597">
        <v>94.242725537712701</v>
      </c>
      <c r="AJ2597">
        <v>107.77089834905399</v>
      </c>
      <c r="AK2597">
        <v>15.124116925344</v>
      </c>
      <c r="AL2597">
        <v>79.639268593837201</v>
      </c>
      <c r="AM2597">
        <v>101.18879848409399</v>
      </c>
      <c r="AN2597">
        <v>1.00000002107134</v>
      </c>
    </row>
    <row r="2598" spans="1:40" x14ac:dyDescent="0.25">
      <c r="A2598" t="str">
        <f>"20190312172420339"</f>
        <v>20190312172420339</v>
      </c>
      <c r="B2598" t="str">
        <f>"1552382660332944"</f>
        <v>1552382660332944</v>
      </c>
      <c r="C2598" t="s">
        <v>40</v>
      </c>
      <c r="D2598">
        <v>3.2773140000000001</v>
      </c>
      <c r="E2598">
        <v>0.44025570000000003</v>
      </c>
      <c r="F2598" t="s">
        <v>43</v>
      </c>
      <c r="G2598">
        <v>-490.15679999999998</v>
      </c>
      <c r="H2598" s="1">
        <v>-2.0575700000000001E-7</v>
      </c>
      <c r="I2598">
        <v>259.97149999999999</v>
      </c>
      <c r="J2598">
        <v>-485.39190000000002</v>
      </c>
      <c r="K2598">
        <v>1.1188910000000001</v>
      </c>
      <c r="L2598">
        <v>274.81950000000001</v>
      </c>
      <c r="M2598">
        <v>-0.5928409</v>
      </c>
      <c r="N2598">
        <v>0</v>
      </c>
      <c r="O2598">
        <v>-0.80517669999999997</v>
      </c>
      <c r="P2598">
        <v>-0.4233285</v>
      </c>
      <c r="Q2598">
        <v>0.168848</v>
      </c>
      <c r="R2598">
        <v>-0.89010330000000004</v>
      </c>
      <c r="S2598">
        <v>-0.96124270000000001</v>
      </c>
      <c r="T2598">
        <v>-0.22054650000000001</v>
      </c>
      <c r="U2598">
        <v>-2.9598390000000001</v>
      </c>
      <c r="V2598">
        <v>-0.19045790000000001</v>
      </c>
      <c r="W2598">
        <v>0.17977319999999999</v>
      </c>
      <c r="X2598">
        <v>0.96509449999999997</v>
      </c>
      <c r="Y2598">
        <v>-0.31562079999999998</v>
      </c>
      <c r="Z2598">
        <v>5.0156840000000001E-2</v>
      </c>
      <c r="AA2598">
        <v>0.94755889999999998</v>
      </c>
      <c r="AB2598">
        <v>24</v>
      </c>
      <c r="AC2598">
        <v>-4.7648999999999502</v>
      </c>
      <c r="AD2598">
        <v>-1.118891205757</v>
      </c>
      <c r="AE2598">
        <v>-14.848000000000001</v>
      </c>
      <c r="AF2598">
        <v>-4.9410483903547497</v>
      </c>
      <c r="AG2598">
        <v>-1.118891205757</v>
      </c>
      <c r="AH2598">
        <v>14.7060798958669</v>
      </c>
      <c r="AI2598">
        <v>94.125121157493297</v>
      </c>
      <c r="AJ2598">
        <v>108.571667754825</v>
      </c>
      <c r="AK2598">
        <v>15.554249021722899</v>
      </c>
      <c r="AL2598">
        <v>79.643450417596299</v>
      </c>
      <c r="AM2598">
        <v>101.16366432347699</v>
      </c>
      <c r="AN2598">
        <v>1.00000000452045</v>
      </c>
    </row>
    <row r="2599" spans="1:40" x14ac:dyDescent="0.25">
      <c r="A2599" t="str">
        <f>"20190312172420351"</f>
        <v>20190312172420351</v>
      </c>
      <c r="B2599" t="str">
        <f>"1552382660342704"</f>
        <v>1552382660342704</v>
      </c>
      <c r="C2599" t="s">
        <v>40</v>
      </c>
      <c r="D2599">
        <v>3.2685949999999999</v>
      </c>
      <c r="E2599">
        <v>0.43864789999999998</v>
      </c>
      <c r="F2599" t="s">
        <v>43</v>
      </c>
      <c r="G2599">
        <v>-490.02569999999997</v>
      </c>
      <c r="H2599" s="1">
        <v>-4.0453379999999998E-6</v>
      </c>
      <c r="I2599">
        <v>259.00299999999999</v>
      </c>
      <c r="J2599">
        <v>-485.45760000000001</v>
      </c>
      <c r="K2599">
        <v>1.118876</v>
      </c>
      <c r="L2599">
        <v>274.71850000000001</v>
      </c>
      <c r="M2599">
        <v>-0.58768419999999999</v>
      </c>
      <c r="N2599">
        <v>0</v>
      </c>
      <c r="O2599">
        <v>-0.80894809999999995</v>
      </c>
      <c r="P2599">
        <v>-0.41799350000000002</v>
      </c>
      <c r="Q2599">
        <v>0.16881309999999999</v>
      </c>
      <c r="R2599">
        <v>-0.89262750000000002</v>
      </c>
      <c r="S2599">
        <v>-0.87698359999999997</v>
      </c>
      <c r="T2599">
        <v>-0.21175930000000001</v>
      </c>
      <c r="U2599">
        <v>-2.9934080000000001</v>
      </c>
      <c r="V2599">
        <v>-0.1900647</v>
      </c>
      <c r="W2599">
        <v>0.17975169999999999</v>
      </c>
      <c r="X2599">
        <v>0.96517600000000003</v>
      </c>
      <c r="Y2599">
        <v>-0.33693040000000002</v>
      </c>
      <c r="Z2599">
        <v>4.7905620000000003E-2</v>
      </c>
      <c r="AA2599">
        <v>0.94031010000000004</v>
      </c>
      <c r="AB2599">
        <v>24</v>
      </c>
      <c r="AC2599">
        <v>-4.5680999999999496</v>
      </c>
      <c r="AD2599">
        <v>-1.1188800453379999</v>
      </c>
      <c r="AE2599">
        <v>-15.7155</v>
      </c>
      <c r="AF2599">
        <v>-5.51525514035706</v>
      </c>
      <c r="AG2599">
        <v>-1.1188800453379999</v>
      </c>
      <c r="AH2599">
        <v>15.327755823594</v>
      </c>
      <c r="AI2599">
        <v>93.929238437414099</v>
      </c>
      <c r="AJ2599">
        <v>109.789818779828</v>
      </c>
      <c r="AK2599">
        <v>16.328197402249</v>
      </c>
      <c r="AL2599">
        <v>79.644702496913894</v>
      </c>
      <c r="AM2599">
        <v>101.140276879905</v>
      </c>
      <c r="AN2599">
        <v>0.99999998740748997</v>
      </c>
    </row>
    <row r="2600" spans="1:40" x14ac:dyDescent="0.25">
      <c r="A2600" t="str">
        <f>"20190312172420362"</f>
        <v>20190312172420362</v>
      </c>
      <c r="B2600" t="str">
        <f>"1552382660352465"</f>
        <v>1552382660352465</v>
      </c>
      <c r="C2600" t="s">
        <v>40</v>
      </c>
      <c r="D2600">
        <v>3.3026689999999999</v>
      </c>
      <c r="E2600">
        <v>0.43751469999999998</v>
      </c>
      <c r="F2600" t="s">
        <v>43</v>
      </c>
      <c r="G2600">
        <v>-489.92860000000002</v>
      </c>
      <c r="H2600" s="1">
        <v>-3.9730860000000002E-6</v>
      </c>
      <c r="I2600">
        <v>258.8646</v>
      </c>
      <c r="J2600">
        <v>-485.52080000000001</v>
      </c>
      <c r="K2600">
        <v>1.1188610000000001</v>
      </c>
      <c r="L2600">
        <v>274.62079999999997</v>
      </c>
      <c r="M2600">
        <v>-0.58268330000000002</v>
      </c>
      <c r="N2600">
        <v>0</v>
      </c>
      <c r="O2600">
        <v>-0.81255759999999999</v>
      </c>
      <c r="P2600">
        <v>-0.41267799999999999</v>
      </c>
      <c r="Q2600">
        <v>0.16879920000000001</v>
      </c>
      <c r="R2600">
        <v>-0.8950998</v>
      </c>
      <c r="S2600">
        <v>-0.84722900000000001</v>
      </c>
      <c r="T2600">
        <v>-0.21201909999999999</v>
      </c>
      <c r="U2600">
        <v>-3.004181</v>
      </c>
      <c r="V2600">
        <v>-0.18984580000000001</v>
      </c>
      <c r="W2600">
        <v>0.17974699999999999</v>
      </c>
      <c r="X2600">
        <v>0.96521999999999997</v>
      </c>
      <c r="Y2600">
        <v>-0.34063549999999998</v>
      </c>
      <c r="Z2600">
        <v>4.8154570000000001E-2</v>
      </c>
      <c r="AA2600">
        <v>0.93896139999999995</v>
      </c>
      <c r="AB2600">
        <v>24</v>
      </c>
      <c r="AC2600">
        <v>-4.4077999999999999</v>
      </c>
      <c r="AD2600">
        <v>-1.1188649730859901</v>
      </c>
      <c r="AE2600">
        <v>-15.7561999999999</v>
      </c>
      <c r="AF2600">
        <v>-5.5738615065090302</v>
      </c>
      <c r="AG2600">
        <v>-1.1188649730859901</v>
      </c>
      <c r="AH2600">
        <v>15.3013837258045</v>
      </c>
      <c r="AI2600">
        <v>93.930351269045701</v>
      </c>
      <c r="AJ2600">
        <v>110.015252181455</v>
      </c>
      <c r="AK2600">
        <v>16.3233616282326</v>
      </c>
      <c r="AL2600">
        <v>79.644976692670298</v>
      </c>
      <c r="AM2600">
        <v>101.127272265409</v>
      </c>
      <c r="AN2600">
        <v>1.0000000300933101</v>
      </c>
    </row>
    <row r="2601" spans="1:40" x14ac:dyDescent="0.25">
      <c r="A2601" t="str">
        <f>"20190312172420372"</f>
        <v>20190312172420372</v>
      </c>
      <c r="B2601" t="str">
        <f>"1552382660362225"</f>
        <v>1552382660362225</v>
      </c>
      <c r="C2601" t="s">
        <v>40</v>
      </c>
      <c r="D2601">
        <v>3.2758120000000002</v>
      </c>
      <c r="E2601">
        <v>0.43659530000000002</v>
      </c>
      <c r="F2601" t="s">
        <v>43</v>
      </c>
      <c r="G2601">
        <v>-489.8526</v>
      </c>
      <c r="H2601" s="1">
        <v>-3.9278010000000001E-6</v>
      </c>
      <c r="I2601">
        <v>258.7276</v>
      </c>
      <c r="J2601">
        <v>-485.58479999999997</v>
      </c>
      <c r="K2601">
        <v>1.1188480000000001</v>
      </c>
      <c r="L2601">
        <v>274.51940000000002</v>
      </c>
      <c r="M2601">
        <v>-0.57751070000000004</v>
      </c>
      <c r="N2601">
        <v>0</v>
      </c>
      <c r="O2601">
        <v>-0.81624229999999998</v>
      </c>
      <c r="P2601">
        <v>-0.40727809999999998</v>
      </c>
      <c r="Q2601">
        <v>0.1691366</v>
      </c>
      <c r="R2601">
        <v>-0.89750649999999998</v>
      </c>
      <c r="S2601">
        <v>-0.82119750000000002</v>
      </c>
      <c r="T2601">
        <v>-0.21211050000000001</v>
      </c>
      <c r="U2601">
        <v>-3.0129700000000001</v>
      </c>
      <c r="V2601">
        <v>-0.18949289999999999</v>
      </c>
      <c r="W2601">
        <v>0.18009549999999999</v>
      </c>
      <c r="X2601">
        <v>0.96522439999999998</v>
      </c>
      <c r="Y2601">
        <v>-0.34291480000000002</v>
      </c>
      <c r="Z2601">
        <v>4.8414039999999998E-2</v>
      </c>
      <c r="AA2601">
        <v>0.93811809999999995</v>
      </c>
      <c r="AB2601">
        <v>24</v>
      </c>
      <c r="AC2601">
        <v>-4.2678000000000198</v>
      </c>
      <c r="AD2601">
        <v>-1.1188519278010001</v>
      </c>
      <c r="AE2601">
        <v>-15.7918</v>
      </c>
      <c r="AF2601">
        <v>-5.6107749715841999</v>
      </c>
      <c r="AG2601">
        <v>-1.1188519278010001</v>
      </c>
      <c r="AH2601">
        <v>15.2848967460521</v>
      </c>
      <c r="AI2601">
        <v>93.930981005467601</v>
      </c>
      <c r="AJ2601">
        <v>110.15716000794001</v>
      </c>
      <c r="AK2601">
        <v>16.320560466956199</v>
      </c>
      <c r="AL2601">
        <v>79.624678017337104</v>
      </c>
      <c r="AM2601">
        <v>101.10705344879599</v>
      </c>
      <c r="AN2601">
        <v>1.000000045313</v>
      </c>
    </row>
    <row r="2602" spans="1:40" x14ac:dyDescent="0.25">
      <c r="A2602" t="str">
        <f>"20190312172420383"</f>
        <v>20190312172420383</v>
      </c>
      <c r="B2602" t="str">
        <f>"1552382660372962"</f>
        <v>1552382660372962</v>
      </c>
      <c r="C2602" t="s">
        <v>40</v>
      </c>
      <c r="D2602">
        <v>3.2725599999999999</v>
      </c>
      <c r="E2602">
        <v>0.43602170000000001</v>
      </c>
      <c r="F2602" t="s">
        <v>43</v>
      </c>
      <c r="G2602">
        <v>-489.84289999999999</v>
      </c>
      <c r="H2602" s="1">
        <v>-3.7751990000000001E-6</v>
      </c>
      <c r="I2602">
        <v>258.36790000000002</v>
      </c>
      <c r="J2602">
        <v>-485.64280000000002</v>
      </c>
      <c r="K2602">
        <v>1.1188370000000001</v>
      </c>
      <c r="L2602">
        <v>274.4271</v>
      </c>
      <c r="M2602">
        <v>-0.57278459999999998</v>
      </c>
      <c r="N2602">
        <v>0</v>
      </c>
      <c r="O2602">
        <v>-0.81956580000000001</v>
      </c>
      <c r="P2602">
        <v>-0.40241369999999999</v>
      </c>
      <c r="Q2602">
        <v>0.168966899999999</v>
      </c>
      <c r="R2602">
        <v>-0.89972980000000002</v>
      </c>
      <c r="S2602">
        <v>-0.79635619999999996</v>
      </c>
      <c r="T2602">
        <v>-0.20924760000000001</v>
      </c>
      <c r="U2602">
        <v>-3.0206599999999999</v>
      </c>
      <c r="V2602">
        <v>-0.18914909999999999</v>
      </c>
      <c r="W2602">
        <v>0.1799374</v>
      </c>
      <c r="X2602">
        <v>0.96532130000000005</v>
      </c>
      <c r="Y2602">
        <v>-0.3452828</v>
      </c>
      <c r="Z2602">
        <v>4.7975900000000002E-2</v>
      </c>
      <c r="AA2602">
        <v>0.93727169999999904</v>
      </c>
      <c r="AB2602">
        <v>24</v>
      </c>
      <c r="AC2602">
        <v>-4.20009999999996</v>
      </c>
      <c r="AD2602">
        <v>-1.1188407751989999</v>
      </c>
      <c r="AE2602">
        <v>-16.059199999999901</v>
      </c>
      <c r="AF2602">
        <v>-5.7308295224655001</v>
      </c>
      <c r="AG2602">
        <v>-1.1188407751989999</v>
      </c>
      <c r="AH2602">
        <v>15.4986995194265</v>
      </c>
      <c r="AI2602">
        <v>93.873520013022997</v>
      </c>
      <c r="AJ2602">
        <v>110.29247643296701</v>
      </c>
      <c r="AK2602">
        <v>16.5621224029193</v>
      </c>
      <c r="AL2602">
        <v>79.633886770932705</v>
      </c>
      <c r="AM2602">
        <v>101.086316110868</v>
      </c>
      <c r="AN2602">
        <v>1.0000000310916199</v>
      </c>
    </row>
    <row r="2603" spans="1:40" x14ac:dyDescent="0.25">
      <c r="A2603" t="str">
        <f>"20190312172420394"</f>
        <v>20190312172420394</v>
      </c>
      <c r="B2603" t="str">
        <f>"1552382660382721"</f>
        <v>1552382660382721</v>
      </c>
      <c r="C2603" t="s">
        <v>40</v>
      </c>
      <c r="D2603">
        <v>3.2360449999999998</v>
      </c>
      <c r="E2603">
        <v>0.43564520000000001</v>
      </c>
      <c r="F2603" t="s">
        <v>43</v>
      </c>
      <c r="G2603">
        <v>-489.7878</v>
      </c>
      <c r="H2603" s="1">
        <v>-3.7287110000000001E-6</v>
      </c>
      <c r="I2603">
        <v>258.23680000000002</v>
      </c>
      <c r="J2603">
        <v>-485.70479999999998</v>
      </c>
      <c r="K2603">
        <v>1.1188209999999901</v>
      </c>
      <c r="L2603">
        <v>274.32650000000001</v>
      </c>
      <c r="M2603">
        <v>-0.56763819999999998</v>
      </c>
      <c r="N2603">
        <v>0</v>
      </c>
      <c r="O2603">
        <v>-0.82313860000000005</v>
      </c>
      <c r="P2603">
        <v>-0.3972366</v>
      </c>
      <c r="Q2603">
        <v>0.16881559999999901</v>
      </c>
      <c r="R2603">
        <v>-0.90205619999999997</v>
      </c>
      <c r="S2603">
        <v>-0.77496339999999997</v>
      </c>
      <c r="T2603">
        <v>-0.20918229999999999</v>
      </c>
      <c r="U2603">
        <v>-3.0270079999999999</v>
      </c>
      <c r="V2603">
        <v>-0.1886544</v>
      </c>
      <c r="W2603">
        <v>0.1798014</v>
      </c>
      <c r="X2603">
        <v>0.96544339999999995</v>
      </c>
      <c r="Y2603">
        <v>-0.34609459999999997</v>
      </c>
      <c r="Z2603">
        <v>4.8232049999999999E-2</v>
      </c>
      <c r="AA2603">
        <v>0.93695899999999999</v>
      </c>
      <c r="AB2603">
        <v>24</v>
      </c>
      <c r="AC2603">
        <v>-4.0830000000000197</v>
      </c>
      <c r="AD2603">
        <v>-1.11882472871099</v>
      </c>
      <c r="AE2603">
        <v>-16.089699999999901</v>
      </c>
      <c r="AF2603">
        <v>-5.7468098796071301</v>
      </c>
      <c r="AG2603">
        <v>-1.11882472871099</v>
      </c>
      <c r="AH2603">
        <v>15.4931252706574</v>
      </c>
      <c r="AI2603">
        <v>93.873389245378306</v>
      </c>
      <c r="AJ2603">
        <v>110.351149214263</v>
      </c>
      <c r="AK2603">
        <v>16.5624431536597</v>
      </c>
      <c r="AL2603">
        <v>79.641807785306497</v>
      </c>
      <c r="AM2603">
        <v>101.056672517531</v>
      </c>
      <c r="AN2603">
        <v>0.99999999234243997</v>
      </c>
    </row>
    <row r="2604" spans="1:40" x14ac:dyDescent="0.25">
      <c r="A2604" t="str">
        <f>"20190312172420405"</f>
        <v>20190312172420405</v>
      </c>
      <c r="B2604" t="str">
        <f>"1552382660402678"</f>
        <v>1552382660402678</v>
      </c>
      <c r="C2604" t="s">
        <v>40</v>
      </c>
      <c r="D2604">
        <v>3.2674609999999999</v>
      </c>
      <c r="E2604">
        <v>0.43518370000000001</v>
      </c>
      <c r="F2604" t="s">
        <v>43</v>
      </c>
      <c r="G2604">
        <v>-489.74799999999999</v>
      </c>
      <c r="H2604" s="1">
        <v>-3.671152E-6</v>
      </c>
      <c r="I2604">
        <v>258.08620000000002</v>
      </c>
      <c r="J2604">
        <v>-485.76240000000001</v>
      </c>
      <c r="K2604">
        <v>1.118808</v>
      </c>
      <c r="L2604">
        <v>274.2321</v>
      </c>
      <c r="M2604">
        <v>-0.56280830000000004</v>
      </c>
      <c r="N2604">
        <v>0</v>
      </c>
      <c r="O2604">
        <v>-0.82644839999999997</v>
      </c>
      <c r="P2604">
        <v>-0.39248919999999998</v>
      </c>
      <c r="Q2604">
        <v>0.16857929999999999</v>
      </c>
      <c r="R2604">
        <v>-0.90417570000000003</v>
      </c>
      <c r="S2604">
        <v>-0.75494380000000005</v>
      </c>
      <c r="T2604">
        <v>-0.2089057</v>
      </c>
      <c r="U2604">
        <v>-3.0323790000000002</v>
      </c>
      <c r="V2604">
        <v>-0.18808939999999999</v>
      </c>
      <c r="W2604">
        <v>0.17958180000000001</v>
      </c>
      <c r="X2604">
        <v>0.96559450000000002</v>
      </c>
      <c r="Y2604">
        <v>-0.34681600000000001</v>
      </c>
      <c r="Z2604">
        <v>4.8427020000000001E-2</v>
      </c>
      <c r="AA2604">
        <v>0.93668220000000002</v>
      </c>
      <c r="AB2604">
        <v>24</v>
      </c>
      <c r="AC2604">
        <v>-3.98560000000003</v>
      </c>
      <c r="AD2604">
        <v>-1.118811671152</v>
      </c>
      <c r="AE2604">
        <v>-16.145899999999902</v>
      </c>
      <c r="AF2604">
        <v>-5.7677158467805896</v>
      </c>
      <c r="AG2604">
        <v>-1.118811671152</v>
      </c>
      <c r="AH2604">
        <v>15.518439437430301</v>
      </c>
      <c r="AI2604">
        <v>93.866111565035297</v>
      </c>
      <c r="AJ2604">
        <v>110.388516969577</v>
      </c>
      <c r="AK2604">
        <v>16.593379650267199</v>
      </c>
      <c r="AL2604">
        <v>79.654598122007897</v>
      </c>
      <c r="AM2604">
        <v>101.02268850200601</v>
      </c>
      <c r="AN2604">
        <v>0.99999999185692501</v>
      </c>
    </row>
    <row r="2605" spans="1:40" x14ac:dyDescent="0.25">
      <c r="A2605" t="str">
        <f>"20190312172420416"</f>
        <v>20190312172420416</v>
      </c>
      <c r="B2605" t="str">
        <f>"1552382660412437"</f>
        <v>1552382660412437</v>
      </c>
      <c r="C2605" t="s">
        <v>40</v>
      </c>
      <c r="D2605">
        <v>3.4062019999999902</v>
      </c>
      <c r="E2605">
        <v>0.43527919999999998</v>
      </c>
      <c r="F2605" t="s">
        <v>43</v>
      </c>
      <c r="G2605">
        <v>-489.6764</v>
      </c>
      <c r="H2605" s="1">
        <v>-3.6702839999999998E-6</v>
      </c>
      <c r="I2605">
        <v>258.05450000000002</v>
      </c>
      <c r="J2605">
        <v>-485.82350000000002</v>
      </c>
      <c r="K2605">
        <v>1.118792</v>
      </c>
      <c r="L2605">
        <v>274.13040000000001</v>
      </c>
      <c r="M2605">
        <v>-0.55759639999999999</v>
      </c>
      <c r="N2605">
        <v>0</v>
      </c>
      <c r="O2605">
        <v>-0.82997389999999904</v>
      </c>
      <c r="P2605">
        <v>-0.38708749999999997</v>
      </c>
      <c r="Q2605">
        <v>0.1683308</v>
      </c>
      <c r="R2605">
        <v>-0.90654760000000001</v>
      </c>
      <c r="S2605">
        <v>-0.73501590000000006</v>
      </c>
      <c r="T2605">
        <v>-0.2101054</v>
      </c>
      <c r="U2605">
        <v>-3.0380549999999999</v>
      </c>
      <c r="V2605">
        <v>-0.18778819999999999</v>
      </c>
      <c r="W2605">
        <v>0.179344</v>
      </c>
      <c r="X2605">
        <v>0.96569729999999998</v>
      </c>
      <c r="Y2605">
        <v>-0.34712500000000002</v>
      </c>
      <c r="Z2605">
        <v>4.8984630000000001E-2</v>
      </c>
      <c r="AA2605">
        <v>0.93653869999999895</v>
      </c>
      <c r="AB2605">
        <v>24</v>
      </c>
      <c r="AC2605">
        <v>-3.8528999999999698</v>
      </c>
      <c r="AD2605">
        <v>-1.1187956702840001</v>
      </c>
      <c r="AE2605">
        <v>-16.075899999999901</v>
      </c>
      <c r="AF2605">
        <v>-5.7404266067461398</v>
      </c>
      <c r="AG2605">
        <v>-1.1187956702840001</v>
      </c>
      <c r="AH2605">
        <v>15.4220812218425</v>
      </c>
      <c r="AI2605">
        <v>93.889437561619999</v>
      </c>
      <c r="AJ2605">
        <v>110.416336763589</v>
      </c>
      <c r="AK2605">
        <v>16.493780360863099</v>
      </c>
      <c r="AL2605">
        <v>79.668447756313299</v>
      </c>
      <c r="AM2605">
        <v>101.00432550093601</v>
      </c>
      <c r="AN2605">
        <v>0.99999997681126396</v>
      </c>
    </row>
    <row r="2606" spans="1:40" x14ac:dyDescent="0.25">
      <c r="A2606" t="str">
        <f>"20190312172420429"</f>
        <v>20190312172420429</v>
      </c>
      <c r="B2606" t="str">
        <f>"1552382660422197"</f>
        <v>1552382660422197</v>
      </c>
      <c r="C2606" t="s">
        <v>40</v>
      </c>
      <c r="D2606">
        <v>3.4340830000000002</v>
      </c>
      <c r="E2606">
        <v>0.43532660000000001</v>
      </c>
      <c r="F2606" t="s">
        <v>43</v>
      </c>
      <c r="G2606">
        <v>-489.65890000000002</v>
      </c>
      <c r="H2606" s="1">
        <v>-3.5925560000000002E-6</v>
      </c>
      <c r="I2606">
        <v>257.86610000000002</v>
      </c>
      <c r="J2606">
        <v>-485.88580000000002</v>
      </c>
      <c r="K2606">
        <v>1.118781</v>
      </c>
      <c r="L2606">
        <v>274.02510000000001</v>
      </c>
      <c r="M2606">
        <v>-0.55220219999999998</v>
      </c>
      <c r="N2606">
        <v>0</v>
      </c>
      <c r="O2606">
        <v>-0.83357239999999999</v>
      </c>
      <c r="P2606">
        <v>-0.38174249999999998</v>
      </c>
      <c r="Q2606">
        <v>0.16783239999999999</v>
      </c>
      <c r="R2606">
        <v>-0.90890309999999996</v>
      </c>
      <c r="S2606">
        <v>-0.717315699999999</v>
      </c>
      <c r="T2606">
        <v>-0.2092435</v>
      </c>
      <c r="U2606">
        <v>-3.0418400000000001</v>
      </c>
      <c r="V2606">
        <v>-0.1872463</v>
      </c>
      <c r="W2606">
        <v>0.178862299999999</v>
      </c>
      <c r="X2606">
        <v>0.96589190000000003</v>
      </c>
      <c r="Y2606">
        <v>-0.34646579999999999</v>
      </c>
      <c r="Z2606">
        <v>4.9109310000000003E-2</v>
      </c>
      <c r="AA2606">
        <v>0.93677619999999895</v>
      </c>
      <c r="AB2606">
        <v>24</v>
      </c>
      <c r="AC2606">
        <v>-3.7730999999999999</v>
      </c>
      <c r="AD2606">
        <v>-1.118784592556</v>
      </c>
      <c r="AE2606">
        <v>-16.158999999999899</v>
      </c>
      <c r="AF2606">
        <v>-5.7523981299859797</v>
      </c>
      <c r="AG2606">
        <v>-1.118784592556</v>
      </c>
      <c r="AH2606">
        <v>15.484608136393501</v>
      </c>
      <c r="AI2606">
        <v>93.874662655437206</v>
      </c>
      <c r="AJ2606">
        <v>110.37959650950199</v>
      </c>
      <c r="AK2606">
        <v>16.556414235820199</v>
      </c>
      <c r="AL2606">
        <v>79.696501305530205</v>
      </c>
      <c r="AM2606">
        <v>100.971185095666</v>
      </c>
      <c r="AN2606">
        <v>1.0000000308552901</v>
      </c>
    </row>
    <row r="2607" spans="1:40" x14ac:dyDescent="0.25">
      <c r="A2607" t="str">
        <f>"20190312172420439"</f>
        <v>20190312172420439</v>
      </c>
      <c r="B2607" t="str">
        <f>"1552382660432933"</f>
        <v>1552382660432933</v>
      </c>
      <c r="C2607" t="s">
        <v>40</v>
      </c>
      <c r="D2607">
        <v>3.2668080000000002</v>
      </c>
      <c r="E2607">
        <v>0.43552459999999998</v>
      </c>
      <c r="F2607" t="s">
        <v>43</v>
      </c>
      <c r="G2607">
        <v>-489.62299999999999</v>
      </c>
      <c r="H2607" s="1">
        <v>-3.5494650000000002E-6</v>
      </c>
      <c r="I2607">
        <v>257.75080000000003</v>
      </c>
      <c r="J2607">
        <v>-485.94510000000002</v>
      </c>
      <c r="K2607">
        <v>1.1187670000000001</v>
      </c>
      <c r="L2607">
        <v>273.92380000000003</v>
      </c>
      <c r="M2607">
        <v>-0.54700819999999895</v>
      </c>
      <c r="N2607">
        <v>0</v>
      </c>
      <c r="O2607">
        <v>-0.83699020000000002</v>
      </c>
      <c r="P2607">
        <v>-0.37637080000000001</v>
      </c>
      <c r="Q2607">
        <v>0.16766600000000001</v>
      </c>
      <c r="R2607">
        <v>-0.91117150000000002</v>
      </c>
      <c r="S2607">
        <v>-0.69937130000000003</v>
      </c>
      <c r="T2607">
        <v>-0.20937040000000001</v>
      </c>
      <c r="U2607">
        <v>-3.0455930000000002</v>
      </c>
      <c r="V2607">
        <v>-0.1869487</v>
      </c>
      <c r="W2607">
        <v>0.178706</v>
      </c>
      <c r="X2607">
        <v>0.96597840000000001</v>
      </c>
      <c r="Y2607">
        <v>-0.34612949999999998</v>
      </c>
      <c r="Z2607">
        <v>4.94425E-2</v>
      </c>
      <c r="AA2607">
        <v>0.93688300000000002</v>
      </c>
      <c r="AB2607">
        <v>24</v>
      </c>
      <c r="AC2607">
        <v>-3.6779000000000202</v>
      </c>
      <c r="AD2607">
        <v>-1.118770549465</v>
      </c>
      <c r="AE2607">
        <v>-16.172999999999998</v>
      </c>
      <c r="AF2607">
        <v>-5.7429294039940499</v>
      </c>
      <c r="AG2607">
        <v>-1.118770549465</v>
      </c>
      <c r="AH2607">
        <v>15.479836102961499</v>
      </c>
      <c r="AI2607">
        <v>93.876431804286199</v>
      </c>
      <c r="AJ2607">
        <v>110.354561666641</v>
      </c>
      <c r="AK2607">
        <v>16.5486619234354</v>
      </c>
      <c r="AL2607">
        <v>79.705602547081</v>
      </c>
      <c r="AM2607">
        <v>100.953212991149</v>
      </c>
      <c r="AN2607">
        <v>0.99999996006712399</v>
      </c>
    </row>
    <row r="2608" spans="1:40" x14ac:dyDescent="0.25">
      <c r="A2608" t="str">
        <f>"20190312172420462"</f>
        <v>20190312172420462</v>
      </c>
      <c r="B2608" t="str">
        <f>"1552382660452454"</f>
        <v>1552382660452454</v>
      </c>
      <c r="C2608" t="s">
        <v>40</v>
      </c>
      <c r="D2608">
        <v>3.3657560000000002</v>
      </c>
      <c r="E2608">
        <v>0.43577120000000003</v>
      </c>
      <c r="F2608" t="s">
        <v>43</v>
      </c>
      <c r="G2608">
        <v>-489.5693</v>
      </c>
      <c r="H2608" s="1">
        <v>-3.552092E-6</v>
      </c>
      <c r="I2608">
        <v>257.73469999999998</v>
      </c>
      <c r="J2608">
        <v>-486.0598</v>
      </c>
      <c r="K2608">
        <v>1.1187469999999999</v>
      </c>
      <c r="L2608">
        <v>273.72340000000003</v>
      </c>
      <c r="M2608">
        <v>-0.53671829999999998</v>
      </c>
      <c r="N2608">
        <v>0</v>
      </c>
      <c r="O2608">
        <v>-0.84362579999999998</v>
      </c>
      <c r="P2608">
        <v>-0.3663054</v>
      </c>
      <c r="Q2608">
        <v>0.1672409</v>
      </c>
      <c r="R2608">
        <v>-0.9153424</v>
      </c>
      <c r="S2608">
        <v>-0.68261719999999904</v>
      </c>
      <c r="T2608">
        <v>-0.21072270000000001</v>
      </c>
      <c r="U2608">
        <v>-3.049255</v>
      </c>
      <c r="V2608">
        <v>-0.18578639999999999</v>
      </c>
      <c r="W2608">
        <v>0.17831469999999999</v>
      </c>
      <c r="X2608">
        <v>0.96627490000000005</v>
      </c>
      <c r="Y2608">
        <v>-0.33978639999999999</v>
      </c>
      <c r="Z2608">
        <v>5.0458219999999998E-2</v>
      </c>
      <c r="AA2608">
        <v>0.93914810000000004</v>
      </c>
      <c r="AB2608">
        <v>24</v>
      </c>
      <c r="AC2608">
        <v>-3.5095000000000001</v>
      </c>
      <c r="AD2608">
        <v>-1.118750552092</v>
      </c>
      <c r="AE2608">
        <v>-15.9887</v>
      </c>
      <c r="AF2608">
        <v>-5.5952317514081704</v>
      </c>
      <c r="AG2608">
        <v>-1.118750552092</v>
      </c>
      <c r="AH2608">
        <v>15.3023764131666</v>
      </c>
      <c r="AI2608">
        <v>93.927964723862402</v>
      </c>
      <c r="AJ2608">
        <v>110.084667792121</v>
      </c>
      <c r="AK2608">
        <v>16.331593462978802</v>
      </c>
      <c r="AL2608">
        <v>79.728388272656801</v>
      </c>
      <c r="AM2608">
        <v>100.883485904233</v>
      </c>
      <c r="AN2608">
        <v>0.99999995051552804</v>
      </c>
    </row>
    <row r="2609" spans="1:40" x14ac:dyDescent="0.25">
      <c r="A2609" t="str">
        <f>"20190312172420472"</f>
        <v>20190312172420472</v>
      </c>
      <c r="B2609" t="str">
        <f>"1552382660462215"</f>
        <v>1552382660462215</v>
      </c>
      <c r="C2609" t="s">
        <v>40</v>
      </c>
      <c r="D2609">
        <v>3.4833609999999999</v>
      </c>
      <c r="E2609">
        <v>0.43588949999999999</v>
      </c>
      <c r="F2609" t="s">
        <v>43</v>
      </c>
      <c r="G2609">
        <v>-489.47899999999998</v>
      </c>
      <c r="H2609" s="1">
        <v>-3.5377110000000001E-6</v>
      </c>
      <c r="I2609">
        <v>257.66379999999998</v>
      </c>
      <c r="J2609">
        <v>-486.11869999999999</v>
      </c>
      <c r="K2609">
        <v>1.1187320000000001</v>
      </c>
      <c r="L2609">
        <v>273.61739999999998</v>
      </c>
      <c r="M2609">
        <v>-0.53128249999999999</v>
      </c>
      <c r="N2609">
        <v>0</v>
      </c>
      <c r="O2609">
        <v>-0.84705949999999997</v>
      </c>
      <c r="P2609">
        <v>-0.36064449999999998</v>
      </c>
      <c r="Q2609">
        <v>0.1671715</v>
      </c>
      <c r="R2609">
        <v>-0.91759990000000002</v>
      </c>
      <c r="S2609">
        <v>-0.6506653</v>
      </c>
      <c r="T2609">
        <v>-0.21288960000000001</v>
      </c>
      <c r="U2609">
        <v>-3.056</v>
      </c>
      <c r="V2609">
        <v>-0.1855406</v>
      </c>
      <c r="W2609">
        <v>0.17825369999999999</v>
      </c>
      <c r="X2609">
        <v>0.96633340000000001</v>
      </c>
      <c r="Y2609">
        <v>-0.3435571</v>
      </c>
      <c r="Z2609">
        <v>5.1201820000000002E-2</v>
      </c>
      <c r="AA2609">
        <v>0.93773499999999999</v>
      </c>
      <c r="AB2609">
        <v>24</v>
      </c>
      <c r="AC2609">
        <v>-3.3603000000000498</v>
      </c>
      <c r="AD2609">
        <v>-1.118735537711</v>
      </c>
      <c r="AE2609">
        <v>-15.9535999999999</v>
      </c>
      <c r="AF2609">
        <v>-5.60375401041924</v>
      </c>
      <c r="AG2609">
        <v>-1.118735537711</v>
      </c>
      <c r="AH2609">
        <v>15.2289638663435</v>
      </c>
      <c r="AI2609">
        <v>93.943834570229498</v>
      </c>
      <c r="AJ2609">
        <v>110.201942824266</v>
      </c>
      <c r="AK2609">
        <v>16.265760623316201</v>
      </c>
      <c r="AL2609">
        <v>79.731940401294395</v>
      </c>
      <c r="AM2609">
        <v>100.86878765396899</v>
      </c>
      <c r="AN2609">
        <v>0.99999996788380396</v>
      </c>
    </row>
    <row r="2610" spans="1:40" x14ac:dyDescent="0.25">
      <c r="A2610" t="str">
        <f>"20190312172420486"</f>
        <v>20190312172420486</v>
      </c>
      <c r="B2610" t="str">
        <f>"1552382660482710"</f>
        <v>1552382660482710</v>
      </c>
      <c r="C2610" t="s">
        <v>40</v>
      </c>
      <c r="D2610">
        <v>3.2608839999999999</v>
      </c>
      <c r="E2610">
        <v>0.43651600000000002</v>
      </c>
      <c r="F2610" t="s">
        <v>43</v>
      </c>
      <c r="G2610">
        <v>-489.45420000000001</v>
      </c>
      <c r="H2610" s="1">
        <v>-3.4697610000000002E-6</v>
      </c>
      <c r="I2610">
        <v>257.49520000000001</v>
      </c>
      <c r="J2610">
        <v>-486.18099999999998</v>
      </c>
      <c r="K2610">
        <v>1.1187180000000001</v>
      </c>
      <c r="L2610">
        <v>273.5043</v>
      </c>
      <c r="M2610">
        <v>-0.52547129999999997</v>
      </c>
      <c r="N2610">
        <v>0</v>
      </c>
      <c r="O2610">
        <v>-0.8506766</v>
      </c>
      <c r="P2610">
        <v>-0.35473949999999999</v>
      </c>
      <c r="Q2610">
        <v>0.1669358</v>
      </c>
      <c r="R2610">
        <v>-0.91994169999999997</v>
      </c>
      <c r="S2610">
        <v>-0.63293459999999901</v>
      </c>
      <c r="T2610">
        <v>-0.2122899</v>
      </c>
      <c r="U2610">
        <v>-3.059326</v>
      </c>
      <c r="V2610">
        <v>-0.1851469</v>
      </c>
      <c r="W2610">
        <v>0.17803079999999999</v>
      </c>
      <c r="X2610">
        <v>0.96645000000000003</v>
      </c>
      <c r="Y2610">
        <v>-0.34254259999999997</v>
      </c>
      <c r="Z2610">
        <v>5.139912E-2</v>
      </c>
      <c r="AA2610">
        <v>0.93809529999999997</v>
      </c>
      <c r="AB2610">
        <v>24</v>
      </c>
      <c r="AC2610">
        <v>-3.2732000000000299</v>
      </c>
      <c r="AD2610">
        <v>-1.118721469761</v>
      </c>
      <c r="AE2610">
        <v>-16.009099999999901</v>
      </c>
      <c r="AF2610">
        <v>-5.6022734738753996</v>
      </c>
      <c r="AG2610">
        <v>-1.118721469761</v>
      </c>
      <c r="AH2610">
        <v>15.2687284092178</v>
      </c>
      <c r="AI2610">
        <v>93.934886366524196</v>
      </c>
      <c r="AJ2610">
        <v>110.148672630063</v>
      </c>
      <c r="AK2610">
        <v>16.3024867133038</v>
      </c>
      <c r="AL2610">
        <v>79.744919267278704</v>
      </c>
      <c r="AM2610">
        <v>100.84499514637</v>
      </c>
      <c r="AN2610">
        <v>0.999999971414124</v>
      </c>
    </row>
    <row r="2611" spans="1:40" x14ac:dyDescent="0.25">
      <c r="A2611" t="str">
        <f>"20190312172420499"</f>
        <v>20190312172420499</v>
      </c>
      <c r="B2611" t="str">
        <f>"1552382660492470"</f>
        <v>1552382660492470</v>
      </c>
      <c r="C2611" t="s">
        <v>40</v>
      </c>
      <c r="D2611">
        <v>3.2746209999999998</v>
      </c>
      <c r="E2611">
        <v>0.43684319999999999</v>
      </c>
      <c r="F2611" t="s">
        <v>43</v>
      </c>
      <c r="G2611">
        <v>-489.40280000000001</v>
      </c>
      <c r="H2611" s="1">
        <v>-3.4937390000000001E-6</v>
      </c>
      <c r="I2611">
        <v>257.52980000000002</v>
      </c>
      <c r="J2611">
        <v>-486.24669999999998</v>
      </c>
      <c r="K2611">
        <v>1.1186969999999901</v>
      </c>
      <c r="L2611">
        <v>273.38319999999999</v>
      </c>
      <c r="M2611">
        <v>-0.51923850000000005</v>
      </c>
      <c r="N2611">
        <v>0</v>
      </c>
      <c r="O2611">
        <v>-0.85449529999999996</v>
      </c>
      <c r="P2611">
        <v>-0.3481863</v>
      </c>
      <c r="Q2611">
        <v>0.16659849999999901</v>
      </c>
      <c r="R2611">
        <v>-0.92250299999999996</v>
      </c>
      <c r="S2611">
        <v>-0.61752320000000005</v>
      </c>
      <c r="T2611">
        <v>-0.21442710000000001</v>
      </c>
      <c r="U2611">
        <v>-3.0618590000000001</v>
      </c>
      <c r="V2611">
        <v>-0.18497549999999999</v>
      </c>
      <c r="W2611">
        <v>0.177701</v>
      </c>
      <c r="X2611">
        <v>0.96654359999999995</v>
      </c>
      <c r="Y2611">
        <v>-0.34036929999999999</v>
      </c>
      <c r="Z2611">
        <v>5.2303479999999999E-2</v>
      </c>
      <c r="AA2611">
        <v>0.938836</v>
      </c>
      <c r="AB2611">
        <v>24</v>
      </c>
      <c r="AC2611">
        <v>-3.1561000000000301</v>
      </c>
      <c r="AD2611">
        <v>-1.1187004937389999</v>
      </c>
      <c r="AE2611">
        <v>-15.853399999999899</v>
      </c>
      <c r="AF2611">
        <v>-5.5090708548038299</v>
      </c>
      <c r="AG2611">
        <v>-1.1187004937389999</v>
      </c>
      <c r="AH2611">
        <v>15.114770388868401</v>
      </c>
      <c r="AI2611">
        <v>93.9778701574851</v>
      </c>
      <c r="AJ2611">
        <v>110.025918229418</v>
      </c>
      <c r="AK2611">
        <v>16.126302626025399</v>
      </c>
      <c r="AL2611">
        <v>79.764122475937</v>
      </c>
      <c r="AM2611">
        <v>100.83416869725799</v>
      </c>
      <c r="AN2611">
        <v>1.0000000558511</v>
      </c>
    </row>
    <row r="2612" spans="1:40" x14ac:dyDescent="0.25">
      <c r="A2612" t="str">
        <f>"20190312172420518"</f>
        <v>20190312172420518</v>
      </c>
      <c r="B2612" t="str">
        <f>"1552382660512965"</f>
        <v>1552382660512965</v>
      </c>
      <c r="C2612" t="s">
        <v>40</v>
      </c>
      <c r="D2612">
        <v>3.4312619999999998</v>
      </c>
      <c r="E2612">
        <v>0.43772240000000001</v>
      </c>
      <c r="F2612" t="s">
        <v>43</v>
      </c>
      <c r="G2612">
        <v>-489.34679999999997</v>
      </c>
      <c r="H2612" s="1">
        <v>-3.4828369999999999E-6</v>
      </c>
      <c r="I2612">
        <v>257.4812</v>
      </c>
      <c r="J2612">
        <v>-486.34089999999998</v>
      </c>
      <c r="K2612">
        <v>1.118671</v>
      </c>
      <c r="L2612">
        <v>273.20510000000002</v>
      </c>
      <c r="M2612">
        <v>-0.51007919999999995</v>
      </c>
      <c r="N2612">
        <v>0</v>
      </c>
      <c r="O2612">
        <v>-0.8599945</v>
      </c>
      <c r="P2612">
        <v>-0.33869329999999997</v>
      </c>
      <c r="Q2612">
        <v>0.16613</v>
      </c>
      <c r="R2612">
        <v>-0.92611460000000001</v>
      </c>
      <c r="S2612">
        <v>-0.59759519999999899</v>
      </c>
      <c r="T2612">
        <v>-0.2156507</v>
      </c>
      <c r="U2612">
        <v>-3.0653990000000002</v>
      </c>
      <c r="V2612">
        <v>-0.1845987</v>
      </c>
      <c r="W2612">
        <v>0.17724719999999999</v>
      </c>
      <c r="X2612">
        <v>0.96669890000000003</v>
      </c>
      <c r="Y2612">
        <v>-0.33641079999999901</v>
      </c>
      <c r="Z2612">
        <v>5.317272E-2</v>
      </c>
      <c r="AA2612">
        <v>0.94021299999999997</v>
      </c>
      <c r="AB2612">
        <v>24</v>
      </c>
      <c r="AC2612">
        <v>-3.0058999999999898</v>
      </c>
      <c r="AD2612">
        <v>-1.1186744828370001</v>
      </c>
      <c r="AE2612">
        <v>-15.7239</v>
      </c>
      <c r="AF2612">
        <v>-5.4095827019218996</v>
      </c>
      <c r="AG2612">
        <v>-1.1186744828370001</v>
      </c>
      <c r="AH2612">
        <v>14.9842660787853</v>
      </c>
      <c r="AI2612">
        <v>94.016754161401494</v>
      </c>
      <c r="AJ2612">
        <v>109.85047086326</v>
      </c>
      <c r="AK2612">
        <v>15.9700734978684</v>
      </c>
      <c r="AL2612">
        <v>79.790542199998697</v>
      </c>
      <c r="AM2612">
        <v>100.810923877186</v>
      </c>
      <c r="AN2612">
        <v>1.00000000660537</v>
      </c>
    </row>
    <row r="2613" spans="1:40" x14ac:dyDescent="0.25">
      <c r="A2613" t="str">
        <f>"20190312172420532"</f>
        <v>20190312172420532</v>
      </c>
      <c r="B2613" t="str">
        <f>"1552382660522726"</f>
        <v>1552382660522726</v>
      </c>
      <c r="C2613" t="s">
        <v>40</v>
      </c>
      <c r="D2613">
        <v>3.4316779999999998</v>
      </c>
      <c r="E2613">
        <v>0.43820140000000002</v>
      </c>
      <c r="F2613" t="s">
        <v>43</v>
      </c>
      <c r="G2613">
        <v>-489.2747</v>
      </c>
      <c r="H2613" s="1">
        <v>-3.4880809999999998E-6</v>
      </c>
      <c r="I2613">
        <v>257.46370000000002</v>
      </c>
      <c r="J2613">
        <v>-486.40660000000003</v>
      </c>
      <c r="K2613">
        <v>1.11866</v>
      </c>
      <c r="L2613">
        <v>273.07799999999997</v>
      </c>
      <c r="M2613">
        <v>-0.50353890000000001</v>
      </c>
      <c r="N2613">
        <v>0</v>
      </c>
      <c r="O2613">
        <v>-0.86384019999999995</v>
      </c>
      <c r="P2613">
        <v>-0.33218599999999998</v>
      </c>
      <c r="Q2613">
        <v>0.16601759999999999</v>
      </c>
      <c r="R2613">
        <v>-0.9284886</v>
      </c>
      <c r="S2613">
        <v>-0.57202149999999996</v>
      </c>
      <c r="T2613">
        <v>-0.21811939999999999</v>
      </c>
      <c r="U2613">
        <v>-3.0692750000000002</v>
      </c>
      <c r="V2613">
        <v>-0.18404690000000001</v>
      </c>
      <c r="W2613">
        <v>0.17715049999999999</v>
      </c>
      <c r="X2613">
        <v>0.96682179999999995</v>
      </c>
      <c r="Y2613">
        <v>-0.33705580000000002</v>
      </c>
      <c r="Z2613">
        <v>5.4129919999999998E-2</v>
      </c>
      <c r="AA2613">
        <v>0.93992730000000002</v>
      </c>
      <c r="AB2613">
        <v>24</v>
      </c>
      <c r="AC2613">
        <v>-2.8680999999999699</v>
      </c>
      <c r="AD2613">
        <v>-1.118663488081</v>
      </c>
      <c r="AE2613">
        <v>-15.614299999999901</v>
      </c>
      <c r="AF2613">
        <v>-5.3588351411303403</v>
      </c>
      <c r="AG2613">
        <v>-1.118663488081</v>
      </c>
      <c r="AH2613">
        <v>14.860381896478501</v>
      </c>
      <c r="AI2613">
        <v>94.050611712084503</v>
      </c>
      <c r="AJ2613">
        <v>109.829922867927</v>
      </c>
      <c r="AK2613">
        <v>15.836649651317201</v>
      </c>
      <c r="AL2613">
        <v>79.796171484411204</v>
      </c>
      <c r="AM2613">
        <v>100.778028117094</v>
      </c>
      <c r="AN2613">
        <v>0.99999997700254895</v>
      </c>
    </row>
    <row r="2614" spans="1:40" x14ac:dyDescent="0.25">
      <c r="A2614" t="str">
        <f>"20190312172420543"</f>
        <v>20190312172420543</v>
      </c>
      <c r="B2614" t="str">
        <f>"1552382660532486"</f>
        <v>1552382660532486</v>
      </c>
      <c r="C2614" t="s">
        <v>40</v>
      </c>
      <c r="D2614">
        <v>3.4758339999999999</v>
      </c>
      <c r="E2614">
        <v>0.43864180000000003</v>
      </c>
      <c r="F2614" t="s">
        <v>43</v>
      </c>
      <c r="G2614">
        <v>-489.25170000000003</v>
      </c>
      <c r="H2614" s="1">
        <v>-3.4252409999999999E-6</v>
      </c>
      <c r="I2614">
        <v>257.30770000000001</v>
      </c>
      <c r="J2614">
        <v>-486.45940000000002</v>
      </c>
      <c r="K2614">
        <v>1.11864599999999</v>
      </c>
      <c r="L2614">
        <v>272.97469999999998</v>
      </c>
      <c r="M2614">
        <v>-0.49821470000000001</v>
      </c>
      <c r="N2614">
        <v>0</v>
      </c>
      <c r="O2614">
        <v>-0.86692159999999996</v>
      </c>
      <c r="P2614">
        <v>-0.32673020000000003</v>
      </c>
      <c r="Q2614">
        <v>0.166013299999999</v>
      </c>
      <c r="R2614">
        <v>-0.930423</v>
      </c>
      <c r="S2614">
        <v>-0.55416869999999996</v>
      </c>
      <c r="T2614">
        <v>-0.2178909</v>
      </c>
      <c r="U2614">
        <v>-3.0717159999999999</v>
      </c>
      <c r="V2614">
        <v>-0.18376690000000001</v>
      </c>
      <c r="W2614">
        <v>0.17715520000000001</v>
      </c>
      <c r="X2614">
        <v>0.96687420000000002</v>
      </c>
      <c r="Y2614">
        <v>-0.33668490000000001</v>
      </c>
      <c r="Z2614">
        <v>5.4373350000000001E-2</v>
      </c>
      <c r="AA2614">
        <v>0.94004620000000005</v>
      </c>
      <c r="AB2614">
        <v>24</v>
      </c>
      <c r="AC2614">
        <v>-2.7923000000000102</v>
      </c>
      <c r="AD2614">
        <v>-1.11864942524099</v>
      </c>
      <c r="AE2614">
        <v>-15.6669999999999</v>
      </c>
      <c r="AF2614">
        <v>-5.3589614476773697</v>
      </c>
      <c r="AG2614">
        <v>-1.11864942524099</v>
      </c>
      <c r="AH2614">
        <v>14.9013098749364</v>
      </c>
      <c r="AI2614">
        <v>94.040733067644197</v>
      </c>
      <c r="AJ2614">
        <v>109.780118432511</v>
      </c>
      <c r="AK2614">
        <v>15.875102529532199</v>
      </c>
      <c r="AL2614">
        <v>79.795897882215698</v>
      </c>
      <c r="AM2614">
        <v>100.76144456200301</v>
      </c>
      <c r="AN2614">
        <v>0.99999997852414402</v>
      </c>
    </row>
    <row r="2615" spans="1:40" x14ac:dyDescent="0.25">
      <c r="A2615" t="str">
        <f>"20190312172420553"</f>
        <v>20190312172420553</v>
      </c>
      <c r="B2615" t="str">
        <f>"1552382660542246"</f>
        <v>1552382660542246</v>
      </c>
      <c r="C2615" t="s">
        <v>40</v>
      </c>
      <c r="D2615">
        <v>3.476804</v>
      </c>
      <c r="E2615">
        <v>0.43906200000000001</v>
      </c>
      <c r="F2615" t="s">
        <v>43</v>
      </c>
      <c r="G2615">
        <v>-489.23570000000001</v>
      </c>
      <c r="H2615" s="1">
        <v>-3.3607759999999998E-6</v>
      </c>
      <c r="I2615">
        <v>257.1508</v>
      </c>
      <c r="J2615">
        <v>-486.50900000000001</v>
      </c>
      <c r="K2615">
        <v>1.118635</v>
      </c>
      <c r="L2615">
        <v>272.87549999999999</v>
      </c>
      <c r="M2615">
        <v>-0.49310660000000001</v>
      </c>
      <c r="N2615">
        <v>0</v>
      </c>
      <c r="O2615">
        <v>-0.86983750000000004</v>
      </c>
      <c r="P2615">
        <v>-0.321631099999999</v>
      </c>
      <c r="Q2615">
        <v>0.16601629999999901</v>
      </c>
      <c r="R2615">
        <v>-0.93219759999999996</v>
      </c>
      <c r="S2615">
        <v>-0.53927609999999904</v>
      </c>
      <c r="T2615">
        <v>-0.21729470000000001</v>
      </c>
      <c r="U2615">
        <v>-3.0737610000000002</v>
      </c>
      <c r="V2615">
        <v>-0.18336669999999999</v>
      </c>
      <c r="W2615">
        <v>0.17716979999999999</v>
      </c>
      <c r="X2615">
        <v>0.96694760000000002</v>
      </c>
      <c r="Y2615">
        <v>-0.33567079999999999</v>
      </c>
      <c r="Z2615">
        <v>5.4518360000000002E-2</v>
      </c>
      <c r="AA2615">
        <v>0.94040040000000003</v>
      </c>
      <c r="AB2615">
        <v>24</v>
      </c>
      <c r="AC2615">
        <v>-2.7266999999999899</v>
      </c>
      <c r="AD2615">
        <v>-1.118638360776</v>
      </c>
      <c r="AE2615">
        <v>-15.724699999999901</v>
      </c>
      <c r="AF2615">
        <v>-5.3564663097314797</v>
      </c>
      <c r="AG2615">
        <v>-1.118638360776</v>
      </c>
      <c r="AH2615">
        <v>14.950751544972301</v>
      </c>
      <c r="AI2615">
        <v>94.029106244237198</v>
      </c>
      <c r="AJ2615">
        <v>109.711284298861</v>
      </c>
      <c r="AK2615">
        <v>15.920680100704899</v>
      </c>
      <c r="AL2615">
        <v>79.795048892422898</v>
      </c>
      <c r="AM2615">
        <v>100.737758088313</v>
      </c>
      <c r="AN2615">
        <v>1.00000007292334</v>
      </c>
    </row>
    <row r="2616" spans="1:40" x14ac:dyDescent="0.25">
      <c r="A2616" t="str">
        <f>"20190312172420565"</f>
        <v>20190312172420565</v>
      </c>
      <c r="B2616" t="str">
        <f>"1552382660562742"</f>
        <v>1552382660562742</v>
      </c>
      <c r="C2616" t="s">
        <v>40</v>
      </c>
      <c r="D2616">
        <v>3.37602</v>
      </c>
      <c r="E2616">
        <v>0.43943359999999898</v>
      </c>
      <c r="F2616" t="s">
        <v>43</v>
      </c>
      <c r="G2616">
        <v>-489.22050000000002</v>
      </c>
      <c r="H2616" s="1">
        <v>-3.2986009999999999E-6</v>
      </c>
      <c r="I2616">
        <v>256.99959999999999</v>
      </c>
      <c r="J2616">
        <v>-486.55939999999998</v>
      </c>
      <c r="K2616">
        <v>1.1186179999999999</v>
      </c>
      <c r="L2616">
        <v>272.77350000000001</v>
      </c>
      <c r="M2616">
        <v>-0.48784919999999998</v>
      </c>
      <c r="N2616">
        <v>0</v>
      </c>
      <c r="O2616">
        <v>-0.8727973</v>
      </c>
      <c r="P2616">
        <v>-0.316249</v>
      </c>
      <c r="Q2616">
        <v>0.1661292</v>
      </c>
      <c r="R2616">
        <v>-0.93401749999999995</v>
      </c>
      <c r="S2616">
        <v>-0.52529910000000002</v>
      </c>
      <c r="T2616">
        <v>-0.2167104</v>
      </c>
      <c r="U2616">
        <v>-3.0755919999999999</v>
      </c>
      <c r="V2616">
        <v>-0.1830947</v>
      </c>
      <c r="W2616">
        <v>0.1772918</v>
      </c>
      <c r="X2616">
        <v>0.96697670000000002</v>
      </c>
      <c r="Y2616">
        <v>-0.33423239999999999</v>
      </c>
      <c r="Z2616">
        <v>5.4676879999999997E-2</v>
      </c>
      <c r="AA2616">
        <v>0.94090339999999995</v>
      </c>
      <c r="AB2616">
        <v>24</v>
      </c>
      <c r="AC2616">
        <v>-2.66110000000003</v>
      </c>
      <c r="AD2616">
        <v>-1.118621298601</v>
      </c>
      <c r="AE2616">
        <v>-15.773899999999999</v>
      </c>
      <c r="AF2616">
        <v>-5.3471492285897604</v>
      </c>
      <c r="AG2616">
        <v>-1.118621298601</v>
      </c>
      <c r="AH2616">
        <v>14.9940314720271</v>
      </c>
      <c r="AI2616">
        <v>94.019555072459298</v>
      </c>
      <c r="AJ2616">
        <v>109.627175495655</v>
      </c>
      <c r="AK2616">
        <v>15.9582047319438</v>
      </c>
      <c r="AL2616">
        <v>79.787945565036196</v>
      </c>
      <c r="AM2616">
        <v>100.72188440771301</v>
      </c>
      <c r="AN2616">
        <v>0.99999999492910996</v>
      </c>
    </row>
    <row r="2617" spans="1:40" x14ac:dyDescent="0.25">
      <c r="A2617" t="str">
        <f>"20190312172420577"</f>
        <v>20190312172420577</v>
      </c>
      <c r="B2617" t="str">
        <f>"1552382660572503"</f>
        <v>1552382660572503</v>
      </c>
      <c r="C2617" t="s">
        <v>40</v>
      </c>
      <c r="D2617">
        <v>3.5062160000000002</v>
      </c>
      <c r="E2617">
        <v>0.45278960000000001</v>
      </c>
      <c r="F2617" t="s">
        <v>43</v>
      </c>
      <c r="G2617">
        <v>-489.20679999999999</v>
      </c>
      <c r="H2617" s="1">
        <v>-3.2102650000000001E-6</v>
      </c>
      <c r="I2617">
        <v>256.78800000000001</v>
      </c>
      <c r="J2617">
        <v>-486.6123</v>
      </c>
      <c r="K2617">
        <v>1.1186020000000001</v>
      </c>
      <c r="L2617">
        <v>272.66480000000001</v>
      </c>
      <c r="M2617">
        <v>-0.48225240000000003</v>
      </c>
      <c r="N2617">
        <v>0</v>
      </c>
      <c r="O2617">
        <v>-0.87590199999999996</v>
      </c>
      <c r="P2617">
        <v>-0.31063580000000002</v>
      </c>
      <c r="Q2617">
        <v>0.16628380000000001</v>
      </c>
      <c r="R2617">
        <v>-0.93587169999999997</v>
      </c>
      <c r="S2617">
        <v>-0.50970459999999995</v>
      </c>
      <c r="T2617">
        <v>-0.21536910000000001</v>
      </c>
      <c r="U2617">
        <v>-3.0776979999999998</v>
      </c>
      <c r="V2617">
        <v>-0.18269260000000001</v>
      </c>
      <c r="W2617">
        <v>0.17745830000000001</v>
      </c>
      <c r="X2617">
        <v>0.96702220000000005</v>
      </c>
      <c r="Y2617">
        <v>-0.33294170000000001</v>
      </c>
      <c r="Z2617">
        <v>5.4652100000000002E-2</v>
      </c>
      <c r="AA2617">
        <v>0.94136229999999999</v>
      </c>
      <c r="AB2617">
        <v>24</v>
      </c>
      <c r="AC2617">
        <v>-2.59449999999998</v>
      </c>
      <c r="AD2617">
        <v>-1.1186052102649999</v>
      </c>
      <c r="AE2617">
        <v>-15.876799999999999</v>
      </c>
      <c r="AF2617">
        <v>-5.3588029210114296</v>
      </c>
      <c r="AG2617">
        <v>-1.1186052102649999</v>
      </c>
      <c r="AH2617">
        <v>15.0865144220577</v>
      </c>
      <c r="AI2617">
        <v>93.996715915918699</v>
      </c>
      <c r="AJ2617">
        <v>109.55528450363801</v>
      </c>
      <c r="AK2617">
        <v>16.0490175328469</v>
      </c>
      <c r="AL2617">
        <v>79.778252007270893</v>
      </c>
      <c r="AM2617">
        <v>100.698390088878</v>
      </c>
      <c r="AN2617">
        <v>0.99999998481324404</v>
      </c>
    </row>
    <row r="2618" spans="1:40" x14ac:dyDescent="0.25">
      <c r="A2618" t="str">
        <f>"20190312172420589"</f>
        <v>20190312172420589</v>
      </c>
      <c r="B2618" t="str">
        <f>"1552382660582262"</f>
        <v>1552382660582262</v>
      </c>
      <c r="C2618" t="s">
        <v>40</v>
      </c>
      <c r="D2618">
        <v>3.4656539999999998</v>
      </c>
      <c r="E2618">
        <v>0.45280359999999997</v>
      </c>
      <c r="F2618" t="s">
        <v>43</v>
      </c>
      <c r="G2618">
        <v>-489.14519999999999</v>
      </c>
      <c r="H2618" s="1">
        <v>-2.2529589999999999E-7</v>
      </c>
      <c r="I2618">
        <v>259.64179999999999</v>
      </c>
      <c r="J2618">
        <v>-486.66449999999998</v>
      </c>
      <c r="K2618">
        <v>1.118584</v>
      </c>
      <c r="L2618">
        <v>272.5557</v>
      </c>
      <c r="M2618">
        <v>-0.47663179999999999</v>
      </c>
      <c r="N2618">
        <v>0</v>
      </c>
      <c r="O2618">
        <v>-0.87897309999999995</v>
      </c>
      <c r="P2618">
        <v>-0.30511680000000002</v>
      </c>
      <c r="Q2618">
        <v>0.16679229999999901</v>
      </c>
      <c r="R2618">
        <v>-0.93759510000000001</v>
      </c>
      <c r="S2618">
        <v>-0.59417719999999996</v>
      </c>
      <c r="T2618">
        <v>-0.26240350000000001</v>
      </c>
      <c r="U2618">
        <v>-3.0549620000000002</v>
      </c>
      <c r="V2618">
        <v>-0.18215310000000001</v>
      </c>
      <c r="W2618">
        <v>0.17798059999999999</v>
      </c>
      <c r="X2618">
        <v>0.967028</v>
      </c>
      <c r="Y2618">
        <v>-0.30054239999999999</v>
      </c>
      <c r="Z2618">
        <v>6.7716639999999995E-2</v>
      </c>
      <c r="AA2618">
        <v>0.95136149999999997</v>
      </c>
      <c r="AB2618">
        <v>24</v>
      </c>
      <c r="AC2618">
        <v>-2.4807000000000099</v>
      </c>
      <c r="AD2618">
        <v>-1.1185842252959</v>
      </c>
      <c r="AE2618">
        <v>-12.9139</v>
      </c>
      <c r="AF2618">
        <v>-3.9466040927742201</v>
      </c>
      <c r="AG2618">
        <v>-1.1185842252959</v>
      </c>
      <c r="AH2618">
        <v>12.4447355013692</v>
      </c>
      <c r="AI2618">
        <v>94.897079418038899</v>
      </c>
      <c r="AJ2618">
        <v>107.595404575879</v>
      </c>
      <c r="AK2618">
        <v>13.1033719413448</v>
      </c>
      <c r="AL2618">
        <v>79.747842485241605</v>
      </c>
      <c r="AM2618">
        <v>100.667460802375</v>
      </c>
      <c r="AN2618">
        <v>0.99999999929998495</v>
      </c>
    </row>
    <row r="2619" spans="1:40" x14ac:dyDescent="0.25">
      <c r="A2619" t="str">
        <f>"20190312172420599"</f>
        <v>20190312172420599</v>
      </c>
      <c r="B2619" t="str">
        <f>"1552382660592998"</f>
        <v>1552382660592998</v>
      </c>
      <c r="C2619" t="s">
        <v>40</v>
      </c>
      <c r="D2619">
        <v>3.4438040000000001</v>
      </c>
      <c r="E2619">
        <v>0.45311980000000002</v>
      </c>
      <c r="F2619" t="s">
        <v>43</v>
      </c>
      <c r="G2619">
        <v>-489.31319999999999</v>
      </c>
      <c r="H2619" s="1">
        <v>-3.91904999999999E-6</v>
      </c>
      <c r="I2619">
        <v>258.48419999999999</v>
      </c>
      <c r="J2619">
        <v>-486.71449999999999</v>
      </c>
      <c r="K2619">
        <v>1.118573</v>
      </c>
      <c r="L2619">
        <v>272.44990000000001</v>
      </c>
      <c r="M2619">
        <v>-0.47117540000000002</v>
      </c>
      <c r="N2619">
        <v>0</v>
      </c>
      <c r="O2619">
        <v>-0.88191010000000003</v>
      </c>
      <c r="P2619">
        <v>-0.2996722</v>
      </c>
      <c r="Q2619">
        <v>0.16702790000000001</v>
      </c>
      <c r="R2619">
        <v>-0.93930749999999996</v>
      </c>
      <c r="S2619">
        <v>-0.57519529999999996</v>
      </c>
      <c r="T2619">
        <v>-0.24290700000000001</v>
      </c>
      <c r="U2619">
        <v>-3.0556950000000001</v>
      </c>
      <c r="V2619">
        <v>-0.1817464</v>
      </c>
      <c r="W2619">
        <v>0.1782289</v>
      </c>
      <c r="X2619">
        <v>0.9670588</v>
      </c>
      <c r="Y2619">
        <v>-0.30031560000000002</v>
      </c>
      <c r="Z2619">
        <v>6.3069600000000003E-2</v>
      </c>
      <c r="AA2619">
        <v>0.9517525</v>
      </c>
      <c r="AB2619">
        <v>24</v>
      </c>
      <c r="AC2619">
        <v>-2.5987</v>
      </c>
      <c r="AD2619">
        <v>-1.1185769190499999</v>
      </c>
      <c r="AE2619">
        <v>-13.9657</v>
      </c>
      <c r="AF2619">
        <v>-4.2625345137388404</v>
      </c>
      <c r="AG2619">
        <v>-1.1185769190499999</v>
      </c>
      <c r="AH2619">
        <v>13.459029400510101</v>
      </c>
      <c r="AI2619">
        <v>94.530149558524201</v>
      </c>
      <c r="AJ2619">
        <v>107.573226321657</v>
      </c>
      <c r="AK2619">
        <v>14.1621286256142</v>
      </c>
      <c r="AL2619">
        <v>79.733384884082099</v>
      </c>
      <c r="AM2619">
        <v>100.643856728575</v>
      </c>
      <c r="AN2619">
        <v>1.0000000086828</v>
      </c>
    </row>
    <row r="2620" spans="1:40" x14ac:dyDescent="0.25">
      <c r="A2620" t="str">
        <f>"20190312172420611"</f>
        <v>20190312172420611</v>
      </c>
      <c r="B2620" t="str">
        <f>"1552382660602758"</f>
        <v>1552382660602758</v>
      </c>
      <c r="C2620" t="s">
        <v>40</v>
      </c>
      <c r="D2620">
        <v>3.4388109999999998</v>
      </c>
      <c r="E2620">
        <v>0.45370379999999899</v>
      </c>
      <c r="F2620" t="s">
        <v>43</v>
      </c>
      <c r="G2620">
        <v>-489.42099999999999</v>
      </c>
      <c r="H2620" s="1">
        <v>-3.5513920000000002E-6</v>
      </c>
      <c r="I2620">
        <v>257.67180000000002</v>
      </c>
      <c r="J2620">
        <v>-486.76519999999999</v>
      </c>
      <c r="K2620">
        <v>1.118554</v>
      </c>
      <c r="L2620">
        <v>272.3399</v>
      </c>
      <c r="M2620">
        <v>-0.4655222</v>
      </c>
      <c r="N2620">
        <v>0</v>
      </c>
      <c r="O2620">
        <v>-0.88490729999999995</v>
      </c>
      <c r="P2620">
        <v>-0.29393609999999998</v>
      </c>
      <c r="Q2620">
        <v>0.16730819999999999</v>
      </c>
      <c r="R2620">
        <v>-0.94106829999999997</v>
      </c>
      <c r="S2620">
        <v>-0.55975339999999996</v>
      </c>
      <c r="T2620">
        <v>-0.23134060000000001</v>
      </c>
      <c r="U2620">
        <v>-3.0563660000000001</v>
      </c>
      <c r="V2620">
        <v>-0.18143100000000001</v>
      </c>
      <c r="W2620">
        <v>0.17851979999999901</v>
      </c>
      <c r="X2620">
        <v>0.96706440000000005</v>
      </c>
      <c r="Y2620">
        <v>-0.29886649999999998</v>
      </c>
      <c r="Z2620">
        <v>6.0437100000000001E-2</v>
      </c>
      <c r="AA2620">
        <v>0.95237919999999998</v>
      </c>
      <c r="AB2620">
        <v>24</v>
      </c>
      <c r="AC2620">
        <v>-2.6558000000000002</v>
      </c>
      <c r="AD2620">
        <v>-1.1185575513920001</v>
      </c>
      <c r="AE2620">
        <v>-14.6680999999999</v>
      </c>
      <c r="AF2620">
        <v>-4.4536234331579596</v>
      </c>
      <c r="AG2620">
        <v>-1.1185575513920001</v>
      </c>
      <c r="AH2620">
        <v>14.138256780950501</v>
      </c>
      <c r="AI2620">
        <v>94.315378197376205</v>
      </c>
      <c r="AJ2620">
        <v>107.484694783897</v>
      </c>
      <c r="AK2620">
        <v>14.8652695059405</v>
      </c>
      <c r="AL2620">
        <v>79.716446214236001</v>
      </c>
      <c r="AM2620">
        <v>100.625746384547</v>
      </c>
      <c r="AN2620">
        <v>1.0000000402501901</v>
      </c>
    </row>
    <row r="2621" spans="1:40" x14ac:dyDescent="0.25">
      <c r="A2621" t="str">
        <f>"20190312172420623"</f>
        <v>20190312172420623</v>
      </c>
      <c r="B2621" t="str">
        <f>"1552382660612518"</f>
        <v>1552382660612518</v>
      </c>
      <c r="C2621" t="s">
        <v>40</v>
      </c>
      <c r="D2621">
        <v>3.411038</v>
      </c>
      <c r="E2621">
        <v>0.45417259999999998</v>
      </c>
      <c r="F2621" t="s">
        <v>43</v>
      </c>
      <c r="G2621">
        <v>-489.48039999999997</v>
      </c>
      <c r="H2621" s="1">
        <v>-3.3079160000000001E-6</v>
      </c>
      <c r="I2621">
        <v>257.12880000000001</v>
      </c>
      <c r="J2621">
        <v>-486.81369999999998</v>
      </c>
      <c r="K2621">
        <v>1.118536</v>
      </c>
      <c r="L2621">
        <v>272.23379999999997</v>
      </c>
      <c r="M2621">
        <v>-0.460061</v>
      </c>
      <c r="N2621">
        <v>0</v>
      </c>
      <c r="O2621">
        <v>-0.88775890000000002</v>
      </c>
      <c r="P2621">
        <v>-0.2885818</v>
      </c>
      <c r="Q2621">
        <v>0.16760559999999999</v>
      </c>
      <c r="R2621">
        <v>-0.94267120000000004</v>
      </c>
      <c r="S2621">
        <v>-0.54574579999999995</v>
      </c>
      <c r="T2621">
        <v>-0.22482730000000001</v>
      </c>
      <c r="U2621">
        <v>-3.057404</v>
      </c>
      <c r="V2621">
        <v>-0.1809405</v>
      </c>
      <c r="W2621">
        <v>0.1788313</v>
      </c>
      <c r="X2621">
        <v>0.96709869999999998</v>
      </c>
      <c r="Y2621">
        <v>-0.29725289999999999</v>
      </c>
      <c r="Z2621">
        <v>5.9066090000000002E-2</v>
      </c>
      <c r="AA2621">
        <v>0.95296999999999998</v>
      </c>
      <c r="AB2621">
        <v>24</v>
      </c>
      <c r="AC2621">
        <v>-2.6666999999999899</v>
      </c>
      <c r="AD2621">
        <v>-1.118539307916</v>
      </c>
      <c r="AE2621">
        <v>-15.104999999999899</v>
      </c>
      <c r="AF2621">
        <v>-4.5581180495974403</v>
      </c>
      <c r="AG2621">
        <v>-1.118539307916</v>
      </c>
      <c r="AH2621">
        <v>14.560681046807201</v>
      </c>
      <c r="AI2621">
        <v>94.192910658176302</v>
      </c>
      <c r="AJ2621">
        <v>107.382359526055</v>
      </c>
      <c r="AK2621">
        <v>15.298398703271801</v>
      </c>
      <c r="AL2621">
        <v>79.698306228338595</v>
      </c>
      <c r="AM2621">
        <v>100.597303828503</v>
      </c>
      <c r="AN2621">
        <v>0.99999999697081499</v>
      </c>
    </row>
    <row r="2622" spans="1:40" x14ac:dyDescent="0.25">
      <c r="A2622" t="str">
        <f>"20190312172420633"</f>
        <v>20190312172420633</v>
      </c>
      <c r="B2622" t="str">
        <f>"1552382660622278"</f>
        <v>1552382660622278</v>
      </c>
      <c r="C2622" t="s">
        <v>40</v>
      </c>
      <c r="D2622">
        <v>3.4583539999999999</v>
      </c>
      <c r="E2622">
        <v>0.45482040000000001</v>
      </c>
      <c r="F2622" t="s">
        <v>43</v>
      </c>
      <c r="G2622">
        <v>-489.50670000000002</v>
      </c>
      <c r="H2622" s="1">
        <v>-3.1367960000000001E-6</v>
      </c>
      <c r="I2622">
        <v>256.74079999999998</v>
      </c>
      <c r="J2622">
        <v>-486.86259999999999</v>
      </c>
      <c r="K2622">
        <v>1.1185160000000001</v>
      </c>
      <c r="L2622">
        <v>272.12419999999997</v>
      </c>
      <c r="M2622">
        <v>-0.4544378</v>
      </c>
      <c r="N2622">
        <v>0</v>
      </c>
      <c r="O2622">
        <v>-0.89065090000000002</v>
      </c>
      <c r="P2622">
        <v>-0.28289370000000003</v>
      </c>
      <c r="Q2622">
        <v>0.16763439999999999</v>
      </c>
      <c r="R2622">
        <v>-0.94438920000000004</v>
      </c>
      <c r="S2622">
        <v>-0.53170779999999995</v>
      </c>
      <c r="T2622">
        <v>-0.22084329999999999</v>
      </c>
      <c r="U2622">
        <v>-3.058929</v>
      </c>
      <c r="V2622">
        <v>-0.18064169999999999</v>
      </c>
      <c r="W2622">
        <v>0.17887210000000001</v>
      </c>
      <c r="X2622">
        <v>0.96714699999999998</v>
      </c>
      <c r="Y2622">
        <v>-0.29553020000000002</v>
      </c>
      <c r="Z2622">
        <v>5.8337010000000002E-2</v>
      </c>
      <c r="AA2622">
        <v>0.95355060000000003</v>
      </c>
      <c r="AB2622">
        <v>24</v>
      </c>
      <c r="AC2622">
        <v>-2.6441000000000301</v>
      </c>
      <c r="AD2622">
        <v>-1.1185191367959999</v>
      </c>
      <c r="AE2622">
        <v>-15.3833999999999</v>
      </c>
      <c r="AF2622">
        <v>-4.6126693556316196</v>
      </c>
      <c r="AG2622">
        <v>-1.1185191367959999</v>
      </c>
      <c r="AH2622">
        <v>14.8283685347297</v>
      </c>
      <c r="AI2622">
        <v>94.119709304368698</v>
      </c>
      <c r="AJ2622">
        <v>107.279381568406</v>
      </c>
      <c r="AK2622">
        <v>15.569467461847299</v>
      </c>
      <c r="AL2622">
        <v>79.695930133720196</v>
      </c>
      <c r="AM2622">
        <v>100.57968272365299</v>
      </c>
      <c r="AN2622">
        <v>0.99999998577314997</v>
      </c>
    </row>
    <row r="2623" spans="1:40" x14ac:dyDescent="0.25">
      <c r="A2623" t="str">
        <f>"20190312172420646"</f>
        <v>20190312172420646</v>
      </c>
      <c r="B2623" t="str">
        <f>"1552382660642774"</f>
        <v>1552382660642774</v>
      </c>
      <c r="C2623" t="s">
        <v>40</v>
      </c>
      <c r="D2623">
        <v>3.4849339999999902</v>
      </c>
      <c r="E2623">
        <v>0.4558315</v>
      </c>
      <c r="F2623" t="s">
        <v>43</v>
      </c>
      <c r="G2623">
        <v>-489.51310000000001</v>
      </c>
      <c r="H2623" s="1">
        <v>-3.0201959999999998E-6</v>
      </c>
      <c r="I2623">
        <v>256.47160000000002</v>
      </c>
      <c r="J2623">
        <v>-486.91129999999998</v>
      </c>
      <c r="K2623">
        <v>1.1184889999999901</v>
      </c>
      <c r="L2623">
        <v>272.0138</v>
      </c>
      <c r="M2623">
        <v>-0.44877669999999997</v>
      </c>
      <c r="N2623">
        <v>0</v>
      </c>
      <c r="O2623">
        <v>-0.89351659999999899</v>
      </c>
      <c r="P2623">
        <v>-0.27712949999999997</v>
      </c>
      <c r="Q2623">
        <v>0.16767609999999999</v>
      </c>
      <c r="R2623">
        <v>-0.94608899999999996</v>
      </c>
      <c r="S2623">
        <v>-0.51818850000000005</v>
      </c>
      <c r="T2623">
        <v>-0.2186794</v>
      </c>
      <c r="U2623">
        <v>-3.0602109999999998</v>
      </c>
      <c r="V2623">
        <v>-0.1803872</v>
      </c>
      <c r="W2623">
        <v>0.1789251</v>
      </c>
      <c r="X2623">
        <v>0.96718470000000001</v>
      </c>
      <c r="Y2623">
        <v>-0.29362349999999998</v>
      </c>
      <c r="Z2623">
        <v>5.808046E-2</v>
      </c>
      <c r="AA2623">
        <v>0.95415499999999998</v>
      </c>
      <c r="AB2623">
        <v>24</v>
      </c>
      <c r="AC2623">
        <v>-2.6018000000000199</v>
      </c>
      <c r="AD2623">
        <v>-1.11849202019599</v>
      </c>
      <c r="AE2623">
        <v>-15.5421999999999</v>
      </c>
      <c r="AF2623">
        <v>-4.6274429663878696</v>
      </c>
      <c r="AG2623">
        <v>-1.11849202019599</v>
      </c>
      <c r="AH2623">
        <v>14.9810829970186</v>
      </c>
      <c r="AI2623">
        <v>94.080269451097294</v>
      </c>
      <c r="AJ2623">
        <v>107.16517300946499</v>
      </c>
      <c r="AK2623">
        <v>15.719322522614499</v>
      </c>
      <c r="AL2623">
        <v>79.692843694660894</v>
      </c>
      <c r="AM2623">
        <v>100.56471062950899</v>
      </c>
      <c r="AN2623">
        <v>0.99999998862396999</v>
      </c>
    </row>
    <row r="2624" spans="1:40" x14ac:dyDescent="0.25">
      <c r="A2624" t="str">
        <f>"20190312172420663"</f>
        <v>20190312172420663</v>
      </c>
      <c r="B2624" t="str">
        <f>"1552382660652534"</f>
        <v>1552382660652534</v>
      </c>
      <c r="C2624" t="s">
        <v>40</v>
      </c>
      <c r="D2624">
        <v>3.4500639999999998</v>
      </c>
      <c r="E2624">
        <v>0.45630920000000003</v>
      </c>
      <c r="F2624" t="s">
        <v>43</v>
      </c>
      <c r="G2624">
        <v>-489.58580000000001</v>
      </c>
      <c r="H2624" s="1">
        <v>-2.7560010000000002E-6</v>
      </c>
      <c r="I2624">
        <v>255.88579999999999</v>
      </c>
      <c r="J2624">
        <v>-486.98020000000002</v>
      </c>
      <c r="K2624">
        <v>1.1184499999999999</v>
      </c>
      <c r="L2624">
        <v>271.8544</v>
      </c>
      <c r="M2624">
        <v>-0.44061610000000001</v>
      </c>
      <c r="N2624">
        <v>0</v>
      </c>
      <c r="O2624">
        <v>-0.89756919999999996</v>
      </c>
      <c r="P2624">
        <v>-0.26883610000000002</v>
      </c>
      <c r="Q2624">
        <v>0.16780300000000001</v>
      </c>
      <c r="R2624">
        <v>-0.94845679999999999</v>
      </c>
      <c r="S2624">
        <v>-0.50741579999999997</v>
      </c>
      <c r="T2624">
        <v>-0.21220310000000001</v>
      </c>
      <c r="U2624">
        <v>-3.0598450000000001</v>
      </c>
      <c r="V2624">
        <v>-0.18001389999999901</v>
      </c>
      <c r="W2624">
        <v>0.17906910000000001</v>
      </c>
      <c r="X2624">
        <v>0.96722759999999997</v>
      </c>
      <c r="Y2624">
        <v>-0.28814459999999997</v>
      </c>
      <c r="Z2624">
        <v>5.6854630000000003E-2</v>
      </c>
      <c r="AA2624">
        <v>0.95589760000000001</v>
      </c>
      <c r="AB2624">
        <v>24</v>
      </c>
      <c r="AC2624">
        <v>-2.6055999999999799</v>
      </c>
      <c r="AD2624">
        <v>-1.118452756001</v>
      </c>
      <c r="AE2624">
        <v>-15.9686</v>
      </c>
      <c r="AF2624">
        <v>-4.6755073162713803</v>
      </c>
      <c r="AG2624">
        <v>-1.118452756001</v>
      </c>
      <c r="AH2624">
        <v>15.409117907216499</v>
      </c>
      <c r="AI2624">
        <v>93.973205390013604</v>
      </c>
      <c r="AJ2624">
        <v>106.87909440592099</v>
      </c>
      <c r="AK2624">
        <v>16.1416300264383</v>
      </c>
      <c r="AL2624">
        <v>79.684457663127105</v>
      </c>
      <c r="AM2624">
        <v>100.542881179931</v>
      </c>
      <c r="AN2624">
        <v>0.99999998848488902</v>
      </c>
    </row>
    <row r="2625" spans="1:40" x14ac:dyDescent="0.25">
      <c r="A2625" t="str">
        <f>"20190312172420674"</f>
        <v>20190312172420674</v>
      </c>
      <c r="B2625" t="str">
        <f>"1552382660662294"</f>
        <v>1552382660662294</v>
      </c>
      <c r="C2625" t="s">
        <v>40</v>
      </c>
      <c r="D2625">
        <v>3.511768</v>
      </c>
      <c r="E2625">
        <v>0.45658070000000001</v>
      </c>
      <c r="F2625" t="s">
        <v>43</v>
      </c>
      <c r="G2625">
        <v>-489.5659</v>
      </c>
      <c r="H2625" s="1">
        <v>-2.6002920000000001E-6</v>
      </c>
      <c r="I2625">
        <v>255.5146</v>
      </c>
      <c r="J2625">
        <v>-487.0249</v>
      </c>
      <c r="K2625">
        <v>1.1184190000000001</v>
      </c>
      <c r="L2625">
        <v>271.74829999999997</v>
      </c>
      <c r="M2625">
        <v>-0.43520750000000002</v>
      </c>
      <c r="N2625">
        <v>0</v>
      </c>
      <c r="O2625">
        <v>-0.90020419999999901</v>
      </c>
      <c r="P2625">
        <v>-0.26332630000000001</v>
      </c>
      <c r="Q2625">
        <v>0.16814470000000001</v>
      </c>
      <c r="R2625">
        <v>-0.94994060000000002</v>
      </c>
      <c r="S2625">
        <v>-0.48468020000000001</v>
      </c>
      <c r="T2625">
        <v>-0.2096442</v>
      </c>
      <c r="U2625">
        <v>-3.0627439999999999</v>
      </c>
      <c r="V2625">
        <v>-0.1797733</v>
      </c>
      <c r="W2625">
        <v>0.17942279999999999</v>
      </c>
      <c r="X2625">
        <v>0.96720680000000003</v>
      </c>
      <c r="Y2625">
        <v>-0.28943780000000002</v>
      </c>
      <c r="Z2625">
        <v>5.6396839999999997E-2</v>
      </c>
      <c r="AA2625">
        <v>0.95553399999999999</v>
      </c>
      <c r="AB2625">
        <v>23</v>
      </c>
      <c r="AC2625">
        <v>-2.5409999999999902</v>
      </c>
      <c r="AD2625">
        <v>-1.118421600292</v>
      </c>
      <c r="AE2625">
        <v>-16.233699999999899</v>
      </c>
      <c r="AF2625">
        <v>-4.7561158996808901</v>
      </c>
      <c r="AG2625">
        <v>-1.118421600292</v>
      </c>
      <c r="AH2625">
        <v>15.648789204582901</v>
      </c>
      <c r="AI2625">
        <v>93.911888528147301</v>
      </c>
      <c r="AJ2625">
        <v>106.90553127438599</v>
      </c>
      <c r="AK2625">
        <v>16.393782629297899</v>
      </c>
      <c r="AL2625">
        <v>79.663858515216404</v>
      </c>
      <c r="AM2625">
        <v>100.529326630298</v>
      </c>
      <c r="AN2625">
        <v>0.99999998725948502</v>
      </c>
    </row>
    <row r="2626" spans="1:40" x14ac:dyDescent="0.25">
      <c r="A2626" t="str">
        <f>"20190312172420687"</f>
        <v>20190312172420687</v>
      </c>
      <c r="B2626" t="str">
        <f>"1552382660682790"</f>
        <v>1552382660682790</v>
      </c>
      <c r="C2626" t="s">
        <v>40</v>
      </c>
      <c r="D2626">
        <v>3.6403799999999999</v>
      </c>
      <c r="E2626">
        <v>0.45390459999999999</v>
      </c>
      <c r="F2626" t="s">
        <v>43</v>
      </c>
      <c r="G2626">
        <v>-489.53930000000003</v>
      </c>
      <c r="H2626" s="1">
        <v>-2.5255689999999998E-6</v>
      </c>
      <c r="I2626">
        <v>255.32939999999999</v>
      </c>
      <c r="J2626">
        <v>-487.07549999999998</v>
      </c>
      <c r="K2626">
        <v>1.118382</v>
      </c>
      <c r="L2626">
        <v>271.62639999999999</v>
      </c>
      <c r="M2626">
        <v>-0.42900260000000001</v>
      </c>
      <c r="N2626">
        <v>0</v>
      </c>
      <c r="O2626">
        <v>-0.90317769999999997</v>
      </c>
      <c r="P2626">
        <v>-0.25727129999999998</v>
      </c>
      <c r="Q2626">
        <v>0.1682554</v>
      </c>
      <c r="R2626">
        <v>-0.95157860000000005</v>
      </c>
      <c r="S2626">
        <v>-0.46936040000000001</v>
      </c>
      <c r="T2626">
        <v>-0.20877789999999999</v>
      </c>
      <c r="U2626">
        <v>-3.0649410000000001</v>
      </c>
      <c r="V2626">
        <v>-0.17925289999999999</v>
      </c>
      <c r="W2626">
        <v>0.17955279999999901</v>
      </c>
      <c r="X2626">
        <v>0.96727929999999995</v>
      </c>
      <c r="Y2626">
        <v>-0.28761940000000003</v>
      </c>
      <c r="Z2626">
        <v>5.6457269999999997E-2</v>
      </c>
      <c r="AA2626">
        <v>0.95607929999999997</v>
      </c>
      <c r="AB2626">
        <v>23</v>
      </c>
      <c r="AC2626">
        <v>-2.46380000000004</v>
      </c>
      <c r="AD2626">
        <v>-1.1183845255689999</v>
      </c>
      <c r="AE2626">
        <v>-16.296999999999901</v>
      </c>
      <c r="AF2626">
        <v>-4.7449003723729497</v>
      </c>
      <c r="AG2626">
        <v>-1.1183845255689999</v>
      </c>
      <c r="AH2626">
        <v>15.705541794688701</v>
      </c>
      <c r="AI2626">
        <v>93.899622585405993</v>
      </c>
      <c r="AJ2626">
        <v>106.81042316402301</v>
      </c>
      <c r="AK2626">
        <v>16.4447227570273</v>
      </c>
      <c r="AL2626">
        <v>79.656287523036198</v>
      </c>
      <c r="AM2626">
        <v>100.49875606575399</v>
      </c>
      <c r="AN2626">
        <v>1.0000000271773599</v>
      </c>
    </row>
    <row r="2627" spans="1:40" x14ac:dyDescent="0.25">
      <c r="A2627" t="str">
        <f>"20190312172420701"</f>
        <v>20190312172420701</v>
      </c>
      <c r="B2627" t="str">
        <f>"1552382660692550"</f>
        <v>1552382660692550</v>
      </c>
      <c r="C2627" t="s">
        <v>40</v>
      </c>
      <c r="D2627">
        <v>3.546081</v>
      </c>
      <c r="E2627">
        <v>0.45371430000000001</v>
      </c>
      <c r="F2627" t="s">
        <v>43</v>
      </c>
      <c r="G2627">
        <v>-490.5059</v>
      </c>
      <c r="H2627" s="1">
        <v>-3.341873E-6</v>
      </c>
      <c r="I2627">
        <v>247.06530000000001</v>
      </c>
      <c r="J2627">
        <v>-487.13040000000001</v>
      </c>
      <c r="K2627">
        <v>1.118336</v>
      </c>
      <c r="L2627">
        <v>271.49220000000003</v>
      </c>
      <c r="M2627">
        <v>-0.42218749999999999</v>
      </c>
      <c r="N2627">
        <v>0</v>
      </c>
      <c r="O2627">
        <v>-0.90638350000000001</v>
      </c>
      <c r="P2627">
        <v>-0.25043729999999997</v>
      </c>
      <c r="Q2627">
        <v>0.16839789999999999</v>
      </c>
      <c r="R2627">
        <v>-0.95337490000000003</v>
      </c>
      <c r="S2627">
        <v>-0.4276123</v>
      </c>
      <c r="T2627">
        <v>-0.13941300000000001</v>
      </c>
      <c r="U2627">
        <v>-3.0616759999999998</v>
      </c>
      <c r="V2627">
        <v>-0.17887809999999901</v>
      </c>
      <c r="W2627">
        <v>0.17971319999999999</v>
      </c>
      <c r="X2627">
        <v>0.96731889999999998</v>
      </c>
      <c r="Y2627">
        <v>-0.29288819999999999</v>
      </c>
      <c r="Z2627">
        <v>3.7992779999999997E-2</v>
      </c>
      <c r="AA2627">
        <v>0.95539160000000001</v>
      </c>
      <c r="AB2627">
        <v>23</v>
      </c>
      <c r="AC2627">
        <v>-3.3754999999999802</v>
      </c>
      <c r="AD2627">
        <v>-1.1183393418729899</v>
      </c>
      <c r="AE2627">
        <v>-24.4269</v>
      </c>
      <c r="AF2627">
        <v>-7.23916687456716</v>
      </c>
      <c r="AG2627">
        <v>-1.1183393418729899</v>
      </c>
      <c r="AH2627">
        <v>23.519528847729699</v>
      </c>
      <c r="AI2627">
        <v>92.6020401447701</v>
      </c>
      <c r="AJ2627">
        <v>107.108044791745</v>
      </c>
      <c r="AK2627">
        <v>24.633807199468698</v>
      </c>
      <c r="AL2627">
        <v>79.646945363440906</v>
      </c>
      <c r="AM2627">
        <v>100.476871383043</v>
      </c>
      <c r="AN2627">
        <v>1.00000003160552</v>
      </c>
    </row>
    <row r="2628" spans="1:40" x14ac:dyDescent="0.25">
      <c r="A2628" t="str">
        <f>"20190312172420714"</f>
        <v>20190312172420714</v>
      </c>
      <c r="B2628" t="str">
        <f>"1552382660702310"</f>
        <v>1552382660702310</v>
      </c>
      <c r="C2628" t="s">
        <v>40</v>
      </c>
      <c r="D2628">
        <v>3.5069620000000001</v>
      </c>
      <c r="E2628">
        <v>0.45304990000000001</v>
      </c>
      <c r="F2628" t="s">
        <v>43</v>
      </c>
      <c r="G2628">
        <v>-490.4128</v>
      </c>
      <c r="H2628" s="1">
        <v>-3.1321360000000002E-6</v>
      </c>
      <c r="I2628">
        <v>246.63419999999999</v>
      </c>
      <c r="J2628">
        <v>-487.17989999999998</v>
      </c>
      <c r="K2628">
        <v>1.118285</v>
      </c>
      <c r="L2628">
        <v>271.36739999999998</v>
      </c>
      <c r="M2628">
        <v>-0.41589530000000002</v>
      </c>
      <c r="N2628">
        <v>0</v>
      </c>
      <c r="O2628">
        <v>-0.90928819999999999</v>
      </c>
      <c r="P2628">
        <v>-0.24421290000000001</v>
      </c>
      <c r="Q2628">
        <v>0.16839470000000001</v>
      </c>
      <c r="R2628">
        <v>-0.95498879999999997</v>
      </c>
      <c r="S2628">
        <v>-0.40469359999999999</v>
      </c>
      <c r="T2628">
        <v>-0.13788159999999999</v>
      </c>
      <c r="U2628">
        <v>-3.0647890000000002</v>
      </c>
      <c r="V2628">
        <v>-0.1784606</v>
      </c>
      <c r="W2628">
        <v>0.1797301</v>
      </c>
      <c r="X2628">
        <v>0.9673929</v>
      </c>
      <c r="Y2628">
        <v>-0.29340739999999998</v>
      </c>
      <c r="Z2628">
        <v>3.7742419999999999E-2</v>
      </c>
      <c r="AA2628">
        <v>0.95524219999999904</v>
      </c>
      <c r="AB2628">
        <v>23</v>
      </c>
      <c r="AC2628">
        <v>-3.2329000000000199</v>
      </c>
      <c r="AD2628">
        <v>-1.1182881321360001</v>
      </c>
      <c r="AE2628">
        <v>-24.733199999999901</v>
      </c>
      <c r="AF2628">
        <v>-7.3328755378729698</v>
      </c>
      <c r="AG2628">
        <v>-1.1182881321360001</v>
      </c>
      <c r="AH2628">
        <v>23.789034132483501</v>
      </c>
      <c r="AI2628">
        <v>92.572157115523297</v>
      </c>
      <c r="AJ2628">
        <v>107.13170700138301</v>
      </c>
      <c r="AK2628">
        <v>24.918663225720501</v>
      </c>
      <c r="AL2628">
        <v>79.645961322031098</v>
      </c>
      <c r="AM2628">
        <v>100.45217608270499</v>
      </c>
      <c r="AN2628">
        <v>1.00000005878438</v>
      </c>
    </row>
    <row r="2629" spans="1:40" x14ac:dyDescent="0.25">
      <c r="A2629" t="str">
        <f>"20190312172420732"</f>
        <v>20190312172420732</v>
      </c>
      <c r="B2629" t="str">
        <f>"1552382660722806"</f>
        <v>1552382660722806</v>
      </c>
      <c r="C2629" t="s">
        <v>40</v>
      </c>
      <c r="D2629">
        <v>3.5050750000000002</v>
      </c>
      <c r="E2629">
        <v>0.45336870000000001</v>
      </c>
      <c r="F2629" t="s">
        <v>43</v>
      </c>
      <c r="G2629">
        <v>-490.32249999999999</v>
      </c>
      <c r="H2629" s="1">
        <v>-2.8150059999999999E-6</v>
      </c>
      <c r="I2629">
        <v>245.95089999999999</v>
      </c>
      <c r="J2629">
        <v>-487.24619999999999</v>
      </c>
      <c r="K2629">
        <v>1.118215</v>
      </c>
      <c r="L2629">
        <v>271.19749999999999</v>
      </c>
      <c r="M2629">
        <v>-0.4073695</v>
      </c>
      <c r="N2629">
        <v>0</v>
      </c>
      <c r="O2629">
        <v>-0.91313979999999995</v>
      </c>
      <c r="P2629">
        <v>-0.23686750000000001</v>
      </c>
      <c r="Q2629">
        <v>0.168271</v>
      </c>
      <c r="R2629">
        <v>-0.95685909999999996</v>
      </c>
      <c r="S2629">
        <v>-0.37936399999999998</v>
      </c>
      <c r="T2629">
        <v>-0.13499810000000001</v>
      </c>
      <c r="U2629">
        <v>-3.0682369999999999</v>
      </c>
      <c r="V2629">
        <v>-0.17681359999999999</v>
      </c>
      <c r="W2629">
        <v>0.17965690000000001</v>
      </c>
      <c r="X2629">
        <v>0.96770880000000004</v>
      </c>
      <c r="Y2629">
        <v>-0.29235830000000002</v>
      </c>
      <c r="Z2629">
        <v>3.7185749999999997E-2</v>
      </c>
      <c r="AA2629">
        <v>0.95558560000000003</v>
      </c>
      <c r="AB2629">
        <v>23</v>
      </c>
      <c r="AC2629">
        <v>-3.0762999999999998</v>
      </c>
      <c r="AD2629">
        <v>-1.118217815006</v>
      </c>
      <c r="AE2629">
        <v>-25.246600000000001</v>
      </c>
      <c r="AF2629">
        <v>-7.4620224083743203</v>
      </c>
      <c r="AG2629">
        <v>-1.118217815006</v>
      </c>
      <c r="AH2629">
        <v>24.262709358042901</v>
      </c>
      <c r="AI2629">
        <v>92.522340899160199</v>
      </c>
      <c r="AJ2629">
        <v>107.095336625987</v>
      </c>
      <c r="AK2629">
        <v>25.408881417680298</v>
      </c>
      <c r="AL2629">
        <v>79.650224011296601</v>
      </c>
      <c r="AM2629">
        <v>100.35450296805899</v>
      </c>
      <c r="AN2629">
        <v>0.99999998623000497</v>
      </c>
    </row>
    <row r="2630" spans="1:40" x14ac:dyDescent="0.25">
      <c r="A2630" t="str">
        <f>"20190312172420744"</f>
        <v>20190312172420744</v>
      </c>
      <c r="B2630" t="str">
        <f>"1552382660732567"</f>
        <v>1552382660732567</v>
      </c>
      <c r="C2630" t="s">
        <v>40</v>
      </c>
      <c r="D2630">
        <v>3.6349399999999998</v>
      </c>
      <c r="E2630">
        <v>0.45374589999999998</v>
      </c>
      <c r="F2630" t="s">
        <v>43</v>
      </c>
      <c r="G2630">
        <v>-490.23689999999999</v>
      </c>
      <c r="H2630" s="1">
        <v>-2.6588249999999999E-6</v>
      </c>
      <c r="I2630">
        <v>245.63990000000001</v>
      </c>
      <c r="J2630">
        <v>-487.29169999999999</v>
      </c>
      <c r="K2630">
        <v>1.11816</v>
      </c>
      <c r="L2630">
        <v>271.07819999999998</v>
      </c>
      <c r="M2630">
        <v>-0.40141060000000001</v>
      </c>
      <c r="N2630">
        <v>0</v>
      </c>
      <c r="O2630">
        <v>-0.91577509999999995</v>
      </c>
      <c r="P2630">
        <v>-0.23151849999999999</v>
      </c>
      <c r="Q2630">
        <v>0.16810700000000001</v>
      </c>
      <c r="R2630">
        <v>-0.95819600000000005</v>
      </c>
      <c r="S2630">
        <v>-0.35925289999999999</v>
      </c>
      <c r="T2630">
        <v>-0.1343201</v>
      </c>
      <c r="U2630">
        <v>-3.0699770000000002</v>
      </c>
      <c r="V2630">
        <v>-0.17589540000000001</v>
      </c>
      <c r="W2630">
        <v>0.17952409999999999</v>
      </c>
      <c r="X2630">
        <v>0.96790080000000001</v>
      </c>
      <c r="Y2630">
        <v>-0.29236289999999998</v>
      </c>
      <c r="Z2630">
        <v>3.7160390000000001E-2</v>
      </c>
      <c r="AA2630">
        <v>0.95558520000000002</v>
      </c>
      <c r="AB2630">
        <v>23</v>
      </c>
      <c r="AC2630">
        <v>-2.9451999999999998</v>
      </c>
      <c r="AD2630">
        <v>-1.118162658825</v>
      </c>
      <c r="AE2630">
        <v>-25.438299999999899</v>
      </c>
      <c r="AF2630">
        <v>-7.5006094049513301</v>
      </c>
      <c r="AG2630">
        <v>-1.118162658825</v>
      </c>
      <c r="AH2630">
        <v>24.434171279963302</v>
      </c>
      <c r="AI2630">
        <v>92.504946725106294</v>
      </c>
      <c r="AJ2630">
        <v>107.06502648091001</v>
      </c>
      <c r="AK2630">
        <v>25.5839433105184</v>
      </c>
      <c r="AL2630">
        <v>79.657959065148205</v>
      </c>
      <c r="AM2630">
        <v>100.299886151355</v>
      </c>
      <c r="AN2630">
        <v>1.0000000264313</v>
      </c>
    </row>
    <row r="2631" spans="1:40" x14ac:dyDescent="0.25">
      <c r="A2631" t="str">
        <f>"20190312172420755"</f>
        <v>20190312172420755</v>
      </c>
      <c r="B2631" t="str">
        <f>"1552382660753062"</f>
        <v>1552382660753062</v>
      </c>
      <c r="C2631" t="s">
        <v>40</v>
      </c>
      <c r="D2631">
        <v>3.697578</v>
      </c>
      <c r="E2631">
        <v>0.45480609999999999</v>
      </c>
      <c r="F2631" t="s">
        <v>43</v>
      </c>
      <c r="G2631">
        <v>-490.10480000000001</v>
      </c>
      <c r="H2631" s="1">
        <v>-2.800098E-6</v>
      </c>
      <c r="I2631">
        <v>246.05119999999999</v>
      </c>
      <c r="J2631">
        <v>-487.33280000000002</v>
      </c>
      <c r="K2631">
        <v>1.118106</v>
      </c>
      <c r="L2631">
        <v>270.9683</v>
      </c>
      <c r="M2631">
        <v>-0.39596749999999997</v>
      </c>
      <c r="N2631">
        <v>0</v>
      </c>
      <c r="O2631">
        <v>-0.91814180000000001</v>
      </c>
      <c r="P2631">
        <v>-0.22668479999999999</v>
      </c>
      <c r="Q2631">
        <v>0.1679967</v>
      </c>
      <c r="R2631">
        <v>-0.95936999999999995</v>
      </c>
      <c r="S2631">
        <v>-0.34524539999999998</v>
      </c>
      <c r="T2631">
        <v>-0.13723079999999999</v>
      </c>
      <c r="U2631">
        <v>-3.0715330000000001</v>
      </c>
      <c r="V2631">
        <v>-0.1750091</v>
      </c>
      <c r="W2631">
        <v>0.17944389999999999</v>
      </c>
      <c r="X2631">
        <v>0.9680763</v>
      </c>
      <c r="Y2631">
        <v>-0.291047099999999</v>
      </c>
      <c r="Z2631">
        <v>3.8118119999999998E-2</v>
      </c>
      <c r="AA2631">
        <v>0.9559491</v>
      </c>
      <c r="AB2631">
        <v>23</v>
      </c>
      <c r="AC2631">
        <v>-2.77199999999999</v>
      </c>
      <c r="AD2631">
        <v>-1.118108800098</v>
      </c>
      <c r="AE2631">
        <v>-24.917100000000001</v>
      </c>
      <c r="AF2631">
        <v>-7.3075632543478397</v>
      </c>
      <c r="AG2631">
        <v>-1.118108800098</v>
      </c>
      <c r="AH2631">
        <v>23.9301584003987</v>
      </c>
      <c r="AI2631">
        <v>92.558658523976902</v>
      </c>
      <c r="AJ2631">
        <v>106.981122700309</v>
      </c>
      <c r="AK2631">
        <v>25.046020224245702</v>
      </c>
      <c r="AL2631">
        <v>79.662629872236295</v>
      </c>
      <c r="AM2631">
        <v>100.24727127153101</v>
      </c>
      <c r="AN2631">
        <v>1.00000001047585</v>
      </c>
    </row>
    <row r="2632" spans="1:40" x14ac:dyDescent="0.25">
      <c r="A2632" t="str">
        <f>"20190312172420768"</f>
        <v>20190312172420768</v>
      </c>
      <c r="B2632" t="str">
        <f>"1552382660762822"</f>
        <v>1552382660762822</v>
      </c>
      <c r="C2632" t="s">
        <v>40</v>
      </c>
      <c r="D2632">
        <v>3.5360990000000001</v>
      </c>
      <c r="E2632">
        <v>0.45480609999999999</v>
      </c>
      <c r="F2632" t="s">
        <v>43</v>
      </c>
      <c r="G2632">
        <v>-489.9384</v>
      </c>
      <c r="H2632" s="1">
        <v>-3.2872230000000001E-6</v>
      </c>
      <c r="I2632">
        <v>247.26990000000001</v>
      </c>
      <c r="J2632">
        <v>-487.37430000000001</v>
      </c>
      <c r="K2632">
        <v>1.1180490000000001</v>
      </c>
      <c r="L2632">
        <v>270.8553</v>
      </c>
      <c r="M2632">
        <v>-0.39039810000000003</v>
      </c>
      <c r="N2632">
        <v>0</v>
      </c>
      <c r="O2632">
        <v>-0.92052409999999996</v>
      </c>
      <c r="P2632">
        <v>-0.22167490000000001</v>
      </c>
      <c r="Q2632">
        <v>0.16772029999999999</v>
      </c>
      <c r="R2632">
        <v>-0.96058849999999996</v>
      </c>
      <c r="S2632">
        <v>-0.33782960000000001</v>
      </c>
      <c r="T2632">
        <v>-0.1449676</v>
      </c>
      <c r="U2632">
        <v>-3.0726010000000001</v>
      </c>
      <c r="V2632">
        <v>-0.1741819</v>
      </c>
      <c r="W2632">
        <v>0.1791972</v>
      </c>
      <c r="X2632">
        <v>0.96827110000000005</v>
      </c>
      <c r="Y2632">
        <v>-0.28757480000000002</v>
      </c>
      <c r="Z2632">
        <v>4.0443899999999998E-2</v>
      </c>
      <c r="AA2632">
        <v>0.95690390000000003</v>
      </c>
      <c r="AB2632">
        <v>23</v>
      </c>
      <c r="AC2632">
        <v>-2.5640999999999901</v>
      </c>
      <c r="AD2632">
        <v>-1.1180522872229901</v>
      </c>
      <c r="AE2632">
        <v>-23.5854</v>
      </c>
      <c r="AF2632">
        <v>-6.8329733964971098</v>
      </c>
      <c r="AG2632">
        <v>-1.1180522872229901</v>
      </c>
      <c r="AH2632">
        <v>22.664165523218902</v>
      </c>
      <c r="AI2632">
        <v>92.704150803527597</v>
      </c>
      <c r="AJ2632">
        <v>106.77742754088101</v>
      </c>
      <c r="AK2632">
        <v>23.6981848507025</v>
      </c>
      <c r="AL2632">
        <v>79.676996969150494</v>
      </c>
      <c r="AM2632">
        <v>100.197846612755</v>
      </c>
      <c r="AN2632">
        <v>0.99999994693532801</v>
      </c>
    </row>
    <row r="2633" spans="1:40" x14ac:dyDescent="0.25">
      <c r="A2633" t="str">
        <f>"20190312172420779"</f>
        <v>20190312172420779</v>
      </c>
      <c r="B2633" t="str">
        <f>"1552382660772582"</f>
        <v>1552382660772582</v>
      </c>
      <c r="C2633" t="s">
        <v>40</v>
      </c>
      <c r="D2633">
        <v>3.5778660000000002</v>
      </c>
      <c r="E2633">
        <v>0.46368530000000002</v>
      </c>
      <c r="F2633" t="s">
        <v>43</v>
      </c>
      <c r="G2633">
        <v>-489.84609999999998</v>
      </c>
      <c r="H2633" s="1">
        <v>-3.318107E-6</v>
      </c>
      <c r="I2633">
        <v>247.30369999999999</v>
      </c>
      <c r="J2633">
        <v>-487.4153</v>
      </c>
      <c r="K2633">
        <v>1.1179840000000001</v>
      </c>
      <c r="L2633">
        <v>270.74220000000003</v>
      </c>
      <c r="M2633">
        <v>-0.38484869999999999</v>
      </c>
      <c r="N2633">
        <v>0</v>
      </c>
      <c r="O2633">
        <v>-0.92285819999999996</v>
      </c>
      <c r="P2633">
        <v>-0.21688869999999999</v>
      </c>
      <c r="Q2633">
        <v>0.1676609</v>
      </c>
      <c r="R2633">
        <v>-0.96169079999999996</v>
      </c>
      <c r="S2633">
        <v>-0.32263180000000002</v>
      </c>
      <c r="T2633">
        <v>-0.1459367</v>
      </c>
      <c r="U2633">
        <v>-3.0741269999999998</v>
      </c>
      <c r="V2633">
        <v>-0.1731461</v>
      </c>
      <c r="W2633">
        <v>0.1791719</v>
      </c>
      <c r="X2633">
        <v>0.96846160000000003</v>
      </c>
      <c r="Y2633">
        <v>-0.28653810000000002</v>
      </c>
      <c r="Z2633">
        <v>4.0873609999999998E-2</v>
      </c>
      <c r="AA2633">
        <v>0.95719659999999995</v>
      </c>
      <c r="AB2633">
        <v>23</v>
      </c>
      <c r="AC2633">
        <v>-2.4307999999999699</v>
      </c>
      <c r="AD2633">
        <v>-1.1179873181069999</v>
      </c>
      <c r="AE2633">
        <v>-23.438500000000001</v>
      </c>
      <c r="AF2633">
        <v>-6.7625302512865604</v>
      </c>
      <c r="AG2633">
        <v>-1.1179873181069999</v>
      </c>
      <c r="AH2633">
        <v>22.517745876103199</v>
      </c>
      <c r="AI2633">
        <v>92.722425898522602</v>
      </c>
      <c r="AJ2633">
        <v>106.716065421473</v>
      </c>
      <c r="AK2633">
        <v>23.537854413344</v>
      </c>
      <c r="AL2633">
        <v>79.678471017457596</v>
      </c>
      <c r="AM2633">
        <v>100.13651220539199</v>
      </c>
      <c r="AN2633">
        <v>1.0000000061846901</v>
      </c>
    </row>
    <row r="2634" spans="1:40" x14ac:dyDescent="0.25">
      <c r="A2634" t="str">
        <f>"20190312172420798"</f>
        <v>20190312172420798</v>
      </c>
      <c r="B2634" t="str">
        <f>"1552382660793079"</f>
        <v>1552382660793079</v>
      </c>
      <c r="C2634" t="s">
        <v>40</v>
      </c>
      <c r="D2634">
        <v>3.5778490000000001</v>
      </c>
      <c r="E2634">
        <v>0.46397240000000001</v>
      </c>
      <c r="F2634" t="s">
        <v>43</v>
      </c>
      <c r="G2634">
        <v>-490.43759999999997</v>
      </c>
      <c r="H2634" s="1">
        <v>-2.9331489999999998E-6</v>
      </c>
      <c r="I2634">
        <v>246.1549</v>
      </c>
      <c r="J2634">
        <v>-487.47980000000001</v>
      </c>
      <c r="K2634">
        <v>1.1178709999999901</v>
      </c>
      <c r="L2634">
        <v>270.55939999999998</v>
      </c>
      <c r="M2634">
        <v>-0.37599440000000001</v>
      </c>
      <c r="N2634">
        <v>0</v>
      </c>
      <c r="O2634">
        <v>-0.92650149999999998</v>
      </c>
      <c r="P2634">
        <v>-0.20953720000000001</v>
      </c>
      <c r="Q2634">
        <v>0.16737550000000001</v>
      </c>
      <c r="R2634">
        <v>-0.96336920000000004</v>
      </c>
      <c r="S2634">
        <v>-0.37600709999999998</v>
      </c>
      <c r="T2634">
        <v>-0.1390902</v>
      </c>
      <c r="U2634">
        <v>-3.058929</v>
      </c>
      <c r="V2634">
        <v>-0.17122989999999999</v>
      </c>
      <c r="W2634">
        <v>0.17894760000000001</v>
      </c>
      <c r="X2634">
        <v>0.96884369999999997</v>
      </c>
      <c r="Y2634">
        <v>-0.26027489999999998</v>
      </c>
      <c r="Z2634">
        <v>3.953272E-2</v>
      </c>
      <c r="AA2634">
        <v>0.9647249</v>
      </c>
      <c r="AB2634">
        <v>23</v>
      </c>
      <c r="AC2634">
        <v>-2.9577999999999598</v>
      </c>
      <c r="AD2634">
        <v>-1.11787393314899</v>
      </c>
      <c r="AE2634">
        <v>-24.404499999999899</v>
      </c>
      <c r="AF2634">
        <v>-6.4229858859374502</v>
      </c>
      <c r="AG2634">
        <v>-1.11787393314899</v>
      </c>
      <c r="AH2634">
        <v>23.676610820093899</v>
      </c>
      <c r="AI2634">
        <v>92.609010518712694</v>
      </c>
      <c r="AJ2634">
        <v>105.177897071934</v>
      </c>
      <c r="AK2634">
        <v>24.557815247850399</v>
      </c>
      <c r="AL2634">
        <v>79.691533704717301</v>
      </c>
      <c r="AM2634">
        <v>100.022746322822</v>
      </c>
      <c r="AN2634">
        <v>1.00000001861472</v>
      </c>
    </row>
    <row r="2635" spans="1:40" x14ac:dyDescent="0.25">
      <c r="A2635" t="str">
        <f>"20190312172420811"</f>
        <v>20190312172420811</v>
      </c>
      <c r="B2635" t="str">
        <f>"1552382660802839"</f>
        <v>1552382660802839</v>
      </c>
      <c r="C2635" t="s">
        <v>40</v>
      </c>
      <c r="D2635">
        <v>3.5743779999999998</v>
      </c>
      <c r="E2635">
        <v>0.46402660000000001</v>
      </c>
      <c r="F2635" t="s">
        <v>43</v>
      </c>
      <c r="G2635">
        <v>-490.45310000000001</v>
      </c>
      <c r="H2635" s="1">
        <v>-2.4207800000000001E-6</v>
      </c>
      <c r="I2635">
        <v>244.95099999999999</v>
      </c>
      <c r="J2635">
        <v>-487.52190000000002</v>
      </c>
      <c r="K2635">
        <v>1.1177889999999999</v>
      </c>
      <c r="L2635">
        <v>270.43680000000001</v>
      </c>
      <c r="M2635">
        <v>-0.3701314</v>
      </c>
      <c r="N2635">
        <v>0</v>
      </c>
      <c r="O2635">
        <v>-0.92885949999999995</v>
      </c>
      <c r="P2635">
        <v>-0.2040246</v>
      </c>
      <c r="Q2635">
        <v>0.16726009999999999</v>
      </c>
      <c r="R2635">
        <v>-0.96457170000000003</v>
      </c>
      <c r="S2635">
        <v>-0.35528559999999998</v>
      </c>
      <c r="T2635">
        <v>-0.13357829999999901</v>
      </c>
      <c r="U2635">
        <v>-3.060028</v>
      </c>
      <c r="V2635">
        <v>-0.1706154</v>
      </c>
      <c r="W2635">
        <v>0.17886079999999999</v>
      </c>
      <c r="X2635">
        <v>0.9689681</v>
      </c>
      <c r="Y2635">
        <v>-0.26064860000000001</v>
      </c>
      <c r="Z2635">
        <v>3.8118350000000002E-2</v>
      </c>
      <c r="AA2635">
        <v>0.96468089999999995</v>
      </c>
      <c r="AB2635">
        <v>23</v>
      </c>
      <c r="AC2635">
        <v>-2.9311999999999898</v>
      </c>
      <c r="AD2635">
        <v>-1.1177914207799999</v>
      </c>
      <c r="AE2635">
        <v>-25.485800000000001</v>
      </c>
      <c r="AF2635">
        <v>-6.6984522302158602</v>
      </c>
      <c r="AG2635">
        <v>-1.1177914207799999</v>
      </c>
      <c r="AH2635">
        <v>24.713495420751102</v>
      </c>
      <c r="AI2635">
        <v>92.499652420335806</v>
      </c>
      <c r="AJ2635">
        <v>105.165329266962</v>
      </c>
      <c r="AK2635">
        <v>25.6295839968646</v>
      </c>
      <c r="AL2635">
        <v>79.696588228685499</v>
      </c>
      <c r="AM2635">
        <v>99.986246320694505</v>
      </c>
      <c r="AN2635">
        <v>0.99999998965570402</v>
      </c>
    </row>
    <row r="2636" spans="1:40" x14ac:dyDescent="0.25">
      <c r="A2636" t="str">
        <f>"20190312172420832"</f>
        <v>20190312172420832</v>
      </c>
      <c r="B2636" t="str">
        <f>"1552382660822358"</f>
        <v>1552382660822358</v>
      </c>
      <c r="C2636" t="s">
        <v>40</v>
      </c>
      <c r="D2636">
        <v>3.5686490000000002</v>
      </c>
      <c r="E2636">
        <v>0.4649855</v>
      </c>
      <c r="F2636" t="s">
        <v>43</v>
      </c>
      <c r="G2636">
        <v>-490.40440000000001</v>
      </c>
      <c r="H2636" s="1">
        <v>-2.1528040000000001E-6</v>
      </c>
      <c r="I2636">
        <v>244.35659999999999</v>
      </c>
      <c r="J2636">
        <v>-487.59010000000001</v>
      </c>
      <c r="K2636">
        <v>1.1176489999999999</v>
      </c>
      <c r="L2636">
        <v>270.23390000000001</v>
      </c>
      <c r="M2636">
        <v>-0.36053849999999998</v>
      </c>
      <c r="N2636">
        <v>0</v>
      </c>
      <c r="O2636">
        <v>-0.93262520000000004</v>
      </c>
      <c r="P2636">
        <v>-0.19553190000000001</v>
      </c>
      <c r="Q2636">
        <v>0.1666474</v>
      </c>
      <c r="R2636">
        <v>-0.96643489999999999</v>
      </c>
      <c r="S2636">
        <v>-0.33834839999999999</v>
      </c>
      <c r="T2636">
        <v>-0.13120960000000001</v>
      </c>
      <c r="U2636">
        <v>-3.0613709999999998</v>
      </c>
      <c r="V2636">
        <v>-0.16911419999999999</v>
      </c>
      <c r="W2636">
        <v>0.1783063</v>
      </c>
      <c r="X2636">
        <v>0.96933340000000001</v>
      </c>
      <c r="Y2636">
        <v>-0.2560113</v>
      </c>
      <c r="Z2636">
        <v>3.7702359999999997E-2</v>
      </c>
      <c r="AA2636">
        <v>0.96593830000000003</v>
      </c>
      <c r="AB2636">
        <v>23</v>
      </c>
      <c r="AC2636">
        <v>-2.8142999999999998</v>
      </c>
      <c r="AD2636">
        <v>-1.1176511528039901</v>
      </c>
      <c r="AE2636">
        <v>-25.877300000000002</v>
      </c>
      <c r="AF2636">
        <v>-6.6934808331986799</v>
      </c>
      <c r="AG2636">
        <v>-1.1176511528039901</v>
      </c>
      <c r="AH2636">
        <v>25.1049966691976</v>
      </c>
      <c r="AI2636">
        <v>92.463138972335301</v>
      </c>
      <c r="AJ2636">
        <v>104.928892352864</v>
      </c>
      <c r="AK2636">
        <v>26.0060125264175</v>
      </c>
      <c r="AL2636">
        <v>79.728877855658794</v>
      </c>
      <c r="AM2636">
        <v>99.896468782690206</v>
      </c>
      <c r="AN2636">
        <v>0.99999999480844404</v>
      </c>
    </row>
    <row r="2637" spans="1:40" x14ac:dyDescent="0.25">
      <c r="A2637" t="str">
        <f>"20190312172420843"</f>
        <v>20190312172420843</v>
      </c>
      <c r="B2637" t="str">
        <f>"1552382660833095"</f>
        <v>1552382660833095</v>
      </c>
      <c r="C2637" t="s">
        <v>40</v>
      </c>
      <c r="D2637">
        <v>3.5944180000000001</v>
      </c>
      <c r="E2637">
        <v>0.4649855</v>
      </c>
      <c r="F2637" t="s">
        <v>43</v>
      </c>
      <c r="G2637">
        <v>-490.29840000000002</v>
      </c>
      <c r="H2637" s="1">
        <v>-2.0667329999999999E-6</v>
      </c>
      <c r="I2637">
        <v>244.2216</v>
      </c>
      <c r="J2637">
        <v>-487.62700000000001</v>
      </c>
      <c r="K2637">
        <v>1.117569</v>
      </c>
      <c r="L2637">
        <v>270.12169999999998</v>
      </c>
      <c r="M2637">
        <v>-0.35528680000000001</v>
      </c>
      <c r="N2637">
        <v>0</v>
      </c>
      <c r="O2637">
        <v>-0.93463890000000005</v>
      </c>
      <c r="P2637">
        <v>-0.1907404</v>
      </c>
      <c r="Q2637">
        <v>0.166521</v>
      </c>
      <c r="R2637">
        <v>-0.96741350000000004</v>
      </c>
      <c r="S2637">
        <v>-0.31884770000000001</v>
      </c>
      <c r="T2637">
        <v>-0.131578799999999</v>
      </c>
      <c r="U2637">
        <v>-3.0623779999999998</v>
      </c>
      <c r="V2637">
        <v>-0.1684341</v>
      </c>
      <c r="W2637">
        <v>0.17820820000000001</v>
      </c>
      <c r="X2637">
        <v>0.96946980000000005</v>
      </c>
      <c r="Y2637">
        <v>-0.25668980000000002</v>
      </c>
      <c r="Z2637">
        <v>3.7931189999999997E-2</v>
      </c>
      <c r="AA2637">
        <v>0.96574919999999997</v>
      </c>
      <c r="AB2637">
        <v>23</v>
      </c>
      <c r="AC2637">
        <v>-2.6714000000000602</v>
      </c>
      <c r="AD2637">
        <v>-1.1175710667329899</v>
      </c>
      <c r="AE2637">
        <v>-25.900099999999899</v>
      </c>
      <c r="AF2637">
        <v>-6.69358039589721</v>
      </c>
      <c r="AG2637">
        <v>-1.1175710667329899</v>
      </c>
      <c r="AH2637">
        <v>25.112875086799999</v>
      </c>
      <c r="AI2637">
        <v>92.462239731019906</v>
      </c>
      <c r="AJ2637">
        <v>104.92462996914</v>
      </c>
      <c r="AK2637">
        <v>26.0136402437406</v>
      </c>
      <c r="AL2637">
        <v>79.734589602637598</v>
      </c>
      <c r="AM2637">
        <v>99.856092256476401</v>
      </c>
      <c r="AN2637">
        <v>0.99999995085104298</v>
      </c>
    </row>
    <row r="2638" spans="1:40" x14ac:dyDescent="0.25">
      <c r="A2638" t="str">
        <f>"20190312172420855"</f>
        <v>20190312172420855</v>
      </c>
      <c r="B2638" t="str">
        <f>"1552382660842855"</f>
        <v>1552382660842855</v>
      </c>
      <c r="C2638" t="s">
        <v>40</v>
      </c>
      <c r="D2638">
        <v>3.5937540000000001</v>
      </c>
      <c r="E2638">
        <v>0.47153869999999998</v>
      </c>
      <c r="F2638" t="s">
        <v>43</v>
      </c>
      <c r="G2638">
        <v>-490.20280000000002</v>
      </c>
      <c r="H2638" s="1">
        <v>-2.028333E-6</v>
      </c>
      <c r="I2638">
        <v>244.19139999999999</v>
      </c>
      <c r="J2638">
        <v>-487.66379999999998</v>
      </c>
      <c r="K2638">
        <v>1.1174869999999999</v>
      </c>
      <c r="L2638">
        <v>270.00729999999999</v>
      </c>
      <c r="M2638">
        <v>-0.35000629999999999</v>
      </c>
      <c r="N2638">
        <v>0</v>
      </c>
      <c r="O2638">
        <v>-0.93662939999999995</v>
      </c>
      <c r="P2638">
        <v>-0.18605450000000001</v>
      </c>
      <c r="Q2638">
        <v>0.1664688</v>
      </c>
      <c r="R2638">
        <v>-0.96833480000000005</v>
      </c>
      <c r="S2638">
        <v>-0.30435180000000001</v>
      </c>
      <c r="T2638">
        <v>-0.13204739999999901</v>
      </c>
      <c r="U2638">
        <v>-3.063812</v>
      </c>
      <c r="V2638">
        <v>-0.1676202</v>
      </c>
      <c r="W2638">
        <v>0.17818609999999999</v>
      </c>
      <c r="X2638">
        <v>0.969615</v>
      </c>
      <c r="Y2638">
        <v>-0.2558048</v>
      </c>
      <c r="Z2638">
        <v>3.818829E-2</v>
      </c>
      <c r="AA2638">
        <v>0.96597390000000005</v>
      </c>
      <c r="AB2638">
        <v>23</v>
      </c>
      <c r="AC2638">
        <v>-2.5390000000000401</v>
      </c>
      <c r="AD2638">
        <v>-1.1174890283329999</v>
      </c>
      <c r="AE2638">
        <v>-25.815899999999999</v>
      </c>
      <c r="AF2638">
        <v>-6.6460275369747404</v>
      </c>
      <c r="AG2638">
        <v>-1.1174890283329999</v>
      </c>
      <c r="AH2638">
        <v>25.024925646998401</v>
      </c>
      <c r="AI2638">
        <v>92.471292151868795</v>
      </c>
      <c r="AJ2638">
        <v>104.873076368757</v>
      </c>
      <c r="AK2638">
        <v>25.916507623298099</v>
      </c>
      <c r="AL2638">
        <v>79.735877287277305</v>
      </c>
      <c r="AM2638">
        <v>99.807953046106505</v>
      </c>
      <c r="AN2638">
        <v>1.00000003295312</v>
      </c>
    </row>
    <row r="2639" spans="1:40" x14ac:dyDescent="0.25">
      <c r="A2639" t="str">
        <f>"20190312172420876"</f>
        <v>20190312172420876</v>
      </c>
      <c r="B2639" t="str">
        <f>"1552382660873112"</f>
        <v>1552382660873112</v>
      </c>
      <c r="C2639" t="s">
        <v>40</v>
      </c>
      <c r="D2639">
        <v>3.5761690000000002</v>
      </c>
      <c r="E2639">
        <v>0.4767227</v>
      </c>
      <c r="F2639" t="s">
        <v>43</v>
      </c>
      <c r="G2639">
        <v>-490.75259999999997</v>
      </c>
      <c r="H2639" s="1">
        <v>-1.380617E-6</v>
      </c>
      <c r="I2639">
        <v>242.34059999999999</v>
      </c>
      <c r="J2639">
        <v>-487.72480000000002</v>
      </c>
      <c r="K2639">
        <v>1.1173420000000001</v>
      </c>
      <c r="L2639">
        <v>269.8134</v>
      </c>
      <c r="M2639">
        <v>-0.34115790000000001</v>
      </c>
      <c r="N2639">
        <v>0</v>
      </c>
      <c r="O2639">
        <v>-0.93988890000000003</v>
      </c>
      <c r="P2639">
        <v>-0.17824400000000001</v>
      </c>
      <c r="Q2639">
        <v>0.16637869999999999</v>
      </c>
      <c r="R2639">
        <v>-0.96981839999999997</v>
      </c>
      <c r="S2639">
        <v>-0.34094239999999998</v>
      </c>
      <c r="T2639">
        <v>-0.1233462</v>
      </c>
      <c r="U2639">
        <v>-3.0538020000000001</v>
      </c>
      <c r="V2639">
        <v>-0.16622999999999999</v>
      </c>
      <c r="W2639">
        <v>0.17814669999999999</v>
      </c>
      <c r="X2639">
        <v>0.96986150000000004</v>
      </c>
      <c r="Y2639">
        <v>-0.23486380000000001</v>
      </c>
      <c r="Z2639">
        <v>3.607378E-2</v>
      </c>
      <c r="AA2639">
        <v>0.97135870000000002</v>
      </c>
      <c r="AB2639">
        <v>23</v>
      </c>
      <c r="AC2639">
        <v>-3.0277999999999499</v>
      </c>
      <c r="AD2639">
        <v>-1.1173433806169999</v>
      </c>
      <c r="AE2639">
        <v>-27.472799999999999</v>
      </c>
      <c r="AF2639">
        <v>-6.5168353967732804</v>
      </c>
      <c r="AG2639">
        <v>-1.1173433806169999</v>
      </c>
      <c r="AH2639">
        <v>26.813473558429202</v>
      </c>
      <c r="AI2639">
        <v>92.318764701705007</v>
      </c>
      <c r="AJ2639">
        <v>103.660491284782</v>
      </c>
      <c r="AK2639">
        <v>27.616660987299401</v>
      </c>
      <c r="AL2639">
        <v>79.738171046712694</v>
      </c>
      <c r="AM2639">
        <v>99.725743710802803</v>
      </c>
      <c r="AN2639">
        <v>0.99999999440156995</v>
      </c>
    </row>
    <row r="2640" spans="1:40" x14ac:dyDescent="0.25">
      <c r="A2640" t="str">
        <f>"20190312172420887"</f>
        <v>20190312172420887</v>
      </c>
      <c r="B2640" t="str">
        <f>"1552382660882870"</f>
        <v>1552382660882870</v>
      </c>
      <c r="C2640" t="s">
        <v>40</v>
      </c>
      <c r="D2640">
        <v>3.6278510000000002</v>
      </c>
      <c r="E2640">
        <v>0.477406</v>
      </c>
      <c r="F2640" t="s">
        <v>43</v>
      </c>
      <c r="G2640">
        <v>-490.66840000000002</v>
      </c>
      <c r="H2640" s="1">
        <v>-2.3602010000000001E-6</v>
      </c>
      <c r="I2640">
        <v>244.6763</v>
      </c>
      <c r="J2640">
        <v>-487.75830000000002</v>
      </c>
      <c r="K2640">
        <v>1.117264</v>
      </c>
      <c r="L2640">
        <v>269.70409999999998</v>
      </c>
      <c r="M2640">
        <v>-0.33624579999999998</v>
      </c>
      <c r="N2640">
        <v>0</v>
      </c>
      <c r="O2640">
        <v>-0.94165770000000004</v>
      </c>
      <c r="P2640">
        <v>-0.1739047</v>
      </c>
      <c r="Q2640">
        <v>0.16640139999999901</v>
      </c>
      <c r="R2640">
        <v>-0.97060190000000002</v>
      </c>
      <c r="S2640">
        <v>-0.35726930000000001</v>
      </c>
      <c r="T2640">
        <v>-0.13561500000000001</v>
      </c>
      <c r="U2640">
        <v>-3.050964</v>
      </c>
      <c r="V2640">
        <v>-0.16546620000000001</v>
      </c>
      <c r="W2640">
        <v>0.17819740000000001</v>
      </c>
      <c r="X2640">
        <v>0.96998280000000003</v>
      </c>
      <c r="Y2640">
        <v>-0.22456209999999999</v>
      </c>
      <c r="Z2640">
        <v>3.9851299999999999E-2</v>
      </c>
      <c r="AA2640">
        <v>0.97364459999999997</v>
      </c>
      <c r="AB2640">
        <v>23</v>
      </c>
      <c r="AC2640">
        <v>-2.9100999999999999</v>
      </c>
      <c r="AD2640">
        <v>-1.117266360201</v>
      </c>
      <c r="AE2640">
        <v>-25.0277999999999</v>
      </c>
      <c r="AF2640">
        <v>-5.6646595583885899</v>
      </c>
      <c r="AG2640">
        <v>-1.117266360201</v>
      </c>
      <c r="AH2640">
        <v>24.5006502507341</v>
      </c>
      <c r="AI2640">
        <v>92.543947406381093</v>
      </c>
      <c r="AJ2640">
        <v>103.01829036526701</v>
      </c>
      <c r="AK2640">
        <v>25.171780126579801</v>
      </c>
      <c r="AL2640">
        <v>79.735219019449602</v>
      </c>
      <c r="AM2640">
        <v>99.6807153951288</v>
      </c>
      <c r="AN2640">
        <v>1.0000000045025199</v>
      </c>
    </row>
    <row r="2641" spans="1:40" x14ac:dyDescent="0.25">
      <c r="A2641" t="str">
        <f>"20190312172420904"</f>
        <v>20190312172420904</v>
      </c>
      <c r="B2641" t="str">
        <f>"1552382660892630"</f>
        <v>1552382660892630</v>
      </c>
      <c r="C2641" t="s">
        <v>40</v>
      </c>
      <c r="D2641">
        <v>3.6651289999999999</v>
      </c>
      <c r="E2641">
        <v>0.4779775</v>
      </c>
      <c r="F2641" t="s">
        <v>43</v>
      </c>
      <c r="G2641">
        <v>-490.56119999999999</v>
      </c>
      <c r="H2641" s="1">
        <v>-2.5472669999999999E-6</v>
      </c>
      <c r="I2641">
        <v>245.1788</v>
      </c>
      <c r="J2641">
        <v>-487.8073</v>
      </c>
      <c r="K2641">
        <v>1.1171489999999999</v>
      </c>
      <c r="L2641">
        <v>269.5419</v>
      </c>
      <c r="M2641">
        <v>-0.329042</v>
      </c>
      <c r="N2641">
        <v>0</v>
      </c>
      <c r="O2641">
        <v>-0.94419940000000002</v>
      </c>
      <c r="P2641">
        <v>-0.16694909999999999</v>
      </c>
      <c r="Q2641">
        <v>0.16645670000000001</v>
      </c>
      <c r="R2641">
        <v>-0.97181300000000004</v>
      </c>
      <c r="S2641">
        <v>-0.34881590000000001</v>
      </c>
      <c r="T2641">
        <v>-0.13904559999999999</v>
      </c>
      <c r="U2641">
        <v>-3.052216</v>
      </c>
      <c r="V2641">
        <v>-0.16494610000000001</v>
      </c>
      <c r="W2641">
        <v>0.17828239999999901</v>
      </c>
      <c r="X2641">
        <v>0.97005580000000002</v>
      </c>
      <c r="Y2641">
        <v>-0.2198272</v>
      </c>
      <c r="Z2641">
        <v>4.104232E-2</v>
      </c>
      <c r="AA2641">
        <v>0.97467510000000002</v>
      </c>
      <c r="AB2641">
        <v>23</v>
      </c>
      <c r="AC2641">
        <v>-2.7538999999999798</v>
      </c>
      <c r="AD2641">
        <v>-1.1171515472669999</v>
      </c>
      <c r="AE2641">
        <v>-24.363099999999999</v>
      </c>
      <c r="AF2641">
        <v>-5.4056226728995096</v>
      </c>
      <c r="AG2641">
        <v>-1.1171515472669999</v>
      </c>
      <c r="AH2641">
        <v>23.862848672233302</v>
      </c>
      <c r="AI2641">
        <v>92.614233784831796</v>
      </c>
      <c r="AJ2641">
        <v>102.763729626944</v>
      </c>
      <c r="AK2641">
        <v>24.492944510924701</v>
      </c>
      <c r="AL2641">
        <v>79.730270019179102</v>
      </c>
      <c r="AM2641">
        <v>99.650147144310296</v>
      </c>
      <c r="AN2641">
        <v>1.0000000425843001</v>
      </c>
    </row>
    <row r="2642" spans="1:40" x14ac:dyDescent="0.25">
      <c r="A2642" t="str">
        <f>"20190312172420917"</f>
        <v>20190312172420917</v>
      </c>
      <c r="B2642" t="str">
        <f>"1552382660913126"</f>
        <v>1552382660913126</v>
      </c>
      <c r="C2642" t="s">
        <v>40</v>
      </c>
      <c r="D2642">
        <v>3.7901129999999998</v>
      </c>
      <c r="E2642">
        <v>0.47878500000000002</v>
      </c>
      <c r="F2642" t="s">
        <v>43</v>
      </c>
      <c r="G2642">
        <v>-490.42529999999999</v>
      </c>
      <c r="H2642" s="1">
        <v>-2.642121E-6</v>
      </c>
      <c r="I2642">
        <v>245.48419999999999</v>
      </c>
      <c r="J2642">
        <v>-487.84539999999998</v>
      </c>
      <c r="K2642">
        <v>1.117051</v>
      </c>
      <c r="L2642">
        <v>269.41199999999998</v>
      </c>
      <c r="M2642">
        <v>-0.32338099999999997</v>
      </c>
      <c r="N2642">
        <v>0</v>
      </c>
      <c r="O2642">
        <v>-0.94615380000000004</v>
      </c>
      <c r="P2642">
        <v>-0.16153219999999999</v>
      </c>
      <c r="Q2642">
        <v>0.16645399999999999</v>
      </c>
      <c r="R2642">
        <v>-0.97272860000000005</v>
      </c>
      <c r="S2642">
        <v>-0.33236690000000002</v>
      </c>
      <c r="T2642">
        <v>-0.141825799999999</v>
      </c>
      <c r="U2642">
        <v>-3.0541990000000001</v>
      </c>
      <c r="V2642">
        <v>-0.1644958</v>
      </c>
      <c r="W2642">
        <v>0.178304399999999</v>
      </c>
      <c r="X2642">
        <v>0.9701282</v>
      </c>
      <c r="Y2642">
        <v>-0.21924450000000001</v>
      </c>
      <c r="Z2642">
        <v>4.1982899999999997E-2</v>
      </c>
      <c r="AA2642">
        <v>0.97476629999999997</v>
      </c>
      <c r="AB2642">
        <v>23</v>
      </c>
      <c r="AC2642">
        <v>-2.5798999999999999</v>
      </c>
      <c r="AD2642">
        <v>-1.117053642121</v>
      </c>
      <c r="AE2642">
        <v>-23.927800000000001</v>
      </c>
      <c r="AF2642">
        <v>-5.2860023240951097</v>
      </c>
      <c r="AG2642">
        <v>-1.117053642121</v>
      </c>
      <c r="AH2642">
        <v>23.425757197385099</v>
      </c>
      <c r="AI2642">
        <v>92.663212204310199</v>
      </c>
      <c r="AJ2642">
        <v>102.715780217345</v>
      </c>
      <c r="AK2642">
        <v>24.0407098414451</v>
      </c>
      <c r="AL2642">
        <v>79.728988812893206</v>
      </c>
      <c r="AM2642">
        <v>99.623591012355604</v>
      </c>
      <c r="AN2642">
        <v>1.0000000258561099</v>
      </c>
    </row>
    <row r="2643" spans="1:40" x14ac:dyDescent="0.25">
      <c r="A2643" t="str">
        <f>"20190312172420933"</f>
        <v>20190312172420933</v>
      </c>
      <c r="B2643" t="str">
        <f>"1552382660922887"</f>
        <v>1552382660922887</v>
      </c>
      <c r="C2643" t="s">
        <v>40</v>
      </c>
      <c r="D2643">
        <v>3.7160669999999998</v>
      </c>
      <c r="E2643">
        <v>0.47949599999999998</v>
      </c>
      <c r="F2643" t="s">
        <v>43</v>
      </c>
      <c r="G2643">
        <v>-490.24489999999997</v>
      </c>
      <c r="H2643" s="1">
        <v>-3.1100459999999999E-6</v>
      </c>
      <c r="I2643">
        <v>246.68680000000001</v>
      </c>
      <c r="J2643">
        <v>-487.89190000000002</v>
      </c>
      <c r="K2643">
        <v>1.1169249999999999</v>
      </c>
      <c r="L2643">
        <v>269.25009999999997</v>
      </c>
      <c r="M2643">
        <v>-0.3164305</v>
      </c>
      <c r="N2643">
        <v>0</v>
      </c>
      <c r="O2643">
        <v>-0.94850129999999999</v>
      </c>
      <c r="P2643">
        <v>-0.15507839999999901</v>
      </c>
      <c r="Q2643">
        <v>0.16625899999999999</v>
      </c>
      <c r="R2643">
        <v>-0.97381139999999999</v>
      </c>
      <c r="S2643">
        <v>-0.3226929</v>
      </c>
      <c r="T2643">
        <v>-0.15022479999999999</v>
      </c>
      <c r="U2643">
        <v>-3.056152</v>
      </c>
      <c r="V2643">
        <v>-0.1637614</v>
      </c>
      <c r="W2643">
        <v>0.17814349999999901</v>
      </c>
      <c r="X2643">
        <v>0.97028199999999998</v>
      </c>
      <c r="Y2643">
        <v>-0.2152136</v>
      </c>
      <c r="Z2643">
        <v>4.4634930000000003E-2</v>
      </c>
      <c r="AA2643">
        <v>0.97554640000000004</v>
      </c>
      <c r="AB2643">
        <v>23</v>
      </c>
      <c r="AC2643">
        <v>-2.35299999999995</v>
      </c>
      <c r="AD2643">
        <v>-1.116928110046</v>
      </c>
      <c r="AE2643">
        <v>-22.563299999999899</v>
      </c>
      <c r="AF2643">
        <v>-4.8965557282113297</v>
      </c>
      <c r="AG2643">
        <v>-1.116928110046</v>
      </c>
      <c r="AH2643">
        <v>22.094724352000298</v>
      </c>
      <c r="AI2643">
        <v>92.825502499662903</v>
      </c>
      <c r="AJ2643">
        <v>102.49573195018201</v>
      </c>
      <c r="AK2643">
        <v>22.658345716167499</v>
      </c>
      <c r="AL2643">
        <v>79.738357754555807</v>
      </c>
      <c r="AM2643">
        <v>99.579933661933794</v>
      </c>
      <c r="AN2643">
        <v>1.0000000311231001</v>
      </c>
    </row>
    <row r="2644" spans="1:40" x14ac:dyDescent="0.25">
      <c r="A2644" t="str">
        <f>"20190312172420949"</f>
        <v>20190312172420949</v>
      </c>
      <c r="B2644" t="str">
        <f>"1552382660942406"</f>
        <v>1552382660942406</v>
      </c>
      <c r="C2644" t="s">
        <v>40</v>
      </c>
      <c r="D2644">
        <v>3.69489</v>
      </c>
      <c r="E2644">
        <v>0.48023320000000003</v>
      </c>
      <c r="F2644" t="s">
        <v>43</v>
      </c>
      <c r="G2644">
        <v>-490.17320000000001</v>
      </c>
      <c r="H2644" s="1">
        <v>-3.0997749999999999E-6</v>
      </c>
      <c r="I2644">
        <v>246.70740000000001</v>
      </c>
      <c r="J2644">
        <v>-487.9325</v>
      </c>
      <c r="K2644">
        <v>1.116808</v>
      </c>
      <c r="L2644">
        <v>269.10570000000001</v>
      </c>
      <c r="M2644">
        <v>-0.3103341</v>
      </c>
      <c r="N2644">
        <v>0</v>
      </c>
      <c r="O2644">
        <v>-0.95051379999999996</v>
      </c>
      <c r="P2644">
        <v>-0.14943409999999999</v>
      </c>
      <c r="Q2644">
        <v>0.16606979999999999</v>
      </c>
      <c r="R2644">
        <v>-0.97472599999999998</v>
      </c>
      <c r="S2644">
        <v>-0.30938719999999997</v>
      </c>
      <c r="T2644">
        <v>-0.151479799999999</v>
      </c>
      <c r="U2644">
        <v>-3.0572810000000001</v>
      </c>
      <c r="V2644">
        <v>-0.16310720000000001</v>
      </c>
      <c r="W2644">
        <v>0.1779848</v>
      </c>
      <c r="X2644">
        <v>0.97042130000000004</v>
      </c>
      <c r="Y2644">
        <v>-0.2131836</v>
      </c>
      <c r="Z2644">
        <v>4.5158299999999998E-2</v>
      </c>
      <c r="AA2644">
        <v>0.9759679</v>
      </c>
      <c r="AB2644">
        <v>23</v>
      </c>
      <c r="AC2644">
        <v>-2.2406999999999999</v>
      </c>
      <c r="AD2644">
        <v>-1.116811099775</v>
      </c>
      <c r="AE2644">
        <v>-22.398299999999999</v>
      </c>
      <c r="AF2644">
        <v>-4.8098218938265802</v>
      </c>
      <c r="AG2644">
        <v>-1.116811099775</v>
      </c>
      <c r="AH2644">
        <v>21.93364627855</v>
      </c>
      <c r="AI2644">
        <v>92.847311208804499</v>
      </c>
      <c r="AJ2644">
        <v>102.368592324031</v>
      </c>
      <c r="AK2644">
        <v>22.4825819859612</v>
      </c>
      <c r="AL2644">
        <v>79.747598190352406</v>
      </c>
      <c r="AM2644">
        <v>99.541023945318699</v>
      </c>
      <c r="AN2644">
        <v>1.00000002360828</v>
      </c>
    </row>
    <row r="2645" spans="1:40" x14ac:dyDescent="0.25">
      <c r="A2645" t="str">
        <f>"20190312172420965"</f>
        <v>20190312172420965</v>
      </c>
      <c r="B2645" t="str">
        <f>"1552382660962902"</f>
        <v>1552382660962902</v>
      </c>
      <c r="C2645" t="s">
        <v>40</v>
      </c>
      <c r="D2645">
        <v>3.6858789999999999</v>
      </c>
      <c r="E2645">
        <v>0.4887321</v>
      </c>
      <c r="F2645" t="s">
        <v>43</v>
      </c>
      <c r="G2645">
        <v>-490.11329999999998</v>
      </c>
      <c r="H2645" s="1">
        <v>-3.0997550000000002E-6</v>
      </c>
      <c r="I2645">
        <v>246.74440000000001</v>
      </c>
      <c r="J2645">
        <v>-487.9794</v>
      </c>
      <c r="K2645">
        <v>1.1166609999999999</v>
      </c>
      <c r="L2645">
        <v>268.9348</v>
      </c>
      <c r="M2645">
        <v>-0.3032589</v>
      </c>
      <c r="N2645">
        <v>0</v>
      </c>
      <c r="O2645">
        <v>-0.95279510000000001</v>
      </c>
      <c r="P2645">
        <v>-0.1430729</v>
      </c>
      <c r="Q2645">
        <v>0.16593810000000001</v>
      </c>
      <c r="R2645">
        <v>-0.97570219999999996</v>
      </c>
      <c r="S2645">
        <v>-0.29824830000000002</v>
      </c>
      <c r="T2645">
        <v>-0.15273429999999999</v>
      </c>
      <c r="U2645">
        <v>-3.0581049999999999</v>
      </c>
      <c r="V2645">
        <v>-0.16216029999999901</v>
      </c>
      <c r="W2645">
        <v>0.17789430000000001</v>
      </c>
      <c r="X2645">
        <v>0.97059660000000003</v>
      </c>
      <c r="Y2645">
        <v>-0.20946709999999999</v>
      </c>
      <c r="Z2645">
        <v>4.5715539999999999E-2</v>
      </c>
      <c r="AA2645">
        <v>0.97674640000000001</v>
      </c>
      <c r="AB2645">
        <v>23</v>
      </c>
      <c r="AC2645">
        <v>-2.1338999999999801</v>
      </c>
      <c r="AD2645">
        <v>-1.1166640997549999</v>
      </c>
      <c r="AE2645">
        <v>-22.190399999999901</v>
      </c>
      <c r="AF2645">
        <v>-4.6850178639976097</v>
      </c>
      <c r="AG2645">
        <v>-1.1166640997549999</v>
      </c>
      <c r="AH2645">
        <v>21.737834904234401</v>
      </c>
      <c r="AI2645">
        <v>92.874781955360305</v>
      </c>
      <c r="AJ2645">
        <v>102.16255527043199</v>
      </c>
      <c r="AK2645">
        <v>22.264990397963501</v>
      </c>
      <c r="AL2645">
        <v>79.752867847986494</v>
      </c>
      <c r="AM2645">
        <v>99.484962010776002</v>
      </c>
      <c r="AN2645">
        <v>1.0000000524000601</v>
      </c>
    </row>
    <row r="2646" spans="1:40" x14ac:dyDescent="0.25">
      <c r="A2646" t="str">
        <f>"20190312172420979"</f>
        <v>20190312172420979</v>
      </c>
      <c r="B2646" t="str">
        <f>"1552382660972662"</f>
        <v>1552382660972662</v>
      </c>
      <c r="C2646" t="s">
        <v>40</v>
      </c>
      <c r="D2646">
        <v>3.698528</v>
      </c>
      <c r="E2646">
        <v>0.4890465</v>
      </c>
      <c r="F2646" t="s">
        <v>43</v>
      </c>
      <c r="G2646">
        <v>-490.5419</v>
      </c>
      <c r="H2646" s="1">
        <v>-3.054956E-6</v>
      </c>
      <c r="I2646">
        <v>246.3742</v>
      </c>
      <c r="J2646">
        <v>-488.01490000000001</v>
      </c>
      <c r="K2646">
        <v>1.1165419999999999</v>
      </c>
      <c r="L2646">
        <v>268.80290000000002</v>
      </c>
      <c r="M2646">
        <v>-0.29790650000000002</v>
      </c>
      <c r="N2646">
        <v>0</v>
      </c>
      <c r="O2646">
        <v>-0.95448290000000002</v>
      </c>
      <c r="P2646">
        <v>-0.13785430000000001</v>
      </c>
      <c r="Q2646">
        <v>0.16579769999999999</v>
      </c>
      <c r="R2646">
        <v>-0.97647729999999999</v>
      </c>
      <c r="S2646">
        <v>-0.34637449999999997</v>
      </c>
      <c r="T2646">
        <v>-0.15094350000000001</v>
      </c>
      <c r="U2646">
        <v>-3.0495909999999999</v>
      </c>
      <c r="V2646">
        <v>-0.1618551</v>
      </c>
      <c r="W2646">
        <v>0.1777793</v>
      </c>
      <c r="X2646">
        <v>0.97066859999999999</v>
      </c>
      <c r="Y2646">
        <v>-0.18842439999999999</v>
      </c>
      <c r="Z2646">
        <v>4.550042E-2</v>
      </c>
      <c r="AA2646">
        <v>0.98103309999999999</v>
      </c>
      <c r="AB2646">
        <v>23</v>
      </c>
      <c r="AC2646">
        <v>-2.5269999999999802</v>
      </c>
      <c r="AD2646">
        <v>-1.1165450549560001</v>
      </c>
      <c r="AE2646">
        <v>-22.428699999999999</v>
      </c>
      <c r="AF2646">
        <v>-4.2597101139626403</v>
      </c>
      <c r="AG2646">
        <v>-1.1165450549560001</v>
      </c>
      <c r="AH2646">
        <v>22.108888697617701</v>
      </c>
      <c r="AI2646">
        <v>92.838974662627194</v>
      </c>
      <c r="AJ2646">
        <v>100.90552041911</v>
      </c>
      <c r="AK2646">
        <v>22.543175520728902</v>
      </c>
      <c r="AL2646">
        <v>79.759563484473105</v>
      </c>
      <c r="AM2646">
        <v>99.466744399733003</v>
      </c>
      <c r="AN2646">
        <v>1.00000004196522</v>
      </c>
    </row>
    <row r="2647" spans="1:40" x14ac:dyDescent="0.25">
      <c r="A2647" t="str">
        <f>"20190312172420995"</f>
        <v>20190312172420995</v>
      </c>
      <c r="B2647" t="str">
        <f>"1552382660982422"</f>
        <v>1552382660982422</v>
      </c>
      <c r="C2647" t="s">
        <v>40</v>
      </c>
      <c r="D2647">
        <v>3.7176110000000002</v>
      </c>
      <c r="E2647">
        <v>0.48985849999999997</v>
      </c>
      <c r="F2647" t="s">
        <v>43</v>
      </c>
      <c r="G2647">
        <v>-490.4409</v>
      </c>
      <c r="H2647" s="1">
        <v>-3.121733E-6</v>
      </c>
      <c r="I2647">
        <v>246.5925</v>
      </c>
      <c r="J2647">
        <v>-488.05430000000001</v>
      </c>
      <c r="K2647">
        <v>1.116401</v>
      </c>
      <c r="L2647">
        <v>268.65260000000001</v>
      </c>
      <c r="M2647">
        <v>-0.29194290000000001</v>
      </c>
      <c r="N2647">
        <v>0</v>
      </c>
      <c r="O2647">
        <v>-0.95632419999999996</v>
      </c>
      <c r="P2647">
        <v>-0.13194110000000001</v>
      </c>
      <c r="Q2647">
        <v>0.16541529999999999</v>
      </c>
      <c r="R2647">
        <v>-0.97735850000000002</v>
      </c>
      <c r="S2647">
        <v>-0.33328249999999998</v>
      </c>
      <c r="T2647">
        <v>-0.15339079999999999</v>
      </c>
      <c r="U2647">
        <v>-3.0512700000000001</v>
      </c>
      <c r="V2647">
        <v>-0.16162489999999999</v>
      </c>
      <c r="W2647">
        <v>0.17742459999999999</v>
      </c>
      <c r="X2647">
        <v>0.97077179999999996</v>
      </c>
      <c r="Y2647">
        <v>-0.1865163</v>
      </c>
      <c r="Z2647">
        <v>4.6367470000000001E-2</v>
      </c>
      <c r="AA2647">
        <v>0.98135709999999998</v>
      </c>
      <c r="AB2647">
        <v>23</v>
      </c>
      <c r="AC2647">
        <v>-2.3865999999999801</v>
      </c>
      <c r="AD2647">
        <v>-1.1164041217330001</v>
      </c>
      <c r="AE2647">
        <v>-22.060099999999998</v>
      </c>
      <c r="AF2647">
        <v>-4.1478696421874099</v>
      </c>
      <c r="AG2647">
        <v>-1.1164041217330001</v>
      </c>
      <c r="AH2647">
        <v>21.740647787406701</v>
      </c>
      <c r="AI2647">
        <v>92.887619009318598</v>
      </c>
      <c r="AJ2647">
        <v>100.80157473567201</v>
      </c>
      <c r="AK2647">
        <v>22.160932898857698</v>
      </c>
      <c r="AL2647">
        <v>79.780214087024802</v>
      </c>
      <c r="AM2647">
        <v>99.452536591216003</v>
      </c>
      <c r="AN2647">
        <v>0.99999999233020498</v>
      </c>
    </row>
    <row r="2648" spans="1:40" x14ac:dyDescent="0.25">
      <c r="A2648" t="str">
        <f>"20190312172421011"</f>
        <v>20190312172421011</v>
      </c>
      <c r="B2648" t="str">
        <f>"1552382661002918"</f>
        <v>1552382661002918</v>
      </c>
      <c r="C2648" t="s">
        <v>40</v>
      </c>
      <c r="D2648">
        <v>3.7226659999999998</v>
      </c>
      <c r="E2648">
        <v>0.49076180000000003</v>
      </c>
      <c r="F2648" t="s">
        <v>43</v>
      </c>
      <c r="G2648">
        <v>-490.3809</v>
      </c>
      <c r="H2648" s="1">
        <v>-3.069447E-6</v>
      </c>
      <c r="I2648">
        <v>246.5078</v>
      </c>
      <c r="J2648">
        <v>-488.09769999999997</v>
      </c>
      <c r="K2648">
        <v>1.1162339999999999</v>
      </c>
      <c r="L2648">
        <v>268.48340000000002</v>
      </c>
      <c r="M2648">
        <v>-0.28537600000000002</v>
      </c>
      <c r="N2648">
        <v>0</v>
      </c>
      <c r="O2648">
        <v>-0.95830490000000002</v>
      </c>
      <c r="P2648">
        <v>-0.12599639999999901</v>
      </c>
      <c r="Q2648">
        <v>0.16465639999999901</v>
      </c>
      <c r="R2648">
        <v>-0.97827090000000005</v>
      </c>
      <c r="S2648">
        <v>-0.32067869999999998</v>
      </c>
      <c r="T2648">
        <v>-0.15387509999999999</v>
      </c>
      <c r="U2648">
        <v>-3.0522459999999998</v>
      </c>
      <c r="V2648">
        <v>-0.16082189999999999</v>
      </c>
      <c r="W2648">
        <v>0.17670939999999999</v>
      </c>
      <c r="X2648">
        <v>0.9710356</v>
      </c>
      <c r="Y2648">
        <v>-0.1838176</v>
      </c>
      <c r="Z2648">
        <v>4.6668950000000001E-2</v>
      </c>
      <c r="AA2648">
        <v>0.9818519</v>
      </c>
      <c r="AB2648">
        <v>23</v>
      </c>
      <c r="AC2648">
        <v>-2.2832000000000199</v>
      </c>
      <c r="AD2648">
        <v>-1.1162370694470001</v>
      </c>
      <c r="AE2648">
        <v>-21.9756</v>
      </c>
      <c r="AF2648">
        <v>-4.0733432285979996</v>
      </c>
      <c r="AG2648">
        <v>-1.1162370694470001</v>
      </c>
      <c r="AH2648">
        <v>21.657917974140599</v>
      </c>
      <c r="AI2648">
        <v>92.899632883693698</v>
      </c>
      <c r="AJ2648">
        <v>100.65155557656099</v>
      </c>
      <c r="AK2648">
        <v>22.065890447198701</v>
      </c>
      <c r="AL2648">
        <v>79.8218501697379</v>
      </c>
      <c r="AM2648">
        <v>99.403905187429203</v>
      </c>
      <c r="AN2648">
        <v>1.0000000160176601</v>
      </c>
    </row>
    <row r="2649" spans="1:40" x14ac:dyDescent="0.25">
      <c r="A2649" t="str">
        <f>"20190312172421024"</f>
        <v>20190312172421024</v>
      </c>
      <c r="B2649" t="str">
        <f>"1552382661012679"</f>
        <v>1552382661012679</v>
      </c>
      <c r="C2649" t="s">
        <v>40</v>
      </c>
      <c r="D2649">
        <v>3.8844240000000001</v>
      </c>
      <c r="E2649">
        <v>0.49076180000000003</v>
      </c>
      <c r="F2649" t="s">
        <v>43</v>
      </c>
      <c r="G2649">
        <v>-490.29820000000001</v>
      </c>
      <c r="H2649" s="1">
        <v>-3.186619E-6</v>
      </c>
      <c r="I2649">
        <v>246.8322</v>
      </c>
      <c r="J2649">
        <v>-488.12810000000002</v>
      </c>
      <c r="K2649">
        <v>1.116112</v>
      </c>
      <c r="L2649">
        <v>268.36349999999999</v>
      </c>
      <c r="M2649">
        <v>-0.28081630000000002</v>
      </c>
      <c r="N2649">
        <v>0</v>
      </c>
      <c r="O2649">
        <v>-0.95965129999999998</v>
      </c>
      <c r="P2649">
        <v>-0.1218728</v>
      </c>
      <c r="Q2649">
        <v>0.1642672</v>
      </c>
      <c r="R2649">
        <v>-0.97885849999999996</v>
      </c>
      <c r="S2649">
        <v>-0.31030269999999999</v>
      </c>
      <c r="T2649">
        <v>-0.15740599999999999</v>
      </c>
      <c r="U2649">
        <v>-3.053131</v>
      </c>
      <c r="V2649">
        <v>-0.1602568</v>
      </c>
      <c r="W2649">
        <v>0.17635120000000001</v>
      </c>
      <c r="X2649">
        <v>0.97119409999999895</v>
      </c>
      <c r="Y2649">
        <v>-0.18248020000000001</v>
      </c>
      <c r="Z2649">
        <v>4.784045E-2</v>
      </c>
      <c r="AA2649">
        <v>0.9820449</v>
      </c>
      <c r="AB2649">
        <v>23</v>
      </c>
      <c r="AC2649">
        <v>-2.1700999999999899</v>
      </c>
      <c r="AD2649">
        <v>-1.116115186619</v>
      </c>
      <c r="AE2649">
        <v>-21.531299999999899</v>
      </c>
      <c r="AF2649">
        <v>-3.9537031199019399</v>
      </c>
      <c r="AG2649">
        <v>-1.116115186619</v>
      </c>
      <c r="AH2649">
        <v>21.217750232249099</v>
      </c>
      <c r="AI2649">
        <v>92.960286283546296</v>
      </c>
      <c r="AJ2649">
        <v>100.555403429696</v>
      </c>
      <c r="AK2649">
        <v>21.6118117331294</v>
      </c>
      <c r="AL2649">
        <v>79.842700644435695</v>
      </c>
      <c r="AM2649">
        <v>99.369946403453199</v>
      </c>
      <c r="AN2649">
        <v>0.999999983781244</v>
      </c>
    </row>
    <row r="2650" spans="1:40" x14ac:dyDescent="0.25">
      <c r="A2650" t="str">
        <f>"20190312172421036"</f>
        <v>20190312172421036</v>
      </c>
      <c r="B2650" t="str">
        <f>"1552382661032199"</f>
        <v>1552382661032199</v>
      </c>
      <c r="C2650" t="s">
        <v>40</v>
      </c>
      <c r="D2650">
        <v>3.7967770000000001</v>
      </c>
      <c r="E2650">
        <v>0.46583740000000001</v>
      </c>
      <c r="F2650" t="s">
        <v>43</v>
      </c>
      <c r="G2650">
        <v>-490.22329999999999</v>
      </c>
      <c r="H2650" s="1">
        <v>-3.1842660000000001E-6</v>
      </c>
      <c r="I2650">
        <v>246.8732</v>
      </c>
      <c r="J2650">
        <v>-488.1583</v>
      </c>
      <c r="K2650">
        <v>1.1159829999999999</v>
      </c>
      <c r="L2650">
        <v>268.24099999999999</v>
      </c>
      <c r="M2650">
        <v>-0.27628170000000002</v>
      </c>
      <c r="N2650">
        <v>0</v>
      </c>
      <c r="O2650">
        <v>-0.96096680000000001</v>
      </c>
      <c r="P2650">
        <v>-0.117706199999999</v>
      </c>
      <c r="Q2650">
        <v>0.1636408</v>
      </c>
      <c r="R2650">
        <v>-0.97947289999999998</v>
      </c>
      <c r="S2650">
        <v>-0.29779050000000001</v>
      </c>
      <c r="T2650">
        <v>-0.15863050000000001</v>
      </c>
      <c r="U2650">
        <v>-3.0543520000000002</v>
      </c>
      <c r="V2650">
        <v>-0.1597683</v>
      </c>
      <c r="W2650">
        <v>0.17575650000000001</v>
      </c>
      <c r="X2650">
        <v>0.97138239999999998</v>
      </c>
      <c r="Y2650">
        <v>-0.18186240000000001</v>
      </c>
      <c r="Z2650">
        <v>4.830595E-2</v>
      </c>
      <c r="AA2650">
        <v>0.98213669999999997</v>
      </c>
      <c r="AB2650">
        <v>23</v>
      </c>
      <c r="AC2650">
        <v>-2.0649999999999902</v>
      </c>
      <c r="AD2650">
        <v>-1.1159861842659999</v>
      </c>
      <c r="AE2650">
        <v>-21.3677999999999</v>
      </c>
      <c r="AF2650">
        <v>-3.9089857412645199</v>
      </c>
      <c r="AG2650">
        <v>-1.1159861842659999</v>
      </c>
      <c r="AH2650">
        <v>21.0496114666532</v>
      </c>
      <c r="AI2650">
        <v>92.983886002336007</v>
      </c>
      <c r="AJ2650">
        <v>100.520184883173</v>
      </c>
      <c r="AK2650">
        <v>21.4385572645628</v>
      </c>
      <c r="AL2650">
        <v>79.877315393624897</v>
      </c>
      <c r="AM2650">
        <v>99.340109899935399</v>
      </c>
      <c r="AN2650">
        <v>1.00000001200345</v>
      </c>
    </row>
    <row r="2651" spans="1:40" x14ac:dyDescent="0.25">
      <c r="A2651" t="str">
        <f>"20190312172421054"</f>
        <v>20190312172421054</v>
      </c>
      <c r="B2651" t="str">
        <f>"1552382661042934"</f>
        <v>1552382661042934</v>
      </c>
      <c r="C2651" t="s">
        <v>40</v>
      </c>
      <c r="D2651">
        <v>3.8345289999999999</v>
      </c>
      <c r="E2651">
        <v>0.4640377</v>
      </c>
      <c r="F2651" t="s">
        <v>43</v>
      </c>
      <c r="G2651">
        <v>-488.73480000000001</v>
      </c>
      <c r="H2651" s="1">
        <v>-3.83714999999999E-6</v>
      </c>
      <c r="I2651">
        <v>248.05410000000001</v>
      </c>
      <c r="J2651">
        <v>-488.20069999999998</v>
      </c>
      <c r="K2651">
        <v>1.1157969999999999</v>
      </c>
      <c r="L2651">
        <v>268.06610000000001</v>
      </c>
      <c r="M2651">
        <v>-0.26996720000000002</v>
      </c>
      <c r="N2651">
        <v>0</v>
      </c>
      <c r="O2651">
        <v>-0.96276059999999997</v>
      </c>
      <c r="P2651">
        <v>-0.1122229</v>
      </c>
      <c r="Q2651">
        <v>0.16239189999999901</v>
      </c>
      <c r="R2651">
        <v>-0.98032419999999998</v>
      </c>
      <c r="S2651">
        <v>-8.7982179999999993E-2</v>
      </c>
      <c r="T2651">
        <v>-0.17031250000000001</v>
      </c>
      <c r="U2651">
        <v>-3.0807500000000001</v>
      </c>
      <c r="V2651">
        <v>-0.15878780000000001</v>
      </c>
      <c r="W2651">
        <v>0.17455699999999999</v>
      </c>
      <c r="X2651">
        <v>0.97175940000000005</v>
      </c>
      <c r="Y2651">
        <v>-0.24243139999999999</v>
      </c>
      <c r="Z2651">
        <v>5.1295500000000001E-2</v>
      </c>
      <c r="AA2651">
        <v>0.96881150000000005</v>
      </c>
      <c r="AB2651">
        <v>23</v>
      </c>
      <c r="AC2651">
        <v>-0.534100000000023</v>
      </c>
      <c r="AD2651">
        <v>-1.1158008371499999</v>
      </c>
      <c r="AE2651">
        <v>-20.012</v>
      </c>
      <c r="AF2651">
        <v>-4.8737451892946604</v>
      </c>
      <c r="AG2651">
        <v>-1.1158008371499999</v>
      </c>
      <c r="AH2651">
        <v>19.3528692174349</v>
      </c>
      <c r="AI2651">
        <v>93.200069215528302</v>
      </c>
      <c r="AJ2651">
        <v>104.13519663531299</v>
      </c>
      <c r="AK2651">
        <v>19.9882953406611</v>
      </c>
      <c r="AL2651">
        <v>79.947120935385897</v>
      </c>
      <c r="AM2651">
        <v>99.280251526133299</v>
      </c>
      <c r="AN2651">
        <v>1.00000002158309</v>
      </c>
    </row>
    <row r="2652" spans="1:40" x14ac:dyDescent="0.25">
      <c r="A2652" t="str">
        <f>"20190312172421066"</f>
        <v>20190312172421066</v>
      </c>
      <c r="B2652" t="str">
        <f>"1552382661062455"</f>
        <v>1552382661062455</v>
      </c>
      <c r="C2652" t="s">
        <v>40</v>
      </c>
      <c r="D2652">
        <v>3.7983220000000002</v>
      </c>
      <c r="E2652">
        <v>0.46272279999999999</v>
      </c>
      <c r="F2652" t="s">
        <v>43</v>
      </c>
      <c r="G2652">
        <v>-488.57440000000003</v>
      </c>
      <c r="H2652" s="1">
        <v>-3.769818E-6</v>
      </c>
      <c r="I2652">
        <v>247.83080000000001</v>
      </c>
      <c r="J2652">
        <v>-488.22829999999999</v>
      </c>
      <c r="K2652">
        <v>1.1156729999999999</v>
      </c>
      <c r="L2652">
        <v>267.95010000000002</v>
      </c>
      <c r="M2652">
        <v>-0.26588230000000002</v>
      </c>
      <c r="N2652">
        <v>0</v>
      </c>
      <c r="O2652">
        <v>-0.963897</v>
      </c>
      <c r="P2652">
        <v>-0.1085005</v>
      </c>
      <c r="Q2652">
        <v>0.16184009999999999</v>
      </c>
      <c r="R2652">
        <v>-0.98083419999999999</v>
      </c>
      <c r="S2652">
        <v>-5.6915279999999999E-2</v>
      </c>
      <c r="T2652">
        <v>-0.16993710000000001</v>
      </c>
      <c r="U2652">
        <v>-3.0818479999999999</v>
      </c>
      <c r="V2652">
        <v>-0.15832019999999999</v>
      </c>
      <c r="W2652">
        <v>0.17403540000000001</v>
      </c>
      <c r="X2652">
        <v>0.97192920000000005</v>
      </c>
      <c r="Y2652">
        <v>-0.24808350000000001</v>
      </c>
      <c r="Z2652">
        <v>5.1223480000000002E-2</v>
      </c>
      <c r="AA2652">
        <v>0.9673834</v>
      </c>
      <c r="AB2652">
        <v>23</v>
      </c>
      <c r="AC2652">
        <v>-0.34610000000003499</v>
      </c>
      <c r="AD2652">
        <v>-1.1156767698179999</v>
      </c>
      <c r="AE2652">
        <v>-20.119299999999999</v>
      </c>
      <c r="AF2652">
        <v>-5.0009122116570301</v>
      </c>
      <c r="AG2652">
        <v>-1.1156767698179999</v>
      </c>
      <c r="AH2652">
        <v>19.427270987107502</v>
      </c>
      <c r="AI2652">
        <v>93.183242836684499</v>
      </c>
      <c r="AJ2652">
        <v>104.43551182399899</v>
      </c>
      <c r="AK2652">
        <v>20.091608089197901</v>
      </c>
      <c r="AL2652">
        <v>79.977470633462602</v>
      </c>
      <c r="AM2652">
        <v>99.251807706992693</v>
      </c>
      <c r="AN2652">
        <v>0.99999998799691903</v>
      </c>
    </row>
    <row r="2653" spans="1:40" x14ac:dyDescent="0.25">
      <c r="A2653" t="str">
        <f>"20190312172421078"</f>
        <v>20190312172421078</v>
      </c>
      <c r="B2653" t="str">
        <f>"1552382661072216"</f>
        <v>1552382661072216</v>
      </c>
      <c r="C2653" t="s">
        <v>40</v>
      </c>
      <c r="D2653">
        <v>3.8745029999999998</v>
      </c>
      <c r="E2653">
        <v>0.46272489999999999</v>
      </c>
      <c r="F2653" t="s">
        <v>43</v>
      </c>
      <c r="G2653">
        <v>-488.45440000000002</v>
      </c>
      <c r="H2653" s="1">
        <v>-3.8232780000000001E-6</v>
      </c>
      <c r="I2653">
        <v>247.9059</v>
      </c>
      <c r="J2653">
        <v>-488.25549999999998</v>
      </c>
      <c r="K2653">
        <v>1.115548</v>
      </c>
      <c r="L2653">
        <v>267.83409999999998</v>
      </c>
      <c r="M2653">
        <v>-0.26188899999999998</v>
      </c>
      <c r="N2653">
        <v>0</v>
      </c>
      <c r="O2653">
        <v>-0.96499000000000001</v>
      </c>
      <c r="P2653">
        <v>-0.1048351</v>
      </c>
      <c r="Q2653">
        <v>0.16133310000000001</v>
      </c>
      <c r="R2653">
        <v>-0.98131630000000003</v>
      </c>
      <c r="S2653">
        <v>-3.4790040000000001E-2</v>
      </c>
      <c r="T2653">
        <v>-0.17160889999999901</v>
      </c>
      <c r="U2653">
        <v>-3.0831300000000001</v>
      </c>
      <c r="V2653">
        <v>-0.15788929999999901</v>
      </c>
      <c r="W2653">
        <v>0.173557399999999</v>
      </c>
      <c r="X2653">
        <v>0.97208479999999997</v>
      </c>
      <c r="Y2653">
        <v>-0.2510193</v>
      </c>
      <c r="Z2653">
        <v>5.1776139999999998E-2</v>
      </c>
      <c r="AA2653">
        <v>0.96659640000000002</v>
      </c>
      <c r="AB2653">
        <v>23</v>
      </c>
      <c r="AC2653">
        <v>-0.19890000000003699</v>
      </c>
      <c r="AD2653">
        <v>-1.115551823278</v>
      </c>
      <c r="AE2653">
        <v>-19.928199999999901</v>
      </c>
      <c r="AF2653">
        <v>-5.0118602942330304</v>
      </c>
      <c r="AG2653">
        <v>-1.115551823278</v>
      </c>
      <c r="AH2653">
        <v>19.224378016757601</v>
      </c>
      <c r="AI2653">
        <v>93.213849286020803</v>
      </c>
      <c r="AJ2653">
        <v>104.61195851591199</v>
      </c>
      <c r="AK2653">
        <v>19.898238857007499</v>
      </c>
      <c r="AL2653">
        <v>80.005281676466595</v>
      </c>
      <c r="AM2653">
        <v>99.225609195695696</v>
      </c>
      <c r="AN2653">
        <v>1.00000003027014</v>
      </c>
    </row>
    <row r="2654" spans="1:40" x14ac:dyDescent="0.25">
      <c r="A2654" t="str">
        <f>"20190312172421088"</f>
        <v>20190312172421088</v>
      </c>
      <c r="B2654" t="str">
        <f>"1552382661082950"</f>
        <v>1552382661082950</v>
      </c>
      <c r="C2654" t="s">
        <v>40</v>
      </c>
      <c r="D2654">
        <v>3.7159939999999998</v>
      </c>
      <c r="E2654">
        <v>0.46226010000000001</v>
      </c>
      <c r="F2654" t="s">
        <v>43</v>
      </c>
      <c r="G2654">
        <v>-488.40640000000002</v>
      </c>
      <c r="H2654" s="1">
        <v>-3.9388640000000004E-6</v>
      </c>
      <c r="I2654">
        <v>248.15549999999999</v>
      </c>
      <c r="J2654">
        <v>-488.27969999999999</v>
      </c>
      <c r="K2654">
        <v>1.115435</v>
      </c>
      <c r="L2654">
        <v>267.72930000000002</v>
      </c>
      <c r="M2654">
        <v>-0.25838169999999999</v>
      </c>
      <c r="N2654">
        <v>0</v>
      </c>
      <c r="O2654">
        <v>-0.96593549999999995</v>
      </c>
      <c r="P2654">
        <v>-0.101642</v>
      </c>
      <c r="Q2654">
        <v>0.16090769999999999</v>
      </c>
      <c r="R2654">
        <v>-0.98172179999999998</v>
      </c>
      <c r="S2654">
        <v>-2.3651120000000001E-2</v>
      </c>
      <c r="T2654">
        <v>-0.17478640000000001</v>
      </c>
      <c r="U2654">
        <v>-3.0832820000000001</v>
      </c>
      <c r="V2654">
        <v>-0.1574856</v>
      </c>
      <c r="W2654">
        <v>0.1731586</v>
      </c>
      <c r="X2654">
        <v>0.97222140000000001</v>
      </c>
      <c r="Y2654">
        <v>-0.25099519999999997</v>
      </c>
      <c r="Z2654">
        <v>5.2809979999999999E-2</v>
      </c>
      <c r="AA2654">
        <v>0.96654669999999998</v>
      </c>
      <c r="AB2654">
        <v>23</v>
      </c>
      <c r="AC2654">
        <v>-0.12670000000002801</v>
      </c>
      <c r="AD2654">
        <v>-1.115438938864</v>
      </c>
      <c r="AE2654">
        <v>-19.573799999999999</v>
      </c>
      <c r="AF2654">
        <v>-4.9196641567518196</v>
      </c>
      <c r="AG2654">
        <v>-1.115438938864</v>
      </c>
      <c r="AH2654">
        <v>18.8804201363365</v>
      </c>
      <c r="AI2654">
        <v>93.272048302115294</v>
      </c>
      <c r="AJ2654">
        <v>104.60478295505899</v>
      </c>
      <c r="AK2654">
        <v>19.542711274696401</v>
      </c>
      <c r="AL2654">
        <v>80.028482545038798</v>
      </c>
      <c r="AM2654">
        <v>99.201153884087901</v>
      </c>
      <c r="AN2654">
        <v>1.0000000327896299</v>
      </c>
    </row>
    <row r="2655" spans="1:40" x14ac:dyDescent="0.25">
      <c r="A2655" t="str">
        <f>"20190312172421101"</f>
        <v>20190312172421101</v>
      </c>
      <c r="B2655" t="str">
        <f>"1552382661092710"</f>
        <v>1552382661092710</v>
      </c>
      <c r="C2655" t="s">
        <v>40</v>
      </c>
      <c r="D2655">
        <v>3.8877700000000002</v>
      </c>
      <c r="E2655">
        <v>0.46196989999999999</v>
      </c>
      <c r="F2655" t="s">
        <v>43</v>
      </c>
      <c r="G2655">
        <v>-488.34350000000001</v>
      </c>
      <c r="H2655" s="1">
        <v>-4.0909320000000001E-6</v>
      </c>
      <c r="I2655">
        <v>248.48390000000001</v>
      </c>
      <c r="J2655">
        <v>-488.30770000000001</v>
      </c>
      <c r="K2655">
        <v>1.115305</v>
      </c>
      <c r="L2655">
        <v>267.60680000000002</v>
      </c>
      <c r="M2655">
        <v>-0.25432690000000002</v>
      </c>
      <c r="N2655">
        <v>0</v>
      </c>
      <c r="O2655">
        <v>-0.96701130000000002</v>
      </c>
      <c r="P2655">
        <v>-9.7856979999999996E-2</v>
      </c>
      <c r="Q2655">
        <v>0.1606466</v>
      </c>
      <c r="R2655">
        <v>-0.98214920000000006</v>
      </c>
      <c r="S2655">
        <v>-1.0223390000000001E-2</v>
      </c>
      <c r="T2655">
        <v>-0.17874860000000001</v>
      </c>
      <c r="U2655">
        <v>-3.084076</v>
      </c>
      <c r="V2655">
        <v>-0.15710550000000001</v>
      </c>
      <c r="W2655">
        <v>0.1729271</v>
      </c>
      <c r="X2655">
        <v>0.97232410000000002</v>
      </c>
      <c r="Y2655">
        <v>-0.25114409999999998</v>
      </c>
      <c r="Z2655">
        <v>5.4081600000000001E-2</v>
      </c>
      <c r="AA2655">
        <v>0.96643769999999996</v>
      </c>
      <c r="AB2655">
        <v>23</v>
      </c>
      <c r="AC2655">
        <v>-3.5799999999994697E-2</v>
      </c>
      <c r="AD2655">
        <v>-1.115309090932</v>
      </c>
      <c r="AE2655">
        <v>-19.122900000000001</v>
      </c>
      <c r="AF2655">
        <v>-4.8129769163386698</v>
      </c>
      <c r="AG2655">
        <v>-1.115309090932</v>
      </c>
      <c r="AH2655">
        <v>18.440353766475098</v>
      </c>
      <c r="AI2655">
        <v>93.349215490089094</v>
      </c>
      <c r="AJ2655">
        <v>104.628000638865</v>
      </c>
      <c r="AK2655">
        <v>19.0907126163032</v>
      </c>
      <c r="AL2655">
        <v>80.041949728589103</v>
      </c>
      <c r="AM2655">
        <v>99.178371854853197</v>
      </c>
      <c r="AN2655">
        <v>1.0000000377427301</v>
      </c>
    </row>
    <row r="2656" spans="1:40" x14ac:dyDescent="0.25">
      <c r="A2656" t="str">
        <f>"20190312172421115"</f>
        <v>20190312172421115</v>
      </c>
      <c r="B2656" t="str">
        <f>"1552382661102471"</f>
        <v>1552382661102471</v>
      </c>
      <c r="C2656" t="s">
        <v>40</v>
      </c>
      <c r="D2656">
        <v>3.7088459999999999</v>
      </c>
      <c r="E2656">
        <v>0.46186280000000002</v>
      </c>
      <c r="F2656" t="s">
        <v>43</v>
      </c>
      <c r="G2656">
        <v>-488.28620000000001</v>
      </c>
      <c r="H2656" s="1">
        <v>-4.3255399999999998E-6</v>
      </c>
      <c r="I2656">
        <v>249.00710000000001</v>
      </c>
      <c r="J2656">
        <v>-488.33769999999998</v>
      </c>
      <c r="K2656">
        <v>1.1151580000000001</v>
      </c>
      <c r="L2656">
        <v>267.47239999999999</v>
      </c>
      <c r="M2656">
        <v>-0.25007649999999998</v>
      </c>
      <c r="N2656">
        <v>0</v>
      </c>
      <c r="O2656">
        <v>-0.96811959999999997</v>
      </c>
      <c r="P2656">
        <v>-9.4011999999999998E-2</v>
      </c>
      <c r="Q2656">
        <v>0.1605364</v>
      </c>
      <c r="R2656">
        <v>-0.98254260000000004</v>
      </c>
      <c r="S2656">
        <v>3.5705569999999998E-3</v>
      </c>
      <c r="T2656">
        <v>-0.1849973</v>
      </c>
      <c r="U2656">
        <v>-3.0851440000000001</v>
      </c>
      <c r="V2656">
        <v>-0.15658050000000001</v>
      </c>
      <c r="W2656">
        <v>0.17285059999999999</v>
      </c>
      <c r="X2656">
        <v>0.97242240000000002</v>
      </c>
      <c r="Y2656">
        <v>-0.25121349999999998</v>
      </c>
      <c r="Z2656">
        <v>5.6044749999999997E-2</v>
      </c>
      <c r="AA2656">
        <v>0.96630780000000005</v>
      </c>
      <c r="AB2656">
        <v>23</v>
      </c>
      <c r="AC2656">
        <v>5.1499999999975898E-2</v>
      </c>
      <c r="AD2656">
        <v>-1.1151623255399901</v>
      </c>
      <c r="AE2656">
        <v>-18.4652999999999</v>
      </c>
      <c r="AF2656">
        <v>-4.6511134616788699</v>
      </c>
      <c r="AG2656">
        <v>-1.1151623255399901</v>
      </c>
      <c r="AH2656">
        <v>17.8006591692528</v>
      </c>
      <c r="AI2656">
        <v>93.468588205026407</v>
      </c>
      <c r="AJ2656">
        <v>104.64336333823501</v>
      </c>
      <c r="AK2656">
        <v>18.432034893240001</v>
      </c>
      <c r="AL2656">
        <v>80.046400026742404</v>
      </c>
      <c r="AM2656">
        <v>99.147310792800198</v>
      </c>
      <c r="AN2656">
        <v>1.0000000534611799</v>
      </c>
    </row>
    <row r="2657" spans="1:40" x14ac:dyDescent="0.25">
      <c r="A2657" t="str">
        <f>"20190312172421129"</f>
        <v>20190312172421129</v>
      </c>
      <c r="B2657" t="str">
        <f>"1552382661122966"</f>
        <v>1552382661122966</v>
      </c>
      <c r="C2657" t="s">
        <v>40</v>
      </c>
      <c r="D2657">
        <v>3.8123019999999999</v>
      </c>
      <c r="E2657">
        <v>0.46217429999999898</v>
      </c>
      <c r="F2657" t="s">
        <v>43</v>
      </c>
      <c r="G2657">
        <v>-488.23680000000002</v>
      </c>
      <c r="H2657" s="1">
        <v>-4.2976159999999997E-6</v>
      </c>
      <c r="I2657">
        <v>248.92160000000001</v>
      </c>
      <c r="J2657">
        <v>-488.36840000000001</v>
      </c>
      <c r="K2657">
        <v>1.1150040000000001</v>
      </c>
      <c r="L2657">
        <v>267.33330000000001</v>
      </c>
      <c r="M2657">
        <v>-0.24579319999999999</v>
      </c>
      <c r="N2657">
        <v>0</v>
      </c>
      <c r="O2657">
        <v>-0.96921630000000003</v>
      </c>
      <c r="P2657">
        <v>-9.0275270000000005E-2</v>
      </c>
      <c r="Q2657">
        <v>0.16022359999999999</v>
      </c>
      <c r="R2657">
        <v>-0.98294409999999999</v>
      </c>
      <c r="S2657">
        <v>1.6784670000000002E-2</v>
      </c>
      <c r="T2657">
        <v>-0.18546409999999999</v>
      </c>
      <c r="U2657">
        <v>-3.0852050000000002</v>
      </c>
      <c r="V2657">
        <v>-0.15592039999999999</v>
      </c>
      <c r="W2657">
        <v>0.172574799999999</v>
      </c>
      <c r="X2657">
        <v>0.97257740000000004</v>
      </c>
      <c r="Y2657">
        <v>-0.25107210000000002</v>
      </c>
      <c r="Z2657">
        <v>5.6283409999999999E-2</v>
      </c>
      <c r="AA2657">
        <v>0.96633069999999999</v>
      </c>
      <c r="AB2657">
        <v>23</v>
      </c>
      <c r="AC2657">
        <v>0.131599999999991</v>
      </c>
      <c r="AD2657">
        <v>-1.1150082976160001</v>
      </c>
      <c r="AE2657">
        <v>-18.4117</v>
      </c>
      <c r="AF2657">
        <v>-4.6364942122207804</v>
      </c>
      <c r="AG2657">
        <v>-1.1150082976160001</v>
      </c>
      <c r="AH2657">
        <v>17.7493115731309</v>
      </c>
      <c r="AI2657">
        <v>93.478176206096094</v>
      </c>
      <c r="AJ2657">
        <v>104.63972902469099</v>
      </c>
      <c r="AK2657">
        <v>18.378748145719499</v>
      </c>
      <c r="AL2657">
        <v>80.062442918795895</v>
      </c>
      <c r="AM2657">
        <v>99.107968730256701</v>
      </c>
      <c r="AN2657">
        <v>1.0000000158609701</v>
      </c>
    </row>
    <row r="2658" spans="1:40" x14ac:dyDescent="0.25">
      <c r="A2658" t="str">
        <f>"20190312172421146"</f>
        <v>20190312172421146</v>
      </c>
      <c r="B2658" t="str">
        <f>"1552382661142486"</f>
        <v>1552382661142486</v>
      </c>
      <c r="C2658" t="s">
        <v>40</v>
      </c>
      <c r="D2658">
        <v>3.7059669999999998</v>
      </c>
      <c r="E2658">
        <v>0.46228219999999998</v>
      </c>
      <c r="F2658" t="s">
        <v>43</v>
      </c>
      <c r="G2658">
        <v>-488.21850000000001</v>
      </c>
      <c r="H2658" s="1">
        <v>-4.4128670000000003E-6</v>
      </c>
      <c r="I2658">
        <v>249.18260000000001</v>
      </c>
      <c r="J2658">
        <v>-488.4042</v>
      </c>
      <c r="K2658">
        <v>1.1148199999999999</v>
      </c>
      <c r="L2658">
        <v>267.16840000000002</v>
      </c>
      <c r="M2658">
        <v>-0.2408853</v>
      </c>
      <c r="N2658">
        <v>0</v>
      </c>
      <c r="O2658">
        <v>-0.97044830000000004</v>
      </c>
      <c r="P2658">
        <v>-8.6803210000000006E-2</v>
      </c>
      <c r="Q2658">
        <v>0.160164</v>
      </c>
      <c r="R2658">
        <v>-0.98326659999999999</v>
      </c>
      <c r="S2658">
        <v>2.548218E-2</v>
      </c>
      <c r="T2658">
        <v>-0.18953200000000001</v>
      </c>
      <c r="U2658">
        <v>-3.0852970000000002</v>
      </c>
      <c r="V2658">
        <v>-0.1543532</v>
      </c>
      <c r="W2658">
        <v>0.17256869999999999</v>
      </c>
      <c r="X2658">
        <v>0.97282840000000004</v>
      </c>
      <c r="Y2658">
        <v>-0.24889600000000001</v>
      </c>
      <c r="Z2658">
        <v>5.764126E-2</v>
      </c>
      <c r="AA2658">
        <v>0.96681340000000004</v>
      </c>
      <c r="AB2658">
        <v>23</v>
      </c>
      <c r="AC2658">
        <v>0.18569999999999701</v>
      </c>
      <c r="AD2658">
        <v>-1.114824412867</v>
      </c>
      <c r="AE2658">
        <v>-17.985800000000001</v>
      </c>
      <c r="AF2658">
        <v>-4.4959169649586999</v>
      </c>
      <c r="AG2658">
        <v>-1.114824412867</v>
      </c>
      <c r="AH2658">
        <v>17.344705245662102</v>
      </c>
      <c r="AI2658">
        <v>93.560261524012901</v>
      </c>
      <c r="AJ2658">
        <v>104.531797823722</v>
      </c>
      <c r="AK2658">
        <v>17.9525737120399</v>
      </c>
      <c r="AL2658">
        <v>80.062797398697697</v>
      </c>
      <c r="AM2658">
        <v>99.015645315800896</v>
      </c>
      <c r="AN2658">
        <v>0.99999998120824396</v>
      </c>
    </row>
    <row r="2659" spans="1:40" x14ac:dyDescent="0.25">
      <c r="A2659" t="str">
        <f>"20190312172421166"</f>
        <v>20190312172421166</v>
      </c>
      <c r="B2659" t="str">
        <f>"1552382661162982"</f>
        <v>1552382661162982</v>
      </c>
      <c r="C2659" t="s">
        <v>40</v>
      </c>
      <c r="D2659">
        <v>3.7667799999999998</v>
      </c>
      <c r="E2659">
        <v>0.46266550000000001</v>
      </c>
      <c r="F2659" t="s">
        <v>43</v>
      </c>
      <c r="G2659">
        <v>-488.18979999999999</v>
      </c>
      <c r="H2659" s="1">
        <v>-4.2133230000000004E-6</v>
      </c>
      <c r="I2659">
        <v>248.7056</v>
      </c>
      <c r="J2659">
        <v>-488.44810000000001</v>
      </c>
      <c r="K2659">
        <v>1.1145989999999999</v>
      </c>
      <c r="L2659">
        <v>266.96210000000002</v>
      </c>
      <c r="M2659">
        <v>-0.23502049999999999</v>
      </c>
      <c r="N2659">
        <v>0</v>
      </c>
      <c r="O2659">
        <v>-0.97188600000000003</v>
      </c>
      <c r="P2659">
        <v>-8.2439879999999993E-2</v>
      </c>
      <c r="Q2659">
        <v>0.16016569999999999</v>
      </c>
      <c r="R2659">
        <v>-0.98364200000000002</v>
      </c>
      <c r="S2659">
        <v>3.5827640000000001E-2</v>
      </c>
      <c r="T2659">
        <v>-0.18625320000000001</v>
      </c>
      <c r="U2659">
        <v>-3.0845639999999999</v>
      </c>
      <c r="V2659">
        <v>-0.15269720000000001</v>
      </c>
      <c r="W2659">
        <v>0.17262930000000001</v>
      </c>
      <c r="X2659">
        <v>0.97307900000000003</v>
      </c>
      <c r="Y2659">
        <v>-0.2462915</v>
      </c>
      <c r="Z2659">
        <v>5.6809760000000001E-2</v>
      </c>
      <c r="AA2659">
        <v>0.96752939999999998</v>
      </c>
      <c r="AB2659">
        <v>23</v>
      </c>
      <c r="AC2659">
        <v>0.25830000000001901</v>
      </c>
      <c r="AD2659">
        <v>-1.1146032133229999</v>
      </c>
      <c r="AE2659">
        <v>-18.256499999999999</v>
      </c>
      <c r="AF2659">
        <v>-4.5252867301491904</v>
      </c>
      <c r="AG2659">
        <v>-1.1146032133229999</v>
      </c>
      <c r="AH2659">
        <v>17.618667120768698</v>
      </c>
      <c r="AI2659">
        <v>93.506345920458898</v>
      </c>
      <c r="AJ2659">
        <v>104.404826019975</v>
      </c>
      <c r="AK2659">
        <v>18.2246533965853</v>
      </c>
      <c r="AL2659">
        <v>80.059272812886206</v>
      </c>
      <c r="AM2659">
        <v>98.918223047744107</v>
      </c>
      <c r="AN2659">
        <v>1.00000002517366</v>
      </c>
    </row>
    <row r="2660" spans="1:40" x14ac:dyDescent="0.25">
      <c r="A2660" t="str">
        <f>"20190312172421179"</f>
        <v>20190312172421179</v>
      </c>
      <c r="B2660" t="str">
        <f>"1552382661172743"</f>
        <v>1552382661172743</v>
      </c>
      <c r="C2660" t="s">
        <v>40</v>
      </c>
      <c r="D2660">
        <v>3.8450009999999999</v>
      </c>
      <c r="E2660">
        <v>0.462839</v>
      </c>
      <c r="F2660" t="s">
        <v>43</v>
      </c>
      <c r="G2660">
        <v>-488.16980000000001</v>
      </c>
      <c r="H2660" s="1">
        <v>-4.1167050000000003E-6</v>
      </c>
      <c r="I2660">
        <v>248.47219999999999</v>
      </c>
      <c r="J2660">
        <v>-488.47370000000001</v>
      </c>
      <c r="K2660">
        <v>1.1144719999999999</v>
      </c>
      <c r="L2660">
        <v>266.83969999999999</v>
      </c>
      <c r="M2660">
        <v>-0.23165720000000001</v>
      </c>
      <c r="N2660">
        <v>0</v>
      </c>
      <c r="O2660">
        <v>-0.97269340000000004</v>
      </c>
      <c r="P2660">
        <v>-8.0207829999999994E-2</v>
      </c>
      <c r="Q2660">
        <v>0.16028329999999999</v>
      </c>
      <c r="R2660">
        <v>-0.98380679999999998</v>
      </c>
      <c r="S2660">
        <v>4.6417239999999999E-2</v>
      </c>
      <c r="T2660">
        <v>-0.18591170000000001</v>
      </c>
      <c r="U2660">
        <v>-3.0840450000000001</v>
      </c>
      <c r="V2660">
        <v>-0.15147959999999999</v>
      </c>
      <c r="W2660">
        <v>0.17278199999999999</v>
      </c>
      <c r="X2660">
        <v>0.97324219999999895</v>
      </c>
      <c r="Y2660">
        <v>-0.2462625</v>
      </c>
      <c r="Z2660">
        <v>5.6786919999999998E-2</v>
      </c>
      <c r="AA2660">
        <v>0.96753809999999996</v>
      </c>
      <c r="AB2660">
        <v>23</v>
      </c>
      <c r="AC2660">
        <v>0.30389999999999801</v>
      </c>
      <c r="AD2660">
        <v>-1.1144761167049999</v>
      </c>
      <c r="AE2660">
        <v>-18.3675</v>
      </c>
      <c r="AF2660">
        <v>-4.5343367090611997</v>
      </c>
      <c r="AG2660">
        <v>-1.1144761167049999</v>
      </c>
      <c r="AH2660">
        <v>17.732082103137</v>
      </c>
      <c r="AI2660">
        <v>93.484524816750806</v>
      </c>
      <c r="AJ2660">
        <v>104.343941791707</v>
      </c>
      <c r="AK2660">
        <v>18.3365482607343</v>
      </c>
      <c r="AL2660">
        <v>80.050390365664896</v>
      </c>
      <c r="AM2660">
        <v>98.846778990907893</v>
      </c>
      <c r="AN2660">
        <v>1.00000003430049</v>
      </c>
    </row>
    <row r="2661" spans="1:40" x14ac:dyDescent="0.25">
      <c r="A2661" t="str">
        <f>"20190312172421191"</f>
        <v>20190312172421191</v>
      </c>
      <c r="B2661" t="str">
        <f>"1552382661182502"</f>
        <v>1552382661182502</v>
      </c>
      <c r="C2661" t="s">
        <v>40</v>
      </c>
      <c r="D2661">
        <v>3.7714940000000001</v>
      </c>
      <c r="E2661">
        <v>0.46319490000000002</v>
      </c>
      <c r="F2661" t="s">
        <v>43</v>
      </c>
      <c r="G2661">
        <v>-488.1628</v>
      </c>
      <c r="H2661" s="1">
        <v>-4.0916610000000001E-6</v>
      </c>
      <c r="I2661">
        <v>248.4109</v>
      </c>
      <c r="J2661">
        <v>-488.49950000000001</v>
      </c>
      <c r="K2661">
        <v>1.1143540000000001</v>
      </c>
      <c r="L2661">
        <v>266.71409999999997</v>
      </c>
      <c r="M2661">
        <v>-0.2283278</v>
      </c>
      <c r="N2661">
        <v>0</v>
      </c>
      <c r="O2661">
        <v>-0.97348080000000003</v>
      </c>
      <c r="P2661">
        <v>-7.7784199999999998E-2</v>
      </c>
      <c r="Q2661">
        <v>0.16008249999999999</v>
      </c>
      <c r="R2661">
        <v>-0.98403419999999997</v>
      </c>
      <c r="S2661">
        <v>5.2032469999999997E-2</v>
      </c>
      <c r="T2661">
        <v>-0.1865029</v>
      </c>
      <c r="U2661">
        <v>-3.0839840000000001</v>
      </c>
      <c r="V2661">
        <v>-0.1505012</v>
      </c>
      <c r="W2661">
        <v>0.17261099999999999</v>
      </c>
      <c r="X2661">
        <v>0.97342430000000002</v>
      </c>
      <c r="Y2661">
        <v>-0.24470739999999999</v>
      </c>
      <c r="Z2661">
        <v>5.7050150000000001E-2</v>
      </c>
      <c r="AA2661">
        <v>0.96791709999999997</v>
      </c>
      <c r="AB2661">
        <v>23</v>
      </c>
      <c r="AC2661">
        <v>0.33670000000000699</v>
      </c>
      <c r="AD2661">
        <v>-1.1143580916609901</v>
      </c>
      <c r="AE2661">
        <v>-18.303199999999901</v>
      </c>
      <c r="AF2661">
        <v>-4.4907142129589799</v>
      </c>
      <c r="AG2661">
        <v>-1.1143580916609901</v>
      </c>
      <c r="AH2661">
        <v>17.6772206990588</v>
      </c>
      <c r="AI2661">
        <v>93.496340163135997</v>
      </c>
      <c r="AJ2661">
        <v>104.25387318903699</v>
      </c>
      <c r="AK2661">
        <v>18.272723927815399</v>
      </c>
      <c r="AL2661">
        <v>80.060337235028896</v>
      </c>
      <c r="AM2661">
        <v>98.788914561995</v>
      </c>
      <c r="AN2661">
        <v>1.0000000181764599</v>
      </c>
    </row>
    <row r="2662" spans="1:40" x14ac:dyDescent="0.25">
      <c r="A2662" t="str">
        <f>"20190312172421203"</f>
        <v>20190312172421203</v>
      </c>
      <c r="B2662" t="str">
        <f>"1552382661193239"</f>
        <v>1552382661193239</v>
      </c>
      <c r="C2662" t="s">
        <v>40</v>
      </c>
      <c r="D2662">
        <v>3.7297889999999998</v>
      </c>
      <c r="E2662">
        <v>0.46352470000000001</v>
      </c>
      <c r="F2662" t="s">
        <v>43</v>
      </c>
      <c r="G2662">
        <v>-488.16250000000002</v>
      </c>
      <c r="H2662" s="1">
        <v>-4.0255449999999996E-6</v>
      </c>
      <c r="I2662">
        <v>248.25659999999999</v>
      </c>
      <c r="J2662">
        <v>-488.524</v>
      </c>
      <c r="K2662">
        <v>1.114244</v>
      </c>
      <c r="L2662">
        <v>266.59410000000003</v>
      </c>
      <c r="M2662">
        <v>-0.2252064</v>
      </c>
      <c r="N2662">
        <v>0</v>
      </c>
      <c r="O2662">
        <v>-0.97420790000000002</v>
      </c>
      <c r="P2662">
        <v>-7.5455049999999996E-2</v>
      </c>
      <c r="Q2662">
        <v>0.15981799999999999</v>
      </c>
      <c r="R2662">
        <v>-0.98425859999999998</v>
      </c>
      <c r="S2662">
        <v>5.6304930000000003E-2</v>
      </c>
      <c r="T2662">
        <v>-0.18615509999999999</v>
      </c>
      <c r="U2662">
        <v>-3.0833439999999999</v>
      </c>
      <c r="V2662">
        <v>-0.1496441</v>
      </c>
      <c r="W2662">
        <v>0.17237379999999999</v>
      </c>
      <c r="X2662">
        <v>0.97359839999999997</v>
      </c>
      <c r="Y2662">
        <v>-0.24294360000000001</v>
      </c>
      <c r="Z2662">
        <v>5.70342E-2</v>
      </c>
      <c r="AA2662">
        <v>0.96836230000000001</v>
      </c>
      <c r="AB2662">
        <v>23</v>
      </c>
      <c r="AC2662">
        <v>0.36149999999997801</v>
      </c>
      <c r="AD2662">
        <v>-1.114248025545</v>
      </c>
      <c r="AE2662">
        <v>-18.337499999999999</v>
      </c>
      <c r="AF2662">
        <v>-4.4658667133666796</v>
      </c>
      <c r="AG2662">
        <v>-1.114248025545</v>
      </c>
      <c r="AH2662">
        <v>17.719514809312599</v>
      </c>
      <c r="AI2662">
        <v>93.489334066403998</v>
      </c>
      <c r="AJ2662">
        <v>104.145712604851</v>
      </c>
      <c r="AK2662">
        <v>18.307559073820801</v>
      </c>
      <c r="AL2662">
        <v>80.074134061747799</v>
      </c>
      <c r="AM2662">
        <v>98.738098175666295</v>
      </c>
      <c r="AN2662">
        <v>0.99999996403690405</v>
      </c>
    </row>
    <row r="2663" spans="1:40" x14ac:dyDescent="0.25">
      <c r="A2663" t="str">
        <f>"20190312172421215"</f>
        <v>20190312172421215</v>
      </c>
      <c r="B2663" t="str">
        <f>"1552382661212758"</f>
        <v>1552382661212758</v>
      </c>
      <c r="C2663" t="s">
        <v>40</v>
      </c>
      <c r="D2663">
        <v>3.760904</v>
      </c>
      <c r="E2663">
        <v>0.4642963</v>
      </c>
      <c r="F2663" t="s">
        <v>43</v>
      </c>
      <c r="G2663">
        <v>-488.15859999999998</v>
      </c>
      <c r="H2663" s="1">
        <v>-3.9528810000000004E-6</v>
      </c>
      <c r="I2663">
        <v>248.0857</v>
      </c>
      <c r="J2663">
        <v>-488.54809999999998</v>
      </c>
      <c r="K2663">
        <v>1.114133</v>
      </c>
      <c r="L2663">
        <v>266.47390000000001</v>
      </c>
      <c r="M2663">
        <v>-0.2222084</v>
      </c>
      <c r="N2663">
        <v>0</v>
      </c>
      <c r="O2663">
        <v>-0.9748966</v>
      </c>
      <c r="P2663">
        <v>-7.3575749999999995E-2</v>
      </c>
      <c r="Q2663">
        <v>0.1593812</v>
      </c>
      <c r="R2663">
        <v>-0.98447200000000001</v>
      </c>
      <c r="S2663">
        <v>6.0852049999999998E-2</v>
      </c>
      <c r="T2663">
        <v>-0.18559110000000001</v>
      </c>
      <c r="U2663">
        <v>-3.0827939999999998</v>
      </c>
      <c r="V2663">
        <v>-0.14847080000000001</v>
      </c>
      <c r="W2663">
        <v>0.17196800000000001</v>
      </c>
      <c r="X2663">
        <v>0.97384979999999999</v>
      </c>
      <c r="Y2663">
        <v>-0.2413904</v>
      </c>
      <c r="Z2663">
        <v>5.69449E-2</v>
      </c>
      <c r="AA2663">
        <v>0.96875579999999994</v>
      </c>
      <c r="AB2663">
        <v>23</v>
      </c>
      <c r="AC2663">
        <v>0.38949999999999801</v>
      </c>
      <c r="AD2663">
        <v>-1.1141369528809999</v>
      </c>
      <c r="AE2663">
        <v>-18.388200000000001</v>
      </c>
      <c r="AF2663">
        <v>-4.4498528477044603</v>
      </c>
      <c r="AG2663">
        <v>-1.1141369528809999</v>
      </c>
      <c r="AH2663">
        <v>17.7765973977742</v>
      </c>
      <c r="AI2663">
        <v>93.479213175639302</v>
      </c>
      <c r="AJ2663">
        <v>104.05354376547</v>
      </c>
      <c r="AK2663">
        <v>18.3589189921017</v>
      </c>
      <c r="AL2663">
        <v>80.0977375347303</v>
      </c>
      <c r="AM2663">
        <v>98.668427122916299</v>
      </c>
      <c r="AN2663">
        <v>1.00000000221834</v>
      </c>
    </row>
    <row r="2664" spans="1:40" x14ac:dyDescent="0.25">
      <c r="A2664" t="str">
        <f>"20190312172421234"</f>
        <v>20190312172421234</v>
      </c>
      <c r="B2664" t="str">
        <f>"1552382661222519"</f>
        <v>1552382661222519</v>
      </c>
      <c r="C2664" t="s">
        <v>40</v>
      </c>
      <c r="D2664">
        <v>3.7869730000000001</v>
      </c>
      <c r="E2664">
        <v>0.46473140000000002</v>
      </c>
      <c r="F2664" t="s">
        <v>43</v>
      </c>
      <c r="G2664">
        <v>-488.1859</v>
      </c>
      <c r="H2664" s="1">
        <v>-3.9163990000000001E-6</v>
      </c>
      <c r="I2664">
        <v>248.0119</v>
      </c>
      <c r="J2664">
        <v>-488.58240000000001</v>
      </c>
      <c r="K2664">
        <v>1.113969</v>
      </c>
      <c r="L2664">
        <v>266.30079999999998</v>
      </c>
      <c r="M2664">
        <v>-0.21804609999999999</v>
      </c>
      <c r="N2664">
        <v>0</v>
      </c>
      <c r="O2664">
        <v>-0.97583620000000004</v>
      </c>
      <c r="P2664">
        <v>-7.0925070000000007E-2</v>
      </c>
      <c r="Q2664">
        <v>0.15816520000000001</v>
      </c>
      <c r="R2664">
        <v>-0.98486209999999996</v>
      </c>
      <c r="S2664">
        <v>6.045532E-2</v>
      </c>
      <c r="T2664">
        <v>-0.1859876</v>
      </c>
      <c r="U2664">
        <v>-3.0819399999999999</v>
      </c>
      <c r="V2664">
        <v>-0.1468999</v>
      </c>
      <c r="W2664">
        <v>0.170795899999999</v>
      </c>
      <c r="X2664">
        <v>0.9742942</v>
      </c>
      <c r="Y2664">
        <v>-0.23712759999999999</v>
      </c>
      <c r="Z2664">
        <v>5.7198520000000003E-2</v>
      </c>
      <c r="AA2664">
        <v>0.96979320000000002</v>
      </c>
      <c r="AB2664">
        <v>23</v>
      </c>
      <c r="AC2664">
        <v>0.39650000000000302</v>
      </c>
      <c r="AD2664">
        <v>-1.113972916399</v>
      </c>
      <c r="AE2664">
        <v>-18.288899999999899</v>
      </c>
      <c r="AF2664">
        <v>-4.35901470211848</v>
      </c>
      <c r="AG2664">
        <v>-1.113972916399</v>
      </c>
      <c r="AH2664">
        <v>17.6966644359483</v>
      </c>
      <c r="AI2664">
        <v>93.497640731195204</v>
      </c>
      <c r="AJ2664">
        <v>103.837542169169</v>
      </c>
      <c r="AK2664">
        <v>18.259624229165102</v>
      </c>
      <c r="AL2664">
        <v>80.165902463748495</v>
      </c>
      <c r="AM2664">
        <v>98.574227573753902</v>
      </c>
      <c r="AN2664">
        <v>1.0000000041152299</v>
      </c>
    </row>
    <row r="2665" spans="1:40" x14ac:dyDescent="0.25">
      <c r="A2665" t="str">
        <f>"20190312172421245"</f>
        <v>20190312172421245</v>
      </c>
      <c r="B2665" t="str">
        <f>"1552382661243015"</f>
        <v>1552382661243015</v>
      </c>
      <c r="C2665" t="s">
        <v>40</v>
      </c>
      <c r="D2665">
        <v>3.7559849999999999</v>
      </c>
      <c r="E2665">
        <v>0.4757769</v>
      </c>
      <c r="F2665" t="s">
        <v>43</v>
      </c>
      <c r="G2665">
        <v>-488.19900000000001</v>
      </c>
      <c r="H2665" s="1">
        <v>-3.9882299999999998E-6</v>
      </c>
      <c r="I2665">
        <v>248.18469999999999</v>
      </c>
      <c r="J2665">
        <v>-488.60509999999999</v>
      </c>
      <c r="K2665">
        <v>1.1138589999999999</v>
      </c>
      <c r="L2665">
        <v>266.1848</v>
      </c>
      <c r="M2665">
        <v>-0.21535290000000001</v>
      </c>
      <c r="N2665">
        <v>0</v>
      </c>
      <c r="O2665">
        <v>-0.97643449999999998</v>
      </c>
      <c r="P2665">
        <v>-6.8890359999999998E-2</v>
      </c>
      <c r="Q2665">
        <v>0.15786259999999999</v>
      </c>
      <c r="R2665">
        <v>-0.98505540000000003</v>
      </c>
      <c r="S2665">
        <v>6.5216060000000006E-2</v>
      </c>
      <c r="T2665">
        <v>-0.18946859999999999</v>
      </c>
      <c r="U2665">
        <v>-3.0812379999999999</v>
      </c>
      <c r="V2665">
        <v>-0.14618639999999999</v>
      </c>
      <c r="W2665">
        <v>0.1705187</v>
      </c>
      <c r="X2665">
        <v>0.97445009999999999</v>
      </c>
      <c r="Y2665">
        <v>-0.23594760000000001</v>
      </c>
      <c r="Z2665">
        <v>5.8341190000000001E-2</v>
      </c>
      <c r="AA2665">
        <v>0.97001289999999996</v>
      </c>
      <c r="AB2665">
        <v>23</v>
      </c>
      <c r="AC2665">
        <v>0.40609999999997998</v>
      </c>
      <c r="AD2665">
        <v>-1.11386298823</v>
      </c>
      <c r="AE2665">
        <v>-18.0001</v>
      </c>
      <c r="AF2665">
        <v>-4.25703560633091</v>
      </c>
      <c r="AG2665">
        <v>-1.11386298823</v>
      </c>
      <c r="AH2665">
        <v>17.4235173457533</v>
      </c>
      <c r="AI2665">
        <v>93.553616966815298</v>
      </c>
      <c r="AJ2665">
        <v>103.729918113772</v>
      </c>
      <c r="AK2665">
        <v>17.970587069093899</v>
      </c>
      <c r="AL2665">
        <v>80.182021705511801</v>
      </c>
      <c r="AM2665">
        <v>98.5318515740408</v>
      </c>
      <c r="AN2665">
        <v>1.00000004399232</v>
      </c>
    </row>
    <row r="2666" spans="1:40" x14ac:dyDescent="0.25">
      <c r="A2666" t="str">
        <f>"20190312172421256"</f>
        <v>20190312172421256</v>
      </c>
      <c r="B2666" t="str">
        <f>"1552382661252775"</f>
        <v>1552382661252775</v>
      </c>
      <c r="C2666" t="s">
        <v>40</v>
      </c>
      <c r="D2666">
        <v>3.771496</v>
      </c>
      <c r="E2666">
        <v>0.47641620000000001</v>
      </c>
      <c r="F2666" t="s">
        <v>43</v>
      </c>
      <c r="G2666">
        <v>-488.71069999999997</v>
      </c>
      <c r="H2666" s="1">
        <v>-3.468067E-6</v>
      </c>
      <c r="I2666">
        <v>247.18379999999999</v>
      </c>
      <c r="J2666">
        <v>-488.62720000000002</v>
      </c>
      <c r="K2666">
        <v>1.1137490000000001</v>
      </c>
      <c r="L2666">
        <v>266.07060000000001</v>
      </c>
      <c r="M2666">
        <v>-0.21279609999999999</v>
      </c>
      <c r="N2666">
        <v>0</v>
      </c>
      <c r="O2666">
        <v>-0.97699510000000001</v>
      </c>
      <c r="P2666">
        <v>-6.6936099999999998E-2</v>
      </c>
      <c r="Q2666">
        <v>0.15775159999999999</v>
      </c>
      <c r="R2666">
        <v>-0.98520759999999996</v>
      </c>
      <c r="S2666">
        <v>-1.7089839999999999E-2</v>
      </c>
      <c r="T2666">
        <v>-0.18015439999999999</v>
      </c>
      <c r="U2666">
        <v>-3.0731809999999999</v>
      </c>
      <c r="V2666">
        <v>-0.1455255</v>
      </c>
      <c r="W2666">
        <v>0.17043179999999999</v>
      </c>
      <c r="X2666">
        <v>0.97456419999999999</v>
      </c>
      <c r="Y2666">
        <v>-0.20738529999999999</v>
      </c>
      <c r="Z2666">
        <v>5.5875109999999999E-2</v>
      </c>
      <c r="AA2666">
        <v>0.97666229999999998</v>
      </c>
      <c r="AB2666">
        <v>23</v>
      </c>
      <c r="AC2666">
        <v>-8.3499999999958094E-2</v>
      </c>
      <c r="AD2666">
        <v>-1.1137524680669999</v>
      </c>
      <c r="AE2666">
        <v>-18.886800000000001</v>
      </c>
      <c r="AF2666">
        <v>-3.92420299000218</v>
      </c>
      <c r="AG2666">
        <v>-1.1137524680669999</v>
      </c>
      <c r="AH2666">
        <v>18.407900722625701</v>
      </c>
      <c r="AI2666">
        <v>93.386492603016606</v>
      </c>
      <c r="AJ2666">
        <v>102.03419194287601</v>
      </c>
      <c r="AK2666">
        <v>18.8544589601747</v>
      </c>
      <c r="AL2666">
        <v>80.187074483514607</v>
      </c>
      <c r="AM2666">
        <v>98.4928635364749</v>
      </c>
      <c r="AN2666">
        <v>1.0000000247615599</v>
      </c>
    </row>
    <row r="2667" spans="1:40" x14ac:dyDescent="0.25">
      <c r="A2667" t="str">
        <f>"20190312172421269"</f>
        <v>20190312172421269</v>
      </c>
      <c r="B2667" t="str">
        <f>"1552382661262536"</f>
        <v>1552382661262536</v>
      </c>
      <c r="C2667" t="s">
        <v>40</v>
      </c>
      <c r="D2667">
        <v>3.7476880000000001</v>
      </c>
      <c r="E2667">
        <v>0.47698679999999899</v>
      </c>
      <c r="F2667" t="s">
        <v>43</v>
      </c>
      <c r="G2667">
        <v>-488.72699999999998</v>
      </c>
      <c r="H2667" s="1">
        <v>-3.5353089999999999E-6</v>
      </c>
      <c r="I2667">
        <v>247.34729999999999</v>
      </c>
      <c r="J2667">
        <v>-488.65030000000002</v>
      </c>
      <c r="K2667">
        <v>1.113629</v>
      </c>
      <c r="L2667">
        <v>265.94940000000003</v>
      </c>
      <c r="M2667">
        <v>-0.21017540000000001</v>
      </c>
      <c r="N2667">
        <v>0</v>
      </c>
      <c r="O2667">
        <v>-0.97756270000000001</v>
      </c>
      <c r="P2667">
        <v>-6.4969410000000005E-2</v>
      </c>
      <c r="Q2667">
        <v>0.15750790000000001</v>
      </c>
      <c r="R2667">
        <v>-0.98537839999999999</v>
      </c>
      <c r="S2667">
        <v>-1.638794E-2</v>
      </c>
      <c r="T2667">
        <v>-0.182809</v>
      </c>
      <c r="U2667">
        <v>-3.0732119999999998</v>
      </c>
      <c r="V2667">
        <v>-0.14481440000000001</v>
      </c>
      <c r="W2667">
        <v>0.17021520000000001</v>
      </c>
      <c r="X2667">
        <v>0.97470800000000002</v>
      </c>
      <c r="Y2667">
        <v>-0.20498469999999999</v>
      </c>
      <c r="Z2667">
        <v>5.6760539999999998E-2</v>
      </c>
      <c r="AA2667">
        <v>0.97711800000000004</v>
      </c>
      <c r="AB2667">
        <v>23</v>
      </c>
      <c r="AC2667">
        <v>-7.66999999999598E-2</v>
      </c>
      <c r="AD2667">
        <v>-1.113632535309</v>
      </c>
      <c r="AE2667">
        <v>-18.6021</v>
      </c>
      <c r="AF2667">
        <v>-3.82140798755366</v>
      </c>
      <c r="AG2667">
        <v>-1.113632535309</v>
      </c>
      <c r="AH2667">
        <v>18.137633911974699</v>
      </c>
      <c r="AI2667">
        <v>93.438197510892493</v>
      </c>
      <c r="AJ2667">
        <v>101.89760758140901</v>
      </c>
      <c r="AK2667">
        <v>18.569251475378699</v>
      </c>
      <c r="AL2667">
        <v>80.199669073704001</v>
      </c>
      <c r="AM2667">
        <v>98.450735701915505</v>
      </c>
      <c r="AN2667">
        <v>1.00000005501119</v>
      </c>
    </row>
    <row r="2668" spans="1:40" x14ac:dyDescent="0.25">
      <c r="A2668" t="str">
        <f>"20190312172421281"</f>
        <v>20190312172421281</v>
      </c>
      <c r="B2668" t="str">
        <f>"1552382661273271"</f>
        <v>1552382661273271</v>
      </c>
      <c r="C2668" t="s">
        <v>40</v>
      </c>
      <c r="D2668">
        <v>3.7763719999999998</v>
      </c>
      <c r="E2668">
        <v>0.47731050000000003</v>
      </c>
      <c r="F2668" t="s">
        <v>43</v>
      </c>
      <c r="G2668">
        <v>-488.7396</v>
      </c>
      <c r="H2668" s="1">
        <v>-3.5648269999999998E-6</v>
      </c>
      <c r="I2668">
        <v>247.4213</v>
      </c>
      <c r="J2668">
        <v>-488.67309999999998</v>
      </c>
      <c r="K2668">
        <v>1.113513</v>
      </c>
      <c r="L2668">
        <v>265.8297</v>
      </c>
      <c r="M2668">
        <v>-0.20763909999999999</v>
      </c>
      <c r="N2668">
        <v>0</v>
      </c>
      <c r="O2668">
        <v>-0.9781048</v>
      </c>
      <c r="P2668">
        <v>-6.2847169999999994E-2</v>
      </c>
      <c r="Q2668">
        <v>0.15750510000000001</v>
      </c>
      <c r="R2668">
        <v>-0.98551650000000002</v>
      </c>
      <c r="S2668">
        <v>-1.480103E-2</v>
      </c>
      <c r="T2668">
        <v>-0.18470629999999999</v>
      </c>
      <c r="U2668">
        <v>-3.0730590000000002</v>
      </c>
      <c r="V2668">
        <v>-0.14433699999999999</v>
      </c>
      <c r="W2668">
        <v>0.17023629999999901</v>
      </c>
      <c r="X2668">
        <v>0.97477510000000001</v>
      </c>
      <c r="Y2668">
        <v>-0.20294999999999999</v>
      </c>
      <c r="Z2668">
        <v>5.7411879999999998E-2</v>
      </c>
      <c r="AA2668">
        <v>0.97750459999999995</v>
      </c>
      <c r="AB2668">
        <v>23</v>
      </c>
      <c r="AC2668">
        <v>-6.6500000000019099E-2</v>
      </c>
      <c r="AD2668">
        <v>-1.113516564827</v>
      </c>
      <c r="AE2668">
        <v>-18.4084</v>
      </c>
      <c r="AF2668">
        <v>-3.7439309632534599</v>
      </c>
      <c r="AG2668">
        <v>-1.113516564827</v>
      </c>
      <c r="AH2668">
        <v>17.9552304288848</v>
      </c>
      <c r="AI2668">
        <v>93.474192492068397</v>
      </c>
      <c r="AJ2668">
        <v>101.778252371839</v>
      </c>
      <c r="AK2668">
        <v>18.3751799433938</v>
      </c>
      <c r="AL2668">
        <v>80.198441994324</v>
      </c>
      <c r="AM2668">
        <v>98.422705540016295</v>
      </c>
      <c r="AN2668">
        <v>1.0000000314933399</v>
      </c>
    </row>
    <row r="2669" spans="1:40" x14ac:dyDescent="0.25">
      <c r="A2669" t="str">
        <f>"20190312172421302"</f>
        <v>20190312172421302</v>
      </c>
      <c r="B2669" t="str">
        <f>"1552382661292790"</f>
        <v>1552382661292790</v>
      </c>
      <c r="C2669" t="s">
        <v>40</v>
      </c>
      <c r="D2669">
        <v>3.780821</v>
      </c>
      <c r="E2669">
        <v>0.47809990000000002</v>
      </c>
      <c r="F2669" t="s">
        <v>43</v>
      </c>
      <c r="G2669">
        <v>-488.74259999999998</v>
      </c>
      <c r="H2669" s="1">
        <v>-3.5353779999999999E-6</v>
      </c>
      <c r="I2669">
        <v>247.35390000000001</v>
      </c>
      <c r="J2669">
        <v>-488.7115</v>
      </c>
      <c r="K2669">
        <v>1.11331</v>
      </c>
      <c r="L2669">
        <v>265.625</v>
      </c>
      <c r="M2669">
        <v>-0.20356969999999999</v>
      </c>
      <c r="N2669">
        <v>0</v>
      </c>
      <c r="O2669">
        <v>-0.97896050000000001</v>
      </c>
      <c r="P2669">
        <v>-5.9443410000000002E-2</v>
      </c>
      <c r="Q2669">
        <v>0.15790860000000001</v>
      </c>
      <c r="R2669">
        <v>-0.98566339999999997</v>
      </c>
      <c r="S2669">
        <v>-1.1566160000000001E-2</v>
      </c>
      <c r="T2669">
        <v>-0.1852067</v>
      </c>
      <c r="U2669">
        <v>-3.0729980000000001</v>
      </c>
      <c r="V2669">
        <v>-0.14355409999999999</v>
      </c>
      <c r="W2669">
        <v>0.17068269999999999</v>
      </c>
      <c r="X2669">
        <v>0.97481260000000003</v>
      </c>
      <c r="Y2669">
        <v>-0.1999059</v>
      </c>
      <c r="Z2669">
        <v>5.7663970000000002E-2</v>
      </c>
      <c r="AA2669">
        <v>0.97811680000000001</v>
      </c>
      <c r="AB2669">
        <v>23</v>
      </c>
      <c r="AC2669">
        <v>-3.1099999999980799E-2</v>
      </c>
      <c r="AD2669">
        <v>-1.1133135353779999</v>
      </c>
      <c r="AE2669">
        <v>-18.271099999999901</v>
      </c>
      <c r="AF2669">
        <v>-3.6757104611963101</v>
      </c>
      <c r="AG2669">
        <v>-1.1133135353779999</v>
      </c>
      <c r="AH2669">
        <v>17.8285730979342</v>
      </c>
      <c r="AI2669">
        <v>93.499803502900093</v>
      </c>
      <c r="AJ2669">
        <v>101.64942398575</v>
      </c>
      <c r="AK2669">
        <v>18.237552827366599</v>
      </c>
      <c r="AL2669">
        <v>80.172484806836906</v>
      </c>
      <c r="AM2669">
        <v>98.377352251473297</v>
      </c>
      <c r="AN2669">
        <v>0.99999998441242899</v>
      </c>
    </row>
    <row r="2670" spans="1:40" x14ac:dyDescent="0.25">
      <c r="A2670" t="str">
        <f>"20190312172421324"</f>
        <v>20190312172421324</v>
      </c>
      <c r="B2670" t="str">
        <f>"1552382661312310"</f>
        <v>1552382661312310</v>
      </c>
      <c r="C2670" t="s">
        <v>40</v>
      </c>
      <c r="D2670">
        <v>3.7574930000000002</v>
      </c>
      <c r="E2670">
        <v>0.48186430000000002</v>
      </c>
      <c r="F2670" t="s">
        <v>43</v>
      </c>
      <c r="G2670">
        <v>-488.76639999999998</v>
      </c>
      <c r="H2670" s="1">
        <v>-3.3634139999999998E-6</v>
      </c>
      <c r="I2670">
        <v>246.96289999999999</v>
      </c>
      <c r="J2670">
        <v>-488.7516</v>
      </c>
      <c r="K2670">
        <v>1.1131089999999999</v>
      </c>
      <c r="L2670">
        <v>265.40719999999999</v>
      </c>
      <c r="M2670">
        <v>-0.19952139999999999</v>
      </c>
      <c r="N2670">
        <v>0</v>
      </c>
      <c r="O2670">
        <v>-0.97979369999999999</v>
      </c>
      <c r="P2670">
        <v>-5.5692390000000001E-2</v>
      </c>
      <c r="Q2670">
        <v>0.15787119999999999</v>
      </c>
      <c r="R2670">
        <v>-0.98588790000000004</v>
      </c>
      <c r="S2670">
        <v>-9.0332030000000001E-3</v>
      </c>
      <c r="T2670">
        <v>-0.18329309999999999</v>
      </c>
      <c r="U2670">
        <v>-3.072479</v>
      </c>
      <c r="V2670">
        <v>-0.143151</v>
      </c>
      <c r="W2670">
        <v>0.1706859</v>
      </c>
      <c r="X2670">
        <v>0.9748713</v>
      </c>
      <c r="Y2670">
        <v>-0.19666049999999999</v>
      </c>
      <c r="Z2670">
        <v>5.7173809999999999E-2</v>
      </c>
      <c r="AA2670">
        <v>0.97880319999999998</v>
      </c>
      <c r="AB2670">
        <v>23</v>
      </c>
      <c r="AC2670">
        <v>-1.4799999999979699E-2</v>
      </c>
      <c r="AD2670">
        <v>-1.1131123634140001</v>
      </c>
      <c r="AE2670">
        <v>-18.444299999999998</v>
      </c>
      <c r="AF2670">
        <v>-3.6525868665963301</v>
      </c>
      <c r="AG2670">
        <v>-1.1131123634140001</v>
      </c>
      <c r="AH2670">
        <v>18.010731937997999</v>
      </c>
      <c r="AI2670">
        <v>93.466154704261299</v>
      </c>
      <c r="AJ2670">
        <v>101.464138820511</v>
      </c>
      <c r="AK2670">
        <v>18.411053063147701</v>
      </c>
      <c r="AL2670">
        <v>80.172298570991501</v>
      </c>
      <c r="AM2670">
        <v>98.353665158111099</v>
      </c>
      <c r="AN2670">
        <v>0.99999996841174899</v>
      </c>
    </row>
    <row r="2671" spans="1:40" x14ac:dyDescent="0.25">
      <c r="A2671" t="str">
        <f>"20190312172421347"</f>
        <v>20190312172421347</v>
      </c>
      <c r="B2671" t="str">
        <f>"1552382661342567"</f>
        <v>1552382661342567</v>
      </c>
      <c r="C2671" t="s">
        <v>40</v>
      </c>
      <c r="D2671">
        <v>3.9574790000000002</v>
      </c>
      <c r="E2671">
        <v>0.47906880000000002</v>
      </c>
      <c r="F2671" t="s">
        <v>43</v>
      </c>
      <c r="G2671">
        <v>-488.9402</v>
      </c>
      <c r="H2671" s="1">
        <v>-2.4334389999999999E-6</v>
      </c>
      <c r="I2671">
        <v>244.86699999999999</v>
      </c>
      <c r="J2671">
        <v>-488.79140000000001</v>
      </c>
      <c r="K2671">
        <v>1.1129439999999999</v>
      </c>
      <c r="L2671">
        <v>265.1884</v>
      </c>
      <c r="M2671">
        <v>-0.1957112</v>
      </c>
      <c r="N2671">
        <v>0</v>
      </c>
      <c r="O2671">
        <v>-0.98056239999999995</v>
      </c>
      <c r="P2671">
        <v>-5.1767870000000001E-2</v>
      </c>
      <c r="Q2671">
        <v>0.15780329999999901</v>
      </c>
      <c r="R2671">
        <v>-0.98611300000000002</v>
      </c>
      <c r="S2671">
        <v>-2.816772E-2</v>
      </c>
      <c r="T2671">
        <v>-0.16625490000000001</v>
      </c>
      <c r="U2671">
        <v>-3.0679020000000001</v>
      </c>
      <c r="V2671">
        <v>-0.14316960000000001</v>
      </c>
      <c r="W2671">
        <v>0.1706493</v>
      </c>
      <c r="X2671">
        <v>0.97487500000000005</v>
      </c>
      <c r="Y2671">
        <v>-0.1867287</v>
      </c>
      <c r="Z2671">
        <v>5.2066649999999999E-2</v>
      </c>
      <c r="AA2671">
        <v>0.98103079999999998</v>
      </c>
      <c r="AB2671">
        <v>23</v>
      </c>
      <c r="AC2671">
        <v>-0.14879999999999399</v>
      </c>
      <c r="AD2671">
        <v>-1.112946433439</v>
      </c>
      <c r="AE2671">
        <v>-20.321399999999901</v>
      </c>
      <c r="AF2671">
        <v>-3.8201328722182901</v>
      </c>
      <c r="AG2671">
        <v>-1.112946433439</v>
      </c>
      <c r="AH2671">
        <v>19.8977844370927</v>
      </c>
      <c r="AI2671">
        <v>93.144097623029197</v>
      </c>
      <c r="AJ2671">
        <v>100.867853996222</v>
      </c>
      <c r="AK2671">
        <v>20.291719750433</v>
      </c>
      <c r="AL2671">
        <v>80.174427052846895</v>
      </c>
      <c r="AM2671">
        <v>98.354703991290805</v>
      </c>
      <c r="AN2671">
        <v>0.99999999178982502</v>
      </c>
    </row>
    <row r="2672" spans="1:40" x14ac:dyDescent="0.25">
      <c r="A2672" t="str">
        <f>"20190312172421368"</f>
        <v>20190312172421368</v>
      </c>
      <c r="B2672" t="str">
        <f>"1552382661363063"</f>
        <v>1552382661363063</v>
      </c>
      <c r="C2672" t="s">
        <v>40</v>
      </c>
      <c r="D2672">
        <v>3.934469</v>
      </c>
      <c r="E2672">
        <v>0.4802304</v>
      </c>
      <c r="F2672" t="s">
        <v>43</v>
      </c>
      <c r="G2672">
        <v>-488.76729999999998</v>
      </c>
      <c r="H2672" s="1">
        <v>-4.248383E-6</v>
      </c>
      <c r="I2672">
        <v>249.02619999999999</v>
      </c>
      <c r="J2672">
        <v>-488.82940000000002</v>
      </c>
      <c r="K2672">
        <v>1.112792</v>
      </c>
      <c r="L2672">
        <v>264.976</v>
      </c>
      <c r="M2672">
        <v>-0.19225919999999999</v>
      </c>
      <c r="N2672">
        <v>0</v>
      </c>
      <c r="O2672">
        <v>-0.98124549999999999</v>
      </c>
      <c r="P2672">
        <v>-4.8242760000000003E-2</v>
      </c>
      <c r="Q2672">
        <v>0.15808910000000001</v>
      </c>
      <c r="R2672">
        <v>-0.98624619999999996</v>
      </c>
      <c r="S2672">
        <v>4.5776369999999999E-3</v>
      </c>
      <c r="T2672">
        <v>-0.21184339999999999</v>
      </c>
      <c r="U2672">
        <v>-3.0763850000000001</v>
      </c>
      <c r="V2672">
        <v>-0.14315249999999999</v>
      </c>
      <c r="W2672">
        <v>0.1709608</v>
      </c>
      <c r="X2672">
        <v>0.97482290000000005</v>
      </c>
      <c r="Y2672">
        <v>-0.19373019999999999</v>
      </c>
      <c r="Z2672">
        <v>6.6126229999999994E-2</v>
      </c>
      <c r="AA2672">
        <v>0.97882369999999996</v>
      </c>
      <c r="AB2672">
        <v>23</v>
      </c>
      <c r="AC2672">
        <v>6.2100000000043502E-2</v>
      </c>
      <c r="AD2672">
        <v>-1.1127962483830001</v>
      </c>
      <c r="AE2672">
        <v>-15.9498</v>
      </c>
      <c r="AF2672">
        <v>-3.1125832328435301</v>
      </c>
      <c r="AG2672">
        <v>-1.1127962483830001</v>
      </c>
      <c r="AH2672">
        <v>15.5644832000441</v>
      </c>
      <c r="AI2672">
        <v>94.010315771660203</v>
      </c>
      <c r="AJ2672">
        <v>101.30882313269601</v>
      </c>
      <c r="AK2672">
        <v>15.911619249977299</v>
      </c>
      <c r="AL2672">
        <v>80.156312914613693</v>
      </c>
      <c r="AM2672">
        <v>98.354160366962503</v>
      </c>
      <c r="AN2672">
        <v>0.99999995987864898</v>
      </c>
    </row>
    <row r="2673" spans="1:40" x14ac:dyDescent="0.25">
      <c r="A2673" t="str">
        <f>"20190312172421380"</f>
        <v>20190312172421380</v>
      </c>
      <c r="B2673" t="str">
        <f>"1552382661372822"</f>
        <v>1552382661372822</v>
      </c>
      <c r="C2673" t="s">
        <v>40</v>
      </c>
      <c r="D2673">
        <v>3.9588160000000001</v>
      </c>
      <c r="E2673">
        <v>0.4805662</v>
      </c>
      <c r="F2673" t="s">
        <v>43</v>
      </c>
      <c r="G2673">
        <v>-488.79820000000001</v>
      </c>
      <c r="H2673" s="1">
        <v>-4.0837130000000001E-6</v>
      </c>
      <c r="I2673">
        <v>248.6551</v>
      </c>
      <c r="J2673">
        <v>-488.85090000000002</v>
      </c>
      <c r="K2673">
        <v>1.112711</v>
      </c>
      <c r="L2673">
        <v>264.85480000000001</v>
      </c>
      <c r="M2673">
        <v>-0.1903802</v>
      </c>
      <c r="N2673">
        <v>0</v>
      </c>
      <c r="O2673">
        <v>-0.98161209999999999</v>
      </c>
      <c r="P2673">
        <v>-4.6542319999999998E-2</v>
      </c>
      <c r="Q2673">
        <v>0.1581378</v>
      </c>
      <c r="R2673">
        <v>-0.98631970000000002</v>
      </c>
      <c r="S2673">
        <v>5.8898930000000002E-3</v>
      </c>
      <c r="T2673">
        <v>-0.20971129999999999</v>
      </c>
      <c r="U2673">
        <v>-3.075745</v>
      </c>
      <c r="V2673">
        <v>-0.14293</v>
      </c>
      <c r="W2673">
        <v>0.1710256</v>
      </c>
      <c r="X2673">
        <v>0.97484420000000005</v>
      </c>
      <c r="Y2673">
        <v>-0.19226979999999999</v>
      </c>
      <c r="Z2673">
        <v>6.5524429999999995E-2</v>
      </c>
      <c r="AA2673">
        <v>0.97915209999999997</v>
      </c>
      <c r="AB2673">
        <v>23</v>
      </c>
      <c r="AC2673">
        <v>5.27000000000157E-2</v>
      </c>
      <c r="AD2673">
        <v>-1.112715083713</v>
      </c>
      <c r="AE2673">
        <v>-16.1997</v>
      </c>
      <c r="AF2673">
        <v>-3.1214093165570298</v>
      </c>
      <c r="AG2673">
        <v>-1.112715083713</v>
      </c>
      <c r="AH2673">
        <v>15.8186916706094</v>
      </c>
      <c r="AI2673">
        <v>93.947784635615605</v>
      </c>
      <c r="AJ2673">
        <v>101.162436724847</v>
      </c>
      <c r="AK2673">
        <v>16.1620647551239</v>
      </c>
      <c r="AL2673">
        <v>80.152544825127606</v>
      </c>
      <c r="AM2673">
        <v>98.341178752047099</v>
      </c>
      <c r="AN2673">
        <v>0.99999997751449898</v>
      </c>
    </row>
    <row r="2674" spans="1:40" x14ac:dyDescent="0.25">
      <c r="A2674" t="str">
        <f>"20190312172421392"</f>
        <v>20190312172421392</v>
      </c>
      <c r="B2674" t="str">
        <f>"1552382661382583"</f>
        <v>1552382661382583</v>
      </c>
      <c r="C2674" t="s">
        <v>40</v>
      </c>
      <c r="D2674">
        <v>3.9347240000000001</v>
      </c>
      <c r="E2674">
        <v>0.48101919999999998</v>
      </c>
      <c r="F2674" t="s">
        <v>43</v>
      </c>
      <c r="G2674">
        <v>-488.80779999999999</v>
      </c>
      <c r="H2674" s="1">
        <v>-4.0774720000000004E-6</v>
      </c>
      <c r="I2674">
        <v>248.64449999999999</v>
      </c>
      <c r="J2674">
        <v>-488.87029999999999</v>
      </c>
      <c r="K2674">
        <v>1.112635</v>
      </c>
      <c r="L2674">
        <v>264.74459999999999</v>
      </c>
      <c r="M2674">
        <v>-0.18878500000000001</v>
      </c>
      <c r="N2674">
        <v>0</v>
      </c>
      <c r="O2674">
        <v>-0.98192029999999997</v>
      </c>
      <c r="P2674">
        <v>-4.5268679999999999E-2</v>
      </c>
      <c r="Q2674">
        <v>0.158306</v>
      </c>
      <c r="R2674">
        <v>-0.98635229999999996</v>
      </c>
      <c r="S2674">
        <v>8.178711E-3</v>
      </c>
      <c r="T2674">
        <v>-0.2111326</v>
      </c>
      <c r="U2674">
        <v>-3.0758359999999998</v>
      </c>
      <c r="V2674">
        <v>-0.14256750000000001</v>
      </c>
      <c r="W2674">
        <v>0.17121029999999901</v>
      </c>
      <c r="X2674">
        <v>0.97486490000000003</v>
      </c>
      <c r="Y2674">
        <v>-0.19140370000000001</v>
      </c>
      <c r="Z2674">
        <v>6.6001829999999997E-2</v>
      </c>
      <c r="AA2674">
        <v>0.97928970000000004</v>
      </c>
      <c r="AB2674">
        <v>23</v>
      </c>
      <c r="AC2674">
        <v>6.25E-2</v>
      </c>
      <c r="AD2674">
        <v>-1.1126390774720001</v>
      </c>
      <c r="AE2674">
        <v>-16.100099999999902</v>
      </c>
      <c r="AF2674">
        <v>-3.0863863568770999</v>
      </c>
      <c r="AG2674">
        <v>-1.1126390774720001</v>
      </c>
      <c r="AH2674">
        <v>15.723645842840099</v>
      </c>
      <c r="AI2674">
        <v>93.972077605139305</v>
      </c>
      <c r="AJ2674">
        <v>101.105367367901</v>
      </c>
      <c r="AK2674">
        <v>16.062278326927899</v>
      </c>
      <c r="AL2674">
        <v>80.141804255087294</v>
      </c>
      <c r="AM2674">
        <v>98.320146128219903</v>
      </c>
      <c r="AN2674">
        <v>1.00000001606717</v>
      </c>
    </row>
    <row r="2675" spans="1:40" x14ac:dyDescent="0.25">
      <c r="A2675" t="str">
        <f>"20190312172421404"</f>
        <v>20190312172421404</v>
      </c>
      <c r="B2675" t="str">
        <f>"1552382661392343"</f>
        <v>1552382661392343</v>
      </c>
      <c r="C2675" t="s">
        <v>40</v>
      </c>
      <c r="D2675">
        <v>3.9201950000000001</v>
      </c>
      <c r="E2675">
        <v>0.48140899999999998</v>
      </c>
      <c r="F2675" t="s">
        <v>43</v>
      </c>
      <c r="G2675">
        <v>-488.82380000000001</v>
      </c>
      <c r="H2675" s="1">
        <v>-3.9814200000000002E-6</v>
      </c>
      <c r="I2675">
        <v>248.4272</v>
      </c>
      <c r="J2675">
        <v>-488.89089999999999</v>
      </c>
      <c r="K2675">
        <v>1.1125560000000001</v>
      </c>
      <c r="L2675">
        <v>264.6268</v>
      </c>
      <c r="M2675">
        <v>-0.1871189</v>
      </c>
      <c r="N2675">
        <v>0</v>
      </c>
      <c r="O2675">
        <v>-0.98223919999999998</v>
      </c>
      <c r="P2675">
        <v>-4.4092310000000003E-2</v>
      </c>
      <c r="Q2675">
        <v>0.1584496</v>
      </c>
      <c r="R2675">
        <v>-0.98638230000000005</v>
      </c>
      <c r="S2675">
        <v>8.7585449999999995E-3</v>
      </c>
      <c r="T2675">
        <v>-0.20971419999999999</v>
      </c>
      <c r="U2675">
        <v>-3.0755620000000001</v>
      </c>
      <c r="V2675">
        <v>-0.14203440000000001</v>
      </c>
      <c r="W2675">
        <v>0.17137330000000001</v>
      </c>
      <c r="X2675">
        <v>0.97491410000000001</v>
      </c>
      <c r="Y2675">
        <v>-0.18992339999999999</v>
      </c>
      <c r="Z2675">
        <v>6.5608550000000002E-2</v>
      </c>
      <c r="AA2675">
        <v>0.97960429999999998</v>
      </c>
      <c r="AB2675">
        <v>22</v>
      </c>
      <c r="AC2675">
        <v>6.7099999999982105E-2</v>
      </c>
      <c r="AD2675">
        <v>-1.11255998141999</v>
      </c>
      <c r="AE2675">
        <v>-16.1996</v>
      </c>
      <c r="AF2675">
        <v>-3.0829170462442601</v>
      </c>
      <c r="AG2675">
        <v>-1.11255998141999</v>
      </c>
      <c r="AH2675">
        <v>15.8262121393676</v>
      </c>
      <c r="AI2675">
        <v>93.947242402335306</v>
      </c>
      <c r="AJ2675">
        <v>101.023067780803</v>
      </c>
      <c r="AK2675">
        <v>16.1620282732876</v>
      </c>
      <c r="AL2675">
        <v>80.132325186232606</v>
      </c>
      <c r="AM2675">
        <v>98.289055362840401</v>
      </c>
      <c r="AN2675">
        <v>1.00000004055752</v>
      </c>
    </row>
    <row r="2676" spans="1:40" x14ac:dyDescent="0.25">
      <c r="A2676" t="str">
        <f>"20190312172421414"</f>
        <v>20190312172421414</v>
      </c>
      <c r="B2676" t="str">
        <f>"1552382661403079"</f>
        <v>1552382661403079</v>
      </c>
      <c r="C2676" t="s">
        <v>40</v>
      </c>
      <c r="D2676">
        <v>3.9799280000000001</v>
      </c>
      <c r="E2676">
        <v>0.48140899999999998</v>
      </c>
      <c r="F2676" t="s">
        <v>43</v>
      </c>
      <c r="G2676">
        <v>-488.83879999999999</v>
      </c>
      <c r="H2676" s="1">
        <v>-3.8869830000000004E-6</v>
      </c>
      <c r="I2676">
        <v>248.2133</v>
      </c>
      <c r="J2676">
        <v>-488.91140000000001</v>
      </c>
      <c r="K2676">
        <v>1.112457</v>
      </c>
      <c r="L2676">
        <v>264.50940000000003</v>
      </c>
      <c r="M2676">
        <v>-0.1855764</v>
      </c>
      <c r="N2676">
        <v>0</v>
      </c>
      <c r="O2676">
        <v>-0.98253210000000002</v>
      </c>
      <c r="P2676">
        <v>-4.3093520000000003E-2</v>
      </c>
      <c r="Q2676">
        <v>0.15825939999999999</v>
      </c>
      <c r="R2676">
        <v>-0.98645669999999996</v>
      </c>
      <c r="S2676">
        <v>9.765625E-3</v>
      </c>
      <c r="T2676">
        <v>-0.20845440000000001</v>
      </c>
      <c r="U2676">
        <v>-3.0753170000000001</v>
      </c>
      <c r="V2676">
        <v>-0.14145269999999999</v>
      </c>
      <c r="W2676">
        <v>0.17120739999999901</v>
      </c>
      <c r="X2676">
        <v>0.97502770000000005</v>
      </c>
      <c r="Y2676">
        <v>-0.18870290000000001</v>
      </c>
      <c r="Z2676">
        <v>6.5258940000000001E-2</v>
      </c>
      <c r="AA2676">
        <v>0.9798635</v>
      </c>
      <c r="AB2676">
        <v>22</v>
      </c>
      <c r="AC2676">
        <v>7.2600000000022605E-2</v>
      </c>
      <c r="AD2676">
        <v>-1.1124608869829999</v>
      </c>
      <c r="AE2676">
        <v>-16.296099999999999</v>
      </c>
      <c r="AF2676">
        <v>-3.0814409592046399</v>
      </c>
      <c r="AG2676">
        <v>-1.1124608869829999</v>
      </c>
      <c r="AH2676">
        <v>15.9252919526198</v>
      </c>
      <c r="AI2676">
        <v>93.9233676303312</v>
      </c>
      <c r="AJ2676">
        <v>100.951033034076</v>
      </c>
      <c r="AK2676">
        <v>16.258775211752798</v>
      </c>
      <c r="AL2676">
        <v>80.141972025732102</v>
      </c>
      <c r="AM2676">
        <v>98.254627902906705</v>
      </c>
      <c r="AN2676">
        <v>0.99999992795966697</v>
      </c>
    </row>
    <row r="2677" spans="1:40" x14ac:dyDescent="0.25">
      <c r="A2677" t="str">
        <f>"20190312172421428"</f>
        <v>20190312172421428</v>
      </c>
      <c r="B2677" t="str">
        <f>"1552382661422599"</f>
        <v>1552382661422599</v>
      </c>
      <c r="C2677" t="s">
        <v>40</v>
      </c>
      <c r="D2677">
        <v>3.8548819999999999</v>
      </c>
      <c r="E2677">
        <v>0.48807929999999999</v>
      </c>
      <c r="F2677" t="s">
        <v>43</v>
      </c>
      <c r="G2677">
        <v>-488.84350000000001</v>
      </c>
      <c r="H2677" s="1">
        <v>-3.8574550000000002E-6</v>
      </c>
      <c r="I2677">
        <v>248.1464</v>
      </c>
      <c r="J2677">
        <v>-488.93180000000001</v>
      </c>
      <c r="K2677">
        <v>1.1123529999999999</v>
      </c>
      <c r="L2677">
        <v>264.39150000000001</v>
      </c>
      <c r="M2677">
        <v>-0.1841016</v>
      </c>
      <c r="N2677">
        <v>0</v>
      </c>
      <c r="O2677">
        <v>-0.98280970000000001</v>
      </c>
      <c r="P2677">
        <v>-4.2122E-2</v>
      </c>
      <c r="Q2677">
        <v>0.15812390000000001</v>
      </c>
      <c r="R2677">
        <v>-0.98652059999999997</v>
      </c>
      <c r="S2677">
        <v>1.275635E-2</v>
      </c>
      <c r="T2677">
        <v>-0.20907510000000001</v>
      </c>
      <c r="U2677">
        <v>-3.075256</v>
      </c>
      <c r="V2677">
        <v>-0.1409087</v>
      </c>
      <c r="W2677">
        <v>0.17109849999999999</v>
      </c>
      <c r="X2677">
        <v>0.97512569999999998</v>
      </c>
      <c r="Y2677">
        <v>-0.18818199999999999</v>
      </c>
      <c r="Z2677">
        <v>6.5485100000000004E-2</v>
      </c>
      <c r="AA2677">
        <v>0.97994859999999995</v>
      </c>
      <c r="AB2677">
        <v>22</v>
      </c>
      <c r="AC2677">
        <v>8.8300000000003806E-2</v>
      </c>
      <c r="AD2677">
        <v>-1.112356857455</v>
      </c>
      <c r="AE2677">
        <v>-16.245100000000001</v>
      </c>
      <c r="AF2677">
        <v>-3.0634630749784999</v>
      </c>
      <c r="AG2677">
        <v>-1.112356857455</v>
      </c>
      <c r="AH2677">
        <v>15.876677385854</v>
      </c>
      <c r="AI2677">
        <v>93.935370966629506</v>
      </c>
      <c r="AJ2677">
        <v>100.921214278918</v>
      </c>
      <c r="AK2677">
        <v>16.207745944596098</v>
      </c>
      <c r="AL2677">
        <v>80.148306143473903</v>
      </c>
      <c r="AM2677">
        <v>98.222502026499896</v>
      </c>
      <c r="AN2677">
        <v>1.0000000446192101</v>
      </c>
    </row>
    <row r="2678" spans="1:40" x14ac:dyDescent="0.25">
      <c r="A2678" t="str">
        <f>"20190312172421439"</f>
        <v>20190312172421439</v>
      </c>
      <c r="B2678" t="str">
        <f>"1552382661432358"</f>
        <v>1552382661432358</v>
      </c>
      <c r="C2678" t="s">
        <v>40</v>
      </c>
      <c r="D2678">
        <v>3.8710469999999999</v>
      </c>
      <c r="E2678">
        <v>0.4882127</v>
      </c>
      <c r="F2678" t="s">
        <v>43</v>
      </c>
      <c r="G2678">
        <v>-489.13670000000002</v>
      </c>
      <c r="H2678" s="1">
        <v>-3.4978089999999998E-6</v>
      </c>
      <c r="I2678">
        <v>247.42930000000001</v>
      </c>
      <c r="J2678">
        <v>-488.95229999999998</v>
      </c>
      <c r="K2678">
        <v>1.112244</v>
      </c>
      <c r="L2678">
        <v>264.2731</v>
      </c>
      <c r="M2678">
        <v>-0.1826855</v>
      </c>
      <c r="N2678">
        <v>0</v>
      </c>
      <c r="O2678">
        <v>-0.98307409999999995</v>
      </c>
      <c r="P2678">
        <v>-4.1525909999999999E-2</v>
      </c>
      <c r="Q2678">
        <v>0.15760879999999999</v>
      </c>
      <c r="R2678">
        <v>-0.98662879999999997</v>
      </c>
      <c r="S2678">
        <v>-3.7109379999999997E-2</v>
      </c>
      <c r="T2678">
        <v>-0.20143649999999999</v>
      </c>
      <c r="U2678">
        <v>-3.0716860000000001</v>
      </c>
      <c r="V2678">
        <v>-0.1400585</v>
      </c>
      <c r="W2678">
        <v>0.17061399999999999</v>
      </c>
      <c r="X2678">
        <v>0.97533300000000001</v>
      </c>
      <c r="Y2678">
        <v>-0.1708345</v>
      </c>
      <c r="Z2678">
        <v>6.3304360000000004E-2</v>
      </c>
      <c r="AA2678">
        <v>0.98326400000000003</v>
      </c>
      <c r="AB2678">
        <v>22</v>
      </c>
      <c r="AC2678">
        <v>-0.184400000000039</v>
      </c>
      <c r="AD2678">
        <v>-1.112247497809</v>
      </c>
      <c r="AE2678">
        <v>-16.843799999999899</v>
      </c>
      <c r="AF2678">
        <v>-2.8835444235861698</v>
      </c>
      <c r="AG2678">
        <v>-1.112247497809</v>
      </c>
      <c r="AH2678">
        <v>16.521945146421299</v>
      </c>
      <c r="AI2678">
        <v>93.794126899629404</v>
      </c>
      <c r="AJ2678">
        <v>99.900011410744099</v>
      </c>
      <c r="AK2678">
        <v>16.808527429865201</v>
      </c>
      <c r="AL2678">
        <v>80.176479684853902</v>
      </c>
      <c r="AM2678">
        <v>98.171848545211901</v>
      </c>
      <c r="AN2678">
        <v>0.99999999065362499</v>
      </c>
    </row>
    <row r="2679" spans="1:40" x14ac:dyDescent="0.25">
      <c r="A2679" t="str">
        <f>"20190312172421457"</f>
        <v>20190312172421457</v>
      </c>
      <c r="B2679" t="str">
        <f>"1552382661452855"</f>
        <v>1552382661452855</v>
      </c>
      <c r="C2679" t="s">
        <v>40</v>
      </c>
      <c r="D2679">
        <v>3.9146399999999999</v>
      </c>
      <c r="E2679">
        <v>0.48852669999999998</v>
      </c>
      <c r="F2679" t="s">
        <v>43</v>
      </c>
      <c r="G2679">
        <v>-489.15289999999999</v>
      </c>
      <c r="H2679" s="1">
        <v>-3.5188219999999998E-6</v>
      </c>
      <c r="I2679">
        <v>247.48500000000001</v>
      </c>
      <c r="J2679">
        <v>-488.98250000000002</v>
      </c>
      <c r="K2679">
        <v>1.112074</v>
      </c>
      <c r="L2679">
        <v>264.09730000000002</v>
      </c>
      <c r="M2679">
        <v>-0.18077380000000001</v>
      </c>
      <c r="N2679">
        <v>0</v>
      </c>
      <c r="O2679">
        <v>-0.98342759999999996</v>
      </c>
      <c r="P2679">
        <v>-4.1257019999999998E-2</v>
      </c>
      <c r="Q2679">
        <v>0.15655169999999999</v>
      </c>
      <c r="R2679">
        <v>-0.98680780000000001</v>
      </c>
      <c r="S2679">
        <v>-3.6712649999999999E-2</v>
      </c>
      <c r="T2679">
        <v>-0.20350180000000001</v>
      </c>
      <c r="U2679">
        <v>-3.071625</v>
      </c>
      <c r="V2679">
        <v>-0.1383809</v>
      </c>
      <c r="W2679">
        <v>0.16960799999999901</v>
      </c>
      <c r="X2679">
        <v>0.97574780000000005</v>
      </c>
      <c r="Y2679">
        <v>-0.1690458</v>
      </c>
      <c r="Z2679">
        <v>6.3997120000000005E-2</v>
      </c>
      <c r="AA2679">
        <v>0.98352830000000002</v>
      </c>
      <c r="AB2679">
        <v>22</v>
      </c>
      <c r="AC2679">
        <v>-0.17039999999997199</v>
      </c>
      <c r="AD2679">
        <v>-1.112077518822</v>
      </c>
      <c r="AE2679">
        <v>-16.612300000000001</v>
      </c>
      <c r="AF2679">
        <v>-2.8231132691455398</v>
      </c>
      <c r="AG2679">
        <v>-1.112077518822</v>
      </c>
      <c r="AH2679">
        <v>16.2963392246868</v>
      </c>
      <c r="AI2679">
        <v>93.846746259203996</v>
      </c>
      <c r="AJ2679">
        <v>99.828151959942005</v>
      </c>
      <c r="AK2679">
        <v>16.576409655421799</v>
      </c>
      <c r="AL2679">
        <v>80.234971449650999</v>
      </c>
      <c r="AM2679">
        <v>98.071878461194999</v>
      </c>
      <c r="AN2679">
        <v>0.99999995817682397</v>
      </c>
    </row>
    <row r="2680" spans="1:40" x14ac:dyDescent="0.25">
      <c r="A2680" t="str">
        <f>"20190312172421470"</f>
        <v>20190312172421470</v>
      </c>
      <c r="B2680" t="str">
        <f>"1552382661462615"</f>
        <v>1552382661462615</v>
      </c>
      <c r="C2680" t="s">
        <v>40</v>
      </c>
      <c r="D2680">
        <v>3.8428019999999998</v>
      </c>
      <c r="E2680">
        <v>0.48869489999999999</v>
      </c>
      <c r="F2680" t="s">
        <v>43</v>
      </c>
      <c r="G2680">
        <v>-489.18970000000002</v>
      </c>
      <c r="H2680" s="1">
        <v>-3.5837659999999998E-6</v>
      </c>
      <c r="I2680">
        <v>247.6516</v>
      </c>
      <c r="J2680">
        <v>-489.00299999999999</v>
      </c>
      <c r="K2680">
        <v>1.111964</v>
      </c>
      <c r="L2680">
        <v>263.97809999999998</v>
      </c>
      <c r="M2680">
        <v>-0.1795947</v>
      </c>
      <c r="N2680">
        <v>0</v>
      </c>
      <c r="O2680">
        <v>-0.98364399999999996</v>
      </c>
      <c r="P2680">
        <v>-4.0872720000000001E-2</v>
      </c>
      <c r="Q2680">
        <v>0.15629219999999999</v>
      </c>
      <c r="R2680">
        <v>-0.98686529999999995</v>
      </c>
      <c r="S2680">
        <v>-3.8696290000000001E-2</v>
      </c>
      <c r="T2680">
        <v>-0.20769660000000001</v>
      </c>
      <c r="U2680">
        <v>-3.071472</v>
      </c>
      <c r="V2680">
        <v>-0.13754839999999999</v>
      </c>
      <c r="W2680">
        <v>0.16938010000000001</v>
      </c>
      <c r="X2680">
        <v>0.97590509999999997</v>
      </c>
      <c r="Y2680">
        <v>-0.1672293</v>
      </c>
      <c r="Z2680">
        <v>6.5345669999999995E-2</v>
      </c>
      <c r="AA2680">
        <v>0.98375009999999996</v>
      </c>
      <c r="AB2680">
        <v>22</v>
      </c>
      <c r="AC2680">
        <v>-0.186699999999973</v>
      </c>
      <c r="AD2680">
        <v>-1.1119675837659999</v>
      </c>
      <c r="AE2680">
        <v>-16.3264999999999</v>
      </c>
      <c r="AF2680">
        <v>-2.73607775290087</v>
      </c>
      <c r="AG2680">
        <v>-1.1119675837659999</v>
      </c>
      <c r="AH2680">
        <v>16.020221370503599</v>
      </c>
      <c r="AI2680">
        <v>93.914052211205998</v>
      </c>
      <c r="AJ2680">
        <v>99.691976757055002</v>
      </c>
      <c r="AK2680">
        <v>16.290183735526298</v>
      </c>
      <c r="AL2680">
        <v>80.248221001521102</v>
      </c>
      <c r="AM2680">
        <v>98.022675834236495</v>
      </c>
      <c r="AN2680">
        <v>0.999999972412289</v>
      </c>
    </row>
    <row r="2681" spans="1:40" x14ac:dyDescent="0.25">
      <c r="A2681" t="str">
        <f>"20190312172421482"</f>
        <v>20190312172421482</v>
      </c>
      <c r="B2681" t="str">
        <f>"1552382661472375"</f>
        <v>1552382661472375</v>
      </c>
      <c r="C2681" t="s">
        <v>40</v>
      </c>
      <c r="D2681">
        <v>3.8943780000000001</v>
      </c>
      <c r="E2681">
        <v>0.4889831</v>
      </c>
      <c r="F2681" t="s">
        <v>43</v>
      </c>
      <c r="G2681">
        <v>-489.21730000000002</v>
      </c>
      <c r="H2681" s="1">
        <v>-3.348777E-6</v>
      </c>
      <c r="I2681">
        <v>247.11519999999999</v>
      </c>
      <c r="J2681">
        <v>-489.024</v>
      </c>
      <c r="K2681">
        <v>1.111845</v>
      </c>
      <c r="L2681">
        <v>263.85500000000002</v>
      </c>
      <c r="M2681">
        <v>-0.1784367</v>
      </c>
      <c r="N2681">
        <v>0</v>
      </c>
      <c r="O2681">
        <v>-0.98385469999999997</v>
      </c>
      <c r="P2681">
        <v>-4.0872110000000003E-2</v>
      </c>
      <c r="Q2681">
        <v>0.1560733</v>
      </c>
      <c r="R2681">
        <v>-0.98689959999999999</v>
      </c>
      <c r="S2681">
        <v>-3.9031980000000001E-2</v>
      </c>
      <c r="T2681">
        <v>-0.20246639999999999</v>
      </c>
      <c r="U2681">
        <v>-3.0703740000000002</v>
      </c>
      <c r="V2681">
        <v>-0.13635439999999999</v>
      </c>
      <c r="W2681">
        <v>0.1691954</v>
      </c>
      <c r="X2681">
        <v>0.97610469999999905</v>
      </c>
      <c r="Y2681">
        <v>-0.165955399999999</v>
      </c>
      <c r="Z2681">
        <v>6.3757789999999995E-2</v>
      </c>
      <c r="AA2681">
        <v>0.98407</v>
      </c>
      <c r="AB2681">
        <v>22</v>
      </c>
      <c r="AC2681">
        <v>-0.19330000000002201</v>
      </c>
      <c r="AD2681">
        <v>-1.1118483487769999</v>
      </c>
      <c r="AE2681">
        <v>-16.739799999999999</v>
      </c>
      <c r="AF2681">
        <v>-2.7847980546282098</v>
      </c>
      <c r="AG2681">
        <v>-1.1118483487769999</v>
      </c>
      <c r="AH2681">
        <v>16.433107378124198</v>
      </c>
      <c r="AI2681">
        <v>93.8164313376747</v>
      </c>
      <c r="AJ2681">
        <v>99.618119995265104</v>
      </c>
      <c r="AK2681">
        <v>16.704440279659199</v>
      </c>
      <c r="AL2681">
        <v>80.258958738132705</v>
      </c>
      <c r="AM2681">
        <v>97.952323804791604</v>
      </c>
      <c r="AN2681">
        <v>0.99999999557130403</v>
      </c>
    </row>
    <row r="2682" spans="1:40" x14ac:dyDescent="0.25">
      <c r="A2682" t="str">
        <f>"20190312172421493"</f>
        <v>20190312172421493</v>
      </c>
      <c r="B2682" t="str">
        <f>"1552382661483111"</f>
        <v>1552382661483111</v>
      </c>
      <c r="C2682" t="s">
        <v>40</v>
      </c>
      <c r="D2682">
        <v>3.9186160000000001</v>
      </c>
      <c r="E2682">
        <v>0.4892048</v>
      </c>
      <c r="F2682" t="s">
        <v>43</v>
      </c>
      <c r="G2682">
        <v>-489.24849999999998</v>
      </c>
      <c r="H2682" s="1">
        <v>-3.2549540000000002E-6</v>
      </c>
      <c r="I2682">
        <v>246.90940000000001</v>
      </c>
      <c r="J2682">
        <v>-489.04360000000003</v>
      </c>
      <c r="K2682">
        <v>1.111742</v>
      </c>
      <c r="L2682">
        <v>263.74</v>
      </c>
      <c r="M2682">
        <v>-0.1774876</v>
      </c>
      <c r="N2682">
        <v>0</v>
      </c>
      <c r="O2682">
        <v>-0.98402630000000002</v>
      </c>
      <c r="P2682">
        <v>-4.1194559999999998E-2</v>
      </c>
      <c r="Q2682">
        <v>0.1559325</v>
      </c>
      <c r="R2682">
        <v>-0.98690840000000002</v>
      </c>
      <c r="S2682">
        <v>-4.0679930000000003E-2</v>
      </c>
      <c r="T2682">
        <v>-0.20143159999999999</v>
      </c>
      <c r="U2682">
        <v>-3.0700069999999999</v>
      </c>
      <c r="V2682">
        <v>-0.13505229999999999</v>
      </c>
      <c r="W2682">
        <v>0.16908500000000001</v>
      </c>
      <c r="X2682">
        <v>0.97630479999999997</v>
      </c>
      <c r="Y2682">
        <v>-0.16447429999999999</v>
      </c>
      <c r="Z2682">
        <v>6.3465649999999998E-2</v>
      </c>
      <c r="AA2682">
        <v>0.98433749999999998</v>
      </c>
      <c r="AB2682">
        <v>22</v>
      </c>
      <c r="AC2682">
        <v>-0.20489999999995201</v>
      </c>
      <c r="AD2682">
        <v>-1.1117452549539999</v>
      </c>
      <c r="AE2682">
        <v>-16.8306</v>
      </c>
      <c r="AF2682">
        <v>-2.7737601770786302</v>
      </c>
      <c r="AG2682">
        <v>-1.1117452549539999</v>
      </c>
      <c r="AH2682">
        <v>16.527596998011902</v>
      </c>
      <c r="AI2682">
        <v>93.795341085999496</v>
      </c>
      <c r="AJ2682">
        <v>99.526938603979801</v>
      </c>
      <c r="AK2682">
        <v>16.795570414860901</v>
      </c>
      <c r="AL2682">
        <v>80.265376329035206</v>
      </c>
      <c r="AM2682">
        <v>97.875747639833804</v>
      </c>
      <c r="AN2682">
        <v>0.99999996173166406</v>
      </c>
    </row>
    <row r="2683" spans="1:40" x14ac:dyDescent="0.25">
      <c r="A2683" t="str">
        <f>"20190312172421505"</f>
        <v>20190312172421505</v>
      </c>
      <c r="B2683" t="str">
        <f>"1552382661502631"</f>
        <v>1552382661502631</v>
      </c>
      <c r="C2683" t="s">
        <v>40</v>
      </c>
      <c r="D2683">
        <v>3.9190290000000001</v>
      </c>
      <c r="E2683">
        <v>0.48969960000000001</v>
      </c>
      <c r="F2683" t="s">
        <v>43</v>
      </c>
      <c r="G2683">
        <v>-489.28140000000002</v>
      </c>
      <c r="H2683" s="1">
        <v>-3.2278069999999998E-6</v>
      </c>
      <c r="I2683">
        <v>246.8597</v>
      </c>
      <c r="J2683">
        <v>-489.06209999999999</v>
      </c>
      <c r="K2683">
        <v>1.111653</v>
      </c>
      <c r="L2683">
        <v>263.63159999999999</v>
      </c>
      <c r="M2683">
        <v>-0.17663599999999999</v>
      </c>
      <c r="N2683">
        <v>0</v>
      </c>
      <c r="O2683">
        <v>-0.9841801</v>
      </c>
      <c r="P2683">
        <v>-4.1209500000000003E-2</v>
      </c>
      <c r="Q2683">
        <v>0.15553129999999901</v>
      </c>
      <c r="R2683">
        <v>-0.98697109999999999</v>
      </c>
      <c r="S2683">
        <v>-4.3243410000000003E-2</v>
      </c>
      <c r="T2683">
        <v>-0.20218900000000001</v>
      </c>
      <c r="U2683">
        <v>-3.0699459999999998</v>
      </c>
      <c r="V2683">
        <v>-0.134161999999999</v>
      </c>
      <c r="W2683">
        <v>0.1687099</v>
      </c>
      <c r="X2683">
        <v>0.97649249999999999</v>
      </c>
      <c r="Y2683">
        <v>-0.16279849999999901</v>
      </c>
      <c r="Z2683">
        <v>6.3728409999999999E-2</v>
      </c>
      <c r="AA2683">
        <v>0.98459909999999995</v>
      </c>
      <c r="AB2683">
        <v>22</v>
      </c>
      <c r="AC2683">
        <v>-0.219300000000032</v>
      </c>
      <c r="AD2683">
        <v>-1.1116562278069999</v>
      </c>
      <c r="AE2683">
        <v>-16.771899999999899</v>
      </c>
      <c r="AF2683">
        <v>-2.73493763094769</v>
      </c>
      <c r="AG2683">
        <v>-1.1116562278069999</v>
      </c>
      <c r="AH2683">
        <v>16.474509655747099</v>
      </c>
      <c r="AI2683">
        <v>93.808350709591906</v>
      </c>
      <c r="AJ2683">
        <v>99.425725452993305</v>
      </c>
      <c r="AK2683">
        <v>16.736939141052599</v>
      </c>
      <c r="AL2683">
        <v>80.287181978099596</v>
      </c>
      <c r="AM2683">
        <v>97.822988465014205</v>
      </c>
      <c r="AN2683">
        <v>1.00000003757912</v>
      </c>
    </row>
    <row r="2684" spans="1:40" x14ac:dyDescent="0.25">
      <c r="A2684" t="str">
        <f>"20190312172421526"</f>
        <v>20190312172421526</v>
      </c>
      <c r="B2684" t="str">
        <f>"1552382661523127"</f>
        <v>1552382661523127</v>
      </c>
      <c r="C2684" t="s">
        <v>40</v>
      </c>
      <c r="D2684">
        <v>3.9115769999999999</v>
      </c>
      <c r="E2684">
        <v>0.4900447</v>
      </c>
      <c r="F2684" t="s">
        <v>43</v>
      </c>
      <c r="G2684">
        <v>-489.32240000000002</v>
      </c>
      <c r="H2684" s="1">
        <v>-3.2061760000000001E-6</v>
      </c>
      <c r="I2684">
        <v>246.8263</v>
      </c>
      <c r="J2684">
        <v>-489.09589999999997</v>
      </c>
      <c r="K2684">
        <v>1.1115010000000001</v>
      </c>
      <c r="L2684">
        <v>263.43329999999997</v>
      </c>
      <c r="M2684">
        <v>-0.1752705</v>
      </c>
      <c r="N2684">
        <v>0</v>
      </c>
      <c r="O2684">
        <v>-0.98442419999999997</v>
      </c>
      <c r="P2684">
        <v>-4.1513519999999998E-2</v>
      </c>
      <c r="Q2684">
        <v>0.15575620000000001</v>
      </c>
      <c r="R2684">
        <v>-0.98692290000000005</v>
      </c>
      <c r="S2684">
        <v>-4.7546390000000001E-2</v>
      </c>
      <c r="T2684">
        <v>-0.20305239999999999</v>
      </c>
      <c r="U2684">
        <v>-3.0696110000000001</v>
      </c>
      <c r="V2684">
        <v>-0.13243379999999999</v>
      </c>
      <c r="W2684">
        <v>0.1689755</v>
      </c>
      <c r="X2684">
        <v>0.97668239999999995</v>
      </c>
      <c r="Y2684">
        <v>-0.1600481</v>
      </c>
      <c r="Z2684">
        <v>6.4044740000000003E-2</v>
      </c>
      <c r="AA2684">
        <v>0.98502940000000005</v>
      </c>
      <c r="AB2684">
        <v>22</v>
      </c>
      <c r="AC2684">
        <v>-0.226500000000044</v>
      </c>
      <c r="AD2684">
        <v>-1.1115042061759901</v>
      </c>
      <c r="AE2684">
        <v>-16.6069999999999</v>
      </c>
      <c r="AF2684">
        <v>-2.6760142104631499</v>
      </c>
      <c r="AG2684">
        <v>-1.1115042061759901</v>
      </c>
      <c r="AH2684">
        <v>16.3165044420053</v>
      </c>
      <c r="AI2684">
        <v>93.845829436706396</v>
      </c>
      <c r="AJ2684">
        <v>99.313966448978306</v>
      </c>
      <c r="AK2684">
        <v>16.5718077125257</v>
      </c>
      <c r="AL2684">
        <v>80.271741899281395</v>
      </c>
      <c r="AM2684">
        <v>97.721957607191797</v>
      </c>
      <c r="AN2684">
        <v>0.99999997072622404</v>
      </c>
    </row>
    <row r="2685" spans="1:40" x14ac:dyDescent="0.25">
      <c r="A2685" t="str">
        <f>"20190312172421547"</f>
        <v>20190312172421547</v>
      </c>
      <c r="B2685" t="str">
        <f>"1552382661542646"</f>
        <v>1552382661542646</v>
      </c>
      <c r="C2685" t="s">
        <v>40</v>
      </c>
      <c r="D2685">
        <v>3.937999</v>
      </c>
      <c r="E2685">
        <v>0.49054639999999999</v>
      </c>
      <c r="F2685" t="s">
        <v>43</v>
      </c>
      <c r="G2685">
        <v>-489.38240000000002</v>
      </c>
      <c r="H2685" s="1">
        <v>-3.088002E-6</v>
      </c>
      <c r="I2685">
        <v>246.57560000000001</v>
      </c>
      <c r="J2685">
        <v>-489.1327</v>
      </c>
      <c r="K2685">
        <v>1.111361</v>
      </c>
      <c r="L2685">
        <v>263.21769999999998</v>
      </c>
      <c r="M2685">
        <v>-0.17402799999999999</v>
      </c>
      <c r="N2685">
        <v>0</v>
      </c>
      <c r="O2685">
        <v>-0.98464490000000005</v>
      </c>
      <c r="P2685">
        <v>-4.106597E-2</v>
      </c>
      <c r="Q2685">
        <v>0.1561582</v>
      </c>
      <c r="R2685">
        <v>-0.98687849999999999</v>
      </c>
      <c r="S2685">
        <v>-5.2154539999999999E-2</v>
      </c>
      <c r="T2685">
        <v>-0.2023866</v>
      </c>
      <c r="U2685">
        <v>-3.0695190000000001</v>
      </c>
      <c r="V2685">
        <v>-0.1315733</v>
      </c>
      <c r="W2685">
        <v>0.1694097</v>
      </c>
      <c r="X2685">
        <v>0.97672349999999997</v>
      </c>
      <c r="Y2685">
        <v>-0.15732279999999901</v>
      </c>
      <c r="Z2685">
        <v>6.3872960000000006E-2</v>
      </c>
      <c r="AA2685">
        <v>0.98547949999999995</v>
      </c>
      <c r="AB2685">
        <v>22</v>
      </c>
      <c r="AC2685">
        <v>-0.24970000000001799</v>
      </c>
      <c r="AD2685">
        <v>-1.1113640880019999</v>
      </c>
      <c r="AE2685">
        <v>-16.6420999999999</v>
      </c>
      <c r="AF2685">
        <v>-2.6388102048165401</v>
      </c>
      <c r="AG2685">
        <v>-1.1113640880019999</v>
      </c>
      <c r="AH2685">
        <v>16.358627268905199</v>
      </c>
      <c r="AI2685">
        <v>93.837108466381693</v>
      </c>
      <c r="AJ2685">
        <v>99.163446026155</v>
      </c>
      <c r="AK2685">
        <v>16.6073217454264</v>
      </c>
      <c r="AL2685">
        <v>80.246500326972196</v>
      </c>
      <c r="AM2685">
        <v>97.672064084936395</v>
      </c>
      <c r="AN2685">
        <v>0.99999998758961395</v>
      </c>
    </row>
    <row r="2686" spans="1:40" x14ac:dyDescent="0.25">
      <c r="A2686" t="str">
        <f>"20190312172421560"</f>
        <v>20190312172421560</v>
      </c>
      <c r="B2686" t="str">
        <f>"1552382661552407"</f>
        <v>1552382661552407</v>
      </c>
      <c r="C2686" t="s">
        <v>40</v>
      </c>
      <c r="D2686">
        <v>3.9330630000000002</v>
      </c>
      <c r="E2686">
        <v>0.49074689999999999</v>
      </c>
      <c r="F2686" t="s">
        <v>43</v>
      </c>
      <c r="G2686">
        <v>-489.4452</v>
      </c>
      <c r="H2686" s="1">
        <v>-2.8157579999999999E-6</v>
      </c>
      <c r="I2686">
        <v>245.96700000000001</v>
      </c>
      <c r="J2686">
        <v>-489.15339999999998</v>
      </c>
      <c r="K2686">
        <v>1.111286</v>
      </c>
      <c r="L2686">
        <v>263.0958</v>
      </c>
      <c r="M2686">
        <v>-0.17340800000000001</v>
      </c>
      <c r="N2686">
        <v>0</v>
      </c>
      <c r="O2686">
        <v>-0.98475449999999998</v>
      </c>
      <c r="P2686">
        <v>-4.0661269999999999E-2</v>
      </c>
      <c r="Q2686">
        <v>0.1563872</v>
      </c>
      <c r="R2686">
        <v>-0.98685880000000004</v>
      </c>
      <c r="S2686">
        <v>-5.5603029999999998E-2</v>
      </c>
      <c r="T2686">
        <v>-0.1977063</v>
      </c>
      <c r="U2686">
        <v>-3.0688170000000001</v>
      </c>
      <c r="V2686">
        <v>-0.13132279999999999</v>
      </c>
      <c r="W2686">
        <v>0.1696541</v>
      </c>
      <c r="X2686">
        <v>0.97671479999999999</v>
      </c>
      <c r="Y2686">
        <v>-0.15558829999999901</v>
      </c>
      <c r="Z2686">
        <v>6.2435020000000001E-2</v>
      </c>
      <c r="AA2686">
        <v>0.98584689999999997</v>
      </c>
      <c r="AB2686">
        <v>22</v>
      </c>
      <c r="AC2686">
        <v>-0.29180000000002299</v>
      </c>
      <c r="AD2686">
        <v>-1.1112888157580001</v>
      </c>
      <c r="AE2686">
        <v>-17.128799999999899</v>
      </c>
      <c r="AF2686">
        <v>-2.6719287087592698</v>
      </c>
      <c r="AG2686">
        <v>-1.1112888157580001</v>
      </c>
      <c r="AH2686">
        <v>16.848955786243501</v>
      </c>
      <c r="AI2686">
        <v>93.727092046245303</v>
      </c>
      <c r="AJ2686">
        <v>99.011000869609703</v>
      </c>
      <c r="AK2686">
        <v>17.095656668976201</v>
      </c>
      <c r="AL2686">
        <v>80.232291644996195</v>
      </c>
      <c r="AM2686">
        <v>97.657698266537196</v>
      </c>
      <c r="AN2686">
        <v>0.99999999599284495</v>
      </c>
    </row>
    <row r="2687" spans="1:40" x14ac:dyDescent="0.25">
      <c r="A2687" t="str">
        <f>"20190312172421570"</f>
        <v>20190312172421570</v>
      </c>
      <c r="B2687" t="str">
        <f>"1552382661563143"</f>
        <v>1552382661563143</v>
      </c>
      <c r="C2687" t="s">
        <v>40</v>
      </c>
      <c r="D2687">
        <v>3.924458</v>
      </c>
      <c r="E2687">
        <v>0.49085770000000001</v>
      </c>
      <c r="F2687" t="s">
        <v>43</v>
      </c>
      <c r="G2687">
        <v>-489.47239999999999</v>
      </c>
      <c r="H2687" s="1">
        <v>-2.687634E-6</v>
      </c>
      <c r="I2687">
        <v>245.67959999999999</v>
      </c>
      <c r="J2687">
        <v>-489.17250000000001</v>
      </c>
      <c r="K2687">
        <v>1.1112280000000001</v>
      </c>
      <c r="L2687">
        <v>262.98349999999999</v>
      </c>
      <c r="M2687">
        <v>-0.17291409999999999</v>
      </c>
      <c r="N2687">
        <v>0</v>
      </c>
      <c r="O2687">
        <v>-0.98484130000000003</v>
      </c>
      <c r="P2687">
        <v>-4.0129089999999999E-2</v>
      </c>
      <c r="Q2687">
        <v>0.1567124</v>
      </c>
      <c r="R2687">
        <v>-0.98682899999999996</v>
      </c>
      <c r="S2687">
        <v>-5.621338E-2</v>
      </c>
      <c r="T2687">
        <v>-0.19580610000000001</v>
      </c>
      <c r="U2687">
        <v>-3.068695</v>
      </c>
      <c r="V2687">
        <v>-0.13132720000000001</v>
      </c>
      <c r="W2687">
        <v>0.16999010000000001</v>
      </c>
      <c r="X2687">
        <v>0.97665579999999996</v>
      </c>
      <c r="Y2687">
        <v>-0.15489559999999999</v>
      </c>
      <c r="Z2687">
        <v>6.185148E-2</v>
      </c>
      <c r="AA2687">
        <v>0.9859928</v>
      </c>
      <c r="AB2687">
        <v>22</v>
      </c>
      <c r="AC2687">
        <v>-0.29989999999997902</v>
      </c>
      <c r="AD2687">
        <v>-1.1112306876339999</v>
      </c>
      <c r="AE2687">
        <v>-17.303899999999999</v>
      </c>
      <c r="AF2687">
        <v>-2.6859149271198</v>
      </c>
      <c r="AG2687">
        <v>-1.1112306876339999</v>
      </c>
      <c r="AH2687">
        <v>17.024872341805899</v>
      </c>
      <c r="AI2687">
        <v>93.688958604691393</v>
      </c>
      <c r="AJ2687">
        <v>98.965327746582403</v>
      </c>
      <c r="AK2687">
        <v>17.2712260969409</v>
      </c>
      <c r="AL2687">
        <v>80.212756644537606</v>
      </c>
      <c r="AM2687">
        <v>97.658408923052505</v>
      </c>
      <c r="AN2687">
        <v>1.00000000961574</v>
      </c>
    </row>
    <row r="2688" spans="1:40" x14ac:dyDescent="0.25">
      <c r="A2688" t="str">
        <f>"20190312172421582"</f>
        <v>20190312172421582</v>
      </c>
      <c r="B2688" t="str">
        <f>"1552382661572903"</f>
        <v>1552382661572903</v>
      </c>
      <c r="C2688" t="s">
        <v>40</v>
      </c>
      <c r="D2688">
        <v>3.958539</v>
      </c>
      <c r="E2688">
        <v>0.49101420000000001</v>
      </c>
      <c r="F2688" t="s">
        <v>43</v>
      </c>
      <c r="G2688">
        <v>-489.49310000000003</v>
      </c>
      <c r="H2688" s="1">
        <v>-2.5466380000000001E-6</v>
      </c>
      <c r="I2688">
        <v>245.35939999999999</v>
      </c>
      <c r="J2688">
        <v>-489.19170000000003</v>
      </c>
      <c r="K2688">
        <v>1.11117</v>
      </c>
      <c r="L2688">
        <v>262.87020000000001</v>
      </c>
      <c r="M2688">
        <v>-0.17243910000000001</v>
      </c>
      <c r="N2688">
        <v>0</v>
      </c>
      <c r="O2688">
        <v>-0.98492469999999999</v>
      </c>
      <c r="P2688">
        <v>-3.98477E-2</v>
      </c>
      <c r="Q2688">
        <v>0.15687039999999999</v>
      </c>
      <c r="R2688">
        <v>-0.98681549999999996</v>
      </c>
      <c r="S2688">
        <v>-5.5816650000000002E-2</v>
      </c>
      <c r="T2688">
        <v>-0.1934756</v>
      </c>
      <c r="U2688">
        <v>-3.0685120000000001</v>
      </c>
      <c r="V2688">
        <v>-0.13110669999999999</v>
      </c>
      <c r="W2688">
        <v>0.17016020000000001</v>
      </c>
      <c r="X2688">
        <v>0.97665579999999996</v>
      </c>
      <c r="Y2688">
        <v>-0.1545446</v>
      </c>
      <c r="Z2688">
        <v>6.113147E-2</v>
      </c>
      <c r="AA2688">
        <v>0.98609270000000004</v>
      </c>
      <c r="AB2688">
        <v>22</v>
      </c>
      <c r="AC2688">
        <v>-0.301400000000001</v>
      </c>
      <c r="AD2688">
        <v>-1.111172546638</v>
      </c>
      <c r="AE2688">
        <v>-17.5108</v>
      </c>
      <c r="AF2688">
        <v>-2.7120290450042401</v>
      </c>
      <c r="AG2688">
        <v>-1.111172546638</v>
      </c>
      <c r="AH2688">
        <v>17.231055671838199</v>
      </c>
      <c r="AI2688">
        <v>93.644954850139499</v>
      </c>
      <c r="AJ2688">
        <v>98.944516277376195</v>
      </c>
      <c r="AK2688">
        <v>17.478532133315301</v>
      </c>
      <c r="AL2688">
        <v>80.202866509434202</v>
      </c>
      <c r="AM2688">
        <v>97.645702589985703</v>
      </c>
      <c r="AN2688">
        <v>1.0000000060612799</v>
      </c>
    </row>
    <row r="2689" spans="1:40" x14ac:dyDescent="0.25">
      <c r="A2689" t="str">
        <f>"20190312172421594"</f>
        <v>20190312172421594</v>
      </c>
      <c r="B2689" t="str">
        <f>"1552382661582663"</f>
        <v>1552382661582663</v>
      </c>
      <c r="C2689" t="s">
        <v>40</v>
      </c>
      <c r="D2689">
        <v>3.94469</v>
      </c>
      <c r="E2689">
        <v>0.49117650000000002</v>
      </c>
      <c r="F2689" t="s">
        <v>43</v>
      </c>
      <c r="G2689">
        <v>-489.51589999999999</v>
      </c>
      <c r="H2689" s="1">
        <v>-2.4216799999999999E-6</v>
      </c>
      <c r="I2689">
        <v>245.07759999999999</v>
      </c>
      <c r="J2689">
        <v>-489.21089999999998</v>
      </c>
      <c r="K2689">
        <v>1.1111139999999999</v>
      </c>
      <c r="L2689">
        <v>262.75760000000002</v>
      </c>
      <c r="M2689">
        <v>-0.17203889999999999</v>
      </c>
      <c r="N2689">
        <v>0</v>
      </c>
      <c r="O2689">
        <v>-0.9849945</v>
      </c>
      <c r="P2689">
        <v>-3.9229809999999997E-2</v>
      </c>
      <c r="Q2689">
        <v>0.1570011</v>
      </c>
      <c r="R2689">
        <v>-0.98681920000000001</v>
      </c>
      <c r="S2689">
        <v>-5.5908199999999998E-2</v>
      </c>
      <c r="T2689">
        <v>-0.19161710000000001</v>
      </c>
      <c r="U2689">
        <v>-3.0682680000000002</v>
      </c>
      <c r="V2689">
        <v>-0.1312963</v>
      </c>
      <c r="W2689">
        <v>0.1703007</v>
      </c>
      <c r="X2689">
        <v>0.97660579999999997</v>
      </c>
      <c r="Y2689">
        <v>-0.15411179999999999</v>
      </c>
      <c r="Z2689">
        <v>6.0559950000000001E-2</v>
      </c>
      <c r="AA2689">
        <v>0.98619570000000001</v>
      </c>
      <c r="AB2689">
        <v>22</v>
      </c>
      <c r="AC2689">
        <v>-0.30500000000000599</v>
      </c>
      <c r="AD2689">
        <v>-1.11111642168</v>
      </c>
      <c r="AE2689">
        <v>-17.68</v>
      </c>
      <c r="AF2689">
        <v>-2.7307007562874501</v>
      </c>
      <c r="AG2689">
        <v>-1.11111642168</v>
      </c>
      <c r="AH2689">
        <v>17.400117423449</v>
      </c>
      <c r="AI2689">
        <v>93.609704129028302</v>
      </c>
      <c r="AJ2689">
        <v>98.919010227082396</v>
      </c>
      <c r="AK2689">
        <v>17.648098840179099</v>
      </c>
      <c r="AL2689">
        <v>80.194696835906299</v>
      </c>
      <c r="AM2689">
        <v>97.657015704693706</v>
      </c>
      <c r="AN2689">
        <v>0.99999996770390898</v>
      </c>
    </row>
    <row r="2690" spans="1:40" x14ac:dyDescent="0.25">
      <c r="A2690" t="str">
        <f>"20190312172421606"</f>
        <v>20190312172421606</v>
      </c>
      <c r="B2690" t="str">
        <f>"1552382661603159"</f>
        <v>1552382661603159</v>
      </c>
      <c r="C2690" t="s">
        <v>40</v>
      </c>
      <c r="D2690">
        <v>3.9564919999999999</v>
      </c>
      <c r="E2690">
        <v>0.49145240000000001</v>
      </c>
      <c r="F2690" t="s">
        <v>43</v>
      </c>
      <c r="G2690">
        <v>-489.53640000000001</v>
      </c>
      <c r="H2690" s="1">
        <v>-2.321678E-6</v>
      </c>
      <c r="I2690">
        <v>244.85300000000001</v>
      </c>
      <c r="J2690">
        <v>-489.22930000000002</v>
      </c>
      <c r="K2690">
        <v>1.111065</v>
      </c>
      <c r="L2690">
        <v>262.64949999999999</v>
      </c>
      <c r="M2690">
        <v>-0.17167929999999901</v>
      </c>
      <c r="N2690">
        <v>0</v>
      </c>
      <c r="O2690">
        <v>-0.98505750000000003</v>
      </c>
      <c r="P2690">
        <v>-3.905898E-2</v>
      </c>
      <c r="Q2690">
        <v>0.15715409999999999</v>
      </c>
      <c r="R2690">
        <v>-0.9868015</v>
      </c>
      <c r="S2690">
        <v>-5.5786130000000003E-2</v>
      </c>
      <c r="T2690">
        <v>-0.19040119999999999</v>
      </c>
      <c r="U2690">
        <v>-3.068146</v>
      </c>
      <c r="V2690">
        <v>-0.1310839</v>
      </c>
      <c r="W2690">
        <v>0.1704637</v>
      </c>
      <c r="X2690">
        <v>0.97660599999999997</v>
      </c>
      <c r="Y2690">
        <v>-0.15378910000000001</v>
      </c>
      <c r="Z2690">
        <v>6.0186919999999998E-2</v>
      </c>
      <c r="AA2690">
        <v>0.9862689</v>
      </c>
      <c r="AB2690">
        <v>22</v>
      </c>
      <c r="AC2690">
        <v>-0.30709999999999099</v>
      </c>
      <c r="AD2690">
        <v>-1.111067321678</v>
      </c>
      <c r="AE2690">
        <v>-17.796500000000002</v>
      </c>
      <c r="AF2690">
        <v>-2.74235245633851</v>
      </c>
      <c r="AG2690">
        <v>-1.111067321678</v>
      </c>
      <c r="AH2690">
        <v>17.516696048754699</v>
      </c>
      <c r="AI2690">
        <v>93.585792877429895</v>
      </c>
      <c r="AJ2690">
        <v>98.897800445354306</v>
      </c>
      <c r="AK2690">
        <v>17.764841909022</v>
      </c>
      <c r="AL2690">
        <v>80.185220059049698</v>
      </c>
      <c r="AM2690">
        <v>97.644773894580396</v>
      </c>
      <c r="AN2690">
        <v>1.00000007054644</v>
      </c>
    </row>
    <row r="2691" spans="1:40" x14ac:dyDescent="0.25">
      <c r="A2691" t="str">
        <f>"20190312172421618"</f>
        <v>20190312172421618</v>
      </c>
      <c r="B2691" t="str">
        <f>"1552382661612918"</f>
        <v>1552382661612918</v>
      </c>
      <c r="C2691" t="s">
        <v>40</v>
      </c>
      <c r="D2691">
        <v>3.984416</v>
      </c>
      <c r="E2691">
        <v>0.49159259999999999</v>
      </c>
      <c r="F2691" t="s">
        <v>43</v>
      </c>
      <c r="G2691">
        <v>-489.56560000000002</v>
      </c>
      <c r="H2691" s="1">
        <v>-2.1983370000000002E-6</v>
      </c>
      <c r="I2691">
        <v>244.57749999999999</v>
      </c>
      <c r="J2691">
        <v>-489.25130000000001</v>
      </c>
      <c r="K2691">
        <v>1.1110089999999999</v>
      </c>
      <c r="L2691">
        <v>262.51979999999998</v>
      </c>
      <c r="M2691">
        <v>-0.17129620000000001</v>
      </c>
      <c r="N2691">
        <v>0</v>
      </c>
      <c r="O2691">
        <v>-0.98512420000000001</v>
      </c>
      <c r="P2691">
        <v>-3.8801799999999997E-2</v>
      </c>
      <c r="Q2691">
        <v>0.15720390000000001</v>
      </c>
      <c r="R2691">
        <v>-0.98680400000000001</v>
      </c>
      <c r="S2691">
        <v>-5.7098389999999999E-2</v>
      </c>
      <c r="T2691">
        <v>-0.18861720000000001</v>
      </c>
      <c r="U2691">
        <v>-3.0679319999999999</v>
      </c>
      <c r="V2691">
        <v>-0.13093399999999999</v>
      </c>
      <c r="W2691">
        <v>0.17052529999999999</v>
      </c>
      <c r="X2691">
        <v>0.97661529999999996</v>
      </c>
      <c r="Y2691">
        <v>-0.15298139999999999</v>
      </c>
      <c r="Z2691">
        <v>5.9639009999999999E-2</v>
      </c>
      <c r="AA2691">
        <v>0.98642779999999997</v>
      </c>
      <c r="AB2691">
        <v>22</v>
      </c>
      <c r="AC2691">
        <v>-0.31430000000000202</v>
      </c>
      <c r="AD2691">
        <v>-1.1110111983369999</v>
      </c>
      <c r="AE2691">
        <v>-17.9422999999999</v>
      </c>
      <c r="AF2691">
        <v>-2.75352851866529</v>
      </c>
      <c r="AG2691">
        <v>-1.1110111983369999</v>
      </c>
      <c r="AH2691">
        <v>17.6631940638893</v>
      </c>
      <c r="AI2691">
        <v>93.556309999548205</v>
      </c>
      <c r="AJ2691">
        <v>98.860564929616103</v>
      </c>
      <c r="AK2691">
        <v>17.911021459552401</v>
      </c>
      <c r="AL2691">
        <v>80.181637667380599</v>
      </c>
      <c r="AM2691">
        <v>97.636063124454097</v>
      </c>
      <c r="AN2691">
        <v>1.00000001724508</v>
      </c>
    </row>
    <row r="2692" spans="1:40" x14ac:dyDescent="0.25">
      <c r="A2692" t="str">
        <f>"20190312172421630"</f>
        <v>20190312172421630</v>
      </c>
      <c r="B2692" t="str">
        <f>"1552382661622679"</f>
        <v>1552382661622679</v>
      </c>
      <c r="C2692" t="s">
        <v>40</v>
      </c>
      <c r="D2692">
        <v>3.9095409999999999</v>
      </c>
      <c r="E2692">
        <v>0.49176560000000002</v>
      </c>
      <c r="F2692" t="s">
        <v>43</v>
      </c>
      <c r="G2692">
        <v>-489.58530000000002</v>
      </c>
      <c r="H2692" s="1">
        <v>-2.1035229999999998E-6</v>
      </c>
      <c r="I2692">
        <v>244.3647</v>
      </c>
      <c r="J2692">
        <v>-489.27080000000001</v>
      </c>
      <c r="K2692">
        <v>1.1109659999999999</v>
      </c>
      <c r="L2692">
        <v>262.40589999999997</v>
      </c>
      <c r="M2692">
        <v>-0.17099979999999901</v>
      </c>
      <c r="N2692">
        <v>0</v>
      </c>
      <c r="O2692">
        <v>-0.98517600000000005</v>
      </c>
      <c r="P2692">
        <v>-3.891936E-2</v>
      </c>
      <c r="Q2692">
        <v>0.15721579999999999</v>
      </c>
      <c r="R2692">
        <v>-0.98679760000000005</v>
      </c>
      <c r="S2692">
        <v>-5.6426999999999998E-2</v>
      </c>
      <c r="T2692">
        <v>-0.1877335</v>
      </c>
      <c r="U2692">
        <v>-3.06778</v>
      </c>
      <c r="V2692">
        <v>-0.13050499999999901</v>
      </c>
      <c r="W2692">
        <v>0.17054639999999999</v>
      </c>
      <c r="X2692">
        <v>0.97666900000000001</v>
      </c>
      <c r="Y2692">
        <v>-0.1528986</v>
      </c>
      <c r="Z2692">
        <v>5.9368770000000001E-2</v>
      </c>
      <c r="AA2692">
        <v>0.98645700000000003</v>
      </c>
      <c r="AB2692">
        <v>22</v>
      </c>
      <c r="AC2692">
        <v>-0.31450000000000899</v>
      </c>
      <c r="AD2692">
        <v>-1.1109681035229999</v>
      </c>
      <c r="AE2692">
        <v>-18.0411999999999</v>
      </c>
      <c r="AF2692">
        <v>-2.7649819750788902</v>
      </c>
      <c r="AG2692">
        <v>-1.1109681035229999</v>
      </c>
      <c r="AH2692">
        <v>17.761873442657599</v>
      </c>
      <c r="AI2692">
        <v>93.536584413265402</v>
      </c>
      <c r="AJ2692">
        <v>98.848188797615094</v>
      </c>
      <c r="AK2692">
        <v>18.010095048126299</v>
      </c>
      <c r="AL2692">
        <v>80.180410410105594</v>
      </c>
      <c r="AM2692">
        <v>97.610924065971304</v>
      </c>
      <c r="AN2692">
        <v>0.99999998256947897</v>
      </c>
    </row>
    <row r="2693" spans="1:40" x14ac:dyDescent="0.25">
      <c r="A2693" t="str">
        <f>"20190312172421647"</f>
        <v>20190312172421647</v>
      </c>
      <c r="B2693" t="str">
        <f>"1552382661643175"</f>
        <v>1552382661643175</v>
      </c>
      <c r="C2693" t="s">
        <v>40</v>
      </c>
      <c r="D2693">
        <v>3.9465520000000001</v>
      </c>
      <c r="E2693">
        <v>0.4920773</v>
      </c>
      <c r="F2693" t="s">
        <v>43</v>
      </c>
      <c r="G2693">
        <v>-489.61250000000001</v>
      </c>
      <c r="H2693" s="1">
        <v>-2.0234119999999999E-6</v>
      </c>
      <c r="I2693">
        <v>244.1892</v>
      </c>
      <c r="J2693">
        <v>-489.29770000000002</v>
      </c>
      <c r="K2693">
        <v>1.1109180000000001</v>
      </c>
      <c r="L2693">
        <v>262.24759999999998</v>
      </c>
      <c r="M2693">
        <v>-0.1706191</v>
      </c>
      <c r="N2693">
        <v>0</v>
      </c>
      <c r="O2693">
        <v>-0.98524210000000001</v>
      </c>
      <c r="P2693">
        <v>-3.9820880000000003E-2</v>
      </c>
      <c r="Q2693">
        <v>0.157305</v>
      </c>
      <c r="R2693">
        <v>-0.98674729999999999</v>
      </c>
      <c r="S2693">
        <v>-5.755615E-2</v>
      </c>
      <c r="T2693">
        <v>-0.18708430000000001</v>
      </c>
      <c r="U2693">
        <v>-3.0676570000000001</v>
      </c>
      <c r="V2693">
        <v>-0.12920889999999999</v>
      </c>
      <c r="W2693">
        <v>0.1706474</v>
      </c>
      <c r="X2693">
        <v>0.97682369999999996</v>
      </c>
      <c r="Y2693">
        <v>-0.1521527</v>
      </c>
      <c r="Z2693">
        <v>5.9175909999999998E-2</v>
      </c>
      <c r="AA2693">
        <v>0.98658389999999996</v>
      </c>
      <c r="AB2693">
        <v>22</v>
      </c>
      <c r="AC2693">
        <v>-0.31479999999999098</v>
      </c>
      <c r="AD2693">
        <v>-1.110920023412</v>
      </c>
      <c r="AE2693">
        <v>-18.058399999999899</v>
      </c>
      <c r="AF2693">
        <v>-2.7607681211983501</v>
      </c>
      <c r="AG2693">
        <v>-1.110920023412</v>
      </c>
      <c r="AH2693">
        <v>17.780008987586601</v>
      </c>
      <c r="AI2693">
        <v>93.533045462883095</v>
      </c>
      <c r="AJ2693">
        <v>98.826047357510404</v>
      </c>
      <c r="AK2693">
        <v>18.027332124196999</v>
      </c>
      <c r="AL2693">
        <v>80.174537695483806</v>
      </c>
      <c r="AM2693">
        <v>97.535030050411606</v>
      </c>
      <c r="AN2693">
        <v>1.00000000792383</v>
      </c>
    </row>
    <row r="2694" spans="1:40" x14ac:dyDescent="0.25">
      <c r="A2694" t="str">
        <f>"20190312172421658"</f>
        <v>20190312172421658</v>
      </c>
      <c r="B2694" t="str">
        <f>"1552382661652935"</f>
        <v>1552382661652935</v>
      </c>
      <c r="C2694" t="s">
        <v>40</v>
      </c>
      <c r="D2694">
        <v>3.9348109999999998</v>
      </c>
      <c r="E2694">
        <v>0.4922279</v>
      </c>
      <c r="F2694" t="s">
        <v>43</v>
      </c>
      <c r="G2694">
        <v>-489.6687</v>
      </c>
      <c r="H2694" s="1">
        <v>-1.898786E-6</v>
      </c>
      <c r="I2694">
        <v>243.92189999999999</v>
      </c>
      <c r="J2694">
        <v>-489.3175</v>
      </c>
      <c r="K2694">
        <v>1.110897</v>
      </c>
      <c r="L2694">
        <v>262.13119999999998</v>
      </c>
      <c r="M2694">
        <v>-0.17036299999999999</v>
      </c>
      <c r="N2694">
        <v>0</v>
      </c>
      <c r="O2694">
        <v>-0.98528649999999995</v>
      </c>
      <c r="P2694">
        <v>-4.078478E-2</v>
      </c>
      <c r="Q2694">
        <v>0.15762109999999999</v>
      </c>
      <c r="R2694">
        <v>-0.98665740000000002</v>
      </c>
      <c r="S2694">
        <v>-6.2103270000000002E-2</v>
      </c>
      <c r="T2694">
        <v>-0.18595149999999999</v>
      </c>
      <c r="U2694">
        <v>-3.0674440000000001</v>
      </c>
      <c r="V2694">
        <v>-0.12797790000000001</v>
      </c>
      <c r="W2694">
        <v>0.1709697</v>
      </c>
      <c r="X2694">
        <v>0.97692939999999995</v>
      </c>
      <c r="Y2694">
        <v>-0.15043199999999901</v>
      </c>
      <c r="Z2694">
        <v>5.8834169999999998E-2</v>
      </c>
      <c r="AA2694">
        <v>0.98686810000000003</v>
      </c>
      <c r="AB2694">
        <v>22</v>
      </c>
      <c r="AC2694">
        <v>-0.35120000000000501</v>
      </c>
      <c r="AD2694">
        <v>-1.110898898786</v>
      </c>
      <c r="AE2694">
        <v>-18.209299999999899</v>
      </c>
      <c r="AF2694">
        <v>-2.7461988138888098</v>
      </c>
      <c r="AG2694">
        <v>-1.110898898786</v>
      </c>
      <c r="AH2694">
        <v>17.936160503929401</v>
      </c>
      <c r="AI2694">
        <v>93.503436239199203</v>
      </c>
      <c r="AJ2694">
        <v>98.704933450206497</v>
      </c>
      <c r="AK2694">
        <v>18.179151737950999</v>
      </c>
      <c r="AL2694">
        <v>80.155795929136204</v>
      </c>
      <c r="AM2694">
        <v>97.463257049632503</v>
      </c>
      <c r="AN2694">
        <v>1.00000001689542</v>
      </c>
    </row>
    <row r="2695" spans="1:40" x14ac:dyDescent="0.25">
      <c r="A2695" t="str">
        <f>"20190312172421670"</f>
        <v>20190312172421670</v>
      </c>
      <c r="B2695" t="str">
        <f>"1552382661662694"</f>
        <v>1552382661662694</v>
      </c>
      <c r="C2695" t="s">
        <v>40</v>
      </c>
      <c r="D2695">
        <v>3.976836</v>
      </c>
      <c r="E2695">
        <v>0.49235980000000001</v>
      </c>
      <c r="F2695" t="s">
        <v>43</v>
      </c>
      <c r="G2695">
        <v>-489.71010000000001</v>
      </c>
      <c r="H2695" s="1">
        <v>-1.789456E-6</v>
      </c>
      <c r="I2695">
        <v>243.6842</v>
      </c>
      <c r="J2695">
        <v>-489.33620000000002</v>
      </c>
      <c r="K2695">
        <v>1.1108819999999999</v>
      </c>
      <c r="L2695">
        <v>262.0215</v>
      </c>
      <c r="M2695">
        <v>-0.1701376</v>
      </c>
      <c r="N2695">
        <v>0</v>
      </c>
      <c r="O2695">
        <v>-0.98532529999999996</v>
      </c>
      <c r="P2695">
        <v>-4.2156039999999999E-2</v>
      </c>
      <c r="Q2695">
        <v>0.15785160000000001</v>
      </c>
      <c r="R2695">
        <v>-0.98656270000000001</v>
      </c>
      <c r="S2695">
        <v>-6.5277099999999894E-2</v>
      </c>
      <c r="T2695">
        <v>-0.1847229</v>
      </c>
      <c r="U2695">
        <v>-3.0674130000000002</v>
      </c>
      <c r="V2695">
        <v>-0.12637979999999999</v>
      </c>
      <c r="W2695">
        <v>0.17120369999999999</v>
      </c>
      <c r="X2695">
        <v>0.97709639999999998</v>
      </c>
      <c r="Y2695">
        <v>-0.14918439999999999</v>
      </c>
      <c r="Z2695">
        <v>5.8456040000000001E-2</v>
      </c>
      <c r="AA2695">
        <v>0.98707999999999996</v>
      </c>
      <c r="AB2695">
        <v>22</v>
      </c>
      <c r="AC2695">
        <v>-0.37389999999999102</v>
      </c>
      <c r="AD2695">
        <v>-1.110883789456</v>
      </c>
      <c r="AE2695">
        <v>-18.337299999999999</v>
      </c>
      <c r="AF2695">
        <v>-2.7416510365975899</v>
      </c>
      <c r="AG2695">
        <v>-1.110883789456</v>
      </c>
      <c r="AH2695">
        <v>18.0672386317461</v>
      </c>
      <c r="AI2695">
        <v>93.478738463213404</v>
      </c>
      <c r="AJ2695">
        <v>98.628639069346406</v>
      </c>
      <c r="AK2695">
        <v>18.307807759986201</v>
      </c>
      <c r="AL2695">
        <v>80.1421875938982</v>
      </c>
      <c r="AM2695">
        <v>97.3698463303202</v>
      </c>
      <c r="AN2695">
        <v>0.99999996781734402</v>
      </c>
    </row>
    <row r="2696" spans="1:40" x14ac:dyDescent="0.25">
      <c r="A2696" t="str">
        <f>"20190312172421682"</f>
        <v>20190312172421682</v>
      </c>
      <c r="B2696" t="str">
        <f>"1552382661672455"</f>
        <v>1552382661672455</v>
      </c>
      <c r="C2696" t="s">
        <v>40</v>
      </c>
      <c r="D2696">
        <v>3.9505560000000002</v>
      </c>
      <c r="E2696">
        <v>0.49248900000000001</v>
      </c>
      <c r="F2696" t="s">
        <v>43</v>
      </c>
      <c r="G2696">
        <v>-489.7602</v>
      </c>
      <c r="H2696" s="1">
        <v>-1.691491E-6</v>
      </c>
      <c r="I2696">
        <v>243.47649999999999</v>
      </c>
      <c r="J2696">
        <v>-489.35570000000001</v>
      </c>
      <c r="K2696">
        <v>1.1108690000000001</v>
      </c>
      <c r="L2696">
        <v>261.90699999999998</v>
      </c>
      <c r="M2696">
        <v>-0.16990759999999999</v>
      </c>
      <c r="N2696">
        <v>0</v>
      </c>
      <c r="O2696">
        <v>-0.98536520000000005</v>
      </c>
      <c r="P2696">
        <v>-4.394824E-2</v>
      </c>
      <c r="Q2696">
        <v>0.15818399999999999</v>
      </c>
      <c r="R2696">
        <v>-0.98643150000000002</v>
      </c>
      <c r="S2696">
        <v>-7.012939E-2</v>
      </c>
      <c r="T2696">
        <v>-0.18373419999999999</v>
      </c>
      <c r="U2696">
        <v>-3.0672299999999999</v>
      </c>
      <c r="V2696">
        <v>-0.1243575</v>
      </c>
      <c r="W2696">
        <v>0.17153959999999999</v>
      </c>
      <c r="X2696">
        <v>0.97729690000000002</v>
      </c>
      <c r="Y2696">
        <v>-0.14739089999999999</v>
      </c>
      <c r="Z2696">
        <v>5.8158370000000001E-2</v>
      </c>
      <c r="AA2696">
        <v>0.98736699999999999</v>
      </c>
      <c r="AB2696">
        <v>22</v>
      </c>
      <c r="AC2696">
        <v>-0.40449999999998398</v>
      </c>
      <c r="AD2696">
        <v>-1.110870691491</v>
      </c>
      <c r="AE2696">
        <v>-18.430499999999899</v>
      </c>
      <c r="AF2696">
        <v>-2.72326854425908</v>
      </c>
      <c r="AG2696">
        <v>-1.110870691491</v>
      </c>
      <c r="AH2696">
        <v>18.1652434508011</v>
      </c>
      <c r="AI2696">
        <v>93.460907033486805</v>
      </c>
      <c r="AJ2696">
        <v>98.526083004497707</v>
      </c>
      <c r="AK2696">
        <v>18.4018014032387</v>
      </c>
      <c r="AL2696">
        <v>80.122652541658894</v>
      </c>
      <c r="AM2696">
        <v>97.251709503902603</v>
      </c>
      <c r="AN2696">
        <v>0.99999992646200697</v>
      </c>
    </row>
    <row r="2697" spans="1:40" x14ac:dyDescent="0.25">
      <c r="A2697" t="str">
        <f>"20190312172421692"</f>
        <v>20190312172421692</v>
      </c>
      <c r="B2697" t="str">
        <f>"1552382661683191"</f>
        <v>1552382661683191</v>
      </c>
      <c r="C2697" t="s">
        <v>40</v>
      </c>
      <c r="D2697">
        <v>3.949627</v>
      </c>
      <c r="E2697">
        <v>0.4925831</v>
      </c>
      <c r="F2697" t="s">
        <v>43</v>
      </c>
      <c r="G2697">
        <v>-489.81639999999999</v>
      </c>
      <c r="H2697" s="1">
        <v>-1.5788839999999901E-6</v>
      </c>
      <c r="I2697">
        <v>243.2373</v>
      </c>
      <c r="J2697">
        <v>-489.375</v>
      </c>
      <c r="K2697">
        <v>1.1108720000000001</v>
      </c>
      <c r="L2697">
        <v>261.7937</v>
      </c>
      <c r="M2697">
        <v>-0.16968939999999999</v>
      </c>
      <c r="N2697">
        <v>0</v>
      </c>
      <c r="O2697">
        <v>-0.98540269999999996</v>
      </c>
      <c r="P2697">
        <v>-4.5822910000000001E-2</v>
      </c>
      <c r="Q2697">
        <v>0.15845919999999999</v>
      </c>
      <c r="R2697">
        <v>-0.98630180000000001</v>
      </c>
      <c r="S2697">
        <v>-7.5683589999999995E-2</v>
      </c>
      <c r="T2697">
        <v>-0.18249860000000001</v>
      </c>
      <c r="U2697">
        <v>-3.0671390000000001</v>
      </c>
      <c r="V2697">
        <v>-0.12227200000000001</v>
      </c>
      <c r="W2697">
        <v>0.17181489999999999</v>
      </c>
      <c r="X2697">
        <v>0.97751180000000004</v>
      </c>
      <c r="Y2697">
        <v>-0.1453836</v>
      </c>
      <c r="Z2697">
        <v>5.7781350000000002E-2</v>
      </c>
      <c r="AA2697">
        <v>0.98768659999999997</v>
      </c>
      <c r="AB2697">
        <v>22</v>
      </c>
      <c r="AC2697">
        <v>-0.44139999999998702</v>
      </c>
      <c r="AD2697">
        <v>-1.1108735788839901</v>
      </c>
      <c r="AE2697">
        <v>-18.5564</v>
      </c>
      <c r="AF2697">
        <v>-2.7044348190651202</v>
      </c>
      <c r="AG2697">
        <v>-1.1108735788839901</v>
      </c>
      <c r="AH2697">
        <v>18.296610726197098</v>
      </c>
      <c r="AI2697">
        <v>93.437178231392807</v>
      </c>
      <c r="AJ2697">
        <v>98.408048915099201</v>
      </c>
      <c r="AK2697">
        <v>18.5287336821712</v>
      </c>
      <c r="AL2697">
        <v>80.106642636682906</v>
      </c>
      <c r="AM2697">
        <v>97.129807849916304</v>
      </c>
      <c r="AN2697">
        <v>1.00000006049262</v>
      </c>
    </row>
    <row r="2698" spans="1:40" x14ac:dyDescent="0.25">
      <c r="A2698" t="str">
        <f>"20190312172421704"</f>
        <v>20190312172421704</v>
      </c>
      <c r="B2698" t="str">
        <f>"1552382661692951"</f>
        <v>1552382661692951</v>
      </c>
      <c r="C2698" t="s">
        <v>40</v>
      </c>
      <c r="D2698">
        <v>3.9744259999999998</v>
      </c>
      <c r="E2698">
        <v>0.49269930000000001</v>
      </c>
      <c r="F2698" t="s">
        <v>43</v>
      </c>
      <c r="G2698">
        <v>-489.87580000000003</v>
      </c>
      <c r="H2698" s="1">
        <v>-1.4725389999999999E-6</v>
      </c>
      <c r="I2698">
        <v>243.01390000000001</v>
      </c>
      <c r="J2698">
        <v>-489.39249999999998</v>
      </c>
      <c r="K2698">
        <v>1.1108720000000001</v>
      </c>
      <c r="L2698">
        <v>261.69060000000002</v>
      </c>
      <c r="M2698">
        <v>-0.16949120000000001</v>
      </c>
      <c r="N2698">
        <v>0</v>
      </c>
      <c r="O2698">
        <v>-0.98543720000000001</v>
      </c>
      <c r="P2698">
        <v>-4.7624449999999999E-2</v>
      </c>
      <c r="Q2698">
        <v>0.15829379999999901</v>
      </c>
      <c r="R2698">
        <v>-0.98624330000000004</v>
      </c>
      <c r="S2698">
        <v>-8.1787109999999996E-2</v>
      </c>
      <c r="T2698">
        <v>-0.181424</v>
      </c>
      <c r="U2698">
        <v>-3.0670470000000001</v>
      </c>
      <c r="V2698">
        <v>-0.12029049999999999</v>
      </c>
      <c r="W2698">
        <v>0.17164949999999901</v>
      </c>
      <c r="X2698">
        <v>0.97778659999999995</v>
      </c>
      <c r="Y2698">
        <v>-0.1432187</v>
      </c>
      <c r="Z2698">
        <v>5.7454970000000001E-2</v>
      </c>
      <c r="AA2698">
        <v>0.98802190000000001</v>
      </c>
      <c r="AB2698">
        <v>22</v>
      </c>
      <c r="AC2698">
        <v>-0.48330000000004197</v>
      </c>
      <c r="AD2698">
        <v>-1.1108734725389999</v>
      </c>
      <c r="AE2698">
        <v>-18.6767</v>
      </c>
      <c r="AF2698">
        <v>-2.6800499401900102</v>
      </c>
      <c r="AG2698">
        <v>-1.1108734725389999</v>
      </c>
      <c r="AH2698">
        <v>18.423218540497999</v>
      </c>
      <c r="AI2698">
        <v>93.414756884166295</v>
      </c>
      <c r="AJ2698">
        <v>98.276834084837802</v>
      </c>
      <c r="AK2698">
        <v>18.650246350781799</v>
      </c>
      <c r="AL2698">
        <v>80.116261618572494</v>
      </c>
      <c r="AM2698">
        <v>97.013473218966197</v>
      </c>
      <c r="AN2698">
        <v>0.99999999519002902</v>
      </c>
    </row>
    <row r="2699" spans="1:40" x14ac:dyDescent="0.25">
      <c r="A2699" t="str">
        <f>"20190312172421716"</f>
        <v>20190312172421716</v>
      </c>
      <c r="B2699" t="str">
        <f>"1552382661712471"</f>
        <v>1552382661712471</v>
      </c>
      <c r="C2699" t="s">
        <v>40</v>
      </c>
      <c r="D2699">
        <v>4.083329</v>
      </c>
      <c r="E2699">
        <v>0.49281599999999998</v>
      </c>
      <c r="F2699" t="s">
        <v>43</v>
      </c>
      <c r="G2699">
        <v>-489.92860000000002</v>
      </c>
      <c r="H2699" s="1">
        <v>-1.4416150000000001E-6</v>
      </c>
      <c r="I2699">
        <v>242.96369999999999</v>
      </c>
      <c r="J2699">
        <v>-489.41230000000002</v>
      </c>
      <c r="K2699">
        <v>1.110884</v>
      </c>
      <c r="L2699">
        <v>261.57389999999998</v>
      </c>
      <c r="M2699">
        <v>-0.1692669</v>
      </c>
      <c r="N2699">
        <v>0</v>
      </c>
      <c r="O2699">
        <v>-0.9854754</v>
      </c>
      <c r="P2699">
        <v>-4.9373090000000001E-2</v>
      </c>
      <c r="Q2699">
        <v>0.15747</v>
      </c>
      <c r="R2699">
        <v>-0.98628890000000002</v>
      </c>
      <c r="S2699">
        <v>-8.7799070000000007E-2</v>
      </c>
      <c r="T2699">
        <v>-0.1819211</v>
      </c>
      <c r="U2699">
        <v>-3.0668030000000002</v>
      </c>
      <c r="V2699">
        <v>-0.1183558</v>
      </c>
      <c r="W2699">
        <v>0.170825</v>
      </c>
      <c r="X2699">
        <v>0.97816700000000001</v>
      </c>
      <c r="Y2699">
        <v>-0.14105599999999999</v>
      </c>
      <c r="Z2699">
        <v>5.762755E-2</v>
      </c>
      <c r="AA2699">
        <v>0.98832299999999995</v>
      </c>
      <c r="AB2699">
        <v>22</v>
      </c>
      <c r="AC2699">
        <v>-0.51630000000000098</v>
      </c>
      <c r="AD2699">
        <v>-1.110885441615</v>
      </c>
      <c r="AE2699">
        <v>-18.610199999999899</v>
      </c>
      <c r="AF2699">
        <v>-2.6321652084477298</v>
      </c>
      <c r="AG2699">
        <v>-1.110885441615</v>
      </c>
      <c r="AH2699">
        <v>18.363627153612999</v>
      </c>
      <c r="AI2699">
        <v>93.426881069334499</v>
      </c>
      <c r="AJ2699">
        <v>98.1569771442567</v>
      </c>
      <c r="AK2699">
        <v>18.584540951712199</v>
      </c>
      <c r="AL2699">
        <v>80.164210028327403</v>
      </c>
      <c r="AM2699">
        <v>96.899110191178295</v>
      </c>
      <c r="AN2699">
        <v>0.99999997795381901</v>
      </c>
    </row>
    <row r="2700" spans="1:40" x14ac:dyDescent="0.25">
      <c r="A2700" t="str">
        <f>"20190312172421731"</f>
        <v>20190312172421731</v>
      </c>
      <c r="B2700" t="str">
        <f>"1552382661723207"</f>
        <v>1552382661723207</v>
      </c>
      <c r="C2700" t="s">
        <v>40</v>
      </c>
      <c r="D2700">
        <v>4.2314249999999998</v>
      </c>
      <c r="E2700">
        <v>0.51639570000000001</v>
      </c>
      <c r="F2700" t="s">
        <v>43</v>
      </c>
      <c r="G2700">
        <v>-489.98079999999999</v>
      </c>
      <c r="H2700" s="1">
        <v>-1.5002770000000001E-6</v>
      </c>
      <c r="I2700">
        <v>243.09819999999999</v>
      </c>
      <c r="J2700">
        <v>-489.43509999999998</v>
      </c>
      <c r="K2700">
        <v>1.110897</v>
      </c>
      <c r="L2700">
        <v>261.43889999999999</v>
      </c>
      <c r="M2700">
        <v>-0.1690024</v>
      </c>
      <c r="N2700">
        <v>0</v>
      </c>
      <c r="O2700">
        <v>-0.98552090000000003</v>
      </c>
      <c r="P2700">
        <v>-5.1186219999999998E-2</v>
      </c>
      <c r="Q2700">
        <v>0.15661649999999999</v>
      </c>
      <c r="R2700">
        <v>-0.9863324</v>
      </c>
      <c r="S2700">
        <v>-9.4360349999999996E-2</v>
      </c>
      <c r="T2700">
        <v>-0.1843737</v>
      </c>
      <c r="U2700">
        <v>-3.0664060000000002</v>
      </c>
      <c r="V2700">
        <v>-0.1163198</v>
      </c>
      <c r="W2700">
        <v>0.16996889999999901</v>
      </c>
      <c r="X2700">
        <v>0.97856030000000005</v>
      </c>
      <c r="Y2700">
        <v>-0.13867479999999999</v>
      </c>
      <c r="Z2700">
        <v>5.8421649999999999E-2</v>
      </c>
      <c r="AA2700">
        <v>0.98861330000000003</v>
      </c>
      <c r="AB2700">
        <v>22</v>
      </c>
      <c r="AC2700">
        <v>-0.54570000000000995</v>
      </c>
      <c r="AD2700">
        <v>-1.110898500277</v>
      </c>
      <c r="AE2700">
        <v>-18.340699999999998</v>
      </c>
      <c r="AF2700">
        <v>-2.5527058682678998</v>
      </c>
      <c r="AG2700">
        <v>-1.110898500277</v>
      </c>
      <c r="AH2700">
        <v>18.102708953780098</v>
      </c>
      <c r="AI2700">
        <v>93.477316905276297</v>
      </c>
      <c r="AJ2700">
        <v>98.026491886170007</v>
      </c>
      <c r="AK2700">
        <v>18.315525495957701</v>
      </c>
      <c r="AL2700">
        <v>80.213989076274203</v>
      </c>
      <c r="AM2700">
        <v>96.7788437515742</v>
      </c>
      <c r="AN2700">
        <v>0.99999999178766996</v>
      </c>
    </row>
    <row r="2701" spans="1:40" x14ac:dyDescent="0.25">
      <c r="A2701" t="str">
        <f>"20190312172421744"</f>
        <v>20190312172421744</v>
      </c>
      <c r="B2701" t="str">
        <f>"1552382661732967"</f>
        <v>1552382661732967</v>
      </c>
      <c r="C2701" t="s">
        <v>40</v>
      </c>
      <c r="D2701">
        <v>4.1064720000000001</v>
      </c>
      <c r="E2701">
        <v>0.5283331</v>
      </c>
      <c r="F2701" t="s">
        <v>43</v>
      </c>
      <c r="G2701">
        <v>-491.13170000000002</v>
      </c>
      <c r="H2701" s="1">
        <v>-1.969304E-6</v>
      </c>
      <c r="I2701">
        <v>243.4777</v>
      </c>
      <c r="J2701">
        <v>-489.4581</v>
      </c>
      <c r="K2701">
        <v>1.110911</v>
      </c>
      <c r="L2701">
        <v>261.3032</v>
      </c>
      <c r="M2701">
        <v>-0.16873009999999999</v>
      </c>
      <c r="N2701">
        <v>0</v>
      </c>
      <c r="O2701">
        <v>-0.98556770000000005</v>
      </c>
      <c r="P2701">
        <v>-5.3147470000000002E-2</v>
      </c>
      <c r="Q2701">
        <v>0.1549971</v>
      </c>
      <c r="R2701">
        <v>-0.98648480000000005</v>
      </c>
      <c r="S2701">
        <v>-0.28872680000000001</v>
      </c>
      <c r="T2701">
        <v>-0.18905069999999999</v>
      </c>
      <c r="U2701">
        <v>-3.05661</v>
      </c>
      <c r="V2701">
        <v>-0.11414829999999999</v>
      </c>
      <c r="W2701">
        <v>0.1683489</v>
      </c>
      <c r="X2701">
        <v>0.97909590000000002</v>
      </c>
      <c r="Y2701">
        <v>-7.5477939999999993E-2</v>
      </c>
      <c r="Z2701">
        <v>6.0187259999999999E-2</v>
      </c>
      <c r="AA2701">
        <v>0.99532940000000003</v>
      </c>
      <c r="AB2701">
        <v>22</v>
      </c>
      <c r="AC2701">
        <v>-1.67360000000002</v>
      </c>
      <c r="AD2701">
        <v>-1.1109129693040001</v>
      </c>
      <c r="AE2701">
        <v>-17.825500000000002</v>
      </c>
      <c r="AF2701">
        <v>-1.35316918972633</v>
      </c>
      <c r="AG2701">
        <v>-1.1109129693040001</v>
      </c>
      <c r="AH2701">
        <v>17.783819797757999</v>
      </c>
      <c r="AI2701">
        <v>93.564210341283996</v>
      </c>
      <c r="AJ2701">
        <v>94.351246013110099</v>
      </c>
      <c r="AK2701">
        <v>17.8697912992996</v>
      </c>
      <c r="AL2701">
        <v>80.308165369928105</v>
      </c>
      <c r="AM2701">
        <v>96.6498320340215</v>
      </c>
      <c r="AN2701">
        <v>0.99999998396045398</v>
      </c>
    </row>
    <row r="2702" spans="1:40" x14ac:dyDescent="0.25">
      <c r="A2702" t="str">
        <f>"20190312172421760"</f>
        <v>20190312172421760</v>
      </c>
      <c r="B2702" t="str">
        <f>"1552382661752487"</f>
        <v>1552382661752487</v>
      </c>
      <c r="C2702" t="s">
        <v>40</v>
      </c>
      <c r="D2702">
        <v>4.0616500000000002</v>
      </c>
      <c r="E2702">
        <v>0.54251649999999996</v>
      </c>
      <c r="F2702" t="s">
        <v>43</v>
      </c>
      <c r="G2702">
        <v>-491.61849999999998</v>
      </c>
      <c r="H2702" s="1">
        <v>-2.5145849999999998E-6</v>
      </c>
      <c r="I2702">
        <v>244.4469</v>
      </c>
      <c r="J2702">
        <v>-489.48439999999999</v>
      </c>
      <c r="K2702">
        <v>1.1109359999999999</v>
      </c>
      <c r="L2702">
        <v>261.14699999999999</v>
      </c>
      <c r="M2702">
        <v>-0.16840260000000001</v>
      </c>
      <c r="N2702">
        <v>0</v>
      </c>
      <c r="O2702">
        <v>-0.98562369999999999</v>
      </c>
      <c r="P2702">
        <v>-5.7287409999999997E-2</v>
      </c>
      <c r="Q2702">
        <v>0.15318609999999999</v>
      </c>
      <c r="R2702">
        <v>-0.98653550000000001</v>
      </c>
      <c r="S2702">
        <v>-0.3911133</v>
      </c>
      <c r="T2702">
        <v>-0.20111780000000001</v>
      </c>
      <c r="U2702">
        <v>-3.0516359999999998</v>
      </c>
      <c r="V2702">
        <v>-0.1097587</v>
      </c>
      <c r="W2702">
        <v>0.16654089999999999</v>
      </c>
      <c r="X2702">
        <v>0.97990670000000002</v>
      </c>
      <c r="Y2702">
        <v>-4.2007360000000001E-2</v>
      </c>
      <c r="Z2702">
        <v>6.4070020000000005E-2</v>
      </c>
      <c r="AA2702">
        <v>0.99706090000000003</v>
      </c>
      <c r="AB2702">
        <v>22</v>
      </c>
      <c r="AC2702">
        <v>-2.1340999999999801</v>
      </c>
      <c r="AD2702">
        <v>-1.1109385145849999</v>
      </c>
      <c r="AE2702">
        <v>-16.7000999999999</v>
      </c>
      <c r="AF2702">
        <v>-0.70591315547408495</v>
      </c>
      <c r="AG2702">
        <v>-1.1109385145849999</v>
      </c>
      <c r="AH2702">
        <v>16.748046727624299</v>
      </c>
      <c r="AI2702">
        <v>93.791651703353693</v>
      </c>
      <c r="AJ2702">
        <v>92.413530335128399</v>
      </c>
      <c r="AK2702">
        <v>16.799689489896799</v>
      </c>
      <c r="AL2702">
        <v>80.413239734074693</v>
      </c>
      <c r="AM2702">
        <v>96.391023669450604</v>
      </c>
      <c r="AN2702">
        <v>0.99999999215169499</v>
      </c>
    </row>
    <row r="2703" spans="1:40" x14ac:dyDescent="0.25">
      <c r="A2703" t="str">
        <f>"20190312172421783"</f>
        <v>20190312172421783</v>
      </c>
      <c r="B2703" t="str">
        <f>"1552382661772998"</f>
        <v>1552382661772998</v>
      </c>
      <c r="C2703" t="s">
        <v>40</v>
      </c>
      <c r="D2703">
        <v>4.0151969999999997</v>
      </c>
      <c r="E2703">
        <v>0.54817859999999996</v>
      </c>
      <c r="F2703" t="s">
        <v>43</v>
      </c>
      <c r="G2703">
        <v>-492.22859999999997</v>
      </c>
      <c r="H2703" s="1">
        <v>-2.949727E-6</v>
      </c>
      <c r="I2703">
        <v>245.08269999999999</v>
      </c>
      <c r="J2703">
        <v>-489.52140000000003</v>
      </c>
      <c r="K2703">
        <v>1.1109709999999999</v>
      </c>
      <c r="L2703">
        <v>260.9273</v>
      </c>
      <c r="M2703">
        <v>-0.1679117</v>
      </c>
      <c r="N2703">
        <v>0</v>
      </c>
      <c r="O2703">
        <v>-0.98570740000000001</v>
      </c>
      <c r="P2703">
        <v>-6.1095410000000003E-2</v>
      </c>
      <c r="Q2703">
        <v>0.15303810000000001</v>
      </c>
      <c r="R2703">
        <v>-0.98633000000000004</v>
      </c>
      <c r="S2703">
        <v>-0.51989750000000001</v>
      </c>
      <c r="T2703">
        <v>-0.2104704</v>
      </c>
      <c r="U2703">
        <v>-3.0434269999999999</v>
      </c>
      <c r="V2703">
        <v>-0.105493</v>
      </c>
      <c r="W2703">
        <v>0.16638910000000001</v>
      </c>
      <c r="X2703">
        <v>0.98040090000000002</v>
      </c>
      <c r="Y2703" s="1">
        <v>8.2037559999999999E-5</v>
      </c>
      <c r="Z2703">
        <v>6.7047309999999999E-2</v>
      </c>
      <c r="AA2703">
        <v>0.99774980000000002</v>
      </c>
      <c r="AB2703">
        <v>22</v>
      </c>
      <c r="AC2703">
        <v>-2.7071999999999399</v>
      </c>
      <c r="AD2703">
        <v>-1.1109739497269999</v>
      </c>
      <c r="AE2703">
        <v>-15.8446</v>
      </c>
      <c r="AF2703">
        <v>7.9759983976512797E-3</v>
      </c>
      <c r="AG2703">
        <v>-1.1109739497269999</v>
      </c>
      <c r="AH2703">
        <v>15.9977894443332</v>
      </c>
      <c r="AI2703">
        <v>93.972553722727497</v>
      </c>
      <c r="AJ2703">
        <v>89.971434115362399</v>
      </c>
      <c r="AK2703">
        <v>16.0363210818049</v>
      </c>
      <c r="AL2703">
        <v>80.422060526365797</v>
      </c>
      <c r="AM2703">
        <v>96.141505040934206</v>
      </c>
      <c r="AN2703">
        <v>1.0000000151843</v>
      </c>
    </row>
    <row r="2704" spans="1:40" x14ac:dyDescent="0.25">
      <c r="A2704" t="str">
        <f>"20190312172421794"</f>
        <v>20190312172421794</v>
      </c>
      <c r="B2704" t="str">
        <f>"1552382661782742"</f>
        <v>1552382661782742</v>
      </c>
      <c r="C2704" t="s">
        <v>40</v>
      </c>
      <c r="D2704">
        <v>4.0749750000000002</v>
      </c>
      <c r="E2704">
        <v>0.54998059999999904</v>
      </c>
      <c r="F2704" t="s">
        <v>41</v>
      </c>
      <c r="G2704">
        <v>-489.69369999999998</v>
      </c>
      <c r="H2704">
        <v>1.0474399999999999</v>
      </c>
      <c r="I2704">
        <v>260.024</v>
      </c>
      <c r="J2704">
        <v>-489.54079999999999</v>
      </c>
      <c r="K2704">
        <v>1.110989</v>
      </c>
      <c r="L2704">
        <v>260.81180000000001</v>
      </c>
      <c r="M2704">
        <v>-0.16764019999999999</v>
      </c>
      <c r="N2704">
        <v>0</v>
      </c>
      <c r="O2704">
        <v>-0.98575360000000001</v>
      </c>
      <c r="P2704">
        <v>-6.2868919999999995E-2</v>
      </c>
      <c r="Q2704">
        <v>0.15372769999999999</v>
      </c>
      <c r="R2704">
        <v>-0.98611119999999997</v>
      </c>
      <c r="S2704">
        <v>-0.57794190000000001</v>
      </c>
      <c r="T2704">
        <v>-0.2140186</v>
      </c>
      <c r="U2704">
        <v>-3.0390009999999998</v>
      </c>
      <c r="V2704">
        <v>-0.1034433</v>
      </c>
      <c r="W2704">
        <v>0.16707549999999999</v>
      </c>
      <c r="X2704">
        <v>0.98050250000000005</v>
      </c>
      <c r="Y2704">
        <v>1.903753E-2</v>
      </c>
      <c r="Z2704">
        <v>6.8154690000000004E-2</v>
      </c>
      <c r="AA2704">
        <v>0.99749310000000002</v>
      </c>
      <c r="AB2704">
        <v>22</v>
      </c>
      <c r="AC2704">
        <v>-0.15289999999998799</v>
      </c>
      <c r="AD2704">
        <v>-6.3548999999999994E-2</v>
      </c>
      <c r="AE2704">
        <v>-0.78780000000000405</v>
      </c>
      <c r="AF2704">
        <v>1.8540253424970898E-2</v>
      </c>
      <c r="AG2704">
        <v>-6.3548999999999994E-2</v>
      </c>
      <c r="AH2704">
        <v>0.79728407859523998</v>
      </c>
      <c r="AI2704">
        <v>94.556004750226094</v>
      </c>
      <c r="AJ2704">
        <v>88.667868977305702</v>
      </c>
      <c r="AK2704">
        <v>0.80002757351201503</v>
      </c>
      <c r="AL2704">
        <v>80.382173710816204</v>
      </c>
      <c r="AM2704">
        <v>96.022443509377695</v>
      </c>
      <c r="AN2704">
        <v>0.99999994576069295</v>
      </c>
    </row>
    <row r="2705" spans="1:40" x14ac:dyDescent="0.25">
      <c r="A2705" t="str">
        <f>"20190312172421807"</f>
        <v>20190312172421807</v>
      </c>
      <c r="B2705" t="str">
        <f>"1552382661802263"</f>
        <v>1552382661802263</v>
      </c>
      <c r="C2705" t="s">
        <v>40</v>
      </c>
      <c r="D2705">
        <v>4.0617359999999998</v>
      </c>
      <c r="E2705">
        <v>0.55227349999999997</v>
      </c>
      <c r="F2705" t="s">
        <v>43</v>
      </c>
      <c r="G2705">
        <v>-492.66160000000002</v>
      </c>
      <c r="H2705" s="1">
        <v>-3.0119610000000001E-6</v>
      </c>
      <c r="I2705">
        <v>244.95930000000001</v>
      </c>
      <c r="J2705">
        <v>-489.55829999999997</v>
      </c>
      <c r="K2705">
        <v>1.1110040000000001</v>
      </c>
      <c r="L2705">
        <v>260.70699999999999</v>
      </c>
      <c r="M2705">
        <v>-0.1673906</v>
      </c>
      <c r="N2705">
        <v>0</v>
      </c>
      <c r="O2705">
        <v>-0.98579600000000001</v>
      </c>
      <c r="P2705">
        <v>-6.4905489999999996E-2</v>
      </c>
      <c r="Q2705">
        <v>0.15462400000000001</v>
      </c>
      <c r="R2705">
        <v>-0.98583889999999996</v>
      </c>
      <c r="S2705">
        <v>-0.59793090000000004</v>
      </c>
      <c r="T2705">
        <v>-0.2128651</v>
      </c>
      <c r="U2705">
        <v>-3.0373230000000002</v>
      </c>
      <c r="V2705">
        <v>-0.10114529999999999</v>
      </c>
      <c r="W2705">
        <v>0.1679696</v>
      </c>
      <c r="X2705">
        <v>0.9805895</v>
      </c>
      <c r="Y2705">
        <v>2.5723880000000001E-2</v>
      </c>
      <c r="Z2705">
        <v>6.7783410000000002E-2</v>
      </c>
      <c r="AA2705">
        <v>0.99736840000000004</v>
      </c>
      <c r="AB2705">
        <v>22</v>
      </c>
      <c r="AC2705">
        <v>-3.1033000000000399</v>
      </c>
      <c r="AD2705">
        <v>-1.111007011961</v>
      </c>
      <c r="AE2705">
        <v>-15.747699999999901</v>
      </c>
      <c r="AF2705">
        <v>0.42122505812783101</v>
      </c>
      <c r="AG2705">
        <v>-1.111007011961</v>
      </c>
      <c r="AH2705">
        <v>15.9684705598576</v>
      </c>
      <c r="AI2705">
        <v>93.978563147506804</v>
      </c>
      <c r="AJ2705">
        <v>88.4889709692645</v>
      </c>
      <c r="AK2705">
        <v>16.0126143758994</v>
      </c>
      <c r="AL2705">
        <v>80.330211395548403</v>
      </c>
      <c r="AM2705">
        <v>95.889086665010296</v>
      </c>
      <c r="AN2705">
        <v>0.99999996287324899</v>
      </c>
    </row>
    <row r="2706" spans="1:40" x14ac:dyDescent="0.25">
      <c r="A2706" t="str">
        <f>"20190312172421818"</f>
        <v>20190312172421818</v>
      </c>
      <c r="B2706" t="str">
        <f>"1552382661812637"</f>
        <v>1552382661812637</v>
      </c>
      <c r="C2706" t="s">
        <v>40</v>
      </c>
      <c r="D2706">
        <v>4.0902019999999997</v>
      </c>
      <c r="E2706">
        <v>0.5530138</v>
      </c>
      <c r="F2706" t="s">
        <v>41</v>
      </c>
      <c r="G2706">
        <v>-489.73779999999999</v>
      </c>
      <c r="H2706">
        <v>1.0500480000000001</v>
      </c>
      <c r="I2706">
        <v>259.83089999999999</v>
      </c>
      <c r="J2706">
        <v>-489.57859999999999</v>
      </c>
      <c r="K2706">
        <v>1.1110169999999999</v>
      </c>
      <c r="L2706">
        <v>260.5856</v>
      </c>
      <c r="M2706">
        <v>-0.16709579999999999</v>
      </c>
      <c r="N2706">
        <v>0</v>
      </c>
      <c r="O2706">
        <v>-0.98584629999999995</v>
      </c>
      <c r="P2706">
        <v>-6.6784919999999998E-2</v>
      </c>
      <c r="Q2706">
        <v>0.15599070000000001</v>
      </c>
      <c r="R2706">
        <v>-0.98549819999999999</v>
      </c>
      <c r="S2706">
        <v>-0.62240600000000001</v>
      </c>
      <c r="T2706">
        <v>-0.2110552</v>
      </c>
      <c r="U2706">
        <v>-3.0351870000000001</v>
      </c>
      <c r="V2706">
        <v>-9.8947430000000003E-2</v>
      </c>
      <c r="W2706">
        <v>0.16933219999999999</v>
      </c>
      <c r="X2706">
        <v>0.98057939999999999</v>
      </c>
      <c r="Y2706">
        <v>3.389321E-2</v>
      </c>
      <c r="Z2706">
        <v>6.7200399999999993E-2</v>
      </c>
      <c r="AA2706">
        <v>0.99716369999999999</v>
      </c>
      <c r="AB2706">
        <v>22</v>
      </c>
      <c r="AC2706">
        <v>-0.15919999999999801</v>
      </c>
      <c r="AD2706">
        <v>-6.0969000000000002E-2</v>
      </c>
      <c r="AE2706">
        <v>-0.75470000000001303</v>
      </c>
      <c r="AF2706">
        <v>3.0650884241642001E-2</v>
      </c>
      <c r="AG2706">
        <v>-6.0969000000000002E-2</v>
      </c>
      <c r="AH2706">
        <v>0.765905946109253</v>
      </c>
      <c r="AI2706">
        <v>94.547737632319695</v>
      </c>
      <c r="AJ2706">
        <v>87.708296042925696</v>
      </c>
      <c r="AK2706">
        <v>0.76893992870139405</v>
      </c>
      <c r="AL2706">
        <v>80.2510057080477</v>
      </c>
      <c r="AM2706">
        <v>95.762047291632499</v>
      </c>
      <c r="AN2706">
        <v>0.99999997378240202</v>
      </c>
    </row>
    <row r="2707" spans="1:40" x14ac:dyDescent="0.25">
      <c r="A2707" t="str">
        <f>"20190312172421830"</f>
        <v>20190312172421830</v>
      </c>
      <c r="B2707" t="str">
        <f>"1552382661822400"</f>
        <v>1552382661822400</v>
      </c>
      <c r="C2707" t="s">
        <v>40</v>
      </c>
      <c r="D2707">
        <v>4.0917539999999999</v>
      </c>
      <c r="E2707">
        <v>0.55356369999999999</v>
      </c>
      <c r="F2707" t="s">
        <v>43</v>
      </c>
      <c r="G2707">
        <v>-492.98820000000001</v>
      </c>
      <c r="H2707" s="1">
        <v>-2.8014329999999998E-6</v>
      </c>
      <c r="I2707">
        <v>244.26589999999999</v>
      </c>
      <c r="J2707">
        <v>-489.5976</v>
      </c>
      <c r="K2707">
        <v>1.1110310000000001</v>
      </c>
      <c r="L2707">
        <v>260.47239999999999</v>
      </c>
      <c r="M2707">
        <v>-0.166816299999999</v>
      </c>
      <c r="N2707">
        <v>0</v>
      </c>
      <c r="O2707">
        <v>-0.98589349999999998</v>
      </c>
      <c r="P2707">
        <v>-6.8761589999999997E-2</v>
      </c>
      <c r="Q2707">
        <v>0.15710070000000001</v>
      </c>
      <c r="R2707">
        <v>-0.9851858</v>
      </c>
      <c r="S2707">
        <v>-0.63385009999999997</v>
      </c>
      <c r="T2707">
        <v>-0.20654149999999999</v>
      </c>
      <c r="U2707">
        <v>-3.0338750000000001</v>
      </c>
      <c r="V2707">
        <v>-9.6671889999999996E-2</v>
      </c>
      <c r="W2707">
        <v>0.17044019999999999</v>
      </c>
      <c r="X2707">
        <v>0.9806144</v>
      </c>
      <c r="Y2707">
        <v>3.7887700000000003E-2</v>
      </c>
      <c r="Z2707">
        <v>6.5772750000000005E-2</v>
      </c>
      <c r="AA2707">
        <v>0.99711510000000003</v>
      </c>
      <c r="AB2707">
        <v>22</v>
      </c>
      <c r="AC2707">
        <v>-3.3906000000000001</v>
      </c>
      <c r="AD2707">
        <v>-1.1110338014329999</v>
      </c>
      <c r="AE2707">
        <v>-16.206499999999998</v>
      </c>
      <c r="AF2707">
        <v>0.63645594075036604</v>
      </c>
      <c r="AG2707">
        <v>-1.1110338014329999</v>
      </c>
      <c r="AH2707">
        <v>16.4708687374644</v>
      </c>
      <c r="AI2707">
        <v>93.856141700250902</v>
      </c>
      <c r="AJ2707">
        <v>87.787116987576695</v>
      </c>
      <c r="AK2707">
        <v>16.5205626187253</v>
      </c>
      <c r="AL2707">
        <v>80.186585398809399</v>
      </c>
      <c r="AM2707">
        <v>95.630196511878793</v>
      </c>
      <c r="AN2707">
        <v>0.99999995878978498</v>
      </c>
    </row>
    <row r="2708" spans="1:40" x14ac:dyDescent="0.25">
      <c r="A2708" t="str">
        <f>"20190312172421841"</f>
        <v>20190312172421841</v>
      </c>
      <c r="B2708" t="str">
        <f>"1552382661833134"</f>
        <v>1552382661833134</v>
      </c>
      <c r="C2708" t="s">
        <v>40</v>
      </c>
      <c r="D2708">
        <v>4.0420959999999999</v>
      </c>
      <c r="E2708">
        <v>0.55417439999999996</v>
      </c>
      <c r="F2708" t="s">
        <v>43</v>
      </c>
      <c r="G2708">
        <v>-493.10989999999998</v>
      </c>
      <c r="H2708" s="1">
        <v>-2.6885799999999998E-6</v>
      </c>
      <c r="I2708">
        <v>243.92740000000001</v>
      </c>
      <c r="J2708">
        <v>-489.61619999999999</v>
      </c>
      <c r="K2708">
        <v>1.1110420000000001</v>
      </c>
      <c r="L2708">
        <v>260.3605</v>
      </c>
      <c r="M2708">
        <v>-0.16653899999999999</v>
      </c>
      <c r="N2708">
        <v>0</v>
      </c>
      <c r="O2708">
        <v>-0.98594040000000005</v>
      </c>
      <c r="P2708">
        <v>-7.0657150000000002E-2</v>
      </c>
      <c r="Q2708">
        <v>0.15796879999999999</v>
      </c>
      <c r="R2708">
        <v>-0.98491309999999999</v>
      </c>
      <c r="S2708">
        <v>-0.6437988</v>
      </c>
      <c r="T2708">
        <v>-0.20365249999999999</v>
      </c>
      <c r="U2708">
        <v>-3.0326840000000002</v>
      </c>
      <c r="V2708">
        <v>-9.4484819999999997E-2</v>
      </c>
      <c r="W2708">
        <v>0.17130699999999999</v>
      </c>
      <c r="X2708">
        <v>0.98067660000000001</v>
      </c>
      <c r="Y2708">
        <v>4.1391520000000001E-2</v>
      </c>
      <c r="Z2708">
        <v>6.4860109999999999E-2</v>
      </c>
      <c r="AA2708">
        <v>0.99703560000000002</v>
      </c>
      <c r="AB2708">
        <v>22</v>
      </c>
      <c r="AC2708">
        <v>-3.4936999999999898</v>
      </c>
      <c r="AD2708">
        <v>-1.1110446885800001</v>
      </c>
      <c r="AE2708">
        <v>-16.4330999999999</v>
      </c>
      <c r="AF2708">
        <v>0.70481141125095803</v>
      </c>
      <c r="AG2708">
        <v>-1.1110446885800001</v>
      </c>
      <c r="AH2708">
        <v>16.712367208124899</v>
      </c>
      <c r="AI2708">
        <v>93.800081121568695</v>
      </c>
      <c r="AJ2708">
        <v>87.585093534370202</v>
      </c>
      <c r="AK2708">
        <v>16.764080563056901</v>
      </c>
      <c r="AL2708">
        <v>80.136180826027299</v>
      </c>
      <c r="AM2708">
        <v>95.5032650751983</v>
      </c>
      <c r="AN2708">
        <v>1.00000003162349</v>
      </c>
    </row>
    <row r="2709" spans="1:40" x14ac:dyDescent="0.25">
      <c r="A2709" t="str">
        <f>"20190312172421852"</f>
        <v>20190312172421852</v>
      </c>
      <c r="B2709" t="str">
        <f>"1552382661842893"</f>
        <v>1552382661842893</v>
      </c>
      <c r="C2709" t="s">
        <v>40</v>
      </c>
      <c r="D2709">
        <v>4.0777830000000002</v>
      </c>
      <c r="E2709">
        <v>0.55453589999999997</v>
      </c>
      <c r="F2709" t="s">
        <v>41</v>
      </c>
      <c r="G2709">
        <v>-489.81200000000001</v>
      </c>
      <c r="H2709">
        <v>1.0508249999999999</v>
      </c>
      <c r="I2709">
        <v>259.45370000000003</v>
      </c>
      <c r="J2709">
        <v>-489.6345</v>
      </c>
      <c r="K2709">
        <v>1.111051</v>
      </c>
      <c r="L2709">
        <v>260.25060000000002</v>
      </c>
      <c r="M2709">
        <v>-0.16626550000000001</v>
      </c>
      <c r="N2709">
        <v>0</v>
      </c>
      <c r="O2709">
        <v>-0.98598680000000005</v>
      </c>
      <c r="P2709">
        <v>-7.2602529999999998E-2</v>
      </c>
      <c r="Q2709">
        <v>0.1586765</v>
      </c>
      <c r="R2709">
        <v>-0.98465789999999997</v>
      </c>
      <c r="S2709">
        <v>-0.65390009999999998</v>
      </c>
      <c r="T2709">
        <v>-0.20135990000000001</v>
      </c>
      <c r="U2709">
        <v>-3.031342</v>
      </c>
      <c r="V2709">
        <v>-9.2254149999999993E-2</v>
      </c>
      <c r="W2709">
        <v>0.17201449999999999</v>
      </c>
      <c r="X2709">
        <v>0.98076509999999995</v>
      </c>
      <c r="Y2709">
        <v>4.4945010000000001E-2</v>
      </c>
      <c r="Z2709">
        <v>6.4138290000000001E-2</v>
      </c>
      <c r="AA2709">
        <v>0.99692840000000005</v>
      </c>
      <c r="AB2709">
        <v>22</v>
      </c>
      <c r="AC2709">
        <v>-0.177499999999952</v>
      </c>
      <c r="AD2709">
        <v>-6.0226000000000099E-2</v>
      </c>
      <c r="AE2709">
        <v>-0.79689999999999295</v>
      </c>
      <c r="AF2709">
        <v>4.2289505443628798E-2</v>
      </c>
      <c r="AG2709">
        <v>-6.0226000000000099E-2</v>
      </c>
      <c r="AH2709">
        <v>0.81090807269455001</v>
      </c>
      <c r="AI2709">
        <v>94.241805856335503</v>
      </c>
      <c r="AJ2709">
        <v>87.014683644729203</v>
      </c>
      <c r="AK2709">
        <v>0.81424042868667301</v>
      </c>
      <c r="AL2709">
        <v>80.095032945692907</v>
      </c>
      <c r="AM2709">
        <v>95.373627476121797</v>
      </c>
      <c r="AN2709">
        <v>0.99999999889024105</v>
      </c>
    </row>
    <row r="2710" spans="1:40" x14ac:dyDescent="0.25">
      <c r="A2710" t="str">
        <f>"20190312172421870"</f>
        <v>20190312172421870</v>
      </c>
      <c r="B2710" t="str">
        <f>"1552382661862417"</f>
        <v>1552382661862417</v>
      </c>
      <c r="C2710" t="s">
        <v>40</v>
      </c>
      <c r="D2710">
        <v>4.0891080000000004</v>
      </c>
      <c r="E2710">
        <v>0.55491290000000004</v>
      </c>
      <c r="F2710" t="s">
        <v>43</v>
      </c>
      <c r="G2710">
        <v>-493.30840000000001</v>
      </c>
      <c r="H2710" s="1">
        <v>-2.5335099999999998E-6</v>
      </c>
      <c r="I2710">
        <v>243.44280000000001</v>
      </c>
      <c r="J2710">
        <v>-489.66109999999998</v>
      </c>
      <c r="K2710">
        <v>1.1110580000000001</v>
      </c>
      <c r="L2710">
        <v>260.09010000000001</v>
      </c>
      <c r="M2710">
        <v>-0.16586689999999901</v>
      </c>
      <c r="N2710">
        <v>0</v>
      </c>
      <c r="O2710">
        <v>-0.98605410000000004</v>
      </c>
      <c r="P2710">
        <v>-7.6440980000000006E-2</v>
      </c>
      <c r="Q2710">
        <v>0.15936889999999901</v>
      </c>
      <c r="R2710">
        <v>-0.98425580000000001</v>
      </c>
      <c r="S2710">
        <v>-0.66235350000000004</v>
      </c>
      <c r="T2710">
        <v>-0.2003056</v>
      </c>
      <c r="U2710">
        <v>-3.0301819999999999</v>
      </c>
      <c r="V2710">
        <v>-8.8008690000000001E-2</v>
      </c>
      <c r="W2710">
        <v>0.17270920000000001</v>
      </c>
      <c r="X2710">
        <v>0.98103309999999999</v>
      </c>
      <c r="Y2710">
        <v>4.8087789999999998E-2</v>
      </c>
      <c r="Z2710">
        <v>6.3810909999999998E-2</v>
      </c>
      <c r="AA2710">
        <v>0.99680270000000004</v>
      </c>
      <c r="AB2710">
        <v>22</v>
      </c>
      <c r="AC2710">
        <v>-3.64730000000002</v>
      </c>
      <c r="AD2710">
        <v>-1.1110605335099999</v>
      </c>
      <c r="AE2710">
        <v>-16.647300000000001</v>
      </c>
      <c r="AF2710">
        <v>0.83174134146853995</v>
      </c>
      <c r="AG2710">
        <v>-1.1110605335099999</v>
      </c>
      <c r="AH2710">
        <v>16.9496413477464</v>
      </c>
      <c r="AI2710">
        <v>93.745917297017002</v>
      </c>
      <c r="AJ2710">
        <v>87.190673743907098</v>
      </c>
      <c r="AK2710">
        <v>17.0063691299897</v>
      </c>
      <c r="AL2710">
        <v>80.054624519083305</v>
      </c>
      <c r="AM2710">
        <v>95.126294063447503</v>
      </c>
      <c r="AN2710">
        <v>0.99999997028788201</v>
      </c>
    </row>
    <row r="2711" spans="1:40" x14ac:dyDescent="0.25">
      <c r="A2711" t="str">
        <f>"20190312172421892"</f>
        <v>20190312172421892</v>
      </c>
      <c r="B2711" t="str">
        <f>"1552382661882912"</f>
        <v>1552382661882912</v>
      </c>
      <c r="C2711" t="s">
        <v>40</v>
      </c>
      <c r="D2711">
        <v>4.0833589999999997</v>
      </c>
      <c r="E2711">
        <v>0.55514680000000005</v>
      </c>
      <c r="F2711" t="s">
        <v>43</v>
      </c>
      <c r="G2711">
        <v>-493.43299999999999</v>
      </c>
      <c r="H2711" s="1">
        <v>-2.468947E-6</v>
      </c>
      <c r="I2711">
        <v>243.21510000000001</v>
      </c>
      <c r="J2711">
        <v>-489.697</v>
      </c>
      <c r="K2711">
        <v>1.1110679999999999</v>
      </c>
      <c r="L2711">
        <v>259.8732</v>
      </c>
      <c r="M2711">
        <v>-0.16532949999999999</v>
      </c>
      <c r="N2711">
        <v>0</v>
      </c>
      <c r="O2711">
        <v>-0.98614429999999997</v>
      </c>
      <c r="P2711">
        <v>-8.0119650000000001E-2</v>
      </c>
      <c r="Q2711">
        <v>0.16010779999999999</v>
      </c>
      <c r="R2711">
        <v>-0.98384269999999996</v>
      </c>
      <c r="S2711">
        <v>-0.67672730000000003</v>
      </c>
      <c r="T2711">
        <v>-0.1993434</v>
      </c>
      <c r="U2711">
        <v>-3.027679</v>
      </c>
      <c r="V2711">
        <v>-8.3779660000000006E-2</v>
      </c>
      <c r="W2711">
        <v>0.17344979999999999</v>
      </c>
      <c r="X2711">
        <v>0.9812727</v>
      </c>
      <c r="Y2711">
        <v>5.3319060000000001E-2</v>
      </c>
      <c r="Z2711">
        <v>6.352497E-2</v>
      </c>
      <c r="AA2711">
        <v>0.99655490000000002</v>
      </c>
      <c r="AB2711">
        <v>22</v>
      </c>
      <c r="AC2711">
        <v>-3.7360000000001001</v>
      </c>
      <c r="AD2711">
        <v>-1.1110704689469999</v>
      </c>
      <c r="AE2711">
        <v>-16.658099999999902</v>
      </c>
      <c r="AF2711">
        <v>0.92632251075729499</v>
      </c>
      <c r="AG2711">
        <v>-1.1110704689469999</v>
      </c>
      <c r="AH2711">
        <v>16.9746446599557</v>
      </c>
      <c r="AI2711">
        <v>93.7393886776984</v>
      </c>
      <c r="AJ2711">
        <v>86.876413004536104</v>
      </c>
      <c r="AK2711">
        <v>17.036170705668201</v>
      </c>
      <c r="AL2711">
        <v>80.0115412206804</v>
      </c>
      <c r="AM2711">
        <v>94.879997109287899</v>
      </c>
      <c r="AN2711">
        <v>0.999999988157522</v>
      </c>
    </row>
    <row r="2712" spans="1:40" x14ac:dyDescent="0.25">
      <c r="A2712" t="str">
        <f>"20190312172421903"</f>
        <v>20190312172421903</v>
      </c>
      <c r="B2712" t="str">
        <f>"1552382661892670"</f>
        <v>1552382661892670</v>
      </c>
      <c r="C2712" t="s">
        <v>40</v>
      </c>
      <c r="D2712">
        <v>4.092536</v>
      </c>
      <c r="E2712">
        <v>0.55521540000000003</v>
      </c>
      <c r="F2712" t="s">
        <v>43</v>
      </c>
      <c r="G2712">
        <v>-493.55900000000003</v>
      </c>
      <c r="H2712" s="1">
        <v>-2.3869069999999999E-6</v>
      </c>
      <c r="I2712">
        <v>242.94560000000001</v>
      </c>
      <c r="J2712">
        <v>-489.71390000000002</v>
      </c>
      <c r="K2712">
        <v>1.1110739999999999</v>
      </c>
      <c r="L2712">
        <v>259.77050000000003</v>
      </c>
      <c r="M2712">
        <v>-0.16507620000000001</v>
      </c>
      <c r="N2712">
        <v>0</v>
      </c>
      <c r="O2712">
        <v>-0.98618660000000002</v>
      </c>
      <c r="P2712">
        <v>-8.1697989999999998E-2</v>
      </c>
      <c r="Q2712">
        <v>0.1602037</v>
      </c>
      <c r="R2712">
        <v>-0.9836975</v>
      </c>
      <c r="S2712">
        <v>-0.69024659999999904</v>
      </c>
      <c r="T2712">
        <v>-0.1985768</v>
      </c>
      <c r="U2712">
        <v>-3.0253909999999999</v>
      </c>
      <c r="V2712">
        <v>-8.1947640000000002E-2</v>
      </c>
      <c r="W2712">
        <v>0.17354700000000001</v>
      </c>
      <c r="X2712">
        <v>0.98141020000000001</v>
      </c>
      <c r="Y2712">
        <v>5.797575E-2</v>
      </c>
      <c r="Z2712">
        <v>6.3293409999999994E-2</v>
      </c>
      <c r="AA2712">
        <v>0.99630960000000002</v>
      </c>
      <c r="AB2712">
        <v>22</v>
      </c>
      <c r="AC2712">
        <v>-3.8451</v>
      </c>
      <c r="AD2712">
        <v>-1.1110763869069999</v>
      </c>
      <c r="AE2712">
        <v>-16.8249</v>
      </c>
      <c r="AF2712">
        <v>1.01050179708014</v>
      </c>
      <c r="AG2712">
        <v>-1.1110763869069999</v>
      </c>
      <c r="AH2712">
        <v>17.157716145802301</v>
      </c>
      <c r="AI2712">
        <v>93.698718732798895</v>
      </c>
      <c r="AJ2712">
        <v>86.629464818471305</v>
      </c>
      <c r="AK2712">
        <v>17.223322210287201</v>
      </c>
      <c r="AL2712">
        <v>80.005886214701505</v>
      </c>
      <c r="AM2712">
        <v>94.773118523189595</v>
      </c>
      <c r="AN2712">
        <v>0.99999997878730396</v>
      </c>
    </row>
    <row r="2713" spans="1:40" x14ac:dyDescent="0.25">
      <c r="A2713" t="str">
        <f>"20190312172421915"</f>
        <v>20190312172421915</v>
      </c>
      <c r="B2713" t="str">
        <f>"1552382661902429"</f>
        <v>1552382661902429</v>
      </c>
      <c r="C2713" t="s">
        <v>40</v>
      </c>
      <c r="D2713">
        <v>4.0896189999999999</v>
      </c>
      <c r="E2713">
        <v>0.55519289999999999</v>
      </c>
      <c r="F2713" t="s">
        <v>41</v>
      </c>
      <c r="G2713">
        <v>-489.91899999999998</v>
      </c>
      <c r="H2713">
        <v>1.0524119999999999</v>
      </c>
      <c r="I2713">
        <v>258.88</v>
      </c>
      <c r="J2713">
        <v>-489.73219999999998</v>
      </c>
      <c r="K2713">
        <v>1.1110739999999999</v>
      </c>
      <c r="L2713">
        <v>259.65960000000001</v>
      </c>
      <c r="M2713">
        <v>-0.16480400000000001</v>
      </c>
      <c r="N2713">
        <v>0</v>
      </c>
      <c r="O2713">
        <v>-0.9862322</v>
      </c>
      <c r="P2713">
        <v>-8.3716929999999995E-2</v>
      </c>
      <c r="Q2713">
        <v>0.1602896</v>
      </c>
      <c r="R2713">
        <v>-0.98351370000000005</v>
      </c>
      <c r="S2713">
        <v>-0.69519039999999999</v>
      </c>
      <c r="T2713">
        <v>-0.1994224</v>
      </c>
      <c r="U2713">
        <v>-3.0244450000000001</v>
      </c>
      <c r="V2713">
        <v>-7.9654959999999997E-2</v>
      </c>
      <c r="W2713">
        <v>0.17363529999999999</v>
      </c>
      <c r="X2713">
        <v>0.98158339999999999</v>
      </c>
      <c r="Y2713">
        <v>5.9862289999999999E-2</v>
      </c>
      <c r="Z2713">
        <v>6.3570539999999995E-2</v>
      </c>
      <c r="AA2713">
        <v>0.99618039999999997</v>
      </c>
      <c r="AB2713">
        <v>22</v>
      </c>
      <c r="AC2713">
        <v>-0.186800000000062</v>
      </c>
      <c r="AD2713">
        <v>-5.86619999999997E-2</v>
      </c>
      <c r="AE2713">
        <v>-0.77960000000001595</v>
      </c>
      <c r="AF2713">
        <v>5.5455213695474397E-2</v>
      </c>
      <c r="AG2713">
        <v>-5.86619999999997E-2</v>
      </c>
      <c r="AH2713">
        <v>0.79546687283638096</v>
      </c>
      <c r="AI2713">
        <v>94.207488745575603</v>
      </c>
      <c r="AJ2713">
        <v>86.012131484636896</v>
      </c>
      <c r="AK2713">
        <v>0.79955241025845303</v>
      </c>
      <c r="AL2713">
        <v>80.000749728644493</v>
      </c>
      <c r="AM2713">
        <v>94.639355475256906</v>
      </c>
      <c r="AN2713">
        <v>1.0000000506071201</v>
      </c>
    </row>
    <row r="2714" spans="1:40" x14ac:dyDescent="0.25">
      <c r="A2714" t="str">
        <f>"20190312172421927"</f>
        <v>20190312172421927</v>
      </c>
      <c r="B2714" t="str">
        <f>"1552382661922839"</f>
        <v>1552382661922839</v>
      </c>
      <c r="C2714" t="s">
        <v>40</v>
      </c>
      <c r="D2714">
        <v>4.0986229999999999</v>
      </c>
      <c r="E2714">
        <v>0.55507810000000002</v>
      </c>
      <c r="F2714" t="s">
        <v>43</v>
      </c>
      <c r="G2714">
        <v>-493.62490000000003</v>
      </c>
      <c r="H2714" s="1">
        <v>-2.372542E-6</v>
      </c>
      <c r="I2714">
        <v>242.87129999999999</v>
      </c>
      <c r="J2714">
        <v>-489.75229999999999</v>
      </c>
      <c r="K2714">
        <v>1.1110709999999999</v>
      </c>
      <c r="L2714">
        <v>259.53710000000001</v>
      </c>
      <c r="M2714">
        <v>-0.16450399999999901</v>
      </c>
      <c r="N2714">
        <v>0</v>
      </c>
      <c r="O2714">
        <v>-0.9862824</v>
      </c>
      <c r="P2714">
        <v>-8.5546590000000006E-2</v>
      </c>
      <c r="Q2714">
        <v>0.16004489999999999</v>
      </c>
      <c r="R2714">
        <v>-0.98339620000000005</v>
      </c>
      <c r="S2714">
        <v>-0.70098879999999997</v>
      </c>
      <c r="T2714">
        <v>-0.2000798</v>
      </c>
      <c r="U2714">
        <v>-3.023193</v>
      </c>
      <c r="V2714">
        <v>-7.7531760000000005E-2</v>
      </c>
      <c r="W2714">
        <v>0.17339299999999999</v>
      </c>
      <c r="X2714">
        <v>0.98179609999999995</v>
      </c>
      <c r="Y2714">
        <v>6.2066459999999997E-2</v>
      </c>
      <c r="Z2714">
        <v>6.3791879999999995E-2</v>
      </c>
      <c r="AA2714">
        <v>0.99603129999999995</v>
      </c>
      <c r="AB2714">
        <v>22</v>
      </c>
      <c r="AC2714">
        <v>-3.87260000000003</v>
      </c>
      <c r="AD2714">
        <v>-1.1110733725419999</v>
      </c>
      <c r="AE2714">
        <v>-16.665800000000001</v>
      </c>
      <c r="AF2714">
        <v>1.07345973993757</v>
      </c>
      <c r="AG2714">
        <v>-1.1110733725419999</v>
      </c>
      <c r="AH2714">
        <v>17.004122038366798</v>
      </c>
      <c r="AI2714">
        <v>93.731066495079105</v>
      </c>
      <c r="AJ2714">
        <v>86.387746338523598</v>
      </c>
      <c r="AK2714">
        <v>17.074160774343</v>
      </c>
      <c r="AL2714">
        <v>80.014845247019906</v>
      </c>
      <c r="AM2714">
        <v>94.515237795265406</v>
      </c>
      <c r="AN2714">
        <v>0.99999994411645199</v>
      </c>
    </row>
    <row r="2715" spans="1:40" x14ac:dyDescent="0.25">
      <c r="A2715" t="str">
        <f>"20190312172421942"</f>
        <v>20190312172421942</v>
      </c>
      <c r="B2715" t="str">
        <f>"1552382661932599"</f>
        <v>1552382661932599</v>
      </c>
      <c r="C2715" t="s">
        <v>40</v>
      </c>
      <c r="D2715">
        <v>4.0736400000000001</v>
      </c>
      <c r="E2715">
        <v>0.55500909999999903</v>
      </c>
      <c r="F2715" t="s">
        <v>41</v>
      </c>
      <c r="G2715">
        <v>-489.95179999999999</v>
      </c>
      <c r="H2715">
        <v>1.0538609999999999</v>
      </c>
      <c r="I2715">
        <v>258.68310000000002</v>
      </c>
      <c r="J2715">
        <v>-489.77480000000003</v>
      </c>
      <c r="K2715">
        <v>1.1110660000000001</v>
      </c>
      <c r="L2715">
        <v>259.39949999999999</v>
      </c>
      <c r="M2715">
        <v>-0.16416789999999901</v>
      </c>
      <c r="N2715">
        <v>0</v>
      </c>
      <c r="O2715">
        <v>-0.98633839999999995</v>
      </c>
      <c r="P2715">
        <v>-8.711489E-2</v>
      </c>
      <c r="Q2715">
        <v>0.15947549999999999</v>
      </c>
      <c r="R2715">
        <v>-0.98335099999999998</v>
      </c>
      <c r="S2715">
        <v>-0.70581050000000001</v>
      </c>
      <c r="T2715">
        <v>-0.2024899</v>
      </c>
      <c r="U2715">
        <v>-3.0222169999999999</v>
      </c>
      <c r="V2715">
        <v>-7.5641810000000004E-2</v>
      </c>
      <c r="W2715">
        <v>0.17282610000000001</v>
      </c>
      <c r="X2715">
        <v>0.98204349999999996</v>
      </c>
      <c r="Y2715">
        <v>6.3973260000000004E-2</v>
      </c>
      <c r="Z2715">
        <v>6.4567360000000004E-2</v>
      </c>
      <c r="AA2715">
        <v>0.99586070000000004</v>
      </c>
      <c r="AB2715">
        <v>22</v>
      </c>
      <c r="AC2715">
        <v>-0.17699999999996399</v>
      </c>
      <c r="AD2715">
        <v>-5.7204999999999701E-2</v>
      </c>
      <c r="AE2715">
        <v>-0.71639999999996395</v>
      </c>
      <c r="AF2715">
        <v>5.6636948624145603E-2</v>
      </c>
      <c r="AG2715">
        <v>-5.7204999999999701E-2</v>
      </c>
      <c r="AH2715">
        <v>0.73134391195319104</v>
      </c>
      <c r="AI2715">
        <v>94.459215408818295</v>
      </c>
      <c r="AJ2715">
        <v>85.571721994654695</v>
      </c>
      <c r="AK2715">
        <v>0.73576088067078604</v>
      </c>
      <c r="AL2715">
        <v>80.047824584928804</v>
      </c>
      <c r="AM2715">
        <v>94.404505466315001</v>
      </c>
      <c r="AN2715">
        <v>0.99999999007676699</v>
      </c>
    </row>
    <row r="2716" spans="1:40" x14ac:dyDescent="0.25">
      <c r="A2716" t="str">
        <f>"20190312172421956"</f>
        <v>20190312172421956</v>
      </c>
      <c r="B2716" t="str">
        <f>"1552382661953096"</f>
        <v>1552382661953096</v>
      </c>
      <c r="C2716" t="s">
        <v>40</v>
      </c>
      <c r="D2716">
        <v>4.0892280000000003</v>
      </c>
      <c r="E2716">
        <v>0.554774199999999</v>
      </c>
      <c r="F2716" t="s">
        <v>41</v>
      </c>
      <c r="G2716">
        <v>-489.98649999999998</v>
      </c>
      <c r="H2716">
        <v>1.0501240000000001</v>
      </c>
      <c r="I2716">
        <v>258.50069999999999</v>
      </c>
      <c r="J2716">
        <v>-489.79640000000001</v>
      </c>
      <c r="K2716">
        <v>1.111059</v>
      </c>
      <c r="L2716">
        <v>259.26760000000002</v>
      </c>
      <c r="M2716">
        <v>-0.1638444</v>
      </c>
      <c r="N2716">
        <v>0</v>
      </c>
      <c r="O2716">
        <v>-0.98639239999999995</v>
      </c>
      <c r="P2716">
        <v>-8.8853689999999999E-2</v>
      </c>
      <c r="Q2716">
        <v>0.15863479999999999</v>
      </c>
      <c r="R2716">
        <v>-0.98333150000000002</v>
      </c>
      <c r="S2716">
        <v>-0.71066280000000004</v>
      </c>
      <c r="T2716">
        <v>-0.205037</v>
      </c>
      <c r="U2716">
        <v>-3.0210880000000002</v>
      </c>
      <c r="V2716">
        <v>-7.3599699999999907E-2</v>
      </c>
      <c r="W2716">
        <v>0.17198869999999999</v>
      </c>
      <c r="X2716">
        <v>0.98234560000000004</v>
      </c>
      <c r="Y2716">
        <v>6.5886730000000004E-2</v>
      </c>
      <c r="Z2716">
        <v>6.5389160000000002E-2</v>
      </c>
      <c r="AA2716">
        <v>0.99568230000000002</v>
      </c>
      <c r="AB2716">
        <v>22</v>
      </c>
      <c r="AC2716">
        <v>-0.19009999999997201</v>
      </c>
      <c r="AD2716">
        <v>-6.0934999999999899E-2</v>
      </c>
      <c r="AE2716">
        <v>-0.76690000000002101</v>
      </c>
      <c r="AF2716">
        <v>6.1500852526552199E-2</v>
      </c>
      <c r="AG2716">
        <v>-6.0934999999999899E-2</v>
      </c>
      <c r="AH2716">
        <v>0.783026723273341</v>
      </c>
      <c r="AI2716">
        <v>94.436171927662301</v>
      </c>
      <c r="AJ2716">
        <v>85.509067576289993</v>
      </c>
      <c r="AK2716">
        <v>0.78779837423459897</v>
      </c>
      <c r="AL2716">
        <v>80.096533084651298</v>
      </c>
      <c r="AM2716">
        <v>94.284732601540597</v>
      </c>
      <c r="AN2716">
        <v>0.99999995330356894</v>
      </c>
    </row>
    <row r="2717" spans="1:40" x14ac:dyDescent="0.25">
      <c r="A2717" t="str">
        <f>"20190312172421973"</f>
        <v>20190312172421973</v>
      </c>
      <c r="B2717" t="str">
        <f>"1552382661962855"</f>
        <v>1552382661962855</v>
      </c>
      <c r="C2717" t="s">
        <v>40</v>
      </c>
      <c r="D2717">
        <v>4.2435260000000001</v>
      </c>
      <c r="E2717">
        <v>0.55463830000000003</v>
      </c>
      <c r="F2717" t="s">
        <v>43</v>
      </c>
      <c r="G2717">
        <v>-493.60120000000001</v>
      </c>
      <c r="H2717" s="1">
        <v>-2.494072E-6</v>
      </c>
      <c r="I2717">
        <v>243.16929999999999</v>
      </c>
      <c r="J2717">
        <v>-489.82279999999997</v>
      </c>
      <c r="K2717">
        <v>1.111038</v>
      </c>
      <c r="L2717">
        <v>259.10640000000001</v>
      </c>
      <c r="M2717">
        <v>-0.1634475</v>
      </c>
      <c r="N2717">
        <v>0</v>
      </c>
      <c r="O2717">
        <v>-0.9864579</v>
      </c>
      <c r="P2717">
        <v>-9.1098200000000004E-2</v>
      </c>
      <c r="Q2717">
        <v>0.15651579999999901</v>
      </c>
      <c r="R2717">
        <v>-0.98346540000000005</v>
      </c>
      <c r="S2717">
        <v>-0.71374510000000002</v>
      </c>
      <c r="T2717">
        <v>-0.2084299</v>
      </c>
      <c r="U2717">
        <v>-3.0199579999999999</v>
      </c>
      <c r="V2717">
        <v>-7.1010160000000003E-2</v>
      </c>
      <c r="W2717">
        <v>0.16987729999999901</v>
      </c>
      <c r="X2717">
        <v>0.98290350000000004</v>
      </c>
      <c r="Y2717">
        <v>6.7316890000000004E-2</v>
      </c>
      <c r="Z2717">
        <v>6.6486199999999995E-2</v>
      </c>
      <c r="AA2717">
        <v>0.99551400000000001</v>
      </c>
      <c r="AB2717">
        <v>22</v>
      </c>
      <c r="AC2717">
        <v>-3.7784000000000302</v>
      </c>
      <c r="AD2717">
        <v>-1.111040494072</v>
      </c>
      <c r="AE2717">
        <v>-15.937099999999999</v>
      </c>
      <c r="AF2717">
        <v>1.1173163761723801</v>
      </c>
      <c r="AG2717">
        <v>-1.111040494072</v>
      </c>
      <c r="AH2717">
        <v>16.265521242976199</v>
      </c>
      <c r="AI2717">
        <v>93.898444785355693</v>
      </c>
      <c r="AJ2717">
        <v>86.070393063496397</v>
      </c>
      <c r="AK2717">
        <v>16.341664179931001</v>
      </c>
      <c r="AL2717">
        <v>80.219315050492398</v>
      </c>
      <c r="AM2717">
        <v>94.132171731906794</v>
      </c>
      <c r="AN2717">
        <v>1.0000000150953801</v>
      </c>
    </row>
    <row r="2718" spans="1:40" x14ac:dyDescent="0.25">
      <c r="A2718" t="str">
        <f>"20190312172421995"</f>
        <v>20190312172421995</v>
      </c>
      <c r="B2718" t="str">
        <f>"1552382661982374"</f>
        <v>1552382661982374</v>
      </c>
      <c r="C2718" t="s">
        <v>40</v>
      </c>
      <c r="D2718">
        <v>4.0943239999999896</v>
      </c>
      <c r="E2718">
        <v>0.55418449999999997</v>
      </c>
      <c r="F2718" t="s">
        <v>41</v>
      </c>
      <c r="G2718">
        <v>-490.01429999999999</v>
      </c>
      <c r="H2718">
        <v>1.053998</v>
      </c>
      <c r="I2718">
        <v>258.30419999999998</v>
      </c>
      <c r="J2718">
        <v>-489.85599999999999</v>
      </c>
      <c r="K2718">
        <v>1.1110329999999999</v>
      </c>
      <c r="L2718">
        <v>258.90219999999999</v>
      </c>
      <c r="M2718">
        <v>-0.1629371</v>
      </c>
      <c r="N2718">
        <v>0</v>
      </c>
      <c r="O2718">
        <v>-0.98654260000000005</v>
      </c>
      <c r="P2718">
        <v>-9.1289720000000005E-2</v>
      </c>
      <c r="Q2718">
        <v>0.1544073</v>
      </c>
      <c r="R2718">
        <v>-0.98378089999999996</v>
      </c>
      <c r="S2718">
        <v>-0.72006230000000004</v>
      </c>
      <c r="T2718">
        <v>-0.2146344</v>
      </c>
      <c r="U2718">
        <v>-3.0178829999999999</v>
      </c>
      <c r="V2718">
        <v>-7.0363339999999996E-2</v>
      </c>
      <c r="W2718">
        <v>0.16777120000000001</v>
      </c>
      <c r="X2718">
        <v>0.98331170000000001</v>
      </c>
      <c r="Y2718">
        <v>6.9926929999999998E-2</v>
      </c>
      <c r="Z2718">
        <v>6.8487880000000001E-2</v>
      </c>
      <c r="AA2718">
        <v>0.99519829999999998</v>
      </c>
      <c r="AB2718">
        <v>22</v>
      </c>
      <c r="AC2718">
        <v>-0.158299999999996</v>
      </c>
      <c r="AD2718">
        <v>-5.7034999999999898E-2</v>
      </c>
      <c r="AE2718">
        <v>-0.59800000000001297</v>
      </c>
      <c r="AF2718">
        <v>5.8243622160630497E-2</v>
      </c>
      <c r="AG2718">
        <v>-5.7034999999999898E-2</v>
      </c>
      <c r="AH2718">
        <v>0.61061167526515203</v>
      </c>
      <c r="AI2718">
        <v>95.312332201855995</v>
      </c>
      <c r="AJ2718">
        <v>84.551286966946805</v>
      </c>
      <c r="AK2718">
        <v>0.616029162229764</v>
      </c>
      <c r="AL2718">
        <v>80.341743241285101</v>
      </c>
      <c r="AM2718">
        <v>94.092967033022106</v>
      </c>
      <c r="AN2718">
        <v>1.00000003726114</v>
      </c>
    </row>
    <row r="2719" spans="1:40" x14ac:dyDescent="0.25">
      <c r="A2719" t="str">
        <f>"20190312172422016"</f>
        <v>20190312172422016</v>
      </c>
      <c r="B2719" t="str">
        <f>"1552382662002870"</f>
        <v>1552382662002870</v>
      </c>
      <c r="C2719" t="s">
        <v>40</v>
      </c>
      <c r="D2719">
        <v>4.0983999999999998</v>
      </c>
      <c r="E2719">
        <v>0.55380830000000003</v>
      </c>
      <c r="F2719" t="s">
        <v>41</v>
      </c>
      <c r="G2719">
        <v>-490.04349999999999</v>
      </c>
      <c r="H2719">
        <v>1.0533870000000001</v>
      </c>
      <c r="I2719">
        <v>258.11540000000002</v>
      </c>
      <c r="J2719">
        <v>-489.88900000000001</v>
      </c>
      <c r="K2719">
        <v>1.1110359999999999</v>
      </c>
      <c r="L2719">
        <v>258.69830000000002</v>
      </c>
      <c r="M2719">
        <v>-0.1624111</v>
      </c>
      <c r="N2719">
        <v>0</v>
      </c>
      <c r="O2719">
        <v>-0.98662930000000004</v>
      </c>
      <c r="P2719">
        <v>-8.8782970000000003E-2</v>
      </c>
      <c r="Q2719">
        <v>0.1541286</v>
      </c>
      <c r="R2719">
        <v>-0.98405399999999998</v>
      </c>
      <c r="S2719">
        <v>-0.71734619999999905</v>
      </c>
      <c r="T2719">
        <v>-0.22139010000000001</v>
      </c>
      <c r="U2719">
        <v>-3.017639</v>
      </c>
      <c r="V2719">
        <v>-7.2359499999999993E-2</v>
      </c>
      <c r="W2719">
        <v>0.16748589999999999</v>
      </c>
      <c r="X2719">
        <v>0.98321550000000002</v>
      </c>
      <c r="Y2719">
        <v>6.9593820000000001E-2</v>
      </c>
      <c r="Z2719">
        <v>7.0655549999999998E-2</v>
      </c>
      <c r="AA2719">
        <v>0.99507009999999996</v>
      </c>
      <c r="AB2719">
        <v>22</v>
      </c>
      <c r="AC2719">
        <v>-0.15449999999998401</v>
      </c>
      <c r="AD2719">
        <v>-5.7648999999999999E-2</v>
      </c>
      <c r="AE2719">
        <v>-0.58289999999999498</v>
      </c>
      <c r="AF2719">
        <v>5.7246956084490201E-2</v>
      </c>
      <c r="AG2719">
        <v>-5.7648999999999999E-2</v>
      </c>
      <c r="AH2719">
        <v>0.59481816866648396</v>
      </c>
      <c r="AI2719">
        <v>95.510438407982804</v>
      </c>
      <c r="AJ2719">
        <v>84.502626446203607</v>
      </c>
      <c r="AK2719">
        <v>0.60034096558346695</v>
      </c>
      <c r="AL2719">
        <v>80.358324680600902</v>
      </c>
      <c r="AM2719">
        <v>94.209080520472</v>
      </c>
      <c r="AN2719">
        <v>1.00000007168965</v>
      </c>
    </row>
    <row r="2720" spans="1:40" x14ac:dyDescent="0.25">
      <c r="A2720" t="str">
        <f>"20190312172422028"</f>
        <v>20190312172422028</v>
      </c>
      <c r="B2720" t="str">
        <f>"1552382662023093"</f>
        <v>1552382662023093</v>
      </c>
      <c r="C2720" t="s">
        <v>40</v>
      </c>
      <c r="D2720">
        <v>4.1145959999999997</v>
      </c>
      <c r="E2720">
        <v>0.5534</v>
      </c>
      <c r="F2720" t="s">
        <v>41</v>
      </c>
      <c r="G2720">
        <v>-490.07170000000002</v>
      </c>
      <c r="H2720">
        <v>1.0536129999999999</v>
      </c>
      <c r="I2720">
        <v>257.91829999999999</v>
      </c>
      <c r="J2720">
        <v>-489.90870000000001</v>
      </c>
      <c r="K2720">
        <v>1.1110450000000001</v>
      </c>
      <c r="L2720">
        <v>258.57619999999997</v>
      </c>
      <c r="M2720">
        <v>-0.16208410000000001</v>
      </c>
      <c r="N2720">
        <v>0</v>
      </c>
      <c r="O2720">
        <v>-0.98668310000000004</v>
      </c>
      <c r="P2720">
        <v>-8.6027279999999998E-2</v>
      </c>
      <c r="Q2720">
        <v>0.154592799999999</v>
      </c>
      <c r="R2720">
        <v>-0.98422619999999905</v>
      </c>
      <c r="S2720">
        <v>-0.70635990000000004</v>
      </c>
      <c r="T2720">
        <v>-0.22248219999999999</v>
      </c>
      <c r="U2720">
        <v>-3.0197600000000002</v>
      </c>
      <c r="V2720">
        <v>-7.4784299999999998E-2</v>
      </c>
      <c r="W2720">
        <v>0.16794139999999999</v>
      </c>
      <c r="X2720">
        <v>0.98295619999999995</v>
      </c>
      <c r="Y2720">
        <v>6.6331630000000003E-2</v>
      </c>
      <c r="Z2720">
        <v>7.0996749999999997E-2</v>
      </c>
      <c r="AA2720">
        <v>0.99526859999999995</v>
      </c>
      <c r="AB2720">
        <v>22</v>
      </c>
      <c r="AC2720">
        <v>-0.16300000000001</v>
      </c>
      <c r="AD2720">
        <v>-5.7432000000000101E-2</v>
      </c>
      <c r="AE2720">
        <v>-0.65789999999998305</v>
      </c>
      <c r="AF2720">
        <v>5.3812866643222802E-2</v>
      </c>
      <c r="AG2720">
        <v>-5.7432000000000101E-2</v>
      </c>
      <c r="AH2720">
        <v>0.67080480683611898</v>
      </c>
      <c r="AI2720">
        <v>94.877939218681206</v>
      </c>
      <c r="AJ2720">
        <v>85.413477239039295</v>
      </c>
      <c r="AK2720">
        <v>0.67540606165091899</v>
      </c>
      <c r="AL2720">
        <v>80.331850276780898</v>
      </c>
      <c r="AM2720">
        <v>94.350739174000196</v>
      </c>
      <c r="AN2720">
        <v>0.99999994823944305</v>
      </c>
    </row>
    <row r="2721" spans="1:40" x14ac:dyDescent="0.25">
      <c r="A2721" t="str">
        <f>"20190312172422040"</f>
        <v>20190312172422040</v>
      </c>
      <c r="B2721" t="str">
        <f>"1552382662032853"</f>
        <v>1552382662032853</v>
      </c>
      <c r="C2721" t="s">
        <v>40</v>
      </c>
      <c r="D2721">
        <v>4.1856479999999996</v>
      </c>
      <c r="E2721">
        <v>0.5534</v>
      </c>
      <c r="F2721" t="s">
        <v>41</v>
      </c>
      <c r="G2721">
        <v>-490.10180000000003</v>
      </c>
      <c r="H2721">
        <v>1.0495699999999999</v>
      </c>
      <c r="I2721">
        <v>257.73779999999999</v>
      </c>
      <c r="J2721">
        <v>-489.92809999999997</v>
      </c>
      <c r="K2721">
        <v>1.111057</v>
      </c>
      <c r="L2721">
        <v>258.45580000000001</v>
      </c>
      <c r="M2721">
        <v>-0.1617546</v>
      </c>
      <c r="N2721">
        <v>0</v>
      </c>
      <c r="O2721">
        <v>-0.98673710000000003</v>
      </c>
      <c r="P2721">
        <v>-8.3186449999999995E-2</v>
      </c>
      <c r="Q2721">
        <v>0.15502479999999999</v>
      </c>
      <c r="R2721">
        <v>-0.98440229999999995</v>
      </c>
      <c r="S2721">
        <v>-0.69448849999999995</v>
      </c>
      <c r="T2721">
        <v>-0.22190270000000001</v>
      </c>
      <c r="U2721">
        <v>-3.0222020000000001</v>
      </c>
      <c r="V2721">
        <v>-7.7291620000000005E-2</v>
      </c>
      <c r="W2721">
        <v>0.16836400000000001</v>
      </c>
      <c r="X2721">
        <v>0.98268999999999995</v>
      </c>
      <c r="Y2721">
        <v>6.2778979999999998E-2</v>
      </c>
      <c r="Z2721">
        <v>7.0802110000000001E-2</v>
      </c>
      <c r="AA2721">
        <v>0.99551279999999998</v>
      </c>
      <c r="AB2721">
        <v>22</v>
      </c>
      <c r="AC2721">
        <v>-0.17370000000005301</v>
      </c>
      <c r="AD2721">
        <v>-6.1486999999999799E-2</v>
      </c>
      <c r="AE2721">
        <v>-0.71800000000001696</v>
      </c>
      <c r="AF2721">
        <v>5.4881327906421397E-2</v>
      </c>
      <c r="AG2721">
        <v>-6.1486999999999799E-2</v>
      </c>
      <c r="AH2721">
        <v>0.73157384207762099</v>
      </c>
      <c r="AI2721">
        <v>94.790880472269805</v>
      </c>
      <c r="AJ2721">
        <v>85.709811660944993</v>
      </c>
      <c r="AK2721">
        <v>0.73620166920075902</v>
      </c>
      <c r="AL2721">
        <v>80.307288160978501</v>
      </c>
      <c r="AM2721">
        <v>94.497232466411006</v>
      </c>
      <c r="AN2721">
        <v>1.0000000335591099</v>
      </c>
    </row>
    <row r="2722" spans="1:40" x14ac:dyDescent="0.25">
      <c r="A2722" t="str">
        <f>"20190312172422053"</f>
        <v>20190312172422053</v>
      </c>
      <c r="B2722" t="str">
        <f>"1552382662042613"</f>
        <v>1552382662042613</v>
      </c>
      <c r="C2722" t="s">
        <v>40</v>
      </c>
      <c r="D2722">
        <v>4.0858449999999999</v>
      </c>
      <c r="E2722">
        <v>0.55324200000000001</v>
      </c>
      <c r="F2722" t="s">
        <v>43</v>
      </c>
      <c r="G2722">
        <v>-493.37819999999999</v>
      </c>
      <c r="H2722" s="1">
        <v>-2.461328E-6</v>
      </c>
      <c r="I2722">
        <v>243.2313</v>
      </c>
      <c r="J2722">
        <v>-489.94589999999999</v>
      </c>
      <c r="K2722">
        <v>1.1110770000000001</v>
      </c>
      <c r="L2722">
        <v>258.34539999999998</v>
      </c>
      <c r="M2722">
        <v>-0.1614322</v>
      </c>
      <c r="N2722">
        <v>0</v>
      </c>
      <c r="O2722">
        <v>-0.9867899</v>
      </c>
      <c r="P2722">
        <v>-7.9407950000000005E-2</v>
      </c>
      <c r="Q2722">
        <v>0.155363</v>
      </c>
      <c r="R2722">
        <v>-0.98466070000000006</v>
      </c>
      <c r="S2722">
        <v>-0.68536379999999997</v>
      </c>
      <c r="T2722">
        <v>-0.22071350000000001</v>
      </c>
      <c r="U2722">
        <v>-3.024384</v>
      </c>
      <c r="V2722">
        <v>-8.0746579999999998E-2</v>
      </c>
      <c r="W2722">
        <v>0.16869110000000001</v>
      </c>
      <c r="X2722">
        <v>0.98235600000000001</v>
      </c>
      <c r="Y2722">
        <v>6.0099359999999998E-2</v>
      </c>
      <c r="Z2722">
        <v>7.0409949999999999E-2</v>
      </c>
      <c r="AA2722">
        <v>0.99570599999999998</v>
      </c>
      <c r="AB2722">
        <v>22</v>
      </c>
      <c r="AC2722">
        <v>-3.4322999999999899</v>
      </c>
      <c r="AD2722">
        <v>-1.111079461328</v>
      </c>
      <c r="AE2722">
        <v>-15.114099999999899</v>
      </c>
      <c r="AF2722">
        <v>0.942301752160976</v>
      </c>
      <c r="AG2722">
        <v>-1.111079461328</v>
      </c>
      <c r="AH2722">
        <v>15.390863439254399</v>
      </c>
      <c r="AI2722">
        <v>94.121377328386004</v>
      </c>
      <c r="AJ2722">
        <v>86.496453554929005</v>
      </c>
      <c r="AK2722">
        <v>15.4596606549849</v>
      </c>
      <c r="AL2722">
        <v>80.288274473163199</v>
      </c>
      <c r="AM2722">
        <v>94.698969660868798</v>
      </c>
      <c r="AN2722">
        <v>1.00000000406845</v>
      </c>
    </row>
    <row r="2723" spans="1:40" x14ac:dyDescent="0.25">
      <c r="A2723" t="str">
        <f>"20190312172422071"</f>
        <v>20190312172422071</v>
      </c>
      <c r="B2723" t="str">
        <f>"1552382662063108"</f>
        <v>1552382662063108</v>
      </c>
      <c r="C2723" t="s">
        <v>40</v>
      </c>
      <c r="D2723">
        <v>4.119135</v>
      </c>
      <c r="E2723">
        <v>0.55301210000000001</v>
      </c>
      <c r="F2723" t="s">
        <v>41</v>
      </c>
      <c r="G2723">
        <v>-490.125</v>
      </c>
      <c r="H2723">
        <v>1.0526059999999999</v>
      </c>
      <c r="I2723">
        <v>257.5394</v>
      </c>
      <c r="J2723">
        <v>-489.9744</v>
      </c>
      <c r="K2723">
        <v>1.111127</v>
      </c>
      <c r="L2723">
        <v>258.16629999999998</v>
      </c>
      <c r="M2723">
        <v>-0.16088359999999999</v>
      </c>
      <c r="N2723">
        <v>0</v>
      </c>
      <c r="O2723">
        <v>-0.98687959999999997</v>
      </c>
      <c r="P2723">
        <v>-7.0819590000000002E-2</v>
      </c>
      <c r="Q2723">
        <v>0.15694739999999999</v>
      </c>
      <c r="R2723">
        <v>-0.98506459999999996</v>
      </c>
      <c r="S2723">
        <v>-0.67227169999999903</v>
      </c>
      <c r="T2723">
        <v>-0.2197404</v>
      </c>
      <c r="U2723">
        <v>-3.0271910000000002</v>
      </c>
      <c r="V2723">
        <v>-8.8753139999999994E-2</v>
      </c>
      <c r="W2723">
        <v>0.17024800000000001</v>
      </c>
      <c r="X2723">
        <v>0.98139620000000005</v>
      </c>
      <c r="Y2723">
        <v>5.6359729999999997E-2</v>
      </c>
      <c r="Z2723">
        <v>7.0087699999999906E-2</v>
      </c>
      <c r="AA2723">
        <v>0.99594740000000004</v>
      </c>
      <c r="AB2723">
        <v>22</v>
      </c>
      <c r="AC2723">
        <v>-0.15059999999999699</v>
      </c>
      <c r="AD2723">
        <v>-5.8520999999999997E-2</v>
      </c>
      <c r="AE2723">
        <v>-0.62689999999997703</v>
      </c>
      <c r="AF2723">
        <v>4.7380208144816097E-2</v>
      </c>
      <c r="AG2723">
        <v>-5.8520999999999997E-2</v>
      </c>
      <c r="AH2723">
        <v>0.63770949212912997</v>
      </c>
      <c r="AI2723">
        <v>95.228872767055194</v>
      </c>
      <c r="AJ2723">
        <v>85.750875053368901</v>
      </c>
      <c r="AK2723">
        <v>0.64213938355814904</v>
      </c>
      <c r="AL2723">
        <v>80.197761404808801</v>
      </c>
      <c r="AM2723">
        <v>95.167520277932695</v>
      </c>
      <c r="AN2723">
        <v>1.0000000013691399</v>
      </c>
    </row>
    <row r="2724" spans="1:40" x14ac:dyDescent="0.25">
      <c r="A2724" t="str">
        <f>"20190312172422082"</f>
        <v>20190312172422082</v>
      </c>
      <c r="B2724" t="str">
        <f>"1552382662072868"</f>
        <v>1552382662072868</v>
      </c>
      <c r="C2724" t="s">
        <v>40</v>
      </c>
      <c r="D2724">
        <v>4.1256950000000003</v>
      </c>
      <c r="E2724">
        <v>0.52874259999999995</v>
      </c>
      <c r="F2724" t="s">
        <v>43</v>
      </c>
      <c r="G2724">
        <v>-493.31139999999999</v>
      </c>
      <c r="H2724" s="1">
        <v>-2.116249E-6</v>
      </c>
      <c r="I2724">
        <v>242.4683</v>
      </c>
      <c r="J2724">
        <v>-489.99119999999999</v>
      </c>
      <c r="K2724">
        <v>1.111151</v>
      </c>
      <c r="L2724">
        <v>258.06110000000001</v>
      </c>
      <c r="M2724">
        <v>-0.16054489999999999</v>
      </c>
      <c r="N2724">
        <v>0</v>
      </c>
      <c r="O2724">
        <v>-0.9869348</v>
      </c>
      <c r="P2724">
        <v>-6.6489210000000007E-2</v>
      </c>
      <c r="Q2724">
        <v>0.15805710000000001</v>
      </c>
      <c r="R2724">
        <v>-0.98518919999999999</v>
      </c>
      <c r="S2724">
        <v>-0.64480590000000004</v>
      </c>
      <c r="T2724">
        <v>-0.21470549999999999</v>
      </c>
      <c r="U2724">
        <v>-3.0333399999999999</v>
      </c>
      <c r="V2724">
        <v>-9.2718830000000002E-2</v>
      </c>
      <c r="W2724">
        <v>0.171341299999999</v>
      </c>
      <c r="X2724">
        <v>0.98083909999999996</v>
      </c>
      <c r="Y2724">
        <v>4.7685039999999998E-2</v>
      </c>
      <c r="Z2724">
        <v>6.8440409999999993E-2</v>
      </c>
      <c r="AA2724">
        <v>0.99651500000000004</v>
      </c>
      <c r="AB2724">
        <v>22</v>
      </c>
      <c r="AC2724">
        <v>-3.3201999999999998</v>
      </c>
      <c r="AD2724">
        <v>-1.111153116249</v>
      </c>
      <c r="AE2724">
        <v>-15.5928</v>
      </c>
      <c r="AF2724">
        <v>0.76980838023573395</v>
      </c>
      <c r="AG2724">
        <v>-1.111153116249</v>
      </c>
      <c r="AH2724">
        <v>15.846611307001201</v>
      </c>
      <c r="AI2724">
        <v>94.0062653236686</v>
      </c>
      <c r="AJ2724">
        <v>87.218829714025603</v>
      </c>
      <c r="AK2724">
        <v>15.904161597053999</v>
      </c>
      <c r="AL2724">
        <v>80.134185586693107</v>
      </c>
      <c r="AM2724">
        <v>95.400129525342606</v>
      </c>
      <c r="AN2724">
        <v>0.99999998130553402</v>
      </c>
    </row>
    <row r="2725" spans="1:40" x14ac:dyDescent="0.25">
      <c r="A2725" t="str">
        <f>"20190312172422094"</f>
        <v>20190312172422094</v>
      </c>
      <c r="B2725" t="str">
        <f>"1552382662082629"</f>
        <v>1552382662082629</v>
      </c>
      <c r="C2725" t="s">
        <v>40</v>
      </c>
      <c r="D2725">
        <v>3.9810759999999998</v>
      </c>
      <c r="E2725">
        <v>0.51689739999999995</v>
      </c>
      <c r="F2725" t="s">
        <v>43</v>
      </c>
      <c r="G2725">
        <v>-492.05160000000001</v>
      </c>
      <c r="H2725" s="1">
        <v>-2.316839E-6</v>
      </c>
      <c r="I2725">
        <v>243.71729999999999</v>
      </c>
      <c r="J2725">
        <v>-490.00850000000003</v>
      </c>
      <c r="K2725">
        <v>1.1111869999999999</v>
      </c>
      <c r="L2725">
        <v>257.95229999999998</v>
      </c>
      <c r="M2725">
        <v>-0.16016749999999999</v>
      </c>
      <c r="N2725">
        <v>0</v>
      </c>
      <c r="O2725">
        <v>-0.98699599999999998</v>
      </c>
      <c r="P2725">
        <v>-6.0392689999999999E-2</v>
      </c>
      <c r="Q2725">
        <v>0.15978789999999901</v>
      </c>
      <c r="R2725">
        <v>-0.98530229999999996</v>
      </c>
      <c r="S2725">
        <v>-0.43859860000000001</v>
      </c>
      <c r="T2725">
        <v>-0.23653730000000001</v>
      </c>
      <c r="U2725">
        <v>-3.0534520000000001</v>
      </c>
      <c r="V2725">
        <v>-9.8390069999999996E-2</v>
      </c>
      <c r="W2725">
        <v>0.17304919999999999</v>
      </c>
      <c r="X2725">
        <v>0.97998640000000004</v>
      </c>
      <c r="Y2725">
        <v>-1.8619400000000001E-2</v>
      </c>
      <c r="Z2725">
        <v>7.5355580000000005E-2</v>
      </c>
      <c r="AA2725">
        <v>0.99698290000000001</v>
      </c>
      <c r="AB2725">
        <v>22</v>
      </c>
      <c r="AC2725">
        <v>-2.0430999999999799</v>
      </c>
      <c r="AD2725">
        <v>-1.1111893168389999</v>
      </c>
      <c r="AE2725">
        <v>-14.2349999999999</v>
      </c>
      <c r="AF2725">
        <v>-0.26191350651442802</v>
      </c>
      <c r="AG2725">
        <v>-1.1111893168389999</v>
      </c>
      <c r="AH2725">
        <v>14.293122178124101</v>
      </c>
      <c r="AI2725">
        <v>94.444657525595701</v>
      </c>
      <c r="AJ2725">
        <v>91.049795769890196</v>
      </c>
      <c r="AK2725">
        <v>14.3386429616451</v>
      </c>
      <c r="AL2725">
        <v>80.034846327848797</v>
      </c>
      <c r="AM2725">
        <v>95.733250957401097</v>
      </c>
      <c r="AN2725">
        <v>0.99999998784010202</v>
      </c>
    </row>
    <row r="2726" spans="1:40" x14ac:dyDescent="0.25">
      <c r="A2726" t="str">
        <f>"20190312172422105"</f>
        <v>20190312172422105</v>
      </c>
      <c r="B2726" t="str">
        <f>"1552382662092388"</f>
        <v>1552382662092388</v>
      </c>
      <c r="C2726" t="s">
        <v>40</v>
      </c>
      <c r="D2726">
        <v>4.0869400000000002</v>
      </c>
      <c r="E2726">
        <v>0.51689739999999995</v>
      </c>
      <c r="F2726" t="s">
        <v>43</v>
      </c>
      <c r="G2726">
        <v>-491.58069999999998</v>
      </c>
      <c r="H2726" s="1">
        <v>-1.9450579999999999E-6</v>
      </c>
      <c r="I2726">
        <v>243.14269999999999</v>
      </c>
      <c r="J2726">
        <v>-490.02420000000001</v>
      </c>
      <c r="K2726">
        <v>1.111219</v>
      </c>
      <c r="L2726">
        <v>257.8528</v>
      </c>
      <c r="M2726">
        <v>-0.15981199999999901</v>
      </c>
      <c r="N2726">
        <v>0</v>
      </c>
      <c r="O2726">
        <v>-0.98705359999999998</v>
      </c>
      <c r="P2726">
        <v>-5.4252050000000003E-2</v>
      </c>
      <c r="Q2726">
        <v>0.16114529999999999</v>
      </c>
      <c r="R2726">
        <v>-0.9854385</v>
      </c>
      <c r="S2726">
        <v>-0.32507320000000001</v>
      </c>
      <c r="T2726">
        <v>-0.22975190000000001</v>
      </c>
      <c r="U2726">
        <v>-3.0620569999999998</v>
      </c>
      <c r="V2726">
        <v>-0.1041303</v>
      </c>
      <c r="W2726">
        <v>0.17438290000000001</v>
      </c>
      <c r="X2726">
        <v>0.97915649999999999</v>
      </c>
      <c r="Y2726">
        <v>-5.5008300000000003E-2</v>
      </c>
      <c r="Z2726">
        <v>7.3124129999999996E-2</v>
      </c>
      <c r="AA2726">
        <v>0.99580469999999999</v>
      </c>
      <c r="AB2726">
        <v>22</v>
      </c>
      <c r="AC2726">
        <v>-1.55649999999997</v>
      </c>
      <c r="AD2726">
        <v>-1.111220945058</v>
      </c>
      <c r="AE2726">
        <v>-14.710100000000001</v>
      </c>
      <c r="AF2726">
        <v>-0.81000593546820998</v>
      </c>
      <c r="AG2726">
        <v>-1.111220945058</v>
      </c>
      <c r="AH2726">
        <v>14.6868904048319</v>
      </c>
      <c r="AI2726">
        <v>94.320256560499004</v>
      </c>
      <c r="AJ2726">
        <v>93.156757546463098</v>
      </c>
      <c r="AK2726">
        <v>14.751124410287201</v>
      </c>
      <c r="AL2726">
        <v>79.957251120027806</v>
      </c>
      <c r="AM2726">
        <v>96.070414781406498</v>
      </c>
      <c r="AN2726">
        <v>0.99999998334137397</v>
      </c>
    </row>
    <row r="2727" spans="1:40" x14ac:dyDescent="0.25">
      <c r="A2727" t="str">
        <f>"20190312172422116"</f>
        <v>20190312172422116</v>
      </c>
      <c r="B2727" t="str">
        <f>"1552382662112415"</f>
        <v>1552382662112415</v>
      </c>
      <c r="C2727" t="s">
        <v>40</v>
      </c>
      <c r="D2727">
        <v>3.9316909999999998</v>
      </c>
      <c r="E2727">
        <v>0.45782859999999997</v>
      </c>
      <c r="F2727" t="s">
        <v>43</v>
      </c>
      <c r="G2727">
        <v>-491.52879999999999</v>
      </c>
      <c r="H2727" s="1">
        <v>-1.766979E-6</v>
      </c>
      <c r="I2727">
        <v>242.75980000000001</v>
      </c>
      <c r="J2727">
        <v>-490.04109999999997</v>
      </c>
      <c r="K2727">
        <v>1.1112569999999999</v>
      </c>
      <c r="L2727">
        <v>257.74560000000002</v>
      </c>
      <c r="M2727">
        <v>-0.15940750000000001</v>
      </c>
      <c r="N2727">
        <v>0</v>
      </c>
      <c r="O2727">
        <v>-0.98711910000000003</v>
      </c>
      <c r="P2727">
        <v>-4.8488370000000003E-2</v>
      </c>
      <c r="Q2727">
        <v>0.16210849999999999</v>
      </c>
      <c r="R2727">
        <v>-0.98558109999999999</v>
      </c>
      <c r="S2727">
        <v>-0.305481</v>
      </c>
      <c r="T2727">
        <v>-0.22561419999999999</v>
      </c>
      <c r="U2727">
        <v>-3.0643769999999999</v>
      </c>
      <c r="V2727">
        <v>-0.10945249999999999</v>
      </c>
      <c r="W2727">
        <v>0.175322799999999</v>
      </c>
      <c r="X2727">
        <v>0.9784079</v>
      </c>
      <c r="Y2727">
        <v>-6.0967340000000002E-2</v>
      </c>
      <c r="Z2727">
        <v>7.1777969999999996E-2</v>
      </c>
      <c r="AA2727">
        <v>0.99555559999999998</v>
      </c>
      <c r="AB2727">
        <v>21</v>
      </c>
      <c r="AC2727">
        <v>-1.48770000000001</v>
      </c>
      <c r="AD2727">
        <v>-1.1112587669789999</v>
      </c>
      <c r="AE2727">
        <v>-14.985799999999999</v>
      </c>
      <c r="AF2727">
        <v>-0.91541245387684</v>
      </c>
      <c r="AG2727">
        <v>-1.1112587669789999</v>
      </c>
      <c r="AH2727">
        <v>14.949906623820199</v>
      </c>
      <c r="AI2727">
        <v>94.243182686309098</v>
      </c>
      <c r="AJ2727">
        <v>93.503959468136102</v>
      </c>
      <c r="AK2727">
        <v>15.0190740083682</v>
      </c>
      <c r="AL2727">
        <v>79.902556144415996</v>
      </c>
      <c r="AM2727">
        <v>96.383023836427398</v>
      </c>
      <c r="AN2727">
        <v>0.99999997636924898</v>
      </c>
    </row>
    <row r="2728" spans="1:40" x14ac:dyDescent="0.25">
      <c r="A2728" t="str">
        <f>"20190312172422129"</f>
        <v>20190312172422129</v>
      </c>
      <c r="B2728" t="str">
        <f>"1552382662123150"</f>
        <v>1552382662123150</v>
      </c>
      <c r="C2728" t="s">
        <v>40</v>
      </c>
      <c r="D2728">
        <v>4.0489259999999998</v>
      </c>
      <c r="E2728">
        <v>0.45731680000000002</v>
      </c>
      <c r="F2728" t="s">
        <v>43</v>
      </c>
      <c r="G2728">
        <v>-488.94240000000002</v>
      </c>
      <c r="H2728" s="1">
        <v>-4.3261190000000003E-6</v>
      </c>
      <c r="I2728">
        <v>239.27969999999999</v>
      </c>
      <c r="J2728">
        <v>-490.06040000000002</v>
      </c>
      <c r="K2728">
        <v>1.111297</v>
      </c>
      <c r="L2728">
        <v>257.62240000000003</v>
      </c>
      <c r="M2728">
        <v>-0.15891529999999901</v>
      </c>
      <c r="N2728">
        <v>0</v>
      </c>
      <c r="O2728">
        <v>-0.98719840000000003</v>
      </c>
      <c r="P2728">
        <v>-4.2259770000000002E-2</v>
      </c>
      <c r="Q2728">
        <v>0.16281899999999999</v>
      </c>
      <c r="R2728">
        <v>-0.98575060000000003</v>
      </c>
      <c r="S2728">
        <v>0.18347169999999999</v>
      </c>
      <c r="T2728">
        <v>-0.18556030000000001</v>
      </c>
      <c r="U2728">
        <v>-3.083466</v>
      </c>
      <c r="V2728">
        <v>-0.1151537</v>
      </c>
      <c r="W2728">
        <v>0.1760072</v>
      </c>
      <c r="X2728">
        <v>0.97763029999999995</v>
      </c>
      <c r="Y2728">
        <v>-0.21718599999999999</v>
      </c>
      <c r="Z2728">
        <v>5.8155659999999998E-2</v>
      </c>
      <c r="AA2728">
        <v>0.97439629999999999</v>
      </c>
      <c r="AB2728">
        <v>21</v>
      </c>
      <c r="AC2728">
        <v>1.1179999999999899</v>
      </c>
      <c r="AD2728">
        <v>-1.1113013261189999</v>
      </c>
      <c r="AE2728">
        <v>-18.342700000000001</v>
      </c>
      <c r="AF2728">
        <v>-4.0043517799656199</v>
      </c>
      <c r="AG2728">
        <v>-1.1113013261189999</v>
      </c>
      <c r="AH2728">
        <v>17.866539570094702</v>
      </c>
      <c r="AI2728">
        <v>93.473272720164303</v>
      </c>
      <c r="AJ2728">
        <v>102.632698003946</v>
      </c>
      <c r="AK2728">
        <v>18.343474589752802</v>
      </c>
      <c r="AL2728">
        <v>79.862723307961602</v>
      </c>
      <c r="AM2728">
        <v>96.717835423858006</v>
      </c>
      <c r="AN2728">
        <v>0.99999995627680804</v>
      </c>
    </row>
    <row r="2729" spans="1:40" x14ac:dyDescent="0.25">
      <c r="A2729" t="str">
        <f>"20190312172422143"</f>
        <v>20190312172422143</v>
      </c>
      <c r="B2729" t="str">
        <f>"1552382662132912"</f>
        <v>1552382662132912</v>
      </c>
      <c r="C2729" t="s">
        <v>40</v>
      </c>
      <c r="D2729">
        <v>4.0590279999999996</v>
      </c>
      <c r="E2729">
        <v>0.45698450000000002</v>
      </c>
      <c r="F2729" t="s">
        <v>43</v>
      </c>
      <c r="G2729">
        <v>-488.84030000000001</v>
      </c>
      <c r="H2729" s="1">
        <v>-4.4085159999999998E-6</v>
      </c>
      <c r="I2729">
        <v>239.42959999999999</v>
      </c>
      <c r="J2729">
        <v>-490.08120000000002</v>
      </c>
      <c r="K2729">
        <v>1.1113409999999999</v>
      </c>
      <c r="L2729">
        <v>257.48930000000001</v>
      </c>
      <c r="M2729">
        <v>-0.15835750000000001</v>
      </c>
      <c r="N2729">
        <v>0</v>
      </c>
      <c r="O2729">
        <v>-0.9872879</v>
      </c>
      <c r="P2729">
        <v>-3.5796330000000001E-2</v>
      </c>
      <c r="Q2729">
        <v>0.16296240000000001</v>
      </c>
      <c r="R2729">
        <v>-0.98598269999999999</v>
      </c>
      <c r="S2729">
        <v>0.2067871</v>
      </c>
      <c r="T2729">
        <v>-0.1883435</v>
      </c>
      <c r="U2729">
        <v>-3.083313</v>
      </c>
      <c r="V2729">
        <v>-0.1210335</v>
      </c>
      <c r="W2729">
        <v>0.17612269999999999</v>
      </c>
      <c r="X2729">
        <v>0.97689899999999996</v>
      </c>
      <c r="Y2729">
        <v>-0.22396720000000001</v>
      </c>
      <c r="Z2729">
        <v>5.8974850000000002E-2</v>
      </c>
      <c r="AA2729">
        <v>0.97281070000000003</v>
      </c>
      <c r="AB2729">
        <v>21</v>
      </c>
      <c r="AC2729">
        <v>1.2409000000000101</v>
      </c>
      <c r="AD2729">
        <v>-1.1113454085159999</v>
      </c>
      <c r="AE2729">
        <v>-18.059699999999999</v>
      </c>
      <c r="AF2729">
        <v>-4.0700532256561397</v>
      </c>
      <c r="AG2729">
        <v>-1.1113454085159999</v>
      </c>
      <c r="AH2729">
        <v>17.5690347450637</v>
      </c>
      <c r="AI2729">
        <v>93.526333090289299</v>
      </c>
      <c r="AJ2729">
        <v>103.04309702504599</v>
      </c>
      <c r="AK2729">
        <v>18.0685196889496</v>
      </c>
      <c r="AL2729">
        <v>79.856000920430901</v>
      </c>
      <c r="AM2729">
        <v>97.062704651985797</v>
      </c>
      <c r="AN2729">
        <v>0.999999984889269</v>
      </c>
    </row>
    <row r="2730" spans="1:40" x14ac:dyDescent="0.25">
      <c r="A2730" t="str">
        <f>"20190312172422162"</f>
        <v>20190312172422162</v>
      </c>
      <c r="B2730" t="str">
        <f>"1552382662152431"</f>
        <v>1552382662152431</v>
      </c>
      <c r="C2730" t="s">
        <v>40</v>
      </c>
      <c r="D2730">
        <v>4.0215880000000004</v>
      </c>
      <c r="E2730">
        <v>0.45617010000000002</v>
      </c>
      <c r="F2730" t="s">
        <v>43</v>
      </c>
      <c r="G2730">
        <v>-488.7484</v>
      </c>
      <c r="H2730" s="1">
        <v>-3.2245049999999999E-7</v>
      </c>
      <c r="I2730">
        <v>239.61699999999999</v>
      </c>
      <c r="J2730">
        <v>-490.10919999999999</v>
      </c>
      <c r="K2730">
        <v>1.111405</v>
      </c>
      <c r="L2730">
        <v>257.30860000000001</v>
      </c>
      <c r="M2730">
        <v>-0.15753310000000001</v>
      </c>
      <c r="N2730">
        <v>0</v>
      </c>
      <c r="O2730">
        <v>-0.98741990000000002</v>
      </c>
      <c r="P2730">
        <v>-2.2735189999999999E-2</v>
      </c>
      <c r="Q2730">
        <v>0.16224050000000001</v>
      </c>
      <c r="R2730">
        <v>-0.98648930000000001</v>
      </c>
      <c r="S2730">
        <v>0.22988890000000001</v>
      </c>
      <c r="T2730">
        <v>-0.19168959999999999</v>
      </c>
      <c r="U2730">
        <v>-3.082703</v>
      </c>
      <c r="V2730">
        <v>-0.13321350000000001</v>
      </c>
      <c r="W2730">
        <v>0.17534859999999999</v>
      </c>
      <c r="X2730">
        <v>0.97545219999999999</v>
      </c>
      <c r="Y2730">
        <v>-0.23041039999999999</v>
      </c>
      <c r="Z2730">
        <v>5.9980060000000002E-2</v>
      </c>
      <c r="AA2730">
        <v>0.97124330000000003</v>
      </c>
      <c r="AB2730">
        <v>21</v>
      </c>
      <c r="AC2730">
        <v>1.36079999999998</v>
      </c>
      <c r="AD2730">
        <v>-1.1114053224505001</v>
      </c>
      <c r="AE2730">
        <v>-17.691599999999902</v>
      </c>
      <c r="AF2730">
        <v>-4.1149322638008803</v>
      </c>
      <c r="AG2730">
        <v>-1.1114053224505001</v>
      </c>
      <c r="AH2730">
        <v>17.188828894112302</v>
      </c>
      <c r="AI2730">
        <v>93.598124134179997</v>
      </c>
      <c r="AJ2730">
        <v>103.46299236836499</v>
      </c>
      <c r="AK2730">
        <v>17.709424837569099</v>
      </c>
      <c r="AL2730">
        <v>79.901054703488796</v>
      </c>
      <c r="AM2730">
        <v>97.776542563486004</v>
      </c>
      <c r="AN2730">
        <v>0.99999998129452405</v>
      </c>
    </row>
    <row r="2731" spans="1:40" x14ac:dyDescent="0.25">
      <c r="A2731" t="str">
        <f>"20190312172422183"</f>
        <v>20190312172422183</v>
      </c>
      <c r="B2731" t="str">
        <f>"1552382662172926"</f>
        <v>1552382662172926</v>
      </c>
      <c r="C2731" t="s">
        <v>40</v>
      </c>
      <c r="D2731">
        <v>4.0096959999999999</v>
      </c>
      <c r="E2731">
        <v>0.45633629999999997</v>
      </c>
      <c r="F2731" t="s">
        <v>43</v>
      </c>
      <c r="G2731">
        <v>-488.55450000000002</v>
      </c>
      <c r="H2731" s="1">
        <v>-5.0913629999999999E-7</v>
      </c>
      <c r="I2731">
        <v>240.01400000000001</v>
      </c>
      <c r="J2731">
        <v>-490.13940000000002</v>
      </c>
      <c r="K2731">
        <v>1.1114599999999999</v>
      </c>
      <c r="L2731">
        <v>257.11219999999997</v>
      </c>
      <c r="M2731">
        <v>-0.15655759999999999</v>
      </c>
      <c r="N2731">
        <v>0</v>
      </c>
      <c r="O2731">
        <v>-0.98757539999999999</v>
      </c>
      <c r="P2731">
        <v>-9.9852789999999997E-3</v>
      </c>
      <c r="Q2731">
        <v>0.16108900000000001</v>
      </c>
      <c r="R2731">
        <v>-0.98688989999999999</v>
      </c>
      <c r="S2731">
        <v>0.27688600000000002</v>
      </c>
      <c r="T2731">
        <v>-0.19793140000000001</v>
      </c>
      <c r="U2731">
        <v>-3.0800169999999998</v>
      </c>
      <c r="V2731">
        <v>-0.1449249</v>
      </c>
      <c r="W2731">
        <v>0.17414009999999999</v>
      </c>
      <c r="X2731">
        <v>0.97399800000000003</v>
      </c>
      <c r="Y2731">
        <v>-0.24419689999999999</v>
      </c>
      <c r="Z2731">
        <v>6.1846970000000001E-2</v>
      </c>
      <c r="AA2731">
        <v>0.96775140000000004</v>
      </c>
      <c r="AB2731">
        <v>21</v>
      </c>
      <c r="AC2731">
        <v>1.5849</v>
      </c>
      <c r="AD2731">
        <v>-1.1114605091362999</v>
      </c>
      <c r="AE2731">
        <v>-17.098199999999899</v>
      </c>
      <c r="AF2731">
        <v>-4.2247529027835702</v>
      </c>
      <c r="AG2731">
        <v>-1.1114605091362999</v>
      </c>
      <c r="AH2731">
        <v>16.569748510998501</v>
      </c>
      <c r="AI2731">
        <v>93.718893264728194</v>
      </c>
      <c r="AJ2731">
        <v>104.303821428711</v>
      </c>
      <c r="AK2731">
        <v>17.1359402213793</v>
      </c>
      <c r="AL2731">
        <v>79.971379396905704</v>
      </c>
      <c r="AM2731">
        <v>98.463166365917303</v>
      </c>
      <c r="AN2731">
        <v>1.000000052536</v>
      </c>
    </row>
    <row r="2732" spans="1:40" x14ac:dyDescent="0.25">
      <c r="A2732" t="str">
        <f>"20190312172422195"</f>
        <v>20190312172422195</v>
      </c>
      <c r="B2732" t="str">
        <f>"1552382662182687"</f>
        <v>1552382662182687</v>
      </c>
      <c r="C2732" t="s">
        <v>40</v>
      </c>
      <c r="D2732">
        <v>3.9476580000000001</v>
      </c>
      <c r="E2732">
        <v>0.45637949999999999</v>
      </c>
      <c r="F2732" t="s">
        <v>43</v>
      </c>
      <c r="G2732">
        <v>-488.39670000000001</v>
      </c>
      <c r="H2732" s="1">
        <v>-5.9268079999999997E-7</v>
      </c>
      <c r="I2732">
        <v>240.1361</v>
      </c>
      <c r="J2732">
        <v>-490.15660000000003</v>
      </c>
      <c r="K2732">
        <v>1.1114889999999999</v>
      </c>
      <c r="L2732">
        <v>256.9991</v>
      </c>
      <c r="M2732">
        <v>-0.15595699999999901</v>
      </c>
      <c r="N2732">
        <v>0</v>
      </c>
      <c r="O2732">
        <v>-0.98767039999999995</v>
      </c>
      <c r="P2732">
        <v>-3.1446220000000001E-3</v>
      </c>
      <c r="Q2732">
        <v>0.160057</v>
      </c>
      <c r="R2732">
        <v>-0.98710319999999996</v>
      </c>
      <c r="S2732">
        <v>0.31576539999999997</v>
      </c>
      <c r="T2732">
        <v>-0.20138809999999999</v>
      </c>
      <c r="U2732">
        <v>-3.0759280000000002</v>
      </c>
      <c r="V2732">
        <v>-0.151132399999999</v>
      </c>
      <c r="W2732">
        <v>0.17307690000000001</v>
      </c>
      <c r="X2732">
        <v>0.97324370000000004</v>
      </c>
      <c r="Y2732">
        <v>-0.2558164</v>
      </c>
      <c r="Z2732">
        <v>6.2878680000000006E-2</v>
      </c>
      <c r="AA2732">
        <v>0.96467829999999999</v>
      </c>
      <c r="AB2732">
        <v>21</v>
      </c>
      <c r="AC2732">
        <v>1.75990000000001</v>
      </c>
      <c r="AD2732">
        <v>-1.1114895926807999</v>
      </c>
      <c r="AE2732">
        <v>-16.863</v>
      </c>
      <c r="AF2732">
        <v>-4.3498130455628496</v>
      </c>
      <c r="AG2732">
        <v>-1.1114895926807999</v>
      </c>
      <c r="AH2732">
        <v>16.312025095843801</v>
      </c>
      <c r="AI2732">
        <v>93.766838059667407</v>
      </c>
      <c r="AJ2732">
        <v>104.931219392876</v>
      </c>
      <c r="AK2732">
        <v>16.9185828417579</v>
      </c>
      <c r="AL2732">
        <v>80.033234615486606</v>
      </c>
      <c r="AM2732">
        <v>98.826807945977606</v>
      </c>
      <c r="AN2732">
        <v>0.99999995761652904</v>
      </c>
    </row>
    <row r="2733" spans="1:40" x14ac:dyDescent="0.25">
      <c r="A2733" t="str">
        <f>"20190312172422207"</f>
        <v>20190312172422207</v>
      </c>
      <c r="B2733" t="str">
        <f>"1552382662203183"</f>
        <v>1552382662203183</v>
      </c>
      <c r="C2733" t="s">
        <v>40</v>
      </c>
      <c r="D2733">
        <v>4.0840899999999998</v>
      </c>
      <c r="E2733">
        <v>0.456737</v>
      </c>
      <c r="F2733" t="s">
        <v>43</v>
      </c>
      <c r="G2733">
        <v>-488.33260000000001</v>
      </c>
      <c r="H2733" s="1">
        <v>-6.8770909999999997E-7</v>
      </c>
      <c r="I2733">
        <v>240.36519999999999</v>
      </c>
      <c r="J2733">
        <v>-490.17290000000003</v>
      </c>
      <c r="K2733">
        <v>1.111515</v>
      </c>
      <c r="L2733">
        <v>256.89139999999998</v>
      </c>
      <c r="M2733">
        <v>-0.15536639999999999</v>
      </c>
      <c r="N2733">
        <v>0</v>
      </c>
      <c r="O2733">
        <v>-0.98776330000000001</v>
      </c>
      <c r="P2733">
        <v>3.543816E-3</v>
      </c>
      <c r="Q2733">
        <v>0.15880639999999999</v>
      </c>
      <c r="R2733">
        <v>-0.98730370000000001</v>
      </c>
      <c r="S2733">
        <v>0.33703610000000001</v>
      </c>
      <c r="T2733">
        <v>-0.20538000000000001</v>
      </c>
      <c r="U2733">
        <v>-3.0735779999999999</v>
      </c>
      <c r="V2733">
        <v>-0.15719739999999999</v>
      </c>
      <c r="W2733">
        <v>0.17179510000000001</v>
      </c>
      <c r="X2733">
        <v>0.97250990000000004</v>
      </c>
      <c r="Y2733">
        <v>-0.26190069999999999</v>
      </c>
      <c r="Z2733">
        <v>6.4099760000000006E-2</v>
      </c>
      <c r="AA2733">
        <v>0.96296380000000004</v>
      </c>
      <c r="AB2733">
        <v>21</v>
      </c>
      <c r="AC2733">
        <v>1.84030000000001</v>
      </c>
      <c r="AD2733">
        <v>-1.1115156877090999</v>
      </c>
      <c r="AE2733">
        <v>-16.5261999999999</v>
      </c>
      <c r="AF2733">
        <v>-4.3662930998731699</v>
      </c>
      <c r="AG2733">
        <v>-1.1115156877090999</v>
      </c>
      <c r="AH2733">
        <v>15.968187238617</v>
      </c>
      <c r="AI2733">
        <v>93.841262009146703</v>
      </c>
      <c r="AJ2733">
        <v>105.292960650132</v>
      </c>
      <c r="AK2733">
        <v>16.591654114209099</v>
      </c>
      <c r="AL2733">
        <v>80.107794033873603</v>
      </c>
      <c r="AM2733">
        <v>99.181924684283004</v>
      </c>
      <c r="AN2733">
        <v>1.00000004227438</v>
      </c>
    </row>
    <row r="2734" spans="1:40" x14ac:dyDescent="0.25">
      <c r="A2734" t="str">
        <f>"20190312172422219"</f>
        <v>20190312172422219</v>
      </c>
      <c r="B2734" t="str">
        <f>"1552382662212943"</f>
        <v>1552382662212943</v>
      </c>
      <c r="C2734" t="s">
        <v>40</v>
      </c>
      <c r="D2734">
        <v>4.1893010000000004</v>
      </c>
      <c r="E2734">
        <v>0.45712459999999999</v>
      </c>
      <c r="F2734" t="s">
        <v>43</v>
      </c>
      <c r="G2734">
        <v>-488.32659999999998</v>
      </c>
      <c r="H2734" s="1">
        <v>-8.7124410000000001E-7</v>
      </c>
      <c r="I2734">
        <v>240.8998</v>
      </c>
      <c r="J2734">
        <v>-490.1909</v>
      </c>
      <c r="K2734">
        <v>1.1115409999999999</v>
      </c>
      <c r="L2734">
        <v>256.7722</v>
      </c>
      <c r="M2734">
        <v>-0.1546894</v>
      </c>
      <c r="N2734">
        <v>0</v>
      </c>
      <c r="O2734">
        <v>-0.98786949999999996</v>
      </c>
      <c r="P2734">
        <v>1.0180689999999999E-2</v>
      </c>
      <c r="Q2734">
        <v>0.1579885</v>
      </c>
      <c r="R2734">
        <v>-0.98738870000000001</v>
      </c>
      <c r="S2734">
        <v>0.35464479999999998</v>
      </c>
      <c r="T2734">
        <v>-0.2135</v>
      </c>
      <c r="U2734">
        <v>-3.0716549999999998</v>
      </c>
      <c r="V2734">
        <v>-0.1631107</v>
      </c>
      <c r="W2734">
        <v>0.17094289999999901</v>
      </c>
      <c r="X2734">
        <v>0.97168589999999999</v>
      </c>
      <c r="Y2734">
        <v>-0.26673279999999999</v>
      </c>
      <c r="Z2734">
        <v>6.6607310000000003E-2</v>
      </c>
      <c r="AA2734">
        <v>0.96146609999999999</v>
      </c>
      <c r="AB2734">
        <v>21</v>
      </c>
      <c r="AC2734">
        <v>1.8643000000000101</v>
      </c>
      <c r="AD2734">
        <v>-1.1115418712441001</v>
      </c>
      <c r="AE2734">
        <v>-15.872400000000001</v>
      </c>
      <c r="AF2734">
        <v>-4.2766865213227199</v>
      </c>
      <c r="AG2734">
        <v>-1.1115418712441001</v>
      </c>
      <c r="AH2734">
        <v>15.3187928175122</v>
      </c>
      <c r="AI2734">
        <v>93.997797925206498</v>
      </c>
      <c r="AJ2734">
        <v>105.598621516785</v>
      </c>
      <c r="AK2734">
        <v>15.943368098336499</v>
      </c>
      <c r="AL2734">
        <v>80.157354547861502</v>
      </c>
      <c r="AM2734">
        <v>99.529035352301705</v>
      </c>
      <c r="AN2734">
        <v>1.00000003188685</v>
      </c>
    </row>
    <row r="2735" spans="1:40" x14ac:dyDescent="0.25">
      <c r="A2735" t="str">
        <f>"20190312172422233"</f>
        <v>20190312172422233</v>
      </c>
      <c r="B2735" t="str">
        <f>"1552382662222703"</f>
        <v>1552382662222703</v>
      </c>
      <c r="C2735" t="s">
        <v>40</v>
      </c>
      <c r="D2735">
        <v>4.0306139999999999</v>
      </c>
      <c r="E2735">
        <v>0.4576423</v>
      </c>
      <c r="F2735" t="s">
        <v>43</v>
      </c>
      <c r="G2735">
        <v>-488.30970000000002</v>
      </c>
      <c r="H2735" s="1">
        <v>-9.9086749999999996E-7</v>
      </c>
      <c r="I2735">
        <v>241.23820000000001</v>
      </c>
      <c r="J2735">
        <v>-490.21010000000001</v>
      </c>
      <c r="K2735">
        <v>1.111577</v>
      </c>
      <c r="L2735">
        <v>256.64370000000002</v>
      </c>
      <c r="M2735">
        <v>-0.15391050000000001</v>
      </c>
      <c r="N2735">
        <v>0</v>
      </c>
      <c r="O2735">
        <v>-0.98799119999999996</v>
      </c>
      <c r="P2735">
        <v>1.669694E-2</v>
      </c>
      <c r="Q2735">
        <v>0.157015299999999</v>
      </c>
      <c r="R2735">
        <v>-0.98745510000000003</v>
      </c>
      <c r="S2735">
        <v>0.37173460000000003</v>
      </c>
      <c r="T2735">
        <v>-0.21964610000000001</v>
      </c>
      <c r="U2735">
        <v>-3.0695950000000001</v>
      </c>
      <c r="V2735">
        <v>-0.16880429999999999</v>
      </c>
      <c r="W2735">
        <v>0.16993420000000001</v>
      </c>
      <c r="X2735">
        <v>0.97089000000000003</v>
      </c>
      <c r="Y2735">
        <v>-0.2713063</v>
      </c>
      <c r="Z2735">
        <v>6.850581E-2</v>
      </c>
      <c r="AA2735">
        <v>0.96005200000000002</v>
      </c>
      <c r="AB2735">
        <v>21</v>
      </c>
      <c r="AC2735">
        <v>1.9003999999999901</v>
      </c>
      <c r="AD2735">
        <v>-1.1115779908675001</v>
      </c>
      <c r="AE2735">
        <v>-15.4055</v>
      </c>
      <c r="AF2735">
        <v>-4.2273606595276902</v>
      </c>
      <c r="AG2735">
        <v>-1.1115779908675001</v>
      </c>
      <c r="AH2735">
        <v>14.853216531751</v>
      </c>
      <c r="AI2735">
        <v>94.116995536434999</v>
      </c>
      <c r="AJ2735">
        <v>105.886835654195</v>
      </c>
      <c r="AK2735">
        <v>15.483030230371099</v>
      </c>
      <c r="AL2735">
        <v>80.216006256584294</v>
      </c>
      <c r="AM2735">
        <v>99.863164268207001</v>
      </c>
      <c r="AN2735">
        <v>0.99999995806406405</v>
      </c>
    </row>
    <row r="2736" spans="1:40" x14ac:dyDescent="0.25">
      <c r="A2736" t="str">
        <f>"20190312172422252"</f>
        <v>20190312172422252</v>
      </c>
      <c r="B2736" t="str">
        <f>"1552382662243198"</f>
        <v>1552382662243198</v>
      </c>
      <c r="C2736" t="s">
        <v>40</v>
      </c>
      <c r="D2736">
        <v>4.0665889999999996</v>
      </c>
      <c r="E2736">
        <v>0.4588969</v>
      </c>
      <c r="F2736" t="s">
        <v>43</v>
      </c>
      <c r="G2736">
        <v>-488.28199999999998</v>
      </c>
      <c r="H2736" s="1">
        <v>-1.0439080000000001E-6</v>
      </c>
      <c r="I2736">
        <v>241.35579999999999</v>
      </c>
      <c r="J2736">
        <v>-490.23739999999998</v>
      </c>
      <c r="K2736">
        <v>1.111626</v>
      </c>
      <c r="L2736">
        <v>256.45999999999998</v>
      </c>
      <c r="M2736">
        <v>-0.15273410000000001</v>
      </c>
      <c r="N2736">
        <v>0</v>
      </c>
      <c r="O2736">
        <v>-0.98817359999999999</v>
      </c>
      <c r="P2736">
        <v>2.8113510000000001E-2</v>
      </c>
      <c r="Q2736">
        <v>0.156836999999999</v>
      </c>
      <c r="R2736">
        <v>-0.98722430000000005</v>
      </c>
      <c r="S2736">
        <v>0.3868103</v>
      </c>
      <c r="T2736">
        <v>-0.22300239999999999</v>
      </c>
      <c r="U2736">
        <v>-3.0670320000000002</v>
      </c>
      <c r="V2736">
        <v>-0.17891499999999999</v>
      </c>
      <c r="W2736">
        <v>0.16968929999999999</v>
      </c>
      <c r="X2736">
        <v>0.96912069999999995</v>
      </c>
      <c r="Y2736">
        <v>-0.27489259999999999</v>
      </c>
      <c r="Z2736">
        <v>6.9566719999999999E-2</v>
      </c>
      <c r="AA2736">
        <v>0.95895490000000005</v>
      </c>
      <c r="AB2736">
        <v>21</v>
      </c>
      <c r="AC2736">
        <v>1.95539999999999</v>
      </c>
      <c r="AD2736">
        <v>-1.111627043908</v>
      </c>
      <c r="AE2736">
        <v>-15.104199999999899</v>
      </c>
      <c r="AF2736">
        <v>-4.2171279641913397</v>
      </c>
      <c r="AG2736">
        <v>-1.111627043908</v>
      </c>
      <c r="AH2736">
        <v>14.5507545767443</v>
      </c>
      <c r="AI2736">
        <v>94.196667891620194</v>
      </c>
      <c r="AJ2736">
        <v>106.162748077735</v>
      </c>
      <c r="AK2736">
        <v>15.1902712847322</v>
      </c>
      <c r="AL2736">
        <v>80.230245037237196</v>
      </c>
      <c r="AM2736">
        <v>100.459932489794</v>
      </c>
      <c r="AN2736">
        <v>0.999999983463989</v>
      </c>
    </row>
    <row r="2737" spans="1:40" x14ac:dyDescent="0.25">
      <c r="A2737" t="str">
        <f>"20190312172422265"</f>
        <v>20190312172422265</v>
      </c>
      <c r="B2737" t="str">
        <f>"1552382662262719"</f>
        <v>1552382662262719</v>
      </c>
      <c r="C2737" t="s">
        <v>40</v>
      </c>
      <c r="D2737">
        <v>4.0469109999999997</v>
      </c>
      <c r="E2737">
        <v>0.45967740000000001</v>
      </c>
      <c r="F2737" t="s">
        <v>43</v>
      </c>
      <c r="G2737">
        <v>-488.18329999999997</v>
      </c>
      <c r="H2737" s="1">
        <v>-1.0045160000000001E-6</v>
      </c>
      <c r="I2737">
        <v>241.17939999999999</v>
      </c>
      <c r="J2737">
        <v>-490.25490000000002</v>
      </c>
      <c r="K2737">
        <v>1.1116619999999999</v>
      </c>
      <c r="L2737">
        <v>256.3408</v>
      </c>
      <c r="M2737">
        <v>-0.1519296</v>
      </c>
      <c r="N2737">
        <v>0</v>
      </c>
      <c r="O2737">
        <v>-0.98829769999999995</v>
      </c>
      <c r="P2737">
        <v>3.3612400000000001E-2</v>
      </c>
      <c r="Q2737">
        <v>0.15734489999999901</v>
      </c>
      <c r="R2737">
        <v>-0.98697190000000001</v>
      </c>
      <c r="S2737">
        <v>0.4116821</v>
      </c>
      <c r="T2737">
        <v>-0.2227904</v>
      </c>
      <c r="U2737">
        <v>-3.0625</v>
      </c>
      <c r="V2737">
        <v>-0.18353749999999999</v>
      </c>
      <c r="W2737">
        <v>0.17015829999999901</v>
      </c>
      <c r="X2737">
        <v>0.96817359999999997</v>
      </c>
      <c r="Y2737">
        <v>-0.28193679999999999</v>
      </c>
      <c r="Z2737">
        <v>6.9505650000000002E-2</v>
      </c>
      <c r="AA2737">
        <v>0.95691199999999998</v>
      </c>
      <c r="AB2737">
        <v>21</v>
      </c>
      <c r="AC2737">
        <v>2.0716000000000401</v>
      </c>
      <c r="AD2737">
        <v>-1.1116630045160001</v>
      </c>
      <c r="AE2737">
        <v>-15.1614</v>
      </c>
      <c r="AF2737">
        <v>-4.3283822145899897</v>
      </c>
      <c r="AG2737">
        <v>-1.1116630045160001</v>
      </c>
      <c r="AH2737">
        <v>14.593578172251201</v>
      </c>
      <c r="AI2737">
        <v>94.176913713898699</v>
      </c>
      <c r="AJ2737">
        <v>106.520092946961</v>
      </c>
      <c r="AK2737">
        <v>15.2624772268722</v>
      </c>
      <c r="AL2737">
        <v>80.202976827058706</v>
      </c>
      <c r="AM2737">
        <v>100.73423389487699</v>
      </c>
      <c r="AN2737">
        <v>0.99999999035105003</v>
      </c>
    </row>
    <row r="2738" spans="1:40" x14ac:dyDescent="0.25">
      <c r="A2738" t="str">
        <f>"20190312172422277"</f>
        <v>20190312172422277</v>
      </c>
      <c r="B2738" t="str">
        <f>"1552382662272478"</f>
        <v>1552382662272478</v>
      </c>
      <c r="C2738" t="s">
        <v>40</v>
      </c>
      <c r="D2738">
        <v>4.0715899999999996</v>
      </c>
      <c r="E2738">
        <v>0.47501789999999999</v>
      </c>
      <c r="F2738" t="s">
        <v>43</v>
      </c>
      <c r="G2738">
        <v>-488.12830000000002</v>
      </c>
      <c r="H2738" s="1">
        <v>-9.4418460000000004E-7</v>
      </c>
      <c r="I2738">
        <v>240.95920000000001</v>
      </c>
      <c r="J2738">
        <v>-490.27179999999998</v>
      </c>
      <c r="K2738">
        <v>1.1117010000000001</v>
      </c>
      <c r="L2738">
        <v>256.22489999999999</v>
      </c>
      <c r="M2738">
        <v>-0.15111179999999999</v>
      </c>
      <c r="N2738">
        <v>0</v>
      </c>
      <c r="O2738">
        <v>-0.98842300000000005</v>
      </c>
      <c r="P2738">
        <v>3.9038509999999998E-2</v>
      </c>
      <c r="Q2738">
        <v>0.15826200000000001</v>
      </c>
      <c r="R2738">
        <v>-0.98662539999999999</v>
      </c>
      <c r="S2738">
        <v>0.42312620000000001</v>
      </c>
      <c r="T2738">
        <v>-0.22118589999999999</v>
      </c>
      <c r="U2738">
        <v>-3.0604550000000001</v>
      </c>
      <c r="V2738">
        <v>-0.18806349999999999</v>
      </c>
      <c r="W2738">
        <v>0.17103499999999999</v>
      </c>
      <c r="X2738">
        <v>0.96714999999999995</v>
      </c>
      <c r="Y2738">
        <v>-0.28474369999999999</v>
      </c>
      <c r="Z2738">
        <v>6.9019529999999996E-2</v>
      </c>
      <c r="AA2738">
        <v>0.95611570000000001</v>
      </c>
      <c r="AB2738">
        <v>21</v>
      </c>
      <c r="AC2738">
        <v>2.14349999999996</v>
      </c>
      <c r="AD2738">
        <v>-1.1117019441846001</v>
      </c>
      <c r="AE2738">
        <v>-15.265699999999899</v>
      </c>
      <c r="AF2738">
        <v>-4.4030230326432003</v>
      </c>
      <c r="AG2738">
        <v>-1.1117019441846001</v>
      </c>
      <c r="AH2738">
        <v>14.690029410749499</v>
      </c>
      <c r="AI2738">
        <v>94.146183277189394</v>
      </c>
      <c r="AJ2738">
        <v>106.6849809224</v>
      </c>
      <c r="AK2738">
        <v>15.37593760157</v>
      </c>
      <c r="AL2738">
        <v>80.151998283684705</v>
      </c>
      <c r="AM2738">
        <v>101.003915066122</v>
      </c>
      <c r="AN2738">
        <v>0.99999998687862401</v>
      </c>
    </row>
    <row r="2739" spans="1:40" x14ac:dyDescent="0.25">
      <c r="A2739" t="str">
        <f>"20190312172422295"</f>
        <v>20190312172422295</v>
      </c>
      <c r="B2739" t="str">
        <f>"1552382662282238"</f>
        <v>1552382662282238</v>
      </c>
      <c r="C2739" t="s">
        <v>40</v>
      </c>
      <c r="D2739">
        <v>4.0248249999999999</v>
      </c>
      <c r="E2739">
        <v>0.47663050000000001</v>
      </c>
      <c r="F2739" t="s">
        <v>43</v>
      </c>
      <c r="G2739">
        <v>-488.70139999999998</v>
      </c>
      <c r="H2739" s="1">
        <v>-8.4812169999999897E-7</v>
      </c>
      <c r="I2739">
        <v>241.0728</v>
      </c>
      <c r="J2739">
        <v>-490.29539999999997</v>
      </c>
      <c r="K2739">
        <v>1.111753</v>
      </c>
      <c r="L2739">
        <v>256.0609</v>
      </c>
      <c r="M2739">
        <v>-0.14989920000000001</v>
      </c>
      <c r="N2739">
        <v>0</v>
      </c>
      <c r="O2739">
        <v>-0.98860769999999998</v>
      </c>
      <c r="P2739">
        <v>4.9372409999999999E-2</v>
      </c>
      <c r="Q2739">
        <v>0.15831779999999901</v>
      </c>
      <c r="R2739">
        <v>-0.98615339999999996</v>
      </c>
      <c r="S2739">
        <v>0.31756590000000001</v>
      </c>
      <c r="T2739">
        <v>-0.22481680000000001</v>
      </c>
      <c r="U2739">
        <v>-3.0641630000000002</v>
      </c>
      <c r="V2739">
        <v>-0.1970421</v>
      </c>
      <c r="W2739">
        <v>0.1710219</v>
      </c>
      <c r="X2739">
        <v>0.96536310000000003</v>
      </c>
      <c r="Y2739">
        <v>-0.25076969999999998</v>
      </c>
      <c r="Z2739">
        <v>7.0572750000000004E-2</v>
      </c>
      <c r="AA2739">
        <v>0.96547090000000002</v>
      </c>
      <c r="AB2739">
        <v>21</v>
      </c>
      <c r="AC2739">
        <v>1.5939999999999901</v>
      </c>
      <c r="AD2739">
        <v>-1.1117538481217</v>
      </c>
      <c r="AE2739">
        <v>-14.988099999999999</v>
      </c>
      <c r="AF2739">
        <v>-3.8022126200806001</v>
      </c>
      <c r="AG2739">
        <v>-1.1117538481217</v>
      </c>
      <c r="AH2739">
        <v>14.5008686487937</v>
      </c>
      <c r="AI2739">
        <v>94.241353854386503</v>
      </c>
      <c r="AJ2739">
        <v>104.692535771306</v>
      </c>
      <c r="AK2739">
        <v>15.032232335773701</v>
      </c>
      <c r="AL2739">
        <v>80.152760184804706</v>
      </c>
      <c r="AM2739">
        <v>101.536285692756</v>
      </c>
      <c r="AN2739">
        <v>0.99999999714681498</v>
      </c>
    </row>
    <row r="2740" spans="1:40" x14ac:dyDescent="0.25">
      <c r="A2740" t="str">
        <f>"20190312172422308"</f>
        <v>20190312172422308</v>
      </c>
      <c r="B2740" t="str">
        <f>"1552382662302735"</f>
        <v>1552382662302735</v>
      </c>
      <c r="C2740" t="s">
        <v>40</v>
      </c>
      <c r="D2740">
        <v>4.1022100000000004</v>
      </c>
      <c r="E2740">
        <v>0.47844340000000002</v>
      </c>
      <c r="F2740" t="s">
        <v>43</v>
      </c>
      <c r="G2740">
        <v>-488.65280000000001</v>
      </c>
      <c r="H2740" s="1">
        <v>-8.6788629999999899E-7</v>
      </c>
      <c r="I2740">
        <v>241.09880000000001</v>
      </c>
      <c r="J2740">
        <v>-490.31220000000002</v>
      </c>
      <c r="K2740">
        <v>1.111788</v>
      </c>
      <c r="L2740">
        <v>255.94329999999999</v>
      </c>
      <c r="M2740">
        <v>-0.14899319999999999</v>
      </c>
      <c r="N2740">
        <v>0</v>
      </c>
      <c r="O2740">
        <v>-0.98874490000000004</v>
      </c>
      <c r="P2740">
        <v>5.446206E-2</v>
      </c>
      <c r="Q2740">
        <v>0.15825220000000001</v>
      </c>
      <c r="R2740">
        <v>-0.98589610000000005</v>
      </c>
      <c r="S2740">
        <v>0.33615109999999998</v>
      </c>
      <c r="T2740">
        <v>-0.22750699999999999</v>
      </c>
      <c r="U2740">
        <v>-3.0618129999999999</v>
      </c>
      <c r="V2740">
        <v>-0.20116529999999999</v>
      </c>
      <c r="W2740">
        <v>0.17091709999999999</v>
      </c>
      <c r="X2740">
        <v>0.96453089999999997</v>
      </c>
      <c r="Y2740">
        <v>-0.25574269999999999</v>
      </c>
      <c r="Z2740">
        <v>7.1410959999999996E-2</v>
      </c>
      <c r="AA2740">
        <v>0.96410379999999996</v>
      </c>
      <c r="AB2740">
        <v>21</v>
      </c>
      <c r="AC2740">
        <v>1.6594</v>
      </c>
      <c r="AD2740">
        <v>-1.1117888678862999</v>
      </c>
      <c r="AE2740">
        <v>-14.844499999999901</v>
      </c>
      <c r="AF2740">
        <v>-3.8315809097607998</v>
      </c>
      <c r="AG2740">
        <v>-1.1117888678862999</v>
      </c>
      <c r="AH2740">
        <v>14.3520040658894</v>
      </c>
      <c r="AI2740">
        <v>94.280289702735502</v>
      </c>
      <c r="AJ2740">
        <v>104.947740154914</v>
      </c>
      <c r="AK2740">
        <v>14.896211178085</v>
      </c>
      <c r="AL2740">
        <v>80.158854492370594</v>
      </c>
      <c r="AM2740">
        <v>101.78089090783099</v>
      </c>
      <c r="AN2740">
        <v>0.99999999502565495</v>
      </c>
    </row>
    <row r="2741" spans="1:40" x14ac:dyDescent="0.25">
      <c r="A2741" t="str">
        <f>"20190312172422320"</f>
        <v>20190312172422320</v>
      </c>
      <c r="B2741" t="str">
        <f>"1552382662312533"</f>
        <v>1552382662312533</v>
      </c>
      <c r="C2741" t="s">
        <v>40</v>
      </c>
      <c r="D2741">
        <v>4.0941429999999999</v>
      </c>
      <c r="E2741">
        <v>0.47930089999999997</v>
      </c>
      <c r="F2741" t="s">
        <v>43</v>
      </c>
      <c r="G2741">
        <v>-488.6841</v>
      </c>
      <c r="H2741" s="1">
        <v>-8.9407589999999997E-7</v>
      </c>
      <c r="I2741">
        <v>241.1728</v>
      </c>
      <c r="J2741">
        <v>-490.32990000000001</v>
      </c>
      <c r="K2741">
        <v>1.1118250000000001</v>
      </c>
      <c r="L2741">
        <v>255.81880000000001</v>
      </c>
      <c r="M2741">
        <v>-0.14800779999999999</v>
      </c>
      <c r="N2741">
        <v>0</v>
      </c>
      <c r="O2741">
        <v>-0.98889289999999996</v>
      </c>
      <c r="P2741">
        <v>5.9263160000000002E-2</v>
      </c>
      <c r="Q2741">
        <v>0.15855439999999901</v>
      </c>
      <c r="R2741">
        <v>-0.98557050000000002</v>
      </c>
      <c r="S2741">
        <v>0.33743289999999998</v>
      </c>
      <c r="T2741">
        <v>-0.23042509999999999</v>
      </c>
      <c r="U2741">
        <v>-3.0612789999999999</v>
      </c>
      <c r="V2741">
        <v>-0.2049183</v>
      </c>
      <c r="W2741">
        <v>0.1711802</v>
      </c>
      <c r="X2741">
        <v>0.96369389999999999</v>
      </c>
      <c r="Y2741">
        <v>-0.25518879999999999</v>
      </c>
      <c r="Z2741">
        <v>7.2354790000000002E-2</v>
      </c>
      <c r="AA2741">
        <v>0.96418020000000004</v>
      </c>
      <c r="AB2741">
        <v>21</v>
      </c>
      <c r="AC2741">
        <v>1.6457999999999999</v>
      </c>
      <c r="AD2741">
        <v>-1.1118258940758901</v>
      </c>
      <c r="AE2741">
        <v>-14.646000000000001</v>
      </c>
      <c r="AF2741">
        <v>-3.7741140321094302</v>
      </c>
      <c r="AG2741">
        <v>-1.1118258940758901</v>
      </c>
      <c r="AH2741">
        <v>14.1604614697071</v>
      </c>
      <c r="AI2741">
        <v>94.338592892165707</v>
      </c>
      <c r="AJ2741">
        <v>104.923827703745</v>
      </c>
      <c r="AK2741">
        <v>14.696896358795</v>
      </c>
      <c r="AL2741">
        <v>80.143555054560096</v>
      </c>
      <c r="AM2741">
        <v>102.004484575174</v>
      </c>
      <c r="AN2741">
        <v>1.00000005172206</v>
      </c>
    </row>
    <row r="2742" spans="1:40" x14ac:dyDescent="0.25">
      <c r="A2742" t="str">
        <f>"20190312172422334"</f>
        <v>20190312172422334</v>
      </c>
      <c r="B2742" t="str">
        <f>"1552382662322552"</f>
        <v>1552382662322552</v>
      </c>
      <c r="C2742" t="s">
        <v>40</v>
      </c>
      <c r="D2742">
        <v>4.2170670000000001</v>
      </c>
      <c r="E2742">
        <v>0.47964970000000001</v>
      </c>
      <c r="F2742" t="s">
        <v>43</v>
      </c>
      <c r="G2742">
        <v>-488.65289999999999</v>
      </c>
      <c r="H2742" s="1">
        <v>-8.1116590000000003E-7</v>
      </c>
      <c r="I2742">
        <v>240.9666</v>
      </c>
      <c r="J2742">
        <v>-490.3467</v>
      </c>
      <c r="K2742">
        <v>1.1118589999999999</v>
      </c>
      <c r="L2742">
        <v>255.69900000000001</v>
      </c>
      <c r="M2742">
        <v>-0.14701020000000001</v>
      </c>
      <c r="N2742">
        <v>0</v>
      </c>
      <c r="O2742">
        <v>-0.98904159999999997</v>
      </c>
      <c r="P2742">
        <v>6.3857120000000003E-2</v>
      </c>
      <c r="Q2742">
        <v>0.15884039999999999</v>
      </c>
      <c r="R2742">
        <v>-0.98523749999999999</v>
      </c>
      <c r="S2742">
        <v>0.34551999999999999</v>
      </c>
      <c r="T2742">
        <v>-0.22906989999999999</v>
      </c>
      <c r="U2742">
        <v>-3.0599980000000002</v>
      </c>
      <c r="V2742">
        <v>-0.2084529</v>
      </c>
      <c r="W2742">
        <v>0.17143059999999999</v>
      </c>
      <c r="X2742">
        <v>0.96289089999999999</v>
      </c>
      <c r="Y2742">
        <v>-0.25677739999999999</v>
      </c>
      <c r="Z2742">
        <v>7.1951849999999998E-2</v>
      </c>
      <c r="AA2742">
        <v>0.96378850000000005</v>
      </c>
      <c r="AB2742">
        <v>21</v>
      </c>
      <c r="AC2742">
        <v>1.69380000000001</v>
      </c>
      <c r="AD2742">
        <v>-1.1118598111658999</v>
      </c>
      <c r="AE2742">
        <v>-14.7324</v>
      </c>
      <c r="AF2742">
        <v>-3.81993288687049</v>
      </c>
      <c r="AG2742">
        <v>-1.1118598111658999</v>
      </c>
      <c r="AH2742">
        <v>14.2432057353567</v>
      </c>
      <c r="AI2742">
        <v>94.311826043330001</v>
      </c>
      <c r="AJ2742">
        <v>105.013050649665</v>
      </c>
      <c r="AK2742">
        <v>14.788408606729099</v>
      </c>
      <c r="AL2742">
        <v>80.128992156801303</v>
      </c>
      <c r="AM2742">
        <v>102.215263477123</v>
      </c>
      <c r="AN2742">
        <v>0.99999997371878901</v>
      </c>
    </row>
    <row r="2743" spans="1:40" x14ac:dyDescent="0.25">
      <c r="A2743" t="str">
        <f>"20190312172422353"</f>
        <v>20190312172422353</v>
      </c>
      <c r="B2743" t="str">
        <f>"1552382662343048"</f>
        <v>1552382662343048</v>
      </c>
      <c r="C2743" t="s">
        <v>40</v>
      </c>
      <c r="D2743">
        <v>4.0564220000000004</v>
      </c>
      <c r="E2743">
        <v>0.48159459999999998</v>
      </c>
      <c r="F2743" t="s">
        <v>43</v>
      </c>
      <c r="G2743">
        <v>-488.63749999999999</v>
      </c>
      <c r="H2743" s="1">
        <v>-8.4546490000000004E-7</v>
      </c>
      <c r="I2743">
        <v>241.0402</v>
      </c>
      <c r="J2743">
        <v>-490.37209999999999</v>
      </c>
      <c r="K2743">
        <v>1.1118969999999999</v>
      </c>
      <c r="L2743">
        <v>255.51509999999999</v>
      </c>
      <c r="M2743">
        <v>-0.14543420000000001</v>
      </c>
      <c r="N2743">
        <v>0</v>
      </c>
      <c r="O2743">
        <v>-0.98927430000000005</v>
      </c>
      <c r="P2743">
        <v>7.1034829999999993E-2</v>
      </c>
      <c r="Q2743">
        <v>0.15934589999999901</v>
      </c>
      <c r="R2743">
        <v>-0.98466399999999998</v>
      </c>
      <c r="S2743">
        <v>0.35668949999999999</v>
      </c>
      <c r="T2743">
        <v>-0.23204169999999999</v>
      </c>
      <c r="U2743">
        <v>-3.05925</v>
      </c>
      <c r="V2743">
        <v>-0.2139527</v>
      </c>
      <c r="W2743">
        <v>0.17188200000000001</v>
      </c>
      <c r="X2743">
        <v>0.96160330000000005</v>
      </c>
      <c r="Y2743">
        <v>-0.25872840000000003</v>
      </c>
      <c r="Z2743">
        <v>7.2889280000000001E-2</v>
      </c>
      <c r="AA2743">
        <v>0.9631961</v>
      </c>
      <c r="AB2743">
        <v>21</v>
      </c>
      <c r="AC2743">
        <v>1.7345999999999999</v>
      </c>
      <c r="AD2743">
        <v>-1.11189784546489</v>
      </c>
      <c r="AE2743">
        <v>-14.4748999999999</v>
      </c>
      <c r="AF2743">
        <v>-3.7993932496577001</v>
      </c>
      <c r="AG2743">
        <v>-1.11189784546489</v>
      </c>
      <c r="AH2743">
        <v>13.987314025938099</v>
      </c>
      <c r="AI2743">
        <v>94.386771773602007</v>
      </c>
      <c r="AJ2743">
        <v>105.196658817676</v>
      </c>
      <c r="AK2743">
        <v>14.5367348309205</v>
      </c>
      <c r="AL2743">
        <v>80.1027398594196</v>
      </c>
      <c r="AM2743">
        <v>102.543744309991</v>
      </c>
      <c r="AN2743">
        <v>1.00000004316608</v>
      </c>
    </row>
    <row r="2744" spans="1:40" x14ac:dyDescent="0.25">
      <c r="A2744" t="str">
        <f>"20190312172422374"</f>
        <v>20190312172422374</v>
      </c>
      <c r="B2744" t="str">
        <f>"1552382662362568"</f>
        <v>1552382662362568</v>
      </c>
      <c r="C2744" t="s">
        <v>40</v>
      </c>
      <c r="D2744">
        <v>4.2053799999999999</v>
      </c>
      <c r="E2744">
        <v>0.49007060000000002</v>
      </c>
      <c r="F2744" t="s">
        <v>43</v>
      </c>
      <c r="G2744">
        <v>-488.60980000000001</v>
      </c>
      <c r="H2744" s="1">
        <v>-7.0898979999999996E-7</v>
      </c>
      <c r="I2744">
        <v>240.64449999999999</v>
      </c>
      <c r="J2744">
        <v>-490.39830000000001</v>
      </c>
      <c r="K2744">
        <v>1.111944</v>
      </c>
      <c r="L2744">
        <v>255.3237</v>
      </c>
      <c r="M2744">
        <v>-0.14373449999999999</v>
      </c>
      <c r="N2744">
        <v>0</v>
      </c>
      <c r="O2744">
        <v>-0.98952289999999998</v>
      </c>
      <c r="P2744">
        <v>7.7817380000000005E-2</v>
      </c>
      <c r="Q2744">
        <v>0.16129189999999999</v>
      </c>
      <c r="R2744">
        <v>-0.98383399999999999</v>
      </c>
      <c r="S2744">
        <v>0.36236570000000001</v>
      </c>
      <c r="T2744">
        <v>-0.22862009999999999</v>
      </c>
      <c r="U2744">
        <v>-3.0575869999999998</v>
      </c>
      <c r="V2744">
        <v>-0.21890809999999999</v>
      </c>
      <c r="W2744">
        <v>0.17377709999999999</v>
      </c>
      <c r="X2744">
        <v>0.96014619999999995</v>
      </c>
      <c r="Y2744">
        <v>-0.25890229999999997</v>
      </c>
      <c r="Z2744">
        <v>7.1877289999999996E-2</v>
      </c>
      <c r="AA2744">
        <v>0.96322549999999996</v>
      </c>
      <c r="AB2744">
        <v>21</v>
      </c>
      <c r="AC2744">
        <v>1.78849999999999</v>
      </c>
      <c r="AD2744">
        <v>-1.1119447089898</v>
      </c>
      <c r="AE2744">
        <v>-14.6792</v>
      </c>
      <c r="AF2744">
        <v>-3.85821310852439</v>
      </c>
      <c r="AG2744">
        <v>-1.1119447089898</v>
      </c>
      <c r="AH2744">
        <v>14.1894259892132</v>
      </c>
      <c r="AI2744">
        <v>94.324406398123401</v>
      </c>
      <c r="AJ2744">
        <v>105.21139845314801</v>
      </c>
      <c r="AK2744">
        <v>14.7465941603476</v>
      </c>
      <c r="AL2744">
        <v>79.992499064425303</v>
      </c>
      <c r="AM2744">
        <v>102.843585969459</v>
      </c>
      <c r="AN2744">
        <v>0.99999998105222898</v>
      </c>
    </row>
    <row r="2745" spans="1:40" x14ac:dyDescent="0.25">
      <c r="A2745" t="str">
        <f>"20190312172422395"</f>
        <v>20190312172422395</v>
      </c>
      <c r="B2745" t="str">
        <f>"1552382662392824"</f>
        <v>1552382662392824</v>
      </c>
      <c r="C2745" t="s">
        <v>40</v>
      </c>
      <c r="D2745">
        <v>4.1101419999999997</v>
      </c>
      <c r="E2745">
        <v>0.49293229999999999</v>
      </c>
      <c r="F2745" t="s">
        <v>43</v>
      </c>
      <c r="G2745">
        <v>-488.87169999999998</v>
      </c>
      <c r="H2745" s="1">
        <v>-5.7329890000000001E-7</v>
      </c>
      <c r="I2745">
        <v>240.45060000000001</v>
      </c>
      <c r="J2745">
        <v>-490.4246</v>
      </c>
      <c r="K2745">
        <v>1.111974</v>
      </c>
      <c r="L2745">
        <v>255.1277</v>
      </c>
      <c r="M2745">
        <v>-0.1419532</v>
      </c>
      <c r="N2745">
        <v>0</v>
      </c>
      <c r="O2745">
        <v>-0.98977999999999999</v>
      </c>
      <c r="P2745">
        <v>8.3502560000000003E-2</v>
      </c>
      <c r="Q2745">
        <v>0.16240260000000001</v>
      </c>
      <c r="R2745">
        <v>-0.98318519999999998</v>
      </c>
      <c r="S2745">
        <v>0.31426999999999999</v>
      </c>
      <c r="T2745">
        <v>-0.22892019999999999</v>
      </c>
      <c r="U2745">
        <v>-3.0619809999999998</v>
      </c>
      <c r="V2745">
        <v>-0.22272239999999999</v>
      </c>
      <c r="W2745">
        <v>0.1748519</v>
      </c>
      <c r="X2745">
        <v>0.95907330000000002</v>
      </c>
      <c r="Y2745">
        <v>-0.2420157</v>
      </c>
      <c r="Z2745">
        <v>7.2122389999999995E-2</v>
      </c>
      <c r="AA2745">
        <v>0.96758809999999995</v>
      </c>
      <c r="AB2745">
        <v>21</v>
      </c>
      <c r="AC2745">
        <v>1.5529000000000199</v>
      </c>
      <c r="AD2745">
        <v>-1.1119745732988999</v>
      </c>
      <c r="AE2745">
        <v>-14.6770999999999</v>
      </c>
      <c r="AF2745">
        <v>-3.6003880139920699</v>
      </c>
      <c r="AG2745">
        <v>-1.1119745732988999</v>
      </c>
      <c r="AH2745">
        <v>14.2272236323925</v>
      </c>
      <c r="AI2745">
        <v>94.333004126943095</v>
      </c>
      <c r="AJ2745">
        <v>104.201313269867</v>
      </c>
      <c r="AK2745">
        <v>14.717784262213801</v>
      </c>
      <c r="AL2745">
        <v>79.929960529111199</v>
      </c>
      <c r="AM2745">
        <v>103.073874451427</v>
      </c>
      <c r="AN2745">
        <v>1.0000000245841201</v>
      </c>
    </row>
    <row r="2746" spans="1:40" x14ac:dyDescent="0.25">
      <c r="A2746" t="str">
        <f>"20190312172422409"</f>
        <v>20190312172422409</v>
      </c>
      <c r="B2746" t="str">
        <f>"1552382662402584"</f>
        <v>1552382662402584</v>
      </c>
      <c r="C2746" t="s">
        <v>40</v>
      </c>
      <c r="D2746">
        <v>4.1954699999999896</v>
      </c>
      <c r="E2746">
        <v>0.49293229999999999</v>
      </c>
      <c r="F2746" t="s">
        <v>43</v>
      </c>
      <c r="G2746">
        <v>-488.88850000000002</v>
      </c>
      <c r="H2746" s="1">
        <v>-3.5345599999999999E-7</v>
      </c>
      <c r="I2746">
        <v>239.8176</v>
      </c>
      <c r="J2746">
        <v>-490.44069999999999</v>
      </c>
      <c r="K2746">
        <v>1.111982</v>
      </c>
      <c r="L2746">
        <v>255.00620000000001</v>
      </c>
      <c r="M2746">
        <v>-0.14083609999999999</v>
      </c>
      <c r="N2746">
        <v>0</v>
      </c>
      <c r="O2746">
        <v>-0.98993940000000002</v>
      </c>
      <c r="P2746">
        <v>8.6417460000000001E-2</v>
      </c>
      <c r="Q2746">
        <v>0.1626118</v>
      </c>
      <c r="R2746">
        <v>-0.98289859999999896</v>
      </c>
      <c r="S2746">
        <v>0.30722050000000001</v>
      </c>
      <c r="T2746">
        <v>-0.22238849999999999</v>
      </c>
      <c r="U2746">
        <v>-3.0619200000000002</v>
      </c>
      <c r="V2746">
        <v>-0.2244853</v>
      </c>
      <c r="W2746">
        <v>0.17504719999999999</v>
      </c>
      <c r="X2746">
        <v>0.95862650000000005</v>
      </c>
      <c r="Y2746">
        <v>-0.23873130000000001</v>
      </c>
      <c r="Z2746">
        <v>7.0131689999999997E-2</v>
      </c>
      <c r="AA2746">
        <v>0.96854989999999996</v>
      </c>
      <c r="AB2746">
        <v>21</v>
      </c>
      <c r="AC2746">
        <v>1.55219999999997</v>
      </c>
      <c r="AD2746">
        <v>-1.111982353456</v>
      </c>
      <c r="AE2746">
        <v>-15.188599999999999</v>
      </c>
      <c r="AF2746">
        <v>-3.65663073759869</v>
      </c>
      <c r="AG2746">
        <v>-1.111982353456</v>
      </c>
      <c r="AH2746">
        <v>14.740368922440799</v>
      </c>
      <c r="AI2746">
        <v>94.187646920731794</v>
      </c>
      <c r="AJ2746">
        <v>103.93207413260301</v>
      </c>
      <c r="AK2746">
        <v>15.227801189771499</v>
      </c>
      <c r="AL2746">
        <v>79.918594820602095</v>
      </c>
      <c r="AM2746">
        <v>103.179687669418</v>
      </c>
      <c r="AN2746">
        <v>0.99999996932308899</v>
      </c>
    </row>
    <row r="2747" spans="1:40" x14ac:dyDescent="0.25">
      <c r="A2747" t="str">
        <f>"20190312172422421"</f>
        <v>20190312172422421</v>
      </c>
      <c r="B2747" t="str">
        <f>"1552382662412345"</f>
        <v>1552382662412345</v>
      </c>
      <c r="C2747" t="s">
        <v>40</v>
      </c>
      <c r="D2747">
        <v>4.138579</v>
      </c>
      <c r="E2747">
        <v>0.49381819999999998</v>
      </c>
      <c r="F2747" t="s">
        <v>43</v>
      </c>
      <c r="G2747">
        <v>-488.8569</v>
      </c>
      <c r="H2747" s="1">
        <v>-3.0714220000000002E-7</v>
      </c>
      <c r="I2747">
        <v>239.65690000000001</v>
      </c>
      <c r="J2747">
        <v>-490.45600000000002</v>
      </c>
      <c r="K2747">
        <v>1.111985</v>
      </c>
      <c r="L2747">
        <v>254.8905</v>
      </c>
      <c r="M2747">
        <v>-0.139767899999999</v>
      </c>
      <c r="N2747">
        <v>0</v>
      </c>
      <c r="O2747">
        <v>-0.99009080000000005</v>
      </c>
      <c r="P2747">
        <v>8.9087890000000003E-2</v>
      </c>
      <c r="Q2747">
        <v>0.16261819999999999</v>
      </c>
      <c r="R2747">
        <v>-0.98265919999999896</v>
      </c>
      <c r="S2747">
        <v>0.3158569</v>
      </c>
      <c r="T2747">
        <v>-0.22176370000000001</v>
      </c>
      <c r="U2747">
        <v>-3.0611269999999999</v>
      </c>
      <c r="V2747">
        <v>-0.22605939999999999</v>
      </c>
      <c r="W2747">
        <v>0.17504339999999999</v>
      </c>
      <c r="X2747">
        <v>0.95825729999999998</v>
      </c>
      <c r="Y2747">
        <v>-0.24041409999999999</v>
      </c>
      <c r="Z2747">
        <v>6.9945069999999998E-2</v>
      </c>
      <c r="AA2747">
        <v>0.96814710000000004</v>
      </c>
      <c r="AB2747">
        <v>21</v>
      </c>
      <c r="AC2747">
        <v>1.59909999999996</v>
      </c>
      <c r="AD2747">
        <v>-1.1119853071421999</v>
      </c>
      <c r="AE2747">
        <v>-15.2335999999999</v>
      </c>
      <c r="AF2747">
        <v>-3.69330145921028</v>
      </c>
      <c r="AG2747">
        <v>-1.1119853071421999</v>
      </c>
      <c r="AH2747">
        <v>14.7826115843619</v>
      </c>
      <c r="AI2747">
        <v>94.174005870657297</v>
      </c>
      <c r="AJ2747">
        <v>104.027665348171</v>
      </c>
      <c r="AK2747">
        <v>15.277519178388101</v>
      </c>
      <c r="AL2747">
        <v>79.918816766494999</v>
      </c>
      <c r="AM2747">
        <v>103.27377720548</v>
      </c>
      <c r="AN2747">
        <v>1.0000000486075999</v>
      </c>
    </row>
    <row r="2748" spans="1:40" x14ac:dyDescent="0.25">
      <c r="A2748" t="str">
        <f>"20190312172422432"</f>
        <v>20190312172422432</v>
      </c>
      <c r="B2748" t="str">
        <f>"1552382662423080"</f>
        <v>1552382662423080</v>
      </c>
      <c r="C2748" t="s">
        <v>40</v>
      </c>
      <c r="D2748">
        <v>4.1248809999999896</v>
      </c>
      <c r="E2748">
        <v>0.49459360000000002</v>
      </c>
      <c r="F2748" t="s">
        <v>43</v>
      </c>
      <c r="G2748">
        <v>-488.87419999999997</v>
      </c>
      <c r="H2748" s="1">
        <v>-4.4659220000000001E-6</v>
      </c>
      <c r="I2748">
        <v>239.57749999999999</v>
      </c>
      <c r="J2748">
        <v>-490.47</v>
      </c>
      <c r="K2748">
        <v>1.1119810000000001</v>
      </c>
      <c r="L2748">
        <v>254.78299999999999</v>
      </c>
      <c r="M2748">
        <v>-0.1387747</v>
      </c>
      <c r="N2748">
        <v>0</v>
      </c>
      <c r="O2748">
        <v>-0.99023079999999997</v>
      </c>
      <c r="P2748">
        <v>9.1592789999999993E-2</v>
      </c>
      <c r="Q2748">
        <v>0.16241050000000001</v>
      </c>
      <c r="R2748">
        <v>-0.98246350000000005</v>
      </c>
      <c r="S2748">
        <v>0.31619259999999999</v>
      </c>
      <c r="T2748">
        <v>-0.22228690000000001</v>
      </c>
      <c r="U2748">
        <v>-3.0610810000000002</v>
      </c>
      <c r="V2748">
        <v>-0.22754659999999999</v>
      </c>
      <c r="W2748">
        <v>0.17482890000000001</v>
      </c>
      <c r="X2748">
        <v>0.95794440000000003</v>
      </c>
      <c r="Y2748">
        <v>-0.2395456</v>
      </c>
      <c r="Z2748">
        <v>7.0132810000000004E-2</v>
      </c>
      <c r="AA2748">
        <v>0.96834869999999995</v>
      </c>
      <c r="AB2748">
        <v>21</v>
      </c>
      <c r="AC2748">
        <v>1.5958000000000501</v>
      </c>
      <c r="AD2748">
        <v>-1.1119854659220001</v>
      </c>
      <c r="AE2748">
        <v>-15.205500000000001</v>
      </c>
      <c r="AF2748">
        <v>-3.6712692844767498</v>
      </c>
      <c r="AG2748">
        <v>-1.1119854659220001</v>
      </c>
      <c r="AH2748">
        <v>14.7587957367067</v>
      </c>
      <c r="AI2748">
        <v>94.181783648088299</v>
      </c>
      <c r="AJ2748">
        <v>103.96888576410601</v>
      </c>
      <c r="AK2748">
        <v>15.249156744994</v>
      </c>
      <c r="AL2748">
        <v>79.931299068869194</v>
      </c>
      <c r="AM2748">
        <v>103.362189003834</v>
      </c>
      <c r="AN2748">
        <v>1.00000003646906</v>
      </c>
    </row>
    <row r="2749" spans="1:40" x14ac:dyDescent="0.25">
      <c r="A2749" t="str">
        <f>"20190312172422444"</f>
        <v>20190312172422444</v>
      </c>
      <c r="B2749" t="str">
        <f>"1552382662432840"</f>
        <v>1552382662432840</v>
      </c>
      <c r="C2749" t="s">
        <v>40</v>
      </c>
      <c r="D2749">
        <v>4.0979549999999998</v>
      </c>
      <c r="E2749">
        <v>0.49513970000000002</v>
      </c>
      <c r="F2749" t="s">
        <v>43</v>
      </c>
      <c r="G2749">
        <v>-488.87700000000001</v>
      </c>
      <c r="H2749" s="1">
        <v>-4.4107479999999996E-6</v>
      </c>
      <c r="I2749">
        <v>239.45</v>
      </c>
      <c r="J2749">
        <v>-490.48419999999999</v>
      </c>
      <c r="K2749">
        <v>1.111974</v>
      </c>
      <c r="L2749">
        <v>254.67339999999999</v>
      </c>
      <c r="M2749">
        <v>-0.137762299999999</v>
      </c>
      <c r="N2749">
        <v>0</v>
      </c>
      <c r="O2749">
        <v>-0.99037209999999998</v>
      </c>
      <c r="P2749">
        <v>9.3678380000000006E-2</v>
      </c>
      <c r="Q2749">
        <v>0.16189809999999999</v>
      </c>
      <c r="R2749">
        <v>-0.98235099999999997</v>
      </c>
      <c r="S2749">
        <v>0.31796259999999998</v>
      </c>
      <c r="T2749">
        <v>-0.2219613</v>
      </c>
      <c r="U2749">
        <v>-3.0605929999999999</v>
      </c>
      <c r="V2749">
        <v>-0.22861090000000001</v>
      </c>
      <c r="W2749">
        <v>0.17431429999999901</v>
      </c>
      <c r="X2749">
        <v>0.95778470000000004</v>
      </c>
      <c r="Y2749">
        <v>-0.23912369999999999</v>
      </c>
      <c r="Z2749">
        <v>7.0058670000000003E-2</v>
      </c>
      <c r="AA2749">
        <v>0.96845840000000005</v>
      </c>
      <c r="AB2749">
        <v>21</v>
      </c>
      <c r="AC2749">
        <v>1.6072000000000299</v>
      </c>
      <c r="AD2749">
        <v>-1.111978410748</v>
      </c>
      <c r="AE2749">
        <v>-15.2233999999999</v>
      </c>
      <c r="AF2749">
        <v>-3.6699125472565699</v>
      </c>
      <c r="AG2749">
        <v>-1.111978410748</v>
      </c>
      <c r="AH2749">
        <v>14.77880868213</v>
      </c>
      <c r="AI2749">
        <v>94.176532030933302</v>
      </c>
      <c r="AJ2749">
        <v>103.94575457555899</v>
      </c>
      <c r="AK2749">
        <v>15.268200291896999</v>
      </c>
      <c r="AL2749">
        <v>79.961242663454698</v>
      </c>
      <c r="AM2749">
        <v>103.42458808078899</v>
      </c>
      <c r="AN2749">
        <v>0.99999997516869399</v>
      </c>
    </row>
    <row r="2750" spans="1:40" x14ac:dyDescent="0.25">
      <c r="A2750" t="str">
        <f>"20190312172422457"</f>
        <v>20190312172422457</v>
      </c>
      <c r="B2750" t="str">
        <f>"1552382662452360"</f>
        <v>1552382662452360</v>
      </c>
      <c r="C2750" t="s">
        <v>40</v>
      </c>
      <c r="D2750">
        <v>4.1377389999999998</v>
      </c>
      <c r="E2750">
        <v>0.49649260000000001</v>
      </c>
      <c r="F2750" t="s">
        <v>43</v>
      </c>
      <c r="G2750">
        <v>-488.88209999999998</v>
      </c>
      <c r="H2750" s="1">
        <v>-4.355415E-6</v>
      </c>
      <c r="I2750">
        <v>239.32310000000001</v>
      </c>
      <c r="J2750">
        <v>-490.49939999999998</v>
      </c>
      <c r="K2750">
        <v>1.1119650000000001</v>
      </c>
      <c r="L2750">
        <v>254.55510000000001</v>
      </c>
      <c r="M2750">
        <v>-0.13667299999999999</v>
      </c>
      <c r="N2750">
        <v>0</v>
      </c>
      <c r="O2750">
        <v>-0.99052300000000004</v>
      </c>
      <c r="P2750">
        <v>9.6079159999999997E-2</v>
      </c>
      <c r="Q2750">
        <v>0.16121429999999901</v>
      </c>
      <c r="R2750">
        <v>-0.98223159999999998</v>
      </c>
      <c r="S2750">
        <v>0.3193665</v>
      </c>
      <c r="T2750">
        <v>-0.2216649</v>
      </c>
      <c r="U2750">
        <v>-3.0599669999999999</v>
      </c>
      <c r="V2750">
        <v>-0.2299109</v>
      </c>
      <c r="W2750">
        <v>0.1736287</v>
      </c>
      <c r="X2750">
        <v>0.95759799999999995</v>
      </c>
      <c r="Y2750">
        <v>-0.23851620000000001</v>
      </c>
      <c r="Z2750">
        <v>6.9999839999999994E-2</v>
      </c>
      <c r="AA2750">
        <v>0.96861240000000004</v>
      </c>
      <c r="AB2750">
        <v>21</v>
      </c>
      <c r="AC2750">
        <v>1.6173</v>
      </c>
      <c r="AD2750">
        <v>-1.1119693554150001</v>
      </c>
      <c r="AE2750">
        <v>-15.231999999999999</v>
      </c>
      <c r="AF2750">
        <v>-3.66480301078332</v>
      </c>
      <c r="AG2750">
        <v>-1.1119693554150001</v>
      </c>
      <c r="AH2750">
        <v>14.790035915169399</v>
      </c>
      <c r="AI2750">
        <v>94.173857865288596</v>
      </c>
      <c r="AJ2750">
        <v>103.916933459877</v>
      </c>
      <c r="AK2750">
        <v>15.2778407940137</v>
      </c>
      <c r="AL2750">
        <v>80.001132580832305</v>
      </c>
      <c r="AM2750">
        <v>103.500676626764</v>
      </c>
      <c r="AN2750">
        <v>0.99999993850324798</v>
      </c>
    </row>
    <row r="2751" spans="1:40" x14ac:dyDescent="0.25">
      <c r="A2751" t="str">
        <f>"20190312172422473"</f>
        <v>20190312172422473</v>
      </c>
      <c r="B2751" t="str">
        <f>"1552382662463096"</f>
        <v>1552382662463096</v>
      </c>
      <c r="C2751" t="s">
        <v>40</v>
      </c>
      <c r="D2751">
        <v>4.1003499999999997</v>
      </c>
      <c r="E2751">
        <v>0.49711539999999999</v>
      </c>
      <c r="F2751" t="s">
        <v>43</v>
      </c>
      <c r="G2751">
        <v>-488.9468</v>
      </c>
      <c r="H2751" s="1">
        <v>-4.4337039999999997E-6</v>
      </c>
      <c r="I2751">
        <v>239.5324</v>
      </c>
      <c r="J2751">
        <v>-490.51909999999998</v>
      </c>
      <c r="K2751">
        <v>1.111944</v>
      </c>
      <c r="L2751">
        <v>254.3997</v>
      </c>
      <c r="M2751">
        <v>-0.13524929999999999</v>
      </c>
      <c r="N2751">
        <v>0</v>
      </c>
      <c r="O2751">
        <v>-0.9907184</v>
      </c>
      <c r="P2751">
        <v>9.8328490000000005E-2</v>
      </c>
      <c r="Q2751">
        <v>0.16024720000000001</v>
      </c>
      <c r="R2751">
        <v>-0.98216740000000002</v>
      </c>
      <c r="S2751">
        <v>0.31628420000000002</v>
      </c>
      <c r="T2751">
        <v>-0.22653509999999999</v>
      </c>
      <c r="U2751">
        <v>-3.0605009999999999</v>
      </c>
      <c r="V2751">
        <v>-0.2307419</v>
      </c>
      <c r="W2751">
        <v>0.1726655</v>
      </c>
      <c r="X2751">
        <v>0.95757230000000004</v>
      </c>
      <c r="Y2751">
        <v>-0.2361258</v>
      </c>
      <c r="Z2751">
        <v>7.1564069999999994E-2</v>
      </c>
      <c r="AA2751">
        <v>0.96908369999999999</v>
      </c>
      <c r="AB2751">
        <v>21</v>
      </c>
      <c r="AC2751">
        <v>1.57229999999998</v>
      </c>
      <c r="AD2751">
        <v>-1.111948433704</v>
      </c>
      <c r="AE2751">
        <v>-14.8673</v>
      </c>
      <c r="AF2751">
        <v>-3.5491942080691201</v>
      </c>
      <c r="AG2751">
        <v>-1.111948433704</v>
      </c>
      <c r="AH2751">
        <v>14.4381254856075</v>
      </c>
      <c r="AI2751">
        <v>94.277087442769101</v>
      </c>
      <c r="AJ2751">
        <v>103.81066752716301</v>
      </c>
      <c r="AK2751">
        <v>14.9094827671505</v>
      </c>
      <c r="AL2751">
        <v>80.057166375802197</v>
      </c>
      <c r="AM2751">
        <v>103.548028719889</v>
      </c>
      <c r="AN2751">
        <v>0.99999995451657397</v>
      </c>
    </row>
    <row r="2752" spans="1:40" x14ac:dyDescent="0.25">
      <c r="A2752" t="str">
        <f>"20190312172422490"</f>
        <v>20190312172422490</v>
      </c>
      <c r="B2752" t="str">
        <f>"1552382662482616"</f>
        <v>1552382662482616</v>
      </c>
      <c r="C2752" t="s">
        <v>40</v>
      </c>
      <c r="D2752">
        <v>4.1382320000000004</v>
      </c>
      <c r="E2752">
        <v>0.49772309999999997</v>
      </c>
      <c r="F2752" t="s">
        <v>43</v>
      </c>
      <c r="G2752">
        <v>-488.98660000000001</v>
      </c>
      <c r="H2752" s="1">
        <v>-2.745755E-7</v>
      </c>
      <c r="I2752">
        <v>239.6626</v>
      </c>
      <c r="J2752">
        <v>-490.53769999999997</v>
      </c>
      <c r="K2752">
        <v>1.1119270000000001</v>
      </c>
      <c r="L2752">
        <v>254.25290000000001</v>
      </c>
      <c r="M2752">
        <v>-0.1339138</v>
      </c>
      <c r="N2752">
        <v>0</v>
      </c>
      <c r="O2752">
        <v>-0.99089959999999999</v>
      </c>
      <c r="P2752">
        <v>0.10006230000000001</v>
      </c>
      <c r="Q2752">
        <v>0.1597604</v>
      </c>
      <c r="R2752">
        <v>-0.98207149999999999</v>
      </c>
      <c r="S2752">
        <v>0.3182373</v>
      </c>
      <c r="T2752">
        <v>-0.2309031</v>
      </c>
      <c r="U2752">
        <v>-3.0602719999999999</v>
      </c>
      <c r="V2752">
        <v>-0.23114660000000001</v>
      </c>
      <c r="W2752">
        <v>0.17218410000000001</v>
      </c>
      <c r="X2752">
        <v>0.95756140000000001</v>
      </c>
      <c r="Y2752">
        <v>-0.23542479999999999</v>
      </c>
      <c r="Z2752">
        <v>7.2966139999999999E-2</v>
      </c>
      <c r="AA2752">
        <v>0.9691497</v>
      </c>
      <c r="AB2752">
        <v>21</v>
      </c>
      <c r="AC2752">
        <v>1.55109999999996</v>
      </c>
      <c r="AD2752">
        <v>-1.1119272745755</v>
      </c>
      <c r="AE2752">
        <v>-14.590299999999999</v>
      </c>
      <c r="AF2752">
        <v>-3.4712145658463198</v>
      </c>
      <c r="AG2752">
        <v>-1.1119272745755</v>
      </c>
      <c r="AH2752">
        <v>14.169749825443199</v>
      </c>
      <c r="AI2752">
        <v>94.358555379772099</v>
      </c>
      <c r="AJ2752">
        <v>103.764873492343</v>
      </c>
      <c r="AK2752">
        <v>14.6310465429421</v>
      </c>
      <c r="AL2752">
        <v>80.085168158046002</v>
      </c>
      <c r="AM2752">
        <v>103.57106140154001</v>
      </c>
      <c r="AN2752">
        <v>0.99999997487716397</v>
      </c>
    </row>
    <row r="2753" spans="1:40" x14ac:dyDescent="0.25">
      <c r="A2753" t="str">
        <f>"20190312172422507"</f>
        <v>20190312172422507</v>
      </c>
      <c r="B2753" t="str">
        <f>"1552382662503112"</f>
        <v>1552382662503112</v>
      </c>
      <c r="C2753" t="s">
        <v>40</v>
      </c>
      <c r="D2753">
        <v>4.1512279999999997</v>
      </c>
      <c r="E2753">
        <v>0.50513759999999996</v>
      </c>
      <c r="F2753" t="s">
        <v>43</v>
      </c>
      <c r="G2753">
        <v>-489.01690000000002</v>
      </c>
      <c r="H2753" s="1">
        <v>-2.6694809999999998E-7</v>
      </c>
      <c r="I2753">
        <v>239.66380000000001</v>
      </c>
      <c r="J2753">
        <v>-490.55799999999999</v>
      </c>
      <c r="K2753">
        <v>1.1119019999999999</v>
      </c>
      <c r="L2753">
        <v>254.0891</v>
      </c>
      <c r="M2753">
        <v>-0.13243579999999999</v>
      </c>
      <c r="N2753">
        <v>0</v>
      </c>
      <c r="O2753">
        <v>-0.99109849999999999</v>
      </c>
      <c r="P2753">
        <v>0.10144069999999999</v>
      </c>
      <c r="Q2753">
        <v>0.15906619999999999</v>
      </c>
      <c r="R2753">
        <v>-0.98204309999999995</v>
      </c>
      <c r="S2753">
        <v>0.31900020000000001</v>
      </c>
      <c r="T2753">
        <v>-0.23323830000000001</v>
      </c>
      <c r="U2753">
        <v>-3.0602109999999998</v>
      </c>
      <c r="V2753">
        <v>-0.23106860000000001</v>
      </c>
      <c r="W2753">
        <v>0.1714987</v>
      </c>
      <c r="X2753">
        <v>0.95770319999999998</v>
      </c>
      <c r="Y2753">
        <v>-0.23421020000000001</v>
      </c>
      <c r="Z2753">
        <v>7.3734129999999995E-2</v>
      </c>
      <c r="AA2753">
        <v>0.96938579999999996</v>
      </c>
      <c r="AB2753">
        <v>21</v>
      </c>
      <c r="AC2753">
        <v>1.5411000000000199</v>
      </c>
      <c r="AD2753">
        <v>-1.1119022669481</v>
      </c>
      <c r="AE2753">
        <v>-14.425299999999901</v>
      </c>
      <c r="AF2753">
        <v>-3.4180466907879699</v>
      </c>
      <c r="AG2753">
        <v>-1.1119022669481</v>
      </c>
      <c r="AH2753">
        <v>14.011787573685799</v>
      </c>
      <c r="AI2753">
        <v>94.408446382342007</v>
      </c>
      <c r="AJ2753">
        <v>103.70903557795801</v>
      </c>
      <c r="AK2753">
        <v>14.465460961951599</v>
      </c>
      <c r="AL2753">
        <v>80.125031529879095</v>
      </c>
      <c r="AM2753">
        <v>103.564716674062</v>
      </c>
      <c r="AN2753">
        <v>0.99999996064894403</v>
      </c>
    </row>
    <row r="2754" spans="1:40" x14ac:dyDescent="0.25">
      <c r="A2754" t="str">
        <f>"20190312172422519"</f>
        <v>20190312172422519</v>
      </c>
      <c r="B2754" t="str">
        <f>"1552382662512872"</f>
        <v>1552382662512872</v>
      </c>
      <c r="C2754" t="s">
        <v>40</v>
      </c>
      <c r="D2754">
        <v>4.1625100000000002</v>
      </c>
      <c r="E2754">
        <v>0.50540269999999998</v>
      </c>
      <c r="F2754" t="s">
        <v>43</v>
      </c>
      <c r="G2754">
        <v>-489.34989999999999</v>
      </c>
      <c r="H2754" s="1">
        <v>-3.1681850000000001E-7</v>
      </c>
      <c r="I2754">
        <v>240.07069999999999</v>
      </c>
      <c r="J2754">
        <v>-490.5718</v>
      </c>
      <c r="K2754">
        <v>1.1118920000000001</v>
      </c>
      <c r="L2754">
        <v>253.97669999999999</v>
      </c>
      <c r="M2754">
        <v>-0.13142679999999901</v>
      </c>
      <c r="N2754">
        <v>0</v>
      </c>
      <c r="O2754">
        <v>-0.99123289999999997</v>
      </c>
      <c r="P2754">
        <v>0.10254050000000001</v>
      </c>
      <c r="Q2754">
        <v>0.15937079999999901</v>
      </c>
      <c r="R2754">
        <v>-0.98187930000000001</v>
      </c>
      <c r="S2754">
        <v>0.26431270000000001</v>
      </c>
      <c r="T2754">
        <v>-0.24326149999999999</v>
      </c>
      <c r="U2754">
        <v>-3.0669400000000002</v>
      </c>
      <c r="V2754">
        <v>-0.23115740000000001</v>
      </c>
      <c r="W2754">
        <v>0.17180689999999901</v>
      </c>
      <c r="X2754">
        <v>0.95762659999999999</v>
      </c>
      <c r="Y2754">
        <v>-0.2158099</v>
      </c>
      <c r="Z2754">
        <v>7.6965069999999997E-2</v>
      </c>
      <c r="AA2754">
        <v>0.97339739999999997</v>
      </c>
      <c r="AB2754">
        <v>21</v>
      </c>
      <c r="AC2754">
        <v>1.2219</v>
      </c>
      <c r="AD2754">
        <v>-1.1118923168185</v>
      </c>
      <c r="AE2754">
        <v>-13.906000000000001</v>
      </c>
      <c r="AF2754">
        <v>-3.0199294702746</v>
      </c>
      <c r="AG2754">
        <v>-1.1118923168185</v>
      </c>
      <c r="AH2754">
        <v>13.5388561326159</v>
      </c>
      <c r="AI2754">
        <v>94.582812024201502</v>
      </c>
      <c r="AJ2754">
        <v>102.574349226246</v>
      </c>
      <c r="AK2754">
        <v>13.9160663949732</v>
      </c>
      <c r="AL2754">
        <v>80.107107614460205</v>
      </c>
      <c r="AM2754">
        <v>103.57078218440699</v>
      </c>
      <c r="AN2754">
        <v>1.0000000297449601</v>
      </c>
    </row>
    <row r="2755" spans="1:40" x14ac:dyDescent="0.25">
      <c r="A2755" t="str">
        <f>"20190312172422533"</f>
        <v>20190312172422533</v>
      </c>
      <c r="B2755" t="str">
        <f>"1552382662522633"</f>
        <v>1552382662522633</v>
      </c>
      <c r="C2755" t="s">
        <v>40</v>
      </c>
      <c r="D2755">
        <v>4.1545019999999999</v>
      </c>
      <c r="E2755">
        <v>0.50560919999999998</v>
      </c>
      <c r="F2755" t="s">
        <v>43</v>
      </c>
      <c r="G2755">
        <v>-489.35270000000003</v>
      </c>
      <c r="H2755" s="1">
        <v>-2.6053119999999998E-7</v>
      </c>
      <c r="I2755">
        <v>239.9076</v>
      </c>
      <c r="J2755">
        <v>-490.58600000000001</v>
      </c>
      <c r="K2755">
        <v>1.1118840000000001</v>
      </c>
      <c r="L2755">
        <v>253.8604</v>
      </c>
      <c r="M2755">
        <v>-0.13039039999999999</v>
      </c>
      <c r="N2755">
        <v>0</v>
      </c>
      <c r="O2755">
        <v>-0.99136950000000001</v>
      </c>
      <c r="P2755">
        <v>0.1035339</v>
      </c>
      <c r="Q2755">
        <v>0.15979460000000001</v>
      </c>
      <c r="R2755">
        <v>-0.98170590000000002</v>
      </c>
      <c r="S2755">
        <v>0.26574710000000001</v>
      </c>
      <c r="T2755">
        <v>-0.2423815</v>
      </c>
      <c r="U2755">
        <v>-3.0669249999999999</v>
      </c>
      <c r="V2755">
        <v>-0.2311135</v>
      </c>
      <c r="W2755">
        <v>0.17223339999999901</v>
      </c>
      <c r="X2755">
        <v>0.95756050000000004</v>
      </c>
      <c r="Y2755">
        <v>-0.21524309999999999</v>
      </c>
      <c r="Z2755">
        <v>7.6708299999999993E-2</v>
      </c>
      <c r="AA2755">
        <v>0.97354309999999999</v>
      </c>
      <c r="AB2755">
        <v>21</v>
      </c>
      <c r="AC2755">
        <v>1.2332999999999801</v>
      </c>
      <c r="AD2755">
        <v>-1.1118842605312</v>
      </c>
      <c r="AE2755">
        <v>-13.9527999999999</v>
      </c>
      <c r="AF2755">
        <v>-3.0231988985631602</v>
      </c>
      <c r="AG2755">
        <v>-1.1118842605312</v>
      </c>
      <c r="AH2755">
        <v>13.587219252984999</v>
      </c>
      <c r="AI2755">
        <v>94.567069941220794</v>
      </c>
      <c r="AJ2755">
        <v>102.54414457147099</v>
      </c>
      <c r="AK2755">
        <v>13.963829890749</v>
      </c>
      <c r="AL2755">
        <v>80.082300413063095</v>
      </c>
      <c r="AM2755">
        <v>103.56920217798501</v>
      </c>
      <c r="AN2755">
        <v>0.99999995255902796</v>
      </c>
    </row>
    <row r="2756" spans="1:40" x14ac:dyDescent="0.25">
      <c r="A2756" t="str">
        <f>"20190312172422553"</f>
        <v>20190312172422553</v>
      </c>
      <c r="B2756" t="str">
        <f>"1552382662543128"</f>
        <v>1552382662543128</v>
      </c>
      <c r="C2756" t="s">
        <v>40</v>
      </c>
      <c r="D2756">
        <v>4.1266160000000003</v>
      </c>
      <c r="E2756">
        <v>0.50604369999999999</v>
      </c>
      <c r="F2756" t="s">
        <v>43</v>
      </c>
      <c r="G2756">
        <v>-489.35750000000002</v>
      </c>
      <c r="H2756" s="1">
        <v>-2.1071920000000001E-7</v>
      </c>
      <c r="I2756">
        <v>239.76499999999999</v>
      </c>
      <c r="J2756">
        <v>-490.60969999999998</v>
      </c>
      <c r="K2756">
        <v>1.1118749999999999</v>
      </c>
      <c r="L2756">
        <v>253.66419999999999</v>
      </c>
      <c r="M2756">
        <v>-0.1286475</v>
      </c>
      <c r="N2756">
        <v>0</v>
      </c>
      <c r="O2756">
        <v>-0.99159759999999997</v>
      </c>
      <c r="P2756">
        <v>0.104254399999999</v>
      </c>
      <c r="Q2756">
        <v>0.159912</v>
      </c>
      <c r="R2756">
        <v>-0.98161120000000002</v>
      </c>
      <c r="S2756">
        <v>0.26730350000000003</v>
      </c>
      <c r="T2756">
        <v>-0.2419412</v>
      </c>
      <c r="U2756">
        <v>-3.0671080000000002</v>
      </c>
      <c r="V2756">
        <v>-0.2301232</v>
      </c>
      <c r="W2756">
        <v>0.1723616</v>
      </c>
      <c r="X2756">
        <v>0.95777599999999996</v>
      </c>
      <c r="Y2756">
        <v>-0.2140126</v>
      </c>
      <c r="Z2756">
        <v>7.6601100000000005E-2</v>
      </c>
      <c r="AA2756">
        <v>0.97382279999999999</v>
      </c>
      <c r="AB2756">
        <v>21</v>
      </c>
      <c r="AC2756">
        <v>1.25219999999995</v>
      </c>
      <c r="AD2756">
        <v>-1.1118752107192</v>
      </c>
      <c r="AE2756">
        <v>-13.8992</v>
      </c>
      <c r="AF2756">
        <v>-3.0109418631248501</v>
      </c>
      <c r="AG2756">
        <v>-1.1118752107192</v>
      </c>
      <c r="AH2756">
        <v>13.536646798874999</v>
      </c>
      <c r="AI2756">
        <v>94.584094423286402</v>
      </c>
      <c r="AJ2756">
        <v>102.540093357312</v>
      </c>
      <c r="AK2756">
        <v>13.9119676518033</v>
      </c>
      <c r="AL2756">
        <v>80.074844425593795</v>
      </c>
      <c r="AM2756">
        <v>103.510266984906</v>
      </c>
      <c r="AN2756">
        <v>1.00000003725439</v>
      </c>
    </row>
    <row r="2757" spans="1:40" x14ac:dyDescent="0.25">
      <c r="A2757" t="str">
        <f>"20190312172422568"</f>
        <v>20190312172422568</v>
      </c>
      <c r="B2757" t="str">
        <f>"1552382662562648"</f>
        <v>1552382662562648</v>
      </c>
      <c r="C2757" t="s">
        <v>40</v>
      </c>
      <c r="D2757">
        <v>4.1434519999999999</v>
      </c>
      <c r="E2757">
        <v>0.50633629999999996</v>
      </c>
      <c r="F2757" t="s">
        <v>43</v>
      </c>
      <c r="G2757">
        <v>-489.38310000000001</v>
      </c>
      <c r="H2757" s="1">
        <v>-4.3565410000000002E-6</v>
      </c>
      <c r="I2757">
        <v>239.53290000000001</v>
      </c>
      <c r="J2757">
        <v>-490.62540000000001</v>
      </c>
      <c r="K2757">
        <v>1.1118600000000001</v>
      </c>
      <c r="L2757">
        <v>253.5324</v>
      </c>
      <c r="M2757">
        <v>-0.12748039999999999</v>
      </c>
      <c r="N2757">
        <v>0</v>
      </c>
      <c r="O2757">
        <v>-0.99174819999999997</v>
      </c>
      <c r="P2757">
        <v>0.10483629999999999</v>
      </c>
      <c r="Q2757">
        <v>0.15845719999999999</v>
      </c>
      <c r="R2757">
        <v>-0.98178469999999995</v>
      </c>
      <c r="S2757">
        <v>0.26623540000000001</v>
      </c>
      <c r="T2757">
        <v>-0.2413372</v>
      </c>
      <c r="U2757">
        <v>-3.0672450000000002</v>
      </c>
      <c r="V2757">
        <v>-0.2295854</v>
      </c>
      <c r="W2757">
        <v>0.1709157</v>
      </c>
      <c r="X2757">
        <v>0.95816400000000002</v>
      </c>
      <c r="Y2757">
        <v>-0.21252370000000001</v>
      </c>
      <c r="Z2757">
        <v>7.6439259999999995E-2</v>
      </c>
      <c r="AA2757">
        <v>0.97416159999999996</v>
      </c>
      <c r="AB2757">
        <v>21</v>
      </c>
      <c r="AC2757">
        <v>1.2423</v>
      </c>
      <c r="AD2757">
        <v>-1.111864356541</v>
      </c>
      <c r="AE2757">
        <v>-13.9994999999999</v>
      </c>
      <c r="AF2757">
        <v>-2.9982241455141598</v>
      </c>
      <c r="AG2757">
        <v>-1.111864356541</v>
      </c>
      <c r="AH2757">
        <v>13.6414990304376</v>
      </c>
      <c r="AI2757">
        <v>94.551487557355898</v>
      </c>
      <c r="AJ2757">
        <v>102.395777403493</v>
      </c>
      <c r="AK2757">
        <v>14.0112842441912</v>
      </c>
      <c r="AL2757">
        <v>80.158935373874797</v>
      </c>
      <c r="AM2757">
        <v>103.474587440969</v>
      </c>
      <c r="AN2757">
        <v>0.99999994164782302</v>
      </c>
    </row>
    <row r="2758" spans="1:40" x14ac:dyDescent="0.25">
      <c r="A2758" t="str">
        <f>"20190312172422585"</f>
        <v>20190312172422585</v>
      </c>
      <c r="B2758" t="str">
        <f>"1552382662583144"</f>
        <v>1552382662583144</v>
      </c>
      <c r="C2758" t="s">
        <v>40</v>
      </c>
      <c r="D2758">
        <v>4.1130069999999996</v>
      </c>
      <c r="E2758">
        <v>0.50668530000000001</v>
      </c>
      <c r="F2758" t="s">
        <v>43</v>
      </c>
      <c r="G2758">
        <v>-489.41989999999998</v>
      </c>
      <c r="H2758" s="1">
        <v>-1.4730400000000001E-7</v>
      </c>
      <c r="I2758">
        <v>239.62739999999999</v>
      </c>
      <c r="J2758">
        <v>-490.64420000000001</v>
      </c>
      <c r="K2758">
        <v>1.111853</v>
      </c>
      <c r="L2758">
        <v>253.3734</v>
      </c>
      <c r="M2758">
        <v>-0.12607360000000001</v>
      </c>
      <c r="N2758">
        <v>0</v>
      </c>
      <c r="O2758">
        <v>-0.99192789999999997</v>
      </c>
      <c r="P2758">
        <v>0.1045914</v>
      </c>
      <c r="Q2758">
        <v>0.1572567</v>
      </c>
      <c r="R2758">
        <v>-0.98200390000000004</v>
      </c>
      <c r="S2758">
        <v>0.26586910000000002</v>
      </c>
      <c r="T2758">
        <v>-0.2452309</v>
      </c>
      <c r="U2758">
        <v>-3.0668790000000001</v>
      </c>
      <c r="V2758">
        <v>-0.22800139999999999</v>
      </c>
      <c r="W2758">
        <v>0.16972970000000001</v>
      </c>
      <c r="X2758">
        <v>0.95875290000000002</v>
      </c>
      <c r="Y2758">
        <v>-0.21102360000000001</v>
      </c>
      <c r="Z2758">
        <v>7.7708819999999998E-2</v>
      </c>
      <c r="AA2758">
        <v>0.97438720000000001</v>
      </c>
      <c r="AB2758">
        <v>21</v>
      </c>
      <c r="AC2758">
        <v>1.2243000000000199</v>
      </c>
      <c r="AD2758">
        <v>-1.1118531473039901</v>
      </c>
      <c r="AE2758">
        <v>-13.746</v>
      </c>
      <c r="AF2758">
        <v>-2.9286868906002801</v>
      </c>
      <c r="AG2758">
        <v>-1.1118531473039901</v>
      </c>
      <c r="AH2758">
        <v>13.3949860353693</v>
      </c>
      <c r="AI2758">
        <v>94.635948827427299</v>
      </c>
      <c r="AJ2758">
        <v>102.333101581268</v>
      </c>
      <c r="AK2758">
        <v>13.756419418296399</v>
      </c>
      <c r="AL2758">
        <v>80.227896047246702</v>
      </c>
      <c r="AM2758">
        <v>103.37705167732599</v>
      </c>
      <c r="AN2758">
        <v>0.99999996636122901</v>
      </c>
    </row>
    <row r="2759" spans="1:40" x14ac:dyDescent="0.25">
      <c r="A2759" t="str">
        <f>"20190312172422596"</f>
        <v>20190312172422596</v>
      </c>
      <c r="B2759" t="str">
        <f>"1552382662592905"</f>
        <v>1552382662592905</v>
      </c>
      <c r="C2759" t="s">
        <v>40</v>
      </c>
      <c r="D2759">
        <v>4.1307159999999996</v>
      </c>
      <c r="E2759">
        <v>0.50671619999999995</v>
      </c>
      <c r="F2759" t="s">
        <v>43</v>
      </c>
      <c r="G2759">
        <v>-489.4708</v>
      </c>
      <c r="H2759" s="1">
        <v>-1.4452819999999999E-7</v>
      </c>
      <c r="I2759">
        <v>239.65899999999999</v>
      </c>
      <c r="J2759">
        <v>-490.65730000000002</v>
      </c>
      <c r="K2759">
        <v>1.1118570000000001</v>
      </c>
      <c r="L2759">
        <v>253.2612</v>
      </c>
      <c r="M2759">
        <v>-0.12508159999999999</v>
      </c>
      <c r="N2759">
        <v>0</v>
      </c>
      <c r="O2759">
        <v>-0.99205339999999997</v>
      </c>
      <c r="P2759">
        <v>0.1047218</v>
      </c>
      <c r="Q2759">
        <v>0.1587266</v>
      </c>
      <c r="R2759">
        <v>-0.98175349999999995</v>
      </c>
      <c r="S2759">
        <v>0.26239010000000001</v>
      </c>
      <c r="T2759">
        <v>-0.24863740000000001</v>
      </c>
      <c r="U2759">
        <v>-3.0668639999999998</v>
      </c>
      <c r="V2759">
        <v>-0.22714019999999999</v>
      </c>
      <c r="W2759">
        <v>0.17120270000000001</v>
      </c>
      <c r="X2759">
        <v>0.95869539999999998</v>
      </c>
      <c r="Y2759">
        <v>-0.2089415</v>
      </c>
      <c r="Z2759">
        <v>7.8818799999999994E-2</v>
      </c>
      <c r="AA2759">
        <v>0.97474660000000002</v>
      </c>
      <c r="AB2759">
        <v>21</v>
      </c>
      <c r="AC2759">
        <v>1.1865000000000201</v>
      </c>
      <c r="AD2759">
        <v>-1.1118571445281999</v>
      </c>
      <c r="AE2759">
        <v>-13.6021999999999</v>
      </c>
      <c r="AF2759">
        <v>-2.8597586428728499</v>
      </c>
      <c r="AG2759">
        <v>-1.1118571445281999</v>
      </c>
      <c r="AH2759">
        <v>13.259009467814201</v>
      </c>
      <c r="AI2759">
        <v>94.686158116076001</v>
      </c>
      <c r="AJ2759">
        <v>102.17134377686899</v>
      </c>
      <c r="AK2759">
        <v>13.6094003494978</v>
      </c>
      <c r="AL2759">
        <v>80.1422455954079</v>
      </c>
      <c r="AM2759">
        <v>103.32910155890001</v>
      </c>
      <c r="AN2759">
        <v>0.99999995246224305</v>
      </c>
    </row>
    <row r="2760" spans="1:40" x14ac:dyDescent="0.25">
      <c r="A2760" t="str">
        <f>"20190312172422609"</f>
        <v>20190312172422609</v>
      </c>
      <c r="B2760" t="str">
        <f>"1552382662602664"</f>
        <v>1552382662602664</v>
      </c>
      <c r="C2760" t="s">
        <v>40</v>
      </c>
      <c r="D2760">
        <v>4.1080110000000003</v>
      </c>
      <c r="E2760">
        <v>0.50673199999999996</v>
      </c>
      <c r="F2760" t="s">
        <v>43</v>
      </c>
      <c r="G2760">
        <v>-489.46249999999998</v>
      </c>
      <c r="H2760" s="1">
        <v>-4.2351670000000003E-6</v>
      </c>
      <c r="I2760">
        <v>239.28280000000001</v>
      </c>
      <c r="J2760">
        <v>-490.66989999999998</v>
      </c>
      <c r="K2760">
        <v>1.111858</v>
      </c>
      <c r="L2760">
        <v>253.15209999999999</v>
      </c>
      <c r="M2760">
        <v>-0.1241153</v>
      </c>
      <c r="N2760">
        <v>0</v>
      </c>
      <c r="O2760">
        <v>-0.99217469999999996</v>
      </c>
      <c r="P2760">
        <v>0.1051255</v>
      </c>
      <c r="Q2760">
        <v>0.16019600000000001</v>
      </c>
      <c r="R2760">
        <v>-0.98147139999999999</v>
      </c>
      <c r="S2760">
        <v>0.26217649999999998</v>
      </c>
      <c r="T2760">
        <v>-0.2439694</v>
      </c>
      <c r="U2760">
        <v>-3.067215</v>
      </c>
      <c r="V2760">
        <v>-0.22657150000000001</v>
      </c>
      <c r="W2760">
        <v>0.17267299999999999</v>
      </c>
      <c r="X2760">
        <v>0.95856629999999998</v>
      </c>
      <c r="Y2760">
        <v>-0.2079221</v>
      </c>
      <c r="Z2760">
        <v>7.7362879999999995E-2</v>
      </c>
      <c r="AA2760">
        <v>0.97508119999999998</v>
      </c>
      <c r="AB2760">
        <v>21</v>
      </c>
      <c r="AC2760">
        <v>1.2074</v>
      </c>
      <c r="AD2760">
        <v>-1.111862235167</v>
      </c>
      <c r="AE2760">
        <v>-13.8692999999999</v>
      </c>
      <c r="AF2760">
        <v>-2.9011092578833502</v>
      </c>
      <c r="AG2760">
        <v>-1.111862235167</v>
      </c>
      <c r="AH2760">
        <v>13.525895284421701</v>
      </c>
      <c r="AI2760">
        <v>94.595241335200896</v>
      </c>
      <c r="AJ2760">
        <v>102.105704382707</v>
      </c>
      <c r="AK2760">
        <v>13.878130846814599</v>
      </c>
      <c r="AL2760">
        <v>80.056730365753197</v>
      </c>
      <c r="AM2760">
        <v>103.298642996756</v>
      </c>
      <c r="AN2760">
        <v>0.99999998051846894</v>
      </c>
    </row>
    <row r="2761" spans="1:40" x14ac:dyDescent="0.25">
      <c r="A2761" t="str">
        <f>"20190312172422623"</f>
        <v>20190312172422623</v>
      </c>
      <c r="B2761" t="str">
        <f>"1552382662612424"</f>
        <v>1552382662612424</v>
      </c>
      <c r="C2761" t="s">
        <v>40</v>
      </c>
      <c r="D2761">
        <v>4.1212549999999997</v>
      </c>
      <c r="E2761">
        <v>0.50685919999999995</v>
      </c>
      <c r="F2761" t="s">
        <v>43</v>
      </c>
      <c r="G2761">
        <v>-489.44569999999999</v>
      </c>
      <c r="H2761" s="1">
        <v>-4.0717640000000004E-6</v>
      </c>
      <c r="I2761">
        <v>238.89500000000001</v>
      </c>
      <c r="J2761">
        <v>-490.68430000000001</v>
      </c>
      <c r="K2761">
        <v>1.1118600000000001</v>
      </c>
      <c r="L2761">
        <v>253.02719999999999</v>
      </c>
      <c r="M2761">
        <v>-0.12300850000000001</v>
      </c>
      <c r="N2761">
        <v>0</v>
      </c>
      <c r="O2761">
        <v>-0.99231270000000005</v>
      </c>
      <c r="P2761">
        <v>0.1059808</v>
      </c>
      <c r="Q2761">
        <v>0.16087979999999999</v>
      </c>
      <c r="R2761">
        <v>-0.98126780000000002</v>
      </c>
      <c r="S2761">
        <v>0.2633972</v>
      </c>
      <c r="T2761">
        <v>-0.23922109999999999</v>
      </c>
      <c r="U2761">
        <v>-3.0674739999999998</v>
      </c>
      <c r="V2761">
        <v>-0.22632350000000001</v>
      </c>
      <c r="W2761">
        <v>0.17335819999999999</v>
      </c>
      <c r="X2761">
        <v>0.95850119999999905</v>
      </c>
      <c r="Y2761">
        <v>-0.2072194</v>
      </c>
      <c r="Z2761">
        <v>7.5880539999999996E-2</v>
      </c>
      <c r="AA2761">
        <v>0.97534730000000003</v>
      </c>
      <c r="AB2761">
        <v>21</v>
      </c>
      <c r="AC2761">
        <v>1.2386000000000099</v>
      </c>
      <c r="AD2761">
        <v>-1.111864071764</v>
      </c>
      <c r="AE2761">
        <v>-14.1321999999999</v>
      </c>
      <c r="AF2761">
        <v>-2.9496142440229298</v>
      </c>
      <c r="AG2761">
        <v>-1.111864071764</v>
      </c>
      <c r="AH2761">
        <v>13.787787917942801</v>
      </c>
      <c r="AI2761">
        <v>94.508838934860407</v>
      </c>
      <c r="AJ2761">
        <v>102.07524079175499</v>
      </c>
      <c r="AK2761">
        <v>14.1435342673885</v>
      </c>
      <c r="AL2761">
        <v>80.016870074512198</v>
      </c>
      <c r="AM2761">
        <v>103.285473260564</v>
      </c>
      <c r="AN2761">
        <v>0.99999997128046403</v>
      </c>
    </row>
    <row r="2762" spans="1:40" x14ac:dyDescent="0.25">
      <c r="A2762" t="str">
        <f>"20190312172422635"</f>
        <v>20190312172422635</v>
      </c>
      <c r="B2762" t="str">
        <f>"1552382662623161"</f>
        <v>1552382662623161</v>
      </c>
      <c r="C2762" t="s">
        <v>40</v>
      </c>
      <c r="D2762">
        <v>4.1190989999999896</v>
      </c>
      <c r="E2762">
        <v>0.50683820000000002</v>
      </c>
      <c r="F2762" t="s">
        <v>43</v>
      </c>
      <c r="G2762">
        <v>-489.43259999999998</v>
      </c>
      <c r="H2762" s="1">
        <v>-3.9448120000000002E-6</v>
      </c>
      <c r="I2762">
        <v>238.59360000000001</v>
      </c>
      <c r="J2762">
        <v>-490.69709999999998</v>
      </c>
      <c r="K2762">
        <v>1.111864</v>
      </c>
      <c r="L2762">
        <v>252.9136</v>
      </c>
      <c r="M2762">
        <v>-0.12200220000000001</v>
      </c>
      <c r="N2762">
        <v>0</v>
      </c>
      <c r="O2762">
        <v>-0.99243709999999996</v>
      </c>
      <c r="P2762">
        <v>0.10668850000000001</v>
      </c>
      <c r="Q2762">
        <v>0.16112839999999901</v>
      </c>
      <c r="R2762">
        <v>-0.98115030000000003</v>
      </c>
      <c r="S2762">
        <v>0.26599119999999998</v>
      </c>
      <c r="T2762">
        <v>-0.236285</v>
      </c>
      <c r="U2762">
        <v>-3.067307</v>
      </c>
      <c r="V2762">
        <v>-0.22603599999999999</v>
      </c>
      <c r="W2762">
        <v>0.1736085</v>
      </c>
      <c r="X2762">
        <v>0.95852380000000004</v>
      </c>
      <c r="Y2762">
        <v>-0.20705680000000001</v>
      </c>
      <c r="Z2762">
        <v>7.4971700000000002E-2</v>
      </c>
      <c r="AA2762">
        <v>0.97545210000000004</v>
      </c>
      <c r="AB2762">
        <v>21</v>
      </c>
      <c r="AC2762">
        <v>1.26449999999999</v>
      </c>
      <c r="AD2762">
        <v>-1.1118679448119999</v>
      </c>
      <c r="AE2762">
        <v>-14.319999999999901</v>
      </c>
      <c r="AF2762">
        <v>-2.9844316385760399</v>
      </c>
      <c r="AG2762">
        <v>-1.1118679448119999</v>
      </c>
      <c r="AH2762">
        <v>13.975122093792001</v>
      </c>
      <c r="AI2762">
        <v>94.448999211870003</v>
      </c>
      <c r="AJ2762">
        <v>102.054622080066</v>
      </c>
      <c r="AK2762">
        <v>14.3334266687497</v>
      </c>
      <c r="AL2762">
        <v>80.002308726615794</v>
      </c>
      <c r="AM2762">
        <v>103.268892220331</v>
      </c>
      <c r="AN2762">
        <v>1.0000000298673399</v>
      </c>
    </row>
    <row r="2763" spans="1:40" x14ac:dyDescent="0.25">
      <c r="A2763" t="str">
        <f>"20190312172422652"</f>
        <v>20190312172422652</v>
      </c>
      <c r="B2763" t="str">
        <f>"1552382662642682"</f>
        <v>1552382662642682</v>
      </c>
      <c r="C2763" t="s">
        <v>40</v>
      </c>
      <c r="D2763">
        <v>4.0553949999999999</v>
      </c>
      <c r="E2763">
        <v>0.50695709999999905</v>
      </c>
      <c r="F2763" t="s">
        <v>43</v>
      </c>
      <c r="G2763">
        <v>-489.42669999999998</v>
      </c>
      <c r="H2763" s="1">
        <v>-3.8617830000000002E-6</v>
      </c>
      <c r="I2763">
        <v>238.39760000000001</v>
      </c>
      <c r="J2763">
        <v>-490.71510000000001</v>
      </c>
      <c r="K2763">
        <v>1.111869</v>
      </c>
      <c r="L2763">
        <v>252.75299999999999</v>
      </c>
      <c r="M2763">
        <v>-0.1205792</v>
      </c>
      <c r="N2763">
        <v>0</v>
      </c>
      <c r="O2763">
        <v>-0.99261089999999996</v>
      </c>
      <c r="P2763">
        <v>0.107641899999999</v>
      </c>
      <c r="Q2763">
        <v>0.16219929999999999</v>
      </c>
      <c r="R2763">
        <v>-0.98086960000000001</v>
      </c>
      <c r="S2763">
        <v>0.26843260000000002</v>
      </c>
      <c r="T2763">
        <v>-0.23492260000000001</v>
      </c>
      <c r="U2763">
        <v>-3.0670320000000002</v>
      </c>
      <c r="V2763">
        <v>-0.22557150000000001</v>
      </c>
      <c r="W2763">
        <v>0.17468049999999999</v>
      </c>
      <c r="X2763">
        <v>0.95843840000000002</v>
      </c>
      <c r="Y2763">
        <v>-0.20643510000000001</v>
      </c>
      <c r="Z2763">
        <v>7.4570919999999999E-2</v>
      </c>
      <c r="AA2763">
        <v>0.97561450000000005</v>
      </c>
      <c r="AB2763">
        <v>21</v>
      </c>
      <c r="AC2763">
        <v>1.28840000000002</v>
      </c>
      <c r="AD2763">
        <v>-1.1118728617829901</v>
      </c>
      <c r="AE2763">
        <v>-14.3553999999999</v>
      </c>
      <c r="AF2763">
        <v>-2.9923123887180099</v>
      </c>
      <c r="AG2763">
        <v>-1.1118728617829901</v>
      </c>
      <c r="AH2763">
        <v>14.011885140088699</v>
      </c>
      <c r="AI2763">
        <v>94.437390653010794</v>
      </c>
      <c r="AJ2763">
        <v>102.054738952455</v>
      </c>
      <c r="AK2763">
        <v>14.3709122838978</v>
      </c>
      <c r="AL2763">
        <v>79.939933997717802</v>
      </c>
      <c r="AM2763">
        <v>103.243724942368</v>
      </c>
      <c r="AN2763">
        <v>0.99999997264352902</v>
      </c>
    </row>
    <row r="2764" spans="1:40" x14ac:dyDescent="0.25">
      <c r="A2764" t="str">
        <f>"20190312172422665"</f>
        <v>20190312172422665</v>
      </c>
      <c r="B2764" t="str">
        <f>"1552382662652440"</f>
        <v>1552382662652440</v>
      </c>
      <c r="C2764" t="s">
        <v>40</v>
      </c>
      <c r="D2764">
        <v>4.0777260000000002</v>
      </c>
      <c r="E2764">
        <v>0.50697239999999999</v>
      </c>
      <c r="F2764" t="s">
        <v>43</v>
      </c>
      <c r="G2764">
        <v>-489.41160000000002</v>
      </c>
      <c r="H2764" s="1">
        <v>-3.6931529999999998E-6</v>
      </c>
      <c r="I2764">
        <v>237.9983</v>
      </c>
      <c r="J2764">
        <v>-490.72710000000001</v>
      </c>
      <c r="K2764">
        <v>1.1118709999999901</v>
      </c>
      <c r="L2764">
        <v>252.6456</v>
      </c>
      <c r="M2764">
        <v>-0.11962830000000001</v>
      </c>
      <c r="N2764">
        <v>0</v>
      </c>
      <c r="O2764">
        <v>-0.992726</v>
      </c>
      <c r="P2764">
        <v>0.108448</v>
      </c>
      <c r="Q2764">
        <v>0.16268089999999999</v>
      </c>
      <c r="R2764">
        <v>-0.98070119999999905</v>
      </c>
      <c r="S2764">
        <v>0.27096559999999997</v>
      </c>
      <c r="T2764">
        <v>-0.2311203</v>
      </c>
      <c r="U2764">
        <v>-3.0670009999999999</v>
      </c>
      <c r="V2764">
        <v>-0.22543079999999999</v>
      </c>
      <c r="W2764">
        <v>0.17516219999999999</v>
      </c>
      <c r="X2764">
        <v>0.9583836</v>
      </c>
      <c r="Y2764">
        <v>-0.2063063</v>
      </c>
      <c r="Z2764">
        <v>7.3382879999999998E-2</v>
      </c>
      <c r="AA2764">
        <v>0.97573180000000004</v>
      </c>
      <c r="AB2764">
        <v>21</v>
      </c>
      <c r="AC2764">
        <v>1.3154999999999799</v>
      </c>
      <c r="AD2764">
        <v>-1.1118746931529999</v>
      </c>
      <c r="AE2764">
        <v>-14.6473</v>
      </c>
      <c r="AF2764">
        <v>-3.0410609679734502</v>
      </c>
      <c r="AG2764">
        <v>-1.1118746931529999</v>
      </c>
      <c r="AH2764">
        <v>14.3029505646047</v>
      </c>
      <c r="AI2764">
        <v>94.348274253256406</v>
      </c>
      <c r="AJ2764">
        <v>102.003353479369</v>
      </c>
      <c r="AK2764">
        <v>14.6648802244591</v>
      </c>
      <c r="AL2764">
        <v>79.911902549445301</v>
      </c>
      <c r="AM2764">
        <v>103.236485208682</v>
      </c>
      <c r="AN2764">
        <v>0.99999998332321904</v>
      </c>
    </row>
    <row r="2765" spans="1:40" x14ac:dyDescent="0.25">
      <c r="A2765" t="str">
        <f>"20190312172422675"</f>
        <v>20190312172422675</v>
      </c>
      <c r="B2765" t="str">
        <f>"1552382662672937"</f>
        <v>1552382662672937</v>
      </c>
      <c r="C2765" t="s">
        <v>40</v>
      </c>
      <c r="D2765">
        <v>4.0589110000000002</v>
      </c>
      <c r="E2765">
        <v>0.50704759999999904</v>
      </c>
      <c r="F2765" t="s">
        <v>43</v>
      </c>
      <c r="G2765">
        <v>-489.3972</v>
      </c>
      <c r="H2765" s="1">
        <v>-3.5967900000000002E-6</v>
      </c>
      <c r="I2765">
        <v>237.76769999999999</v>
      </c>
      <c r="J2765">
        <v>-490.73919999999998</v>
      </c>
      <c r="K2765">
        <v>1.111861</v>
      </c>
      <c r="L2765">
        <v>252.53630000000001</v>
      </c>
      <c r="M2765">
        <v>-0.11866160000000001</v>
      </c>
      <c r="N2765">
        <v>0</v>
      </c>
      <c r="O2765">
        <v>-0.992842</v>
      </c>
      <c r="P2765">
        <v>0.1093576</v>
      </c>
      <c r="Q2765">
        <v>0.16315879999999999</v>
      </c>
      <c r="R2765">
        <v>-0.98052070000000002</v>
      </c>
      <c r="S2765">
        <v>0.27413939999999998</v>
      </c>
      <c r="T2765">
        <v>-0.229189</v>
      </c>
      <c r="U2765">
        <v>-3.066757</v>
      </c>
      <c r="V2765">
        <v>-0.2253771</v>
      </c>
      <c r="W2765">
        <v>0.17564009999999999</v>
      </c>
      <c r="X2765">
        <v>0.95830879999999996</v>
      </c>
      <c r="Y2765">
        <v>-0.2063663</v>
      </c>
      <c r="Z2765">
        <v>7.2787959999999999E-2</v>
      </c>
      <c r="AA2765">
        <v>0.97576370000000001</v>
      </c>
      <c r="AB2765">
        <v>21</v>
      </c>
      <c r="AC2765">
        <v>1.3419999999999801</v>
      </c>
      <c r="AD2765">
        <v>-1.1118645967899901</v>
      </c>
      <c r="AE2765">
        <v>-14.768599999999999</v>
      </c>
      <c r="AF2765">
        <v>-3.06789755388579</v>
      </c>
      <c r="AG2765">
        <v>-1.1118645967899901</v>
      </c>
      <c r="AH2765">
        <v>14.4238941453173</v>
      </c>
      <c r="AI2765">
        <v>94.311845314006007</v>
      </c>
      <c r="AJ2765">
        <v>102.007616922051</v>
      </c>
      <c r="AK2765">
        <v>14.788406289998001</v>
      </c>
      <c r="AL2765">
        <v>79.884090079753193</v>
      </c>
      <c r="AM2765">
        <v>103.234439672021</v>
      </c>
      <c r="AN2765">
        <v>1.0000000190449201</v>
      </c>
    </row>
    <row r="2766" spans="1:40" x14ac:dyDescent="0.25">
      <c r="A2766" t="str">
        <f>"20190312172422689"</f>
        <v>20190312172422689</v>
      </c>
      <c r="B2766" t="str">
        <f>"1552382662682696"</f>
        <v>1552382662682696</v>
      </c>
      <c r="C2766" t="s">
        <v>40</v>
      </c>
      <c r="D2766">
        <v>4.0306509999999998</v>
      </c>
      <c r="E2766">
        <v>0.50704759999999904</v>
      </c>
      <c r="F2766" t="s">
        <v>43</v>
      </c>
      <c r="G2766">
        <v>-489.38729999999998</v>
      </c>
      <c r="H2766" s="1">
        <v>-3.5022370000000001E-6</v>
      </c>
      <c r="I2766">
        <v>237.54320000000001</v>
      </c>
      <c r="J2766">
        <v>-490.75150000000002</v>
      </c>
      <c r="K2766">
        <v>1.111845</v>
      </c>
      <c r="L2766">
        <v>252.423</v>
      </c>
      <c r="M2766">
        <v>-0.1176632</v>
      </c>
      <c r="N2766">
        <v>0</v>
      </c>
      <c r="O2766">
        <v>-0.99296090000000004</v>
      </c>
      <c r="P2766">
        <v>0.1105618</v>
      </c>
      <c r="Q2766">
        <v>0.1628995</v>
      </c>
      <c r="R2766">
        <v>-0.98042879999999999</v>
      </c>
      <c r="S2766">
        <v>0.27651979999999998</v>
      </c>
      <c r="T2766">
        <v>-0.22741529999999999</v>
      </c>
      <c r="U2766">
        <v>-3.066605</v>
      </c>
      <c r="V2766">
        <v>-0.2255933</v>
      </c>
      <c r="W2766">
        <v>0.1753815</v>
      </c>
      <c r="X2766">
        <v>0.95830530000000003</v>
      </c>
      <c r="Y2766">
        <v>-0.20614179999999999</v>
      </c>
      <c r="Z2766">
        <v>7.2243710000000003E-2</v>
      </c>
      <c r="AA2766">
        <v>0.97585169999999999</v>
      </c>
      <c r="AB2766">
        <v>21</v>
      </c>
      <c r="AC2766">
        <v>1.3642000000000301</v>
      </c>
      <c r="AD2766">
        <v>-1.1118485022369999</v>
      </c>
      <c r="AE2766">
        <v>-14.8797999999999</v>
      </c>
      <c r="AF2766">
        <v>-3.0885869077150199</v>
      </c>
      <c r="AG2766">
        <v>-1.1118485022369999</v>
      </c>
      <c r="AH2766">
        <v>14.5354081434674</v>
      </c>
      <c r="AI2766">
        <v>94.279007651948007</v>
      </c>
      <c r="AJ2766">
        <v>101.99619281812799</v>
      </c>
      <c r="AK2766">
        <v>14.901465232507</v>
      </c>
      <c r="AL2766">
        <v>79.899140475523794</v>
      </c>
      <c r="AM2766">
        <v>103.246734502409</v>
      </c>
      <c r="AN2766">
        <v>1.00000002777761</v>
      </c>
    </row>
    <row r="2767" spans="1:40" x14ac:dyDescent="0.25">
      <c r="A2767" t="str">
        <f>"20190312172422701"</f>
        <v>20190312172422701</v>
      </c>
      <c r="B2767" t="str">
        <f>"1552382662692457"</f>
        <v>1552382662692457</v>
      </c>
      <c r="C2767" t="s">
        <v>40</v>
      </c>
      <c r="D2767">
        <v>4.0199309999999997</v>
      </c>
      <c r="E2767">
        <v>0.4874619</v>
      </c>
      <c r="F2767" t="s">
        <v>43</v>
      </c>
      <c r="G2767">
        <v>-489.38549999999998</v>
      </c>
      <c r="H2767" s="1">
        <v>-3.4792230000000001E-6</v>
      </c>
      <c r="I2767">
        <v>237.4888</v>
      </c>
      <c r="J2767">
        <v>-490.76420000000002</v>
      </c>
      <c r="K2767">
        <v>1.111818</v>
      </c>
      <c r="L2767">
        <v>252.30709999999999</v>
      </c>
      <c r="M2767">
        <v>-0.1166427</v>
      </c>
      <c r="N2767">
        <v>0</v>
      </c>
      <c r="O2767">
        <v>-0.99308129999999994</v>
      </c>
      <c r="P2767">
        <v>0.11248759999999999</v>
      </c>
      <c r="Q2767">
        <v>0.1613494</v>
      </c>
      <c r="R2767">
        <v>-0.98046580000000005</v>
      </c>
      <c r="S2767">
        <v>0.2804565</v>
      </c>
      <c r="T2767">
        <v>-0.22827539999999999</v>
      </c>
      <c r="U2767">
        <v>-3.0661619999999998</v>
      </c>
      <c r="V2767">
        <v>-0.22651640000000001</v>
      </c>
      <c r="W2767">
        <v>0.1738316</v>
      </c>
      <c r="X2767">
        <v>0.9583699</v>
      </c>
      <c r="Y2767">
        <v>-0.20638960000000001</v>
      </c>
      <c r="Z2767">
        <v>7.2533059999999996E-2</v>
      </c>
      <c r="AA2767">
        <v>0.97577780000000003</v>
      </c>
      <c r="AB2767">
        <v>21</v>
      </c>
      <c r="AC2767">
        <v>1.37870000000003</v>
      </c>
      <c r="AD2767">
        <v>-1.1118214792229999</v>
      </c>
      <c r="AE2767">
        <v>-14.818299999999899</v>
      </c>
      <c r="AF2767">
        <v>-3.0806986545140398</v>
      </c>
      <c r="AG2767">
        <v>-1.1118214792229999</v>
      </c>
      <c r="AH2767">
        <v>14.475509493220001</v>
      </c>
      <c r="AI2767">
        <v>94.296252538984007</v>
      </c>
      <c r="AJ2767">
        <v>102.014519136595</v>
      </c>
      <c r="AK2767">
        <v>14.8414024367608</v>
      </c>
      <c r="AL2767">
        <v>79.989328223413295</v>
      </c>
      <c r="AM2767">
        <v>103.2981516409</v>
      </c>
      <c r="AN2767">
        <v>0.99999998492676401</v>
      </c>
    </row>
    <row r="2768" spans="1:40" x14ac:dyDescent="0.25">
      <c r="A2768" t="str">
        <f>"20190312172422720"</f>
        <v>20190312172422720</v>
      </c>
      <c r="B2768" t="str">
        <f>"1552382662712955"</f>
        <v>1552382662712955</v>
      </c>
      <c r="C2768" t="s">
        <v>40</v>
      </c>
      <c r="D2768">
        <v>3.8066309999999999</v>
      </c>
      <c r="E2768">
        <v>0.46520709999999998</v>
      </c>
      <c r="F2768" t="s">
        <v>43</v>
      </c>
      <c r="G2768">
        <v>-488.61020000000002</v>
      </c>
      <c r="H2768" s="1">
        <v>-3.5940319999999998E-6</v>
      </c>
      <c r="I2768">
        <v>237.4359</v>
      </c>
      <c r="J2768">
        <v>-490.78309999999999</v>
      </c>
      <c r="K2768">
        <v>1.1117669999999999</v>
      </c>
      <c r="L2768">
        <v>252.1292</v>
      </c>
      <c r="M2768">
        <v>-0.11508790000000001</v>
      </c>
      <c r="N2768">
        <v>0</v>
      </c>
      <c r="O2768">
        <v>-0.9932628</v>
      </c>
      <c r="P2768">
        <v>0.11756460000000001</v>
      </c>
      <c r="Q2768">
        <v>0.156527799999999</v>
      </c>
      <c r="R2768">
        <v>-0.98065190000000002</v>
      </c>
      <c r="S2768">
        <v>0.44128420000000002</v>
      </c>
      <c r="T2768">
        <v>-0.22777800000000001</v>
      </c>
      <c r="U2768">
        <v>-3.0466609999999998</v>
      </c>
      <c r="V2768">
        <v>-0.23006119999999999</v>
      </c>
      <c r="W2768">
        <v>0.16900509999999999</v>
      </c>
      <c r="X2768">
        <v>0.95838880000000004</v>
      </c>
      <c r="Y2768">
        <v>-0.25592140000000002</v>
      </c>
      <c r="Z2768">
        <v>7.2193579999999993E-2</v>
      </c>
      <c r="AA2768">
        <v>0.96399809999999997</v>
      </c>
      <c r="AB2768">
        <v>21</v>
      </c>
      <c r="AC2768">
        <v>2.1728999999999701</v>
      </c>
      <c r="AD2768">
        <v>-1.111770594032</v>
      </c>
      <c r="AE2768">
        <v>-14.693299999999899</v>
      </c>
      <c r="AF2768">
        <v>-3.8281874211201199</v>
      </c>
      <c r="AG2768">
        <v>-1.111770594032</v>
      </c>
      <c r="AH2768">
        <v>14.265626304814999</v>
      </c>
      <c r="AI2768">
        <v>94.304562081232802</v>
      </c>
      <c r="AJ2768">
        <v>105.02144883464899</v>
      </c>
      <c r="AK2768">
        <v>14.8121283633921</v>
      </c>
      <c r="AL2768">
        <v>80.270021344301597</v>
      </c>
      <c r="AM2768">
        <v>103.49844023703599</v>
      </c>
      <c r="AN2768">
        <v>0.99999998576844396</v>
      </c>
    </row>
    <row r="2769" spans="1:40" x14ac:dyDescent="0.25">
      <c r="A2769" t="str">
        <f>"20190312172422733"</f>
        <v>20190312172422733</v>
      </c>
      <c r="B2769" t="str">
        <f>"1552382662722712"</f>
        <v>1552382662722712</v>
      </c>
      <c r="C2769" t="s">
        <v>40</v>
      </c>
      <c r="D2769">
        <v>3.8457170000000001</v>
      </c>
      <c r="E2769">
        <v>0.45641280000000001</v>
      </c>
      <c r="F2769" t="s">
        <v>43</v>
      </c>
      <c r="G2769">
        <v>-487.47070000000002</v>
      </c>
      <c r="H2769" s="1">
        <v>-3.309814E-6</v>
      </c>
      <c r="I2769">
        <v>236.3022</v>
      </c>
      <c r="J2769">
        <v>-490.79509999999999</v>
      </c>
      <c r="K2769">
        <v>1.111742</v>
      </c>
      <c r="L2769">
        <v>252.01580000000001</v>
      </c>
      <c r="M2769">
        <v>-0.114105</v>
      </c>
      <c r="N2769">
        <v>0</v>
      </c>
      <c r="O2769">
        <v>-0.99337620000000004</v>
      </c>
      <c r="P2769">
        <v>0.12069580000000001</v>
      </c>
      <c r="Q2769">
        <v>0.15529079999999901</v>
      </c>
      <c r="R2769">
        <v>-0.98046809999999995</v>
      </c>
      <c r="S2769">
        <v>0.63150019999999996</v>
      </c>
      <c r="T2769">
        <v>-0.2119529</v>
      </c>
      <c r="U2769">
        <v>-3.017334</v>
      </c>
      <c r="V2769">
        <v>-0.23219409999999999</v>
      </c>
      <c r="W2769">
        <v>0.16776240000000001</v>
      </c>
      <c r="X2769">
        <v>0.95809270000000002</v>
      </c>
      <c r="Y2769">
        <v>-0.3147412</v>
      </c>
      <c r="Z2769">
        <v>6.6880990000000001E-2</v>
      </c>
      <c r="AA2769">
        <v>0.9468183</v>
      </c>
      <c r="AB2769">
        <v>21</v>
      </c>
      <c r="AC2769">
        <v>3.3243999999999598</v>
      </c>
      <c r="AD2769">
        <v>-1.111745309814</v>
      </c>
      <c r="AE2769">
        <v>-15.7136</v>
      </c>
      <c r="AF2769">
        <v>-5.0715496772894904</v>
      </c>
      <c r="AG2769">
        <v>-1.111745309814</v>
      </c>
      <c r="AH2769">
        <v>15.1589558188286</v>
      </c>
      <c r="AI2769">
        <v>93.978517929976405</v>
      </c>
      <c r="AJ2769">
        <v>108.498076116405</v>
      </c>
      <c r="AK2769">
        <v>16.0234370620134</v>
      </c>
      <c r="AL2769">
        <v>80.342254060286294</v>
      </c>
      <c r="AM2769">
        <v>103.622996004584</v>
      </c>
      <c r="AN2769">
        <v>0.99999997236092897</v>
      </c>
    </row>
    <row r="2770" spans="1:40" x14ac:dyDescent="0.25">
      <c r="A2770" t="str">
        <f>"20190312172422747"</f>
        <v>20190312172422747</v>
      </c>
      <c r="B2770" t="str">
        <f>"1552382662743208"</f>
        <v>1552382662743208</v>
      </c>
      <c r="C2770" t="s">
        <v>40</v>
      </c>
      <c r="D2770">
        <v>3.7918120000000002</v>
      </c>
      <c r="E2770">
        <v>0.40956229999999999</v>
      </c>
      <c r="F2770" t="s">
        <v>43</v>
      </c>
      <c r="G2770">
        <v>-487.04930000000002</v>
      </c>
      <c r="H2770" s="1">
        <v>-3.3338819999999999E-6</v>
      </c>
      <c r="I2770">
        <v>236.1841</v>
      </c>
      <c r="J2770">
        <v>-490.80770000000001</v>
      </c>
      <c r="K2770">
        <v>1.111718</v>
      </c>
      <c r="L2770">
        <v>251.8956</v>
      </c>
      <c r="M2770">
        <v>-0.1130697</v>
      </c>
      <c r="N2770">
        <v>0</v>
      </c>
      <c r="O2770">
        <v>-0.99349449999999995</v>
      </c>
      <c r="P2770">
        <v>0.1242716</v>
      </c>
      <c r="Q2770">
        <v>0.15381069999999999</v>
      </c>
      <c r="R2770">
        <v>-0.98025459999999998</v>
      </c>
      <c r="S2770">
        <v>0.71115109999999904</v>
      </c>
      <c r="T2770">
        <v>-0.21106649999999999</v>
      </c>
      <c r="U2770">
        <v>-3.0056759999999998</v>
      </c>
      <c r="V2770">
        <v>-0.23471429999999999</v>
      </c>
      <c r="W2770">
        <v>0.16627529999999999</v>
      </c>
      <c r="X2770">
        <v>0.95773779999999997</v>
      </c>
      <c r="Y2770">
        <v>-0.33829199999999998</v>
      </c>
      <c r="Z2770">
        <v>6.6395419999999997E-2</v>
      </c>
      <c r="AA2770">
        <v>0.93869599999999997</v>
      </c>
      <c r="AB2770">
        <v>21</v>
      </c>
      <c r="AC2770">
        <v>3.7583999999999902</v>
      </c>
      <c r="AD2770">
        <v>-1.111721333882</v>
      </c>
      <c r="AE2770">
        <v>-15.711499999999999</v>
      </c>
      <c r="AF2770">
        <v>-5.4849755893683696</v>
      </c>
      <c r="AG2770">
        <v>-1.111721333882</v>
      </c>
      <c r="AH2770">
        <v>15.114147209098601</v>
      </c>
      <c r="AI2770">
        <v>93.955294532770495</v>
      </c>
      <c r="AJ2770">
        <v>109.946007280579</v>
      </c>
      <c r="AK2770">
        <v>16.117019805115302</v>
      </c>
      <c r="AL2770">
        <v>80.4286726137356</v>
      </c>
      <c r="AM2770">
        <v>103.770168721183</v>
      </c>
      <c r="AN2770">
        <v>0.99999998578170901</v>
      </c>
    </row>
    <row r="2771" spans="1:40" x14ac:dyDescent="0.25">
      <c r="A2771" t="str">
        <f>"20190312172422765"</f>
        <v>20190312172422765</v>
      </c>
      <c r="B2771" t="str">
        <f>"1552382662762729"</f>
        <v>1552382662762729</v>
      </c>
      <c r="C2771" t="s">
        <v>40</v>
      </c>
      <c r="D2771">
        <v>3.7362169999999999</v>
      </c>
      <c r="E2771">
        <v>0.40951389999999999</v>
      </c>
      <c r="F2771" t="s">
        <v>41</v>
      </c>
      <c r="G2771">
        <v>-490.47199999999998</v>
      </c>
      <c r="H2771">
        <v>1.059331</v>
      </c>
      <c r="I2771">
        <v>250.98820000000001</v>
      </c>
      <c r="J2771">
        <v>-490.8254</v>
      </c>
      <c r="K2771">
        <v>1.1116779999999999</v>
      </c>
      <c r="L2771">
        <v>251.7253</v>
      </c>
      <c r="M2771">
        <v>-0.11162039999999999</v>
      </c>
      <c r="N2771">
        <v>0</v>
      </c>
      <c r="O2771">
        <v>-0.99365820000000005</v>
      </c>
      <c r="P2771">
        <v>0.1317314</v>
      </c>
      <c r="Q2771">
        <v>0.1510591</v>
      </c>
      <c r="R2771">
        <v>-0.97970829999999998</v>
      </c>
      <c r="S2771">
        <v>1.0919490000000001</v>
      </c>
      <c r="T2771">
        <v>-0.170213</v>
      </c>
      <c r="U2771">
        <v>-2.9486690000000002</v>
      </c>
      <c r="V2771">
        <v>-0.24065259999999999</v>
      </c>
      <c r="W2771">
        <v>0.1635037</v>
      </c>
      <c r="X2771">
        <v>0.9567407</v>
      </c>
      <c r="Y2771">
        <v>-0.4492988</v>
      </c>
      <c r="Z2771">
        <v>5.2283280000000001E-2</v>
      </c>
      <c r="AA2771">
        <v>0.89185040000000004</v>
      </c>
      <c r="AB2771">
        <v>21</v>
      </c>
      <c r="AC2771">
        <v>0.35340000000002098</v>
      </c>
      <c r="AD2771">
        <v>-5.2347000000000102E-2</v>
      </c>
      <c r="AE2771">
        <v>-0.73709999999999798</v>
      </c>
      <c r="AF2771">
        <v>-0.43170379962425298</v>
      </c>
      <c r="AG2771">
        <v>-5.2347000000000102E-2</v>
      </c>
      <c r="AH2771">
        <v>0.69021222141177796</v>
      </c>
      <c r="AI2771">
        <v>93.679073510242802</v>
      </c>
      <c r="AJ2771">
        <v>122.024550566057</v>
      </c>
      <c r="AK2771">
        <v>0.81578262399072898</v>
      </c>
      <c r="AL2771">
        <v>80.589677146558003</v>
      </c>
      <c r="AM2771">
        <v>104.118923065307</v>
      </c>
      <c r="AN2771">
        <v>0.99999995041846801</v>
      </c>
    </row>
    <row r="2772" spans="1:40" x14ac:dyDescent="0.25">
      <c r="A2772" t="str">
        <f>"20190312172422787"</f>
        <v>20190312172422787</v>
      </c>
      <c r="B2772" t="str">
        <f>"1552382662783224"</f>
        <v>1552382662783224</v>
      </c>
      <c r="C2772" t="s">
        <v>40</v>
      </c>
      <c r="D2772">
        <v>3.8100290000000001</v>
      </c>
      <c r="E2772">
        <v>0.4107942</v>
      </c>
      <c r="F2772" t="s">
        <v>41</v>
      </c>
      <c r="G2772">
        <v>-490.4776</v>
      </c>
      <c r="H2772">
        <v>1.055852</v>
      </c>
      <c r="I2772">
        <v>250.80789999999999</v>
      </c>
      <c r="J2772">
        <v>-490.84550000000002</v>
      </c>
      <c r="K2772">
        <v>1.1116549999999901</v>
      </c>
      <c r="L2772">
        <v>251.5282</v>
      </c>
      <c r="M2772">
        <v>-0.1099692</v>
      </c>
      <c r="N2772">
        <v>0</v>
      </c>
      <c r="O2772">
        <v>-0.99384240000000001</v>
      </c>
      <c r="P2772">
        <v>0.13975599999999999</v>
      </c>
      <c r="Q2772">
        <v>0.15007679999999901</v>
      </c>
      <c r="R2772">
        <v>-0.97874669999999997</v>
      </c>
      <c r="S2772">
        <v>1.1142879999999999</v>
      </c>
      <c r="T2772">
        <v>-0.17890239999999999</v>
      </c>
      <c r="U2772">
        <v>-2.9398960000000001</v>
      </c>
      <c r="V2772">
        <v>-0.24691859999999999</v>
      </c>
      <c r="W2772">
        <v>0.1624979</v>
      </c>
      <c r="X2772">
        <v>0.95531440000000001</v>
      </c>
      <c r="Y2772">
        <v>-0.4545614</v>
      </c>
      <c r="Z2772">
        <v>5.4963699999999997E-2</v>
      </c>
      <c r="AA2772">
        <v>0.88901799999999997</v>
      </c>
      <c r="AB2772">
        <v>21</v>
      </c>
      <c r="AC2772">
        <v>0.36790000000001999</v>
      </c>
      <c r="AD2772">
        <v>-5.5802999999999797E-2</v>
      </c>
      <c r="AE2772">
        <v>-0.72030000000000804</v>
      </c>
      <c r="AF2772">
        <v>-0.44277870688794901</v>
      </c>
      <c r="AG2772">
        <v>-5.5802999999999797E-2</v>
      </c>
      <c r="AH2772">
        <v>0.67226910909992399</v>
      </c>
      <c r="AI2772">
        <v>93.965508389400796</v>
      </c>
      <c r="AJ2772">
        <v>123.37022414029499</v>
      </c>
      <c r="AK2772">
        <v>0.80691555514339397</v>
      </c>
      <c r="AL2772">
        <v>80.648086720992794</v>
      </c>
      <c r="AM2772">
        <v>104.491988802154</v>
      </c>
      <c r="AN2772">
        <v>0.99999998268886403</v>
      </c>
    </row>
    <row r="2773" spans="1:40" x14ac:dyDescent="0.25">
      <c r="A2773" t="str">
        <f>"20190312172422810"</f>
        <v>20190312172422810</v>
      </c>
      <c r="B2773" t="str">
        <f>"1552382662802744"</f>
        <v>1552382662802744</v>
      </c>
      <c r="C2773" t="s">
        <v>40</v>
      </c>
      <c r="D2773">
        <v>3.793936</v>
      </c>
      <c r="E2773">
        <v>0.4117055</v>
      </c>
      <c r="F2773" t="s">
        <v>41</v>
      </c>
      <c r="G2773">
        <v>-490.49889999999999</v>
      </c>
      <c r="H2773">
        <v>1.0540959999999999</v>
      </c>
      <c r="I2773">
        <v>250.62629999999999</v>
      </c>
      <c r="J2773">
        <v>-490.86649999999997</v>
      </c>
      <c r="K2773">
        <v>1.111637</v>
      </c>
      <c r="L2773">
        <v>251.31899999999999</v>
      </c>
      <c r="M2773">
        <v>-0.10824979999999999</v>
      </c>
      <c r="N2773">
        <v>0</v>
      </c>
      <c r="O2773">
        <v>-0.99403129999999995</v>
      </c>
      <c r="P2773">
        <v>0.14767159999999999</v>
      </c>
      <c r="Q2773">
        <v>0.15042800000000001</v>
      </c>
      <c r="R2773">
        <v>-0.97753029999999996</v>
      </c>
      <c r="S2773">
        <v>1.1277469999999901</v>
      </c>
      <c r="T2773">
        <v>-0.1871526</v>
      </c>
      <c r="U2773">
        <v>-2.9328310000000002</v>
      </c>
      <c r="V2773">
        <v>-0.2529902</v>
      </c>
      <c r="W2773">
        <v>0.16282439999999901</v>
      </c>
      <c r="X2773">
        <v>0.95366879999999998</v>
      </c>
      <c r="Y2773">
        <v>-0.45723449999999999</v>
      </c>
      <c r="Z2773">
        <v>5.7547960000000002E-2</v>
      </c>
      <c r="AA2773">
        <v>0.88748229999999995</v>
      </c>
      <c r="AB2773">
        <v>21</v>
      </c>
      <c r="AC2773">
        <v>0.367599999999981</v>
      </c>
      <c r="AD2773">
        <v>-5.7541000000000002E-2</v>
      </c>
      <c r="AE2773">
        <v>-0.69270000000002996</v>
      </c>
      <c r="AF2773">
        <v>-0.43807242405735702</v>
      </c>
      <c r="AG2773">
        <v>-5.7541000000000002E-2</v>
      </c>
      <c r="AH2773">
        <v>0.64535785840334103</v>
      </c>
      <c r="AI2773">
        <v>94.219116536409402</v>
      </c>
      <c r="AJ2773">
        <v>124.16887407165299</v>
      </c>
      <c r="AK2773">
        <v>0.78211583592421596</v>
      </c>
      <c r="AL2773">
        <v>80.6291273397418</v>
      </c>
      <c r="AM2773">
        <v>104.85726895717301</v>
      </c>
      <c r="AN2773">
        <v>1.0000000033124199</v>
      </c>
    </row>
    <row r="2774" spans="1:40" x14ac:dyDescent="0.25">
      <c r="A2774" t="str">
        <f>"20190312172422823"</f>
        <v>20190312172422823</v>
      </c>
      <c r="B2774" t="str">
        <f>"1552382662812504"</f>
        <v>1552382662812504</v>
      </c>
      <c r="C2774" t="s">
        <v>40</v>
      </c>
      <c r="D2774">
        <v>3.8052039999999998</v>
      </c>
      <c r="E2774">
        <v>0.41220499999999999</v>
      </c>
      <c r="F2774" t="s">
        <v>41</v>
      </c>
      <c r="G2774">
        <v>-490.52409999999998</v>
      </c>
      <c r="H2774">
        <v>1.055836</v>
      </c>
      <c r="I2774">
        <v>250.4443</v>
      </c>
      <c r="J2774">
        <v>-490.87860000000001</v>
      </c>
      <c r="K2774">
        <v>1.111629</v>
      </c>
      <c r="L2774">
        <v>251.1977</v>
      </c>
      <c r="M2774">
        <v>-0.107265899999999</v>
      </c>
      <c r="N2774">
        <v>0</v>
      </c>
      <c r="O2774">
        <v>-0.99413790000000002</v>
      </c>
      <c r="P2774">
        <v>0.15139710000000001</v>
      </c>
      <c r="Q2774">
        <v>0.15119440000000001</v>
      </c>
      <c r="R2774">
        <v>-0.97684150000000003</v>
      </c>
      <c r="S2774">
        <v>1.1445620000000001</v>
      </c>
      <c r="T2774">
        <v>-0.1865993</v>
      </c>
      <c r="U2774">
        <v>-2.9247589999999999</v>
      </c>
      <c r="V2774">
        <v>-0.25567109999999998</v>
      </c>
      <c r="W2774">
        <v>0.16358039999999999</v>
      </c>
      <c r="X2774">
        <v>0.95282409999999995</v>
      </c>
      <c r="Y2774">
        <v>-0.4616056</v>
      </c>
      <c r="Z2774">
        <v>5.7408540000000001E-2</v>
      </c>
      <c r="AA2774">
        <v>0.8852257</v>
      </c>
      <c r="AB2774">
        <v>21</v>
      </c>
      <c r="AC2774">
        <v>0.35450000000003001</v>
      </c>
      <c r="AD2774">
        <v>-5.5792999999999898E-2</v>
      </c>
      <c r="AE2774">
        <v>-0.75339999999999896</v>
      </c>
      <c r="AF2774">
        <v>-0.43133912074035302</v>
      </c>
      <c r="AG2774">
        <v>-5.5792999999999898E-2</v>
      </c>
      <c r="AH2774">
        <v>0.70784485314358603</v>
      </c>
      <c r="AI2774">
        <v>93.850689589981002</v>
      </c>
      <c r="AJ2774">
        <v>121.356858763422</v>
      </c>
      <c r="AK2774">
        <v>0.83078916221381105</v>
      </c>
      <c r="AL2774">
        <v>80.585223171363296</v>
      </c>
      <c r="AM2774">
        <v>105.020344454222</v>
      </c>
      <c r="AN2774">
        <v>1.00000001209008</v>
      </c>
    </row>
    <row r="2775" spans="1:40" x14ac:dyDescent="0.25">
      <c r="A2775" t="str">
        <f>"20190312172422835"</f>
        <v>20190312172422835</v>
      </c>
      <c r="B2775" t="str">
        <f>"1552382662833000"</f>
        <v>1552382662833000</v>
      </c>
      <c r="C2775" t="s">
        <v>40</v>
      </c>
      <c r="D2775">
        <v>3.7939560000000001</v>
      </c>
      <c r="E2775">
        <v>0.41296260000000001</v>
      </c>
      <c r="F2775" t="s">
        <v>41</v>
      </c>
      <c r="G2775">
        <v>-490.51150000000001</v>
      </c>
      <c r="H2775">
        <v>1.052575</v>
      </c>
      <c r="I2775">
        <v>250.26650000000001</v>
      </c>
      <c r="J2775">
        <v>-490.89</v>
      </c>
      <c r="K2775">
        <v>1.1116269999999999</v>
      </c>
      <c r="L2775">
        <v>251.0822</v>
      </c>
      <c r="M2775">
        <v>-0.1063409</v>
      </c>
      <c r="N2775">
        <v>0</v>
      </c>
      <c r="O2775">
        <v>-0.99423740000000005</v>
      </c>
      <c r="P2775">
        <v>0.15542979999999901</v>
      </c>
      <c r="Q2775">
        <v>0.15180929999999901</v>
      </c>
      <c r="R2775">
        <v>-0.97611270000000006</v>
      </c>
      <c r="S2775">
        <v>1.152039</v>
      </c>
      <c r="T2775">
        <v>-0.18523300000000001</v>
      </c>
      <c r="U2775">
        <v>-2.921249</v>
      </c>
      <c r="V2775">
        <v>-0.25871119999999997</v>
      </c>
      <c r="W2775">
        <v>0.16418199999999999</v>
      </c>
      <c r="X2775">
        <v>0.95189950000000001</v>
      </c>
      <c r="Y2775">
        <v>-0.46311170000000002</v>
      </c>
      <c r="Z2775">
        <v>5.701283E-2</v>
      </c>
      <c r="AA2775">
        <v>0.88446429999999998</v>
      </c>
      <c r="AB2775">
        <v>20</v>
      </c>
      <c r="AC2775">
        <v>0.37849999999997402</v>
      </c>
      <c r="AD2775">
        <v>-5.9052000000000097E-2</v>
      </c>
      <c r="AE2775">
        <v>-0.81569999999999199</v>
      </c>
      <c r="AF2775">
        <v>-0.46111512664736998</v>
      </c>
      <c r="AG2775">
        <v>-5.9052000000000097E-2</v>
      </c>
      <c r="AH2775">
        <v>0.76751036375830295</v>
      </c>
      <c r="AI2775">
        <v>93.773314363118502</v>
      </c>
      <c r="AJ2775">
        <v>120.997168296097</v>
      </c>
      <c r="AK2775">
        <v>0.89732182476713596</v>
      </c>
      <c r="AL2775">
        <v>80.550280898870597</v>
      </c>
      <c r="AM2775">
        <v>105.204810936331</v>
      </c>
      <c r="AN2775">
        <v>0.99999993611484295</v>
      </c>
    </row>
    <row r="2776" spans="1:40" x14ac:dyDescent="0.25">
      <c r="A2776" t="str">
        <f>"20190312172422854"</f>
        <v>20190312172422854</v>
      </c>
      <c r="B2776" t="str">
        <f>"1552382662842760"</f>
        <v>1552382662842760</v>
      </c>
      <c r="C2776" t="s">
        <v>40</v>
      </c>
      <c r="D2776">
        <v>3.8390070000000001</v>
      </c>
      <c r="E2776">
        <v>0.41342060000000003</v>
      </c>
      <c r="F2776" t="s">
        <v>41</v>
      </c>
      <c r="G2776">
        <v>-490.55070000000001</v>
      </c>
      <c r="H2776">
        <v>1.0579719999999999</v>
      </c>
      <c r="I2776">
        <v>250.2269</v>
      </c>
      <c r="J2776">
        <v>-490.9058</v>
      </c>
      <c r="K2776">
        <v>1.111629</v>
      </c>
      <c r="L2776">
        <v>250.9194</v>
      </c>
      <c r="M2776">
        <v>-0.10505059999999999</v>
      </c>
      <c r="N2776">
        <v>0</v>
      </c>
      <c r="O2776">
        <v>-0.9943746</v>
      </c>
      <c r="P2776">
        <v>0.1610364</v>
      </c>
      <c r="Q2776">
        <v>0.15245040000000001</v>
      </c>
      <c r="R2776">
        <v>-0.97510330000000001</v>
      </c>
      <c r="S2776">
        <v>1.1578980000000001</v>
      </c>
      <c r="T2776">
        <v>-0.18299090000000001</v>
      </c>
      <c r="U2776">
        <v>-2.9174959999999999</v>
      </c>
      <c r="V2776">
        <v>-0.2629377</v>
      </c>
      <c r="W2776">
        <v>0.164803799999999</v>
      </c>
      <c r="X2776">
        <v>0.95063319999999996</v>
      </c>
      <c r="Y2776">
        <v>-0.46389960000000002</v>
      </c>
      <c r="Z2776">
        <v>5.6372520000000002E-2</v>
      </c>
      <c r="AA2776">
        <v>0.88409230000000005</v>
      </c>
      <c r="AB2776">
        <v>20</v>
      </c>
      <c r="AC2776">
        <v>0.35509999999999298</v>
      </c>
      <c r="AD2776">
        <v>-5.3657000000000003E-2</v>
      </c>
      <c r="AE2776">
        <v>-0.69249999999999501</v>
      </c>
      <c r="AF2776">
        <v>-0.42387408428948797</v>
      </c>
      <c r="AG2776">
        <v>-5.3657000000000003E-2</v>
      </c>
      <c r="AH2776">
        <v>0.64827900876470901</v>
      </c>
      <c r="AI2776">
        <v>93.962813822773001</v>
      </c>
      <c r="AJ2776">
        <v>123.178471279231</v>
      </c>
      <c r="AK2776">
        <v>0.77641096475140403</v>
      </c>
      <c r="AL2776">
        <v>80.514163031010497</v>
      </c>
      <c r="AM2776">
        <v>105.46102750081801</v>
      </c>
      <c r="AN2776">
        <v>1.00000000375898</v>
      </c>
    </row>
    <row r="2777" spans="1:40" x14ac:dyDescent="0.25">
      <c r="A2777" t="str">
        <f>"20190312172422868"</f>
        <v>20190312172422868</v>
      </c>
      <c r="B2777" t="str">
        <f>"1552382662863257"</f>
        <v>1552382662863257</v>
      </c>
      <c r="C2777" t="s">
        <v>40</v>
      </c>
      <c r="D2777">
        <v>3.7950750000000002</v>
      </c>
      <c r="E2777">
        <v>0.41430440000000002</v>
      </c>
      <c r="F2777" t="s">
        <v>41</v>
      </c>
      <c r="G2777">
        <v>-490.56810000000002</v>
      </c>
      <c r="H2777">
        <v>1.059374</v>
      </c>
      <c r="I2777">
        <v>250.0805</v>
      </c>
      <c r="J2777">
        <v>-490.91699999999997</v>
      </c>
      <c r="K2777">
        <v>1.1116330000000001</v>
      </c>
      <c r="L2777">
        <v>250.80350000000001</v>
      </c>
      <c r="M2777">
        <v>-0.10413890000000001</v>
      </c>
      <c r="N2777">
        <v>0</v>
      </c>
      <c r="O2777">
        <v>-0.99447039999999998</v>
      </c>
      <c r="P2777">
        <v>0.16330600000000001</v>
      </c>
      <c r="Q2777">
        <v>0.1531575</v>
      </c>
      <c r="R2777">
        <v>-0.97461509999999996</v>
      </c>
      <c r="S2777">
        <v>1.171295</v>
      </c>
      <c r="T2777">
        <v>-0.18136720000000001</v>
      </c>
      <c r="U2777">
        <v>-2.9115449999999998</v>
      </c>
      <c r="V2777">
        <v>-0.26426850000000002</v>
      </c>
      <c r="W2777">
        <v>0.1655055</v>
      </c>
      <c r="X2777">
        <v>0.95014209999999999</v>
      </c>
      <c r="Y2777">
        <v>-0.4672212</v>
      </c>
      <c r="Z2777">
        <v>5.5890339999999997E-2</v>
      </c>
      <c r="AA2777">
        <v>0.88237209999999999</v>
      </c>
      <c r="AB2777">
        <v>20</v>
      </c>
      <c r="AC2777">
        <v>0.34889999999995702</v>
      </c>
      <c r="AD2777">
        <v>-5.2259E-2</v>
      </c>
      <c r="AE2777">
        <v>-0.72300000000001297</v>
      </c>
      <c r="AF2777">
        <v>-0.42051991989519499</v>
      </c>
      <c r="AG2777">
        <v>-5.2259E-2</v>
      </c>
      <c r="AH2777">
        <v>0.67984978109709204</v>
      </c>
      <c r="AI2777">
        <v>93.740284566997801</v>
      </c>
      <c r="AJ2777">
        <v>121.738792260191</v>
      </c>
      <c r="AK2777">
        <v>0.80110157343961497</v>
      </c>
      <c r="AL2777">
        <v>80.473398377481004</v>
      </c>
      <c r="AM2777">
        <v>105.543151123515</v>
      </c>
      <c r="AN2777">
        <v>0.99999996040745398</v>
      </c>
    </row>
    <row r="2778" spans="1:40" x14ac:dyDescent="0.25">
      <c r="A2778" t="str">
        <f>"20190312172422881"</f>
        <v>20190312172422881</v>
      </c>
      <c r="B2778" t="str">
        <f>"1552382662873017"</f>
        <v>1552382662873017</v>
      </c>
      <c r="C2778" t="s">
        <v>40</v>
      </c>
      <c r="D2778">
        <v>3.8536130000000002</v>
      </c>
      <c r="E2778">
        <v>0.4147825</v>
      </c>
      <c r="F2778" t="s">
        <v>41</v>
      </c>
      <c r="G2778">
        <v>-490.55489999999998</v>
      </c>
      <c r="H2778">
        <v>1.0561879999999999</v>
      </c>
      <c r="I2778">
        <v>249.9041</v>
      </c>
      <c r="J2778">
        <v>-490.9298</v>
      </c>
      <c r="K2778">
        <v>1.111634</v>
      </c>
      <c r="L2778">
        <v>250.6694</v>
      </c>
      <c r="M2778">
        <v>-0.1030901</v>
      </c>
      <c r="N2778">
        <v>0</v>
      </c>
      <c r="O2778">
        <v>-0.99457969999999896</v>
      </c>
      <c r="P2778">
        <v>0.16533049999999999</v>
      </c>
      <c r="Q2778">
        <v>0.15398919999999999</v>
      </c>
      <c r="R2778">
        <v>-0.97414250000000002</v>
      </c>
      <c r="S2778">
        <v>1.1723330000000001</v>
      </c>
      <c r="T2778">
        <v>-0.17936849999999999</v>
      </c>
      <c r="U2778">
        <v>-2.9099119999999998</v>
      </c>
      <c r="V2778">
        <v>-0.26522770000000001</v>
      </c>
      <c r="W2778">
        <v>0.16633310000000001</v>
      </c>
      <c r="X2778">
        <v>0.94973030000000003</v>
      </c>
      <c r="Y2778">
        <v>-0.46674349999999998</v>
      </c>
      <c r="Z2778">
        <v>5.531904E-2</v>
      </c>
      <c r="AA2778">
        <v>0.88266089999999997</v>
      </c>
      <c r="AB2778">
        <v>20</v>
      </c>
      <c r="AC2778">
        <v>0.37490000000002499</v>
      </c>
      <c r="AD2778">
        <v>-5.5446000000000099E-2</v>
      </c>
      <c r="AE2778">
        <v>-0.76529999999999598</v>
      </c>
      <c r="AF2778">
        <v>-0.44989977837214201</v>
      </c>
      <c r="AG2778">
        <v>-5.5446000000000099E-2</v>
      </c>
      <c r="AH2778">
        <v>0.71952386604042695</v>
      </c>
      <c r="AI2778">
        <v>93.738283364810599</v>
      </c>
      <c r="AJ2778">
        <v>122.016683186268</v>
      </c>
      <c r="AK2778">
        <v>0.85041087910319302</v>
      </c>
      <c r="AL2778">
        <v>80.425314652752206</v>
      </c>
      <c r="AM2778">
        <v>105.60325914469701</v>
      </c>
      <c r="AN2778">
        <v>1.0000000378704901</v>
      </c>
    </row>
    <row r="2779" spans="1:40" x14ac:dyDescent="0.25">
      <c r="A2779" t="str">
        <f>"20190312172422899"</f>
        <v>20190312172422899</v>
      </c>
      <c r="B2779" t="str">
        <f>"1552382662892537"</f>
        <v>1552382662892537</v>
      </c>
      <c r="C2779" t="s">
        <v>40</v>
      </c>
      <c r="D2779">
        <v>3.7700670000000001</v>
      </c>
      <c r="E2779">
        <v>0.41566829999999999</v>
      </c>
      <c r="F2779" t="s">
        <v>41</v>
      </c>
      <c r="G2779">
        <v>-490.54849999999999</v>
      </c>
      <c r="H2779">
        <v>1.0547029999999999</v>
      </c>
      <c r="I2779">
        <v>249.72630000000001</v>
      </c>
      <c r="J2779">
        <v>-490.94510000000002</v>
      </c>
      <c r="K2779">
        <v>1.111642</v>
      </c>
      <c r="L2779">
        <v>250.50700000000001</v>
      </c>
      <c r="M2779">
        <v>-0.1018251</v>
      </c>
      <c r="N2779">
        <v>0</v>
      </c>
      <c r="O2779">
        <v>-0.99470999999999998</v>
      </c>
      <c r="P2779">
        <v>0.1675654</v>
      </c>
      <c r="Q2779">
        <v>0.15560260000000001</v>
      </c>
      <c r="R2779">
        <v>-0.97350400000000004</v>
      </c>
      <c r="S2779">
        <v>1.175751</v>
      </c>
      <c r="T2779">
        <v>-0.1755263</v>
      </c>
      <c r="U2779">
        <v>-2.9078059999999999</v>
      </c>
      <c r="V2779">
        <v>-0.26617619999999997</v>
      </c>
      <c r="W2779">
        <v>0.16793810000000001</v>
      </c>
      <c r="X2779">
        <v>0.94918230000000003</v>
      </c>
      <c r="Y2779">
        <v>-0.46675699999999998</v>
      </c>
      <c r="Z2779">
        <v>5.4174149999999997E-2</v>
      </c>
      <c r="AA2779">
        <v>0.88272479999999998</v>
      </c>
      <c r="AB2779">
        <v>20</v>
      </c>
      <c r="AC2779">
        <v>0.39660000000003398</v>
      </c>
      <c r="AD2779">
        <v>-5.6938999999999802E-2</v>
      </c>
      <c r="AE2779">
        <v>-0.78069999999999595</v>
      </c>
      <c r="AF2779">
        <v>-0.472044518228104</v>
      </c>
      <c r="AG2779">
        <v>-5.6938999999999802E-2</v>
      </c>
      <c r="AH2779">
        <v>0.73315401929969304</v>
      </c>
      <c r="AI2779">
        <v>93.7360456704033</v>
      </c>
      <c r="AJ2779">
        <v>122.775642407571</v>
      </c>
      <c r="AK2779">
        <v>0.87383230251890898</v>
      </c>
      <c r="AL2779">
        <v>80.332042648114594</v>
      </c>
      <c r="AM2779">
        <v>105.664922498797</v>
      </c>
      <c r="AN2779">
        <v>1.00000000675567</v>
      </c>
    </row>
    <row r="2780" spans="1:40" x14ac:dyDescent="0.25">
      <c r="A2780" t="str">
        <f>"20190312172422912"</f>
        <v>20190312172422912</v>
      </c>
      <c r="B2780" t="str">
        <f>"1552382662902297"</f>
        <v>1552382662902297</v>
      </c>
      <c r="C2780" t="s">
        <v>40</v>
      </c>
      <c r="D2780">
        <v>3.7638470000000002</v>
      </c>
      <c r="E2780">
        <v>0.41603119999999999</v>
      </c>
      <c r="F2780" t="s">
        <v>41</v>
      </c>
      <c r="G2780">
        <v>-490.59440000000001</v>
      </c>
      <c r="H2780">
        <v>1.06098</v>
      </c>
      <c r="I2780">
        <v>249.64089999999999</v>
      </c>
      <c r="J2780">
        <v>-490.95530000000002</v>
      </c>
      <c r="K2780">
        <v>1.111642</v>
      </c>
      <c r="L2780">
        <v>250.398</v>
      </c>
      <c r="M2780">
        <v>-0.1009781</v>
      </c>
      <c r="N2780">
        <v>0</v>
      </c>
      <c r="O2780">
        <v>-0.99479620000000002</v>
      </c>
      <c r="P2780">
        <v>0.16804829999999901</v>
      </c>
      <c r="Q2780">
        <v>0.15595819999999999</v>
      </c>
      <c r="R2780">
        <v>-0.97336389999999995</v>
      </c>
      <c r="S2780">
        <v>1.177338</v>
      </c>
      <c r="T2780">
        <v>-0.17000390000000001</v>
      </c>
      <c r="U2780">
        <v>-2.9062190000000001</v>
      </c>
      <c r="V2780">
        <v>-0.26583250000000003</v>
      </c>
      <c r="W2780">
        <v>0.1682949</v>
      </c>
      <c r="X2780">
        <v>0.94921540000000004</v>
      </c>
      <c r="Y2780">
        <v>-0.46662019999999998</v>
      </c>
      <c r="Z2780">
        <v>5.2505959999999997E-2</v>
      </c>
      <c r="AA2780">
        <v>0.88289789999999901</v>
      </c>
      <c r="AB2780">
        <v>20</v>
      </c>
      <c r="AC2780">
        <v>0.36090000000001499</v>
      </c>
      <c r="AD2780">
        <v>-5.0661999999999902E-2</v>
      </c>
      <c r="AE2780">
        <v>-0.75710000000000799</v>
      </c>
      <c r="AF2780">
        <v>-0.43392926989395197</v>
      </c>
      <c r="AG2780">
        <v>-5.0661999999999902E-2</v>
      </c>
      <c r="AH2780">
        <v>0.71417735224652001</v>
      </c>
      <c r="AI2780">
        <v>93.469277812917497</v>
      </c>
      <c r="AJ2780">
        <v>121.28257907622</v>
      </c>
      <c r="AK2780">
        <v>0.83720400140978102</v>
      </c>
      <c r="AL2780">
        <v>80.311304121171503</v>
      </c>
      <c r="AM2780">
        <v>105.645167530349</v>
      </c>
      <c r="AN2780">
        <v>0.99999998350970898</v>
      </c>
    </row>
    <row r="2781" spans="1:40" x14ac:dyDescent="0.25">
      <c r="A2781" t="str">
        <f>"20190312172422924"</f>
        <v>20190312172422924</v>
      </c>
      <c r="B2781" t="str">
        <f>"1552382662922792"</f>
        <v>1552382662922792</v>
      </c>
      <c r="C2781" t="s">
        <v>40</v>
      </c>
      <c r="D2781">
        <v>3.7826040000000001</v>
      </c>
      <c r="E2781">
        <v>0.4166899</v>
      </c>
      <c r="F2781" t="s">
        <v>41</v>
      </c>
      <c r="G2781">
        <v>-490.60849999999999</v>
      </c>
      <c r="H2781">
        <v>1.062127</v>
      </c>
      <c r="I2781">
        <v>249.54130000000001</v>
      </c>
      <c r="J2781">
        <v>-490.96609999999998</v>
      </c>
      <c r="K2781">
        <v>1.1116429999999999</v>
      </c>
      <c r="L2781">
        <v>250.28100000000001</v>
      </c>
      <c r="M2781">
        <v>-0.1000687</v>
      </c>
      <c r="N2781">
        <v>0</v>
      </c>
      <c r="O2781">
        <v>-0.99488849999999995</v>
      </c>
      <c r="P2781">
        <v>0.16804559999999999</v>
      </c>
      <c r="Q2781">
        <v>0.15640689999999999</v>
      </c>
      <c r="R2781">
        <v>-0.97329279999999996</v>
      </c>
      <c r="S2781">
        <v>1.177063</v>
      </c>
      <c r="T2781">
        <v>-0.16793529999999901</v>
      </c>
      <c r="U2781">
        <v>-2.9057919999999999</v>
      </c>
      <c r="V2781">
        <v>-0.26495350000000001</v>
      </c>
      <c r="W2781">
        <v>0.16874710000000001</v>
      </c>
      <c r="X2781">
        <v>0.94938089999999997</v>
      </c>
      <c r="Y2781">
        <v>-0.46579749999999998</v>
      </c>
      <c r="Z2781">
        <v>5.1896749999999998E-2</v>
      </c>
      <c r="AA2781">
        <v>0.88336819999999905</v>
      </c>
      <c r="AB2781">
        <v>20</v>
      </c>
      <c r="AC2781">
        <v>0.35759999999998998</v>
      </c>
      <c r="AD2781">
        <v>-4.9515999999999803E-2</v>
      </c>
      <c r="AE2781">
        <v>-0.73969999999997005</v>
      </c>
      <c r="AF2781">
        <v>-0.42827673221037899</v>
      </c>
      <c r="AG2781">
        <v>-4.9515999999999803E-2</v>
      </c>
      <c r="AH2781">
        <v>0.69766453954211705</v>
      </c>
      <c r="AI2781">
        <v>93.461395174026507</v>
      </c>
      <c r="AJ2781">
        <v>121.544599065901</v>
      </c>
      <c r="AK2781">
        <v>0.82012718729677203</v>
      </c>
      <c r="AL2781">
        <v>80.285019370969593</v>
      </c>
      <c r="AM2781">
        <v>105.593370448771</v>
      </c>
      <c r="AN2781">
        <v>1.0000000171027299</v>
      </c>
    </row>
    <row r="2782" spans="1:40" x14ac:dyDescent="0.25">
      <c r="A2782" t="str">
        <f>"20190312172422938"</f>
        <v>20190312172422938</v>
      </c>
      <c r="B2782" t="str">
        <f>"1552382662932553"</f>
        <v>1552382662932553</v>
      </c>
      <c r="C2782" t="s">
        <v>40</v>
      </c>
      <c r="D2782">
        <v>3.7795420000000002</v>
      </c>
      <c r="E2782">
        <v>0.41693449999999999</v>
      </c>
      <c r="F2782" t="s">
        <v>41</v>
      </c>
      <c r="G2782">
        <v>-490.59649999999999</v>
      </c>
      <c r="H2782">
        <v>1.0592330000000001</v>
      </c>
      <c r="I2782">
        <v>249.3646</v>
      </c>
      <c r="J2782">
        <v>-490.97770000000003</v>
      </c>
      <c r="K2782">
        <v>1.111648</v>
      </c>
      <c r="L2782">
        <v>250.15459999999999</v>
      </c>
      <c r="M2782">
        <v>-9.9085380000000001E-2</v>
      </c>
      <c r="N2782">
        <v>0</v>
      </c>
      <c r="O2782">
        <v>-0.9949867</v>
      </c>
      <c r="P2782">
        <v>0.1680316</v>
      </c>
      <c r="Q2782">
        <v>0.15697340000000001</v>
      </c>
      <c r="R2782">
        <v>-0.9732037</v>
      </c>
      <c r="S2782">
        <v>1.1723629999999901</v>
      </c>
      <c r="T2782">
        <v>-0.166217</v>
      </c>
      <c r="U2782">
        <v>-2.9066160000000001</v>
      </c>
      <c r="V2782">
        <v>-0.26399139999999999</v>
      </c>
      <c r="W2782">
        <v>0.16931669999999999</v>
      </c>
      <c r="X2782">
        <v>0.94954749999999999</v>
      </c>
      <c r="Y2782">
        <v>-0.4636168</v>
      </c>
      <c r="Z2782">
        <v>5.1408509999999998E-2</v>
      </c>
      <c r="AA2782">
        <v>0.88454319999999897</v>
      </c>
      <c r="AB2782">
        <v>20</v>
      </c>
      <c r="AC2782">
        <v>0.38120000000003501</v>
      </c>
      <c r="AD2782">
        <v>-5.2414999999999802E-2</v>
      </c>
      <c r="AE2782">
        <v>-0.78999999999999204</v>
      </c>
      <c r="AF2782">
        <v>-0.45598021890739998</v>
      </c>
      <c r="AG2782">
        <v>-5.2414999999999802E-2</v>
      </c>
      <c r="AH2782">
        <v>0.74567426239048196</v>
      </c>
      <c r="AI2782">
        <v>93.431835850753998</v>
      </c>
      <c r="AJ2782">
        <v>121.445808669464</v>
      </c>
      <c r="AK2782">
        <v>0.87561144227986698</v>
      </c>
      <c r="AL2782">
        <v>80.2519073522475</v>
      </c>
      <c r="AM2782">
        <v>105.53689376194799</v>
      </c>
      <c r="AN2782">
        <v>1.0000000294645399</v>
      </c>
    </row>
    <row r="2783" spans="1:40" x14ac:dyDescent="0.25">
      <c r="A2783" t="str">
        <f>"20190312172422956"</f>
        <v>20190312172422956</v>
      </c>
      <c r="B2783" t="str">
        <f>"1552382662953049"</f>
        <v>1552382662953049</v>
      </c>
      <c r="C2783" t="s">
        <v>40</v>
      </c>
      <c r="D2783">
        <v>3.767706</v>
      </c>
      <c r="E2783">
        <v>0.4174505</v>
      </c>
      <c r="F2783" t="s">
        <v>41</v>
      </c>
      <c r="G2783">
        <v>-490.625</v>
      </c>
      <c r="H2783">
        <v>1.0620579999999999</v>
      </c>
      <c r="I2783">
        <v>249.27869999999999</v>
      </c>
      <c r="J2783">
        <v>-490.99189999999999</v>
      </c>
      <c r="K2783">
        <v>1.111637</v>
      </c>
      <c r="L2783">
        <v>249.99770000000001</v>
      </c>
      <c r="M2783">
        <v>-9.7860810000000006E-2</v>
      </c>
      <c r="N2783">
        <v>0</v>
      </c>
      <c r="O2783">
        <v>-0.99510810000000005</v>
      </c>
      <c r="P2783">
        <v>0.1656774</v>
      </c>
      <c r="Q2783">
        <v>0.15708169999999999</v>
      </c>
      <c r="R2783">
        <v>-0.97358979999999995</v>
      </c>
      <c r="S2783">
        <v>1.170563</v>
      </c>
      <c r="T2783">
        <v>-0.16456950000000001</v>
      </c>
      <c r="U2783">
        <v>-2.9070589999999998</v>
      </c>
      <c r="V2783">
        <v>-0.26051570000000002</v>
      </c>
      <c r="W2783">
        <v>0.16944219999999999</v>
      </c>
      <c r="X2783">
        <v>0.95048460000000001</v>
      </c>
      <c r="Y2783">
        <v>-0.46201740000000002</v>
      </c>
      <c r="Z2783">
        <v>5.0931700000000003E-2</v>
      </c>
      <c r="AA2783">
        <v>0.88540719999999995</v>
      </c>
      <c r="AB2783">
        <v>20</v>
      </c>
      <c r="AC2783">
        <v>0.36689999999998602</v>
      </c>
      <c r="AD2783">
        <v>-4.9578999999999998E-2</v>
      </c>
      <c r="AE2783">
        <v>-0.71900000000002195</v>
      </c>
      <c r="AF2783">
        <v>-0.43387018530101201</v>
      </c>
      <c r="AG2783">
        <v>-4.9578999999999998E-2</v>
      </c>
      <c r="AH2783">
        <v>0.67708551741277101</v>
      </c>
      <c r="AI2783">
        <v>93.527959559761399</v>
      </c>
      <c r="AJ2783">
        <v>122.651375944184</v>
      </c>
      <c r="AK2783">
        <v>0.80569610451103402</v>
      </c>
      <c r="AL2783">
        <v>80.244611335600098</v>
      </c>
      <c r="AM2783">
        <v>105.32761949431401</v>
      </c>
      <c r="AN2783">
        <v>1.00000003196224</v>
      </c>
    </row>
    <row r="2784" spans="1:40" x14ac:dyDescent="0.25">
      <c r="A2784" t="str">
        <f>"20190312172422979"</f>
        <v>20190312172422979</v>
      </c>
      <c r="B2784" t="str">
        <f>"1552382662972570"</f>
        <v>1552382662972570</v>
      </c>
      <c r="C2784" t="s">
        <v>40</v>
      </c>
      <c r="D2784">
        <v>3.9106589999999999</v>
      </c>
      <c r="E2784">
        <v>0.41816619999999999</v>
      </c>
      <c r="F2784" t="s">
        <v>41</v>
      </c>
      <c r="G2784">
        <v>-490.64249999999998</v>
      </c>
      <c r="H2784">
        <v>1.061898</v>
      </c>
      <c r="I2784">
        <v>249.12049999999999</v>
      </c>
      <c r="J2784">
        <v>-491.00990000000002</v>
      </c>
      <c r="K2784">
        <v>1.111631</v>
      </c>
      <c r="L2784">
        <v>249.79499999999999</v>
      </c>
      <c r="M2784">
        <v>-9.6273880000000006E-2</v>
      </c>
      <c r="N2784">
        <v>0</v>
      </c>
      <c r="O2784">
        <v>-0.99526269999999994</v>
      </c>
      <c r="P2784">
        <v>0.16356270000000001</v>
      </c>
      <c r="Q2784">
        <v>0.1556939</v>
      </c>
      <c r="R2784">
        <v>-0.97416970000000003</v>
      </c>
      <c r="S2784">
        <v>1.159851</v>
      </c>
      <c r="T2784">
        <v>-0.16505029999999901</v>
      </c>
      <c r="U2784">
        <v>-2.9106290000000001</v>
      </c>
      <c r="V2784">
        <v>-0.25694529999999999</v>
      </c>
      <c r="W2784">
        <v>0.16807439999999901</v>
      </c>
      <c r="X2784">
        <v>0.9516985</v>
      </c>
      <c r="Y2784">
        <v>-0.45740910000000001</v>
      </c>
      <c r="Z2784">
        <v>5.113347E-2</v>
      </c>
      <c r="AA2784">
        <v>0.88778509999999999</v>
      </c>
      <c r="AB2784">
        <v>20</v>
      </c>
      <c r="AC2784">
        <v>0.36740000000003098</v>
      </c>
      <c r="AD2784">
        <v>-4.9732999999999999E-2</v>
      </c>
      <c r="AE2784">
        <v>-0.67449999999999399</v>
      </c>
      <c r="AF2784">
        <v>-0.42883780169503499</v>
      </c>
      <c r="AG2784">
        <v>-4.9732999999999999E-2</v>
      </c>
      <c r="AH2784">
        <v>0.63333667512212999</v>
      </c>
      <c r="AI2784">
        <v>93.720249301896303</v>
      </c>
      <c r="AJ2784">
        <v>124.10227252266399</v>
      </c>
      <c r="AK2784">
        <v>0.76647933795137901</v>
      </c>
      <c r="AL2784">
        <v>80.3241202019843</v>
      </c>
      <c r="AM2784">
        <v>105.10882909649899</v>
      </c>
      <c r="AN2784">
        <v>0.99999996301484895</v>
      </c>
    </row>
    <row r="2785" spans="1:40" x14ac:dyDescent="0.25">
      <c r="A2785" t="str">
        <f>"20190312172423002"</f>
        <v>20190312172423002</v>
      </c>
      <c r="B2785" t="str">
        <f>"1552382662993065"</f>
        <v>1552382662993065</v>
      </c>
      <c r="C2785" t="s">
        <v>40</v>
      </c>
      <c r="D2785">
        <v>3.9214099999999998</v>
      </c>
      <c r="E2785">
        <v>0.41876409999999997</v>
      </c>
      <c r="F2785" t="s">
        <v>43</v>
      </c>
      <c r="G2785">
        <v>-483.52199999999999</v>
      </c>
      <c r="H2785" s="1">
        <v>-2.1061520000000002E-6</v>
      </c>
      <c r="I2785">
        <v>230.77209999999999</v>
      </c>
      <c r="J2785">
        <v>-491.02780000000001</v>
      </c>
      <c r="K2785">
        <v>1.1116239999999999</v>
      </c>
      <c r="L2785">
        <v>249.59010000000001</v>
      </c>
      <c r="M2785">
        <v>-9.4662510000000005E-2</v>
      </c>
      <c r="N2785">
        <v>0</v>
      </c>
      <c r="O2785">
        <v>-0.9954172</v>
      </c>
      <c r="P2785">
        <v>0.16068350000000001</v>
      </c>
      <c r="Q2785">
        <v>0.1545917</v>
      </c>
      <c r="R2785">
        <v>-0.97482420000000003</v>
      </c>
      <c r="S2785">
        <v>1.147095</v>
      </c>
      <c r="T2785">
        <v>-0.1702938</v>
      </c>
      <c r="U2785">
        <v>-2.9141539999999999</v>
      </c>
      <c r="V2785">
        <v>-0.2525946</v>
      </c>
      <c r="W2785">
        <v>0.16699559999999999</v>
      </c>
      <c r="X2785">
        <v>0.95305220000000002</v>
      </c>
      <c r="Y2785">
        <v>-0.45220060000000001</v>
      </c>
      <c r="Z2785">
        <v>5.2822540000000001E-2</v>
      </c>
      <c r="AA2785">
        <v>0.89035069999999905</v>
      </c>
      <c r="AB2785">
        <v>20</v>
      </c>
      <c r="AC2785">
        <v>7.5058000000000202</v>
      </c>
      <c r="AD2785">
        <v>-1.1116261061520001</v>
      </c>
      <c r="AE2785">
        <v>-18.818000000000001</v>
      </c>
      <c r="AF2785">
        <v>-9.2258358006753305</v>
      </c>
      <c r="AG2785">
        <v>-1.1116261061520001</v>
      </c>
      <c r="AH2785">
        <v>17.9688008027675</v>
      </c>
      <c r="AI2785">
        <v>93.150044433289196</v>
      </c>
      <c r="AJ2785">
        <v>117.177613158114</v>
      </c>
      <c r="AK2785">
        <v>20.229423153180601</v>
      </c>
      <c r="AL2785">
        <v>80.386817685487102</v>
      </c>
      <c r="AM2785">
        <v>104.84423619389101</v>
      </c>
      <c r="AN2785">
        <v>1.00000002914667</v>
      </c>
    </row>
    <row r="2786" spans="1:40" x14ac:dyDescent="0.25">
      <c r="A2786" t="str">
        <f>"20190312172423023"</f>
        <v>20190312172423023</v>
      </c>
      <c r="B2786" t="str">
        <f>"1552382663012588"</f>
        <v>1552382663012588</v>
      </c>
      <c r="C2786" t="s">
        <v>40</v>
      </c>
      <c r="D2786">
        <v>3.8102909999999999</v>
      </c>
      <c r="E2786">
        <v>0.41910770000000003</v>
      </c>
      <c r="F2786" t="s">
        <v>41</v>
      </c>
      <c r="G2786">
        <v>-490.66109999999998</v>
      </c>
      <c r="H2786">
        <v>1.055358</v>
      </c>
      <c r="I2786">
        <v>248.64680000000001</v>
      </c>
      <c r="J2786">
        <v>-491.04410000000001</v>
      </c>
      <c r="K2786">
        <v>1.1116220000000001</v>
      </c>
      <c r="L2786">
        <v>249.40029999999999</v>
      </c>
      <c r="M2786">
        <v>-9.3163380000000004E-2</v>
      </c>
      <c r="N2786">
        <v>0</v>
      </c>
      <c r="O2786">
        <v>-0.99555890000000002</v>
      </c>
      <c r="P2786">
        <v>0.1593533</v>
      </c>
      <c r="Q2786">
        <v>0.15381689999999901</v>
      </c>
      <c r="R2786">
        <v>-0.97516550000000002</v>
      </c>
      <c r="S2786">
        <v>1.133972</v>
      </c>
      <c r="T2786">
        <v>-0.17407619999999999</v>
      </c>
      <c r="U2786">
        <v>-2.9181819999999998</v>
      </c>
      <c r="V2786">
        <v>-0.249862</v>
      </c>
      <c r="W2786">
        <v>0.16623579999999999</v>
      </c>
      <c r="X2786">
        <v>0.95390489999999994</v>
      </c>
      <c r="Y2786">
        <v>-0.4469339</v>
      </c>
      <c r="Z2786">
        <v>5.405372E-2</v>
      </c>
      <c r="AA2786">
        <v>0.89293239999999996</v>
      </c>
      <c r="AB2786">
        <v>20</v>
      </c>
      <c r="AC2786">
        <v>0.38300000000003798</v>
      </c>
      <c r="AD2786">
        <v>-5.62639999999998E-2</v>
      </c>
      <c r="AE2786">
        <v>-0.75349999999997397</v>
      </c>
      <c r="AF2786">
        <v>-0.449547114082268</v>
      </c>
      <c r="AG2786">
        <v>-5.62639999999998E-2</v>
      </c>
      <c r="AH2786">
        <v>0.71138540830410701</v>
      </c>
      <c r="AI2786">
        <v>93.825085141236499</v>
      </c>
      <c r="AJ2786">
        <v>122.290097163697</v>
      </c>
      <c r="AK2786">
        <v>0.84340230295138396</v>
      </c>
      <c r="AL2786">
        <v>80.430967482685602</v>
      </c>
      <c r="AM2786">
        <v>104.67806614123</v>
      </c>
      <c r="AN2786">
        <v>0.99999995924482399</v>
      </c>
    </row>
    <row r="2787" spans="1:40" x14ac:dyDescent="0.25">
      <c r="A2787" t="str">
        <f>"20190312172423043"</f>
        <v>20190312172423043</v>
      </c>
      <c r="B2787" t="str">
        <f>"1552382663033080"</f>
        <v>1552382663033080</v>
      </c>
      <c r="C2787" t="s">
        <v>40</v>
      </c>
      <c r="D2787">
        <v>3.8200270000000001</v>
      </c>
      <c r="E2787">
        <v>0.41926479999999999</v>
      </c>
      <c r="F2787" t="s">
        <v>41</v>
      </c>
      <c r="G2787">
        <v>-490.68389999999999</v>
      </c>
      <c r="H2787">
        <v>1.0554110000000001</v>
      </c>
      <c r="I2787">
        <v>248.46709999999999</v>
      </c>
      <c r="J2787">
        <v>-491.06040000000002</v>
      </c>
      <c r="K2787">
        <v>1.1116220000000001</v>
      </c>
      <c r="L2787">
        <v>249.2064</v>
      </c>
      <c r="M2787">
        <v>-9.1628340000000003E-2</v>
      </c>
      <c r="N2787">
        <v>0</v>
      </c>
      <c r="O2787">
        <v>-0.99570150000000002</v>
      </c>
      <c r="P2787">
        <v>0.15867719999999999</v>
      </c>
      <c r="Q2787">
        <v>0.1537808</v>
      </c>
      <c r="R2787">
        <v>-0.97528139999999997</v>
      </c>
      <c r="S2787">
        <v>1.1276250000000001</v>
      </c>
      <c r="T2787">
        <v>-0.1758554</v>
      </c>
      <c r="U2787">
        <v>-2.9198909999999998</v>
      </c>
      <c r="V2787">
        <v>-0.24772559999999999</v>
      </c>
      <c r="W2787">
        <v>0.166209</v>
      </c>
      <c r="X2787">
        <v>0.95446660000000005</v>
      </c>
      <c r="Y2787">
        <v>-0.44367610000000002</v>
      </c>
      <c r="Z2787">
        <v>5.4654809999999998E-2</v>
      </c>
      <c r="AA2787">
        <v>0.89451909999999901</v>
      </c>
      <c r="AB2787">
        <v>20</v>
      </c>
      <c r="AC2787">
        <v>0.37650000000002098</v>
      </c>
      <c r="AD2787">
        <v>-5.6210999999999699E-2</v>
      </c>
      <c r="AE2787">
        <v>-0.73930000000001395</v>
      </c>
      <c r="AF2787">
        <v>-0.440640169010108</v>
      </c>
      <c r="AG2787">
        <v>-5.6210999999999699E-2</v>
      </c>
      <c r="AH2787">
        <v>0.69848183693071197</v>
      </c>
      <c r="AI2787">
        <v>93.893762983646397</v>
      </c>
      <c r="AJ2787">
        <v>122.245948572929</v>
      </c>
      <c r="AK2787">
        <v>0.827768271672911</v>
      </c>
      <c r="AL2787">
        <v>80.432524559839393</v>
      </c>
      <c r="AM2787">
        <v>104.549713997011</v>
      </c>
      <c r="AN2787">
        <v>0.999999947545958</v>
      </c>
    </row>
    <row r="2788" spans="1:40" x14ac:dyDescent="0.25">
      <c r="A2788" t="str">
        <f>"20190312172423056"</f>
        <v>20190312172423056</v>
      </c>
      <c r="B2788" t="str">
        <f>"1552382663052601"</f>
        <v>1552382663052601</v>
      </c>
      <c r="C2788" t="s">
        <v>40</v>
      </c>
      <c r="D2788">
        <v>3.7378939999999998</v>
      </c>
      <c r="E2788">
        <v>0.41946299999999997</v>
      </c>
      <c r="F2788" t="s">
        <v>41</v>
      </c>
      <c r="G2788">
        <v>-490.70620000000002</v>
      </c>
      <c r="H2788">
        <v>1.056457</v>
      </c>
      <c r="I2788">
        <v>248.28749999999999</v>
      </c>
      <c r="J2788">
        <v>-491.06979999999999</v>
      </c>
      <c r="K2788">
        <v>1.111623</v>
      </c>
      <c r="L2788">
        <v>249.09360000000001</v>
      </c>
      <c r="M2788">
        <v>-9.0734129999999996E-2</v>
      </c>
      <c r="N2788">
        <v>0</v>
      </c>
      <c r="O2788">
        <v>-0.99578319999999998</v>
      </c>
      <c r="P2788">
        <v>0.15858149999999999</v>
      </c>
      <c r="Q2788">
        <v>0.15400229999999901</v>
      </c>
      <c r="R2788">
        <v>-0.97526170000000001</v>
      </c>
      <c r="S2788">
        <v>1.1255189999999999</v>
      </c>
      <c r="T2788">
        <v>-0.1753266</v>
      </c>
      <c r="U2788">
        <v>-2.920547</v>
      </c>
      <c r="V2788">
        <v>-0.24676980000000001</v>
      </c>
      <c r="W2788">
        <v>0.1664342</v>
      </c>
      <c r="X2788">
        <v>0.95467500000000005</v>
      </c>
      <c r="Y2788">
        <v>-0.442245</v>
      </c>
      <c r="Z2788">
        <v>5.4514060000000003E-2</v>
      </c>
      <c r="AA2788">
        <v>0.89523609999999898</v>
      </c>
      <c r="AB2788">
        <v>20</v>
      </c>
      <c r="AC2788">
        <v>0.36359999999996201</v>
      </c>
      <c r="AD2788">
        <v>-5.5166E-2</v>
      </c>
      <c r="AE2788">
        <v>-0.80610000000001403</v>
      </c>
      <c r="AF2788">
        <v>-0.43356014111904101</v>
      </c>
      <c r="AG2788">
        <v>-5.5166E-2</v>
      </c>
      <c r="AH2788">
        <v>0.76679628701744296</v>
      </c>
      <c r="AI2788">
        <v>93.583522937962897</v>
      </c>
      <c r="AJ2788">
        <v>119.484583386607</v>
      </c>
      <c r="AK2788">
        <v>0.88260649743070696</v>
      </c>
      <c r="AL2788">
        <v>80.419439957847899</v>
      </c>
      <c r="AM2788">
        <v>104.492915064081</v>
      </c>
      <c r="AN2788">
        <v>1.00000001637333</v>
      </c>
    </row>
    <row r="2789" spans="1:40" x14ac:dyDescent="0.25">
      <c r="A2789" t="str">
        <f>"20190312172423069"</f>
        <v>20190312172423069</v>
      </c>
      <c r="B2789" t="str">
        <f>"1552382663062361"</f>
        <v>1552382663062361</v>
      </c>
      <c r="C2789" t="s">
        <v>40</v>
      </c>
      <c r="D2789">
        <v>3.8163119999999999</v>
      </c>
      <c r="E2789">
        <v>0.41946299999999997</v>
      </c>
      <c r="F2789" t="s">
        <v>43</v>
      </c>
      <c r="G2789">
        <v>-483.91230000000002</v>
      </c>
      <c r="H2789" s="1">
        <v>-1.9083E-6</v>
      </c>
      <c r="I2789">
        <v>230.49590000000001</v>
      </c>
      <c r="J2789">
        <v>-491.07870000000003</v>
      </c>
      <c r="K2789">
        <v>1.111626</v>
      </c>
      <c r="L2789">
        <v>248.98509999999999</v>
      </c>
      <c r="M2789">
        <v>-8.9874309999999999E-2</v>
      </c>
      <c r="N2789">
        <v>0</v>
      </c>
      <c r="O2789">
        <v>-0.99586110000000005</v>
      </c>
      <c r="P2789">
        <v>0.1585916</v>
      </c>
      <c r="Q2789">
        <v>0.15424360000000001</v>
      </c>
      <c r="R2789">
        <v>-0.97522200000000003</v>
      </c>
      <c r="S2789">
        <v>1.124115</v>
      </c>
      <c r="T2789">
        <v>-0.1745864</v>
      </c>
      <c r="U2789">
        <v>-2.920868</v>
      </c>
      <c r="V2789">
        <v>-0.24595049999999999</v>
      </c>
      <c r="W2789">
        <v>0.16667870000000001</v>
      </c>
      <c r="X2789">
        <v>0.95484380000000002</v>
      </c>
      <c r="Y2789">
        <v>-0.44106699999999999</v>
      </c>
      <c r="Z2789">
        <v>5.4307170000000002E-2</v>
      </c>
      <c r="AA2789">
        <v>0.8958296</v>
      </c>
      <c r="AB2789">
        <v>20</v>
      </c>
      <c r="AC2789">
        <v>7.1664000000000003</v>
      </c>
      <c r="AD2789">
        <v>-1.1116279083</v>
      </c>
      <c r="AE2789">
        <v>-18.489199999999901</v>
      </c>
      <c r="AF2789">
        <v>-8.7716830938253398</v>
      </c>
      <c r="AG2789">
        <v>-1.1116279083</v>
      </c>
      <c r="AH2789">
        <v>17.714557565926398</v>
      </c>
      <c r="AI2789">
        <v>93.218670523051202</v>
      </c>
      <c r="AJ2789">
        <v>116.343143546123</v>
      </c>
      <c r="AK2789">
        <v>19.798577995945401</v>
      </c>
      <c r="AL2789">
        <v>80.405233113711702</v>
      </c>
      <c r="AM2789">
        <v>104.44436687627</v>
      </c>
      <c r="AN2789">
        <v>1.00000005994118</v>
      </c>
    </row>
    <row r="2790" spans="1:40" x14ac:dyDescent="0.25">
      <c r="A2790" t="str">
        <f>"20190312172423082"</f>
        <v>20190312172423082</v>
      </c>
      <c r="B2790" t="str">
        <f>"1552382663073097"</f>
        <v>1552382663073097</v>
      </c>
      <c r="C2790" t="s">
        <v>40</v>
      </c>
      <c r="D2790">
        <v>3.8373370000000002</v>
      </c>
      <c r="E2790">
        <v>0.45854699999999998</v>
      </c>
      <c r="F2790" t="s">
        <v>41</v>
      </c>
      <c r="G2790">
        <v>-490.7312</v>
      </c>
      <c r="H2790">
        <v>1.058138</v>
      </c>
      <c r="I2790">
        <v>248.0829</v>
      </c>
      <c r="J2790">
        <v>-491.08859999999999</v>
      </c>
      <c r="K2790">
        <v>1.1116299999999999</v>
      </c>
      <c r="L2790">
        <v>248.86349999999999</v>
      </c>
      <c r="M2790">
        <v>-8.8909970000000005E-2</v>
      </c>
      <c r="N2790">
        <v>0</v>
      </c>
      <c r="O2790">
        <v>-0.99594769999999999</v>
      </c>
      <c r="P2790">
        <v>0.15868769999999999</v>
      </c>
      <c r="Q2790">
        <v>0.15494189999999999</v>
      </c>
      <c r="R2790">
        <v>-0.97509570000000001</v>
      </c>
      <c r="S2790">
        <v>1.125305</v>
      </c>
      <c r="T2790">
        <v>-0.17314549999999901</v>
      </c>
      <c r="U2790">
        <v>-2.920639</v>
      </c>
      <c r="V2790">
        <v>-0.24510999999999999</v>
      </c>
      <c r="W2790">
        <v>0.16737869999999999</v>
      </c>
      <c r="X2790">
        <v>0.95493740000000005</v>
      </c>
      <c r="Y2790">
        <v>-0.4405483</v>
      </c>
      <c r="Z2790">
        <v>5.3875340000000001E-2</v>
      </c>
      <c r="AA2790">
        <v>0.89611079999999999</v>
      </c>
      <c r="AB2790">
        <v>20</v>
      </c>
      <c r="AC2790">
        <v>0.35739999999998401</v>
      </c>
      <c r="AD2790">
        <v>-5.3491999999999797E-2</v>
      </c>
      <c r="AE2790">
        <v>-0.78059999999999197</v>
      </c>
      <c r="AF2790">
        <v>-0.42374875663700301</v>
      </c>
      <c r="AG2790">
        <v>-5.3491999999999797E-2</v>
      </c>
      <c r="AH2790">
        <v>0.74284485340677697</v>
      </c>
      <c r="AI2790">
        <v>93.579102036044603</v>
      </c>
      <c r="AJ2790">
        <v>119.702184232504</v>
      </c>
      <c r="AK2790">
        <v>0.85687973429667597</v>
      </c>
      <c r="AL2790">
        <v>80.3645539354345</v>
      </c>
      <c r="AM2790">
        <v>104.395707833</v>
      </c>
      <c r="AN2790">
        <v>0.99999998961622505</v>
      </c>
    </row>
    <row r="2791" spans="1:40" x14ac:dyDescent="0.25">
      <c r="A2791" t="str">
        <f>"20190312172423099"</f>
        <v>20190312172423099</v>
      </c>
      <c r="B2791" t="str">
        <f>"1552382663092619"</f>
        <v>1552382663092619</v>
      </c>
      <c r="C2791" t="s">
        <v>40</v>
      </c>
      <c r="D2791">
        <v>3.8602650000000001</v>
      </c>
      <c r="E2791">
        <v>0.47103499999999998</v>
      </c>
      <c r="F2791" t="s">
        <v>43</v>
      </c>
      <c r="G2791">
        <v>-486.02749999999997</v>
      </c>
      <c r="H2791" s="1">
        <v>-1.3461079999999999E-6</v>
      </c>
      <c r="I2791">
        <v>230.49770000000001</v>
      </c>
      <c r="J2791">
        <v>-491.10129999999998</v>
      </c>
      <c r="K2791">
        <v>1.1116349999999999</v>
      </c>
      <c r="L2791">
        <v>248.70410000000001</v>
      </c>
      <c r="M2791">
        <v>-8.7646669999999996E-2</v>
      </c>
      <c r="N2791">
        <v>0</v>
      </c>
      <c r="O2791">
        <v>-0.99605980000000005</v>
      </c>
      <c r="P2791">
        <v>0.1582578</v>
      </c>
      <c r="Q2791">
        <v>0.1557433</v>
      </c>
      <c r="R2791">
        <v>-0.97503810000000002</v>
      </c>
      <c r="S2791">
        <v>0.81896969999999902</v>
      </c>
      <c r="T2791">
        <v>-0.17988109999999999</v>
      </c>
      <c r="U2791">
        <v>-2.9719090000000001</v>
      </c>
      <c r="V2791">
        <v>-0.24346329999999999</v>
      </c>
      <c r="W2791">
        <v>0.16818629999999901</v>
      </c>
      <c r="X2791">
        <v>0.95521670000000003</v>
      </c>
      <c r="Y2791">
        <v>-0.34871000000000002</v>
      </c>
      <c r="Z2791">
        <v>5.7109199999999999E-2</v>
      </c>
      <c r="AA2791">
        <v>0.93548909999999996</v>
      </c>
      <c r="AB2791">
        <v>20</v>
      </c>
      <c r="AC2791">
        <v>5.0738000000000003</v>
      </c>
      <c r="AD2791">
        <v>-1.1116363461080001</v>
      </c>
      <c r="AE2791">
        <v>-18.206399999999999</v>
      </c>
      <c r="AF2791">
        <v>-6.6272209976991299</v>
      </c>
      <c r="AG2791">
        <v>-1.1116363461080001</v>
      </c>
      <c r="AH2791">
        <v>17.6305894435563</v>
      </c>
      <c r="AI2791">
        <v>93.377659965829693</v>
      </c>
      <c r="AJ2791">
        <v>110.60090577512599</v>
      </c>
      <c r="AK2791">
        <v>18.8677894212749</v>
      </c>
      <c r="AL2791">
        <v>80.317616354608106</v>
      </c>
      <c r="AM2791">
        <v>104.298964576944</v>
      </c>
      <c r="AN2791">
        <v>0.99999997695673404</v>
      </c>
    </row>
    <row r="2792" spans="1:40" x14ac:dyDescent="0.25">
      <c r="A2792" t="str">
        <f>"20190312172423113"</f>
        <v>20190312172423113</v>
      </c>
      <c r="B2792" t="str">
        <f>"1552382663102378"</f>
        <v>1552382663102378</v>
      </c>
      <c r="C2792" t="s">
        <v>40</v>
      </c>
      <c r="D2792">
        <v>4.0259720000000003</v>
      </c>
      <c r="E2792">
        <v>0.47377269999999999</v>
      </c>
      <c r="F2792" t="s">
        <v>43</v>
      </c>
      <c r="G2792">
        <v>-486.8974</v>
      </c>
      <c r="H2792" s="1">
        <v>-1.371449E-6</v>
      </c>
      <c r="I2792">
        <v>231.25229999999999</v>
      </c>
      <c r="J2792">
        <v>-491.11020000000002</v>
      </c>
      <c r="K2792">
        <v>1.111639</v>
      </c>
      <c r="L2792">
        <v>248.59129999999999</v>
      </c>
      <c r="M2792">
        <v>-8.6752679999999999E-2</v>
      </c>
      <c r="N2792">
        <v>0</v>
      </c>
      <c r="O2792">
        <v>-0.99613799999999997</v>
      </c>
      <c r="P2792">
        <v>0.15838239999999901</v>
      </c>
      <c r="Q2792">
        <v>0.1562103</v>
      </c>
      <c r="R2792">
        <v>-0.97494309999999995</v>
      </c>
      <c r="S2792">
        <v>0.72033689999999995</v>
      </c>
      <c r="T2792">
        <v>-0.1904758</v>
      </c>
      <c r="U2792">
        <v>-2.990326</v>
      </c>
      <c r="V2792">
        <v>-0.2427202</v>
      </c>
      <c r="W2792">
        <v>0.16865539999999901</v>
      </c>
      <c r="X2792">
        <v>0.95532309999999998</v>
      </c>
      <c r="Y2792">
        <v>-0.31721729999999998</v>
      </c>
      <c r="Z2792">
        <v>6.0701020000000001E-2</v>
      </c>
      <c r="AA2792">
        <v>0.94640829999999998</v>
      </c>
      <c r="AB2792">
        <v>20</v>
      </c>
      <c r="AC2792">
        <v>4.2128000000000103</v>
      </c>
      <c r="AD2792">
        <v>-1.111640371449</v>
      </c>
      <c r="AE2792">
        <v>-17.338999999999999</v>
      </c>
      <c r="AF2792">
        <v>-5.6792143130553798</v>
      </c>
      <c r="AG2792">
        <v>-1.111640371449</v>
      </c>
      <c r="AH2792">
        <v>16.8427419256683</v>
      </c>
      <c r="AI2792">
        <v>93.578699606795595</v>
      </c>
      <c r="AJ2792">
        <v>108.633622890308</v>
      </c>
      <c r="AK2792">
        <v>17.809187940602801</v>
      </c>
      <c r="AL2792">
        <v>80.290349453518502</v>
      </c>
      <c r="AM2792">
        <v>104.25557994207399</v>
      </c>
      <c r="AN2792">
        <v>0.999999982415404</v>
      </c>
    </row>
    <row r="2793" spans="1:40" x14ac:dyDescent="0.25">
      <c r="A2793" t="str">
        <f>"20190312172423133"</f>
        <v>20190312172423133</v>
      </c>
      <c r="B2793" t="str">
        <f>"1552382663122872"</f>
        <v>1552382663122872</v>
      </c>
      <c r="C2793" t="s">
        <v>40</v>
      </c>
      <c r="D2793">
        <v>3.9086069999999999</v>
      </c>
      <c r="E2793">
        <v>0.47749649999999999</v>
      </c>
      <c r="F2793" t="s">
        <v>43</v>
      </c>
      <c r="G2793">
        <v>-487.17809999999997</v>
      </c>
      <c r="H2793" s="1">
        <v>-1.4673309999999999E-6</v>
      </c>
      <c r="I2793">
        <v>231.7535</v>
      </c>
      <c r="J2793">
        <v>-491.12439999999998</v>
      </c>
      <c r="K2793">
        <v>1.111653</v>
      </c>
      <c r="L2793">
        <v>248.40809999999999</v>
      </c>
      <c r="M2793">
        <v>-8.5300899999999902E-2</v>
      </c>
      <c r="N2793">
        <v>0</v>
      </c>
      <c r="O2793">
        <v>-0.99626329999999996</v>
      </c>
      <c r="P2793">
        <v>0.158387</v>
      </c>
      <c r="Q2793">
        <v>0.1566398</v>
      </c>
      <c r="R2793">
        <v>-0.97487310000000005</v>
      </c>
      <c r="S2793">
        <v>0.6994629</v>
      </c>
      <c r="T2793">
        <v>-0.19774449999999999</v>
      </c>
      <c r="U2793">
        <v>-2.995193</v>
      </c>
      <c r="V2793">
        <v>-0.2413236</v>
      </c>
      <c r="W2793">
        <v>0.16909060000000001</v>
      </c>
      <c r="X2793">
        <v>0.9556</v>
      </c>
      <c r="Y2793">
        <v>-0.30919590000000002</v>
      </c>
      <c r="Z2793">
        <v>6.3056630000000002E-2</v>
      </c>
      <c r="AA2793">
        <v>0.94890549999999996</v>
      </c>
      <c r="AB2793">
        <v>20</v>
      </c>
      <c r="AC2793">
        <v>3.9462999999999999</v>
      </c>
      <c r="AD2793">
        <v>-1.111654467331</v>
      </c>
      <c r="AE2793">
        <v>-16.654599999999899</v>
      </c>
      <c r="AF2793">
        <v>-5.3302115837750303</v>
      </c>
      <c r="AG2793">
        <v>-1.111654467331</v>
      </c>
      <c r="AH2793">
        <v>16.188941580472999</v>
      </c>
      <c r="AI2793">
        <v>93.731727464785706</v>
      </c>
      <c r="AJ2793">
        <v>108.224137730858</v>
      </c>
      <c r="AK2793">
        <v>17.080069106374001</v>
      </c>
      <c r="AL2793">
        <v>80.265051509903401</v>
      </c>
      <c r="AM2793">
        <v>104.17292775206801</v>
      </c>
      <c r="AN2793">
        <v>1.0000000354626499</v>
      </c>
    </row>
    <row r="2794" spans="1:40" x14ac:dyDescent="0.25">
      <c r="A2794" t="str">
        <f>"20190312172423146"</f>
        <v>20190312172423146</v>
      </c>
      <c r="B2794" t="str">
        <f>"1552382663142393"</f>
        <v>1552382663142393</v>
      </c>
      <c r="C2794" t="s">
        <v>40</v>
      </c>
      <c r="D2794">
        <v>3.9582389999999998</v>
      </c>
      <c r="E2794">
        <v>0.47917310000000002</v>
      </c>
      <c r="F2794" t="s">
        <v>43</v>
      </c>
      <c r="G2794">
        <v>-487.41399999999999</v>
      </c>
      <c r="H2794" s="1">
        <v>-1.4267250000000001E-6</v>
      </c>
      <c r="I2794">
        <v>231.8186</v>
      </c>
      <c r="J2794">
        <v>-491.1327</v>
      </c>
      <c r="K2794">
        <v>1.111653</v>
      </c>
      <c r="L2794">
        <v>248.29920000000001</v>
      </c>
      <c r="M2794">
        <v>-8.4437760000000001E-2</v>
      </c>
      <c r="N2794">
        <v>0</v>
      </c>
      <c r="O2794">
        <v>-0.99633709999999998</v>
      </c>
      <c r="P2794">
        <v>0.1583405</v>
      </c>
      <c r="Q2794">
        <v>0.15663099999999999</v>
      </c>
      <c r="R2794">
        <v>-0.97488240000000004</v>
      </c>
      <c r="S2794">
        <v>0.67111209999999999</v>
      </c>
      <c r="T2794">
        <v>-0.20106889999999999</v>
      </c>
      <c r="U2794">
        <v>-3.0005950000000001</v>
      </c>
      <c r="V2794">
        <v>-0.240448</v>
      </c>
      <c r="W2794">
        <v>0.16908589999999901</v>
      </c>
      <c r="X2794">
        <v>0.95582149999999999</v>
      </c>
      <c r="Y2794">
        <v>-0.29944120000000002</v>
      </c>
      <c r="Z2794">
        <v>6.4176720000000007E-2</v>
      </c>
      <c r="AA2794">
        <v>0.95195390000000002</v>
      </c>
      <c r="AB2794">
        <v>20</v>
      </c>
      <c r="AC2794">
        <v>3.7187000000000099</v>
      </c>
      <c r="AD2794">
        <v>-1.1116544267249999</v>
      </c>
      <c r="AE2794">
        <v>-16.480599999999999</v>
      </c>
      <c r="AF2794">
        <v>-5.0751569126307503</v>
      </c>
      <c r="AG2794">
        <v>-1.1116544267249999</v>
      </c>
      <c r="AH2794">
        <v>16.0382697175706</v>
      </c>
      <c r="AI2794">
        <v>93.780776737403897</v>
      </c>
      <c r="AJ2794">
        <v>107.559476807818</v>
      </c>
      <c r="AK2794">
        <v>16.858798557009401</v>
      </c>
      <c r="AL2794">
        <v>80.265324494496397</v>
      </c>
      <c r="AM2794">
        <v>104.120423240874</v>
      </c>
      <c r="AN2794">
        <v>1.00000001107253</v>
      </c>
    </row>
    <row r="2795" spans="1:40" x14ac:dyDescent="0.25">
      <c r="A2795" t="str">
        <f>"20190312172423159"</f>
        <v>20190312172423159</v>
      </c>
      <c r="B2795" t="str">
        <f>"1552382663153129"</f>
        <v>1552382663153129</v>
      </c>
      <c r="C2795" t="s">
        <v>40</v>
      </c>
      <c r="D2795">
        <v>3.8942779999999999</v>
      </c>
      <c r="E2795">
        <v>0.47991699999999998</v>
      </c>
      <c r="F2795" t="s">
        <v>43</v>
      </c>
      <c r="G2795">
        <v>-487.5924</v>
      </c>
      <c r="H2795" s="1">
        <v>-1.505469E-6</v>
      </c>
      <c r="I2795">
        <v>232.1465</v>
      </c>
      <c r="J2795">
        <v>-491.14249999999998</v>
      </c>
      <c r="K2795">
        <v>1.111653</v>
      </c>
      <c r="L2795">
        <v>248.17060000000001</v>
      </c>
      <c r="M2795">
        <v>-8.3417489999999997E-2</v>
      </c>
      <c r="N2795">
        <v>0</v>
      </c>
      <c r="O2795">
        <v>-0.99642299999999995</v>
      </c>
      <c r="P2795">
        <v>0.15833</v>
      </c>
      <c r="Q2795">
        <v>0.15646669999999999</v>
      </c>
      <c r="R2795">
        <v>-0.9749101</v>
      </c>
      <c r="S2795">
        <v>0.65832519999999894</v>
      </c>
      <c r="T2795">
        <v>-0.20671220000000001</v>
      </c>
      <c r="U2795">
        <v>-3.0035859999999999</v>
      </c>
      <c r="V2795">
        <v>-0.23945820000000001</v>
      </c>
      <c r="W2795">
        <v>0.1689271</v>
      </c>
      <c r="X2795">
        <v>0.956098</v>
      </c>
      <c r="Y2795">
        <v>-0.2943693</v>
      </c>
      <c r="Z2795">
        <v>6.5998080000000001E-2</v>
      </c>
      <c r="AA2795">
        <v>0.95341019999999999</v>
      </c>
      <c r="AB2795">
        <v>20</v>
      </c>
      <c r="AC2795">
        <v>3.55009999999998</v>
      </c>
      <c r="AD2795">
        <v>-1.1116545054689999</v>
      </c>
      <c r="AE2795">
        <v>-16.024100000000001</v>
      </c>
      <c r="AF2795">
        <v>-4.8522767267963998</v>
      </c>
      <c r="AG2795">
        <v>-1.1116545054689999</v>
      </c>
      <c r="AH2795">
        <v>15.600504930301</v>
      </c>
      <c r="AI2795">
        <v>93.892536938483701</v>
      </c>
      <c r="AJ2795">
        <v>107.27743412628</v>
      </c>
      <c r="AK2795">
        <v>16.375473100136201</v>
      </c>
      <c r="AL2795">
        <v>80.274555652313296</v>
      </c>
      <c r="AM2795">
        <v>104.060702221908</v>
      </c>
      <c r="AN2795">
        <v>0.99999999013282503</v>
      </c>
    </row>
    <row r="2796" spans="1:40" x14ac:dyDescent="0.25">
      <c r="A2796" t="str">
        <f>"20190312172423179"</f>
        <v>20190312172423179</v>
      </c>
      <c r="B2796" t="str">
        <f>"1552382663172649"</f>
        <v>1552382663172649</v>
      </c>
      <c r="C2796" t="s">
        <v>40</v>
      </c>
      <c r="D2796">
        <v>3.899187</v>
      </c>
      <c r="E2796">
        <v>0.48081790000000002</v>
      </c>
      <c r="F2796" t="s">
        <v>43</v>
      </c>
      <c r="G2796">
        <v>-487.66149999999999</v>
      </c>
      <c r="H2796" s="1">
        <v>-1.489513E-6</v>
      </c>
      <c r="I2796">
        <v>232.1379</v>
      </c>
      <c r="J2796">
        <v>-491.15460000000002</v>
      </c>
      <c r="K2796">
        <v>1.111645</v>
      </c>
      <c r="L2796">
        <v>248.00739999999999</v>
      </c>
      <c r="M2796">
        <v>-8.2122390000000003E-2</v>
      </c>
      <c r="N2796">
        <v>0</v>
      </c>
      <c r="O2796">
        <v>-0.99653049999999999</v>
      </c>
      <c r="P2796">
        <v>0.1576641</v>
      </c>
      <c r="Q2796">
        <v>0.15666679999999999</v>
      </c>
      <c r="R2796">
        <v>-0.97498600000000002</v>
      </c>
      <c r="S2796">
        <v>0.65237429999999996</v>
      </c>
      <c r="T2796">
        <v>-0.20833670000000001</v>
      </c>
      <c r="U2796">
        <v>-3.0047000000000001</v>
      </c>
      <c r="V2796">
        <v>-0.2375553</v>
      </c>
      <c r="W2796">
        <v>0.16913529999999999</v>
      </c>
      <c r="X2796">
        <v>0.95653580000000005</v>
      </c>
      <c r="Y2796">
        <v>-0.291241799999999</v>
      </c>
      <c r="Z2796">
        <v>6.6547999999999996E-2</v>
      </c>
      <c r="AA2796">
        <v>0.95433199999999996</v>
      </c>
      <c r="AB2796">
        <v>20</v>
      </c>
      <c r="AC2796">
        <v>3.4931000000000201</v>
      </c>
      <c r="AD2796">
        <v>-1.111646489513</v>
      </c>
      <c r="AE2796">
        <v>-15.869499999999899</v>
      </c>
      <c r="AF2796">
        <v>-4.7623709003720203</v>
      </c>
      <c r="AG2796">
        <v>-1.111646489513</v>
      </c>
      <c r="AH2796">
        <v>15.456659676713</v>
      </c>
      <c r="AI2796">
        <v>93.931855282301299</v>
      </c>
      <c r="AJ2796">
        <v>107.124654586834</v>
      </c>
      <c r="AK2796">
        <v>16.211855627042901</v>
      </c>
      <c r="AL2796">
        <v>80.262452646376701</v>
      </c>
      <c r="AM2796">
        <v>103.947211361309</v>
      </c>
      <c r="AN2796">
        <v>1.00000000347291</v>
      </c>
    </row>
    <row r="2797" spans="1:40" x14ac:dyDescent="0.25">
      <c r="A2797" t="str">
        <f>"20190312172423202"</f>
        <v>20190312172423202</v>
      </c>
      <c r="B2797" t="str">
        <f>"1552382663193144"</f>
        <v>1552382663193144</v>
      </c>
      <c r="C2797" t="s">
        <v>40</v>
      </c>
      <c r="D2797">
        <v>3.9057689999999998</v>
      </c>
      <c r="E2797">
        <v>0.48136499999999999</v>
      </c>
      <c r="F2797" t="s">
        <v>43</v>
      </c>
      <c r="G2797">
        <v>-487.75099999999998</v>
      </c>
      <c r="H2797" s="1">
        <v>-1.464918E-6</v>
      </c>
      <c r="I2797">
        <v>232.11760000000001</v>
      </c>
      <c r="J2797">
        <v>-491.16989999999998</v>
      </c>
      <c r="K2797">
        <v>1.111645</v>
      </c>
      <c r="L2797">
        <v>247.797</v>
      </c>
      <c r="M2797">
        <v>-8.0449889999999996E-2</v>
      </c>
      <c r="N2797">
        <v>0</v>
      </c>
      <c r="O2797">
        <v>-0.99666719999999998</v>
      </c>
      <c r="P2797">
        <v>0.1577867</v>
      </c>
      <c r="Q2797">
        <v>0.15741329999999901</v>
      </c>
      <c r="R2797">
        <v>-0.97484630000000005</v>
      </c>
      <c r="S2797">
        <v>0.64401249999999999</v>
      </c>
      <c r="T2797">
        <v>-0.21034310000000001</v>
      </c>
      <c r="U2797">
        <v>-3.0066220000000001</v>
      </c>
      <c r="V2797">
        <v>-0.23605760000000001</v>
      </c>
      <c r="W2797">
        <v>0.1698867</v>
      </c>
      <c r="X2797">
        <v>0.9567734</v>
      </c>
      <c r="Y2797">
        <v>-0.28696159999999998</v>
      </c>
      <c r="Z2797">
        <v>6.7222240000000003E-2</v>
      </c>
      <c r="AA2797">
        <v>0.9555806</v>
      </c>
      <c r="AB2797">
        <v>20</v>
      </c>
      <c r="AC2797">
        <v>3.4188999999999998</v>
      </c>
      <c r="AD2797">
        <v>-1.111646464918</v>
      </c>
      <c r="AE2797">
        <v>-15.6793999999999</v>
      </c>
      <c r="AF2797">
        <v>-4.6470385385323496</v>
      </c>
      <c r="AG2797">
        <v>-1.111646464918</v>
      </c>
      <c r="AH2797">
        <v>15.2801719465013</v>
      </c>
      <c r="AI2797">
        <v>93.981552354059701</v>
      </c>
      <c r="AJ2797">
        <v>106.915677491514</v>
      </c>
      <c r="AK2797">
        <v>16.009821353038699</v>
      </c>
      <c r="AL2797">
        <v>80.218768477283405</v>
      </c>
      <c r="AM2797">
        <v>103.859371221679</v>
      </c>
      <c r="AN2797">
        <v>1.0000000101511</v>
      </c>
    </row>
    <row r="2798" spans="1:40" x14ac:dyDescent="0.25">
      <c r="A2798" t="str">
        <f>"20190312172423214"</f>
        <v>20190312172423214</v>
      </c>
      <c r="B2798" t="str">
        <f>"1552382663202905"</f>
        <v>1552382663202905</v>
      </c>
      <c r="C2798" t="s">
        <v>40</v>
      </c>
      <c r="D2798">
        <v>4.0174469999999998</v>
      </c>
      <c r="E2798">
        <v>0.4814929</v>
      </c>
      <c r="F2798" t="s">
        <v>43</v>
      </c>
      <c r="G2798">
        <v>-487.79649999999998</v>
      </c>
      <c r="H2798" s="1">
        <v>-1.3803890000000001E-6</v>
      </c>
      <c r="I2798">
        <v>231.93940000000001</v>
      </c>
      <c r="J2798">
        <v>-491.17809999999997</v>
      </c>
      <c r="K2798">
        <v>1.111642</v>
      </c>
      <c r="L2798">
        <v>247.68199999999999</v>
      </c>
      <c r="M2798">
        <v>-7.9534049999999995E-2</v>
      </c>
      <c r="N2798">
        <v>0</v>
      </c>
      <c r="O2798">
        <v>-0.99674070000000003</v>
      </c>
      <c r="P2798">
        <v>0.1582489</v>
      </c>
      <c r="Q2798">
        <v>0.1577201</v>
      </c>
      <c r="R2798">
        <v>-0.97472199999999998</v>
      </c>
      <c r="S2798">
        <v>0.63986209999999999</v>
      </c>
      <c r="T2798">
        <v>-0.21085660000000001</v>
      </c>
      <c r="U2798">
        <v>-3.0078580000000001</v>
      </c>
      <c r="V2798">
        <v>-0.235628</v>
      </c>
      <c r="W2798">
        <v>0.1701935</v>
      </c>
      <c r="X2798">
        <v>0.95682480000000003</v>
      </c>
      <c r="Y2798">
        <v>-0.28473680000000001</v>
      </c>
      <c r="Z2798">
        <v>6.7398760000000002E-2</v>
      </c>
      <c r="AA2798">
        <v>0.95623340000000001</v>
      </c>
      <c r="AB2798">
        <v>20</v>
      </c>
      <c r="AC2798">
        <v>3.3815999999999899</v>
      </c>
      <c r="AD2798">
        <v>-1.111643380389</v>
      </c>
      <c r="AE2798">
        <v>-15.742599999999999</v>
      </c>
      <c r="AF2798">
        <v>-4.6011417884494996</v>
      </c>
      <c r="AG2798">
        <v>-1.111643380389</v>
      </c>
      <c r="AH2798">
        <v>15.350577319940699</v>
      </c>
      <c r="AI2798">
        <v>93.968134539817996</v>
      </c>
      <c r="AJ2798">
        <v>106.68543849978199</v>
      </c>
      <c r="AK2798">
        <v>16.063825223714801</v>
      </c>
      <c r="AL2798">
        <v>80.200930652271197</v>
      </c>
      <c r="AM2798">
        <v>103.83440385812</v>
      </c>
      <c r="AN2798">
        <v>1.0000000398606399</v>
      </c>
    </row>
    <row r="2799" spans="1:40" x14ac:dyDescent="0.25">
      <c r="A2799" t="str">
        <f>"20190312172423228"</f>
        <v>20190312172423228</v>
      </c>
      <c r="B2799" t="str">
        <f>"1552382663222425"</f>
        <v>1552382663222425</v>
      </c>
      <c r="C2799" t="s">
        <v>40</v>
      </c>
      <c r="D2799">
        <v>4.0710579999999998</v>
      </c>
      <c r="E2799">
        <v>0.48154079999999999</v>
      </c>
      <c r="F2799" t="s">
        <v>43</v>
      </c>
      <c r="G2799">
        <v>-487.81349999999998</v>
      </c>
      <c r="H2799" s="1">
        <v>-1.346778E-6</v>
      </c>
      <c r="I2799">
        <v>231.8681</v>
      </c>
      <c r="J2799">
        <v>-491.18610000000001</v>
      </c>
      <c r="K2799">
        <v>1.1116429999999999</v>
      </c>
      <c r="L2799">
        <v>247.56909999999999</v>
      </c>
      <c r="M2799">
        <v>-7.8632499999999994E-2</v>
      </c>
      <c r="N2799">
        <v>0</v>
      </c>
      <c r="O2799">
        <v>-0.99681220000000004</v>
      </c>
      <c r="P2799">
        <v>0.1589043</v>
      </c>
      <c r="Q2799">
        <v>0.15781779999999901</v>
      </c>
      <c r="R2799">
        <v>-0.9745994</v>
      </c>
      <c r="S2799">
        <v>0.64001459999999999</v>
      </c>
      <c r="T2799">
        <v>-0.2114557</v>
      </c>
      <c r="U2799">
        <v>-3.0081180000000001</v>
      </c>
      <c r="V2799">
        <v>-0.2354049</v>
      </c>
      <c r="W2799">
        <v>0.17029129999999901</v>
      </c>
      <c r="X2799">
        <v>0.95686230000000005</v>
      </c>
      <c r="Y2799">
        <v>-0.2838967</v>
      </c>
      <c r="Z2799">
        <v>6.7599439999999997E-2</v>
      </c>
      <c r="AA2799">
        <v>0.95646900000000001</v>
      </c>
      <c r="AB2799">
        <v>20</v>
      </c>
      <c r="AC2799">
        <v>3.37260000000003</v>
      </c>
      <c r="AD2799">
        <v>-1.1116443467779999</v>
      </c>
      <c r="AE2799">
        <v>-15.700999999999899</v>
      </c>
      <c r="AF2799">
        <v>-4.5749551877119696</v>
      </c>
      <c r="AG2799">
        <v>-1.1116443467779999</v>
      </c>
      <c r="AH2799">
        <v>15.313776857819301</v>
      </c>
      <c r="AI2799">
        <v>93.978721101238804</v>
      </c>
      <c r="AJ2799">
        <v>106.633393031781</v>
      </c>
      <c r="AK2799">
        <v>16.021165056710998</v>
      </c>
      <c r="AL2799">
        <v>80.195243991821698</v>
      </c>
      <c r="AM2799">
        <v>103.821286627397</v>
      </c>
      <c r="AN2799">
        <v>1.0000000274804901</v>
      </c>
    </row>
    <row r="2800" spans="1:40" x14ac:dyDescent="0.25">
      <c r="A2800" t="str">
        <f>"20190312172423244"</f>
        <v>20190312172423244</v>
      </c>
      <c r="B2800" t="str">
        <f>"1552382663233161"</f>
        <v>1552382663233161</v>
      </c>
      <c r="C2800" t="s">
        <v>40</v>
      </c>
      <c r="D2800">
        <v>4.0678510000000001</v>
      </c>
      <c r="E2800">
        <v>0.48159299999999999</v>
      </c>
      <c r="F2800" t="s">
        <v>43</v>
      </c>
      <c r="G2800">
        <v>-487.86989999999997</v>
      </c>
      <c r="H2800" s="1">
        <v>-1.4045460000000001E-6</v>
      </c>
      <c r="I2800">
        <v>232.02600000000001</v>
      </c>
      <c r="J2800">
        <v>-491.19619999999998</v>
      </c>
      <c r="K2800">
        <v>1.1116429999999999</v>
      </c>
      <c r="L2800">
        <v>247.42500000000001</v>
      </c>
      <c r="M2800">
        <v>-7.7479149999999997E-2</v>
      </c>
      <c r="N2800">
        <v>0</v>
      </c>
      <c r="O2800">
        <v>-0.99690250000000002</v>
      </c>
      <c r="P2800">
        <v>0.15990190000000001</v>
      </c>
      <c r="Q2800">
        <v>0.15807829999999901</v>
      </c>
      <c r="R2800">
        <v>-0.97439390000000003</v>
      </c>
      <c r="S2800">
        <v>0.64184569999999996</v>
      </c>
      <c r="T2800">
        <v>-0.21515919999999999</v>
      </c>
      <c r="U2800">
        <v>-3.008362</v>
      </c>
      <c r="V2800">
        <v>-0.2352747</v>
      </c>
      <c r="W2800">
        <v>0.17055020000000001</v>
      </c>
      <c r="X2800">
        <v>0.95684820000000004</v>
      </c>
      <c r="Y2800">
        <v>-0.28331149999999999</v>
      </c>
      <c r="Z2800">
        <v>6.8783499999999997E-2</v>
      </c>
      <c r="AA2800">
        <v>0.95655809999999997</v>
      </c>
      <c r="AB2800">
        <v>20</v>
      </c>
      <c r="AC2800">
        <v>3.3262999999999998</v>
      </c>
      <c r="AD2800">
        <v>-1.1116444045460001</v>
      </c>
      <c r="AE2800">
        <v>-15.398999999999999</v>
      </c>
      <c r="AF2800">
        <v>-4.48716790038893</v>
      </c>
      <c r="AG2800">
        <v>-1.1116444045460001</v>
      </c>
      <c r="AH2800">
        <v>15.0201740001598</v>
      </c>
      <c r="AI2800">
        <v>94.056242651662103</v>
      </c>
      <c r="AJ2800">
        <v>106.633133471132</v>
      </c>
      <c r="AK2800">
        <v>15.715471868305899</v>
      </c>
      <c r="AL2800">
        <v>80.180189785515495</v>
      </c>
      <c r="AM2800">
        <v>103.814130870829</v>
      </c>
      <c r="AN2800">
        <v>1.00000001651168</v>
      </c>
    </row>
    <row r="2801" spans="1:40" x14ac:dyDescent="0.25">
      <c r="A2801" t="str">
        <f>"20190312172423258"</f>
        <v>20190312172423258</v>
      </c>
      <c r="B2801" t="str">
        <f>"1552382663252681"</f>
        <v>1552382663252681</v>
      </c>
      <c r="C2801" t="s">
        <v>40</v>
      </c>
      <c r="D2801">
        <v>4.0082760000000004</v>
      </c>
      <c r="E2801">
        <v>0.48168280000000002</v>
      </c>
      <c r="F2801" t="s">
        <v>43</v>
      </c>
      <c r="G2801">
        <v>-487.87209999999999</v>
      </c>
      <c r="H2801" s="1">
        <v>-1.357257E-6</v>
      </c>
      <c r="I2801">
        <v>231.91669999999999</v>
      </c>
      <c r="J2801">
        <v>-491.20460000000003</v>
      </c>
      <c r="K2801">
        <v>1.111645</v>
      </c>
      <c r="L2801">
        <v>247.3013</v>
      </c>
      <c r="M2801">
        <v>-7.6483960000000004E-2</v>
      </c>
      <c r="N2801">
        <v>0</v>
      </c>
      <c r="O2801">
        <v>-0.99697919999999995</v>
      </c>
      <c r="P2801">
        <v>0.16076499999999999</v>
      </c>
      <c r="Q2801">
        <v>0.15796640000000001</v>
      </c>
      <c r="R2801">
        <v>-0.97426959999999996</v>
      </c>
      <c r="S2801">
        <v>0.64474489999999995</v>
      </c>
      <c r="T2801">
        <v>-0.21561520000000001</v>
      </c>
      <c r="U2801">
        <v>-3.0079959999999999</v>
      </c>
      <c r="V2801">
        <v>-0.2351684</v>
      </c>
      <c r="W2801">
        <v>0.17043639999999999</v>
      </c>
      <c r="X2801">
        <v>0.95689460000000004</v>
      </c>
      <c r="Y2801">
        <v>-0.2832575</v>
      </c>
      <c r="Z2801">
        <v>6.8938609999999997E-2</v>
      </c>
      <c r="AA2801">
        <v>0.95656289999999999</v>
      </c>
      <c r="AB2801">
        <v>20</v>
      </c>
      <c r="AC2801">
        <v>3.3325000000000302</v>
      </c>
      <c r="AD2801">
        <v>-1.1116463572569999</v>
      </c>
      <c r="AE2801">
        <v>-15.384600000000001</v>
      </c>
      <c r="AF2801">
        <v>-4.4771911751132301</v>
      </c>
      <c r="AG2801">
        <v>-1.1116463572569999</v>
      </c>
      <c r="AH2801">
        <v>15.0097662759941</v>
      </c>
      <c r="AI2801">
        <v>94.059560303832001</v>
      </c>
      <c r="AJ2801">
        <v>106.609063533821</v>
      </c>
      <c r="AK2801">
        <v>15.7026775456316</v>
      </c>
      <c r="AL2801">
        <v>80.186806854892197</v>
      </c>
      <c r="AM2801">
        <v>103.80748446649601</v>
      </c>
      <c r="AN2801">
        <v>1.0000000091563399</v>
      </c>
    </row>
    <row r="2802" spans="1:40" x14ac:dyDescent="0.25">
      <c r="A2802" t="str">
        <f>"20190312172423272"</f>
        <v>20190312172423272</v>
      </c>
      <c r="B2802" t="str">
        <f>"1552382663262441"</f>
        <v>1552382663262441</v>
      </c>
      <c r="C2802" t="s">
        <v>40</v>
      </c>
      <c r="D2802">
        <v>3.9113289999999998</v>
      </c>
      <c r="E2802">
        <v>0.48181469999999998</v>
      </c>
      <c r="F2802" t="s">
        <v>43</v>
      </c>
      <c r="G2802">
        <v>-487.89940000000001</v>
      </c>
      <c r="H2802" s="1">
        <v>-1.3583E-6</v>
      </c>
      <c r="I2802">
        <v>231.93039999999999</v>
      </c>
      <c r="J2802">
        <v>-491.21260000000001</v>
      </c>
      <c r="K2802">
        <v>1.1116520000000001</v>
      </c>
      <c r="L2802">
        <v>247.18209999999999</v>
      </c>
      <c r="M2802">
        <v>-7.5518399999999999E-2</v>
      </c>
      <c r="N2802">
        <v>0</v>
      </c>
      <c r="O2802">
        <v>-0.99705299999999997</v>
      </c>
      <c r="P2802">
        <v>0.16179499999999999</v>
      </c>
      <c r="Q2802">
        <v>0.15801119999999999</v>
      </c>
      <c r="R2802">
        <v>-0.97409210000000002</v>
      </c>
      <c r="S2802">
        <v>0.64675899999999997</v>
      </c>
      <c r="T2802">
        <v>-0.21752630000000001</v>
      </c>
      <c r="U2802">
        <v>-3.0077669999999999</v>
      </c>
      <c r="V2802">
        <v>-0.2352554</v>
      </c>
      <c r="W2802">
        <v>0.1704774</v>
      </c>
      <c r="X2802">
        <v>0.95686590000000005</v>
      </c>
      <c r="Y2802">
        <v>-0.28294709999999901</v>
      </c>
      <c r="Z2802">
        <v>6.9558099999999998E-2</v>
      </c>
      <c r="AA2802">
        <v>0.95660999999999996</v>
      </c>
      <c r="AB2802">
        <v>20</v>
      </c>
      <c r="AC2802">
        <v>3.3131999999999899</v>
      </c>
      <c r="AD2802">
        <v>-1.1116533582999999</v>
      </c>
      <c r="AE2802">
        <v>-15.2517</v>
      </c>
      <c r="AF2802">
        <v>-4.4331362033086901</v>
      </c>
      <c r="AG2802">
        <v>-1.1116533582999999</v>
      </c>
      <c r="AH2802">
        <v>14.882408590973199</v>
      </c>
      <c r="AI2802">
        <v>94.0946637686895</v>
      </c>
      <c r="AJ2802">
        <v>106.58761552559</v>
      </c>
      <c r="AK2802">
        <v>15.5683831933435</v>
      </c>
      <c r="AL2802">
        <v>80.184422736135204</v>
      </c>
      <c r="AM2802">
        <v>103.812795349325</v>
      </c>
      <c r="AN2802">
        <v>0.99999999886136504</v>
      </c>
    </row>
    <row r="2803" spans="1:40" x14ac:dyDescent="0.25">
      <c r="A2803" t="str">
        <f>"20190312172423291"</f>
        <v>20190312172423291</v>
      </c>
      <c r="B2803" t="str">
        <f>"1552382663282944"</f>
        <v>1552382663282944</v>
      </c>
      <c r="C2803" t="s">
        <v>40</v>
      </c>
      <c r="D2803">
        <v>4.0448940000000002</v>
      </c>
      <c r="E2803">
        <v>0.48176160000000001</v>
      </c>
      <c r="F2803" t="s">
        <v>43</v>
      </c>
      <c r="G2803">
        <v>-487.88819999999998</v>
      </c>
      <c r="H2803" s="1">
        <v>-1.3006549999999999E-6</v>
      </c>
      <c r="I2803">
        <v>231.79140000000001</v>
      </c>
      <c r="J2803">
        <v>-491.2244</v>
      </c>
      <c r="K2803">
        <v>1.111659</v>
      </c>
      <c r="L2803">
        <v>247.0035</v>
      </c>
      <c r="M2803">
        <v>-7.4056540000000004E-2</v>
      </c>
      <c r="N2803">
        <v>0</v>
      </c>
      <c r="O2803">
        <v>-0.99716229999999995</v>
      </c>
      <c r="P2803">
        <v>0.16325100000000001</v>
      </c>
      <c r="Q2803">
        <v>0.15803159999999999</v>
      </c>
      <c r="R2803">
        <v>-0.97384559999999998</v>
      </c>
      <c r="S2803">
        <v>0.64953609999999995</v>
      </c>
      <c r="T2803">
        <v>-0.21720249999999999</v>
      </c>
      <c r="U2803">
        <v>-3.0071409999999998</v>
      </c>
      <c r="V2803">
        <v>-0.2352863</v>
      </c>
      <c r="W2803">
        <v>0.170491</v>
      </c>
      <c r="X2803">
        <v>0.95685589999999998</v>
      </c>
      <c r="Y2803">
        <v>-0.2824275</v>
      </c>
      <c r="Z2803">
        <v>6.9479689999999997E-2</v>
      </c>
      <c r="AA2803">
        <v>0.95676919999999999</v>
      </c>
      <c r="AB2803">
        <v>20</v>
      </c>
      <c r="AC2803">
        <v>3.3362000000000198</v>
      </c>
      <c r="AD2803">
        <v>-1.1116603006550001</v>
      </c>
      <c r="AE2803">
        <v>-15.2120999999999</v>
      </c>
      <c r="AF2803">
        <v>-4.4311182584108302</v>
      </c>
      <c r="AG2803">
        <v>-1.1116603006550001</v>
      </c>
      <c r="AH2803">
        <v>14.847578689956</v>
      </c>
      <c r="AI2803">
        <v>94.103631571398694</v>
      </c>
      <c r="AJ2803">
        <v>106.61723212545699</v>
      </c>
      <c r="AK2803">
        <v>15.534516104420801</v>
      </c>
      <c r="AL2803">
        <v>80.183632133289606</v>
      </c>
      <c r="AM2803">
        <v>103.814678960888</v>
      </c>
      <c r="AN2803">
        <v>1.0000000187067499</v>
      </c>
    </row>
    <row r="2804" spans="1:40" x14ac:dyDescent="0.25">
      <c r="A2804" t="str">
        <f>"20190312172423304"</f>
        <v>20190312172423304</v>
      </c>
      <c r="B2804" t="str">
        <f>"1552382663292697"</f>
        <v>1552382663292697</v>
      </c>
      <c r="C2804" t="s">
        <v>40</v>
      </c>
      <c r="D2804">
        <v>3.8781650000000001</v>
      </c>
      <c r="E2804">
        <v>0.4818887</v>
      </c>
      <c r="F2804" t="s">
        <v>43</v>
      </c>
      <c r="G2804">
        <v>-487.9008</v>
      </c>
      <c r="H2804" s="1">
        <v>-1.2808319999999999E-6</v>
      </c>
      <c r="I2804">
        <v>231.75040000000001</v>
      </c>
      <c r="J2804">
        <v>-491.23140000000001</v>
      </c>
      <c r="K2804">
        <v>1.1116629999999901</v>
      </c>
      <c r="L2804">
        <v>246.8956</v>
      </c>
      <c r="M2804">
        <v>-7.3164569999999998E-2</v>
      </c>
      <c r="N2804">
        <v>0</v>
      </c>
      <c r="O2804">
        <v>-0.99722840000000001</v>
      </c>
      <c r="P2804">
        <v>0.16422690000000001</v>
      </c>
      <c r="Q2804">
        <v>0.15797549999999999</v>
      </c>
      <c r="R2804">
        <v>-0.97369070000000002</v>
      </c>
      <c r="S2804">
        <v>0.65505979999999997</v>
      </c>
      <c r="T2804">
        <v>-0.2191052</v>
      </c>
      <c r="U2804">
        <v>-3.006332</v>
      </c>
      <c r="V2804">
        <v>-0.23539280000000001</v>
      </c>
      <c r="W2804">
        <v>0.17042939999999901</v>
      </c>
      <c r="X2804">
        <v>0.95684060000000004</v>
      </c>
      <c r="Y2804">
        <v>-0.2832924</v>
      </c>
      <c r="Z2804">
        <v>7.0088049999999999E-2</v>
      </c>
      <c r="AA2804">
        <v>0.95646909999999896</v>
      </c>
      <c r="AB2804">
        <v>20</v>
      </c>
      <c r="AC2804">
        <v>3.3306</v>
      </c>
      <c r="AD2804">
        <v>-1.1116642808320001</v>
      </c>
      <c r="AE2804">
        <v>-15.1451999999999</v>
      </c>
      <c r="AF2804">
        <v>-4.4072160274047398</v>
      </c>
      <c r="AG2804">
        <v>-1.1116642808320001</v>
      </c>
      <c r="AH2804">
        <v>14.784916444011699</v>
      </c>
      <c r="AI2804">
        <v>94.121374452045501</v>
      </c>
      <c r="AJ2804">
        <v>106.598722336243</v>
      </c>
      <c r="AK2804">
        <v>15.4678086632172</v>
      </c>
      <c r="AL2804">
        <v>80.187213217310202</v>
      </c>
      <c r="AM2804">
        <v>103.820904858204</v>
      </c>
      <c r="AN2804">
        <v>0.99999994224227795</v>
      </c>
    </row>
    <row r="2805" spans="1:40" x14ac:dyDescent="0.25">
      <c r="A2805" t="str">
        <f>"20190312172423323"</f>
        <v>20190312172423323</v>
      </c>
      <c r="B2805" t="str">
        <f>"1552382663313192"</f>
        <v>1552382663313192</v>
      </c>
      <c r="C2805" t="s">
        <v>40</v>
      </c>
      <c r="D2805">
        <v>4.0308409999999997</v>
      </c>
      <c r="E2805">
        <v>0.48193599999999998</v>
      </c>
      <c r="F2805" t="s">
        <v>43</v>
      </c>
      <c r="G2805">
        <v>-487.89179999999999</v>
      </c>
      <c r="H2805" s="1">
        <v>-1.2356019999999999E-6</v>
      </c>
      <c r="I2805">
        <v>231.63059999999999</v>
      </c>
      <c r="J2805">
        <v>-491.24220000000003</v>
      </c>
      <c r="K2805">
        <v>1.1116779999999999</v>
      </c>
      <c r="L2805">
        <v>246.72409999999999</v>
      </c>
      <c r="M2805">
        <v>-7.1723270000000006E-2</v>
      </c>
      <c r="N2805">
        <v>0</v>
      </c>
      <c r="O2805">
        <v>-0.99733300000000003</v>
      </c>
      <c r="P2805">
        <v>0.166129</v>
      </c>
      <c r="Q2805">
        <v>0.15769259999999999</v>
      </c>
      <c r="R2805">
        <v>-0.97341390000000005</v>
      </c>
      <c r="S2805">
        <v>0.65756230000000004</v>
      </c>
      <c r="T2805">
        <v>-0.21888730000000001</v>
      </c>
      <c r="U2805">
        <v>-3.0056919999999998</v>
      </c>
      <c r="V2805">
        <v>-0.23588999999999999</v>
      </c>
      <c r="W2805">
        <v>0.1701339</v>
      </c>
      <c r="X2805">
        <v>0.95677080000000003</v>
      </c>
      <c r="Y2805">
        <v>-0.28270980000000001</v>
      </c>
      <c r="Z2805">
        <v>7.0044579999999995E-2</v>
      </c>
      <c r="AA2805">
        <v>0.95664459999999996</v>
      </c>
      <c r="AB2805">
        <v>20</v>
      </c>
      <c r="AC2805">
        <v>3.3504000000000298</v>
      </c>
      <c r="AD2805">
        <v>-1.111679235602</v>
      </c>
      <c r="AE2805">
        <v>-15.093500000000001</v>
      </c>
      <c r="AF2805">
        <v>-4.4016671494049797</v>
      </c>
      <c r="AG2805">
        <v>-1.111679235602</v>
      </c>
      <c r="AH2805">
        <v>14.738101089215</v>
      </c>
      <c r="AI2805">
        <v>94.133832220668097</v>
      </c>
      <c r="AJ2805">
        <v>106.628730864598</v>
      </c>
      <c r="AK2805">
        <v>15.421482682703999</v>
      </c>
      <c r="AL2805">
        <v>80.2043956246942</v>
      </c>
      <c r="AM2805">
        <v>103.849946296059</v>
      </c>
      <c r="AN2805">
        <v>0.99999999988092503</v>
      </c>
    </row>
    <row r="2806" spans="1:40" x14ac:dyDescent="0.25">
      <c r="A2806" t="str">
        <f>"20190312172423336"</f>
        <v>20190312172423336</v>
      </c>
      <c r="B2806" t="str">
        <f>"1552382663332713"</f>
        <v>1552382663332713</v>
      </c>
      <c r="C2806" t="s">
        <v>40</v>
      </c>
      <c r="D2806">
        <v>4.0808339999999896</v>
      </c>
      <c r="E2806">
        <v>0.48191810000000002</v>
      </c>
      <c r="F2806" t="s">
        <v>43</v>
      </c>
      <c r="G2806">
        <v>-487.90039999999999</v>
      </c>
      <c r="H2806" s="1">
        <v>-1.2162899999999901E-6</v>
      </c>
      <c r="I2806">
        <v>231.5806</v>
      </c>
      <c r="J2806">
        <v>-491.24950000000001</v>
      </c>
      <c r="K2806">
        <v>1.111696</v>
      </c>
      <c r="L2806">
        <v>246.60749999999999</v>
      </c>
      <c r="M2806">
        <v>-7.0724910000000002E-2</v>
      </c>
      <c r="N2806">
        <v>0</v>
      </c>
      <c r="O2806">
        <v>-0.99740439999999997</v>
      </c>
      <c r="P2806">
        <v>0.1674737</v>
      </c>
      <c r="Q2806">
        <v>0.1576631</v>
      </c>
      <c r="R2806">
        <v>-0.97318830000000001</v>
      </c>
      <c r="S2806">
        <v>0.66302490000000003</v>
      </c>
      <c r="T2806">
        <v>-0.2205561</v>
      </c>
      <c r="U2806">
        <v>-3.0044710000000001</v>
      </c>
      <c r="V2806">
        <v>-0.2362612</v>
      </c>
      <c r="W2806">
        <v>0.17009340000000001</v>
      </c>
      <c r="X2806">
        <v>0.95668640000000005</v>
      </c>
      <c r="Y2806">
        <v>-0.28348179999999901</v>
      </c>
      <c r="Z2806">
        <v>7.0589669999999993E-2</v>
      </c>
      <c r="AA2806">
        <v>0.95637609999999995</v>
      </c>
      <c r="AB2806">
        <v>20</v>
      </c>
      <c r="AC2806">
        <v>3.3491000000000199</v>
      </c>
      <c r="AD2806">
        <v>-1.1116972162899901</v>
      </c>
      <c r="AE2806">
        <v>-15.0268999999999</v>
      </c>
      <c r="AF2806">
        <v>-4.3807432752478297</v>
      </c>
      <c r="AG2806">
        <v>-1.1116972162899901</v>
      </c>
      <c r="AH2806">
        <v>14.6758556735884</v>
      </c>
      <c r="AI2806">
        <v>94.151551327564206</v>
      </c>
      <c r="AJ2806">
        <v>106.620365594294</v>
      </c>
      <c r="AK2806">
        <v>15.3560255957176</v>
      </c>
      <c r="AL2806">
        <v>80.206750364642005</v>
      </c>
      <c r="AM2806">
        <v>103.872076201101</v>
      </c>
      <c r="AN2806">
        <v>0.99999999364698</v>
      </c>
    </row>
    <row r="2807" spans="1:40" x14ac:dyDescent="0.25">
      <c r="A2807" t="str">
        <f>"20190312172423349"</f>
        <v>20190312172423349</v>
      </c>
      <c r="B2807" t="str">
        <f>"1552382663342473"</f>
        <v>1552382663342473</v>
      </c>
      <c r="C2807" t="s">
        <v>40</v>
      </c>
      <c r="D2807">
        <v>3.9263330000000001</v>
      </c>
      <c r="E2807">
        <v>0.48201359999999899</v>
      </c>
      <c r="F2807" t="s">
        <v>43</v>
      </c>
      <c r="G2807">
        <v>-487.90019999999998</v>
      </c>
      <c r="H2807" s="1">
        <v>-1.202218E-6</v>
      </c>
      <c r="I2807">
        <v>231.53909999999999</v>
      </c>
      <c r="J2807">
        <v>-491.25619999999998</v>
      </c>
      <c r="K2807">
        <v>1.111712</v>
      </c>
      <c r="L2807">
        <v>246.4982</v>
      </c>
      <c r="M2807">
        <v>-6.9775039999999997E-2</v>
      </c>
      <c r="N2807">
        <v>0</v>
      </c>
      <c r="O2807">
        <v>-0.99747149999999996</v>
      </c>
      <c r="P2807">
        <v>0.16881119999999999</v>
      </c>
      <c r="Q2807">
        <v>0.1577877</v>
      </c>
      <c r="R2807">
        <v>-0.97293700000000005</v>
      </c>
      <c r="S2807">
        <v>0.66763309999999998</v>
      </c>
      <c r="T2807">
        <v>-0.22159989999999999</v>
      </c>
      <c r="U2807">
        <v>-3.0036619999999998</v>
      </c>
      <c r="V2807">
        <v>-0.23667070000000001</v>
      </c>
      <c r="W2807">
        <v>0.1702062</v>
      </c>
      <c r="X2807">
        <v>0.95656509999999995</v>
      </c>
      <c r="Y2807">
        <v>-0.2840162</v>
      </c>
      <c r="Z2807">
        <v>7.0930510000000002E-2</v>
      </c>
      <c r="AA2807">
        <v>0.9561923</v>
      </c>
      <c r="AB2807">
        <v>20</v>
      </c>
      <c r="AC2807">
        <v>3.3559999999999901</v>
      </c>
      <c r="AD2807">
        <v>-1.1117132022180001</v>
      </c>
      <c r="AE2807">
        <v>-14.959099999999999</v>
      </c>
      <c r="AF2807">
        <v>-4.3687137518274497</v>
      </c>
      <c r="AG2807">
        <v>-1.1117132022180001</v>
      </c>
      <c r="AH2807">
        <v>14.611615144041499</v>
      </c>
      <c r="AI2807">
        <v>94.169241970456</v>
      </c>
      <c r="AJ2807">
        <v>106.64609189274</v>
      </c>
      <c r="AK2807">
        <v>15.2912021504842</v>
      </c>
      <c r="AL2807">
        <v>80.200191635877403</v>
      </c>
      <c r="AM2807">
        <v>103.89688275730801</v>
      </c>
      <c r="AN2807">
        <v>0.99999998064746898</v>
      </c>
    </row>
    <row r="2808" spans="1:40" x14ac:dyDescent="0.25">
      <c r="A2808" t="str">
        <f>"20190312172423370"</f>
        <v>20190312172423370</v>
      </c>
      <c r="B2808" t="str">
        <f>"1552382663362968"</f>
        <v>1552382663362968</v>
      </c>
      <c r="C2808" t="s">
        <v>40</v>
      </c>
      <c r="D2808">
        <v>3.9110610000000001</v>
      </c>
      <c r="E2808">
        <v>0.48217559999999898</v>
      </c>
      <c r="F2808" t="s">
        <v>43</v>
      </c>
      <c r="G2808">
        <v>-487.875</v>
      </c>
      <c r="H2808" s="1">
        <v>-1.150238E-6</v>
      </c>
      <c r="I2808">
        <v>231.36660000000001</v>
      </c>
      <c r="J2808">
        <v>-491.267</v>
      </c>
      <c r="K2808">
        <v>1.11174</v>
      </c>
      <c r="L2808">
        <v>246.31780000000001</v>
      </c>
      <c r="M2808">
        <v>-6.8175470000000002E-2</v>
      </c>
      <c r="N2808">
        <v>0</v>
      </c>
      <c r="O2808">
        <v>-0.99758210000000003</v>
      </c>
      <c r="P2808">
        <v>0.1708952</v>
      </c>
      <c r="Q2808">
        <v>0.1585569</v>
      </c>
      <c r="R2808">
        <v>-0.97244819999999998</v>
      </c>
      <c r="S2808">
        <v>0.67098999999999998</v>
      </c>
      <c r="T2808">
        <v>-0.22061800000000001</v>
      </c>
      <c r="U2808">
        <v>-3.0028380000000001</v>
      </c>
      <c r="V2808">
        <v>-0.23719190000000001</v>
      </c>
      <c r="W2808">
        <v>0.17095469999999999</v>
      </c>
      <c r="X2808">
        <v>0.95630250000000006</v>
      </c>
      <c r="Y2808">
        <v>-0.28355750000000002</v>
      </c>
      <c r="Z2808">
        <v>7.064521E-2</v>
      </c>
      <c r="AA2808">
        <v>0.95634949999999996</v>
      </c>
      <c r="AB2808">
        <v>20</v>
      </c>
      <c r="AC2808">
        <v>3.3919999999999901</v>
      </c>
      <c r="AD2808">
        <v>-1.1117411502379999</v>
      </c>
      <c r="AE2808">
        <v>-14.9512</v>
      </c>
      <c r="AF2808">
        <v>-4.38046993619984</v>
      </c>
      <c r="AG2808">
        <v>-1.1117411502379999</v>
      </c>
      <c r="AH2808">
        <v>14.608317967719699</v>
      </c>
      <c r="AI2808">
        <v>94.169288237905704</v>
      </c>
      <c r="AJ2808">
        <v>106.69195578864699</v>
      </c>
      <c r="AK2808">
        <v>15.291417170853901</v>
      </c>
      <c r="AL2808">
        <v>80.1566679324511</v>
      </c>
      <c r="AM2808">
        <v>103.929971985042</v>
      </c>
      <c r="AN2808">
        <v>0.99999998919197497</v>
      </c>
    </row>
    <row r="2809" spans="1:40" x14ac:dyDescent="0.25">
      <c r="A2809" t="str">
        <f>"20190312172423385"</f>
        <v>20190312172423385</v>
      </c>
      <c r="B2809" t="str">
        <f>"1552382663372729"</f>
        <v>1552382663372729</v>
      </c>
      <c r="C2809" t="s">
        <v>40</v>
      </c>
      <c r="D2809">
        <v>3.9588570000000001</v>
      </c>
      <c r="E2809">
        <v>0.48223050000000001</v>
      </c>
      <c r="F2809" t="s">
        <v>43</v>
      </c>
      <c r="G2809">
        <v>-487.81229999999999</v>
      </c>
      <c r="H2809" s="1">
        <v>-1.0326010000000001E-6</v>
      </c>
      <c r="I2809">
        <v>230.97190000000001</v>
      </c>
      <c r="J2809">
        <v>-491.27460000000002</v>
      </c>
      <c r="K2809">
        <v>1.1117649999999999</v>
      </c>
      <c r="L2809">
        <v>246.18559999999999</v>
      </c>
      <c r="M2809">
        <v>-6.697235E-2</v>
      </c>
      <c r="N2809">
        <v>0</v>
      </c>
      <c r="O2809">
        <v>-0.99766359999999998</v>
      </c>
      <c r="P2809">
        <v>0.17214769999999999</v>
      </c>
      <c r="Q2809">
        <v>0.15957279999999999</v>
      </c>
      <c r="R2809">
        <v>-0.97206090000000001</v>
      </c>
      <c r="S2809">
        <v>0.67575069999999904</v>
      </c>
      <c r="T2809">
        <v>-0.21746460000000001</v>
      </c>
      <c r="U2809">
        <v>-3.00177</v>
      </c>
      <c r="V2809">
        <v>-0.2372708</v>
      </c>
      <c r="W2809">
        <v>0.17195439999999901</v>
      </c>
      <c r="X2809">
        <v>0.9561037</v>
      </c>
      <c r="Y2809">
        <v>-0.2839332</v>
      </c>
      <c r="Z2809">
        <v>6.9657590000000005E-2</v>
      </c>
      <c r="AA2809">
        <v>0.95631049999999995</v>
      </c>
      <c r="AB2809">
        <v>20</v>
      </c>
      <c r="AC2809">
        <v>3.4623000000000199</v>
      </c>
      <c r="AD2809">
        <v>-1.1117660326009999</v>
      </c>
      <c r="AE2809">
        <v>-15.2136999999999</v>
      </c>
      <c r="AF2809">
        <v>-4.4509167768945099</v>
      </c>
      <c r="AG2809">
        <v>-1.1117660326009999</v>
      </c>
      <c r="AH2809">
        <v>14.8721276725985</v>
      </c>
      <c r="AI2809">
        <v>94.096329861984501</v>
      </c>
      <c r="AJ2809">
        <v>106.661341921858</v>
      </c>
      <c r="AK2809">
        <v>15.563639207336999</v>
      </c>
      <c r="AL2809">
        <v>80.098528685031596</v>
      </c>
      <c r="AM2809">
        <v>103.937209554644</v>
      </c>
      <c r="AN2809">
        <v>1.00000001668284</v>
      </c>
    </row>
    <row r="2810" spans="1:40" x14ac:dyDescent="0.25">
      <c r="A2810" t="str">
        <f>"20190312172423402"</f>
        <v>20190312172423402</v>
      </c>
      <c r="B2810" t="str">
        <f>"1552382663393225"</f>
        <v>1552382663393225</v>
      </c>
      <c r="C2810" t="s">
        <v>40</v>
      </c>
      <c r="D2810">
        <v>4.046214</v>
      </c>
      <c r="E2810">
        <v>0.48232540000000002</v>
      </c>
      <c r="F2810" t="s">
        <v>43</v>
      </c>
      <c r="G2810">
        <v>-487.74079999999998</v>
      </c>
      <c r="H2810" s="1">
        <v>-9.2080239999999996E-7</v>
      </c>
      <c r="I2810">
        <v>230.58750000000001</v>
      </c>
      <c r="J2810">
        <v>-491.2835</v>
      </c>
      <c r="K2810">
        <v>1.111799</v>
      </c>
      <c r="L2810">
        <v>246.02780000000001</v>
      </c>
      <c r="M2810">
        <v>-6.5497970000000003E-2</v>
      </c>
      <c r="N2810">
        <v>0</v>
      </c>
      <c r="O2810">
        <v>-0.99776140000000002</v>
      </c>
      <c r="P2810">
        <v>0.17345039999999901</v>
      </c>
      <c r="Q2810">
        <v>0.1616147</v>
      </c>
      <c r="R2810">
        <v>-0.97149160000000001</v>
      </c>
      <c r="S2810">
        <v>0.67987059999999999</v>
      </c>
      <c r="T2810">
        <v>-0.21389469999999999</v>
      </c>
      <c r="U2810">
        <v>-3.0009459999999999</v>
      </c>
      <c r="V2810">
        <v>-0.23713429999999999</v>
      </c>
      <c r="W2810">
        <v>0.1739744</v>
      </c>
      <c r="X2810">
        <v>0.95577199999999995</v>
      </c>
      <c r="Y2810">
        <v>-0.28383930000000002</v>
      </c>
      <c r="Z2810">
        <v>6.8539210000000003E-2</v>
      </c>
      <c r="AA2810">
        <v>0.95641920000000002</v>
      </c>
      <c r="AB2810">
        <v>20</v>
      </c>
      <c r="AC2810">
        <v>3.5427000000000199</v>
      </c>
      <c r="AD2810">
        <v>-1.1117999208023901</v>
      </c>
      <c r="AE2810">
        <v>-15.440300000000001</v>
      </c>
      <c r="AF2810">
        <v>-4.5242073595349703</v>
      </c>
      <c r="AG2810">
        <v>-1.1117999208023901</v>
      </c>
      <c r="AH2810">
        <v>15.1006981101746</v>
      </c>
      <c r="AI2810">
        <v>94.034297594499407</v>
      </c>
      <c r="AJ2810">
        <v>106.67834896757</v>
      </c>
      <c r="AK2810">
        <v>15.8030261251001</v>
      </c>
      <c r="AL2810">
        <v>79.981019354435603</v>
      </c>
      <c r="AM2810">
        <v>103.934149780369</v>
      </c>
      <c r="AN2810">
        <v>0.99999994203792297</v>
      </c>
    </row>
    <row r="2811" spans="1:40" x14ac:dyDescent="0.25">
      <c r="A2811" t="str">
        <f>"20190312172423423"</f>
        <v>20190312172423423</v>
      </c>
      <c r="B2811" t="str">
        <f>"1552382663412748"</f>
        <v>1552382663412748</v>
      </c>
      <c r="C2811" t="s">
        <v>40</v>
      </c>
      <c r="D2811">
        <v>4.011126</v>
      </c>
      <c r="E2811">
        <v>0.4822632</v>
      </c>
      <c r="F2811" t="s">
        <v>43</v>
      </c>
      <c r="G2811">
        <v>-487.62430000000001</v>
      </c>
      <c r="H2811" s="1">
        <v>-7.3556069999999995E-7</v>
      </c>
      <c r="I2811">
        <v>229.9521</v>
      </c>
      <c r="J2811">
        <v>-491.29320000000001</v>
      </c>
      <c r="K2811">
        <v>1.1118410000000001</v>
      </c>
      <c r="L2811">
        <v>245.84829999999999</v>
      </c>
      <c r="M2811">
        <v>-6.3766249999999997E-2</v>
      </c>
      <c r="N2811">
        <v>0</v>
      </c>
      <c r="O2811">
        <v>-0.99787369999999997</v>
      </c>
      <c r="P2811">
        <v>0.174373</v>
      </c>
      <c r="Q2811">
        <v>0.16352340000000001</v>
      </c>
      <c r="R2811">
        <v>-0.97100699999999995</v>
      </c>
      <c r="S2811">
        <v>0.68301389999999995</v>
      </c>
      <c r="T2811">
        <v>-0.20752499999999999</v>
      </c>
      <c r="U2811">
        <v>-3.0006409999999999</v>
      </c>
      <c r="V2811">
        <v>-0.23638010000000001</v>
      </c>
      <c r="W2811">
        <v>0.17586360000000001</v>
      </c>
      <c r="X2811">
        <v>0.95561309999999999</v>
      </c>
      <c r="Y2811">
        <v>-0.28317969999999998</v>
      </c>
      <c r="Z2811">
        <v>6.6524899999999998E-2</v>
      </c>
      <c r="AA2811">
        <v>0.95675690000000002</v>
      </c>
      <c r="AB2811">
        <v>20</v>
      </c>
      <c r="AC2811">
        <v>3.6688999999999998</v>
      </c>
      <c r="AD2811">
        <v>-1.1118417355607</v>
      </c>
      <c r="AE2811">
        <v>-15.896199999999901</v>
      </c>
      <c r="AF2811">
        <v>-4.6535507731339001</v>
      </c>
      <c r="AG2811">
        <v>-1.1118417355607</v>
      </c>
      <c r="AH2811">
        <v>15.5576091350004</v>
      </c>
      <c r="AI2811">
        <v>93.916855915017507</v>
      </c>
      <c r="AJ2811">
        <v>106.652836382491</v>
      </c>
      <c r="AK2811">
        <v>16.2766989540422</v>
      </c>
      <c r="AL2811">
        <v>79.871081567485604</v>
      </c>
      <c r="AM2811">
        <v>103.893771975927</v>
      </c>
      <c r="AN2811">
        <v>0.99999997718628897</v>
      </c>
    </row>
    <row r="2812" spans="1:40" x14ac:dyDescent="0.25">
      <c r="A2812" t="str">
        <f>"20190312172423436"</f>
        <v>20190312172423436</v>
      </c>
      <c r="B2812" t="str">
        <f>"1552382663433241"</f>
        <v>1552382663433241</v>
      </c>
      <c r="C2812" t="s">
        <v>40</v>
      </c>
      <c r="D2812">
        <v>3.9133870000000002</v>
      </c>
      <c r="E2812">
        <v>0.4822843</v>
      </c>
      <c r="F2812" t="s">
        <v>46</v>
      </c>
      <c r="G2812">
        <v>-487.51280000000003</v>
      </c>
      <c r="H2812" s="1">
        <v>5.8954640000000004E-6</v>
      </c>
      <c r="I2812">
        <v>229.33600000000001</v>
      </c>
      <c r="J2812">
        <v>-491.29899999999998</v>
      </c>
      <c r="K2812">
        <v>1.111869</v>
      </c>
      <c r="L2812">
        <v>245.73920000000001</v>
      </c>
      <c r="M2812">
        <v>-6.2685060000000001E-2</v>
      </c>
      <c r="N2812">
        <v>0</v>
      </c>
      <c r="O2812">
        <v>-0.99794210000000005</v>
      </c>
      <c r="P2812">
        <v>0.17504320000000001</v>
      </c>
      <c r="Q2812">
        <v>0.16417989999999999</v>
      </c>
      <c r="R2812">
        <v>-0.97077570000000002</v>
      </c>
      <c r="S2812">
        <v>0.68688959999999999</v>
      </c>
      <c r="T2812">
        <v>-0.20201659999999999</v>
      </c>
      <c r="U2812">
        <v>-3.000229</v>
      </c>
      <c r="V2812">
        <v>-0.23600699999999999</v>
      </c>
      <c r="W2812">
        <v>0.176508</v>
      </c>
      <c r="X2812">
        <v>0.95558659999999995</v>
      </c>
      <c r="Y2812">
        <v>-0.28337000000000001</v>
      </c>
      <c r="Z2812">
        <v>6.4771469999999998E-2</v>
      </c>
      <c r="AA2812">
        <v>0.95682080000000003</v>
      </c>
      <c r="AB2812">
        <v>20</v>
      </c>
      <c r="AC2812">
        <v>3.7862</v>
      </c>
      <c r="AD2812">
        <v>-1.1118631045359999</v>
      </c>
      <c r="AE2812">
        <v>-16.403199999999998</v>
      </c>
      <c r="AF2812">
        <v>-4.7862035532778604</v>
      </c>
      <c r="AG2812">
        <v>-1.1118631045359999</v>
      </c>
      <c r="AH2812">
        <v>16.0635034026953</v>
      </c>
      <c r="AI2812">
        <v>93.795144885665906</v>
      </c>
      <c r="AJ2812">
        <v>106.591696382743</v>
      </c>
      <c r="AK2812">
        <v>16.798217928847102</v>
      </c>
      <c r="AL2812">
        <v>79.833574316069999</v>
      </c>
      <c r="AM2812">
        <v>103.87305974755</v>
      </c>
      <c r="AN2812">
        <v>1.0000000641062701</v>
      </c>
    </row>
    <row r="2813" spans="1:40" x14ac:dyDescent="0.25">
      <c r="A2813" t="str">
        <f>"20190312172423449"</f>
        <v>20190312172423449</v>
      </c>
      <c r="B2813" t="str">
        <f>"1552382663443001"</f>
        <v>1552382663443001</v>
      </c>
      <c r="C2813" t="s">
        <v>40</v>
      </c>
      <c r="D2813">
        <v>4.0184150000000001</v>
      </c>
      <c r="E2813">
        <v>0.50171379999999999</v>
      </c>
      <c r="F2813" t="s">
        <v>46</v>
      </c>
      <c r="G2813">
        <v>-487.4658</v>
      </c>
      <c r="H2813" s="1">
        <v>5.7911739999999901E-6</v>
      </c>
      <c r="I2813">
        <v>229.03980000000001</v>
      </c>
      <c r="J2813">
        <v>-491.30520000000001</v>
      </c>
      <c r="K2813">
        <v>1.1118950000000001</v>
      </c>
      <c r="L2813">
        <v>245.6173</v>
      </c>
      <c r="M2813">
        <v>-6.145428E-2</v>
      </c>
      <c r="N2813">
        <v>0</v>
      </c>
      <c r="O2813">
        <v>-0.99801850000000003</v>
      </c>
      <c r="P2813">
        <v>0.17598469999999999</v>
      </c>
      <c r="Q2813">
        <v>0.16477159999999999</v>
      </c>
      <c r="R2813">
        <v>-0.97050510000000001</v>
      </c>
      <c r="S2813">
        <v>0.68859859999999995</v>
      </c>
      <c r="T2813">
        <v>-0.1997362</v>
      </c>
      <c r="U2813">
        <v>-2.999908</v>
      </c>
      <c r="V2813">
        <v>-0.2357602</v>
      </c>
      <c r="W2813">
        <v>0.1770862</v>
      </c>
      <c r="X2813">
        <v>0.95554050000000001</v>
      </c>
      <c r="Y2813">
        <v>-0.28273789999999999</v>
      </c>
      <c r="Z2813">
        <v>6.4059809999999995E-2</v>
      </c>
      <c r="AA2813">
        <v>0.95705569999999895</v>
      </c>
      <c r="AB2813">
        <v>20</v>
      </c>
      <c r="AC2813">
        <v>3.8394000000000101</v>
      </c>
      <c r="AD2813">
        <v>-1.111889208826</v>
      </c>
      <c r="AE2813">
        <v>-16.577499999999901</v>
      </c>
      <c r="AF2813">
        <v>-4.8303690896146003</v>
      </c>
      <c r="AG2813">
        <v>-1.111889208826</v>
      </c>
      <c r="AH2813">
        <v>16.240849234602798</v>
      </c>
      <c r="AI2813">
        <v>93.754456737974607</v>
      </c>
      <c r="AJ2813">
        <v>106.563581504944</v>
      </c>
      <c r="AK2813">
        <v>16.980398906259701</v>
      </c>
      <c r="AL2813">
        <v>79.799915236214204</v>
      </c>
      <c r="AM2813">
        <v>103.859754675197</v>
      </c>
      <c r="AN2813">
        <v>1.00000002063736</v>
      </c>
    </row>
    <row r="2814" spans="1:40" x14ac:dyDescent="0.25">
      <c r="A2814" t="str">
        <f>"20190312172423463"</f>
        <v>20190312172423463</v>
      </c>
      <c r="B2814" t="str">
        <f>"1552382663452761"</f>
        <v>1552382663452761</v>
      </c>
      <c r="C2814" t="s">
        <v>40</v>
      </c>
      <c r="D2814">
        <v>3.9491849999999999</v>
      </c>
      <c r="E2814">
        <v>0.50509409999999999</v>
      </c>
      <c r="F2814" t="s">
        <v>43</v>
      </c>
      <c r="G2814">
        <v>-488.75220000000002</v>
      </c>
      <c r="H2814" s="1">
        <v>-9.2714289999999996E-7</v>
      </c>
      <c r="I2814">
        <v>231.27799999999999</v>
      </c>
      <c r="J2814">
        <v>-491.31099999999998</v>
      </c>
      <c r="K2814">
        <v>1.1119190000000001</v>
      </c>
      <c r="L2814">
        <v>245.5016</v>
      </c>
      <c r="M2814">
        <v>-6.0265180000000002E-2</v>
      </c>
      <c r="N2814">
        <v>0</v>
      </c>
      <c r="O2814">
        <v>-0.99809110000000001</v>
      </c>
      <c r="P2814">
        <v>0.17698439999999999</v>
      </c>
      <c r="Q2814">
        <v>0.1651928</v>
      </c>
      <c r="R2814">
        <v>-0.97025189999999994</v>
      </c>
      <c r="S2814">
        <v>0.54003909999999999</v>
      </c>
      <c r="T2814">
        <v>-0.23519609999999999</v>
      </c>
      <c r="U2814">
        <v>-3.0331570000000001</v>
      </c>
      <c r="V2814">
        <v>-0.2356123</v>
      </c>
      <c r="W2814">
        <v>0.1774945</v>
      </c>
      <c r="X2814">
        <v>0.95550119999999905</v>
      </c>
      <c r="Y2814">
        <v>-0.2338046</v>
      </c>
      <c r="Z2814">
        <v>7.5436989999999995E-2</v>
      </c>
      <c r="AA2814">
        <v>0.96935269999999996</v>
      </c>
      <c r="AB2814">
        <v>20</v>
      </c>
      <c r="AC2814">
        <v>2.5587999999999602</v>
      </c>
      <c r="AD2814">
        <v>-1.1119199271428899</v>
      </c>
      <c r="AE2814">
        <v>-14.223599999999999</v>
      </c>
      <c r="AF2814">
        <v>-3.3913387160712198</v>
      </c>
      <c r="AG2814">
        <v>-1.1119199271428899</v>
      </c>
      <c r="AH2814">
        <v>13.960878509809399</v>
      </c>
      <c r="AI2814">
        <v>94.425564991201497</v>
      </c>
      <c r="AJ2814">
        <v>103.653673110319</v>
      </c>
      <c r="AK2814">
        <v>14.409846389783601</v>
      </c>
      <c r="AL2814">
        <v>79.776144582140702</v>
      </c>
      <c r="AM2814">
        <v>103.851942703078</v>
      </c>
      <c r="AN2814">
        <v>0.999999998321489</v>
      </c>
    </row>
    <row r="2815" spans="1:40" x14ac:dyDescent="0.25">
      <c r="A2815" t="str">
        <f>"20190312172423479"</f>
        <v>20190312172423479</v>
      </c>
      <c r="B2815" t="str">
        <f>"1552382663473258"</f>
        <v>1552382663473258</v>
      </c>
      <c r="C2815" t="s">
        <v>40</v>
      </c>
      <c r="D2815">
        <v>3.936766</v>
      </c>
      <c r="E2815">
        <v>0.50783780000000001</v>
      </c>
      <c r="F2815" t="s">
        <v>43</v>
      </c>
      <c r="G2815">
        <v>-488.91320000000002</v>
      </c>
      <c r="H2815" s="1">
        <v>-9.5870389999999999E-7</v>
      </c>
      <c r="I2815">
        <v>231.41820000000001</v>
      </c>
      <c r="J2815">
        <v>-491.3177</v>
      </c>
      <c r="K2815">
        <v>1.111953</v>
      </c>
      <c r="L2815">
        <v>245.3621</v>
      </c>
      <c r="M2815">
        <v>-5.8791410000000002E-2</v>
      </c>
      <c r="N2815">
        <v>0</v>
      </c>
      <c r="O2815">
        <v>-0.99817909999999999</v>
      </c>
      <c r="P2815">
        <v>0.17722309999999999</v>
      </c>
      <c r="Q2815">
        <v>0.16654739999999901</v>
      </c>
      <c r="R2815">
        <v>-0.96997659999999997</v>
      </c>
      <c r="S2815">
        <v>0.51733399999999996</v>
      </c>
      <c r="T2815">
        <v>-0.23989569999999999</v>
      </c>
      <c r="U2815">
        <v>-3.0384829999999998</v>
      </c>
      <c r="V2815">
        <v>-0.23443520000000001</v>
      </c>
      <c r="W2815">
        <v>0.17883640000000001</v>
      </c>
      <c r="X2815">
        <v>0.95554050000000001</v>
      </c>
      <c r="Y2815">
        <v>-0.22501679999999999</v>
      </c>
      <c r="Z2815">
        <v>7.6943090000000006E-2</v>
      </c>
      <c r="AA2815">
        <v>0.97131210000000001</v>
      </c>
      <c r="AB2815">
        <v>20</v>
      </c>
      <c r="AC2815">
        <v>2.4044999999999801</v>
      </c>
      <c r="AD2815">
        <v>-1.11195395870389</v>
      </c>
      <c r="AE2815">
        <v>-13.9438999999999</v>
      </c>
      <c r="AF2815">
        <v>-3.2004317368085302</v>
      </c>
      <c r="AG2815">
        <v>-1.11195395870389</v>
      </c>
      <c r="AH2815">
        <v>13.6938322276685</v>
      </c>
      <c r="AI2815">
        <v>94.520988376418003</v>
      </c>
      <c r="AJ2815">
        <v>103.154671009742</v>
      </c>
      <c r="AK2815">
        <v>14.1067446984689</v>
      </c>
      <c r="AL2815">
        <v>79.698009097529706</v>
      </c>
      <c r="AM2815">
        <v>103.784840360518</v>
      </c>
      <c r="AN2815">
        <v>0.99999998405212398</v>
      </c>
    </row>
    <row r="2816" spans="1:40" x14ac:dyDescent="0.25">
      <c r="A2816" t="str">
        <f>"20190312172423492"</f>
        <v>20190312172423492</v>
      </c>
      <c r="B2816" t="str">
        <f>"1552382663483018"</f>
        <v>1552382663483018</v>
      </c>
      <c r="C2816" t="s">
        <v>40</v>
      </c>
      <c r="D2816">
        <v>3.9416020000000001</v>
      </c>
      <c r="E2816">
        <v>0.50879529999999995</v>
      </c>
      <c r="F2816" t="s">
        <v>43</v>
      </c>
      <c r="G2816">
        <v>-489.0385</v>
      </c>
      <c r="H2816" s="1">
        <v>-9.2179820000000004E-7</v>
      </c>
      <c r="I2816">
        <v>231.38399999999999</v>
      </c>
      <c r="J2816">
        <v>-491.32310000000001</v>
      </c>
      <c r="K2816">
        <v>1.11198</v>
      </c>
      <c r="L2816">
        <v>245.24629999999999</v>
      </c>
      <c r="M2816">
        <v>-5.7532560000000003E-2</v>
      </c>
      <c r="N2816">
        <v>0</v>
      </c>
      <c r="O2816">
        <v>-0.99825229999999998</v>
      </c>
      <c r="P2816">
        <v>0.1779752</v>
      </c>
      <c r="Q2816">
        <v>0.16733729999999999</v>
      </c>
      <c r="R2816">
        <v>-0.96970290000000003</v>
      </c>
      <c r="S2816">
        <v>0.49630740000000001</v>
      </c>
      <c r="T2816">
        <v>-0.24213219999999999</v>
      </c>
      <c r="U2816">
        <v>-3.043793</v>
      </c>
      <c r="V2816">
        <v>-0.23397509999999999</v>
      </c>
      <c r="W2816">
        <v>0.17961369999999999</v>
      </c>
      <c r="X2816">
        <v>0.95550749999999995</v>
      </c>
      <c r="Y2816">
        <v>-0.21696280000000001</v>
      </c>
      <c r="Z2816">
        <v>7.7647279999999999E-2</v>
      </c>
      <c r="AA2816">
        <v>0.97308689999999998</v>
      </c>
      <c r="AB2816">
        <v>20</v>
      </c>
      <c r="AC2816">
        <v>2.28460000000001</v>
      </c>
      <c r="AD2816">
        <v>-1.1119809217982</v>
      </c>
      <c r="AE2816">
        <v>-13.8622999999999</v>
      </c>
      <c r="AF2816">
        <v>-3.05925682683857</v>
      </c>
      <c r="AG2816">
        <v>-1.1119809217982</v>
      </c>
      <c r="AH2816">
        <v>13.6225455964096</v>
      </c>
      <c r="AI2816">
        <v>94.553672010946002</v>
      </c>
      <c r="AJ2816">
        <v>102.65709852282301</v>
      </c>
      <c r="AK2816">
        <v>14.0060452101677</v>
      </c>
      <c r="AL2816">
        <v>79.652740320471196</v>
      </c>
      <c r="AM2816">
        <v>103.75927258150401</v>
      </c>
      <c r="AN2816">
        <v>1.00000000560197</v>
      </c>
    </row>
    <row r="2817" spans="1:40" x14ac:dyDescent="0.25">
      <c r="A2817" t="str">
        <f>"20190312172423505"</f>
        <v>20190312172423505</v>
      </c>
      <c r="B2817" t="str">
        <f>"1552382663502537"</f>
        <v>1552382663502537</v>
      </c>
      <c r="C2817" t="s">
        <v>40</v>
      </c>
      <c r="D2817">
        <v>3.9558260000000001</v>
      </c>
      <c r="E2817">
        <v>0.51003270000000001</v>
      </c>
      <c r="F2817" t="s">
        <v>43</v>
      </c>
      <c r="G2817">
        <v>-489.0684</v>
      </c>
      <c r="H2817" s="1">
        <v>-8.6817619999999901E-7</v>
      </c>
      <c r="I2817">
        <v>231.2713</v>
      </c>
      <c r="J2817">
        <v>-491.32819999999998</v>
      </c>
      <c r="K2817">
        <v>1.112007</v>
      </c>
      <c r="L2817">
        <v>245.13550000000001</v>
      </c>
      <c r="M2817">
        <v>-5.630814E-2</v>
      </c>
      <c r="N2817">
        <v>0</v>
      </c>
      <c r="O2817">
        <v>-0.99832209999999999</v>
      </c>
      <c r="P2817">
        <v>0.17875729999999901</v>
      </c>
      <c r="Q2817">
        <v>0.16782710000000001</v>
      </c>
      <c r="R2817">
        <v>-0.96947410000000001</v>
      </c>
      <c r="S2817">
        <v>0.49133300000000002</v>
      </c>
      <c r="T2817">
        <v>-0.2423148</v>
      </c>
      <c r="U2817">
        <v>-3.045334</v>
      </c>
      <c r="V2817">
        <v>-0.2335798</v>
      </c>
      <c r="W2817">
        <v>0.18009129999999901</v>
      </c>
      <c r="X2817">
        <v>0.95551430000000004</v>
      </c>
      <c r="Y2817">
        <v>-0.2141371</v>
      </c>
      <c r="Z2817">
        <v>7.7709810000000004E-2</v>
      </c>
      <c r="AA2817">
        <v>0.97370760000000001</v>
      </c>
      <c r="AB2817">
        <v>20</v>
      </c>
      <c r="AC2817">
        <v>2.2597999999999798</v>
      </c>
      <c r="AD2817">
        <v>-1.1120078681762</v>
      </c>
      <c r="AE2817">
        <v>-13.8642</v>
      </c>
      <c r="AF2817">
        <v>-3.0180394116985299</v>
      </c>
      <c r="AG2817">
        <v>-1.1120078681762</v>
      </c>
      <c r="AH2817">
        <v>13.6295307152681</v>
      </c>
      <c r="AI2817">
        <v>94.554481460770504</v>
      </c>
      <c r="AJ2817">
        <v>102.485755601213</v>
      </c>
      <c r="AK2817">
        <v>14.0039005604827</v>
      </c>
      <c r="AL2817">
        <v>79.624922062646505</v>
      </c>
      <c r="AM2817">
        <v>103.736813632181</v>
      </c>
      <c r="AN2817">
        <v>0.99999998840410997</v>
      </c>
    </row>
    <row r="2818" spans="1:40" x14ac:dyDescent="0.25">
      <c r="A2818" t="str">
        <f>"20190312172423518"</f>
        <v>20190312172423518</v>
      </c>
      <c r="B2818" t="str">
        <f>"1552382663513273"</f>
        <v>1552382663513273</v>
      </c>
      <c r="C2818" t="s">
        <v>40</v>
      </c>
      <c r="D2818">
        <v>3.9469609999999999</v>
      </c>
      <c r="E2818">
        <v>0.51043950000000005</v>
      </c>
      <c r="F2818" t="s">
        <v>43</v>
      </c>
      <c r="G2818">
        <v>-489.13900000000001</v>
      </c>
      <c r="H2818" s="1">
        <v>-8.9726940000000003E-7</v>
      </c>
      <c r="I2818">
        <v>231.3683</v>
      </c>
      <c r="J2818">
        <v>-491.3331</v>
      </c>
      <c r="K2818">
        <v>1.1120319999999999</v>
      </c>
      <c r="L2818">
        <v>245.0222</v>
      </c>
      <c r="M2818">
        <v>-5.5025230000000001E-2</v>
      </c>
      <c r="N2818">
        <v>0</v>
      </c>
      <c r="O2818">
        <v>-0.9983938</v>
      </c>
      <c r="P2818">
        <v>0.17916279999999901</v>
      </c>
      <c r="Q2818">
        <v>0.16842589999999999</v>
      </c>
      <c r="R2818">
        <v>-0.96929560000000003</v>
      </c>
      <c r="S2818">
        <v>0.48461910000000002</v>
      </c>
      <c r="T2818">
        <v>-0.24617249999999999</v>
      </c>
      <c r="U2818">
        <v>-3.0477289999999999</v>
      </c>
      <c r="V2818">
        <v>-0.2327573</v>
      </c>
      <c r="W2818">
        <v>0.1806789</v>
      </c>
      <c r="X2818">
        <v>0.95560409999999996</v>
      </c>
      <c r="Y2818">
        <v>-0.21065390000000001</v>
      </c>
      <c r="Z2818">
        <v>7.8930700000000006E-2</v>
      </c>
      <c r="AA2818">
        <v>0.97436900000000004</v>
      </c>
      <c r="AB2818">
        <v>20</v>
      </c>
      <c r="AC2818">
        <v>2.1940999999999899</v>
      </c>
      <c r="AD2818">
        <v>-1.11203289726939</v>
      </c>
      <c r="AE2818">
        <v>-13.653899999999901</v>
      </c>
      <c r="AF2818">
        <v>-2.9232502967696399</v>
      </c>
      <c r="AG2818">
        <v>-1.11203289726939</v>
      </c>
      <c r="AH2818">
        <v>13.4256551757399</v>
      </c>
      <c r="AI2818">
        <v>94.627016833716894</v>
      </c>
      <c r="AJ2818">
        <v>102.283638259146</v>
      </c>
      <c r="AK2818">
        <v>13.7851451338042</v>
      </c>
      <c r="AL2818">
        <v>79.590693815220106</v>
      </c>
      <c r="AM2818">
        <v>103.689027560629</v>
      </c>
      <c r="AN2818">
        <v>1.0000000107726501</v>
      </c>
    </row>
    <row r="2819" spans="1:40" x14ac:dyDescent="0.25">
      <c r="A2819" t="str">
        <f>"20190312172423535"</f>
        <v>20190312172423535</v>
      </c>
      <c r="B2819" t="str">
        <f>"1552382663532793"</f>
        <v>1552382663532793</v>
      </c>
      <c r="C2819" t="s">
        <v>40</v>
      </c>
      <c r="D2819">
        <v>3.967044</v>
      </c>
      <c r="E2819">
        <v>0.51090119999999895</v>
      </c>
      <c r="F2819" t="s">
        <v>43</v>
      </c>
      <c r="G2819">
        <v>-489.15199999999999</v>
      </c>
      <c r="H2819" s="1">
        <v>-8.4282319999999999E-7</v>
      </c>
      <c r="I2819">
        <v>231.24680000000001</v>
      </c>
      <c r="J2819">
        <v>-491.33920000000001</v>
      </c>
      <c r="K2819">
        <v>1.1120699999999999</v>
      </c>
      <c r="L2819">
        <v>244.8759</v>
      </c>
      <c r="M2819">
        <v>-5.3326140000000001E-2</v>
      </c>
      <c r="N2819">
        <v>0</v>
      </c>
      <c r="O2819">
        <v>-0.99848590000000004</v>
      </c>
      <c r="P2819">
        <v>0.1794065</v>
      </c>
      <c r="Q2819">
        <v>0.1688897</v>
      </c>
      <c r="R2819">
        <v>-0.96916970000000002</v>
      </c>
      <c r="S2819">
        <v>0.48269649999999997</v>
      </c>
      <c r="T2819">
        <v>-0.24610170000000001</v>
      </c>
      <c r="U2819">
        <v>-3.0485989999999998</v>
      </c>
      <c r="V2819">
        <v>-0.23138059999999999</v>
      </c>
      <c r="W2819">
        <v>0.1811305</v>
      </c>
      <c r="X2819">
        <v>0.95585290000000001</v>
      </c>
      <c r="Y2819">
        <v>-0.2083477</v>
      </c>
      <c r="Z2819">
        <v>7.8920749999999998E-2</v>
      </c>
      <c r="AA2819">
        <v>0.97486550000000005</v>
      </c>
      <c r="AB2819">
        <v>20</v>
      </c>
      <c r="AC2819">
        <v>2.18720000000001</v>
      </c>
      <c r="AD2819">
        <v>-1.1120708428232</v>
      </c>
      <c r="AE2819">
        <v>-13.6290999999999</v>
      </c>
      <c r="AF2819">
        <v>-2.89216887697892</v>
      </c>
      <c r="AG2819">
        <v>-1.1120708428232</v>
      </c>
      <c r="AH2819">
        <v>13.4060449402927</v>
      </c>
      <c r="AI2819">
        <v>94.635823710402207</v>
      </c>
      <c r="AJ2819">
        <v>102.174190254454</v>
      </c>
      <c r="AK2819">
        <v>13.759483395592</v>
      </c>
      <c r="AL2819">
        <v>79.564384882474499</v>
      </c>
      <c r="AM2819">
        <v>103.60766978421699</v>
      </c>
      <c r="AN2819">
        <v>1.00000000326251</v>
      </c>
    </row>
    <row r="2820" spans="1:40" x14ac:dyDescent="0.25">
      <c r="A2820" t="str">
        <f>"20190312172423558"</f>
        <v>20190312172423558</v>
      </c>
      <c r="B2820" t="str">
        <f>"1552382663553289"</f>
        <v>1552382663553289</v>
      </c>
      <c r="C2820" t="s">
        <v>40</v>
      </c>
      <c r="D2820">
        <v>3.9922010000000001</v>
      </c>
      <c r="E2820">
        <v>0.51124639999999999</v>
      </c>
      <c r="F2820" t="s">
        <v>43</v>
      </c>
      <c r="G2820">
        <v>-489.1764</v>
      </c>
      <c r="H2820" s="1">
        <v>-7.9363780000000002E-7</v>
      </c>
      <c r="I2820">
        <v>231.1422</v>
      </c>
      <c r="J2820">
        <v>-491.34690000000001</v>
      </c>
      <c r="K2820">
        <v>1.1121110000000001</v>
      </c>
      <c r="L2820">
        <v>244.6824</v>
      </c>
      <c r="M2820">
        <v>-5.1014499999999997E-2</v>
      </c>
      <c r="N2820">
        <v>0</v>
      </c>
      <c r="O2820">
        <v>-0.99860669999999996</v>
      </c>
      <c r="P2820">
        <v>0.18019479999999999</v>
      </c>
      <c r="Q2820">
        <v>0.16882839999999999</v>
      </c>
      <c r="R2820">
        <v>-0.96903410000000001</v>
      </c>
      <c r="S2820">
        <v>0.48025509999999899</v>
      </c>
      <c r="T2820">
        <v>-0.2469372</v>
      </c>
      <c r="U2820">
        <v>-3.0495760000000001</v>
      </c>
      <c r="V2820">
        <v>-0.2299621</v>
      </c>
      <c r="W2820">
        <v>0.18105270000000001</v>
      </c>
      <c r="X2820">
        <v>0.95620989999999995</v>
      </c>
      <c r="Y2820">
        <v>-0.2052696</v>
      </c>
      <c r="Z2820">
        <v>7.920758E-2</v>
      </c>
      <c r="AA2820">
        <v>0.975495</v>
      </c>
      <c r="AB2820">
        <v>20</v>
      </c>
      <c r="AC2820">
        <v>2.1705000000000001</v>
      </c>
      <c r="AD2820">
        <v>-1.1121117936378</v>
      </c>
      <c r="AE2820">
        <v>-13.5402</v>
      </c>
      <c r="AF2820">
        <v>-2.8398053600358302</v>
      </c>
      <c r="AG2820">
        <v>-1.1121117936378</v>
      </c>
      <c r="AH2820">
        <v>13.324195939459599</v>
      </c>
      <c r="AI2820">
        <v>94.666827127325703</v>
      </c>
      <c r="AJ2820">
        <v>102.03151179424199</v>
      </c>
      <c r="AK2820">
        <v>13.6687777272713</v>
      </c>
      <c r="AL2820">
        <v>79.568917507813794</v>
      </c>
      <c r="AM2820">
        <v>103.52245640799499</v>
      </c>
      <c r="AN2820">
        <v>1.0000000102358499</v>
      </c>
    </row>
    <row r="2821" spans="1:40" x14ac:dyDescent="0.25">
      <c r="A2821" t="str">
        <f>"20190312172423571"</f>
        <v>20190312172423571</v>
      </c>
      <c r="B2821" t="str">
        <f>"1552382663563050"</f>
        <v>1552382663563050</v>
      </c>
      <c r="C2821" t="s">
        <v>40</v>
      </c>
      <c r="D2821">
        <v>3.9640659999999999</v>
      </c>
      <c r="E2821">
        <v>0.51136359999999903</v>
      </c>
      <c r="F2821" t="s">
        <v>43</v>
      </c>
      <c r="G2821">
        <v>-489.21030000000002</v>
      </c>
      <c r="H2821" s="1">
        <v>-7.8187259999999895E-7</v>
      </c>
      <c r="I2821">
        <v>231.12880000000001</v>
      </c>
      <c r="J2821">
        <v>-491.35149999999999</v>
      </c>
      <c r="K2821">
        <v>1.112141</v>
      </c>
      <c r="L2821">
        <v>244.5565</v>
      </c>
      <c r="M2821">
        <v>-4.9461739999999997E-2</v>
      </c>
      <c r="N2821">
        <v>0</v>
      </c>
      <c r="O2821">
        <v>-0.99868460000000003</v>
      </c>
      <c r="P2821">
        <v>0.18073929999999999</v>
      </c>
      <c r="Q2821">
        <v>0.1693046</v>
      </c>
      <c r="R2821">
        <v>-0.96884950000000003</v>
      </c>
      <c r="S2821">
        <v>0.48080440000000002</v>
      </c>
      <c r="T2821">
        <v>-0.25026350000000003</v>
      </c>
      <c r="U2821">
        <v>-3.0500340000000001</v>
      </c>
      <c r="V2821">
        <v>-0.22902049999999999</v>
      </c>
      <c r="W2821">
        <v>0.18151790000000001</v>
      </c>
      <c r="X2821">
        <v>0.95634770000000002</v>
      </c>
      <c r="Y2821">
        <v>-0.2038836</v>
      </c>
      <c r="Z2821">
        <v>8.0275920000000001E-2</v>
      </c>
      <c r="AA2821">
        <v>0.97569839999999997</v>
      </c>
      <c r="AB2821">
        <v>20</v>
      </c>
      <c r="AC2821">
        <v>2.14119999999996</v>
      </c>
      <c r="AD2821">
        <v>-1.1121417818726</v>
      </c>
      <c r="AE2821">
        <v>-13.4276999999999</v>
      </c>
      <c r="AF2821">
        <v>-2.7841712906771199</v>
      </c>
      <c r="AG2821">
        <v>-1.1121417818726</v>
      </c>
      <c r="AH2821">
        <v>13.216926255609099</v>
      </c>
      <c r="AI2821">
        <v>94.707015969942205</v>
      </c>
      <c r="AJ2821">
        <v>101.89555068448099</v>
      </c>
      <c r="AK2821">
        <v>13.5526974719068</v>
      </c>
      <c r="AL2821">
        <v>79.541814640889697</v>
      </c>
      <c r="AM2821">
        <v>103.467238832324</v>
      </c>
      <c r="AN2821">
        <v>1.0000000303679699</v>
      </c>
    </row>
    <row r="2822" spans="1:40" x14ac:dyDescent="0.25">
      <c r="A2822" t="str">
        <f>"20190312172423593"</f>
        <v>20190312172423593</v>
      </c>
      <c r="B2822" t="str">
        <f>"1552382663582576"</f>
        <v>1552382663582576</v>
      </c>
      <c r="C2822" t="s">
        <v>40</v>
      </c>
      <c r="D2822">
        <v>3.9808880000000002</v>
      </c>
      <c r="E2822">
        <v>0.51153630000000005</v>
      </c>
      <c r="F2822" t="s">
        <v>43</v>
      </c>
      <c r="G2822">
        <v>-489.2054</v>
      </c>
      <c r="H2822" s="1">
        <v>-7.232016E-7</v>
      </c>
      <c r="I2822">
        <v>230.99</v>
      </c>
      <c r="J2822">
        <v>-491.3578</v>
      </c>
      <c r="K2822">
        <v>1.1121810000000001</v>
      </c>
      <c r="L2822">
        <v>244.3759</v>
      </c>
      <c r="M2822">
        <v>-4.7178100000000001E-2</v>
      </c>
      <c r="N2822">
        <v>0</v>
      </c>
      <c r="O2822">
        <v>-0.99879499999999999</v>
      </c>
      <c r="P2822">
        <v>0.18098729999999999</v>
      </c>
      <c r="Q2822">
        <v>0.17008010000000001</v>
      </c>
      <c r="R2822">
        <v>-0.96866739999999996</v>
      </c>
      <c r="S2822">
        <v>0.48251339999999998</v>
      </c>
      <c r="T2822">
        <v>-0.25004120000000002</v>
      </c>
      <c r="U2822">
        <v>-3.0501399999999999</v>
      </c>
      <c r="V2822">
        <v>-0.22708709999999999</v>
      </c>
      <c r="W2822">
        <v>0.18228259999999999</v>
      </c>
      <c r="X2822">
        <v>0.95666320000000005</v>
      </c>
      <c r="Y2822">
        <v>-0.20217389999999999</v>
      </c>
      <c r="Z2822">
        <v>8.0226770000000003E-2</v>
      </c>
      <c r="AA2822">
        <v>0.97605810000000004</v>
      </c>
      <c r="AB2822">
        <v>19</v>
      </c>
      <c r="AC2822">
        <v>2.1524000000000001</v>
      </c>
      <c r="AD2822">
        <v>-1.11218172320159</v>
      </c>
      <c r="AE2822">
        <v>-13.3858999999999</v>
      </c>
      <c r="AF2822">
        <v>-2.76298890475916</v>
      </c>
      <c r="AG2822">
        <v>-1.11218172320159</v>
      </c>
      <c r="AH2822">
        <v>13.1807393469558</v>
      </c>
      <c r="AI2822">
        <v>94.721022128582305</v>
      </c>
      <c r="AJ2822">
        <v>101.83910097048999</v>
      </c>
      <c r="AK2822">
        <v>13.513065736746601</v>
      </c>
      <c r="AL2822">
        <v>79.497256753465905</v>
      </c>
      <c r="AM2822">
        <v>103.35339179777399</v>
      </c>
      <c r="AN2822">
        <v>0.99999998774170495</v>
      </c>
    </row>
    <row r="2823" spans="1:40" x14ac:dyDescent="0.25">
      <c r="A2823" t="str">
        <f>"20190312172423613"</f>
        <v>20190312172423613</v>
      </c>
      <c r="B2823" t="str">
        <f>"1552382663603072"</f>
        <v>1552382663603072</v>
      </c>
      <c r="C2823" t="s">
        <v>40</v>
      </c>
      <c r="D2823">
        <v>3.9778509999999998</v>
      </c>
      <c r="E2823">
        <v>0.51162799999999997</v>
      </c>
      <c r="F2823" t="s">
        <v>43</v>
      </c>
      <c r="G2823">
        <v>-489.2079</v>
      </c>
      <c r="H2823" s="1">
        <v>-6.4931630000000002E-7</v>
      </c>
      <c r="I2823">
        <v>230.81880000000001</v>
      </c>
      <c r="J2823">
        <v>-491.36360000000002</v>
      </c>
      <c r="K2823">
        <v>1.1122179999999999</v>
      </c>
      <c r="L2823">
        <v>244.19499999999999</v>
      </c>
      <c r="M2823">
        <v>-4.4820190000000003E-2</v>
      </c>
      <c r="N2823">
        <v>0</v>
      </c>
      <c r="O2823">
        <v>-0.9989036</v>
      </c>
      <c r="P2823">
        <v>0.18145030000000001</v>
      </c>
      <c r="Q2823">
        <v>0.17062749999999999</v>
      </c>
      <c r="R2823">
        <v>-0.96848449999999997</v>
      </c>
      <c r="S2823">
        <v>0.48376459999999999</v>
      </c>
      <c r="T2823">
        <v>-0.25025960000000003</v>
      </c>
      <c r="U2823">
        <v>-3.050583</v>
      </c>
      <c r="V2823">
        <v>-0.2252953</v>
      </c>
      <c r="W2823">
        <v>0.18282090000000001</v>
      </c>
      <c r="X2823">
        <v>0.9569841</v>
      </c>
      <c r="Y2823">
        <v>-0.20022970000000001</v>
      </c>
      <c r="Z2823">
        <v>8.031191E-2</v>
      </c>
      <c r="AA2823">
        <v>0.97645179999999998</v>
      </c>
      <c r="AB2823">
        <v>19</v>
      </c>
      <c r="AC2823">
        <v>2.1557000000000199</v>
      </c>
      <c r="AD2823">
        <v>-1.1122186493163</v>
      </c>
      <c r="AE2823">
        <v>-13.3761999999999</v>
      </c>
      <c r="AF2823">
        <v>-2.73468354902707</v>
      </c>
      <c r="AG2823">
        <v>-1.1122186493163</v>
      </c>
      <c r="AH2823">
        <v>13.1773289954285</v>
      </c>
      <c r="AI2823">
        <v>94.724362321596402</v>
      </c>
      <c r="AJ2823">
        <v>101.724137460577</v>
      </c>
      <c r="AK2823">
        <v>13.503981779126001</v>
      </c>
      <c r="AL2823">
        <v>79.465887554379606</v>
      </c>
      <c r="AM2823">
        <v>103.247473196184</v>
      </c>
      <c r="AN2823">
        <v>1.00000001066585</v>
      </c>
    </row>
    <row r="2824" spans="1:40" x14ac:dyDescent="0.25">
      <c r="A2824" t="str">
        <f>"20190312172423627"</f>
        <v>20190312172423627</v>
      </c>
      <c r="B2824" t="str">
        <f>"1552382663622591"</f>
        <v>1552382663622591</v>
      </c>
      <c r="C2824" t="s">
        <v>40</v>
      </c>
      <c r="D2824">
        <v>4.0453380000000001</v>
      </c>
      <c r="E2824">
        <v>0.5116906</v>
      </c>
      <c r="F2824" t="s">
        <v>43</v>
      </c>
      <c r="G2824">
        <v>-489.21159999999998</v>
      </c>
      <c r="H2824" s="1">
        <v>-5.794556E-7</v>
      </c>
      <c r="I2824">
        <v>230.6575</v>
      </c>
      <c r="J2824">
        <v>-491.36700000000002</v>
      </c>
      <c r="K2824">
        <v>1.112239</v>
      </c>
      <c r="L2824">
        <v>244.0812</v>
      </c>
      <c r="M2824">
        <v>-4.3304450000000001E-2</v>
      </c>
      <c r="N2824">
        <v>0</v>
      </c>
      <c r="O2824">
        <v>-0.99897060000000004</v>
      </c>
      <c r="P2824">
        <v>0.18236079999999999</v>
      </c>
      <c r="Q2824">
        <v>0.1706686</v>
      </c>
      <c r="R2824">
        <v>-0.96830620000000001</v>
      </c>
      <c r="S2824">
        <v>0.48498540000000001</v>
      </c>
      <c r="T2824">
        <v>-0.2506584</v>
      </c>
      <c r="U2824">
        <v>-3.0509189999999999</v>
      </c>
      <c r="V2824">
        <v>-0.22475029999999999</v>
      </c>
      <c r="W2824">
        <v>0.18285460000000001</v>
      </c>
      <c r="X2824">
        <v>0.95710580000000001</v>
      </c>
      <c r="Y2824">
        <v>-0.1991059</v>
      </c>
      <c r="Z2824">
        <v>8.0445349999999999E-2</v>
      </c>
      <c r="AA2824">
        <v>0.97667060000000006</v>
      </c>
      <c r="AB2824">
        <v>19</v>
      </c>
      <c r="AC2824">
        <v>2.1553999999999802</v>
      </c>
      <c r="AD2824">
        <v>-1.1122395794555999</v>
      </c>
      <c r="AE2824">
        <v>-13.423699999999901</v>
      </c>
      <c r="AF2824">
        <v>-2.7165557630425301</v>
      </c>
      <c r="AG2824">
        <v>-1.1122395794555999</v>
      </c>
      <c r="AH2824">
        <v>13.2292199312643</v>
      </c>
      <c r="AI2824">
        <v>94.708029396729799</v>
      </c>
      <c r="AJ2824">
        <v>101.60410140694</v>
      </c>
      <c r="AK2824">
        <v>13.5509782704271</v>
      </c>
      <c r="AL2824">
        <v>79.463923543634095</v>
      </c>
      <c r="AM2824">
        <v>103.21493139681201</v>
      </c>
      <c r="AN2824">
        <v>1.00000000724244</v>
      </c>
    </row>
    <row r="2825" spans="1:40" x14ac:dyDescent="0.25">
      <c r="A2825" t="str">
        <f>"20190312172423640"</f>
        <v>20190312172423640</v>
      </c>
      <c r="B2825" t="str">
        <f>"1552382663633328"</f>
        <v>1552382663633328</v>
      </c>
      <c r="C2825" t="s">
        <v>40</v>
      </c>
      <c r="D2825">
        <v>3.9610150000000002</v>
      </c>
      <c r="E2825">
        <v>0.51172879999999998</v>
      </c>
      <c r="F2825" t="s">
        <v>43</v>
      </c>
      <c r="G2825">
        <v>-489.21249999999998</v>
      </c>
      <c r="H2825" s="1">
        <v>-5.5257869999999898E-7</v>
      </c>
      <c r="I2825">
        <v>230.59520000000001</v>
      </c>
      <c r="J2825">
        <v>-491.37020000000001</v>
      </c>
      <c r="K2825">
        <v>1.1122570000000001</v>
      </c>
      <c r="L2825">
        <v>243.96770000000001</v>
      </c>
      <c r="M2825">
        <v>-4.1770580000000002E-2</v>
      </c>
      <c r="N2825">
        <v>0</v>
      </c>
      <c r="O2825">
        <v>-0.99903600000000004</v>
      </c>
      <c r="P2825">
        <v>0.1833168</v>
      </c>
      <c r="Q2825">
        <v>0.17032820000000001</v>
      </c>
      <c r="R2825">
        <v>-0.96818590000000004</v>
      </c>
      <c r="S2825">
        <v>0.4873962</v>
      </c>
      <c r="T2825">
        <v>-0.25160850000000001</v>
      </c>
      <c r="U2825">
        <v>-3.0507810000000002</v>
      </c>
      <c r="V2825">
        <v>-0.22423509999999999</v>
      </c>
      <c r="W2825">
        <v>0.18250769999999999</v>
      </c>
      <c r="X2825">
        <v>0.9572929</v>
      </c>
      <c r="Y2825">
        <v>-0.19835700000000001</v>
      </c>
      <c r="Z2825">
        <v>8.0761079999999999E-2</v>
      </c>
      <c r="AA2825">
        <v>0.97679689999999997</v>
      </c>
      <c r="AB2825">
        <v>19</v>
      </c>
      <c r="AC2825">
        <v>2.1577000000000299</v>
      </c>
      <c r="AD2825">
        <v>-1.1122575525787</v>
      </c>
      <c r="AE2825">
        <v>-13.3725</v>
      </c>
      <c r="AF2825">
        <v>-2.6962648107352498</v>
      </c>
      <c r="AG2825">
        <v>-1.1122575525787</v>
      </c>
      <c r="AH2825">
        <v>13.1818112836607</v>
      </c>
      <c r="AI2825">
        <v>94.725702275880394</v>
      </c>
      <c r="AJ2825">
        <v>101.560069173324</v>
      </c>
      <c r="AK2825">
        <v>13.5006336707179</v>
      </c>
      <c r="AL2825">
        <v>79.484140293358706</v>
      </c>
      <c r="AM2825">
        <v>103.183210873354</v>
      </c>
      <c r="AN2825">
        <v>1.0000000685108501</v>
      </c>
    </row>
    <row r="2826" spans="1:40" x14ac:dyDescent="0.25">
      <c r="A2826" t="str">
        <f>"20190312172423658"</f>
        <v>20190312172423658</v>
      </c>
      <c r="B2826" t="str">
        <f>"1552382663652848"</f>
        <v>1552382663652848</v>
      </c>
      <c r="C2826" t="s">
        <v>40</v>
      </c>
      <c r="D2826">
        <v>4.0541700000000001</v>
      </c>
      <c r="E2826">
        <v>0.51165950000000004</v>
      </c>
      <c r="F2826" t="s">
        <v>43</v>
      </c>
      <c r="G2826">
        <v>-489.22210000000001</v>
      </c>
      <c r="H2826" s="1">
        <v>-5.5744369999999997E-7</v>
      </c>
      <c r="I2826">
        <v>230.6105</v>
      </c>
      <c r="J2826">
        <v>-491.37430000000001</v>
      </c>
      <c r="K2826">
        <v>1.112285</v>
      </c>
      <c r="L2826">
        <v>243.80969999999999</v>
      </c>
      <c r="M2826">
        <v>-3.9587919999999999E-2</v>
      </c>
      <c r="N2826">
        <v>0</v>
      </c>
      <c r="O2826">
        <v>-0.99912460000000003</v>
      </c>
      <c r="P2826">
        <v>0.18439179999999999</v>
      </c>
      <c r="Q2826">
        <v>0.1699445</v>
      </c>
      <c r="R2826">
        <v>-0.96804900000000005</v>
      </c>
      <c r="S2826">
        <v>0.49057010000000001</v>
      </c>
      <c r="T2826">
        <v>-0.25400879999999998</v>
      </c>
      <c r="U2826">
        <v>-3.0504150000000001</v>
      </c>
      <c r="V2826">
        <v>-0.22321650000000001</v>
      </c>
      <c r="W2826">
        <v>0.182119</v>
      </c>
      <c r="X2826">
        <v>0.95760489999999998</v>
      </c>
      <c r="Y2826">
        <v>-0.1972148</v>
      </c>
      <c r="Z2826">
        <v>8.1549789999999997E-2</v>
      </c>
      <c r="AA2826">
        <v>0.97696260000000001</v>
      </c>
      <c r="AB2826">
        <v>19</v>
      </c>
      <c r="AC2826">
        <v>2.1521999999999899</v>
      </c>
      <c r="AD2826">
        <v>-1.1122855574437001</v>
      </c>
      <c r="AE2826">
        <v>-13.1991999999999</v>
      </c>
      <c r="AF2826">
        <v>-2.6547254663989901</v>
      </c>
      <c r="AG2826">
        <v>-1.1122855574437001</v>
      </c>
      <c r="AH2826">
        <v>13.013622063146601</v>
      </c>
      <c r="AI2826">
        <v>94.787128065186906</v>
      </c>
      <c r="AJ2826">
        <v>101.529904529094</v>
      </c>
      <c r="AK2826">
        <v>13.3281321146536</v>
      </c>
      <c r="AL2826">
        <v>79.506790472876602</v>
      </c>
      <c r="AM2826">
        <v>103.12127470008301</v>
      </c>
      <c r="AN2826">
        <v>1.00000004026862</v>
      </c>
    </row>
    <row r="2827" spans="1:40" x14ac:dyDescent="0.25">
      <c r="A2827" t="str">
        <f>"20190312172423671"</f>
        <v>20190312172423671</v>
      </c>
      <c r="B2827" t="str">
        <f>"1552382663662608"</f>
        <v>1552382663662608</v>
      </c>
      <c r="C2827" t="s">
        <v>40</v>
      </c>
      <c r="D2827">
        <v>3.9654560000000001</v>
      </c>
      <c r="E2827">
        <v>0.51167559999999901</v>
      </c>
      <c r="F2827" t="s">
        <v>43</v>
      </c>
      <c r="G2827">
        <v>-489.24689999999998</v>
      </c>
      <c r="H2827" s="1">
        <v>-5.8715740000000002E-7</v>
      </c>
      <c r="I2827">
        <v>230.69</v>
      </c>
      <c r="J2827">
        <v>-491.37689999999998</v>
      </c>
      <c r="K2827">
        <v>1.1123019999999999</v>
      </c>
      <c r="L2827">
        <v>243.69749999999999</v>
      </c>
      <c r="M2827">
        <v>-3.8010210000000003E-2</v>
      </c>
      <c r="N2827">
        <v>0</v>
      </c>
      <c r="O2827">
        <v>-0.99918600000000002</v>
      </c>
      <c r="P2827">
        <v>0.18557190000000001</v>
      </c>
      <c r="Q2827">
        <v>0.1699947</v>
      </c>
      <c r="R2827">
        <v>-0.96781490000000003</v>
      </c>
      <c r="S2827">
        <v>0.49459839999999999</v>
      </c>
      <c r="T2827">
        <v>-0.25859520000000003</v>
      </c>
      <c r="U2827">
        <v>-3.0501860000000001</v>
      </c>
      <c r="V2827">
        <v>-0.2228782</v>
      </c>
      <c r="W2827">
        <v>0.18216260000000001</v>
      </c>
      <c r="X2827">
        <v>0.95767539999999995</v>
      </c>
      <c r="Y2827">
        <v>-0.19691649999999999</v>
      </c>
      <c r="Z2827">
        <v>8.3019709999999997E-2</v>
      </c>
      <c r="AA2827">
        <v>0.97689899999999996</v>
      </c>
      <c r="AB2827">
        <v>19</v>
      </c>
      <c r="AC2827">
        <v>2.1299999999999901</v>
      </c>
      <c r="AD2827">
        <v>-1.1123025871573999</v>
      </c>
      <c r="AE2827">
        <v>-13.007499999999901</v>
      </c>
      <c r="AF2827">
        <v>-2.6043765779863901</v>
      </c>
      <c r="AG2827">
        <v>-1.1123025871573999</v>
      </c>
      <c r="AH2827">
        <v>12.8257915247494</v>
      </c>
      <c r="AI2827">
        <v>94.857861710810994</v>
      </c>
      <c r="AJ2827">
        <v>101.478291741875</v>
      </c>
      <c r="AK2827">
        <v>13.1347220237695</v>
      </c>
      <c r="AL2827">
        <v>79.504249858419001</v>
      </c>
      <c r="AM2827">
        <v>103.101143791686</v>
      </c>
      <c r="AN2827">
        <v>1.00000003831957</v>
      </c>
    </row>
    <row r="2828" spans="1:40" x14ac:dyDescent="0.25">
      <c r="A2828" t="str">
        <f>"20190312172423685"</f>
        <v>20190312172423685</v>
      </c>
      <c r="B2828" t="str">
        <f>"1552382663673344"</f>
        <v>1552382663673344</v>
      </c>
      <c r="C2828" t="s">
        <v>40</v>
      </c>
      <c r="D2828">
        <v>3.980486</v>
      </c>
      <c r="E2828">
        <v>0.51169370000000003</v>
      </c>
      <c r="F2828" t="s">
        <v>43</v>
      </c>
      <c r="G2828">
        <v>-489.24110000000002</v>
      </c>
      <c r="H2828" s="1">
        <v>-5.6262659999999995E-7</v>
      </c>
      <c r="I2828">
        <v>230.63050000000001</v>
      </c>
      <c r="J2828">
        <v>-491.3793</v>
      </c>
      <c r="K2828">
        <v>1.1123190000000001</v>
      </c>
      <c r="L2828">
        <v>243.58750000000001</v>
      </c>
      <c r="M2828">
        <v>-3.6448149999999999E-2</v>
      </c>
      <c r="N2828">
        <v>0</v>
      </c>
      <c r="O2828">
        <v>-0.99924409999999997</v>
      </c>
      <c r="P2828">
        <v>0.18653210000000001</v>
      </c>
      <c r="Q2828">
        <v>0.17020009999999999</v>
      </c>
      <c r="R2828">
        <v>-0.96759390000000001</v>
      </c>
      <c r="S2828">
        <v>0.49847409999999998</v>
      </c>
      <c r="T2828">
        <v>-0.25960620000000001</v>
      </c>
      <c r="U2828">
        <v>-3.0497890000000001</v>
      </c>
      <c r="V2828">
        <v>-0.2223368</v>
      </c>
      <c r="W2828">
        <v>0.18236279999999999</v>
      </c>
      <c r="X2828">
        <v>0.95776309999999998</v>
      </c>
      <c r="Y2828">
        <v>-0.19660910000000001</v>
      </c>
      <c r="Z2828">
        <v>8.3354189999999995E-2</v>
      </c>
      <c r="AA2828">
        <v>0.97693240000000003</v>
      </c>
      <c r="AB2828">
        <v>19</v>
      </c>
      <c r="AC2828">
        <v>2.1381999999999799</v>
      </c>
      <c r="AD2828">
        <v>-1.1123195626266</v>
      </c>
      <c r="AE2828">
        <v>-12.956999999999899</v>
      </c>
      <c r="AF2828">
        <v>-2.59049576722387</v>
      </c>
      <c r="AG2828">
        <v>-1.1123195626266</v>
      </c>
      <c r="AH2828">
        <v>12.778769395586799</v>
      </c>
      <c r="AI2828">
        <v>94.876045848717496</v>
      </c>
      <c r="AJ2828">
        <v>101.459633813389</v>
      </c>
      <c r="AK2828">
        <v>13.086056334701899</v>
      </c>
      <c r="AL2828">
        <v>79.492583424842294</v>
      </c>
      <c r="AM2828">
        <v>103.069257585054</v>
      </c>
      <c r="AN2828">
        <v>0.99999999958984498</v>
      </c>
    </row>
    <row r="2829" spans="1:40" x14ac:dyDescent="0.25">
      <c r="A2829" t="str">
        <f>"20190312172423703"</f>
        <v>20190312172423703</v>
      </c>
      <c r="B2829" t="str">
        <f>"1552382663692867"</f>
        <v>1552382663692867</v>
      </c>
      <c r="C2829" t="s">
        <v>40</v>
      </c>
      <c r="D2829">
        <v>3.9816259999999999</v>
      </c>
      <c r="E2829">
        <v>0.5116541</v>
      </c>
      <c r="F2829" t="s">
        <v>43</v>
      </c>
      <c r="G2829">
        <v>-489.23439999999999</v>
      </c>
      <c r="H2829" s="1">
        <v>-5.2969069999999897E-7</v>
      </c>
      <c r="I2829">
        <v>230.55090000000001</v>
      </c>
      <c r="J2829">
        <v>-491.38260000000002</v>
      </c>
      <c r="K2829">
        <v>1.112347</v>
      </c>
      <c r="L2829">
        <v>243.4205</v>
      </c>
      <c r="M2829">
        <v>-3.4038150000000003E-2</v>
      </c>
      <c r="N2829">
        <v>0</v>
      </c>
      <c r="O2829">
        <v>-0.99932920000000003</v>
      </c>
      <c r="P2829">
        <v>0.1884306</v>
      </c>
      <c r="Q2829">
        <v>0.170488</v>
      </c>
      <c r="R2829">
        <v>-0.96717540000000002</v>
      </c>
      <c r="S2829">
        <v>0.5017395</v>
      </c>
      <c r="T2829">
        <v>-0.26019379999999998</v>
      </c>
      <c r="U2829">
        <v>-3.049515</v>
      </c>
      <c r="V2829">
        <v>-0.22191359999999999</v>
      </c>
      <c r="W2829">
        <v>0.18264169999999999</v>
      </c>
      <c r="X2829">
        <v>0.95780810000000005</v>
      </c>
      <c r="Y2829">
        <v>-0.19527449999999999</v>
      </c>
      <c r="Z2829">
        <v>8.3563789999999999E-2</v>
      </c>
      <c r="AA2829">
        <v>0.97718210000000005</v>
      </c>
      <c r="AB2829">
        <v>19</v>
      </c>
      <c r="AC2829">
        <v>2.1482000000000299</v>
      </c>
      <c r="AD2829">
        <v>-1.1123475296906999</v>
      </c>
      <c r="AE2829">
        <v>-12.869599999999901</v>
      </c>
      <c r="AF2829">
        <v>-2.5663996950324601</v>
      </c>
      <c r="AG2829">
        <v>-1.1123475296906999</v>
      </c>
      <c r="AH2829">
        <v>12.6967336503035</v>
      </c>
      <c r="AI2829">
        <v>94.908078662272501</v>
      </c>
      <c r="AJ2829">
        <v>101.427269109506</v>
      </c>
      <c r="AK2829">
        <v>13.0011834002994</v>
      </c>
      <c r="AL2829">
        <v>79.476330640418894</v>
      </c>
      <c r="AM2829">
        <v>103.044640992357</v>
      </c>
      <c r="AN2829">
        <v>0.99999999643473003</v>
      </c>
    </row>
    <row r="2830" spans="1:40" x14ac:dyDescent="0.25">
      <c r="A2830" t="str">
        <f>"20190312172423715"</f>
        <v>20190312172423715</v>
      </c>
      <c r="B2830" t="str">
        <f>"1552382663702624"</f>
        <v>1552382663702624</v>
      </c>
      <c r="C2830" t="s">
        <v>40</v>
      </c>
      <c r="D2830">
        <v>3.9766439999999998</v>
      </c>
      <c r="E2830">
        <v>0.51161489999999998</v>
      </c>
      <c r="F2830" t="s">
        <v>43</v>
      </c>
      <c r="G2830">
        <v>-489.2183</v>
      </c>
      <c r="H2830" s="1">
        <v>-4.8072029999999996E-7</v>
      </c>
      <c r="I2830">
        <v>230.43010000000001</v>
      </c>
      <c r="J2830">
        <v>-491.3843</v>
      </c>
      <c r="K2830">
        <v>1.11236</v>
      </c>
      <c r="L2830">
        <v>243.3218</v>
      </c>
      <c r="M2830">
        <v>-3.2595079999999998E-2</v>
      </c>
      <c r="N2830">
        <v>0</v>
      </c>
      <c r="O2830">
        <v>-0.99937719999999997</v>
      </c>
      <c r="P2830">
        <v>0.18952649999999999</v>
      </c>
      <c r="Q2830">
        <v>0.17078589999999999</v>
      </c>
      <c r="R2830">
        <v>-0.96690849999999995</v>
      </c>
      <c r="S2830">
        <v>0.50796509999999995</v>
      </c>
      <c r="T2830">
        <v>-0.26106810000000003</v>
      </c>
      <c r="U2830">
        <v>-3.0488430000000002</v>
      </c>
      <c r="V2830">
        <v>-0.22161990000000001</v>
      </c>
      <c r="W2830">
        <v>0.18293570000000001</v>
      </c>
      <c r="X2830">
        <v>0.95782</v>
      </c>
      <c r="Y2830">
        <v>-0.19583110000000001</v>
      </c>
      <c r="Z2830">
        <v>8.3848270000000003E-2</v>
      </c>
      <c r="AA2830">
        <v>0.97704639999999998</v>
      </c>
      <c r="AB2830">
        <v>19</v>
      </c>
      <c r="AC2830">
        <v>2.1659999999999902</v>
      </c>
      <c r="AD2830">
        <v>-1.1123604807203</v>
      </c>
      <c r="AE2830">
        <v>-12.891699999999901</v>
      </c>
      <c r="AF2830">
        <v>-2.5665099204966202</v>
      </c>
      <c r="AG2830">
        <v>-1.1123604807203</v>
      </c>
      <c r="AH2830">
        <v>12.7221240620777</v>
      </c>
      <c r="AI2830">
        <v>94.898761083509299</v>
      </c>
      <c r="AJ2830">
        <v>101.405538184354</v>
      </c>
      <c r="AK2830">
        <v>13.026003211345101</v>
      </c>
      <c r="AL2830">
        <v>79.459197070625905</v>
      </c>
      <c r="AM2830">
        <v>103.027809544341</v>
      </c>
      <c r="AN2830">
        <v>1.0000000014052499</v>
      </c>
    </row>
    <row r="2831" spans="1:40" x14ac:dyDescent="0.25">
      <c r="A2831" t="str">
        <f>"20190312172423736"</f>
        <v>20190312172423736</v>
      </c>
      <c r="B2831" t="str">
        <f>"1552382663732880"</f>
        <v>1552382663732880</v>
      </c>
      <c r="C2831" t="s">
        <v>40</v>
      </c>
      <c r="D2831">
        <v>3.9457650000000002</v>
      </c>
      <c r="E2831">
        <v>0.51153329999999997</v>
      </c>
      <c r="F2831" t="s">
        <v>43</v>
      </c>
      <c r="G2831">
        <v>-489.20310000000001</v>
      </c>
      <c r="H2831" s="1">
        <v>-4.4571110000000001E-7</v>
      </c>
      <c r="I2831">
        <v>230.3347</v>
      </c>
      <c r="J2831">
        <v>-491.387</v>
      </c>
      <c r="K2831">
        <v>1.1123799999999999</v>
      </c>
      <c r="L2831">
        <v>243.14529999999999</v>
      </c>
      <c r="M2831">
        <v>-2.9990949999999999E-2</v>
      </c>
      <c r="N2831">
        <v>0</v>
      </c>
      <c r="O2831">
        <v>-0.99945879999999998</v>
      </c>
      <c r="P2831">
        <v>0.19145709999999999</v>
      </c>
      <c r="Q2831">
        <v>0.17163239999999999</v>
      </c>
      <c r="R2831">
        <v>-0.96637819999999997</v>
      </c>
      <c r="S2831">
        <v>0.51199340000000004</v>
      </c>
      <c r="T2831">
        <v>-0.26110260000000002</v>
      </c>
      <c r="U2831">
        <v>-3.0484309999999999</v>
      </c>
      <c r="V2831">
        <v>-0.22104070000000001</v>
      </c>
      <c r="W2831">
        <v>0.1837762</v>
      </c>
      <c r="X2831">
        <v>0.95779289999999995</v>
      </c>
      <c r="Y2831">
        <v>-0.194553</v>
      </c>
      <c r="Z2831">
        <v>8.3882520000000002E-2</v>
      </c>
      <c r="AA2831">
        <v>0.97729869999999996</v>
      </c>
      <c r="AB2831">
        <v>19</v>
      </c>
      <c r="AC2831">
        <v>2.1838999999999298</v>
      </c>
      <c r="AD2831">
        <v>-1.1123804457111</v>
      </c>
      <c r="AE2831">
        <v>-12.8105999999999</v>
      </c>
      <c r="AF2831">
        <v>-2.5484818674247198</v>
      </c>
      <c r="AG2831">
        <v>-1.1123804457111</v>
      </c>
      <c r="AH2831">
        <v>12.6466709848648</v>
      </c>
      <c r="AI2831">
        <v>94.928143621808601</v>
      </c>
      <c r="AJ2831">
        <v>101.393320228398</v>
      </c>
      <c r="AK2831">
        <v>12.948761990399399</v>
      </c>
      <c r="AL2831">
        <v>79.410209026628195</v>
      </c>
      <c r="AM2831">
        <v>102.99527387616401</v>
      </c>
      <c r="AN2831">
        <v>0.99999996101666899</v>
      </c>
    </row>
    <row r="2832" spans="1:40" x14ac:dyDescent="0.25">
      <c r="A2832" t="str">
        <f>"20190312172423750"</f>
        <v>20190312172423750</v>
      </c>
      <c r="B2832" t="str">
        <f>"1552382663742640"</f>
        <v>1552382663742640</v>
      </c>
      <c r="C2832" t="s">
        <v>40</v>
      </c>
      <c r="D2832">
        <v>3.930256</v>
      </c>
      <c r="E2832">
        <v>0.5114862</v>
      </c>
      <c r="F2832" t="s">
        <v>43</v>
      </c>
      <c r="G2832">
        <v>-489.16680000000002</v>
      </c>
      <c r="H2832" s="1">
        <v>-3.8110370000000002E-7</v>
      </c>
      <c r="I2832">
        <v>230.1165</v>
      </c>
      <c r="J2832">
        <v>-491.38850000000002</v>
      </c>
      <c r="K2832">
        <v>1.1123890000000001</v>
      </c>
      <c r="L2832">
        <v>243.02940000000001</v>
      </c>
      <c r="M2832">
        <v>-2.82618E-2</v>
      </c>
      <c r="N2832">
        <v>0</v>
      </c>
      <c r="O2832">
        <v>-0.99950919999999999</v>
      </c>
      <c r="P2832">
        <v>0.19281429999999999</v>
      </c>
      <c r="Q2832">
        <v>0.17172680000000001</v>
      </c>
      <c r="R2832">
        <v>-0.96609129999999999</v>
      </c>
      <c r="S2832">
        <v>0.51934809999999998</v>
      </c>
      <c r="T2832">
        <v>-0.26020870000000001</v>
      </c>
      <c r="U2832">
        <v>-3.0476990000000002</v>
      </c>
      <c r="V2832">
        <v>-0.22073119999999999</v>
      </c>
      <c r="W2832">
        <v>0.183869</v>
      </c>
      <c r="X2832">
        <v>0.95784650000000005</v>
      </c>
      <c r="Y2832">
        <v>-0.19519139999999999</v>
      </c>
      <c r="Z2832">
        <v>8.3601549999999997E-2</v>
      </c>
      <c r="AA2832">
        <v>0.97719549999999999</v>
      </c>
      <c r="AB2832">
        <v>19</v>
      </c>
      <c r="AC2832">
        <v>2.22169999999999</v>
      </c>
      <c r="AD2832">
        <v>-1.11238938110369</v>
      </c>
      <c r="AE2832">
        <v>-12.9129</v>
      </c>
      <c r="AF2832">
        <v>-2.56728331271766</v>
      </c>
      <c r="AG2832">
        <v>-1.11238938110369</v>
      </c>
      <c r="AH2832">
        <v>12.7530261201148</v>
      </c>
      <c r="AI2832">
        <v>94.887478024304599</v>
      </c>
      <c r="AJ2832">
        <v>101.381962386152</v>
      </c>
      <c r="AK2832">
        <v>13.0563405655368</v>
      </c>
      <c r="AL2832">
        <v>79.404800162709293</v>
      </c>
      <c r="AM2832">
        <v>102.97699273012201</v>
      </c>
      <c r="AN2832">
        <v>0.999999994688345</v>
      </c>
    </row>
    <row r="2833" spans="1:40" x14ac:dyDescent="0.25">
      <c r="A2833" t="str">
        <f>"20190312172423763"</f>
        <v>20190312172423763</v>
      </c>
      <c r="B2833" t="str">
        <f>"1552382663753377"</f>
        <v>1552382663753377</v>
      </c>
      <c r="C2833" t="s">
        <v>40</v>
      </c>
      <c r="D2833">
        <v>3.9480390000000001</v>
      </c>
      <c r="E2833">
        <v>0.51145609999999997</v>
      </c>
      <c r="F2833" t="s">
        <v>43</v>
      </c>
      <c r="G2833">
        <v>-489.1524</v>
      </c>
      <c r="H2833" s="1">
        <v>-3.5479109999999998E-7</v>
      </c>
      <c r="I2833">
        <v>230.02799999999999</v>
      </c>
      <c r="J2833">
        <v>-491.38979999999998</v>
      </c>
      <c r="K2833">
        <v>1.1123959999999999</v>
      </c>
      <c r="L2833">
        <v>242.91470000000001</v>
      </c>
      <c r="M2833">
        <v>-2.6538969999999999E-2</v>
      </c>
      <c r="N2833">
        <v>0</v>
      </c>
      <c r="O2833">
        <v>-0.99955640000000001</v>
      </c>
      <c r="P2833">
        <v>0.19432079999999999</v>
      </c>
      <c r="Q2833">
        <v>0.17204900000000001</v>
      </c>
      <c r="R2833">
        <v>-0.96573220000000004</v>
      </c>
      <c r="S2833">
        <v>0.52404790000000001</v>
      </c>
      <c r="T2833">
        <v>-0.260704299999999</v>
      </c>
      <c r="U2833">
        <v>-3.0470730000000001</v>
      </c>
      <c r="V2833">
        <v>-0.22057579999999999</v>
      </c>
      <c r="W2833">
        <v>0.18418770000000001</v>
      </c>
      <c r="X2833">
        <v>0.95782109999999998</v>
      </c>
      <c r="Y2833">
        <v>-0.19499630000000001</v>
      </c>
      <c r="Z2833">
        <v>8.3773349999999996E-2</v>
      </c>
      <c r="AA2833">
        <v>0.97721979999999997</v>
      </c>
      <c r="AB2833">
        <v>19</v>
      </c>
      <c r="AC2833">
        <v>2.2373999999999801</v>
      </c>
      <c r="AD2833">
        <v>-1.1123963547911</v>
      </c>
      <c r="AE2833">
        <v>-12.886699999999999</v>
      </c>
      <c r="AF2833">
        <v>-2.5601245868420799</v>
      </c>
      <c r="AG2833">
        <v>-1.1123963547911</v>
      </c>
      <c r="AH2833">
        <v>12.7306913356483</v>
      </c>
      <c r="AI2833">
        <v>94.896238593042497</v>
      </c>
      <c r="AJ2833">
        <v>101.370445496965</v>
      </c>
      <c r="AK2833">
        <v>13.033118024243301</v>
      </c>
      <c r="AL2833">
        <v>79.3862230482153</v>
      </c>
      <c r="AM2833">
        <v>102.96849783175099</v>
      </c>
      <c r="AN2833">
        <v>1.00000002599106</v>
      </c>
    </row>
    <row r="2834" spans="1:40" x14ac:dyDescent="0.25">
      <c r="A2834" t="str">
        <f>"20190312172423783"</f>
        <v>20190312172423783</v>
      </c>
      <c r="B2834" t="str">
        <f>"1552382663772896"</f>
        <v>1552382663772896</v>
      </c>
      <c r="C2834" t="s">
        <v>40</v>
      </c>
      <c r="D2834">
        <v>3.9511409999999998</v>
      </c>
      <c r="E2834">
        <v>0.51143959999999999</v>
      </c>
      <c r="F2834" t="s">
        <v>43</v>
      </c>
      <c r="G2834">
        <v>-489.1275</v>
      </c>
      <c r="H2834" s="1">
        <v>-3.1700139999999999E-7</v>
      </c>
      <c r="I2834">
        <v>229.8974</v>
      </c>
      <c r="J2834">
        <v>-491.3913</v>
      </c>
      <c r="K2834">
        <v>1.112409</v>
      </c>
      <c r="L2834">
        <v>242.74539999999999</v>
      </c>
      <c r="M2834">
        <v>-2.3968710000000001E-2</v>
      </c>
      <c r="N2834">
        <v>0</v>
      </c>
      <c r="O2834">
        <v>-0.99962150000000005</v>
      </c>
      <c r="P2834">
        <v>0.1965085</v>
      </c>
      <c r="Q2834">
        <v>0.17267639999999901</v>
      </c>
      <c r="R2834">
        <v>-0.96517779999999997</v>
      </c>
      <c r="S2834">
        <v>0.52941890000000003</v>
      </c>
      <c r="T2834">
        <v>-0.26032080000000002</v>
      </c>
      <c r="U2834">
        <v>-3.0462799999999999</v>
      </c>
      <c r="V2834">
        <v>-0.22028600000000001</v>
      </c>
      <c r="W2834">
        <v>0.18481149999999999</v>
      </c>
      <c r="X2834">
        <v>0.95776760000000005</v>
      </c>
      <c r="Y2834">
        <v>-0.19419159999999999</v>
      </c>
      <c r="Z2834">
        <v>8.3674949999999998E-2</v>
      </c>
      <c r="AA2834">
        <v>0.97738840000000005</v>
      </c>
      <c r="AB2834">
        <v>19</v>
      </c>
      <c r="AC2834">
        <v>2.2637999999999998</v>
      </c>
      <c r="AD2834">
        <v>-1.11240931700139</v>
      </c>
      <c r="AE2834">
        <v>-12.8479999999999</v>
      </c>
      <c r="AF2834">
        <v>-2.55256845348414</v>
      </c>
      <c r="AG2834">
        <v>-1.11240931700139</v>
      </c>
      <c r="AH2834">
        <v>12.697720746997099</v>
      </c>
      <c r="AI2834">
        <v>94.909015752131594</v>
      </c>
      <c r="AJ2834">
        <v>101.366430366816</v>
      </c>
      <c r="AK2834">
        <v>12.999429693913299</v>
      </c>
      <c r="AL2834">
        <v>79.349857296337902</v>
      </c>
      <c r="AM2834">
        <v>102.952733377865</v>
      </c>
      <c r="AN2834">
        <v>0.99999999396900496</v>
      </c>
    </row>
    <row r="2835" spans="1:40" x14ac:dyDescent="0.25">
      <c r="A2835" t="str">
        <f>"20190312172423805"</f>
        <v>20190312172423805</v>
      </c>
      <c r="B2835" t="str">
        <f>"1552382663792417"</f>
        <v>1552382663792417</v>
      </c>
      <c r="C2835" t="s">
        <v>40</v>
      </c>
      <c r="D2835">
        <v>3.939508</v>
      </c>
      <c r="E2835">
        <v>0.5113394</v>
      </c>
      <c r="F2835" t="s">
        <v>43</v>
      </c>
      <c r="G2835">
        <v>-489.09440000000001</v>
      </c>
      <c r="H2835" s="1">
        <v>-2.631686E-7</v>
      </c>
      <c r="I2835">
        <v>229.7133</v>
      </c>
      <c r="J2835">
        <v>-491.39240000000001</v>
      </c>
      <c r="K2835">
        <v>1.112419</v>
      </c>
      <c r="L2835">
        <v>242.5582</v>
      </c>
      <c r="M2835">
        <v>-2.109685E-2</v>
      </c>
      <c r="N2835">
        <v>0</v>
      </c>
      <c r="O2835">
        <v>-0.99968610000000002</v>
      </c>
      <c r="P2835">
        <v>0.19929160000000001</v>
      </c>
      <c r="Q2835">
        <v>0.1728372</v>
      </c>
      <c r="R2835">
        <v>-0.96457780000000004</v>
      </c>
      <c r="S2835">
        <v>0.53677369999999902</v>
      </c>
      <c r="T2835">
        <v>-0.25996209999999997</v>
      </c>
      <c r="U2835">
        <v>-3.0455019999999999</v>
      </c>
      <c r="V2835">
        <v>-0.22030040000000001</v>
      </c>
      <c r="W2835">
        <v>0.18496750000000001</v>
      </c>
      <c r="X2835">
        <v>0.95773419999999998</v>
      </c>
      <c r="Y2835">
        <v>-0.19370770000000001</v>
      </c>
      <c r="Z2835">
        <v>8.3576490000000003E-2</v>
      </c>
      <c r="AA2835">
        <v>0.9774929</v>
      </c>
      <c r="AB2835">
        <v>19</v>
      </c>
      <c r="AC2835">
        <v>2.298</v>
      </c>
      <c r="AD2835">
        <v>-1.1124192631686001</v>
      </c>
      <c r="AE2835">
        <v>-12.8448999999999</v>
      </c>
      <c r="AF2835">
        <v>-2.5499678968083299</v>
      </c>
      <c r="AG2835">
        <v>-1.1124192631686001</v>
      </c>
      <c r="AH2835">
        <v>12.7012476550013</v>
      </c>
      <c r="AI2835">
        <v>94.907948669169897</v>
      </c>
      <c r="AJ2835">
        <v>101.35208000839999</v>
      </c>
      <c r="AK2835">
        <v>13.002365357330101</v>
      </c>
      <c r="AL2835">
        <v>79.340762633101704</v>
      </c>
      <c r="AM2835">
        <v>102.953988039047</v>
      </c>
      <c r="AN2835">
        <v>1.0000000200730199</v>
      </c>
    </row>
    <row r="2836" spans="1:40" x14ac:dyDescent="0.25">
      <c r="A2836" t="str">
        <f>"20190312172423825"</f>
        <v>20190312172423825</v>
      </c>
      <c r="B2836" t="str">
        <f>"1552382663812913"</f>
        <v>1552382663812913</v>
      </c>
      <c r="C2836" t="s">
        <v>40</v>
      </c>
      <c r="D2836">
        <v>3.8722270000000001</v>
      </c>
      <c r="E2836">
        <v>0.49076730000000002</v>
      </c>
      <c r="F2836" t="s">
        <v>46</v>
      </c>
      <c r="G2836">
        <v>-489.05500000000001</v>
      </c>
      <c r="H2836" s="1">
        <v>6.3683919999999997E-6</v>
      </c>
      <c r="I2836">
        <v>229.53809999999999</v>
      </c>
      <c r="J2836">
        <v>-491.3929</v>
      </c>
      <c r="K2836">
        <v>1.1124229999999999</v>
      </c>
      <c r="L2836">
        <v>242.38489999999999</v>
      </c>
      <c r="M2836">
        <v>-1.841431E-2</v>
      </c>
      <c r="N2836">
        <v>0</v>
      </c>
      <c r="O2836">
        <v>-0.99973920000000005</v>
      </c>
      <c r="P2836">
        <v>0.20201949999999999</v>
      </c>
      <c r="Q2836">
        <v>0.1727062</v>
      </c>
      <c r="R2836">
        <v>-0.96403380000000005</v>
      </c>
      <c r="S2836">
        <v>0.54644780000000004</v>
      </c>
      <c r="T2836">
        <v>-0.26006200000000002</v>
      </c>
      <c r="U2836">
        <v>-3.0438689999999999</v>
      </c>
      <c r="V2836">
        <v>-0.22044359999999999</v>
      </c>
      <c r="W2836">
        <v>0.18483160000000001</v>
      </c>
      <c r="X2836">
        <v>0.95772740000000001</v>
      </c>
      <c r="Y2836">
        <v>-0.19417570000000001</v>
      </c>
      <c r="Z2836">
        <v>8.3632109999999996E-2</v>
      </c>
      <c r="AA2836">
        <v>0.97739520000000002</v>
      </c>
      <c r="AB2836">
        <v>19</v>
      </c>
      <c r="AC2836">
        <v>2.3378999999999901</v>
      </c>
      <c r="AD2836">
        <v>-1.112416631608</v>
      </c>
      <c r="AE2836">
        <v>-12.8468</v>
      </c>
      <c r="AF2836">
        <v>-2.5555428602876802</v>
      </c>
      <c r="AG2836">
        <v>-1.112416631608</v>
      </c>
      <c r="AH2836">
        <v>12.7093269203672</v>
      </c>
      <c r="AI2836">
        <v>94.904539214772896</v>
      </c>
      <c r="AJ2836">
        <v>101.369208991977</v>
      </c>
      <c r="AK2836">
        <v>13.0113512304378</v>
      </c>
      <c r="AL2836">
        <v>79.348684848240595</v>
      </c>
      <c r="AM2836">
        <v>102.962213041146</v>
      </c>
      <c r="AN2836">
        <v>0.999999936925138</v>
      </c>
    </row>
    <row r="2837" spans="1:40" x14ac:dyDescent="0.25">
      <c r="A2837" t="str">
        <f>"20190312172423837"</f>
        <v>20190312172423837</v>
      </c>
      <c r="B2837" t="str">
        <f>"1552382663832938"</f>
        <v>1552382663832938</v>
      </c>
      <c r="C2837" t="s">
        <v>40</v>
      </c>
      <c r="D2837">
        <v>3.8692769999999999</v>
      </c>
      <c r="E2837">
        <v>0.48855739999999998</v>
      </c>
      <c r="F2837" t="s">
        <v>46</v>
      </c>
      <c r="G2837">
        <v>-488.26819999999998</v>
      </c>
      <c r="H2837" s="1">
        <v>6.0707780000000002E-6</v>
      </c>
      <c r="I2837">
        <v>229.25309999999999</v>
      </c>
      <c r="J2837">
        <v>-491.3929</v>
      </c>
      <c r="K2837">
        <v>1.1124270000000001</v>
      </c>
      <c r="L2837">
        <v>242.27119999999999</v>
      </c>
      <c r="M2837">
        <v>-1.6640160000000001E-2</v>
      </c>
      <c r="N2837">
        <v>0</v>
      </c>
      <c r="O2837">
        <v>-0.99977020000000005</v>
      </c>
      <c r="P2837">
        <v>0.203823</v>
      </c>
      <c r="Q2837">
        <v>0.1728449</v>
      </c>
      <c r="R2837">
        <v>-0.96362910000000002</v>
      </c>
      <c r="S2837">
        <v>0.71563719999999997</v>
      </c>
      <c r="T2837">
        <v>-0.2547778</v>
      </c>
      <c r="U2837">
        <v>-3.0075989999999999</v>
      </c>
      <c r="V2837">
        <v>-0.2205384</v>
      </c>
      <c r="W2837">
        <v>0.18496660000000001</v>
      </c>
      <c r="X2837">
        <v>0.95767959999999996</v>
      </c>
      <c r="Y2837">
        <v>-0.24685850000000001</v>
      </c>
      <c r="Z2837">
        <v>8.1949149999999998E-2</v>
      </c>
      <c r="AA2837">
        <v>0.9655802</v>
      </c>
      <c r="AB2837">
        <v>19</v>
      </c>
      <c r="AC2837">
        <v>3.12470000000001</v>
      </c>
      <c r="AD2837">
        <v>-1.112420929222</v>
      </c>
      <c r="AE2837">
        <v>-13.0181</v>
      </c>
      <c r="AF2837">
        <v>-3.3180020345995702</v>
      </c>
      <c r="AG2837">
        <v>-1.112420929222</v>
      </c>
      <c r="AH2837">
        <v>12.875402021711</v>
      </c>
      <c r="AI2837">
        <v>94.782540491997196</v>
      </c>
      <c r="AJ2837">
        <v>104.45075681652099</v>
      </c>
      <c r="AK2837">
        <v>13.3425108224074</v>
      </c>
      <c r="AL2837">
        <v>79.340815132214601</v>
      </c>
      <c r="AM2837">
        <v>102.968224320796</v>
      </c>
      <c r="AN2837">
        <v>1.00000002262313</v>
      </c>
    </row>
    <row r="2838" spans="1:40" x14ac:dyDescent="0.25">
      <c r="A2838" t="str">
        <f>"20190312172423861"</f>
        <v>20190312172423861</v>
      </c>
      <c r="B2838" t="str">
        <f>"1552382663852461"</f>
        <v>1552382663852461</v>
      </c>
      <c r="C2838" t="s">
        <v>40</v>
      </c>
      <c r="D2838">
        <v>3.902771</v>
      </c>
      <c r="E2838">
        <v>0.4869637</v>
      </c>
      <c r="F2838" t="s">
        <v>46</v>
      </c>
      <c r="G2838">
        <v>-488</v>
      </c>
      <c r="H2838" s="1">
        <v>5.7555319999999901E-6</v>
      </c>
      <c r="I2838">
        <v>228.4658</v>
      </c>
      <c r="J2838">
        <v>-491.39260000000002</v>
      </c>
      <c r="K2838">
        <v>1.112439</v>
      </c>
      <c r="L2838">
        <v>242.0848</v>
      </c>
      <c r="M2838">
        <v>-1.370327E-2</v>
      </c>
      <c r="N2838">
        <v>0</v>
      </c>
      <c r="O2838">
        <v>-0.99981489999999995</v>
      </c>
      <c r="P2838">
        <v>0.20701269999999999</v>
      </c>
      <c r="Q2838">
        <v>0.172240899999999</v>
      </c>
      <c r="R2838">
        <v>-0.96305719999999995</v>
      </c>
      <c r="S2838">
        <v>0.73745729999999998</v>
      </c>
      <c r="T2838">
        <v>-0.24178759999999999</v>
      </c>
      <c r="U2838">
        <v>-3.0006409999999999</v>
      </c>
      <c r="V2838">
        <v>-0.22090170000000001</v>
      </c>
      <c r="W2838">
        <v>0.18435499999999999</v>
      </c>
      <c r="X2838">
        <v>0.95771379999999995</v>
      </c>
      <c r="Y2838">
        <v>-0.25122509999999998</v>
      </c>
      <c r="Z2838">
        <v>7.7867599999999995E-2</v>
      </c>
      <c r="AA2838">
        <v>0.96479150000000002</v>
      </c>
      <c r="AB2838">
        <v>19</v>
      </c>
      <c r="AC2838">
        <v>3.3926000000000101</v>
      </c>
      <c r="AD2838">
        <v>-1.1124332444679901</v>
      </c>
      <c r="AE2838">
        <v>-13.619</v>
      </c>
      <c r="AF2838">
        <v>-3.5565801643644801</v>
      </c>
      <c r="AG2838">
        <v>-1.1124332444679901</v>
      </c>
      <c r="AH2838">
        <v>13.486502391764899</v>
      </c>
      <c r="AI2838">
        <v>94.560152154697207</v>
      </c>
      <c r="AJ2838">
        <v>104.773360279789</v>
      </c>
      <c r="AK2838">
        <v>13.991873246711</v>
      </c>
      <c r="AL2838">
        <v>79.376470443649595</v>
      </c>
      <c r="AM2838">
        <v>102.988415312798</v>
      </c>
      <c r="AN2838">
        <v>1.0000000248991601</v>
      </c>
    </row>
    <row r="2839" spans="1:40" x14ac:dyDescent="0.25">
      <c r="A2839" t="str">
        <f>"20190312172423873"</f>
        <v>20190312172423873</v>
      </c>
      <c r="B2839" t="str">
        <f>"1552382663863194"</f>
        <v>1552382663863194</v>
      </c>
      <c r="C2839" t="s">
        <v>40</v>
      </c>
      <c r="D2839">
        <v>3.906247</v>
      </c>
      <c r="E2839">
        <v>0.48660229999999999</v>
      </c>
      <c r="F2839" t="s">
        <v>46</v>
      </c>
      <c r="G2839">
        <v>-487.8218</v>
      </c>
      <c r="H2839" s="1">
        <v>5.5669500000000001E-6</v>
      </c>
      <c r="I2839">
        <v>228.0102</v>
      </c>
      <c r="J2839">
        <v>-491.392</v>
      </c>
      <c r="K2839">
        <v>1.112449</v>
      </c>
      <c r="L2839">
        <v>241.9752</v>
      </c>
      <c r="M2839">
        <v>-1.194869E-2</v>
      </c>
      <c r="N2839">
        <v>0</v>
      </c>
      <c r="O2839">
        <v>-0.99983730000000004</v>
      </c>
      <c r="P2839">
        <v>0.2089396</v>
      </c>
      <c r="Q2839">
        <v>0.17226710000000001</v>
      </c>
      <c r="R2839">
        <v>-0.96263639999999995</v>
      </c>
      <c r="S2839">
        <v>0.75961299999999998</v>
      </c>
      <c r="T2839">
        <v>-0.23664869999999999</v>
      </c>
      <c r="U2839">
        <v>-2.99411</v>
      </c>
      <c r="V2839">
        <v>-0.2211429</v>
      </c>
      <c r="W2839">
        <v>0.18437419999999999</v>
      </c>
      <c r="X2839">
        <v>0.95765440000000002</v>
      </c>
      <c r="Y2839">
        <v>-0.2567603</v>
      </c>
      <c r="Z2839">
        <v>7.6262339999999998E-2</v>
      </c>
      <c r="AA2839">
        <v>0.96346160000000003</v>
      </c>
      <c r="AB2839">
        <v>19</v>
      </c>
      <c r="AC2839">
        <v>3.5701999999999998</v>
      </c>
      <c r="AD2839">
        <v>-1.1124434330499999</v>
      </c>
      <c r="AE2839">
        <v>-13.965</v>
      </c>
      <c r="AF2839">
        <v>-3.7146978407784199</v>
      </c>
      <c r="AG2839">
        <v>-1.1124434330499999</v>
      </c>
      <c r="AH2839">
        <v>13.8389107690871</v>
      </c>
      <c r="AI2839">
        <v>94.439361722896905</v>
      </c>
      <c r="AJ2839">
        <v>105.02538704370301</v>
      </c>
      <c r="AK2839">
        <v>14.371915728766799</v>
      </c>
      <c r="AL2839">
        <v>79.375350790635395</v>
      </c>
      <c r="AM2839">
        <v>103.002894637119</v>
      </c>
      <c r="AN2839">
        <v>0.99999998884270402</v>
      </c>
    </row>
    <row r="2840" spans="1:40" x14ac:dyDescent="0.25">
      <c r="A2840" t="str">
        <f>"20190312172423885"</f>
        <v>20190312172423885</v>
      </c>
      <c r="B2840" t="str">
        <f>"1552382663882714"</f>
        <v>1552382663882714</v>
      </c>
      <c r="C2840" t="s">
        <v>40</v>
      </c>
      <c r="D2840">
        <v>3.9133819999999999</v>
      </c>
      <c r="E2840">
        <v>0.48618</v>
      </c>
      <c r="F2840" t="s">
        <v>46</v>
      </c>
      <c r="G2840">
        <v>-487.77050000000003</v>
      </c>
      <c r="H2840" s="1">
        <v>5.5117750000000003E-6</v>
      </c>
      <c r="I2840">
        <v>227.87610000000001</v>
      </c>
      <c r="J2840">
        <v>-491.39139999999998</v>
      </c>
      <c r="K2840">
        <v>1.1124579999999999</v>
      </c>
      <c r="L2840">
        <v>241.87440000000001</v>
      </c>
      <c r="M2840">
        <v>-1.032281E-2</v>
      </c>
      <c r="N2840">
        <v>0</v>
      </c>
      <c r="O2840">
        <v>-0.99985550000000001</v>
      </c>
      <c r="P2840">
        <v>0.21066299999999999</v>
      </c>
      <c r="Q2840">
        <v>0.1720699</v>
      </c>
      <c r="R2840">
        <v>-0.96229600000000004</v>
      </c>
      <c r="S2840">
        <v>0.76849369999999995</v>
      </c>
      <c r="T2840">
        <v>-0.2360651</v>
      </c>
      <c r="U2840">
        <v>-2.9918979999999999</v>
      </c>
      <c r="V2840">
        <v>-0.2213059</v>
      </c>
      <c r="W2840">
        <v>0.1841699</v>
      </c>
      <c r="X2840">
        <v>0.95765610000000001</v>
      </c>
      <c r="Y2840">
        <v>-0.25804660000000001</v>
      </c>
      <c r="Z2840">
        <v>7.6091140000000002E-2</v>
      </c>
      <c r="AA2840">
        <v>0.96313139999999997</v>
      </c>
      <c r="AB2840">
        <v>19</v>
      </c>
      <c r="AC2840">
        <v>3.6208999999999398</v>
      </c>
      <c r="AD2840">
        <v>-1.112452488225</v>
      </c>
      <c r="AE2840">
        <v>-13.9983</v>
      </c>
      <c r="AF2840">
        <v>-3.7430649335436801</v>
      </c>
      <c r="AG2840">
        <v>-1.112452488225</v>
      </c>
      <c r="AH2840">
        <v>13.878021775028399</v>
      </c>
      <c r="AI2840">
        <v>94.425512198856794</v>
      </c>
      <c r="AJ2840">
        <v>105.094178339648</v>
      </c>
      <c r="AK2840">
        <v>14.4169197134285</v>
      </c>
      <c r="AL2840">
        <v>79.387260703131005</v>
      </c>
      <c r="AM2840">
        <v>103.012130447589</v>
      </c>
      <c r="AN2840">
        <v>1.0000000296540099</v>
      </c>
    </row>
    <row r="2841" spans="1:40" x14ac:dyDescent="0.25">
      <c r="A2841" t="str">
        <f>"20190312172423904"</f>
        <v>20190312172423904</v>
      </c>
      <c r="B2841" t="str">
        <f>"1552382663892477"</f>
        <v>1552382663892477</v>
      </c>
      <c r="C2841" t="s">
        <v>40</v>
      </c>
      <c r="D2841">
        <v>3.8799060000000001</v>
      </c>
      <c r="E2841">
        <v>0.48613000000000001</v>
      </c>
      <c r="F2841" t="s">
        <v>46</v>
      </c>
      <c r="G2841">
        <v>-487.73559999999998</v>
      </c>
      <c r="H2841" s="1">
        <v>5.4803239999999997E-6</v>
      </c>
      <c r="I2841">
        <v>227.80459999999999</v>
      </c>
      <c r="J2841">
        <v>-491.39</v>
      </c>
      <c r="K2841">
        <v>1.1124799999999999</v>
      </c>
      <c r="L2841">
        <v>241.7176</v>
      </c>
      <c r="M2841">
        <v>-7.7575789999999997E-3</v>
      </c>
      <c r="N2841">
        <v>0</v>
      </c>
      <c r="O2841">
        <v>-0.99987859999999995</v>
      </c>
      <c r="P2841">
        <v>0.2132115</v>
      </c>
      <c r="Q2841">
        <v>0.17171120000000001</v>
      </c>
      <c r="R2841">
        <v>-0.9617985</v>
      </c>
      <c r="S2841">
        <v>0.77682499999999999</v>
      </c>
      <c r="T2841">
        <v>-0.23638960000000001</v>
      </c>
      <c r="U2841">
        <v>-2.9897610000000001</v>
      </c>
      <c r="V2841">
        <v>-0.22139590000000001</v>
      </c>
      <c r="W2841">
        <v>0.18379960000000001</v>
      </c>
      <c r="X2841">
        <v>0.95770639999999996</v>
      </c>
      <c r="Y2841">
        <v>-0.25824770000000002</v>
      </c>
      <c r="Z2841">
        <v>7.622218E-2</v>
      </c>
      <c r="AA2841">
        <v>0.96306709999999995</v>
      </c>
      <c r="AB2841">
        <v>19</v>
      </c>
      <c r="AC2841">
        <v>3.6543999999999999</v>
      </c>
      <c r="AD2841">
        <v>-1.112474519676</v>
      </c>
      <c r="AE2841">
        <v>-13.913</v>
      </c>
      <c r="AF2841">
        <v>-3.7398634182112098</v>
      </c>
      <c r="AG2841">
        <v>-1.112474519676</v>
      </c>
      <c r="AH2841">
        <v>13.801683262354899</v>
      </c>
      <c r="AI2841">
        <v>94.448573399302106</v>
      </c>
      <c r="AJ2841">
        <v>105.16144549944499</v>
      </c>
      <c r="AK2841">
        <v>14.3426161776075</v>
      </c>
      <c r="AL2841">
        <v>79.4088454147969</v>
      </c>
      <c r="AM2841">
        <v>103.016581590654</v>
      </c>
      <c r="AN2841">
        <v>0.99999999304896403</v>
      </c>
    </row>
    <row r="2842" spans="1:40" x14ac:dyDescent="0.25">
      <c r="A2842" t="str">
        <f>"20190312172423915"</f>
        <v>20190312172423915</v>
      </c>
      <c r="B2842" t="str">
        <f>"1552382663912970"</f>
        <v>1552382663912970</v>
      </c>
      <c r="C2842" t="s">
        <v>40</v>
      </c>
      <c r="D2842">
        <v>3.8926639999999999</v>
      </c>
      <c r="E2842">
        <v>0.48615330000000001</v>
      </c>
      <c r="F2842" t="s">
        <v>46</v>
      </c>
      <c r="G2842">
        <v>-487.72590000000002</v>
      </c>
      <c r="H2842" s="1">
        <v>5.4673059999999999E-6</v>
      </c>
      <c r="I2842">
        <v>227.77080000000001</v>
      </c>
      <c r="J2842">
        <v>-491.3888</v>
      </c>
      <c r="K2842">
        <v>1.1124969999999901</v>
      </c>
      <c r="L2842">
        <v>241.6146</v>
      </c>
      <c r="M2842">
        <v>-6.0458219999999898E-3</v>
      </c>
      <c r="N2842">
        <v>0</v>
      </c>
      <c r="O2842">
        <v>-0.99989039999999996</v>
      </c>
      <c r="P2842">
        <v>0.21478249999999999</v>
      </c>
      <c r="Q2842">
        <v>0.1716066</v>
      </c>
      <c r="R2842">
        <v>-0.96146739999999997</v>
      </c>
      <c r="S2842">
        <v>0.7849121</v>
      </c>
      <c r="T2842">
        <v>-0.2383142</v>
      </c>
      <c r="U2842">
        <v>-2.9876710000000002</v>
      </c>
      <c r="V2842">
        <v>-0.221328</v>
      </c>
      <c r="W2842">
        <v>0.18368660000000001</v>
      </c>
      <c r="X2842">
        <v>0.95774380000000003</v>
      </c>
      <c r="Y2842">
        <v>-0.25918600000000003</v>
      </c>
      <c r="Z2842">
        <v>7.6856519999999998E-2</v>
      </c>
      <c r="AA2842">
        <v>0.96276459999999997</v>
      </c>
      <c r="AB2842">
        <v>19</v>
      </c>
      <c r="AC2842">
        <v>3.6628999999999698</v>
      </c>
      <c r="AD2842">
        <v>-1.1124915326939999</v>
      </c>
      <c r="AE2842">
        <v>-13.8437999999999</v>
      </c>
      <c r="AF2842">
        <v>-3.7240621388674202</v>
      </c>
      <c r="AG2842">
        <v>-1.1124915326939999</v>
      </c>
      <c r="AH2842">
        <v>13.7384842923872</v>
      </c>
      <c r="AI2842">
        <v>94.4689145409764</v>
      </c>
      <c r="AJ2842">
        <v>105.16658875168299</v>
      </c>
      <c r="AK2842">
        <v>14.2776828258871</v>
      </c>
      <c r="AL2842">
        <v>79.415432251519306</v>
      </c>
      <c r="AM2842">
        <v>103.01223456237</v>
      </c>
      <c r="AN2842">
        <v>1.0000000185209901</v>
      </c>
    </row>
    <row r="2843" spans="1:40" x14ac:dyDescent="0.25">
      <c r="A2843" t="str">
        <f>"20190312172423930"</f>
        <v>20190312172423930</v>
      </c>
      <c r="B2843" t="str">
        <f>"1552382663923240"</f>
        <v>1552382663923240</v>
      </c>
      <c r="C2843" t="s">
        <v>40</v>
      </c>
      <c r="D2843">
        <v>3.886841</v>
      </c>
      <c r="E2843">
        <v>0.48622159999999898</v>
      </c>
      <c r="F2843" t="s">
        <v>46</v>
      </c>
      <c r="G2843">
        <v>-487.72370000000001</v>
      </c>
      <c r="H2843" s="1">
        <v>5.4618090000000004E-6</v>
      </c>
      <c r="I2843">
        <v>227.755</v>
      </c>
      <c r="J2843">
        <v>-491.38729999999998</v>
      </c>
      <c r="K2843">
        <v>1.1125100000000001</v>
      </c>
      <c r="L2843">
        <v>241.49950000000001</v>
      </c>
      <c r="M2843">
        <v>-4.1118070000000003E-3</v>
      </c>
      <c r="N2843">
        <v>0</v>
      </c>
      <c r="O2843">
        <v>-0.99990000000000001</v>
      </c>
      <c r="P2843">
        <v>0.21635090000000001</v>
      </c>
      <c r="Q2843">
        <v>0.17160120000000001</v>
      </c>
      <c r="R2843">
        <v>-0.96111659999999999</v>
      </c>
      <c r="S2843">
        <v>0.78979489999999997</v>
      </c>
      <c r="T2843">
        <v>-0.23973</v>
      </c>
      <c r="U2843">
        <v>-2.9865879999999998</v>
      </c>
      <c r="V2843">
        <v>-0.2210464</v>
      </c>
      <c r="W2843">
        <v>0.18367310000000001</v>
      </c>
      <c r="X2843">
        <v>0.95781139999999998</v>
      </c>
      <c r="Y2843">
        <v>-0.2588666</v>
      </c>
      <c r="Z2843">
        <v>7.7326080000000005E-2</v>
      </c>
      <c r="AA2843">
        <v>0.96281300000000003</v>
      </c>
      <c r="AB2843">
        <v>19</v>
      </c>
      <c r="AC2843">
        <v>3.66359999999997</v>
      </c>
      <c r="AD2843">
        <v>-1.1125045381909999</v>
      </c>
      <c r="AE2843">
        <v>-13.7445</v>
      </c>
      <c r="AF2843">
        <v>-3.69747160739671</v>
      </c>
      <c r="AG2843">
        <v>-1.1125045381909999</v>
      </c>
      <c r="AH2843">
        <v>13.6458471593337</v>
      </c>
      <c r="AI2843">
        <v>94.499303419652705</v>
      </c>
      <c r="AJ2843">
        <v>105.16080141414599</v>
      </c>
      <c r="AK2843">
        <v>14.1816115914552</v>
      </c>
      <c r="AL2843">
        <v>79.416218915870303</v>
      </c>
      <c r="AM2843">
        <v>102.99535512340999</v>
      </c>
      <c r="AN2843">
        <v>0.99999999829326502</v>
      </c>
    </row>
    <row r="2844" spans="1:40" x14ac:dyDescent="0.25">
      <c r="A2844" t="str">
        <f>"20190312172423943"</f>
        <v>20190312172423943</v>
      </c>
      <c r="B2844" t="str">
        <f>"1552382663932999"</f>
        <v>1552382663932999</v>
      </c>
      <c r="C2844" t="s">
        <v>40</v>
      </c>
      <c r="D2844">
        <v>3.899994</v>
      </c>
      <c r="E2844">
        <v>0.48625950000000001</v>
      </c>
      <c r="F2844" t="s">
        <v>46</v>
      </c>
      <c r="G2844">
        <v>-487.71</v>
      </c>
      <c r="H2844" s="1">
        <v>5.4337649999999996E-6</v>
      </c>
      <c r="I2844">
        <v>227.6763</v>
      </c>
      <c r="J2844">
        <v>-491.38549999999998</v>
      </c>
      <c r="K2844">
        <v>1.112533</v>
      </c>
      <c r="L2844">
        <v>241.38040000000001</v>
      </c>
      <c r="M2844">
        <v>-2.0899500000000001E-3</v>
      </c>
      <c r="N2844">
        <v>0</v>
      </c>
      <c r="O2844">
        <v>-0.99990670000000004</v>
      </c>
      <c r="P2844">
        <v>0.21810689999999999</v>
      </c>
      <c r="Q2844">
        <v>0.1717042</v>
      </c>
      <c r="R2844">
        <v>-0.96070180000000005</v>
      </c>
      <c r="S2844">
        <v>0.79422000000000004</v>
      </c>
      <c r="T2844">
        <v>-0.2402755</v>
      </c>
      <c r="U2844">
        <v>-2.9854889999999998</v>
      </c>
      <c r="V2844">
        <v>-0.22086980000000001</v>
      </c>
      <c r="W2844">
        <v>0.18376629999999999</v>
      </c>
      <c r="X2844">
        <v>0.95783419999999997</v>
      </c>
      <c r="Y2844">
        <v>-0.25833089999999997</v>
      </c>
      <c r="Z2844">
        <v>7.752038E-2</v>
      </c>
      <c r="AA2844">
        <v>0.96294120000000005</v>
      </c>
      <c r="AB2844">
        <v>19</v>
      </c>
      <c r="AC2844">
        <v>3.6755</v>
      </c>
      <c r="AD2844">
        <v>-1.112527566235</v>
      </c>
      <c r="AE2844">
        <v>-13.7041</v>
      </c>
      <c r="AF2844">
        <v>-3.6815006205780199</v>
      </c>
      <c r="AG2844">
        <v>-1.112527566235</v>
      </c>
      <c r="AH2844">
        <v>13.6126932970207</v>
      </c>
      <c r="AI2844">
        <v>94.510890910400093</v>
      </c>
      <c r="AJ2844">
        <v>105.13339856943</v>
      </c>
      <c r="AK2844">
        <v>14.1455499434876</v>
      </c>
      <c r="AL2844">
        <v>79.410785837525097</v>
      </c>
      <c r="AM2844">
        <v>102.98502617579</v>
      </c>
      <c r="AN2844">
        <v>0.99999993812868304</v>
      </c>
    </row>
    <row r="2845" spans="1:40" x14ac:dyDescent="0.25">
      <c r="A2845" t="str">
        <f>"20190312172423961"</f>
        <v>20190312172423961</v>
      </c>
      <c r="B2845" t="str">
        <f>"1552382663952519"</f>
        <v>1552382663952519</v>
      </c>
      <c r="C2845" t="s">
        <v>40</v>
      </c>
      <c r="D2845">
        <v>3.9169499999999999</v>
      </c>
      <c r="E2845">
        <v>0.48632769999999997</v>
      </c>
      <c r="F2845" t="s">
        <v>46</v>
      </c>
      <c r="G2845">
        <v>-487.68779999999998</v>
      </c>
      <c r="H2845" s="1">
        <v>5.3984470000000001E-6</v>
      </c>
      <c r="I2845">
        <v>227.5813</v>
      </c>
      <c r="J2845">
        <v>-491.38290000000001</v>
      </c>
      <c r="K2845">
        <v>1.1125560000000001</v>
      </c>
      <c r="L2845">
        <v>241.23410000000001</v>
      </c>
      <c r="M2845">
        <v>4.3491450000000001E-4</v>
      </c>
      <c r="N2845">
        <v>0</v>
      </c>
      <c r="O2845">
        <v>-0.99990869999999998</v>
      </c>
      <c r="P2845">
        <v>0.22010450000000001</v>
      </c>
      <c r="Q2845">
        <v>0.1721956</v>
      </c>
      <c r="R2845">
        <v>-0.96015779999999995</v>
      </c>
      <c r="S2845">
        <v>0.79965209999999998</v>
      </c>
      <c r="T2845">
        <v>-0.24059430000000001</v>
      </c>
      <c r="U2845">
        <v>-2.9841769999999999</v>
      </c>
      <c r="V2845">
        <v>-0.2204555</v>
      </c>
      <c r="W2845">
        <v>0.18424579999999999</v>
      </c>
      <c r="X2845">
        <v>0.95783759999999996</v>
      </c>
      <c r="Y2845">
        <v>-0.2576309</v>
      </c>
      <c r="Z2845">
        <v>7.7645229999999996E-2</v>
      </c>
      <c r="AA2845">
        <v>0.96311869999999999</v>
      </c>
      <c r="AB2845">
        <v>19</v>
      </c>
      <c r="AC2845">
        <v>3.69510000000002</v>
      </c>
      <c r="AD2845">
        <v>-1.11255060155299</v>
      </c>
      <c r="AE2845">
        <v>-13.652799999999999</v>
      </c>
      <c r="AF2845">
        <v>-3.6664760381077</v>
      </c>
      <c r="AG2845">
        <v>-1.11255060155299</v>
      </c>
      <c r="AH2845">
        <v>13.570442681436299</v>
      </c>
      <c r="AI2845">
        <v>94.525271298654303</v>
      </c>
      <c r="AJ2845">
        <v>105.11924161330199</v>
      </c>
      <c r="AK2845">
        <v>14.100983297245</v>
      </c>
      <c r="AL2845">
        <v>79.382835975791295</v>
      </c>
      <c r="AM2845">
        <v>102.96144810935201</v>
      </c>
      <c r="AN2845">
        <v>1.00000000513582</v>
      </c>
    </row>
    <row r="2846" spans="1:40" x14ac:dyDescent="0.25">
      <c r="A2846" t="str">
        <f>"20190312172423976"</f>
        <v>20190312172423976</v>
      </c>
      <c r="B2846" t="str">
        <f>"1552382663973016"</f>
        <v>1552382663973016</v>
      </c>
      <c r="C2846" t="s">
        <v>40</v>
      </c>
      <c r="D2846">
        <v>3.8669609999999999</v>
      </c>
      <c r="E2846">
        <v>0.48644910000000002</v>
      </c>
      <c r="F2846" t="s">
        <v>46</v>
      </c>
      <c r="G2846">
        <v>-487.6549</v>
      </c>
      <c r="H2846" s="1">
        <v>5.3424829999999901E-6</v>
      </c>
      <c r="I2846">
        <v>227.429</v>
      </c>
      <c r="J2846">
        <v>-491.38040000000001</v>
      </c>
      <c r="K2846">
        <v>1.1125799999999999</v>
      </c>
      <c r="L2846">
        <v>241.11250000000001</v>
      </c>
      <c r="M2846">
        <v>2.5783030000000001E-3</v>
      </c>
      <c r="N2846">
        <v>0</v>
      </c>
      <c r="O2846">
        <v>-0.9999053</v>
      </c>
      <c r="P2846">
        <v>0.22182650000000001</v>
      </c>
      <c r="Q2846">
        <v>0.17254810000000001</v>
      </c>
      <c r="R2846">
        <v>-0.95969819999999995</v>
      </c>
      <c r="S2846">
        <v>0.80554199999999998</v>
      </c>
      <c r="T2846">
        <v>-0.2403951</v>
      </c>
      <c r="U2846">
        <v>-2.9829560000000002</v>
      </c>
      <c r="V2846">
        <v>-0.22013189999999999</v>
      </c>
      <c r="W2846">
        <v>0.18458840000000001</v>
      </c>
      <c r="X2846">
        <v>0.95784599999999998</v>
      </c>
      <c r="Y2846">
        <v>-0.25743319999999997</v>
      </c>
      <c r="Z2846">
        <v>7.7594099999999999E-2</v>
      </c>
      <c r="AA2846">
        <v>0.96317569999999997</v>
      </c>
      <c r="AB2846">
        <v>19</v>
      </c>
      <c r="AC2846">
        <v>3.72550000000001</v>
      </c>
      <c r="AD2846">
        <v>-1.1125746575169999</v>
      </c>
      <c r="AE2846">
        <v>-13.6835</v>
      </c>
      <c r="AF2846">
        <v>-3.6676309341683999</v>
      </c>
      <c r="AG2846">
        <v>-1.1125746575169999</v>
      </c>
      <c r="AH2846">
        <v>13.6092994060887</v>
      </c>
      <c r="AI2846">
        <v>94.513277609514503</v>
      </c>
      <c r="AJ2846">
        <v>105.082575026135</v>
      </c>
      <c r="AK2846">
        <v>14.1386834380852</v>
      </c>
      <c r="AL2846">
        <v>79.362863237529595</v>
      </c>
      <c r="AM2846">
        <v>102.942953836866</v>
      </c>
      <c r="AN2846">
        <v>0.99999994526408298</v>
      </c>
    </row>
    <row r="2847" spans="1:40" x14ac:dyDescent="0.25">
      <c r="A2847" t="str">
        <f>"20190312172423996"</f>
        <v>20190312172423996</v>
      </c>
      <c r="B2847" t="str">
        <f>"1552382663982775"</f>
        <v>1552382663982775</v>
      </c>
      <c r="C2847" t="s">
        <v>40</v>
      </c>
      <c r="D2847">
        <v>4.0016299999999996</v>
      </c>
      <c r="E2847">
        <v>0.48637819999999998</v>
      </c>
      <c r="F2847" t="s">
        <v>46</v>
      </c>
      <c r="G2847">
        <v>-487.62060000000002</v>
      </c>
      <c r="H2847" s="1">
        <v>5.2853979999999998E-6</v>
      </c>
      <c r="I2847">
        <v>227.2741</v>
      </c>
      <c r="J2847">
        <v>-491.37650000000002</v>
      </c>
      <c r="K2847">
        <v>1.112617</v>
      </c>
      <c r="L2847">
        <v>240.94720000000001</v>
      </c>
      <c r="M2847">
        <v>5.5356099999999998E-3</v>
      </c>
      <c r="N2847">
        <v>0</v>
      </c>
      <c r="O2847">
        <v>-0.99989340000000004</v>
      </c>
      <c r="P2847">
        <v>0.22430449999999999</v>
      </c>
      <c r="Q2847">
        <v>0.1731471</v>
      </c>
      <c r="R2847">
        <v>-0.95901429999999999</v>
      </c>
      <c r="S2847">
        <v>0.81015009999999998</v>
      </c>
      <c r="T2847">
        <v>-0.23973449999999999</v>
      </c>
      <c r="U2847">
        <v>-2.9818570000000002</v>
      </c>
      <c r="V2847">
        <v>-0.21978800000000001</v>
      </c>
      <c r="W2847">
        <v>0.1851737</v>
      </c>
      <c r="X2847">
        <v>0.95781210000000006</v>
      </c>
      <c r="Y2847">
        <v>-0.25605559999999999</v>
      </c>
      <c r="Z2847">
        <v>7.7407359999999995E-2</v>
      </c>
      <c r="AA2847">
        <v>0.96355780000000002</v>
      </c>
      <c r="AB2847">
        <v>19</v>
      </c>
      <c r="AC2847">
        <v>3.7558999999999898</v>
      </c>
      <c r="AD2847">
        <v>-1.112611714602</v>
      </c>
      <c r="AE2847">
        <v>-13.6731</v>
      </c>
      <c r="AF2847">
        <v>-3.6576270181694399</v>
      </c>
      <c r="AG2847">
        <v>-1.112611714602</v>
      </c>
      <c r="AH2847">
        <v>13.609889124582301</v>
      </c>
      <c r="AI2847">
        <v>94.514074862731505</v>
      </c>
      <c r="AJ2847">
        <v>105.042680271706</v>
      </c>
      <c r="AK2847">
        <v>14.136662343528499</v>
      </c>
      <c r="AL2847">
        <v>79.328740796552694</v>
      </c>
      <c r="AM2847">
        <v>102.923855175879</v>
      </c>
      <c r="AN2847">
        <v>1.0000000415110399</v>
      </c>
    </row>
    <row r="2848" spans="1:40" x14ac:dyDescent="0.25">
      <c r="A2848" t="str">
        <f>"20190312172424018"</f>
        <v>20190312172424018</v>
      </c>
      <c r="B2848" t="str">
        <f>"1552382664013032"</f>
        <v>1552382664013032</v>
      </c>
      <c r="C2848" t="s">
        <v>40</v>
      </c>
      <c r="D2848">
        <v>3.910498</v>
      </c>
      <c r="E2848">
        <v>0.48641459999999997</v>
      </c>
      <c r="F2848" t="s">
        <v>46</v>
      </c>
      <c r="G2848">
        <v>-487.57249999999999</v>
      </c>
      <c r="H2848" s="1">
        <v>5.2183579999999898E-6</v>
      </c>
      <c r="I2848">
        <v>227.09899999999999</v>
      </c>
      <c r="J2848">
        <v>-491.37139999999999</v>
      </c>
      <c r="K2848">
        <v>1.1126510000000001</v>
      </c>
      <c r="L2848">
        <v>240.7568</v>
      </c>
      <c r="M2848">
        <v>9.0142529999999998E-3</v>
      </c>
      <c r="N2848">
        <v>0</v>
      </c>
      <c r="O2848">
        <v>-0.99986790000000003</v>
      </c>
      <c r="P2848">
        <v>0.2273309</v>
      </c>
      <c r="Q2848">
        <v>0.17359479999999999</v>
      </c>
      <c r="R2848">
        <v>-0.95821990000000001</v>
      </c>
      <c r="S2848">
        <v>0.818573</v>
      </c>
      <c r="T2848">
        <v>-0.23942169999999999</v>
      </c>
      <c r="U2848">
        <v>-2.9799799999999999</v>
      </c>
      <c r="V2848">
        <v>-0.21949759999999999</v>
      </c>
      <c r="W2848">
        <v>0.18560570000000001</v>
      </c>
      <c r="X2848">
        <v>0.95779499999999995</v>
      </c>
      <c r="Y2848">
        <v>-0.25538260000000002</v>
      </c>
      <c r="Z2848">
        <v>7.7329609999999993E-2</v>
      </c>
      <c r="AA2848">
        <v>0.9637426</v>
      </c>
      <c r="AB2848">
        <v>19</v>
      </c>
      <c r="AC2848">
        <v>3.7989000000000002</v>
      </c>
      <c r="AD2848">
        <v>-1.1126457816419999</v>
      </c>
      <c r="AE2848">
        <v>-13.6577999999999</v>
      </c>
      <c r="AF2848">
        <v>-3.6531158861874302</v>
      </c>
      <c r="AG2848">
        <v>-1.1126457816419999</v>
      </c>
      <c r="AH2848">
        <v>13.6076675787903</v>
      </c>
      <c r="AI2848">
        <v>94.515270459150102</v>
      </c>
      <c r="AJ2848">
        <v>105.02730879092</v>
      </c>
      <c r="AK2848">
        <v>14.1333595881581</v>
      </c>
      <c r="AL2848">
        <v>79.303551576729504</v>
      </c>
      <c r="AM2848">
        <v>102.907574204974</v>
      </c>
      <c r="AN2848">
        <v>0.99999996715162398</v>
      </c>
    </row>
    <row r="2849" spans="1:40" x14ac:dyDescent="0.25">
      <c r="A2849" t="str">
        <f>"20190312172424039"</f>
        <v>20190312172424039</v>
      </c>
      <c r="B2849" t="str">
        <f>"1552382664033059"</f>
        <v>1552382664033059</v>
      </c>
      <c r="C2849" t="s">
        <v>40</v>
      </c>
      <c r="D2849">
        <v>4.0102510000000002</v>
      </c>
      <c r="E2849">
        <v>0.48677359999999997</v>
      </c>
      <c r="F2849" t="s">
        <v>46</v>
      </c>
      <c r="G2849">
        <v>-487.53899999999999</v>
      </c>
      <c r="H2849" s="1">
        <v>5.1714519999999999E-6</v>
      </c>
      <c r="I2849">
        <v>226.97630000000001</v>
      </c>
      <c r="J2849">
        <v>-491.36599999999999</v>
      </c>
      <c r="K2849">
        <v>1.1126940000000001</v>
      </c>
      <c r="L2849">
        <v>240.5813</v>
      </c>
      <c r="M2849">
        <v>1.229568E-2</v>
      </c>
      <c r="N2849">
        <v>0</v>
      </c>
      <c r="O2849">
        <v>-0.99983319999999998</v>
      </c>
      <c r="P2849">
        <v>0.23003100000000001</v>
      </c>
      <c r="Q2849">
        <v>0.17371889999999901</v>
      </c>
      <c r="R2849">
        <v>-0.95755330000000005</v>
      </c>
      <c r="S2849">
        <v>0.82815550000000004</v>
      </c>
      <c r="T2849">
        <v>-0.2404375</v>
      </c>
      <c r="U2849">
        <v>-2.9778899999999999</v>
      </c>
      <c r="V2849">
        <v>-0.21906870000000001</v>
      </c>
      <c r="W2849">
        <v>0.1857154</v>
      </c>
      <c r="X2849">
        <v>0.95787199999999995</v>
      </c>
      <c r="Y2849">
        <v>-0.25525700000000001</v>
      </c>
      <c r="Z2849">
        <v>7.7672619999999998E-2</v>
      </c>
      <c r="AA2849">
        <v>0.9637483</v>
      </c>
      <c r="AB2849">
        <v>19</v>
      </c>
      <c r="AC2849">
        <v>3.8269999999999902</v>
      </c>
      <c r="AD2849">
        <v>-1.1126888285480001</v>
      </c>
      <c r="AE2849">
        <v>-13.604999999999899</v>
      </c>
      <c r="AF2849">
        <v>-3.6368699623353198</v>
      </c>
      <c r="AG2849">
        <v>-1.1126888285480001</v>
      </c>
      <c r="AH2849">
        <v>13.5669381740126</v>
      </c>
      <c r="AI2849">
        <v>94.529385882417003</v>
      </c>
      <c r="AJ2849">
        <v>105.006382430805</v>
      </c>
      <c r="AK2849">
        <v>14.089950708558</v>
      </c>
      <c r="AL2849">
        <v>79.297155772264205</v>
      </c>
      <c r="AM2849">
        <v>102.88219397011299</v>
      </c>
      <c r="AN2849">
        <v>1.00000003675042</v>
      </c>
    </row>
    <row r="2850" spans="1:40" x14ac:dyDescent="0.25">
      <c r="A2850" t="str">
        <f>"20190312172424062"</f>
        <v>20190312172424062</v>
      </c>
      <c r="B2850" t="str">
        <f>"1552382664052582"</f>
        <v>1552382664052582</v>
      </c>
      <c r="C2850" t="s">
        <v>40</v>
      </c>
      <c r="D2850">
        <v>3.8755709999999999</v>
      </c>
      <c r="E2850">
        <v>0.48707669999999997</v>
      </c>
      <c r="F2850" t="s">
        <v>46</v>
      </c>
      <c r="G2850">
        <v>-487.48090000000002</v>
      </c>
      <c r="H2850" s="1">
        <v>5.0751449999999997E-6</v>
      </c>
      <c r="I2850">
        <v>226.71539999999999</v>
      </c>
      <c r="J2850">
        <v>-491.35939999999999</v>
      </c>
      <c r="K2850">
        <v>1.112738</v>
      </c>
      <c r="L2850">
        <v>240.39250000000001</v>
      </c>
      <c r="M2850">
        <v>1.589867E-2</v>
      </c>
      <c r="N2850">
        <v>0</v>
      </c>
      <c r="O2850">
        <v>-0.99978219999999995</v>
      </c>
      <c r="P2850">
        <v>0.23347270000000001</v>
      </c>
      <c r="Q2850">
        <v>0.1737206</v>
      </c>
      <c r="R2850">
        <v>-0.95671930000000005</v>
      </c>
      <c r="S2850">
        <v>0.83383180000000001</v>
      </c>
      <c r="T2850">
        <v>-0.23881330000000001</v>
      </c>
      <c r="U2850">
        <v>-2.9759980000000001</v>
      </c>
      <c r="V2850">
        <v>-0.21907889999999999</v>
      </c>
      <c r="W2850">
        <v>0.18569939999999999</v>
      </c>
      <c r="X2850">
        <v>0.95787270000000002</v>
      </c>
      <c r="Y2850">
        <v>-0.25364680000000001</v>
      </c>
      <c r="Z2850">
        <v>7.7189560000000004E-2</v>
      </c>
      <c r="AA2850">
        <v>0.96421219999999996</v>
      </c>
      <c r="AB2850">
        <v>19</v>
      </c>
      <c r="AC2850">
        <v>3.8784999999999701</v>
      </c>
      <c r="AD2850">
        <v>-1.112732924855</v>
      </c>
      <c r="AE2850">
        <v>-13.677099999999999</v>
      </c>
      <c r="AF2850">
        <v>-3.6382528504506699</v>
      </c>
      <c r="AG2850">
        <v>-1.112732924855</v>
      </c>
      <c r="AH2850">
        <v>13.6533939295594</v>
      </c>
      <c r="AI2850">
        <v>94.502785984187597</v>
      </c>
      <c r="AJ2850">
        <v>104.921025771589</v>
      </c>
      <c r="AK2850">
        <v>14.173574854693401</v>
      </c>
      <c r="AL2850">
        <v>79.298088016060902</v>
      </c>
      <c r="AM2850">
        <v>102.882764662136</v>
      </c>
      <c r="AN2850">
        <v>0.99999997049542899</v>
      </c>
    </row>
    <row r="2851" spans="1:40" x14ac:dyDescent="0.25">
      <c r="A2851" t="str">
        <f>"20190312172424076"</f>
        <v>20190312172424076</v>
      </c>
      <c r="B2851" t="str">
        <f>"1552382664073075"</f>
        <v>1552382664073075</v>
      </c>
      <c r="C2851" t="s">
        <v>40</v>
      </c>
      <c r="D2851">
        <v>3.9324270000000001</v>
      </c>
      <c r="E2851">
        <v>0.48720370000000002</v>
      </c>
      <c r="F2851" t="s">
        <v>46</v>
      </c>
      <c r="G2851">
        <v>-487.43360000000001</v>
      </c>
      <c r="H2851" s="1">
        <v>5.0042460000000003E-6</v>
      </c>
      <c r="I2851">
        <v>226.52719999999999</v>
      </c>
      <c r="J2851">
        <v>-491.35489999999999</v>
      </c>
      <c r="K2851">
        <v>1.1127629999999999</v>
      </c>
      <c r="L2851">
        <v>240.27350000000001</v>
      </c>
      <c r="M2851">
        <v>1.8216260000000001E-2</v>
      </c>
      <c r="N2851">
        <v>0</v>
      </c>
      <c r="O2851">
        <v>-0.99974280000000004</v>
      </c>
      <c r="P2851">
        <v>0.23566999999999999</v>
      </c>
      <c r="Q2851">
        <v>0.17391309999999999</v>
      </c>
      <c r="R2851">
        <v>-0.95614569999999999</v>
      </c>
      <c r="S2851">
        <v>0.84194950000000002</v>
      </c>
      <c r="T2851">
        <v>-0.2386404</v>
      </c>
      <c r="U2851">
        <v>-2.9736020000000001</v>
      </c>
      <c r="V2851">
        <v>-0.2190713</v>
      </c>
      <c r="W2851">
        <v>0.18587980000000001</v>
      </c>
      <c r="X2851">
        <v>0.95783949999999995</v>
      </c>
      <c r="Y2851">
        <v>-0.2540461</v>
      </c>
      <c r="Z2851">
        <v>7.7156920000000004E-2</v>
      </c>
      <c r="AA2851">
        <v>0.96410969999999996</v>
      </c>
      <c r="AB2851">
        <v>19</v>
      </c>
      <c r="AC2851">
        <v>3.9212999999999698</v>
      </c>
      <c r="AD2851">
        <v>-1.1127579957539999</v>
      </c>
      <c r="AE2851">
        <v>-13.7463</v>
      </c>
      <c r="AF2851">
        <v>-3.6481135890761398</v>
      </c>
      <c r="AG2851">
        <v>-1.1127579957539999</v>
      </c>
      <c r="AH2851">
        <v>13.732242841106199</v>
      </c>
      <c r="AI2851">
        <v>94.478037111180797</v>
      </c>
      <c r="AJ2851">
        <v>104.87757838386899</v>
      </c>
      <c r="AK2851">
        <v>14.252068501204599</v>
      </c>
      <c r="AL2851">
        <v>79.2875692602816</v>
      </c>
      <c r="AM2851">
        <v>102.88276428155901</v>
      </c>
      <c r="AN2851">
        <v>1.0000000211459801</v>
      </c>
    </row>
    <row r="2852" spans="1:40" x14ac:dyDescent="0.25">
      <c r="A2852" t="str">
        <f>"20190312172424093"</f>
        <v>20190312172424093</v>
      </c>
      <c r="B2852" t="str">
        <f>"1552382664082838"</f>
        <v>1552382664082838</v>
      </c>
      <c r="C2852" t="s">
        <v>40</v>
      </c>
      <c r="D2852">
        <v>3.9267840000000001</v>
      </c>
      <c r="E2852">
        <v>0.47662409999999999</v>
      </c>
      <c r="F2852" t="s">
        <v>46</v>
      </c>
      <c r="G2852">
        <v>-487.38189999999997</v>
      </c>
      <c r="H2852" s="1">
        <v>4.9356790000000001E-6</v>
      </c>
      <c r="I2852">
        <v>226.3502</v>
      </c>
      <c r="J2852">
        <v>-491.34870000000001</v>
      </c>
      <c r="K2852">
        <v>1.1127849999999999</v>
      </c>
      <c r="L2852">
        <v>240.12430000000001</v>
      </c>
      <c r="M2852">
        <v>2.1150220000000001E-2</v>
      </c>
      <c r="N2852">
        <v>0</v>
      </c>
      <c r="O2852">
        <v>-0.99968480000000004</v>
      </c>
      <c r="P2852">
        <v>0.23858070000000001</v>
      </c>
      <c r="Q2852">
        <v>0.17382049999999999</v>
      </c>
      <c r="R2852">
        <v>-0.95544050000000003</v>
      </c>
      <c r="S2852">
        <v>0.84799190000000002</v>
      </c>
      <c r="T2852">
        <v>-0.2375102</v>
      </c>
      <c r="U2852">
        <v>-2.9718170000000002</v>
      </c>
      <c r="V2852">
        <v>-0.2191881</v>
      </c>
      <c r="W2852">
        <v>0.18577489999999999</v>
      </c>
      <c r="X2852">
        <v>0.95783309999999999</v>
      </c>
      <c r="Y2852">
        <v>-0.25318079999999998</v>
      </c>
      <c r="Z2852">
        <v>7.6819189999999996E-2</v>
      </c>
      <c r="AA2852">
        <v>0.9643642</v>
      </c>
      <c r="AB2852">
        <v>19</v>
      </c>
      <c r="AC2852">
        <v>3.9668000000000299</v>
      </c>
      <c r="AD2852">
        <v>-1.112780064321</v>
      </c>
      <c r="AE2852">
        <v>-13.774100000000001</v>
      </c>
      <c r="AF2852">
        <v>-3.6525473366449099</v>
      </c>
      <c r="AG2852">
        <v>-1.112780064321</v>
      </c>
      <c r="AH2852">
        <v>13.7719236919329</v>
      </c>
      <c r="AI2852">
        <v>94.4657641613057</v>
      </c>
      <c r="AJ2852">
        <v>104.853840099629</v>
      </c>
      <c r="AK2852">
        <v>14.2914402246381</v>
      </c>
      <c r="AL2852">
        <v>79.293685813367304</v>
      </c>
      <c r="AM2852">
        <v>102.889486755344</v>
      </c>
      <c r="AN2852">
        <v>0.99999999205361501</v>
      </c>
    </row>
    <row r="2853" spans="1:40" x14ac:dyDescent="0.25">
      <c r="A2853" t="str">
        <f>"20190312172424107"</f>
        <v>20190312172424107</v>
      </c>
      <c r="B2853" t="str">
        <f>"1552382664103331"</f>
        <v>1552382664103331</v>
      </c>
      <c r="C2853" t="s">
        <v>40</v>
      </c>
      <c r="D2853">
        <v>3.924836</v>
      </c>
      <c r="E2853">
        <v>0.47308339999999999</v>
      </c>
      <c r="F2853" t="s">
        <v>46</v>
      </c>
      <c r="G2853">
        <v>-486.5145</v>
      </c>
      <c r="H2853" s="1">
        <v>4.3927479999999999E-6</v>
      </c>
      <c r="I2853">
        <v>224.9434</v>
      </c>
      <c r="J2853">
        <v>-491.34390000000002</v>
      </c>
      <c r="K2853">
        <v>1.1128020000000001</v>
      </c>
      <c r="L2853">
        <v>240.01429999999999</v>
      </c>
      <c r="M2853">
        <v>2.333795E-2</v>
      </c>
      <c r="N2853">
        <v>0</v>
      </c>
      <c r="O2853">
        <v>-0.99963610000000003</v>
      </c>
      <c r="P2853">
        <v>0.24093619999999999</v>
      </c>
      <c r="Q2853">
        <v>0.17387649999999999</v>
      </c>
      <c r="R2853">
        <v>-0.95483879999999999</v>
      </c>
      <c r="S2853">
        <v>0.93780520000000001</v>
      </c>
      <c r="T2853">
        <v>-0.21587100000000001</v>
      </c>
      <c r="U2853">
        <v>-2.9449770000000002</v>
      </c>
      <c r="V2853">
        <v>-0.21946289999999999</v>
      </c>
      <c r="W2853">
        <v>0.18582029999999999</v>
      </c>
      <c r="X2853">
        <v>0.95776130000000004</v>
      </c>
      <c r="Y2853">
        <v>-0.28036559999999999</v>
      </c>
      <c r="Z2853">
        <v>6.9889820000000005E-2</v>
      </c>
      <c r="AA2853">
        <v>0.95734549999999996</v>
      </c>
      <c r="AB2853">
        <v>19</v>
      </c>
      <c r="AC2853">
        <v>4.8294000000000201</v>
      </c>
      <c r="AD2853">
        <v>-1.1127976072520001</v>
      </c>
      <c r="AE2853">
        <v>-15.0708999999999</v>
      </c>
      <c r="AF2853">
        <v>-4.4543049912214396</v>
      </c>
      <c r="AG2853">
        <v>-1.1127976072520001</v>
      </c>
      <c r="AH2853">
        <v>15.1048306378049</v>
      </c>
      <c r="AI2853">
        <v>94.041983491911097</v>
      </c>
      <c r="AJ2853">
        <v>106.430405853783</v>
      </c>
      <c r="AK2853">
        <v>15.7871802443089</v>
      </c>
      <c r="AL2853">
        <v>79.291037796601998</v>
      </c>
      <c r="AM2853">
        <v>102.90604088952399</v>
      </c>
      <c r="AN2853">
        <v>0.99999992807309201</v>
      </c>
    </row>
    <row r="2854" spans="1:40" x14ac:dyDescent="0.25">
      <c r="A2854" t="str">
        <f>"20190312172424127"</f>
        <v>20190312172424127</v>
      </c>
      <c r="B2854" t="str">
        <f>"1552382664122850"</f>
        <v>1552382664122850</v>
      </c>
      <c r="C2854" t="s">
        <v>40</v>
      </c>
      <c r="D2854">
        <v>4.0563529999999997</v>
      </c>
      <c r="E2854">
        <v>0.47060020000000002</v>
      </c>
      <c r="F2854" t="s">
        <v>46</v>
      </c>
      <c r="G2854">
        <v>-486.1191</v>
      </c>
      <c r="H2854" s="1">
        <v>4.116994E-6</v>
      </c>
      <c r="I2854">
        <v>224.24260000000001</v>
      </c>
      <c r="J2854">
        <v>-491.33589999999998</v>
      </c>
      <c r="K2854">
        <v>1.1128290000000001</v>
      </c>
      <c r="L2854">
        <v>239.8443</v>
      </c>
      <c r="M2854">
        <v>2.6769479999999998E-2</v>
      </c>
      <c r="N2854">
        <v>0</v>
      </c>
      <c r="O2854">
        <v>-0.99955020000000006</v>
      </c>
      <c r="P2854">
        <v>0.24429210000000001</v>
      </c>
      <c r="Q2854">
        <v>0.1738555</v>
      </c>
      <c r="R2854">
        <v>-0.9539898</v>
      </c>
      <c r="S2854">
        <v>0.97207639999999995</v>
      </c>
      <c r="T2854">
        <v>-0.20703659999999999</v>
      </c>
      <c r="U2854">
        <v>-2.9343409999999999</v>
      </c>
      <c r="V2854">
        <v>-0.21955340000000001</v>
      </c>
      <c r="W2854">
        <v>0.18578800000000001</v>
      </c>
      <c r="X2854">
        <v>0.95774689999999996</v>
      </c>
      <c r="Y2854">
        <v>-0.28823589999999999</v>
      </c>
      <c r="Z2854">
        <v>6.7067050000000003E-2</v>
      </c>
      <c r="AA2854">
        <v>0.9552079</v>
      </c>
      <c r="AB2854">
        <v>19</v>
      </c>
      <c r="AC2854">
        <v>5.2167999999999699</v>
      </c>
      <c r="AD2854">
        <v>-1.1128248830059999</v>
      </c>
      <c r="AE2854">
        <v>-15.6016999999999</v>
      </c>
      <c r="AF2854">
        <v>-4.7753906296719597</v>
      </c>
      <c r="AG2854">
        <v>-1.1128248830059999</v>
      </c>
      <c r="AH2854">
        <v>15.664093595177601</v>
      </c>
      <c r="AI2854">
        <v>93.8875738901924</v>
      </c>
      <c r="AJ2854">
        <v>106.954484199421</v>
      </c>
      <c r="AK2854">
        <v>16.413609080415</v>
      </c>
      <c r="AL2854">
        <v>79.292922031174996</v>
      </c>
      <c r="AM2854">
        <v>102.911372264913</v>
      </c>
      <c r="AN2854">
        <v>1.00000000042758</v>
      </c>
    </row>
    <row r="2855" spans="1:40" x14ac:dyDescent="0.25">
      <c r="A2855" t="str">
        <f>"20190312172424140"</f>
        <v>20190312172424140</v>
      </c>
      <c r="B2855" t="str">
        <f>"1552382664132611"</f>
        <v>1552382664132611</v>
      </c>
      <c r="C2855" t="s">
        <v>40</v>
      </c>
      <c r="D2855">
        <v>4.0176179999999997</v>
      </c>
      <c r="E2855">
        <v>0.46993109999999999</v>
      </c>
      <c r="F2855" t="s">
        <v>46</v>
      </c>
      <c r="G2855">
        <v>-486.26609999999999</v>
      </c>
      <c r="H2855" s="1">
        <v>4.3578960000000001E-6</v>
      </c>
      <c r="I2855">
        <v>225.03489999999999</v>
      </c>
      <c r="J2855">
        <v>-491.3304</v>
      </c>
      <c r="K2855">
        <v>1.1128439999999999</v>
      </c>
      <c r="L2855">
        <v>239.73490000000001</v>
      </c>
      <c r="M2855">
        <v>2.9002469999999999E-2</v>
      </c>
      <c r="N2855">
        <v>0</v>
      </c>
      <c r="O2855">
        <v>-0.99948780000000004</v>
      </c>
      <c r="P2855">
        <v>0.24637619999999999</v>
      </c>
      <c r="Q2855">
        <v>0.173990899999999</v>
      </c>
      <c r="R2855">
        <v>-0.95342870000000002</v>
      </c>
      <c r="S2855">
        <v>1.0024109999999999</v>
      </c>
      <c r="T2855">
        <v>-0.2200269</v>
      </c>
      <c r="U2855">
        <v>-2.9281009999999998</v>
      </c>
      <c r="V2855">
        <v>-0.21951509999999999</v>
      </c>
      <c r="W2855">
        <v>0.1859159</v>
      </c>
      <c r="X2855">
        <v>0.95773090000000005</v>
      </c>
      <c r="Y2855">
        <v>-0.29548940000000001</v>
      </c>
      <c r="Z2855">
        <v>7.1195159999999993E-2</v>
      </c>
      <c r="AA2855">
        <v>0.95268949999999997</v>
      </c>
      <c r="AB2855">
        <v>19</v>
      </c>
      <c r="AC2855">
        <v>5.0643000000000002</v>
      </c>
      <c r="AD2855">
        <v>-1.1128396421040001</v>
      </c>
      <c r="AE2855">
        <v>-14.7</v>
      </c>
      <c r="AF2855">
        <v>-4.6121659506363999</v>
      </c>
      <c r="AG2855">
        <v>-1.1128396421040001</v>
      </c>
      <c r="AH2855">
        <v>14.7650648308393</v>
      </c>
      <c r="AI2855">
        <v>94.114860954175896</v>
      </c>
      <c r="AJ2855">
        <v>107.347247974504</v>
      </c>
      <c r="AK2855">
        <v>15.5086307030677</v>
      </c>
      <c r="AL2855">
        <v>79.285464381914906</v>
      </c>
      <c r="AM2855">
        <v>102.909403838443</v>
      </c>
      <c r="AN2855">
        <v>1.0000000389078101</v>
      </c>
    </row>
    <row r="2856" spans="1:40" x14ac:dyDescent="0.25">
      <c r="A2856" t="str">
        <f>"20190312172424153"</f>
        <v>20190312172424153</v>
      </c>
      <c r="B2856" t="str">
        <f>"1552382664143347"</f>
        <v>1552382664143347</v>
      </c>
      <c r="C2856" t="s">
        <v>40</v>
      </c>
      <c r="D2856">
        <v>4.0356930000000002</v>
      </c>
      <c r="E2856">
        <v>0.46946939999999998</v>
      </c>
      <c r="F2856" t="s">
        <v>46</v>
      </c>
      <c r="G2856">
        <v>-486.279</v>
      </c>
      <c r="H2856" s="1">
        <v>4.3908980000000001E-6</v>
      </c>
      <c r="I2856">
        <v>225.1712</v>
      </c>
      <c r="J2856">
        <v>-491.32510000000002</v>
      </c>
      <c r="K2856">
        <v>1.1128559999999901</v>
      </c>
      <c r="L2856">
        <v>239.6337</v>
      </c>
      <c r="M2856">
        <v>3.1097650000000001E-2</v>
      </c>
      <c r="N2856">
        <v>0</v>
      </c>
      <c r="O2856">
        <v>-0.99942470000000005</v>
      </c>
      <c r="P2856">
        <v>0.2484343</v>
      </c>
      <c r="Q2856">
        <v>0.17395169999999999</v>
      </c>
      <c r="R2856">
        <v>-0.95290149999999996</v>
      </c>
      <c r="S2856">
        <v>1.0145869999999999</v>
      </c>
      <c r="T2856">
        <v>-0.22351550000000001</v>
      </c>
      <c r="U2856">
        <v>-2.9251399999999999</v>
      </c>
      <c r="V2856">
        <v>-0.2195809</v>
      </c>
      <c r="W2856">
        <v>0.18587039999999999</v>
      </c>
      <c r="X2856">
        <v>0.95772460000000004</v>
      </c>
      <c r="Y2856">
        <v>-0.29730040000000002</v>
      </c>
      <c r="Z2856">
        <v>7.2311550000000002E-2</v>
      </c>
      <c r="AA2856">
        <v>0.95204180000000005</v>
      </c>
      <c r="AB2856">
        <v>19</v>
      </c>
      <c r="AC2856">
        <v>5.0461000000000196</v>
      </c>
      <c r="AD2856">
        <v>-1.11285160910199</v>
      </c>
      <c r="AE2856">
        <v>-14.4625</v>
      </c>
      <c r="AF2856">
        <v>-4.5697474139964198</v>
      </c>
      <c r="AG2856">
        <v>-1.11285160910199</v>
      </c>
      <c r="AH2856">
        <v>14.535715881078101</v>
      </c>
      <c r="AI2856">
        <v>94.177214366902206</v>
      </c>
      <c r="AJ2856">
        <v>107.452137313497</v>
      </c>
      <c r="AK2856">
        <v>15.2776983314579</v>
      </c>
      <c r="AL2856">
        <v>79.288117091351594</v>
      </c>
      <c r="AM2856">
        <v>102.913225855006</v>
      </c>
      <c r="AN2856">
        <v>0.999999993343065</v>
      </c>
    </row>
    <row r="2857" spans="1:40" x14ac:dyDescent="0.25">
      <c r="A2857" t="str">
        <f>"20190312172424172"</f>
        <v>20190312172424172</v>
      </c>
      <c r="B2857" t="str">
        <f>"1552382664162870"</f>
        <v>1552382664162870</v>
      </c>
      <c r="C2857" t="s">
        <v>40</v>
      </c>
      <c r="D2857">
        <v>4.0449999999999999</v>
      </c>
      <c r="E2857">
        <v>0.4691726</v>
      </c>
      <c r="F2857" t="s">
        <v>46</v>
      </c>
      <c r="G2857">
        <v>-486.29790000000003</v>
      </c>
      <c r="H2857" s="1">
        <v>4.420092E-6</v>
      </c>
      <c r="I2857">
        <v>225.2843</v>
      </c>
      <c r="J2857">
        <v>-491.3159</v>
      </c>
      <c r="K2857">
        <v>1.1128819999999999</v>
      </c>
      <c r="L2857">
        <v>239.4682</v>
      </c>
      <c r="M2857">
        <v>3.4564879999999999E-2</v>
      </c>
      <c r="N2857">
        <v>0</v>
      </c>
      <c r="O2857">
        <v>-0.99931080000000005</v>
      </c>
      <c r="P2857">
        <v>0.25145489999999998</v>
      </c>
      <c r="Q2857">
        <v>0.17376929999999999</v>
      </c>
      <c r="R2857">
        <v>-0.95214209999999999</v>
      </c>
      <c r="S2857">
        <v>1.0239560000000001</v>
      </c>
      <c r="T2857">
        <v>-0.22666610000000001</v>
      </c>
      <c r="U2857">
        <v>-2.9226990000000002</v>
      </c>
      <c r="V2857">
        <v>-0.219304</v>
      </c>
      <c r="W2857">
        <v>0.1856788</v>
      </c>
      <c r="X2857">
        <v>0.95782520000000004</v>
      </c>
      <c r="Y2857">
        <v>-0.29693120000000001</v>
      </c>
      <c r="Z2857">
        <v>7.3336879999999993E-2</v>
      </c>
      <c r="AA2857">
        <v>0.9520786</v>
      </c>
      <c r="AB2857">
        <v>19</v>
      </c>
      <c r="AC2857">
        <v>5.0179999999999696</v>
      </c>
      <c r="AD2857">
        <v>-1.112877579908</v>
      </c>
      <c r="AE2857">
        <v>-14.1838999999999</v>
      </c>
      <c r="AF2857">
        <v>-4.5000701309618201</v>
      </c>
      <c r="AG2857">
        <v>-1.112877579908</v>
      </c>
      <c r="AH2857">
        <v>14.270805870482601</v>
      </c>
      <c r="AI2857">
        <v>94.253415585831505</v>
      </c>
      <c r="AJ2857">
        <v>107.501834393054</v>
      </c>
      <c r="AK2857">
        <v>15.004833484062299</v>
      </c>
      <c r="AL2857">
        <v>79.2992893832633</v>
      </c>
      <c r="AM2857">
        <v>102.896177323782</v>
      </c>
      <c r="AN2857">
        <v>0.99999998747023999</v>
      </c>
    </row>
    <row r="2858" spans="1:40" x14ac:dyDescent="0.25">
      <c r="A2858" t="str">
        <f>"20190312172424187"</f>
        <v>20190312172424187</v>
      </c>
      <c r="B2858" t="str">
        <f>"1552382664183363"</f>
        <v>1552382664183363</v>
      </c>
      <c r="C2858" t="s">
        <v>40</v>
      </c>
      <c r="D2858">
        <v>3.9274439999999999</v>
      </c>
      <c r="E2858">
        <v>0.4692212</v>
      </c>
      <c r="F2858" t="s">
        <v>46</v>
      </c>
      <c r="G2858">
        <v>-486.32010000000002</v>
      </c>
      <c r="H2858" s="1">
        <v>4.4517019999999997E-6</v>
      </c>
      <c r="I2858">
        <v>225.4049</v>
      </c>
      <c r="J2858">
        <v>-491.30919999999998</v>
      </c>
      <c r="K2858">
        <v>1.112903</v>
      </c>
      <c r="L2858">
        <v>239.3537</v>
      </c>
      <c r="M2858">
        <v>3.6998740000000002E-2</v>
      </c>
      <c r="N2858">
        <v>0</v>
      </c>
      <c r="O2858">
        <v>-0.99922359999999999</v>
      </c>
      <c r="P2858">
        <v>0.25373830000000003</v>
      </c>
      <c r="Q2858">
        <v>0.17359579999999999</v>
      </c>
      <c r="R2858">
        <v>-0.95156799999999997</v>
      </c>
      <c r="S2858">
        <v>1.0369870000000001</v>
      </c>
      <c r="T2858">
        <v>-0.23100270000000001</v>
      </c>
      <c r="U2858">
        <v>-2.9191440000000002</v>
      </c>
      <c r="V2858">
        <v>-0.2192761</v>
      </c>
      <c r="W2858">
        <v>0.18549750000000001</v>
      </c>
      <c r="X2858">
        <v>0.95786669999999996</v>
      </c>
      <c r="Y2858">
        <v>-0.29871189999999997</v>
      </c>
      <c r="Z2858">
        <v>7.4732399999999893E-2</v>
      </c>
      <c r="AA2858">
        <v>0.95141279999999995</v>
      </c>
      <c r="AB2858">
        <v>19</v>
      </c>
      <c r="AC2858">
        <v>4.9890999999999499</v>
      </c>
      <c r="AD2858">
        <v>-1.1128985482980001</v>
      </c>
      <c r="AE2858">
        <v>-13.9488</v>
      </c>
      <c r="AF2858">
        <v>-4.4444653271136403</v>
      </c>
      <c r="AG2858">
        <v>-1.1128985482980001</v>
      </c>
      <c r="AH2858">
        <v>14.044593075450001</v>
      </c>
      <c r="AI2858">
        <v>94.320363292478007</v>
      </c>
      <c r="AJ2858">
        <v>107.560175073042</v>
      </c>
      <c r="AK2858">
        <v>14.7730298137416</v>
      </c>
      <c r="AL2858">
        <v>79.309860599008999</v>
      </c>
      <c r="AM2858">
        <v>102.894051515379</v>
      </c>
      <c r="AN2858">
        <v>0.99999997275317398</v>
      </c>
    </row>
    <row r="2859" spans="1:40" x14ac:dyDescent="0.25">
      <c r="A2859" t="str">
        <f>"20190312172424206"</f>
        <v>20190312172424206</v>
      </c>
      <c r="B2859" t="str">
        <f>"1552382664202883"</f>
        <v>1552382664202883</v>
      </c>
      <c r="C2859" t="s">
        <v>40</v>
      </c>
      <c r="D2859">
        <v>3.995628</v>
      </c>
      <c r="E2859">
        <v>0.46913290000000002</v>
      </c>
      <c r="F2859" t="s">
        <v>46</v>
      </c>
      <c r="G2859">
        <v>-486.32229999999998</v>
      </c>
      <c r="H2859" s="1">
        <v>4.4528309999999998E-6</v>
      </c>
      <c r="I2859">
        <v>225.40790000000001</v>
      </c>
      <c r="J2859">
        <v>-491.29910000000001</v>
      </c>
      <c r="K2859">
        <v>1.112935</v>
      </c>
      <c r="L2859">
        <v>239.1925</v>
      </c>
      <c r="M2859">
        <v>4.0474049999999998E-2</v>
      </c>
      <c r="N2859">
        <v>0</v>
      </c>
      <c r="O2859">
        <v>-0.999089</v>
      </c>
      <c r="P2859">
        <v>0.25672220000000001</v>
      </c>
      <c r="Q2859">
        <v>0.1736473</v>
      </c>
      <c r="R2859">
        <v>-0.95075779999999999</v>
      </c>
      <c r="S2859">
        <v>1.043091</v>
      </c>
      <c r="T2859">
        <v>-0.23278180000000001</v>
      </c>
      <c r="U2859">
        <v>-2.9170069999999999</v>
      </c>
      <c r="V2859">
        <v>-0.2189634</v>
      </c>
      <c r="W2859">
        <v>0.18553639999999999</v>
      </c>
      <c r="X2859">
        <v>0.95793070000000002</v>
      </c>
      <c r="Y2859">
        <v>-0.29736410000000002</v>
      </c>
      <c r="Z2859">
        <v>7.5331469999999998E-2</v>
      </c>
      <c r="AA2859">
        <v>0.95178770000000001</v>
      </c>
      <c r="AB2859">
        <v>19</v>
      </c>
      <c r="AC2859">
        <v>4.9768000000000203</v>
      </c>
      <c r="AD2859">
        <v>-1.1129305471690001</v>
      </c>
      <c r="AE2859">
        <v>-13.7845999999999</v>
      </c>
      <c r="AF2859">
        <v>-4.3894385557439497</v>
      </c>
      <c r="AG2859">
        <v>-1.1129305471690001</v>
      </c>
      <c r="AH2859">
        <v>13.894624884860001</v>
      </c>
      <c r="AI2859">
        <v>94.367620902160397</v>
      </c>
      <c r="AJ2859">
        <v>107.53180113935601</v>
      </c>
      <c r="AK2859">
        <v>14.613910699345499</v>
      </c>
      <c r="AL2859">
        <v>79.307592456517796</v>
      </c>
      <c r="AM2859">
        <v>102.875445578463</v>
      </c>
      <c r="AN2859">
        <v>0.999999976133504</v>
      </c>
    </row>
    <row r="2860" spans="1:40" x14ac:dyDescent="0.25">
      <c r="A2860" t="str">
        <f>"20190312172424228"</f>
        <v>20190312172424228</v>
      </c>
      <c r="B2860" t="str">
        <f>"1552382664222403"</f>
        <v>1552382664222403</v>
      </c>
      <c r="C2860" t="s">
        <v>40</v>
      </c>
      <c r="D2860">
        <v>3.9242210000000002</v>
      </c>
      <c r="E2860">
        <v>0.46911140000000001</v>
      </c>
      <c r="F2860" t="s">
        <v>46</v>
      </c>
      <c r="G2860">
        <v>-486.28070000000002</v>
      </c>
      <c r="H2860" s="1">
        <v>4.4244609999999997E-6</v>
      </c>
      <c r="I2860">
        <v>225.32130000000001</v>
      </c>
      <c r="J2860">
        <v>-491.28730000000002</v>
      </c>
      <c r="K2860">
        <v>1.112975</v>
      </c>
      <c r="L2860">
        <v>239.0136</v>
      </c>
      <c r="M2860">
        <v>4.4404539999999999E-2</v>
      </c>
      <c r="N2860">
        <v>0</v>
      </c>
      <c r="O2860">
        <v>-0.99892190000000003</v>
      </c>
      <c r="P2860">
        <v>0.2600152</v>
      </c>
      <c r="Q2860">
        <v>0.17359769999999999</v>
      </c>
      <c r="R2860">
        <v>-0.94987180000000004</v>
      </c>
      <c r="S2860">
        <v>1.054047</v>
      </c>
      <c r="T2860">
        <v>-0.23375499999999999</v>
      </c>
      <c r="U2860">
        <v>-2.9134519999999999</v>
      </c>
      <c r="V2860">
        <v>-0.21852929999999901</v>
      </c>
      <c r="W2860">
        <v>0.1854731</v>
      </c>
      <c r="X2860">
        <v>0.95804210000000001</v>
      </c>
      <c r="Y2860">
        <v>-0.29713719999999999</v>
      </c>
      <c r="Z2860">
        <v>7.5667979999999996E-2</v>
      </c>
      <c r="AA2860">
        <v>0.95183180000000001</v>
      </c>
      <c r="AB2860">
        <v>19</v>
      </c>
      <c r="AC2860">
        <v>5.0065999999999899</v>
      </c>
      <c r="AD2860">
        <v>-1.112970575539</v>
      </c>
      <c r="AE2860">
        <v>-13.6922999999999</v>
      </c>
      <c r="AF2860">
        <v>-4.3681473696984101</v>
      </c>
      <c r="AG2860">
        <v>-1.112970575539</v>
      </c>
      <c r="AH2860">
        <v>13.820582283530801</v>
      </c>
      <c r="AI2860">
        <v>94.3908952091478</v>
      </c>
      <c r="AJ2860">
        <v>107.53971502200299</v>
      </c>
      <c r="AK2860">
        <v>14.537121778442399</v>
      </c>
      <c r="AL2860">
        <v>79.3112835510466</v>
      </c>
      <c r="AM2860">
        <v>102.84932332269101</v>
      </c>
      <c r="AN2860">
        <v>0.99999999557725505</v>
      </c>
    </row>
    <row r="2861" spans="1:40" x14ac:dyDescent="0.25">
      <c r="A2861" t="str">
        <f>"20190312172424241"</f>
        <v>20190312172424241</v>
      </c>
      <c r="B2861" t="str">
        <f>"1552382664233139"</f>
        <v>1552382664233139</v>
      </c>
      <c r="C2861" t="s">
        <v>40</v>
      </c>
      <c r="D2861">
        <v>3.9127429999999999</v>
      </c>
      <c r="E2861">
        <v>0.46920250000000002</v>
      </c>
      <c r="F2861" t="s">
        <v>46</v>
      </c>
      <c r="G2861">
        <v>-486.23050000000001</v>
      </c>
      <c r="H2861" s="1">
        <v>4.3848440000000003E-6</v>
      </c>
      <c r="I2861">
        <v>225.19239999999999</v>
      </c>
      <c r="J2861">
        <v>-491.27929999999998</v>
      </c>
      <c r="K2861">
        <v>1.113</v>
      </c>
      <c r="L2861">
        <v>238.8989</v>
      </c>
      <c r="M2861">
        <v>4.6958670000000001E-2</v>
      </c>
      <c r="N2861">
        <v>0</v>
      </c>
      <c r="O2861">
        <v>-0.99880519999999995</v>
      </c>
      <c r="P2861">
        <v>0.26238939999999999</v>
      </c>
      <c r="Q2861">
        <v>0.17377970000000001</v>
      </c>
      <c r="R2861">
        <v>-0.94918550000000002</v>
      </c>
      <c r="S2861">
        <v>1.0646059999999999</v>
      </c>
      <c r="T2861">
        <v>-0.23431299999999999</v>
      </c>
      <c r="U2861">
        <v>-2.9097599999999999</v>
      </c>
      <c r="V2861">
        <v>-0.21848890000000001</v>
      </c>
      <c r="W2861">
        <v>0.18564320000000001</v>
      </c>
      <c r="X2861">
        <v>0.95801840000000005</v>
      </c>
      <c r="Y2861">
        <v>-0.29812729999999998</v>
      </c>
      <c r="Z2861">
        <v>7.5866589999999998E-2</v>
      </c>
      <c r="AA2861">
        <v>0.95150639999999997</v>
      </c>
      <c r="AB2861">
        <v>19</v>
      </c>
      <c r="AC2861">
        <v>5.0487999999999698</v>
      </c>
      <c r="AD2861">
        <v>-1.1129956151559901</v>
      </c>
      <c r="AE2861">
        <v>-13.7065</v>
      </c>
      <c r="AF2861">
        <v>-4.3741351600453502</v>
      </c>
      <c r="AG2861">
        <v>-1.1129956151559901</v>
      </c>
      <c r="AH2861">
        <v>13.8480813720436</v>
      </c>
      <c r="AI2861">
        <v>94.382552951316001</v>
      </c>
      <c r="AJ2861">
        <v>107.52954437184501</v>
      </c>
      <c r="AK2861">
        <v>14.5650669522814</v>
      </c>
      <c r="AL2861">
        <v>79.301365619907799</v>
      </c>
      <c r="AM2861">
        <v>102.847333940299</v>
      </c>
      <c r="AN2861">
        <v>1.0000000259340001</v>
      </c>
    </row>
    <row r="2862" spans="1:40" x14ac:dyDescent="0.25">
      <c r="A2862" t="str">
        <f>"20190312172424254"</f>
        <v>20190312172424254</v>
      </c>
      <c r="B2862" t="str">
        <f>"1552382664242899"</f>
        <v>1552382664242899</v>
      </c>
      <c r="C2862" t="s">
        <v>40</v>
      </c>
      <c r="D2862">
        <v>4.0319440000000002</v>
      </c>
      <c r="E2862">
        <v>0.46914519999999998</v>
      </c>
      <c r="F2862" t="s">
        <v>46</v>
      </c>
      <c r="G2862">
        <v>-486.18239999999997</v>
      </c>
      <c r="H2862" s="1">
        <v>4.3456600000000003E-6</v>
      </c>
      <c r="I2862">
        <v>225.0635</v>
      </c>
      <c r="J2862">
        <v>-491.27179999999998</v>
      </c>
      <c r="K2862">
        <v>1.1130230000000001</v>
      </c>
      <c r="L2862">
        <v>238.79660000000001</v>
      </c>
      <c r="M2862">
        <v>4.9277509999999997E-2</v>
      </c>
      <c r="N2862">
        <v>0</v>
      </c>
      <c r="O2862">
        <v>-0.99869330000000001</v>
      </c>
      <c r="P2862">
        <v>0.26422210000000002</v>
      </c>
      <c r="Q2862">
        <v>0.1736567</v>
      </c>
      <c r="R2862">
        <v>-0.94869919999999996</v>
      </c>
      <c r="S2862">
        <v>1.071075</v>
      </c>
      <c r="T2862">
        <v>-0.2338866</v>
      </c>
      <c r="U2862">
        <v>-2.907394</v>
      </c>
      <c r="V2862">
        <v>-0.21812190000000001</v>
      </c>
      <c r="W2862">
        <v>0.18551390000000001</v>
      </c>
      <c r="X2862">
        <v>0.95812699999999995</v>
      </c>
      <c r="Y2862">
        <v>-0.29803049999999998</v>
      </c>
      <c r="Z2862">
        <v>7.5747179999999997E-2</v>
      </c>
      <c r="AA2862">
        <v>0.95154620000000001</v>
      </c>
      <c r="AB2862">
        <v>19</v>
      </c>
      <c r="AC2862">
        <v>5.0894000000000101</v>
      </c>
      <c r="AD2862">
        <v>-1.11301865433999</v>
      </c>
      <c r="AE2862">
        <v>-13.7331</v>
      </c>
      <c r="AF2862">
        <v>-4.3811183918876004</v>
      </c>
      <c r="AG2862">
        <v>-1.11301865433999</v>
      </c>
      <c r="AH2862">
        <v>13.8870266117816</v>
      </c>
      <c r="AI2862">
        <v>94.370878804564299</v>
      </c>
      <c r="AJ2862">
        <v>107.509590532573</v>
      </c>
      <c r="AK2862">
        <v>14.6041951851163</v>
      </c>
      <c r="AL2862">
        <v>79.308904204616695</v>
      </c>
      <c r="AM2862">
        <v>102.825062640094</v>
      </c>
      <c r="AN2862">
        <v>0.99999995924090901</v>
      </c>
    </row>
    <row r="2863" spans="1:40" x14ac:dyDescent="0.25">
      <c r="A2863" t="str">
        <f>"20190312172424273"</f>
        <v>20190312172424273</v>
      </c>
      <c r="B2863" t="str">
        <f>"1552382664262422"</f>
        <v>1552382664262422</v>
      </c>
      <c r="C2863" t="s">
        <v>40</v>
      </c>
      <c r="D2863">
        <v>3.92672</v>
      </c>
      <c r="E2863">
        <v>0.46937380000000001</v>
      </c>
      <c r="F2863" t="s">
        <v>46</v>
      </c>
      <c r="G2863">
        <v>-486.16739999999999</v>
      </c>
      <c r="H2863" s="1">
        <v>4.3354220000000002E-6</v>
      </c>
      <c r="I2863">
        <v>225.03219999999999</v>
      </c>
      <c r="J2863">
        <v>-491.26010000000002</v>
      </c>
      <c r="K2863">
        <v>1.1130530000000001</v>
      </c>
      <c r="L2863">
        <v>238.6437</v>
      </c>
      <c r="M2863">
        <v>5.2788849999999998E-2</v>
      </c>
      <c r="N2863">
        <v>0</v>
      </c>
      <c r="O2863">
        <v>-0.99851389999999995</v>
      </c>
      <c r="P2863">
        <v>0.26715909999999998</v>
      </c>
      <c r="Q2863">
        <v>0.1740023</v>
      </c>
      <c r="R2863">
        <v>-0.94781320000000002</v>
      </c>
      <c r="S2863">
        <v>1.077332</v>
      </c>
      <c r="T2863">
        <v>-0.23491300000000001</v>
      </c>
      <c r="U2863">
        <v>-2.905106</v>
      </c>
      <c r="V2863">
        <v>-0.21774019999999999</v>
      </c>
      <c r="W2863">
        <v>0.1858466</v>
      </c>
      <c r="X2863">
        <v>0.95814940000000004</v>
      </c>
      <c r="Y2863">
        <v>-0.29671130000000001</v>
      </c>
      <c r="Z2863">
        <v>7.6101360000000007E-2</v>
      </c>
      <c r="AA2863">
        <v>0.95193019999999995</v>
      </c>
      <c r="AB2863">
        <v>19</v>
      </c>
      <c r="AC2863">
        <v>5.09270000000003</v>
      </c>
      <c r="AD2863">
        <v>-1.113048664578</v>
      </c>
      <c r="AE2863">
        <v>-13.611499999999999</v>
      </c>
      <c r="AF2863">
        <v>-4.34153068186124</v>
      </c>
      <c r="AG2863">
        <v>-1.113048664578</v>
      </c>
      <c r="AH2863">
        <v>13.7805483729668</v>
      </c>
      <c r="AI2863">
        <v>94.405184616755903</v>
      </c>
      <c r="AJ2863">
        <v>107.486915909902</v>
      </c>
      <c r="AK2863">
        <v>14.4910758555374</v>
      </c>
      <c r="AL2863">
        <v>79.289505125395394</v>
      </c>
      <c r="AM2863">
        <v>102.803070421016</v>
      </c>
      <c r="AN2863">
        <v>1.0000000130739799</v>
      </c>
    </row>
    <row r="2864" spans="1:40" x14ac:dyDescent="0.25">
      <c r="A2864" t="str">
        <f>"20190312172424286"</f>
        <v>20190312172424286</v>
      </c>
      <c r="B2864" t="str">
        <f>"1552382664282915"</f>
        <v>1552382664282915</v>
      </c>
      <c r="C2864" t="s">
        <v>40</v>
      </c>
      <c r="D2864">
        <v>3.9348930000000002</v>
      </c>
      <c r="E2864">
        <v>0.46961999999999998</v>
      </c>
      <c r="F2864" t="s">
        <v>46</v>
      </c>
      <c r="G2864">
        <v>-486.0908</v>
      </c>
      <c r="H2864" s="1">
        <v>4.2702539999999996E-6</v>
      </c>
      <c r="I2864">
        <v>224.8142</v>
      </c>
      <c r="J2864">
        <v>-491.2516</v>
      </c>
      <c r="K2864">
        <v>1.113078</v>
      </c>
      <c r="L2864">
        <v>238.53710000000001</v>
      </c>
      <c r="M2864">
        <v>5.5278939999999999E-2</v>
      </c>
      <c r="N2864">
        <v>0</v>
      </c>
      <c r="O2864">
        <v>-0.99837900000000002</v>
      </c>
      <c r="P2864">
        <v>0.26941510000000002</v>
      </c>
      <c r="Q2864">
        <v>0.17395039999999901</v>
      </c>
      <c r="R2864">
        <v>-0.94718380000000002</v>
      </c>
      <c r="S2864">
        <v>1.0848390000000001</v>
      </c>
      <c r="T2864">
        <v>-0.23358619999999999</v>
      </c>
      <c r="U2864">
        <v>-2.9022830000000002</v>
      </c>
      <c r="V2864">
        <v>-0.21764230000000001</v>
      </c>
      <c r="W2864">
        <v>0.18578420000000001</v>
      </c>
      <c r="X2864">
        <v>0.95818369999999997</v>
      </c>
      <c r="Y2864">
        <v>-0.2968055</v>
      </c>
      <c r="Z2864">
        <v>7.5693159999999995E-2</v>
      </c>
      <c r="AA2864">
        <v>0.95193329999999998</v>
      </c>
      <c r="AB2864">
        <v>19</v>
      </c>
      <c r="AC2864">
        <v>5.1607999999999903</v>
      </c>
      <c r="AD2864">
        <v>-1.1130737297460001</v>
      </c>
      <c r="AE2864">
        <v>-13.722899999999999</v>
      </c>
      <c r="AF2864">
        <v>-4.3690681058565</v>
      </c>
      <c r="AG2864">
        <v>-1.1130737297460001</v>
      </c>
      <c r="AH2864">
        <v>13.9070657582213</v>
      </c>
      <c r="AI2864">
        <v>94.366465726698493</v>
      </c>
      <c r="AJ2864">
        <v>107.440724023776</v>
      </c>
      <c r="AK2864">
        <v>14.619650038388601</v>
      </c>
      <c r="AL2864">
        <v>79.293143297630195</v>
      </c>
      <c r="AM2864">
        <v>102.797060495069</v>
      </c>
      <c r="AN2864">
        <v>0.999999971332309</v>
      </c>
    </row>
    <row r="2865" spans="1:40" x14ac:dyDescent="0.25">
      <c r="A2865" t="str">
        <f>"20190312172424300"</f>
        <v>20190312172424300</v>
      </c>
      <c r="B2865" t="str">
        <f>"1552382664292675"</f>
        <v>1552382664292675</v>
      </c>
      <c r="C2865" t="s">
        <v>40</v>
      </c>
      <c r="D2865">
        <v>3.9490590000000001</v>
      </c>
      <c r="E2865">
        <v>0.46968409999999999</v>
      </c>
      <c r="F2865" t="s">
        <v>46</v>
      </c>
      <c r="G2865">
        <v>-486.05549999999999</v>
      </c>
      <c r="H2865" s="1">
        <v>4.239943E-6</v>
      </c>
      <c r="I2865">
        <v>224.71260000000001</v>
      </c>
      <c r="J2865">
        <v>-491.24220000000003</v>
      </c>
      <c r="K2865">
        <v>1.1131120000000001</v>
      </c>
      <c r="L2865">
        <v>238.4221</v>
      </c>
      <c r="M2865">
        <v>5.8006340000000003E-2</v>
      </c>
      <c r="N2865">
        <v>0</v>
      </c>
      <c r="O2865">
        <v>-0.99822429999999995</v>
      </c>
      <c r="P2865">
        <v>0.2720399</v>
      </c>
      <c r="Q2865">
        <v>0.173954</v>
      </c>
      <c r="R2865">
        <v>-0.94643279999999996</v>
      </c>
      <c r="S2865">
        <v>1.0900570000000001</v>
      </c>
      <c r="T2865">
        <v>-0.23350190000000001</v>
      </c>
      <c r="U2865">
        <v>-2.900131</v>
      </c>
      <c r="V2865">
        <v>-0.21769479999999999</v>
      </c>
      <c r="W2865">
        <v>0.18577440000000001</v>
      </c>
      <c r="X2865">
        <v>0.95817370000000002</v>
      </c>
      <c r="Y2865">
        <v>-0.29593069999999999</v>
      </c>
      <c r="Z2865">
        <v>7.5687969999999993E-2</v>
      </c>
      <c r="AA2865">
        <v>0.952206</v>
      </c>
      <c r="AB2865">
        <v>19</v>
      </c>
      <c r="AC2865">
        <v>5.1867000000000303</v>
      </c>
      <c r="AD2865">
        <v>-1.1131077600570001</v>
      </c>
      <c r="AE2865">
        <v>-13.709499999999901</v>
      </c>
      <c r="AF2865">
        <v>-4.3575252552766299</v>
      </c>
      <c r="AG2865">
        <v>-1.1131077600570001</v>
      </c>
      <c r="AH2865">
        <v>13.9071015927869</v>
      </c>
      <c r="AI2865">
        <v>94.367619817671795</v>
      </c>
      <c r="AJ2865">
        <v>107.39738816900299</v>
      </c>
      <c r="AK2865">
        <v>14.616241307120299</v>
      </c>
      <c r="AL2865">
        <v>79.293715017026301</v>
      </c>
      <c r="AM2865">
        <v>102.800174930285</v>
      </c>
      <c r="AN2865">
        <v>0.99999999650704496</v>
      </c>
    </row>
    <row r="2866" spans="1:40" x14ac:dyDescent="0.25">
      <c r="A2866" t="str">
        <f>"20190312172424318"</f>
        <v>20190312172424318</v>
      </c>
      <c r="B2866" t="str">
        <f>"1552382664313171"</f>
        <v>1552382664313171</v>
      </c>
      <c r="C2866" t="s">
        <v>40</v>
      </c>
      <c r="D2866">
        <v>3.9271430000000001</v>
      </c>
      <c r="E2866">
        <v>0.4699393</v>
      </c>
      <c r="F2866" t="s">
        <v>46</v>
      </c>
      <c r="G2866">
        <v>-486.02370000000002</v>
      </c>
      <c r="H2866" s="1">
        <v>4.216294E-6</v>
      </c>
      <c r="I2866">
        <v>224.63749999999999</v>
      </c>
      <c r="J2866">
        <v>-491.23</v>
      </c>
      <c r="K2866">
        <v>1.113157</v>
      </c>
      <c r="L2866">
        <v>238.28139999999999</v>
      </c>
      <c r="M2866">
        <v>6.1419330000000001E-2</v>
      </c>
      <c r="N2866">
        <v>0</v>
      </c>
      <c r="O2866">
        <v>-0.99802009999999997</v>
      </c>
      <c r="P2866">
        <v>0.27545550000000002</v>
      </c>
      <c r="Q2866">
        <v>0.17367669999999999</v>
      </c>
      <c r="R2866">
        <v>-0.94549519999999998</v>
      </c>
      <c r="S2866">
        <v>1.096924</v>
      </c>
      <c r="T2866">
        <v>-0.2339736</v>
      </c>
      <c r="U2866">
        <v>-2.897491</v>
      </c>
      <c r="V2866">
        <v>-0.21789320000000001</v>
      </c>
      <c r="W2866">
        <v>0.18547730000000001</v>
      </c>
      <c r="X2866">
        <v>0.95818610000000004</v>
      </c>
      <c r="Y2866">
        <v>-0.29492160000000001</v>
      </c>
      <c r="Z2866">
        <v>7.5862269999999996E-2</v>
      </c>
      <c r="AA2866">
        <v>0.95250520000000005</v>
      </c>
      <c r="AB2866">
        <v>19</v>
      </c>
      <c r="AC2866">
        <v>5.2062999999999899</v>
      </c>
      <c r="AD2866">
        <v>-1.113152783706</v>
      </c>
      <c r="AE2866">
        <v>-13.6439</v>
      </c>
      <c r="AF2866">
        <v>-4.3332156607107297</v>
      </c>
      <c r="AG2866">
        <v>-1.113152783706</v>
      </c>
      <c r="AH2866">
        <v>13.857417626906299</v>
      </c>
      <c r="AI2866">
        <v>94.384180374333994</v>
      </c>
      <c r="AJ2866">
        <v>107.364468101859</v>
      </c>
      <c r="AK2866">
        <v>14.561726902005599</v>
      </c>
      <c r="AL2866">
        <v>79.311038045913506</v>
      </c>
      <c r="AM2866">
        <v>102.81129546904999</v>
      </c>
      <c r="AN2866">
        <v>0.99999993882736804</v>
      </c>
    </row>
    <row r="2867" spans="1:40" x14ac:dyDescent="0.25">
      <c r="A2867" t="str">
        <f>"20190312172424341"</f>
        <v>20190312172424341</v>
      </c>
      <c r="B2867" t="str">
        <f>"1552382664332694"</f>
        <v>1552382664332694</v>
      </c>
      <c r="C2867" t="s">
        <v>40</v>
      </c>
      <c r="D2867">
        <v>4.0162469999999999</v>
      </c>
      <c r="E2867">
        <v>0.47013120000000003</v>
      </c>
      <c r="F2867" t="s">
        <v>46</v>
      </c>
      <c r="G2867">
        <v>-485.9975</v>
      </c>
      <c r="H2867" s="1">
        <v>4.1976250000000003E-6</v>
      </c>
      <c r="I2867">
        <v>224.5899</v>
      </c>
      <c r="J2867">
        <v>-491.21260000000001</v>
      </c>
      <c r="K2867">
        <v>1.113227</v>
      </c>
      <c r="L2867">
        <v>238.0891</v>
      </c>
      <c r="M2867">
        <v>6.6191819999999998E-2</v>
      </c>
      <c r="N2867">
        <v>0</v>
      </c>
      <c r="O2867">
        <v>-0.99771460000000001</v>
      </c>
      <c r="P2867">
        <v>0.28014929999999999</v>
      </c>
      <c r="Q2867">
        <v>0.17394560000000001</v>
      </c>
      <c r="R2867">
        <v>-0.9440653</v>
      </c>
      <c r="S2867">
        <v>1.105988</v>
      </c>
      <c r="T2867">
        <v>-0.23528830000000001</v>
      </c>
      <c r="U2867">
        <v>-2.8939819999999998</v>
      </c>
      <c r="V2867">
        <v>-0.2181062</v>
      </c>
      <c r="W2867">
        <v>0.1857144</v>
      </c>
      <c r="X2867">
        <v>0.95809169999999999</v>
      </c>
      <c r="Y2867">
        <v>-0.29332849999999999</v>
      </c>
      <c r="Z2867">
        <v>7.6314779999999999E-2</v>
      </c>
      <c r="AA2867">
        <v>0.9529609</v>
      </c>
      <c r="AB2867">
        <v>19</v>
      </c>
      <c r="AC2867">
        <v>5.2150999999999996</v>
      </c>
      <c r="AD2867">
        <v>-1.1132228023749999</v>
      </c>
      <c r="AE2867">
        <v>-13.4992</v>
      </c>
      <c r="AF2867">
        <v>-4.2846874052016197</v>
      </c>
      <c r="AG2867">
        <v>-1.1132228023749999</v>
      </c>
      <c r="AH2867">
        <v>13.7335508890383</v>
      </c>
      <c r="AI2867">
        <v>94.424737849812999</v>
      </c>
      <c r="AJ2867">
        <v>107.327235643335</v>
      </c>
      <c r="AK2867">
        <v>14.4294224135904</v>
      </c>
      <c r="AL2867">
        <v>79.297212918052907</v>
      </c>
      <c r="AM2867">
        <v>102.824626911395</v>
      </c>
      <c r="AN2867">
        <v>0.99999992922734204</v>
      </c>
    </row>
    <row r="2868" spans="1:40" x14ac:dyDescent="0.25">
      <c r="A2868" t="str">
        <f>"20190312172424355"</f>
        <v>20190312172424355</v>
      </c>
      <c r="B2868" t="str">
        <f>"1552382664342451"</f>
        <v>1552382664342451</v>
      </c>
      <c r="C2868" t="s">
        <v>40</v>
      </c>
      <c r="D2868">
        <v>3.9218039999999998</v>
      </c>
      <c r="E2868">
        <v>0.47028350000000002</v>
      </c>
      <c r="F2868" t="s">
        <v>46</v>
      </c>
      <c r="G2868">
        <v>-485.93419999999998</v>
      </c>
      <c r="H2868" s="1">
        <v>4.142611E-6</v>
      </c>
      <c r="I2868">
        <v>224.45760000000001</v>
      </c>
      <c r="J2868">
        <v>-491.20209999999997</v>
      </c>
      <c r="K2868">
        <v>1.11327</v>
      </c>
      <c r="L2868">
        <v>237.9804</v>
      </c>
      <c r="M2868">
        <v>6.8969920000000004E-2</v>
      </c>
      <c r="N2868">
        <v>0</v>
      </c>
      <c r="O2868">
        <v>-0.99752660000000004</v>
      </c>
      <c r="P2868">
        <v>0.28274890000000003</v>
      </c>
      <c r="Q2868">
        <v>0.174063299999999</v>
      </c>
      <c r="R2868">
        <v>-0.94326880000000002</v>
      </c>
      <c r="S2868">
        <v>1.118744</v>
      </c>
      <c r="T2868">
        <v>-0.23594709999999999</v>
      </c>
      <c r="U2868">
        <v>-2.8891909999999998</v>
      </c>
      <c r="V2868">
        <v>-0.2180984</v>
      </c>
      <c r="W2868">
        <v>0.1858138</v>
      </c>
      <c r="X2868">
        <v>0.95807430000000005</v>
      </c>
      <c r="Y2868">
        <v>-0.29485159999999899</v>
      </c>
      <c r="Z2868">
        <v>7.6546320000000001E-2</v>
      </c>
      <c r="AA2868">
        <v>0.95247219999999999</v>
      </c>
      <c r="AB2868">
        <v>18</v>
      </c>
      <c r="AC2868">
        <v>5.2678999999999903</v>
      </c>
      <c r="AD2868">
        <v>-1.113265857389</v>
      </c>
      <c r="AE2868">
        <v>-13.522799999999901</v>
      </c>
      <c r="AF2868">
        <v>-4.2973140231663498</v>
      </c>
      <c r="AG2868">
        <v>-1.113265857389</v>
      </c>
      <c r="AH2868">
        <v>13.7729070678103</v>
      </c>
      <c r="AI2868">
        <v>94.412282523837206</v>
      </c>
      <c r="AJ2868">
        <v>107.32855494096999</v>
      </c>
      <c r="AK2868">
        <v>14.470633634415201</v>
      </c>
      <c r="AL2868">
        <v>79.291417841484503</v>
      </c>
      <c r="AM2868">
        <v>102.824408641524</v>
      </c>
      <c r="AN2868">
        <v>1.00000002233674</v>
      </c>
    </row>
    <row r="2869" spans="1:40" x14ac:dyDescent="0.25">
      <c r="A2869" t="str">
        <f>"20190312172424367"</f>
        <v>20190312172424367</v>
      </c>
      <c r="B2869" t="str">
        <f>"1552382664362947"</f>
        <v>1552382664362947</v>
      </c>
      <c r="C2869" t="s">
        <v>40</v>
      </c>
      <c r="D2869">
        <v>3.9369860000000001</v>
      </c>
      <c r="E2869">
        <v>0.47062809999999999</v>
      </c>
      <c r="F2869" t="s">
        <v>46</v>
      </c>
      <c r="G2869">
        <v>-485.88720000000001</v>
      </c>
      <c r="H2869" s="1">
        <v>4.1008190000000001E-6</v>
      </c>
      <c r="I2869">
        <v>224.35640000000001</v>
      </c>
      <c r="J2869">
        <v>-491.19159999999999</v>
      </c>
      <c r="K2869">
        <v>1.1133139999999999</v>
      </c>
      <c r="L2869">
        <v>237.8733</v>
      </c>
      <c r="M2869">
        <v>7.1743779999999993E-2</v>
      </c>
      <c r="N2869">
        <v>0</v>
      </c>
      <c r="O2869">
        <v>-0.99733090000000002</v>
      </c>
      <c r="P2869">
        <v>0.28525899999999998</v>
      </c>
      <c r="Q2869">
        <v>0.17420539999999901</v>
      </c>
      <c r="R2869">
        <v>-0.9424865</v>
      </c>
      <c r="S2869">
        <v>1.1260380000000001</v>
      </c>
      <c r="T2869">
        <v>-0.23585819999999999</v>
      </c>
      <c r="U2869">
        <v>-2.8864139999999998</v>
      </c>
      <c r="V2869">
        <v>-0.21800549999999999</v>
      </c>
      <c r="W2869">
        <v>0.1859384</v>
      </c>
      <c r="X2869">
        <v>0.95807120000000001</v>
      </c>
      <c r="Y2869">
        <v>-0.29459469999999999</v>
      </c>
      <c r="Z2869">
        <v>7.6532550000000005E-2</v>
      </c>
      <c r="AA2869">
        <v>0.95255270000000003</v>
      </c>
      <c r="AB2869">
        <v>18</v>
      </c>
      <c r="AC2869">
        <v>5.3043999999999798</v>
      </c>
      <c r="AD2869">
        <v>-1.113309899181</v>
      </c>
      <c r="AE2869">
        <v>-13.5168999999999</v>
      </c>
      <c r="AF2869">
        <v>-4.2956336356594598</v>
      </c>
      <c r="AG2869">
        <v>-1.113309899181</v>
      </c>
      <c r="AH2869">
        <v>13.781638054673</v>
      </c>
      <c r="AI2869">
        <v>94.410071006719804</v>
      </c>
      <c r="AJ2869">
        <v>107.311866409735</v>
      </c>
      <c r="AK2869">
        <v>14.478448630065101</v>
      </c>
      <c r="AL2869">
        <v>79.284151444792798</v>
      </c>
      <c r="AM2869">
        <v>102.819166652284</v>
      </c>
      <c r="AN2869">
        <v>0.99999995544712394</v>
      </c>
    </row>
    <row r="2870" spans="1:40" x14ac:dyDescent="0.25">
      <c r="A2870" t="str">
        <f>"20190312172424385"</f>
        <v>20190312172424385</v>
      </c>
      <c r="B2870" t="str">
        <f>"1552382664372707"</f>
        <v>1552382664372707</v>
      </c>
      <c r="C2870" t="s">
        <v>40</v>
      </c>
      <c r="D2870">
        <v>4.0621140000000002</v>
      </c>
      <c r="E2870">
        <v>0.47069919999999998</v>
      </c>
      <c r="F2870" t="s">
        <v>46</v>
      </c>
      <c r="G2870">
        <v>-485.85219999999998</v>
      </c>
      <c r="H2870" s="1">
        <v>4.0634529999999999E-6</v>
      </c>
      <c r="I2870">
        <v>224.26079999999999</v>
      </c>
      <c r="J2870">
        <v>-491.1771</v>
      </c>
      <c r="K2870">
        <v>1.1133679999999999</v>
      </c>
      <c r="L2870">
        <v>237.732</v>
      </c>
      <c r="M2870">
        <v>7.5470979999999993E-2</v>
      </c>
      <c r="N2870">
        <v>0</v>
      </c>
      <c r="O2870">
        <v>-0.99705549999999998</v>
      </c>
      <c r="P2870">
        <v>0.28862959999999999</v>
      </c>
      <c r="Q2870">
        <v>0.1744821</v>
      </c>
      <c r="R2870">
        <v>-0.94140809999999997</v>
      </c>
      <c r="S2870">
        <v>1.1313169999999999</v>
      </c>
      <c r="T2870">
        <v>-0.2358896</v>
      </c>
      <c r="U2870">
        <v>-2.8842319999999999</v>
      </c>
      <c r="V2870">
        <v>-0.21788279999999999</v>
      </c>
      <c r="W2870">
        <v>0.18619230000000001</v>
      </c>
      <c r="X2870">
        <v>0.95804979999999995</v>
      </c>
      <c r="Y2870">
        <v>-0.2927787</v>
      </c>
      <c r="Z2870">
        <v>7.656164E-2</v>
      </c>
      <c r="AA2870">
        <v>0.95311020000000002</v>
      </c>
      <c r="AB2870">
        <v>18</v>
      </c>
      <c r="AC2870">
        <v>5.3249000000000102</v>
      </c>
      <c r="AD2870">
        <v>-1.1133639365470001</v>
      </c>
      <c r="AE2870">
        <v>-13.4712</v>
      </c>
      <c r="AF2870">
        <v>-4.2677201281605699</v>
      </c>
      <c r="AG2870">
        <v>-1.1133639365470001</v>
      </c>
      <c r="AH2870">
        <v>13.753435676149</v>
      </c>
      <c r="AI2870">
        <v>94.421027904030097</v>
      </c>
      <c r="AJ2870">
        <v>107.239226925598</v>
      </c>
      <c r="AK2870">
        <v>14.4433378152517</v>
      </c>
      <c r="AL2870">
        <v>79.269345470422905</v>
      </c>
      <c r="AM2870">
        <v>102.81246657101001</v>
      </c>
      <c r="AN2870">
        <v>0.99999995319758395</v>
      </c>
    </row>
    <row r="2871" spans="1:40" x14ac:dyDescent="0.25">
      <c r="A2871" t="str">
        <f>"20190312172424408"</f>
        <v>20190312172424408</v>
      </c>
      <c r="B2871" t="str">
        <f>"1552382664402963"</f>
        <v>1552382664402963</v>
      </c>
      <c r="C2871" t="s">
        <v>40</v>
      </c>
      <c r="D2871">
        <v>3.9360179999999998</v>
      </c>
      <c r="E2871">
        <v>0.46376879999999998</v>
      </c>
      <c r="F2871" t="s">
        <v>46</v>
      </c>
      <c r="G2871">
        <v>-485.78739999999999</v>
      </c>
      <c r="H2871" s="1">
        <v>4.0101680000000001E-6</v>
      </c>
      <c r="I2871">
        <v>224.1352</v>
      </c>
      <c r="J2871">
        <v>-491.15730000000002</v>
      </c>
      <c r="K2871">
        <v>1.113435</v>
      </c>
      <c r="L2871">
        <v>237.54820000000001</v>
      </c>
      <c r="M2871">
        <v>8.0448229999999996E-2</v>
      </c>
      <c r="N2871">
        <v>0</v>
      </c>
      <c r="O2871">
        <v>-0.9966663</v>
      </c>
      <c r="P2871">
        <v>0.29319269999999997</v>
      </c>
      <c r="Q2871">
        <v>0.17426829999999999</v>
      </c>
      <c r="R2871">
        <v>-0.94003669999999995</v>
      </c>
      <c r="S2871">
        <v>1.1417539999999999</v>
      </c>
      <c r="T2871">
        <v>-0.23585639999999999</v>
      </c>
      <c r="U2871">
        <v>-2.8803709999999998</v>
      </c>
      <c r="V2871">
        <v>-0.21777089999999999</v>
      </c>
      <c r="W2871">
        <v>0.18595339999999999</v>
      </c>
      <c r="X2871">
        <v>0.95812169999999997</v>
      </c>
      <c r="Y2871">
        <v>-0.29142810000000002</v>
      </c>
      <c r="Z2871">
        <v>7.6567899999999994E-2</v>
      </c>
      <c r="AA2871">
        <v>0.95352349999999997</v>
      </c>
      <c r="AB2871">
        <v>18</v>
      </c>
      <c r="AC2871">
        <v>5.3699000000000296</v>
      </c>
      <c r="AD2871">
        <v>-1.1134309898320001</v>
      </c>
      <c r="AE2871">
        <v>-13.413</v>
      </c>
      <c r="AF2871">
        <v>-4.2481107682467396</v>
      </c>
      <c r="AG2871">
        <v>-1.1134309898320001</v>
      </c>
      <c r="AH2871">
        <v>13.7200731528369</v>
      </c>
      <c r="AI2871">
        <v>94.432843736403697</v>
      </c>
      <c r="AJ2871">
        <v>107.20395816686199</v>
      </c>
      <c r="AK2871">
        <v>14.4057829008912</v>
      </c>
      <c r="AL2871">
        <v>79.283277365949701</v>
      </c>
      <c r="AM2871">
        <v>102.80517406025101</v>
      </c>
      <c r="AN2871">
        <v>1.00000001193463</v>
      </c>
    </row>
    <row r="2872" spans="1:40" x14ac:dyDescent="0.25">
      <c r="A2872" t="str">
        <f>"20190312172424431"</f>
        <v>20190312172424431</v>
      </c>
      <c r="B2872" t="str">
        <f>"1552382664422483"</f>
        <v>1552382664422483</v>
      </c>
      <c r="C2872" t="s">
        <v>40</v>
      </c>
      <c r="D2872">
        <v>4.080959</v>
      </c>
      <c r="E2872">
        <v>0.46252219999999999</v>
      </c>
      <c r="F2872" t="s">
        <v>46</v>
      </c>
      <c r="G2872">
        <v>-485.81029999999998</v>
      </c>
      <c r="H2872" s="1">
        <v>4.227646E-6</v>
      </c>
      <c r="I2872">
        <v>224.90280000000001</v>
      </c>
      <c r="J2872">
        <v>-491.13639999999998</v>
      </c>
      <c r="K2872">
        <v>1.1134850000000001</v>
      </c>
      <c r="L2872">
        <v>237.3647</v>
      </c>
      <c r="M2872">
        <v>8.5532929999999993E-2</v>
      </c>
      <c r="N2872">
        <v>0</v>
      </c>
      <c r="O2872">
        <v>-0.99624279999999998</v>
      </c>
      <c r="P2872">
        <v>0.29775550000000001</v>
      </c>
      <c r="Q2872">
        <v>0.1740671</v>
      </c>
      <c r="R2872">
        <v>-0.938639</v>
      </c>
      <c r="S2872">
        <v>1.2096559999999901</v>
      </c>
      <c r="T2872">
        <v>-0.25189509999999998</v>
      </c>
      <c r="U2872">
        <v>-2.8607939999999998</v>
      </c>
      <c r="V2872">
        <v>-0.21755450000000001</v>
      </c>
      <c r="W2872">
        <v>0.18573319999999999</v>
      </c>
      <c r="X2872">
        <v>0.9582136</v>
      </c>
      <c r="Y2872">
        <v>-0.30794189999999999</v>
      </c>
      <c r="Z2872">
        <v>8.1631270000000006E-2</v>
      </c>
      <c r="AA2872">
        <v>0.94789670000000004</v>
      </c>
      <c r="AB2872">
        <v>18</v>
      </c>
      <c r="AC2872">
        <v>5.3260999999999896</v>
      </c>
      <c r="AD2872">
        <v>-1.1134807723539999</v>
      </c>
      <c r="AE2872">
        <v>-12.461899999999901</v>
      </c>
      <c r="AF2872">
        <v>-4.2121428854459699</v>
      </c>
      <c r="AG2872">
        <v>-1.1134807723539999</v>
      </c>
      <c r="AH2872">
        <v>12.7855133170254</v>
      </c>
      <c r="AI2872">
        <v>94.728516727260896</v>
      </c>
      <c r="AJ2872">
        <v>108.234287530278</v>
      </c>
      <c r="AK2872">
        <v>13.507454900818701</v>
      </c>
      <c r="AL2872">
        <v>79.296117913310596</v>
      </c>
      <c r="AM2872">
        <v>102.791681835316</v>
      </c>
      <c r="AN2872">
        <v>1.0000000426387201</v>
      </c>
    </row>
    <row r="2873" spans="1:40" x14ac:dyDescent="0.25">
      <c r="A2873" t="str">
        <f>"20190312172424452"</f>
        <v>20190312172424452</v>
      </c>
      <c r="B2873" t="str">
        <f>"1552382664442986"</f>
        <v>1552382664442986</v>
      </c>
      <c r="C2873" t="s">
        <v>40</v>
      </c>
      <c r="D2873">
        <v>3.926183</v>
      </c>
      <c r="E2873">
        <v>0.4620725</v>
      </c>
      <c r="F2873" t="s">
        <v>46</v>
      </c>
      <c r="G2873">
        <v>-485.44990000000001</v>
      </c>
      <c r="H2873" s="1">
        <v>3.9579690000000003E-6</v>
      </c>
      <c r="I2873">
        <v>224.20830000000001</v>
      </c>
      <c r="J2873">
        <v>-491.11529999999999</v>
      </c>
      <c r="K2873">
        <v>1.113523</v>
      </c>
      <c r="L2873">
        <v>237.18809999999999</v>
      </c>
      <c r="M2873">
        <v>9.0539720000000004E-2</v>
      </c>
      <c r="N2873">
        <v>0</v>
      </c>
      <c r="O2873">
        <v>-0.99580009999999997</v>
      </c>
      <c r="P2873">
        <v>0.30260890000000001</v>
      </c>
      <c r="Q2873">
        <v>0.1740775</v>
      </c>
      <c r="R2873">
        <v>-0.93708320000000001</v>
      </c>
      <c r="S2873">
        <v>1.231873</v>
      </c>
      <c r="T2873">
        <v>-0.24121400000000001</v>
      </c>
      <c r="U2873">
        <v>-2.850098</v>
      </c>
      <c r="V2873">
        <v>-0.21771589999999999</v>
      </c>
      <c r="W2873">
        <v>0.18572710000000001</v>
      </c>
      <c r="X2873">
        <v>0.95817810000000003</v>
      </c>
      <c r="Y2873">
        <v>-0.31078630000000002</v>
      </c>
      <c r="Z2873">
        <v>7.8256329999999999E-2</v>
      </c>
      <c r="AA2873">
        <v>0.94725280000000001</v>
      </c>
      <c r="AB2873">
        <v>18</v>
      </c>
      <c r="AC2873">
        <v>5.6653999999999698</v>
      </c>
      <c r="AD2873">
        <v>-1.1135190420309999</v>
      </c>
      <c r="AE2873">
        <v>-12.9797999999999</v>
      </c>
      <c r="AF2873">
        <v>-4.4393869627195803</v>
      </c>
      <c r="AG2873">
        <v>-1.1135190420309999</v>
      </c>
      <c r="AH2873">
        <v>13.356899588886099</v>
      </c>
      <c r="AI2873">
        <v>94.5233282631023</v>
      </c>
      <c r="AJ2873">
        <v>108.385082293601</v>
      </c>
      <c r="AK2873">
        <v>14.119307627830599</v>
      </c>
      <c r="AL2873">
        <v>79.296473361733504</v>
      </c>
      <c r="AM2873">
        <v>102.80131785939</v>
      </c>
      <c r="AN2873">
        <v>1.00000002005341</v>
      </c>
    </row>
    <row r="2874" spans="1:40" x14ac:dyDescent="0.25">
      <c r="A2874" t="str">
        <f>"20190312172424466"</f>
        <v>20190312172424466</v>
      </c>
      <c r="B2874" t="str">
        <f>"1552382664462499"</f>
        <v>1552382664462499</v>
      </c>
      <c r="C2874" t="s">
        <v>40</v>
      </c>
      <c r="D2874">
        <v>4.1571999999999996</v>
      </c>
      <c r="E2874">
        <v>0.46252500000000002</v>
      </c>
      <c r="F2874" t="s">
        <v>46</v>
      </c>
      <c r="G2874">
        <v>-485.35039999999998</v>
      </c>
      <c r="H2874" s="1">
        <v>3.8960940000000001E-6</v>
      </c>
      <c r="I2874">
        <v>224.0797</v>
      </c>
      <c r="J2874">
        <v>-491.10180000000003</v>
      </c>
      <c r="K2874">
        <v>1.1135409999999999</v>
      </c>
      <c r="L2874">
        <v>237.07919999999999</v>
      </c>
      <c r="M2874">
        <v>9.3674960000000002E-2</v>
      </c>
      <c r="N2874">
        <v>0</v>
      </c>
      <c r="O2874">
        <v>-0.99550989999999995</v>
      </c>
      <c r="P2874">
        <v>0.30542249999999999</v>
      </c>
      <c r="Q2874">
        <v>0.1741422</v>
      </c>
      <c r="R2874">
        <v>-0.93615809999999999</v>
      </c>
      <c r="S2874">
        <v>1.250122</v>
      </c>
      <c r="T2874">
        <v>-0.24146989999999999</v>
      </c>
      <c r="U2874">
        <v>-2.84259</v>
      </c>
      <c r="V2874">
        <v>-0.2175889</v>
      </c>
      <c r="W2874">
        <v>0.18578420000000001</v>
      </c>
      <c r="X2874">
        <v>0.95819589999999999</v>
      </c>
      <c r="Y2874">
        <v>-0.31380839999999999</v>
      </c>
      <c r="Z2874">
        <v>7.8356780000000001E-2</v>
      </c>
      <c r="AA2874">
        <v>0.94624759999999997</v>
      </c>
      <c r="AB2874">
        <v>18</v>
      </c>
      <c r="AC2874">
        <v>5.7514000000000403</v>
      </c>
      <c r="AD2874">
        <v>-1.11353710390599</v>
      </c>
      <c r="AE2874">
        <v>-12.9994999999999</v>
      </c>
      <c r="AF2874">
        <v>-4.48076911955188</v>
      </c>
      <c r="AG2874">
        <v>-1.11353710390599</v>
      </c>
      <c r="AH2874">
        <v>13.398918692724401</v>
      </c>
      <c r="AI2874">
        <v>94.506518369587496</v>
      </c>
      <c r="AJ2874">
        <v>108.49059171370401</v>
      </c>
      <c r="AK2874">
        <v>14.172095078665899</v>
      </c>
      <c r="AL2874">
        <v>79.293144047751795</v>
      </c>
      <c r="AM2874">
        <v>102.79386646311799</v>
      </c>
      <c r="AN2874">
        <v>1.0000000405748199</v>
      </c>
    </row>
    <row r="2875" spans="1:40" x14ac:dyDescent="0.25">
      <c r="A2875" t="str">
        <f>"20190312172424481"</f>
        <v>20190312172424481</v>
      </c>
      <c r="B2875" t="str">
        <f>"1552382664473236"</f>
        <v>1552382664473236</v>
      </c>
      <c r="C2875" t="s">
        <v>40</v>
      </c>
      <c r="D2875">
        <v>3.9542820000000001</v>
      </c>
      <c r="E2875">
        <v>0.46267209999999998</v>
      </c>
      <c r="F2875" t="s">
        <v>46</v>
      </c>
      <c r="G2875">
        <v>-485.16919999999999</v>
      </c>
      <c r="H2875" s="1">
        <v>3.725701E-6</v>
      </c>
      <c r="I2875">
        <v>223.65940000000001</v>
      </c>
      <c r="J2875">
        <v>-491.0865</v>
      </c>
      <c r="K2875">
        <v>1.113564</v>
      </c>
      <c r="L2875">
        <v>236.95930000000001</v>
      </c>
      <c r="M2875">
        <v>9.7167550000000005E-2</v>
      </c>
      <c r="N2875">
        <v>0</v>
      </c>
      <c r="O2875">
        <v>-0.99517520000000004</v>
      </c>
      <c r="P2875">
        <v>0.30892059999999999</v>
      </c>
      <c r="Q2875">
        <v>0.17409559999999999</v>
      </c>
      <c r="R2875">
        <v>-0.93501849999999997</v>
      </c>
      <c r="S2875">
        <v>1.2550349999999999</v>
      </c>
      <c r="T2875">
        <v>-0.2355669</v>
      </c>
      <c r="U2875">
        <v>-2.8389280000000001</v>
      </c>
      <c r="V2875">
        <v>-0.21781919999999999</v>
      </c>
      <c r="W2875">
        <v>0.18572710000000001</v>
      </c>
      <c r="X2875">
        <v>0.95815459999999997</v>
      </c>
      <c r="Y2875">
        <v>-0.31235639999999998</v>
      </c>
      <c r="Z2875">
        <v>7.6497289999999996E-2</v>
      </c>
      <c r="AA2875">
        <v>0.94688000000000005</v>
      </c>
      <c r="AB2875">
        <v>18</v>
      </c>
      <c r="AC2875">
        <v>5.9173000000000098</v>
      </c>
      <c r="AD2875">
        <v>-1.1135602742990001</v>
      </c>
      <c r="AE2875">
        <v>-13.299899999999999</v>
      </c>
      <c r="AF2875">
        <v>-4.5701126620472801</v>
      </c>
      <c r="AG2875">
        <v>-1.1135602742990001</v>
      </c>
      <c r="AH2875">
        <v>13.731621066823999</v>
      </c>
      <c r="AI2875">
        <v>94.399954474742898</v>
      </c>
      <c r="AJ2875">
        <v>108.408303324104</v>
      </c>
      <c r="AK2875">
        <v>14.514935871410101</v>
      </c>
      <c r="AL2875">
        <v>79.296473128662001</v>
      </c>
      <c r="AM2875">
        <v>102.80749521276501</v>
      </c>
      <c r="AN2875">
        <v>0.99999999853210397</v>
      </c>
    </row>
    <row r="2876" spans="1:40" x14ac:dyDescent="0.25">
      <c r="A2876" t="str">
        <f>"20190312172424497"</f>
        <v>20190312172424497</v>
      </c>
      <c r="B2876" t="str">
        <f>"1552382664492755"</f>
        <v>1552382664492755</v>
      </c>
      <c r="C2876" t="s">
        <v>40</v>
      </c>
      <c r="D2876">
        <v>3.9828450000000002</v>
      </c>
      <c r="E2876">
        <v>0.46308630000000001</v>
      </c>
      <c r="F2876" t="s">
        <v>46</v>
      </c>
      <c r="G2876">
        <v>-485.02730000000003</v>
      </c>
      <c r="H2876" s="1">
        <v>3.6057620000000001E-6</v>
      </c>
      <c r="I2876">
        <v>223.37379999999999</v>
      </c>
      <c r="J2876">
        <v>-491.06979999999999</v>
      </c>
      <c r="K2876">
        <v>1.1135949999999999</v>
      </c>
      <c r="L2876">
        <v>236.83320000000001</v>
      </c>
      <c r="M2876">
        <v>0.1009068</v>
      </c>
      <c r="N2876">
        <v>0</v>
      </c>
      <c r="O2876">
        <v>-0.99480279999999999</v>
      </c>
      <c r="P2876">
        <v>0.3128283</v>
      </c>
      <c r="Q2876">
        <v>0.17379449999999999</v>
      </c>
      <c r="R2876">
        <v>-0.93377429999999995</v>
      </c>
      <c r="S2876">
        <v>1.264038</v>
      </c>
      <c r="T2876">
        <v>-0.2323056</v>
      </c>
      <c r="U2876">
        <v>-2.834152</v>
      </c>
      <c r="V2876">
        <v>-0.21823219999999999</v>
      </c>
      <c r="W2876">
        <v>0.18541270000000001</v>
      </c>
      <c r="X2876">
        <v>0.95812149999999996</v>
      </c>
      <c r="Y2876">
        <v>-0.3119209</v>
      </c>
      <c r="Z2876">
        <v>7.5476630000000003E-2</v>
      </c>
      <c r="AA2876">
        <v>0.94710539999999999</v>
      </c>
      <c r="AB2876">
        <v>18</v>
      </c>
      <c r="AC2876">
        <v>6.0424999999999596</v>
      </c>
      <c r="AD2876">
        <v>-1.113591394238</v>
      </c>
      <c r="AE2876">
        <v>-13.4594</v>
      </c>
      <c r="AF2876">
        <v>-4.6270209821022803</v>
      </c>
      <c r="AG2876">
        <v>-1.113591394238</v>
      </c>
      <c r="AH2876">
        <v>13.9211635614357</v>
      </c>
      <c r="AI2876">
        <v>94.340972915673404</v>
      </c>
      <c r="AJ2876">
        <v>108.385421552194</v>
      </c>
      <c r="AK2876">
        <v>14.712178760006299</v>
      </c>
      <c r="AL2876">
        <v>79.314805192887405</v>
      </c>
      <c r="AM2876">
        <v>102.831404617884</v>
      </c>
      <c r="AN2876">
        <v>0.99999998560018899</v>
      </c>
    </row>
    <row r="2877" spans="1:40" x14ac:dyDescent="0.25">
      <c r="A2877" t="str">
        <f>"20190312172424520"</f>
        <v>20190312172424520</v>
      </c>
      <c r="B2877" t="str">
        <f>"1552382664513251"</f>
        <v>1552382664513251</v>
      </c>
      <c r="C2877" t="s">
        <v>40</v>
      </c>
      <c r="D2877">
        <v>4.1254289999999996</v>
      </c>
      <c r="E2877">
        <v>0.4632426</v>
      </c>
      <c r="F2877" t="s">
        <v>46</v>
      </c>
      <c r="G2877">
        <v>-484.89150000000001</v>
      </c>
      <c r="H2877" s="1">
        <v>3.4883370000000001E-6</v>
      </c>
      <c r="I2877">
        <v>223.09190000000001</v>
      </c>
      <c r="J2877">
        <v>-491.04509999999999</v>
      </c>
      <c r="K2877">
        <v>1.1136379999999999</v>
      </c>
      <c r="L2877">
        <v>236.6534</v>
      </c>
      <c r="M2877">
        <v>0.10631640000000001</v>
      </c>
      <c r="N2877">
        <v>0</v>
      </c>
      <c r="O2877">
        <v>-0.99423910000000004</v>
      </c>
      <c r="P2877">
        <v>0.31844359999999999</v>
      </c>
      <c r="Q2877">
        <v>0.1737329</v>
      </c>
      <c r="R2877">
        <v>-0.93188570000000004</v>
      </c>
      <c r="S2877">
        <v>1.2720640000000001</v>
      </c>
      <c r="T2877">
        <v>-0.22928270000000001</v>
      </c>
      <c r="U2877">
        <v>-2.829269</v>
      </c>
      <c r="V2877">
        <v>-0.21880769999999999</v>
      </c>
      <c r="W2877">
        <v>0.1853293</v>
      </c>
      <c r="X2877">
        <v>0.95800640000000004</v>
      </c>
      <c r="Y2877">
        <v>-0.30962770000000001</v>
      </c>
      <c r="Z2877">
        <v>7.4540620000000002E-2</v>
      </c>
      <c r="AA2877">
        <v>0.94793159999999999</v>
      </c>
      <c r="AB2877">
        <v>18</v>
      </c>
      <c r="AC2877">
        <v>6.1535999999999804</v>
      </c>
      <c r="AD2877">
        <v>-1.113634511663</v>
      </c>
      <c r="AE2877">
        <v>-13.561499999999899</v>
      </c>
      <c r="AF2877">
        <v>-4.6507667947313198</v>
      </c>
      <c r="AG2877">
        <v>-1.113634511663</v>
      </c>
      <c r="AH2877">
        <v>14.0602891409248</v>
      </c>
      <c r="AI2877">
        <v>94.300394057318599</v>
      </c>
      <c r="AJ2877">
        <v>108.302831096673</v>
      </c>
      <c r="AK2877">
        <v>14.8513145657531</v>
      </c>
      <c r="AL2877">
        <v>79.319668210675403</v>
      </c>
      <c r="AM2877">
        <v>102.865612087729</v>
      </c>
      <c r="AN2877">
        <v>1.0000000107293701</v>
      </c>
    </row>
    <row r="2878" spans="1:40" x14ac:dyDescent="0.25">
      <c r="A2878" t="str">
        <f>"20190312172424533"</f>
        <v>20190312172424533</v>
      </c>
      <c r="B2878" t="str">
        <f>"1552382664523011"</f>
        <v>1552382664523011</v>
      </c>
      <c r="C2878" t="s">
        <v>40</v>
      </c>
      <c r="D2878">
        <v>3.9668920000000001</v>
      </c>
      <c r="E2878">
        <v>0.46342749999999999</v>
      </c>
      <c r="F2878" t="s">
        <v>46</v>
      </c>
      <c r="G2878">
        <v>-484.80059999999997</v>
      </c>
      <c r="H2878" s="1">
        <v>3.4310470000000001E-6</v>
      </c>
      <c r="I2878">
        <v>222.97200000000001</v>
      </c>
      <c r="J2878">
        <v>-491.02870000000001</v>
      </c>
      <c r="K2878">
        <v>1.113661</v>
      </c>
      <c r="L2878">
        <v>236.53890000000001</v>
      </c>
      <c r="M2878">
        <v>0.109821</v>
      </c>
      <c r="N2878">
        <v>0</v>
      </c>
      <c r="O2878">
        <v>-0.99385800000000002</v>
      </c>
      <c r="P2878">
        <v>0.32191979999999998</v>
      </c>
      <c r="Q2878">
        <v>0.173782299999999</v>
      </c>
      <c r="R2878">
        <v>-0.93068150000000005</v>
      </c>
      <c r="S2878">
        <v>1.288025</v>
      </c>
      <c r="T2878">
        <v>-0.22970450000000001</v>
      </c>
      <c r="U2878">
        <v>-2.8219910000000001</v>
      </c>
      <c r="V2878">
        <v>-0.2190213</v>
      </c>
      <c r="W2878">
        <v>0.1853649</v>
      </c>
      <c r="X2878">
        <v>0.95795070000000004</v>
      </c>
      <c r="Y2878">
        <v>-0.3116314</v>
      </c>
      <c r="Z2878">
        <v>7.4699909999999994E-2</v>
      </c>
      <c r="AA2878">
        <v>0.9472623</v>
      </c>
      <c r="AB2878">
        <v>18</v>
      </c>
      <c r="AC2878">
        <v>6.2281000000000404</v>
      </c>
      <c r="AD2878">
        <v>-1.1136575689529999</v>
      </c>
      <c r="AE2878">
        <v>-13.5669</v>
      </c>
      <c r="AF2878">
        <v>-4.6743385307452998</v>
      </c>
      <c r="AG2878">
        <v>-1.1136575689529999</v>
      </c>
      <c r="AH2878">
        <v>14.090445432131</v>
      </c>
      <c r="AI2878">
        <v>94.290082015391206</v>
      </c>
      <c r="AJ2878">
        <v>108.35265279465899</v>
      </c>
      <c r="AK2878">
        <v>14.8872538218692</v>
      </c>
      <c r="AL2878">
        <v>79.317592505770406</v>
      </c>
      <c r="AM2878">
        <v>102.878476777648</v>
      </c>
      <c r="AN2878">
        <v>1.0000000098180899</v>
      </c>
    </row>
    <row r="2879" spans="1:40" x14ac:dyDescent="0.25">
      <c r="A2879" t="str">
        <f>"20190312172424553"</f>
        <v>20190312172424553</v>
      </c>
      <c r="B2879" t="str">
        <f>"1552382664542535"</f>
        <v>1552382664542535</v>
      </c>
      <c r="C2879" t="s">
        <v>40</v>
      </c>
      <c r="D2879">
        <v>4.0020730000000002</v>
      </c>
      <c r="E2879">
        <v>0.46400780000000003</v>
      </c>
      <c r="F2879" t="s">
        <v>46</v>
      </c>
      <c r="G2879">
        <v>-484.73090000000002</v>
      </c>
      <c r="H2879" s="1">
        <v>3.378771E-6</v>
      </c>
      <c r="I2879">
        <v>222.85319999999999</v>
      </c>
      <c r="J2879">
        <v>-491.00599999999997</v>
      </c>
      <c r="K2879">
        <v>1.1136980000000001</v>
      </c>
      <c r="L2879">
        <v>236.3844</v>
      </c>
      <c r="M2879">
        <v>0.1146085</v>
      </c>
      <c r="N2879">
        <v>0</v>
      </c>
      <c r="O2879">
        <v>-0.99331729999999996</v>
      </c>
      <c r="P2879">
        <v>0.32668750000000002</v>
      </c>
      <c r="Q2879">
        <v>0.17404500000000001</v>
      </c>
      <c r="R2879">
        <v>-0.92896959999999995</v>
      </c>
      <c r="S2879">
        <v>1.296692</v>
      </c>
      <c r="T2879">
        <v>-0.22929440000000001</v>
      </c>
      <c r="U2879">
        <v>-2.81778</v>
      </c>
      <c r="V2879">
        <v>-0.21934310000000001</v>
      </c>
      <c r="W2879">
        <v>0.185609</v>
      </c>
      <c r="X2879">
        <v>0.95782979999999995</v>
      </c>
      <c r="Y2879">
        <v>-0.30999949999999998</v>
      </c>
      <c r="Z2879">
        <v>7.4581750000000002E-2</v>
      </c>
      <c r="AA2879">
        <v>0.94780690000000001</v>
      </c>
      <c r="AB2879">
        <v>18</v>
      </c>
      <c r="AC2879">
        <v>6.2750999999999504</v>
      </c>
      <c r="AD2879">
        <v>-1.11369462122899</v>
      </c>
      <c r="AE2879">
        <v>-13.5312</v>
      </c>
      <c r="AF2879">
        <v>-4.6568466745651103</v>
      </c>
      <c r="AG2879">
        <v>-1.11369462122899</v>
      </c>
      <c r="AH2879">
        <v>14.082755162086199</v>
      </c>
      <c r="AI2879">
        <v>94.293912623205998</v>
      </c>
      <c r="AJ2879">
        <v>108.297875457892</v>
      </c>
      <c r="AK2879">
        <v>14.874492583447299</v>
      </c>
      <c r="AL2879">
        <v>79.303359632625401</v>
      </c>
      <c r="AM2879">
        <v>102.898339834167</v>
      </c>
      <c r="AN2879">
        <v>1.00000001108332</v>
      </c>
    </row>
    <row r="2880" spans="1:40" x14ac:dyDescent="0.25">
      <c r="A2880" t="str">
        <f>"20190312172424566"</f>
        <v>20190312172424566</v>
      </c>
      <c r="B2880" t="str">
        <f>"1552382664563027"</f>
        <v>1552382664563027</v>
      </c>
      <c r="C2880" t="s">
        <v>40</v>
      </c>
      <c r="D2880">
        <v>3.9682249999999999</v>
      </c>
      <c r="E2880">
        <v>0.46448719999999999</v>
      </c>
      <c r="F2880" t="s">
        <v>46</v>
      </c>
      <c r="G2880">
        <v>-484.53030000000001</v>
      </c>
      <c r="H2880" s="1">
        <v>3.2086949999999999E-6</v>
      </c>
      <c r="I2880">
        <v>222.4478</v>
      </c>
      <c r="J2880">
        <v>-490.98950000000002</v>
      </c>
      <c r="K2880">
        <v>1.113731</v>
      </c>
      <c r="L2880">
        <v>236.27549999999999</v>
      </c>
      <c r="M2880">
        <v>0.1180221</v>
      </c>
      <c r="N2880">
        <v>0</v>
      </c>
      <c r="O2880">
        <v>-0.99291750000000001</v>
      </c>
      <c r="P2880">
        <v>0.33012829999999999</v>
      </c>
      <c r="Q2880">
        <v>0.17423449999999999</v>
      </c>
      <c r="R2880">
        <v>-0.92771669999999995</v>
      </c>
      <c r="S2880">
        <v>1.30661</v>
      </c>
      <c r="T2880">
        <v>-0.2247121</v>
      </c>
      <c r="U2880">
        <v>-2.8120120000000002</v>
      </c>
      <c r="V2880">
        <v>-0.2196188</v>
      </c>
      <c r="W2880">
        <v>0.18578520000000001</v>
      </c>
      <c r="X2880">
        <v>0.95773240000000004</v>
      </c>
      <c r="Y2880">
        <v>-0.31026890000000001</v>
      </c>
      <c r="Z2880">
        <v>7.3135859999999997E-2</v>
      </c>
      <c r="AA2880">
        <v>0.94783139999999999</v>
      </c>
      <c r="AB2880">
        <v>18</v>
      </c>
      <c r="AC2880">
        <v>6.4592000000000098</v>
      </c>
      <c r="AD2880">
        <v>-1.1137277913050001</v>
      </c>
      <c r="AE2880">
        <v>-13.827699999999901</v>
      </c>
      <c r="AF2880">
        <v>-4.7565923677837301</v>
      </c>
      <c r="AG2880">
        <v>-1.1137277913050001</v>
      </c>
      <c r="AH2880">
        <v>14.416666679023299</v>
      </c>
      <c r="AI2880">
        <v>94.195864432251796</v>
      </c>
      <c r="AJ2880">
        <v>108.259636932318</v>
      </c>
      <c r="AK2880">
        <v>15.2218868304965</v>
      </c>
      <c r="AL2880">
        <v>79.293084798170696</v>
      </c>
      <c r="AM2880">
        <v>102.915278306649</v>
      </c>
      <c r="AN2880">
        <v>0.99999995393111896</v>
      </c>
    </row>
    <row r="2881" spans="1:40" x14ac:dyDescent="0.25">
      <c r="A2881" t="str">
        <f>"20190312172424585"</f>
        <v>20190312172424585</v>
      </c>
      <c r="B2881" t="str">
        <f>"1552382664582547"</f>
        <v>1552382664582547</v>
      </c>
      <c r="C2881" t="s">
        <v>40</v>
      </c>
      <c r="D2881">
        <v>3.9969030000000001</v>
      </c>
      <c r="E2881">
        <v>0.46481020000000001</v>
      </c>
      <c r="F2881" t="s">
        <v>46</v>
      </c>
      <c r="G2881">
        <v>-484.40159999999997</v>
      </c>
      <c r="H2881" s="1">
        <v>3.118159E-6</v>
      </c>
      <c r="I2881">
        <v>222.18879999999999</v>
      </c>
      <c r="J2881">
        <v>-490.96640000000002</v>
      </c>
      <c r="K2881">
        <v>1.113764</v>
      </c>
      <c r="L2881">
        <v>236.1284</v>
      </c>
      <c r="M2881">
        <v>0.1226952</v>
      </c>
      <c r="N2881">
        <v>0</v>
      </c>
      <c r="O2881">
        <v>-0.99235070000000003</v>
      </c>
      <c r="P2881">
        <v>0.33449400000000001</v>
      </c>
      <c r="Q2881">
        <v>0.1745361</v>
      </c>
      <c r="R2881">
        <v>-0.92609470000000005</v>
      </c>
      <c r="S2881">
        <v>1.3132629999999901</v>
      </c>
      <c r="T2881">
        <v>-0.2220145</v>
      </c>
      <c r="U2881">
        <v>-2.8081049999999999</v>
      </c>
      <c r="V2881">
        <v>-0.21964439999999999</v>
      </c>
      <c r="W2881">
        <v>0.18607470000000001</v>
      </c>
      <c r="X2881">
        <v>0.95767029999999997</v>
      </c>
      <c r="Y2881">
        <v>-0.30816830000000001</v>
      </c>
      <c r="Z2881">
        <v>7.2282089999999993E-2</v>
      </c>
      <c r="AA2881">
        <v>0.94858189999999998</v>
      </c>
      <c r="AB2881">
        <v>18</v>
      </c>
      <c r="AC2881">
        <v>6.5648000000000399</v>
      </c>
      <c r="AD2881">
        <v>-1.1137608818410001</v>
      </c>
      <c r="AE2881">
        <v>-13.9396</v>
      </c>
      <c r="AF2881">
        <v>-4.7797345330418102</v>
      </c>
      <c r="AG2881">
        <v>-1.1137608818410001</v>
      </c>
      <c r="AH2881">
        <v>14.563707223283499</v>
      </c>
      <c r="AI2881">
        <v>94.155915074252206</v>
      </c>
      <c r="AJ2881">
        <v>108.169572488048</v>
      </c>
      <c r="AK2881">
        <v>15.3684056945993</v>
      </c>
      <c r="AL2881">
        <v>79.276203046583703</v>
      </c>
      <c r="AM2881">
        <v>102.91754278343301</v>
      </c>
      <c r="AN2881">
        <v>0.99999992996676701</v>
      </c>
    </row>
    <row r="2882" spans="1:40" x14ac:dyDescent="0.25">
      <c r="A2882" t="str">
        <f>"20190312172424609"</f>
        <v>20190312172424609</v>
      </c>
      <c r="B2882" t="str">
        <f>"1552382664603044"</f>
        <v>1552382664603044</v>
      </c>
      <c r="C2882" t="s">
        <v>40</v>
      </c>
      <c r="D2882">
        <v>4.0019549999999997</v>
      </c>
      <c r="E2882">
        <v>0.46511180000000002</v>
      </c>
      <c r="F2882" t="s">
        <v>46</v>
      </c>
      <c r="G2882">
        <v>-484.33760000000001</v>
      </c>
      <c r="H2882" s="1">
        <v>3.0859840000000002E-6</v>
      </c>
      <c r="I2882">
        <v>222.09460000000001</v>
      </c>
      <c r="J2882">
        <v>-490.9359</v>
      </c>
      <c r="K2882">
        <v>1.1137999999999999</v>
      </c>
      <c r="L2882">
        <v>235.9408</v>
      </c>
      <c r="M2882">
        <v>0.1287461</v>
      </c>
      <c r="N2882">
        <v>0</v>
      </c>
      <c r="O2882">
        <v>-0.99158380000000002</v>
      </c>
      <c r="P2882">
        <v>0.34014729999999999</v>
      </c>
      <c r="Q2882">
        <v>0.17465629999999999</v>
      </c>
      <c r="R2882">
        <v>-0.92401029999999995</v>
      </c>
      <c r="S2882">
        <v>1.324066</v>
      </c>
      <c r="T2882">
        <v>-0.222465</v>
      </c>
      <c r="U2882">
        <v>-2.803131</v>
      </c>
      <c r="V2882">
        <v>-0.21967320000000001</v>
      </c>
      <c r="W2882">
        <v>0.1861843</v>
      </c>
      <c r="X2882">
        <v>0.95764249999999995</v>
      </c>
      <c r="Y2882">
        <v>-0.30600080000000002</v>
      </c>
      <c r="Z2882">
        <v>7.2428839999999994E-2</v>
      </c>
      <c r="AA2882">
        <v>0.94927220000000001</v>
      </c>
      <c r="AB2882">
        <v>18</v>
      </c>
      <c r="AC2882">
        <v>6.5982999999999903</v>
      </c>
      <c r="AD2882">
        <v>-1.113796914016</v>
      </c>
      <c r="AE2882">
        <v>-13.8461999999999</v>
      </c>
      <c r="AF2882">
        <v>-4.7355942206810004</v>
      </c>
      <c r="AG2882">
        <v>-1.113796914016</v>
      </c>
      <c r="AH2882">
        <v>14.504046517015899</v>
      </c>
      <c r="AI2882">
        <v>94.1751666206831</v>
      </c>
      <c r="AJ2882">
        <v>108.08194263067099</v>
      </c>
      <c r="AK2882">
        <v>15.298162031969101</v>
      </c>
      <c r="AL2882">
        <v>79.269812861656604</v>
      </c>
      <c r="AM2882">
        <v>102.919542174822</v>
      </c>
      <c r="AN2882">
        <v>1.0000000330854799</v>
      </c>
    </row>
    <row r="2883" spans="1:40" x14ac:dyDescent="0.25">
      <c r="A2883" t="str">
        <f>"20190312172424632"</f>
        <v>20190312172424632</v>
      </c>
      <c r="B2883" t="str">
        <f>"1552382664622563"</f>
        <v>1552382664622563</v>
      </c>
      <c r="C2883" t="s">
        <v>40</v>
      </c>
      <c r="D2883">
        <v>3.993887</v>
      </c>
      <c r="E2883">
        <v>0.46560849999999998</v>
      </c>
      <c r="F2883" t="s">
        <v>46</v>
      </c>
      <c r="G2883">
        <v>-484.28160000000003</v>
      </c>
      <c r="H2883" s="1">
        <v>3.0656060000000001E-6</v>
      </c>
      <c r="I2883">
        <v>222.04740000000001</v>
      </c>
      <c r="J2883">
        <v>-490.9058</v>
      </c>
      <c r="K2883">
        <v>1.113826</v>
      </c>
      <c r="L2883">
        <v>235.7629</v>
      </c>
      <c r="M2883">
        <v>0.13457089999999999</v>
      </c>
      <c r="N2883">
        <v>0</v>
      </c>
      <c r="O2883">
        <v>-0.99080990000000002</v>
      </c>
      <c r="P2883">
        <v>0.34562779999999999</v>
      </c>
      <c r="Q2883">
        <v>0.17513310000000001</v>
      </c>
      <c r="R2883">
        <v>-0.92188389999999998</v>
      </c>
      <c r="S2883">
        <v>1.3392029999999999</v>
      </c>
      <c r="T2883">
        <v>-0.2241563</v>
      </c>
      <c r="U2883">
        <v>-2.7961119999999999</v>
      </c>
      <c r="V2883">
        <v>-0.21975690000000001</v>
      </c>
      <c r="W2883">
        <v>0.18665329999999999</v>
      </c>
      <c r="X2883">
        <v>0.95753200000000005</v>
      </c>
      <c r="Y2883">
        <v>-0.30549880000000001</v>
      </c>
      <c r="Z2883">
        <v>7.2980509999999998E-2</v>
      </c>
      <c r="AA2883">
        <v>0.94939150000000005</v>
      </c>
      <c r="AB2883">
        <v>18</v>
      </c>
      <c r="AC2883">
        <v>6.6241999999999699</v>
      </c>
      <c r="AD2883">
        <v>-1.113822934394</v>
      </c>
      <c r="AE2883">
        <v>-13.715499999999899</v>
      </c>
      <c r="AF2883">
        <v>-4.6929597658728701</v>
      </c>
      <c r="AG2883">
        <v>-1.113822934394</v>
      </c>
      <c r="AH2883">
        <v>14.405195347163099</v>
      </c>
      <c r="AI2883">
        <v>94.204700976093406</v>
      </c>
      <c r="AJ2883">
        <v>108.044700215061</v>
      </c>
      <c r="AK2883">
        <v>15.1912516233263</v>
      </c>
      <c r="AL2883">
        <v>79.242461763866103</v>
      </c>
      <c r="AM2883">
        <v>102.92574090904699</v>
      </c>
      <c r="AN2883">
        <v>1.0000000402612399</v>
      </c>
    </row>
    <row r="2884" spans="1:40" x14ac:dyDescent="0.25">
      <c r="A2884" t="str">
        <f>"20190312172424654"</f>
        <v>20190312172424654</v>
      </c>
      <c r="B2884" t="str">
        <f>"1552382664643059"</f>
        <v>1552382664643059</v>
      </c>
      <c r="C2884" t="s">
        <v>40</v>
      </c>
      <c r="D2884">
        <v>3.998167</v>
      </c>
      <c r="E2884">
        <v>0.4658738</v>
      </c>
      <c r="F2884" t="s">
        <v>46</v>
      </c>
      <c r="G2884">
        <v>-484.15769999999998</v>
      </c>
      <c r="H2884" s="1">
        <v>2.9957730000000001E-6</v>
      </c>
      <c r="I2884">
        <v>221.83090000000001</v>
      </c>
      <c r="J2884">
        <v>-490.87509999999997</v>
      </c>
      <c r="K2884">
        <v>1.1138429999999999</v>
      </c>
      <c r="L2884">
        <v>235.5883</v>
      </c>
      <c r="M2884">
        <v>0.1403626</v>
      </c>
      <c r="N2884">
        <v>0</v>
      </c>
      <c r="O2884">
        <v>-0.99000600000000005</v>
      </c>
      <c r="P2884">
        <v>0.35112860000000001</v>
      </c>
      <c r="Q2884">
        <v>0.17499589999999901</v>
      </c>
      <c r="R2884">
        <v>-0.91982889999999995</v>
      </c>
      <c r="S2884">
        <v>1.351318</v>
      </c>
      <c r="T2884">
        <v>-0.22304640000000001</v>
      </c>
      <c r="U2884">
        <v>-2.7899319999999999</v>
      </c>
      <c r="V2884">
        <v>-0.2198812</v>
      </c>
      <c r="W2884">
        <v>0.18651129999999999</v>
      </c>
      <c r="X2884">
        <v>0.95753109999999997</v>
      </c>
      <c r="Y2884">
        <v>-0.30410710000000002</v>
      </c>
      <c r="Z2884">
        <v>7.2628289999999998E-2</v>
      </c>
      <c r="AA2884">
        <v>0.94986530000000002</v>
      </c>
      <c r="AB2884">
        <v>18</v>
      </c>
      <c r="AC2884">
        <v>6.7173999999999898</v>
      </c>
      <c r="AD2884">
        <v>-1.113840004227</v>
      </c>
      <c r="AE2884">
        <v>-13.757399999999899</v>
      </c>
      <c r="AF2884">
        <v>-4.6948318465475403</v>
      </c>
      <c r="AG2884">
        <v>-1.113840004227</v>
      </c>
      <c r="AH2884">
        <v>14.4874550763709</v>
      </c>
      <c r="AI2884">
        <v>94.183082648994997</v>
      </c>
      <c r="AJ2884">
        <v>107.95553259130099</v>
      </c>
      <c r="AK2884">
        <v>15.269853968268301</v>
      </c>
      <c r="AL2884">
        <v>79.250742833130801</v>
      </c>
      <c r="AM2884">
        <v>102.932818030311</v>
      </c>
      <c r="AN2884">
        <v>1.0000000073041599</v>
      </c>
    </row>
    <row r="2885" spans="1:40" x14ac:dyDescent="0.25">
      <c r="A2885" t="str">
        <f>"20190312172424676"</f>
        <v>20190312172424676</v>
      </c>
      <c r="B2885" t="str">
        <f>"1552382664673316"</f>
        <v>1552382664673316</v>
      </c>
      <c r="C2885" t="s">
        <v>40</v>
      </c>
      <c r="D2885">
        <v>4.0163570000000002</v>
      </c>
      <c r="E2885">
        <v>0.46641129999999997</v>
      </c>
      <c r="F2885" t="s">
        <v>46</v>
      </c>
      <c r="G2885">
        <v>-484.09699999999998</v>
      </c>
      <c r="H2885" s="1">
        <v>2.9742779999999999E-6</v>
      </c>
      <c r="I2885">
        <v>221.78229999999999</v>
      </c>
      <c r="J2885">
        <v>-490.84440000000001</v>
      </c>
      <c r="K2885">
        <v>1.113861</v>
      </c>
      <c r="L2885">
        <v>235.41980000000001</v>
      </c>
      <c r="M2885">
        <v>0.14602699999999999</v>
      </c>
      <c r="N2885">
        <v>0</v>
      </c>
      <c r="O2885">
        <v>-0.98918629999999996</v>
      </c>
      <c r="P2885">
        <v>0.35612240000000001</v>
      </c>
      <c r="Q2885">
        <v>0.17450009999999999</v>
      </c>
      <c r="R2885">
        <v>-0.91800179999999998</v>
      </c>
      <c r="S2885">
        <v>1.36615</v>
      </c>
      <c r="T2885">
        <v>-0.22450110000000001</v>
      </c>
      <c r="U2885">
        <v>-2.7826840000000002</v>
      </c>
      <c r="V2885">
        <v>-0.21959400000000001</v>
      </c>
      <c r="W2885">
        <v>0.18601480000000001</v>
      </c>
      <c r="X2885">
        <v>0.95769360000000003</v>
      </c>
      <c r="Y2885">
        <v>-0.30369859999999999</v>
      </c>
      <c r="Z2885">
        <v>7.3102329999999993E-2</v>
      </c>
      <c r="AA2885">
        <v>0.94995960000000002</v>
      </c>
      <c r="AB2885">
        <v>18</v>
      </c>
      <c r="AC2885">
        <v>6.7474000000000203</v>
      </c>
      <c r="AD2885">
        <v>-1.1138580257220001</v>
      </c>
      <c r="AE2885">
        <v>-13.637499999999999</v>
      </c>
      <c r="AF2885">
        <v>-4.6584641717910698</v>
      </c>
      <c r="AG2885">
        <v>-1.1138580257220001</v>
      </c>
      <c r="AH2885">
        <v>14.399512852163699</v>
      </c>
      <c r="AI2885">
        <v>94.209277992892694</v>
      </c>
      <c r="AJ2885">
        <v>107.927193055283</v>
      </c>
      <c r="AK2885">
        <v>15.1752409707706</v>
      </c>
      <c r="AL2885">
        <v>79.279697144040398</v>
      </c>
      <c r="AM2885">
        <v>102.914374423011</v>
      </c>
      <c r="AN2885">
        <v>1.00000003106799</v>
      </c>
    </row>
    <row r="2886" spans="1:40" x14ac:dyDescent="0.25">
      <c r="A2886" t="str">
        <f>"20190312172424697"</f>
        <v>20190312172424697</v>
      </c>
      <c r="B2886" t="str">
        <f>"1552382664692835"</f>
        <v>1552382664692835</v>
      </c>
      <c r="C2886" t="s">
        <v>40</v>
      </c>
      <c r="D2886">
        <v>4.0012470000000002</v>
      </c>
      <c r="E2886">
        <v>0.4668023</v>
      </c>
      <c r="F2886" t="s">
        <v>46</v>
      </c>
      <c r="G2886">
        <v>-484.0958</v>
      </c>
      <c r="H2886" s="1">
        <v>2.980613E-6</v>
      </c>
      <c r="I2886">
        <v>221.81200000000001</v>
      </c>
      <c r="J2886">
        <v>-490.81200000000001</v>
      </c>
      <c r="K2886">
        <v>1.113883</v>
      </c>
      <c r="L2886">
        <v>235.2484</v>
      </c>
      <c r="M2886">
        <v>0.1518591</v>
      </c>
      <c r="N2886">
        <v>0</v>
      </c>
      <c r="O2886">
        <v>-0.98830770000000001</v>
      </c>
      <c r="P2886">
        <v>0.36171110000000001</v>
      </c>
      <c r="Q2886">
        <v>0.1738005</v>
      </c>
      <c r="R2886">
        <v>-0.91594699999999996</v>
      </c>
      <c r="S2886">
        <v>1.377167</v>
      </c>
      <c r="T2886">
        <v>-0.2273039</v>
      </c>
      <c r="U2886">
        <v>-2.776932</v>
      </c>
      <c r="V2886">
        <v>-0.21976870000000001</v>
      </c>
      <c r="W2886">
        <v>0.18530769999999999</v>
      </c>
      <c r="X2886">
        <v>0.95779060000000005</v>
      </c>
      <c r="Y2886">
        <v>-0.3018575</v>
      </c>
      <c r="Z2886">
        <v>7.4008320000000002E-2</v>
      </c>
      <c r="AA2886">
        <v>0.95047610000000005</v>
      </c>
      <c r="AB2886">
        <v>18</v>
      </c>
      <c r="AC2886">
        <v>6.71619999999995</v>
      </c>
      <c r="AD2886">
        <v>-1.113880019387</v>
      </c>
      <c r="AE2886">
        <v>-13.4363999999999</v>
      </c>
      <c r="AF2886">
        <v>-4.5725192977541003</v>
      </c>
      <c r="AG2886">
        <v>-1.113880019387</v>
      </c>
      <c r="AH2886">
        <v>14.222345625362401</v>
      </c>
      <c r="AI2886">
        <v>94.264102085415104</v>
      </c>
      <c r="AJ2886">
        <v>107.822726604983</v>
      </c>
      <c r="AK2886">
        <v>14.9807802371301</v>
      </c>
      <c r="AL2886">
        <v>79.320927815039497</v>
      </c>
      <c r="AM2886">
        <v>102.923038752153</v>
      </c>
      <c r="AN2886">
        <v>1.0000000293136599</v>
      </c>
    </row>
    <row r="2887" spans="1:40" x14ac:dyDescent="0.25">
      <c r="A2887" t="str">
        <f>"20190312172424721"</f>
        <v>20190312172424721</v>
      </c>
      <c r="B2887" t="str">
        <f>"1552382664713331"</f>
        <v>1552382664713331</v>
      </c>
      <c r="C2887" t="s">
        <v>40</v>
      </c>
      <c r="D2887">
        <v>3.9952230000000002</v>
      </c>
      <c r="E2887">
        <v>0.46710600000000002</v>
      </c>
      <c r="F2887" t="s">
        <v>46</v>
      </c>
      <c r="G2887">
        <v>-484.08769999999998</v>
      </c>
      <c r="H2887" s="1">
        <v>2.9895759999999999E-6</v>
      </c>
      <c r="I2887">
        <v>221.85900000000001</v>
      </c>
      <c r="J2887">
        <v>-490.77670000000001</v>
      </c>
      <c r="K2887">
        <v>1.113917</v>
      </c>
      <c r="L2887">
        <v>235.0676</v>
      </c>
      <c r="M2887">
        <v>0.15809329999999999</v>
      </c>
      <c r="N2887">
        <v>0</v>
      </c>
      <c r="O2887">
        <v>-0.98732949999999997</v>
      </c>
      <c r="P2887">
        <v>0.36720560000000002</v>
      </c>
      <c r="Q2887">
        <v>0.1733809</v>
      </c>
      <c r="R2887">
        <v>-0.91383789999999998</v>
      </c>
      <c r="S2887">
        <v>1.3909910000000001</v>
      </c>
      <c r="T2887">
        <v>-0.2304168</v>
      </c>
      <c r="U2887">
        <v>-2.769714</v>
      </c>
      <c r="V2887">
        <v>-0.21947420000000001</v>
      </c>
      <c r="W2887">
        <v>0.1848813</v>
      </c>
      <c r="X2887">
        <v>0.95794049999999997</v>
      </c>
      <c r="Y2887">
        <v>-0.30058970000000002</v>
      </c>
      <c r="Z2887">
        <v>7.5014549999999999E-2</v>
      </c>
      <c r="AA2887">
        <v>0.9507989</v>
      </c>
      <c r="AB2887">
        <v>18</v>
      </c>
      <c r="AC2887">
        <v>6.6890000000000196</v>
      </c>
      <c r="AD2887">
        <v>-1.113914010424</v>
      </c>
      <c r="AE2887">
        <v>-13.208599999999899</v>
      </c>
      <c r="AF2887">
        <v>-4.4910571428866097</v>
      </c>
      <c r="AG2887">
        <v>-1.113914010424</v>
      </c>
      <c r="AH2887">
        <v>14.0206827264154</v>
      </c>
      <c r="AI2887">
        <v>94.326821063635904</v>
      </c>
      <c r="AJ2887">
        <v>107.76112394879</v>
      </c>
      <c r="AK2887">
        <v>14.764482476473599</v>
      </c>
      <c r="AL2887">
        <v>79.3457881038495</v>
      </c>
      <c r="AM2887">
        <v>102.904349564691</v>
      </c>
      <c r="AN2887">
        <v>1.00000001054779</v>
      </c>
    </row>
    <row r="2888" spans="1:40" x14ac:dyDescent="0.25">
      <c r="A2888" t="str">
        <f>"20190312172424743"</f>
        <v>20190312172424743</v>
      </c>
      <c r="B2888" t="str">
        <f>"1552382664732854"</f>
        <v>1552382664732854</v>
      </c>
      <c r="C2888" t="s">
        <v>40</v>
      </c>
      <c r="D2888">
        <v>3.9960089999999999</v>
      </c>
      <c r="E2888">
        <v>0.46749380000000001</v>
      </c>
      <c r="F2888" t="s">
        <v>46</v>
      </c>
      <c r="G2888">
        <v>-484.06810000000002</v>
      </c>
      <c r="H2888" s="1">
        <v>2.9914089999999999E-6</v>
      </c>
      <c r="I2888">
        <v>221.88300000000001</v>
      </c>
      <c r="J2888">
        <v>-490.74160000000001</v>
      </c>
      <c r="K2888">
        <v>1.11395</v>
      </c>
      <c r="L2888">
        <v>234.8946</v>
      </c>
      <c r="M2888">
        <v>0.16415479999999999</v>
      </c>
      <c r="N2888">
        <v>0</v>
      </c>
      <c r="O2888">
        <v>-0.98633970000000004</v>
      </c>
      <c r="P2888">
        <v>0.37255899999999997</v>
      </c>
      <c r="Q2888">
        <v>0.17376129999999901</v>
      </c>
      <c r="R2888">
        <v>-0.91159590000000001</v>
      </c>
      <c r="S2888">
        <v>1.405518</v>
      </c>
      <c r="T2888">
        <v>-0.23337669999999999</v>
      </c>
      <c r="U2888">
        <v>-2.7623139999999999</v>
      </c>
      <c r="V2888">
        <v>-0.21923899999999999</v>
      </c>
      <c r="W2888">
        <v>0.1852501</v>
      </c>
      <c r="X2888">
        <v>0.95792310000000003</v>
      </c>
      <c r="Y2888">
        <v>-0.2997013</v>
      </c>
      <c r="Z2888">
        <v>7.5964340000000005E-2</v>
      </c>
      <c r="AA2888">
        <v>0.95100399999999996</v>
      </c>
      <c r="AB2888">
        <v>18</v>
      </c>
      <c r="AC2888">
        <v>6.67349999999999</v>
      </c>
      <c r="AD2888">
        <v>-1.1139470085909999</v>
      </c>
      <c r="AE2888">
        <v>-13.0116</v>
      </c>
      <c r="AF2888">
        <v>-4.4211819283681599</v>
      </c>
      <c r="AG2888">
        <v>-1.1139470085909999</v>
      </c>
      <c r="AH2888">
        <v>13.850276800414401</v>
      </c>
      <c r="AI2888">
        <v>94.381376768361903</v>
      </c>
      <c r="AJ2888">
        <v>107.703734676026</v>
      </c>
      <c r="AK2888">
        <v>14.5814229425586</v>
      </c>
      <c r="AL2888">
        <v>79.324285904958899</v>
      </c>
      <c r="AM2888">
        <v>102.891209143005</v>
      </c>
      <c r="AN2888">
        <v>1.0000000020923101</v>
      </c>
    </row>
    <row r="2889" spans="1:40" x14ac:dyDescent="0.25">
      <c r="A2889" t="str">
        <f>"20190312172424765"</f>
        <v>20190312172424765</v>
      </c>
      <c r="B2889" t="str">
        <f>"1552382664753350"</f>
        <v>1552382664753350</v>
      </c>
      <c r="C2889" t="s">
        <v>40</v>
      </c>
      <c r="D2889">
        <v>4.1414650000000002</v>
      </c>
      <c r="E2889">
        <v>0.4677057</v>
      </c>
      <c r="F2889" t="s">
        <v>46</v>
      </c>
      <c r="G2889">
        <v>-483.96409999999997</v>
      </c>
      <c r="H2889" s="1">
        <v>2.9417710000000002E-6</v>
      </c>
      <c r="I2889">
        <v>221.74199999999999</v>
      </c>
      <c r="J2889">
        <v>-490.70670000000001</v>
      </c>
      <c r="K2889">
        <v>1.113988</v>
      </c>
      <c r="L2889">
        <v>234.72790000000001</v>
      </c>
      <c r="M2889">
        <v>0.1700854</v>
      </c>
      <c r="N2889">
        <v>0</v>
      </c>
      <c r="O2889">
        <v>-0.9853343</v>
      </c>
      <c r="P2889">
        <v>0.37787090000000001</v>
      </c>
      <c r="Q2889">
        <v>0.17387529999999901</v>
      </c>
      <c r="R2889">
        <v>-0.90938509999999995</v>
      </c>
      <c r="S2889">
        <v>1.4197390000000001</v>
      </c>
      <c r="T2889">
        <v>-0.23334440000000001</v>
      </c>
      <c r="U2889">
        <v>-2.7551420000000002</v>
      </c>
      <c r="V2889">
        <v>-0.2190858</v>
      </c>
      <c r="W2889">
        <v>0.18535180000000001</v>
      </c>
      <c r="X2889">
        <v>0.95793850000000003</v>
      </c>
      <c r="Y2889">
        <v>-0.29885129999999999</v>
      </c>
      <c r="Z2889">
        <v>7.5938800000000001E-2</v>
      </c>
      <c r="AA2889">
        <v>0.95127340000000005</v>
      </c>
      <c r="AB2889">
        <v>18</v>
      </c>
      <c r="AC2889">
        <v>6.7426000000000403</v>
      </c>
      <c r="AD2889">
        <v>-1.1139850582290001</v>
      </c>
      <c r="AE2889">
        <v>-12.9858999999999</v>
      </c>
      <c r="AF2889">
        <v>-4.4098576064110997</v>
      </c>
      <c r="AG2889">
        <v>-1.1139850582290001</v>
      </c>
      <c r="AH2889">
        <v>13.863221032229101</v>
      </c>
      <c r="AI2889">
        <v>94.378857241578103</v>
      </c>
      <c r="AJ2889">
        <v>107.64574337794799</v>
      </c>
      <c r="AK2889">
        <v>14.5902948636146</v>
      </c>
      <c r="AL2889">
        <v>79.3183564660781</v>
      </c>
      <c r="AM2889">
        <v>102.882301464093</v>
      </c>
      <c r="AN2889">
        <v>1.00000002365356</v>
      </c>
    </row>
    <row r="2890" spans="1:40" x14ac:dyDescent="0.25">
      <c r="A2890" t="str">
        <f>"20190312172424787"</f>
        <v>20190312172424787</v>
      </c>
      <c r="B2890" t="str">
        <f>"1552382664782627"</f>
        <v>1552382664782627</v>
      </c>
      <c r="C2890" t="s">
        <v>40</v>
      </c>
      <c r="D2890">
        <v>4.1270499999999997</v>
      </c>
      <c r="E2890">
        <v>0.47376810000000003</v>
      </c>
      <c r="F2890" t="s">
        <v>46</v>
      </c>
      <c r="G2890">
        <v>-483.8526</v>
      </c>
      <c r="H2890" s="1">
        <v>2.8909230000000001E-6</v>
      </c>
      <c r="I2890">
        <v>221.60140000000001</v>
      </c>
      <c r="J2890">
        <v>-490.66899999999998</v>
      </c>
      <c r="K2890">
        <v>1.114025</v>
      </c>
      <c r="L2890">
        <v>234.55439999999999</v>
      </c>
      <c r="M2890">
        <v>0.17633869999999999</v>
      </c>
      <c r="N2890">
        <v>0</v>
      </c>
      <c r="O2890">
        <v>-0.98423439999999995</v>
      </c>
      <c r="P2890">
        <v>0.38263930000000002</v>
      </c>
      <c r="Q2890">
        <v>0.17370439999999901</v>
      </c>
      <c r="R2890">
        <v>-0.90742179999999995</v>
      </c>
      <c r="S2890">
        <v>1.4345699999999999</v>
      </c>
      <c r="T2890">
        <v>-0.2331597</v>
      </c>
      <c r="U2890">
        <v>-2.7473909999999999</v>
      </c>
      <c r="V2890">
        <v>-0.21803710000000001</v>
      </c>
      <c r="W2890">
        <v>0.1851817</v>
      </c>
      <c r="X2890">
        <v>0.95821060000000002</v>
      </c>
      <c r="Y2890">
        <v>-0.29793199999999997</v>
      </c>
      <c r="Z2890">
        <v>7.586329E-2</v>
      </c>
      <c r="AA2890">
        <v>0.95156779999999996</v>
      </c>
      <c r="AB2890">
        <v>18</v>
      </c>
      <c r="AC2890">
        <v>6.8164000000000398</v>
      </c>
      <c r="AD2890">
        <v>-1.1140221090769999</v>
      </c>
      <c r="AE2890">
        <v>-12.9529999999999</v>
      </c>
      <c r="AF2890">
        <v>-4.3997482881583103</v>
      </c>
      <c r="AG2890">
        <v>-1.1140221090769999</v>
      </c>
      <c r="AH2890">
        <v>13.871735436459399</v>
      </c>
      <c r="AI2890">
        <v>94.377487309841797</v>
      </c>
      <c r="AJ2890">
        <v>107.597653013395</v>
      </c>
      <c r="AK2890">
        <v>14.595337415688199</v>
      </c>
      <c r="AL2890">
        <v>79.3282738771167</v>
      </c>
      <c r="AM2890">
        <v>102.81915983323999</v>
      </c>
      <c r="AN2890">
        <v>0.99999999647182902</v>
      </c>
    </row>
    <row r="2891" spans="1:40" x14ac:dyDescent="0.25">
      <c r="A2891" t="str">
        <f>"20190312172424812"</f>
        <v>20190312172424812</v>
      </c>
      <c r="B2891" t="str">
        <f>"1552382664803123"</f>
        <v>1552382664803123</v>
      </c>
      <c r="C2891" t="s">
        <v>40</v>
      </c>
      <c r="D2891">
        <v>4.0067219999999999</v>
      </c>
      <c r="E2891">
        <v>0.4728813</v>
      </c>
      <c r="F2891" t="s">
        <v>46</v>
      </c>
      <c r="G2891">
        <v>-484.94650000000001</v>
      </c>
      <c r="H2891" s="1">
        <v>3.5700679999999999E-6</v>
      </c>
      <c r="I2891">
        <v>223.31639999999999</v>
      </c>
      <c r="J2891">
        <v>-490.62569999999999</v>
      </c>
      <c r="K2891">
        <v>1.1140559999999999</v>
      </c>
      <c r="L2891">
        <v>234.3612</v>
      </c>
      <c r="M2891">
        <v>0.1834065</v>
      </c>
      <c r="N2891">
        <v>0</v>
      </c>
      <c r="O2891">
        <v>-0.98294190000000004</v>
      </c>
      <c r="P2891">
        <v>0.38871670000000003</v>
      </c>
      <c r="Q2891">
        <v>0.17404</v>
      </c>
      <c r="R2891">
        <v>-0.90477070000000004</v>
      </c>
      <c r="S2891">
        <v>1.407867</v>
      </c>
      <c r="T2891">
        <v>-0.27407629999999999</v>
      </c>
      <c r="U2891">
        <v>-2.7648320000000002</v>
      </c>
      <c r="V2891">
        <v>-0.21760479999999999</v>
      </c>
      <c r="W2891">
        <v>0.1855116</v>
      </c>
      <c r="X2891">
        <v>0.95824500000000001</v>
      </c>
      <c r="Y2891">
        <v>-0.28080250000000001</v>
      </c>
      <c r="Z2891">
        <v>8.8824440000000005E-2</v>
      </c>
      <c r="AA2891">
        <v>0.95564649999999995</v>
      </c>
      <c r="AB2891">
        <v>18</v>
      </c>
      <c r="AC2891">
        <v>5.6791999999999803</v>
      </c>
      <c r="AD2891">
        <v>-1.114052429932</v>
      </c>
      <c r="AE2891">
        <v>-11.0448</v>
      </c>
      <c r="AF2891">
        <v>-3.52857562501449</v>
      </c>
      <c r="AG2891">
        <v>-1.114052429932</v>
      </c>
      <c r="AH2891">
        <v>11.804130210830399</v>
      </c>
      <c r="AI2891">
        <v>95.1668939934479</v>
      </c>
      <c r="AJ2891">
        <v>106.642836079635</v>
      </c>
      <c r="AK2891">
        <v>12.3705072164533</v>
      </c>
      <c r="AL2891">
        <v>79.309038119492001</v>
      </c>
      <c r="AM2891">
        <v>102.794136565432</v>
      </c>
      <c r="AN2891">
        <v>0.999999941371298</v>
      </c>
    </row>
    <row r="2892" spans="1:40" x14ac:dyDescent="0.25">
      <c r="A2892" t="str">
        <f>"20190312172424833"</f>
        <v>20190312172424833</v>
      </c>
      <c r="B2892" t="str">
        <f>"1552382664822643"</f>
        <v>1552382664822643</v>
      </c>
      <c r="C2892" t="s">
        <v>40</v>
      </c>
      <c r="D2892">
        <v>3.9279769999999998</v>
      </c>
      <c r="E2892">
        <v>0.46913470000000002</v>
      </c>
      <c r="F2892" t="s">
        <v>46</v>
      </c>
      <c r="G2892">
        <v>-484.839</v>
      </c>
      <c r="H2892" s="1">
        <v>3.524566E-6</v>
      </c>
      <c r="I2892">
        <v>223.2465</v>
      </c>
      <c r="J2892">
        <v>-490.58859999999999</v>
      </c>
      <c r="K2892">
        <v>1.11407099999999</v>
      </c>
      <c r="L2892">
        <v>234.20140000000001</v>
      </c>
      <c r="M2892">
        <v>0.18933800000000001</v>
      </c>
      <c r="N2892">
        <v>0</v>
      </c>
      <c r="O2892">
        <v>-0.98181640000000003</v>
      </c>
      <c r="P2892">
        <v>0.39356540000000001</v>
      </c>
      <c r="Q2892">
        <v>0.17447889999999999</v>
      </c>
      <c r="R2892">
        <v>-0.90258729999999998</v>
      </c>
      <c r="S2892">
        <v>1.433319</v>
      </c>
      <c r="T2892">
        <v>-0.27594350000000001</v>
      </c>
      <c r="U2892">
        <v>-2.7530519999999998</v>
      </c>
      <c r="V2892">
        <v>-0.21698890000000001</v>
      </c>
      <c r="W2892">
        <v>0.18594910000000001</v>
      </c>
      <c r="X2892">
        <v>0.95829989999999998</v>
      </c>
      <c r="Y2892">
        <v>-0.28361360000000002</v>
      </c>
      <c r="Z2892">
        <v>8.9392609999999997E-2</v>
      </c>
      <c r="AA2892">
        <v>0.95476289999999997</v>
      </c>
      <c r="AB2892">
        <v>18</v>
      </c>
      <c r="AC2892">
        <v>5.7495999999999796</v>
      </c>
      <c r="AD2892">
        <v>-1.1140674754340001</v>
      </c>
      <c r="AE2892">
        <v>-10.9549</v>
      </c>
      <c r="AF2892">
        <v>-3.5424837015297501</v>
      </c>
      <c r="AG2892">
        <v>-1.1140674754340001</v>
      </c>
      <c r="AH2892">
        <v>11.7501539992278</v>
      </c>
      <c r="AI2892">
        <v>95.186935782551899</v>
      </c>
      <c r="AJ2892">
        <v>106.777219923243</v>
      </c>
      <c r="AK2892">
        <v>12.3230051578741</v>
      </c>
      <c r="AL2892">
        <v>79.283527704348003</v>
      </c>
      <c r="AM2892">
        <v>102.75840446763701</v>
      </c>
      <c r="AN2892">
        <v>0.99999997442701405</v>
      </c>
    </row>
    <row r="2893" spans="1:40" x14ac:dyDescent="0.25">
      <c r="A2893" t="str">
        <f>"20190312172424854"</f>
        <v>20190312172424854</v>
      </c>
      <c r="B2893" t="str">
        <f>"1552382664843139"</f>
        <v>1552382664843139</v>
      </c>
      <c r="C2893" t="s">
        <v>40</v>
      </c>
      <c r="D2893">
        <v>3.920058</v>
      </c>
      <c r="E2893">
        <v>0.46787519999999999</v>
      </c>
      <c r="F2893" t="s">
        <v>46</v>
      </c>
      <c r="G2893">
        <v>-483.97149999999999</v>
      </c>
      <c r="H2893" s="1">
        <v>2.9887989999999998E-6</v>
      </c>
      <c r="I2893">
        <v>221.9487</v>
      </c>
      <c r="J2893">
        <v>-490.54989999999998</v>
      </c>
      <c r="K2893">
        <v>1.1141000000000001</v>
      </c>
      <c r="L2893">
        <v>234.0393</v>
      </c>
      <c r="M2893">
        <v>0.19543830000000001</v>
      </c>
      <c r="N2893">
        <v>0</v>
      </c>
      <c r="O2893">
        <v>-0.98062020000000005</v>
      </c>
      <c r="P2893">
        <v>0.39889989999999997</v>
      </c>
      <c r="Q2893">
        <v>0.17413770000000001</v>
      </c>
      <c r="R2893">
        <v>-0.90030829999999995</v>
      </c>
      <c r="S2893">
        <v>1.473846</v>
      </c>
      <c r="T2893">
        <v>-0.2481401</v>
      </c>
      <c r="U2893">
        <v>-2.7290800000000002</v>
      </c>
      <c r="V2893">
        <v>-0.21669849999999999</v>
      </c>
      <c r="W2893">
        <v>0.18560289999999999</v>
      </c>
      <c r="X2893">
        <v>0.95843270000000003</v>
      </c>
      <c r="Y2893">
        <v>-0.29247909999999999</v>
      </c>
      <c r="Z2893">
        <v>8.0549830000000003E-2</v>
      </c>
      <c r="AA2893">
        <v>0.95287339999999998</v>
      </c>
      <c r="AB2893">
        <v>18</v>
      </c>
      <c r="AC2893">
        <v>6.5783999999999798</v>
      </c>
      <c r="AD2893">
        <v>-1.114097011201</v>
      </c>
      <c r="AE2893">
        <v>-12.090599999999901</v>
      </c>
      <c r="AF2893">
        <v>-4.0617198250823403</v>
      </c>
      <c r="AG2893">
        <v>-1.114097011201</v>
      </c>
      <c r="AH2893">
        <v>13.057647042923699</v>
      </c>
      <c r="AI2893">
        <v>94.657652087401601</v>
      </c>
      <c r="AJ2893">
        <v>107.278860863806</v>
      </c>
      <c r="AK2893">
        <v>13.7200920691302</v>
      </c>
      <c r="AL2893">
        <v>79.303714747112295</v>
      </c>
      <c r="AM2893">
        <v>102.740179573267</v>
      </c>
      <c r="AN2893">
        <v>0.99999995840997402</v>
      </c>
    </row>
    <row r="2894" spans="1:40" x14ac:dyDescent="0.25">
      <c r="A2894" t="str">
        <f>"20190312172424877"</f>
        <v>20190312172424877</v>
      </c>
      <c r="B2894" t="str">
        <f>"1552382664873396"</f>
        <v>1552382664873396</v>
      </c>
      <c r="C2894" t="s">
        <v>40</v>
      </c>
      <c r="D2894">
        <v>3.9218959999999998</v>
      </c>
      <c r="E2894">
        <v>0.46671370000000001</v>
      </c>
      <c r="F2894" t="s">
        <v>46</v>
      </c>
      <c r="G2894">
        <v>-483.58789999999999</v>
      </c>
      <c r="H2894" s="1">
        <v>2.8042659999999999E-6</v>
      </c>
      <c r="I2894">
        <v>221.42189999999999</v>
      </c>
      <c r="J2894">
        <v>-490.50830000000002</v>
      </c>
      <c r="K2894">
        <v>1.114131</v>
      </c>
      <c r="L2894">
        <v>233.87029999999999</v>
      </c>
      <c r="M2894">
        <v>0.20189599999999999</v>
      </c>
      <c r="N2894">
        <v>0</v>
      </c>
      <c r="O2894">
        <v>-0.97931089999999998</v>
      </c>
      <c r="P2894">
        <v>0.404586</v>
      </c>
      <c r="Q2894">
        <v>0.17411279999999901</v>
      </c>
      <c r="R2894">
        <v>-0.89777269999999898</v>
      </c>
      <c r="S2894">
        <v>1.497986</v>
      </c>
      <c r="T2894">
        <v>-0.2397165</v>
      </c>
      <c r="U2894">
        <v>-2.7148590000000001</v>
      </c>
      <c r="V2894">
        <v>-0.21645909999999999</v>
      </c>
      <c r="W2894">
        <v>0.18556919999999999</v>
      </c>
      <c r="X2894">
        <v>0.95849340000000005</v>
      </c>
      <c r="Y2894">
        <v>-0.29488730000000002</v>
      </c>
      <c r="Z2894">
        <v>7.7848230000000004E-2</v>
      </c>
      <c r="AA2894">
        <v>0.95235559999999997</v>
      </c>
      <c r="AB2894">
        <v>18</v>
      </c>
      <c r="AC2894">
        <v>6.9204000000000203</v>
      </c>
      <c r="AD2894">
        <v>-1.1141281957339999</v>
      </c>
      <c r="AE2894">
        <v>-12.4483999999999</v>
      </c>
      <c r="AF2894">
        <v>-4.2384070948600403</v>
      </c>
      <c r="AG2894">
        <v>-1.1141281957339999</v>
      </c>
      <c r="AH2894">
        <v>13.506685112114299</v>
      </c>
      <c r="AI2894">
        <v>94.5000822059814</v>
      </c>
      <c r="AJ2894">
        <v>107.42189321670899</v>
      </c>
      <c r="AK2894">
        <v>14.1998563040652</v>
      </c>
      <c r="AL2894">
        <v>79.305680567830095</v>
      </c>
      <c r="AM2894">
        <v>102.72578365321399</v>
      </c>
      <c r="AN2894">
        <v>1.0000000339024999</v>
      </c>
    </row>
    <row r="2895" spans="1:40" x14ac:dyDescent="0.25">
      <c r="A2895" t="str">
        <f>"20190312172424899"</f>
        <v>20190312172424899</v>
      </c>
      <c r="B2895" t="str">
        <f>"1552382664892916"</f>
        <v>1552382664892916</v>
      </c>
      <c r="C2895" t="s">
        <v>40</v>
      </c>
      <c r="D2895">
        <v>3.887254</v>
      </c>
      <c r="E2895">
        <v>0.46664660000000002</v>
      </c>
      <c r="F2895" t="s">
        <v>46</v>
      </c>
      <c r="G2895">
        <v>-483.21660000000003</v>
      </c>
      <c r="H2895" s="1">
        <v>2.6323760000000002E-6</v>
      </c>
      <c r="I2895">
        <v>220.94229999999999</v>
      </c>
      <c r="J2895">
        <v>-490.46499999999997</v>
      </c>
      <c r="K2895">
        <v>1.1141799999999999</v>
      </c>
      <c r="L2895">
        <v>233.69990000000001</v>
      </c>
      <c r="M2895">
        <v>0.20850270000000001</v>
      </c>
      <c r="N2895">
        <v>0</v>
      </c>
      <c r="O2895">
        <v>-0.97792570000000001</v>
      </c>
      <c r="P2895">
        <v>0.41058359999999999</v>
      </c>
      <c r="Q2895">
        <v>0.17432890000000001</v>
      </c>
      <c r="R2895">
        <v>-0.8950034</v>
      </c>
      <c r="S2895">
        <v>1.5230709999999901</v>
      </c>
      <c r="T2895">
        <v>-0.23271919999999999</v>
      </c>
      <c r="U2895">
        <v>-2.7004090000000001</v>
      </c>
      <c r="V2895">
        <v>-0.21643100000000001</v>
      </c>
      <c r="W2895">
        <v>0.18577060000000001</v>
      </c>
      <c r="X2895">
        <v>0.95846070000000005</v>
      </c>
      <c r="Y2895">
        <v>-0.29741509999999999</v>
      </c>
      <c r="Z2895">
        <v>7.5590359999999995E-2</v>
      </c>
      <c r="AA2895">
        <v>0.95175120000000002</v>
      </c>
      <c r="AB2895">
        <v>18</v>
      </c>
      <c r="AC2895">
        <v>7.2483999999999398</v>
      </c>
      <c r="AD2895">
        <v>-1.1141773676240001</v>
      </c>
      <c r="AE2895">
        <v>-12.7576</v>
      </c>
      <c r="AF2895">
        <v>-4.4034287178237204</v>
      </c>
      <c r="AG2895">
        <v>-1.1141773676240001</v>
      </c>
      <c r="AH2895">
        <v>13.908414828837699</v>
      </c>
      <c r="AI2895">
        <v>94.367310111309195</v>
      </c>
      <c r="AJ2895">
        <v>107.567879160627</v>
      </c>
      <c r="AK2895">
        <v>14.631321838115401</v>
      </c>
      <c r="AL2895">
        <v>79.293936674011306</v>
      </c>
      <c r="AM2895">
        <v>102.724605401405</v>
      </c>
      <c r="AN2895">
        <v>1.0000000035149199</v>
      </c>
    </row>
    <row r="2896" spans="1:40" x14ac:dyDescent="0.25">
      <c r="A2896" t="str">
        <f>"20190312172424923"</f>
        <v>20190312172424923</v>
      </c>
      <c r="B2896" t="str">
        <f>"1552382664913411"</f>
        <v>1552382664913411</v>
      </c>
      <c r="C2896" t="s">
        <v>40</v>
      </c>
      <c r="D2896">
        <v>3.8917760000000001</v>
      </c>
      <c r="E2896">
        <v>0.46676010000000001</v>
      </c>
      <c r="F2896" t="s">
        <v>46</v>
      </c>
      <c r="G2896">
        <v>-483.10469999999998</v>
      </c>
      <c r="H2896" s="1">
        <v>2.5938570000000001E-6</v>
      </c>
      <c r="I2896">
        <v>220.8579</v>
      </c>
      <c r="J2896">
        <v>-490.41930000000002</v>
      </c>
      <c r="K2896">
        <v>1.1142299999999901</v>
      </c>
      <c r="L2896">
        <v>233.5257</v>
      </c>
      <c r="M2896">
        <v>0.21536859999999999</v>
      </c>
      <c r="N2896">
        <v>0</v>
      </c>
      <c r="O2896">
        <v>-0.97643630000000003</v>
      </c>
      <c r="P2896">
        <v>0.41686010000000001</v>
      </c>
      <c r="Q2896">
        <v>0.17403150000000001</v>
      </c>
      <c r="R2896">
        <v>-0.89215499999999903</v>
      </c>
      <c r="S2896">
        <v>1.541809</v>
      </c>
      <c r="T2896">
        <v>-0.2333932</v>
      </c>
      <c r="U2896">
        <v>-2.6900940000000002</v>
      </c>
      <c r="V2896">
        <v>-0.21643580000000001</v>
      </c>
      <c r="W2896">
        <v>0.18545719999999999</v>
      </c>
      <c r="X2896">
        <v>0.95852029999999999</v>
      </c>
      <c r="Y2896">
        <v>-0.2972669</v>
      </c>
      <c r="Z2896">
        <v>7.5766739999999999E-2</v>
      </c>
      <c r="AA2896">
        <v>0.9517835</v>
      </c>
      <c r="AB2896">
        <v>18</v>
      </c>
      <c r="AC2896">
        <v>7.3146000000000404</v>
      </c>
      <c r="AD2896">
        <v>-1.11422740614299</v>
      </c>
      <c r="AE2896">
        <v>-12.6678</v>
      </c>
      <c r="AF2896">
        <v>-4.3889458398027799</v>
      </c>
      <c r="AG2896">
        <v>-1.11422740614299</v>
      </c>
      <c r="AH2896">
        <v>13.8655011739591</v>
      </c>
      <c r="AI2896">
        <v>94.381051526849404</v>
      </c>
      <c r="AJ2896">
        <v>107.56451263960599</v>
      </c>
      <c r="AK2896">
        <v>14.5861739706608</v>
      </c>
      <c r="AL2896">
        <v>79.312210653864199</v>
      </c>
      <c r="AM2896">
        <v>102.724112956293</v>
      </c>
      <c r="AN2896">
        <v>0.99999999703278497</v>
      </c>
    </row>
    <row r="2897" spans="1:40" x14ac:dyDescent="0.25">
      <c r="A2897" t="str">
        <f>"20190312172424945"</f>
        <v>20190312172424945</v>
      </c>
      <c r="B2897" t="str">
        <f>"1552382664932931"</f>
        <v>1552382664932931</v>
      </c>
      <c r="C2897" t="s">
        <v>40</v>
      </c>
      <c r="D2897">
        <v>3.8806349999999998</v>
      </c>
      <c r="E2897">
        <v>0.46692260000000002</v>
      </c>
      <c r="F2897" t="s">
        <v>46</v>
      </c>
      <c r="G2897">
        <v>-482.87639999999999</v>
      </c>
      <c r="H2897" s="1">
        <v>2.489484E-6</v>
      </c>
      <c r="I2897">
        <v>220.56890000000001</v>
      </c>
      <c r="J2897">
        <v>-490.37360000000001</v>
      </c>
      <c r="K2897">
        <v>1.114279</v>
      </c>
      <c r="L2897">
        <v>233.35669999999999</v>
      </c>
      <c r="M2897">
        <v>0.222139</v>
      </c>
      <c r="N2897">
        <v>0</v>
      </c>
      <c r="O2897">
        <v>-0.97491819999999896</v>
      </c>
      <c r="P2897">
        <v>0.4230043</v>
      </c>
      <c r="Q2897">
        <v>0.1739667</v>
      </c>
      <c r="R2897">
        <v>-0.88927129999999999</v>
      </c>
      <c r="S2897">
        <v>1.5595699999999999</v>
      </c>
      <c r="T2897">
        <v>-0.23037779999999999</v>
      </c>
      <c r="U2897">
        <v>-2.6789399999999999</v>
      </c>
      <c r="V2897">
        <v>-0.216414</v>
      </c>
      <c r="W2897">
        <v>0.1853775</v>
      </c>
      <c r="X2897">
        <v>0.95854059999999996</v>
      </c>
      <c r="Y2897">
        <v>-0.29711549999999998</v>
      </c>
      <c r="Z2897">
        <v>7.4774499999999994E-2</v>
      </c>
      <c r="AA2897">
        <v>0.95190920000000001</v>
      </c>
      <c r="AB2897">
        <v>18</v>
      </c>
      <c r="AC2897">
        <v>7.4972000000000198</v>
      </c>
      <c r="AD2897">
        <v>-1.114276510516</v>
      </c>
      <c r="AE2897">
        <v>-12.787799999999899</v>
      </c>
      <c r="AF2897">
        <v>-4.4437998524298203</v>
      </c>
      <c r="AG2897">
        <v>-1.114276510516</v>
      </c>
      <c r="AH2897">
        <v>14.0543994859986</v>
      </c>
      <c r="AI2897">
        <v>94.323017629851805</v>
      </c>
      <c r="AJ2897">
        <v>107.54620842747499</v>
      </c>
      <c r="AK2897">
        <v>14.7822567350991</v>
      </c>
      <c r="AL2897">
        <v>79.316857301035299</v>
      </c>
      <c r="AM2897">
        <v>102.722612392168</v>
      </c>
      <c r="AN2897">
        <v>0.99999995937530395</v>
      </c>
    </row>
    <row r="2898" spans="1:40" x14ac:dyDescent="0.25">
      <c r="A2898" t="str">
        <f>"20190312172424968"</f>
        <v>20190312172424968</v>
      </c>
      <c r="B2898" t="str">
        <f>"1552382664963188"</f>
        <v>1552382664963188</v>
      </c>
      <c r="C2898" t="s">
        <v>40</v>
      </c>
      <c r="D2898">
        <v>3.8803429999999999</v>
      </c>
      <c r="E2898">
        <v>0.4670107</v>
      </c>
      <c r="F2898" t="s">
        <v>46</v>
      </c>
      <c r="G2898">
        <v>-482.68979999999999</v>
      </c>
      <c r="H2898" s="1">
        <v>2.4094190000000001E-6</v>
      </c>
      <c r="I2898">
        <v>220.35650000000001</v>
      </c>
      <c r="J2898">
        <v>-490.32659999999998</v>
      </c>
      <c r="K2898">
        <v>1.11432</v>
      </c>
      <c r="L2898">
        <v>233.18819999999999</v>
      </c>
      <c r="M2898">
        <v>0.2289842</v>
      </c>
      <c r="N2898">
        <v>0</v>
      </c>
      <c r="O2898">
        <v>-0.973333</v>
      </c>
      <c r="P2898">
        <v>0.42936730000000001</v>
      </c>
      <c r="Q2898">
        <v>0.1742271</v>
      </c>
      <c r="R2898">
        <v>-0.88616499999999998</v>
      </c>
      <c r="S2898">
        <v>1.5769959999999901</v>
      </c>
      <c r="T2898">
        <v>-0.2286907</v>
      </c>
      <c r="U2898">
        <v>-2.6681210000000002</v>
      </c>
      <c r="V2898">
        <v>-0.2165792</v>
      </c>
      <c r="W2898">
        <v>0.1856245</v>
      </c>
      <c r="X2898">
        <v>0.95845559999999996</v>
      </c>
      <c r="Y2898">
        <v>-0.2967262</v>
      </c>
      <c r="Z2898">
        <v>7.419887E-2</v>
      </c>
      <c r="AA2898">
        <v>0.95207569999999997</v>
      </c>
      <c r="AB2898">
        <v>18</v>
      </c>
      <c r="AC2898">
        <v>7.6367999999999903</v>
      </c>
      <c r="AD2898">
        <v>-1.1143175905810001</v>
      </c>
      <c r="AE2898">
        <v>-12.8316999999999</v>
      </c>
      <c r="AF2898">
        <v>-4.4704228662544603</v>
      </c>
      <c r="AG2898">
        <v>-1.1143175905810001</v>
      </c>
      <c r="AH2898">
        <v>14.1607112373097</v>
      </c>
      <c r="AI2898">
        <v>94.2914480794404</v>
      </c>
      <c r="AJ2898">
        <v>107.520488414826</v>
      </c>
      <c r="AK2898">
        <v>14.891344030754199</v>
      </c>
      <c r="AL2898">
        <v>79.302456490933096</v>
      </c>
      <c r="AM2898">
        <v>102.733100085529</v>
      </c>
      <c r="AN2898">
        <v>1.00000007102212</v>
      </c>
    </row>
    <row r="2899" spans="1:40" x14ac:dyDescent="0.25">
      <c r="A2899" t="str">
        <f>"20190312172424992"</f>
        <v>20190312172424992</v>
      </c>
      <c r="B2899" t="str">
        <f>"1552382664982708"</f>
        <v>1552382664982708</v>
      </c>
      <c r="C2899" t="s">
        <v>40</v>
      </c>
      <c r="D2899">
        <v>3.8963580000000002</v>
      </c>
      <c r="E2899">
        <v>0.46711580000000003</v>
      </c>
      <c r="F2899" t="s">
        <v>46</v>
      </c>
      <c r="G2899">
        <v>-482.54790000000003</v>
      </c>
      <c r="H2899" s="1">
        <v>2.3568539999999998E-6</v>
      </c>
      <c r="I2899">
        <v>220.23259999999999</v>
      </c>
      <c r="J2899">
        <v>-490.27440000000001</v>
      </c>
      <c r="K2899">
        <v>1.11435</v>
      </c>
      <c r="L2899">
        <v>233.00649999999999</v>
      </c>
      <c r="M2899">
        <v>0.23646829999999999</v>
      </c>
      <c r="N2899">
        <v>0</v>
      </c>
      <c r="O2899">
        <v>-0.97154200000000002</v>
      </c>
      <c r="P2899">
        <v>0.43638519999999997</v>
      </c>
      <c r="Q2899">
        <v>0.17438580000000001</v>
      </c>
      <c r="R2899">
        <v>-0.88269909999999996</v>
      </c>
      <c r="S2899">
        <v>1.5954280000000001</v>
      </c>
      <c r="T2899">
        <v>-0.22855</v>
      </c>
      <c r="U2899">
        <v>-2.6572420000000001</v>
      </c>
      <c r="V2899">
        <v>-0.21682989999999999</v>
      </c>
      <c r="W2899">
        <v>0.18577250000000001</v>
      </c>
      <c r="X2899">
        <v>0.9583701</v>
      </c>
      <c r="Y2899">
        <v>-0.29595660000000001</v>
      </c>
      <c r="Z2899">
        <v>7.4096460000000003E-2</v>
      </c>
      <c r="AA2899">
        <v>0.95232309999999998</v>
      </c>
      <c r="AB2899">
        <v>18</v>
      </c>
      <c r="AC2899">
        <v>7.7264999999999802</v>
      </c>
      <c r="AD2899">
        <v>-1.114347643146</v>
      </c>
      <c r="AE2899">
        <v>-12.7738999999999</v>
      </c>
      <c r="AF2899">
        <v>-4.4615621191886996</v>
      </c>
      <c r="AG2899">
        <v>-1.114347643146</v>
      </c>
      <c r="AH2899">
        <v>14.159902850761799</v>
      </c>
      <c r="AI2899">
        <v>94.292552947708401</v>
      </c>
      <c r="AJ2899">
        <v>107.488817724497</v>
      </c>
      <c r="AK2899">
        <v>14.8879197994944</v>
      </c>
      <c r="AL2899">
        <v>79.293825173067503</v>
      </c>
      <c r="AM2899">
        <v>102.748457967676</v>
      </c>
      <c r="AN2899">
        <v>0.99999993793213304</v>
      </c>
    </row>
    <row r="2900" spans="1:40" x14ac:dyDescent="0.25">
      <c r="A2900" t="str">
        <f>"20190312172425012"</f>
        <v>20190312172425012</v>
      </c>
      <c r="B2900" t="str">
        <f>"1552382665003203"</f>
        <v>1552382665003203</v>
      </c>
      <c r="C2900" t="s">
        <v>40</v>
      </c>
      <c r="D2900">
        <v>3.8821409999999998</v>
      </c>
      <c r="E2900">
        <v>0.46739730000000002</v>
      </c>
      <c r="F2900" t="s">
        <v>46</v>
      </c>
      <c r="G2900">
        <v>-482.35300000000001</v>
      </c>
      <c r="H2900" s="1">
        <v>2.2789100000000002E-6</v>
      </c>
      <c r="I2900">
        <v>220.03649999999999</v>
      </c>
      <c r="J2900">
        <v>-490.22910000000002</v>
      </c>
      <c r="K2900">
        <v>1.1143719999999999</v>
      </c>
      <c r="L2900">
        <v>232.85319999999999</v>
      </c>
      <c r="M2900">
        <v>0.24286959999999999</v>
      </c>
      <c r="N2900">
        <v>0</v>
      </c>
      <c r="O2900">
        <v>-0.96996130000000003</v>
      </c>
      <c r="P2900">
        <v>0.44218809999999897</v>
      </c>
      <c r="Q2900">
        <v>0.17475160000000001</v>
      </c>
      <c r="R2900">
        <v>-0.87973389999999996</v>
      </c>
      <c r="S2900">
        <v>1.6153869999999999</v>
      </c>
      <c r="T2900">
        <v>-0.22724510000000001</v>
      </c>
      <c r="U2900">
        <v>-2.644943</v>
      </c>
      <c r="V2900">
        <v>-0.2168514</v>
      </c>
      <c r="W2900">
        <v>0.18613279999999999</v>
      </c>
      <c r="X2900">
        <v>0.95829540000000002</v>
      </c>
      <c r="Y2900">
        <v>-0.29687989999999997</v>
      </c>
      <c r="Z2900">
        <v>7.3644379999999995E-2</v>
      </c>
      <c r="AA2900">
        <v>0.95207079999999999</v>
      </c>
      <c r="AB2900">
        <v>18</v>
      </c>
      <c r="AC2900">
        <v>7.8761000000000001</v>
      </c>
      <c r="AD2900">
        <v>-1.1143697210900001</v>
      </c>
      <c r="AE2900">
        <v>-12.8166999999999</v>
      </c>
      <c r="AF2900">
        <v>-4.5024471417098804</v>
      </c>
      <c r="AG2900">
        <v>-1.1143697210900001</v>
      </c>
      <c r="AH2900">
        <v>14.2676338226587</v>
      </c>
      <c r="AI2900">
        <v>94.259752757752395</v>
      </c>
      <c r="AJ2900">
        <v>107.514169320286</v>
      </c>
      <c r="AK2900">
        <v>15.002640602128899</v>
      </c>
      <c r="AL2900">
        <v>79.272815854927998</v>
      </c>
      <c r="AM2900">
        <v>102.75064209953401</v>
      </c>
      <c r="AN2900">
        <v>1.00000001128948</v>
      </c>
    </row>
    <row r="2901" spans="1:40" x14ac:dyDescent="0.25">
      <c r="A2901" t="str">
        <f>"20190312172425036"</f>
        <v>20190312172425036</v>
      </c>
      <c r="B2901" t="str">
        <f>"1552382665032485"</f>
        <v>1552382665032485</v>
      </c>
      <c r="C2901" t="s">
        <v>40</v>
      </c>
      <c r="D2901">
        <v>3.8323550000000002</v>
      </c>
      <c r="E2901">
        <v>0.4678329</v>
      </c>
      <c r="F2901" t="s">
        <v>46</v>
      </c>
      <c r="G2901">
        <v>-482.13569999999999</v>
      </c>
      <c r="H2901" s="1">
        <v>2.1825280000000002E-6</v>
      </c>
      <c r="I2901">
        <v>219.7748</v>
      </c>
      <c r="J2901">
        <v>-490.17790000000002</v>
      </c>
      <c r="K2901">
        <v>1.1143959999999999</v>
      </c>
      <c r="L2901">
        <v>232.6842</v>
      </c>
      <c r="M2901">
        <v>0.25001299999999999</v>
      </c>
      <c r="N2901">
        <v>0</v>
      </c>
      <c r="O2901">
        <v>-0.96814469999999997</v>
      </c>
      <c r="P2901">
        <v>0.4484242</v>
      </c>
      <c r="Q2901">
        <v>0.1749174</v>
      </c>
      <c r="R2901">
        <v>-0.87653879999999995</v>
      </c>
      <c r="S2901">
        <v>1.63064599999999</v>
      </c>
      <c r="T2901">
        <v>-0.22452320000000001</v>
      </c>
      <c r="U2901">
        <v>-2.6350250000000002</v>
      </c>
      <c r="V2901">
        <v>-0.2166129</v>
      </c>
      <c r="W2901">
        <v>0.18629490000000001</v>
      </c>
      <c r="X2901">
        <v>0.9583178</v>
      </c>
      <c r="Y2901">
        <v>-0.2954677</v>
      </c>
      <c r="Z2901">
        <v>7.271126E-2</v>
      </c>
      <c r="AA2901">
        <v>0.95258169999999998</v>
      </c>
      <c r="AB2901">
        <v>18</v>
      </c>
      <c r="AC2901">
        <v>8.0422000000000295</v>
      </c>
      <c r="AD2901">
        <v>-1.1143938174719901</v>
      </c>
      <c r="AE2901">
        <v>-12.9094</v>
      </c>
      <c r="AF2901">
        <v>-4.5345835643346302</v>
      </c>
      <c r="AG2901">
        <v>-1.1143938174719901</v>
      </c>
      <c r="AH2901">
        <v>14.432714658473399</v>
      </c>
      <c r="AI2901">
        <v>94.212959530600401</v>
      </c>
      <c r="AJ2901">
        <v>107.442085049374</v>
      </c>
      <c r="AK2901">
        <v>15.169297086393501</v>
      </c>
      <c r="AL2901">
        <v>79.263362442445199</v>
      </c>
      <c r="AM2901">
        <v>102.736788247623</v>
      </c>
      <c r="AN2901">
        <v>0.99999997200462898</v>
      </c>
    </row>
    <row r="2902" spans="1:40" x14ac:dyDescent="0.25">
      <c r="A2902" t="str">
        <f>"20190312172425056"</f>
        <v>20190312172425056</v>
      </c>
      <c r="B2902" t="str">
        <f>"1552382665052980"</f>
        <v>1552382665052980</v>
      </c>
      <c r="C2902" t="s">
        <v>40</v>
      </c>
      <c r="D2902">
        <v>3.8356889999999999</v>
      </c>
      <c r="E2902">
        <v>0.46821119999999999</v>
      </c>
      <c r="F2902" t="s">
        <v>46</v>
      </c>
      <c r="G2902">
        <v>-481.88780000000003</v>
      </c>
      <c r="H2902" s="1">
        <v>2.0969350000000001E-6</v>
      </c>
      <c r="I2902">
        <v>219.46619999999999</v>
      </c>
      <c r="J2902">
        <v>-490.1318</v>
      </c>
      <c r="K2902">
        <v>1.1144240000000001</v>
      </c>
      <c r="L2902">
        <v>232.53659999999999</v>
      </c>
      <c r="M2902">
        <v>0.25632779999999999</v>
      </c>
      <c r="N2902">
        <v>0</v>
      </c>
      <c r="O2902">
        <v>-0.96649169999999995</v>
      </c>
      <c r="P2902">
        <v>0.45430670000000001</v>
      </c>
      <c r="Q2902">
        <v>0.17491999999999999</v>
      </c>
      <c r="R2902">
        <v>-0.87350380000000005</v>
      </c>
      <c r="S2902">
        <v>1.646118</v>
      </c>
      <c r="T2902">
        <v>-0.2212797</v>
      </c>
      <c r="U2902">
        <v>-2.6246339999999999</v>
      </c>
      <c r="V2902">
        <v>-0.21681149999999999</v>
      </c>
      <c r="W2902">
        <v>0.1862888</v>
      </c>
      <c r="X2902">
        <v>0.95827410000000002</v>
      </c>
      <c r="Y2902">
        <v>-0.29500110000000002</v>
      </c>
      <c r="Z2902">
        <v>7.1626679999999998E-2</v>
      </c>
      <c r="AA2902">
        <v>0.95280849999999995</v>
      </c>
      <c r="AB2902">
        <v>18</v>
      </c>
      <c r="AC2902">
        <v>8.2439999999999696</v>
      </c>
      <c r="AD2902">
        <v>-1.114421903065</v>
      </c>
      <c r="AE2902">
        <v>-13.070399999999999</v>
      </c>
      <c r="AF2902">
        <v>-4.59399679456555</v>
      </c>
      <c r="AG2902">
        <v>-1.114421903065</v>
      </c>
      <c r="AH2902">
        <v>14.670700624012801</v>
      </c>
      <c r="AI2902">
        <v>94.146196824732499</v>
      </c>
      <c r="AJ2902">
        <v>107.3874738276</v>
      </c>
      <c r="AK2902">
        <v>15.413507048232701</v>
      </c>
      <c r="AL2902">
        <v>79.263718446987596</v>
      </c>
      <c r="AM2902">
        <v>102.74864679836401</v>
      </c>
      <c r="AN2902">
        <v>0.99999999713425003</v>
      </c>
    </row>
    <row r="2903" spans="1:40" x14ac:dyDescent="0.25">
      <c r="A2903" t="str">
        <f>"20190312172425079"</f>
        <v>20190312172425079</v>
      </c>
      <c r="B2903" t="str">
        <f>"1552382665072500"</f>
        <v>1552382665072500</v>
      </c>
      <c r="C2903" t="s">
        <v>40</v>
      </c>
      <c r="D2903">
        <v>3.8370899999999999</v>
      </c>
      <c r="E2903">
        <v>0.46850989999999998</v>
      </c>
      <c r="F2903" t="s">
        <v>46</v>
      </c>
      <c r="G2903">
        <v>-481.76100000000002</v>
      </c>
      <c r="H2903" s="1">
        <v>2.069943E-6</v>
      </c>
      <c r="I2903">
        <v>219.363</v>
      </c>
      <c r="J2903">
        <v>-490.07690000000002</v>
      </c>
      <c r="K2903">
        <v>1.11446</v>
      </c>
      <c r="L2903">
        <v>232.36519999999999</v>
      </c>
      <c r="M2903">
        <v>0.26374629999999999</v>
      </c>
      <c r="N2903">
        <v>0</v>
      </c>
      <c r="O2903">
        <v>-0.96449359999999995</v>
      </c>
      <c r="P2903">
        <v>0.46073459999999999</v>
      </c>
      <c r="Q2903">
        <v>0.17510000000000001</v>
      </c>
      <c r="R2903">
        <v>-0.87009439999999905</v>
      </c>
      <c r="S2903">
        <v>1.6614070000000001</v>
      </c>
      <c r="T2903">
        <v>-0.2211883</v>
      </c>
      <c r="U2903">
        <v>-2.6146699999999998</v>
      </c>
      <c r="V2903">
        <v>-0.2165406</v>
      </c>
      <c r="W2903">
        <v>0.18646119999999999</v>
      </c>
      <c r="X2903">
        <v>0.95830179999999998</v>
      </c>
      <c r="Y2903">
        <v>-0.29327589999999998</v>
      </c>
      <c r="Z2903">
        <v>7.1523790000000004E-2</v>
      </c>
      <c r="AA2903">
        <v>0.95334859999999999</v>
      </c>
      <c r="AB2903">
        <v>18</v>
      </c>
      <c r="AC2903">
        <v>8.3159000000000507</v>
      </c>
      <c r="AD2903">
        <v>-1.1144579300569999</v>
      </c>
      <c r="AE2903">
        <v>-13.002199999999901</v>
      </c>
      <c r="AF2903">
        <v>-4.5679693401247903</v>
      </c>
      <c r="AG2903">
        <v>-1.1144579300569999</v>
      </c>
      <c r="AH2903">
        <v>14.658796470510101</v>
      </c>
      <c r="AI2903">
        <v>94.151476560105706</v>
      </c>
      <c r="AJ2903">
        <v>107.308061481812</v>
      </c>
      <c r="AK2903">
        <v>15.394436473415499</v>
      </c>
      <c r="AL2903">
        <v>79.2536642577641</v>
      </c>
      <c r="AM2903">
        <v>102.73288129142</v>
      </c>
      <c r="AN2903">
        <v>0.99999997521851902</v>
      </c>
    </row>
    <row r="2904" spans="1:40" x14ac:dyDescent="0.25">
      <c r="A2904" t="str">
        <f>"20190312172425101"</f>
        <v>20190312172425101</v>
      </c>
      <c r="B2904" t="str">
        <f>"1552382665092996"</f>
        <v>1552382665092996</v>
      </c>
      <c r="C2904" t="s">
        <v>40</v>
      </c>
      <c r="D2904">
        <v>3.8214920000000001</v>
      </c>
      <c r="E2904">
        <v>0.46898200000000001</v>
      </c>
      <c r="F2904" t="s">
        <v>46</v>
      </c>
      <c r="G2904">
        <v>-481.53789999999998</v>
      </c>
      <c r="H2904" s="1">
        <v>2.0197450000000001E-6</v>
      </c>
      <c r="I2904">
        <v>219.1199</v>
      </c>
      <c r="J2904">
        <v>-490.0231</v>
      </c>
      <c r="K2904">
        <v>1.1145039999999999</v>
      </c>
      <c r="L2904">
        <v>232.20169999999999</v>
      </c>
      <c r="M2904">
        <v>0.27091320000000002</v>
      </c>
      <c r="N2904">
        <v>0</v>
      </c>
      <c r="O2904">
        <v>-0.96250469999999999</v>
      </c>
      <c r="P2904">
        <v>0.46700370000000002</v>
      </c>
      <c r="Q2904">
        <v>0.17508070000000001</v>
      </c>
      <c r="R2904">
        <v>-0.8667492</v>
      </c>
      <c r="S2904">
        <v>1.6782840000000001</v>
      </c>
      <c r="T2904">
        <v>-0.2190396</v>
      </c>
      <c r="U2904">
        <v>-2.6032709999999999</v>
      </c>
      <c r="V2904">
        <v>-0.2163448</v>
      </c>
      <c r="W2904">
        <v>0.18643409999999999</v>
      </c>
      <c r="X2904">
        <v>0.95835130000000002</v>
      </c>
      <c r="Y2904">
        <v>-0.29246060000000001</v>
      </c>
      <c r="Z2904">
        <v>7.0771299999999995E-2</v>
      </c>
      <c r="AA2904">
        <v>0.95365520000000004</v>
      </c>
      <c r="AB2904">
        <v>18</v>
      </c>
      <c r="AC2904">
        <v>8.4852000000000096</v>
      </c>
      <c r="AD2904">
        <v>-1.114501980255</v>
      </c>
      <c r="AE2904">
        <v>-13.0817999999999</v>
      </c>
      <c r="AF2904">
        <v>-4.5999532751043697</v>
      </c>
      <c r="AG2904">
        <v>-1.114501980255</v>
      </c>
      <c r="AH2904">
        <v>14.8157760219437</v>
      </c>
      <c r="AI2904">
        <v>94.109130265246307</v>
      </c>
      <c r="AJ2904">
        <v>107.248351182722</v>
      </c>
      <c r="AK2904">
        <v>15.5534209719128</v>
      </c>
      <c r="AL2904">
        <v>79.2552447402513</v>
      </c>
      <c r="AM2904">
        <v>102.72110712727201</v>
      </c>
      <c r="AN2904">
        <v>0.99999998017076897</v>
      </c>
    </row>
    <row r="2905" spans="1:40" x14ac:dyDescent="0.25">
      <c r="A2905" t="str">
        <f>"20190312172425124"</f>
        <v>20190312172425124</v>
      </c>
      <c r="B2905" t="str">
        <f>"1552382665112519"</f>
        <v>1552382665112519</v>
      </c>
      <c r="C2905" t="s">
        <v>40</v>
      </c>
      <c r="D2905">
        <v>3.9220120000000001</v>
      </c>
      <c r="E2905">
        <v>0.46942420000000001</v>
      </c>
      <c r="F2905" t="s">
        <v>46</v>
      </c>
      <c r="G2905">
        <v>-481.39479999999998</v>
      </c>
      <c r="H2905" s="1">
        <v>1.9888790000000002E-6</v>
      </c>
      <c r="I2905">
        <v>218.99469999999999</v>
      </c>
      <c r="J2905">
        <v>-489.96719999999999</v>
      </c>
      <c r="K2905">
        <v>1.1145389999999999</v>
      </c>
      <c r="L2905">
        <v>232.03700000000001</v>
      </c>
      <c r="M2905">
        <v>0.27824280000000001</v>
      </c>
      <c r="N2905">
        <v>0</v>
      </c>
      <c r="O2905">
        <v>-0.96041149999999997</v>
      </c>
      <c r="P2905">
        <v>0.47354020000000002</v>
      </c>
      <c r="Q2905">
        <v>0.17492739999999901</v>
      </c>
      <c r="R2905">
        <v>-0.86322659999999996</v>
      </c>
      <c r="S2905">
        <v>1.693848</v>
      </c>
      <c r="T2905">
        <v>-0.21879209999999999</v>
      </c>
      <c r="U2905">
        <v>-2.5927280000000001</v>
      </c>
      <c r="V2905">
        <v>-0.2162867</v>
      </c>
      <c r="W2905">
        <v>0.18627199999999999</v>
      </c>
      <c r="X2905">
        <v>0.95839600000000003</v>
      </c>
      <c r="Y2905">
        <v>-0.29096440000000001</v>
      </c>
      <c r="Z2905">
        <v>7.0614609999999994E-2</v>
      </c>
      <c r="AA2905">
        <v>0.95412430000000004</v>
      </c>
      <c r="AB2905">
        <v>17</v>
      </c>
      <c r="AC2905">
        <v>8.5724000000000107</v>
      </c>
      <c r="AD2905">
        <v>-1.114537011121</v>
      </c>
      <c r="AE2905">
        <v>-13.042299999999999</v>
      </c>
      <c r="AF2905">
        <v>-4.5811824533186796</v>
      </c>
      <c r="AG2905">
        <v>-1.114537011121</v>
      </c>
      <c r="AH2905">
        <v>14.836943365771299</v>
      </c>
      <c r="AI2905">
        <v>94.105390490480502</v>
      </c>
      <c r="AJ2905">
        <v>107.159046340362</v>
      </c>
      <c r="AK2905">
        <v>15.5680542733785</v>
      </c>
      <c r="AL2905">
        <v>79.264698670264906</v>
      </c>
      <c r="AM2905">
        <v>102.717228091942</v>
      </c>
      <c r="AN2905">
        <v>1.00000004369844</v>
      </c>
    </row>
    <row r="2906" spans="1:40" x14ac:dyDescent="0.25">
      <c r="A2906" t="str">
        <f>"20190312172425145"</f>
        <v>20190312172425145</v>
      </c>
      <c r="B2906" t="str">
        <f>"1552382665142772"</f>
        <v>1552382665142772</v>
      </c>
      <c r="C2906" t="s">
        <v>40</v>
      </c>
      <c r="D2906">
        <v>3.9181439999999998</v>
      </c>
      <c r="E2906">
        <v>0.46990409999999999</v>
      </c>
      <c r="F2906" t="s">
        <v>46</v>
      </c>
      <c r="G2906">
        <v>-481.2167</v>
      </c>
      <c r="H2906" s="1">
        <v>1.9499609999999999E-6</v>
      </c>
      <c r="I2906">
        <v>218.8272</v>
      </c>
      <c r="J2906">
        <v>-489.91379999999998</v>
      </c>
      <c r="K2906">
        <v>1.1145670000000001</v>
      </c>
      <c r="L2906">
        <v>231.88310000000001</v>
      </c>
      <c r="M2906">
        <v>0.28516019999999997</v>
      </c>
      <c r="N2906">
        <v>0</v>
      </c>
      <c r="O2906">
        <v>-0.95838020000000002</v>
      </c>
      <c r="P2906">
        <v>0.47937079999999999</v>
      </c>
      <c r="Q2906">
        <v>0.17502499999999999</v>
      </c>
      <c r="R2906">
        <v>-0.85998259999999904</v>
      </c>
      <c r="S2906">
        <v>1.709991</v>
      </c>
      <c r="T2906">
        <v>-0.21779760000000001</v>
      </c>
      <c r="U2906">
        <v>-2.5813899999999999</v>
      </c>
      <c r="V2906">
        <v>-0.21587819999999999</v>
      </c>
      <c r="W2906">
        <v>0.18636849999999999</v>
      </c>
      <c r="X2906">
        <v>0.95846929999999997</v>
      </c>
      <c r="Y2906">
        <v>-0.29015730000000001</v>
      </c>
      <c r="Z2906">
        <v>7.0230119999999993E-2</v>
      </c>
      <c r="AA2906">
        <v>0.95439850000000004</v>
      </c>
      <c r="AB2906">
        <v>17</v>
      </c>
      <c r="AC2906">
        <v>8.6970999999999705</v>
      </c>
      <c r="AD2906">
        <v>-1.1145650500390001</v>
      </c>
      <c r="AE2906">
        <v>-13.055899999999999</v>
      </c>
      <c r="AF2906">
        <v>-4.5893795383536</v>
      </c>
      <c r="AG2906">
        <v>-1.1145650500390001</v>
      </c>
      <c r="AH2906">
        <v>14.9187078694266</v>
      </c>
      <c r="AI2906">
        <v>94.084377993478</v>
      </c>
      <c r="AJ2906">
        <v>107.09924819368401</v>
      </c>
      <c r="AK2906">
        <v>15.648402611484601</v>
      </c>
      <c r="AL2906">
        <v>79.259070685009604</v>
      </c>
      <c r="AM2906">
        <v>102.69304877426001</v>
      </c>
      <c r="AN2906">
        <v>1.0000000070349899</v>
      </c>
    </row>
    <row r="2907" spans="1:40" x14ac:dyDescent="0.25">
      <c r="A2907" t="str">
        <f>"20190312172425168"</f>
        <v>20190312172425168</v>
      </c>
      <c r="B2907" t="str">
        <f>"1552382665163268"</f>
        <v>1552382665163268</v>
      </c>
      <c r="C2907" t="s">
        <v>40</v>
      </c>
      <c r="D2907">
        <v>3.828856</v>
      </c>
      <c r="E2907">
        <v>0.46975240000000001</v>
      </c>
      <c r="F2907" t="s">
        <v>46</v>
      </c>
      <c r="G2907">
        <v>-481.08150000000001</v>
      </c>
      <c r="H2907" s="1">
        <v>1.92059E-6</v>
      </c>
      <c r="I2907">
        <v>218.7039</v>
      </c>
      <c r="J2907">
        <v>-489.85599999999999</v>
      </c>
      <c r="K2907">
        <v>1.114581</v>
      </c>
      <c r="L2907">
        <v>231.721</v>
      </c>
      <c r="M2907">
        <v>0.29251969999999999</v>
      </c>
      <c r="N2907">
        <v>0</v>
      </c>
      <c r="O2907">
        <v>-0.95615969999999995</v>
      </c>
      <c r="P2907">
        <v>0.48606500000000002</v>
      </c>
      <c r="Q2907">
        <v>0.1749927</v>
      </c>
      <c r="R2907">
        <v>-0.85622359999999897</v>
      </c>
      <c r="S2907">
        <v>1.723633</v>
      </c>
      <c r="T2907">
        <v>-0.21750890000000001</v>
      </c>
      <c r="U2907">
        <v>-2.57193</v>
      </c>
      <c r="V2907">
        <v>-0.21599260000000001</v>
      </c>
      <c r="W2907">
        <v>0.18633279999999999</v>
      </c>
      <c r="X2907">
        <v>0.95845040000000004</v>
      </c>
      <c r="Y2907">
        <v>-0.2879235</v>
      </c>
      <c r="Z2907">
        <v>7.0041220000000001E-2</v>
      </c>
      <c r="AA2907">
        <v>0.95508859999999995</v>
      </c>
      <c r="AB2907">
        <v>17</v>
      </c>
      <c r="AC2907">
        <v>8.7744999999999802</v>
      </c>
      <c r="AD2907">
        <v>-1.1145790794099999</v>
      </c>
      <c r="AE2907">
        <v>-13.0170999999999</v>
      </c>
      <c r="AF2907">
        <v>-4.5595179047998897</v>
      </c>
      <c r="AG2907">
        <v>-1.1145790794099999</v>
      </c>
      <c r="AH2907">
        <v>14.939264630047701</v>
      </c>
      <c r="AI2907">
        <v>94.081586954854799</v>
      </c>
      <c r="AJ2907">
        <v>106.972379840977</v>
      </c>
      <c r="AK2907">
        <v>15.659282158995801</v>
      </c>
      <c r="AL2907">
        <v>79.261151910863305</v>
      </c>
      <c r="AM2907">
        <v>102.699799391258</v>
      </c>
      <c r="AN2907">
        <v>0.99999994243537804</v>
      </c>
    </row>
    <row r="2908" spans="1:40" x14ac:dyDescent="0.25">
      <c r="A2908" t="str">
        <f>"20190312172425190"</f>
        <v>20190312172425190</v>
      </c>
      <c r="B2908" t="str">
        <f>"1552382665182788"</f>
        <v>1552382665182788</v>
      </c>
      <c r="C2908" t="s">
        <v>40</v>
      </c>
      <c r="D2908">
        <v>3.760399</v>
      </c>
      <c r="E2908">
        <v>0.46960429999999997</v>
      </c>
      <c r="F2908" t="s">
        <v>46</v>
      </c>
      <c r="G2908">
        <v>-480.86180000000002</v>
      </c>
      <c r="H2908" s="1">
        <v>1.8742420000000001E-6</v>
      </c>
      <c r="I2908">
        <v>218.535</v>
      </c>
      <c r="J2908">
        <v>-489.79770000000002</v>
      </c>
      <c r="K2908">
        <v>1.1145910000000001</v>
      </c>
      <c r="L2908">
        <v>231.5616</v>
      </c>
      <c r="M2908">
        <v>0.2998363</v>
      </c>
      <c r="N2908">
        <v>0</v>
      </c>
      <c r="O2908">
        <v>-0.95389069999999998</v>
      </c>
      <c r="P2908">
        <v>0.4921741</v>
      </c>
      <c r="Q2908">
        <v>0.1751479</v>
      </c>
      <c r="R2908">
        <v>-0.85269479999999997</v>
      </c>
      <c r="S2908">
        <v>1.744537</v>
      </c>
      <c r="T2908">
        <v>-0.21618699999999999</v>
      </c>
      <c r="U2908">
        <v>-2.5576020000000002</v>
      </c>
      <c r="V2908">
        <v>-0.2155174</v>
      </c>
      <c r="W2908">
        <v>0.18649350000000001</v>
      </c>
      <c r="X2908">
        <v>0.95852610000000005</v>
      </c>
      <c r="Y2908">
        <v>-0.2884256</v>
      </c>
      <c r="Z2908">
        <v>6.9544040000000001E-2</v>
      </c>
      <c r="AA2908">
        <v>0.95497350000000003</v>
      </c>
      <c r="AB2908">
        <v>17</v>
      </c>
      <c r="AC2908">
        <v>8.9359000000000002</v>
      </c>
      <c r="AD2908">
        <v>-1.1145891257579901</v>
      </c>
      <c r="AE2908">
        <v>-13.0266</v>
      </c>
      <c r="AF2908">
        <v>-4.5955864026697402</v>
      </c>
      <c r="AG2908">
        <v>-1.1145891257579901</v>
      </c>
      <c r="AH2908">
        <v>15.031866672982</v>
      </c>
      <c r="AI2908">
        <v>94.055976906979694</v>
      </c>
      <c r="AJ2908">
        <v>106.999594116663</v>
      </c>
      <c r="AK2908">
        <v>15.758132471139101</v>
      </c>
      <c r="AL2908">
        <v>79.251780068798297</v>
      </c>
      <c r="AM2908">
        <v>102.671793683917</v>
      </c>
      <c r="AN2908">
        <v>0.99999992981310704</v>
      </c>
    </row>
    <row r="2909" spans="1:40" x14ac:dyDescent="0.25">
      <c r="A2909" t="str">
        <f>"20190312172425214"</f>
        <v>20190312172425214</v>
      </c>
      <c r="B2909" t="str">
        <f>"1552382665203284"</f>
        <v>1552382665203284</v>
      </c>
      <c r="C2909" t="s">
        <v>40</v>
      </c>
      <c r="D2909">
        <v>3.810413</v>
      </c>
      <c r="E2909">
        <v>0.4695048</v>
      </c>
      <c r="F2909" t="s">
        <v>46</v>
      </c>
      <c r="G2909">
        <v>-480.66730000000001</v>
      </c>
      <c r="H2909" s="1">
        <v>1.833419E-6</v>
      </c>
      <c r="I2909">
        <v>218.39060000000001</v>
      </c>
      <c r="J2909">
        <v>-489.733</v>
      </c>
      <c r="K2909">
        <v>1.1146020000000001</v>
      </c>
      <c r="L2909">
        <v>231.38919999999999</v>
      </c>
      <c r="M2909">
        <v>0.30782179999999998</v>
      </c>
      <c r="N2909">
        <v>0</v>
      </c>
      <c r="O2909">
        <v>-0.95134359999999996</v>
      </c>
      <c r="P2909">
        <v>0.49907620000000003</v>
      </c>
      <c r="Q2909">
        <v>0.17530660000000001</v>
      </c>
      <c r="R2909">
        <v>-0.84864069999999903</v>
      </c>
      <c r="S2909">
        <v>1.7638240000000001</v>
      </c>
      <c r="T2909">
        <v>-0.2153177</v>
      </c>
      <c r="U2909">
        <v>-2.5443880000000001</v>
      </c>
      <c r="V2909">
        <v>-0.21527579999999999</v>
      </c>
      <c r="W2909">
        <v>0.18665470000000001</v>
      </c>
      <c r="X2909">
        <v>0.95854910000000004</v>
      </c>
      <c r="Y2909">
        <v>-0.28762659999999901</v>
      </c>
      <c r="Z2909">
        <v>6.9161070000000005E-2</v>
      </c>
      <c r="AA2909">
        <v>0.95524219999999904</v>
      </c>
      <c r="AB2909">
        <v>17</v>
      </c>
      <c r="AC2909">
        <v>9.0656999999999908</v>
      </c>
      <c r="AD2909">
        <v>-1.1146001665809999</v>
      </c>
      <c r="AE2909">
        <v>-12.9985999999999</v>
      </c>
      <c r="AF2909">
        <v>-4.6010257410865503</v>
      </c>
      <c r="AG2909">
        <v>-1.1146001665809999</v>
      </c>
      <c r="AH2909">
        <v>15.083591367448699</v>
      </c>
      <c r="AI2909">
        <v>94.042928289317999</v>
      </c>
      <c r="AJ2909">
        <v>106.96354905807</v>
      </c>
      <c r="AK2909">
        <v>15.809063854057101</v>
      </c>
      <c r="AL2909">
        <v>79.242379808342804</v>
      </c>
      <c r="AM2909">
        <v>102.657752344645</v>
      </c>
      <c r="AN2909">
        <v>1.00000001210427</v>
      </c>
    </row>
    <row r="2910" spans="1:40" x14ac:dyDescent="0.25">
      <c r="A2910" t="str">
        <f>"20190312172425237"</f>
        <v>20190312172425237</v>
      </c>
      <c r="B2910" t="str">
        <f>"1552382665232564"</f>
        <v>1552382665232564</v>
      </c>
      <c r="C2910" t="s">
        <v>40</v>
      </c>
      <c r="D2910">
        <v>3.8926449999999999</v>
      </c>
      <c r="E2910">
        <v>0.46946389999999999</v>
      </c>
      <c r="F2910" t="s">
        <v>46</v>
      </c>
      <c r="G2910">
        <v>-480.46929999999998</v>
      </c>
      <c r="H2910" s="1">
        <v>1.792729E-6</v>
      </c>
      <c r="I2910">
        <v>218.2629</v>
      </c>
      <c r="J2910">
        <v>-489.6721</v>
      </c>
      <c r="K2910">
        <v>1.114619</v>
      </c>
      <c r="L2910">
        <v>231.2311</v>
      </c>
      <c r="M2910">
        <v>0.31520809999999999</v>
      </c>
      <c r="N2910">
        <v>0</v>
      </c>
      <c r="O2910">
        <v>-0.94892189999999998</v>
      </c>
      <c r="P2910">
        <v>0.50515900000000002</v>
      </c>
      <c r="Q2910">
        <v>0.17527879999999901</v>
      </c>
      <c r="R2910">
        <v>-0.84504009999999996</v>
      </c>
      <c r="S2910">
        <v>1.7852169999999901</v>
      </c>
      <c r="T2910">
        <v>-0.21479709999999999</v>
      </c>
      <c r="U2910">
        <v>-2.5296020000000001</v>
      </c>
      <c r="V2910">
        <v>-0.2147107</v>
      </c>
      <c r="W2910">
        <v>0.18663450000000001</v>
      </c>
      <c r="X2910">
        <v>0.95867970000000002</v>
      </c>
      <c r="Y2910">
        <v>-0.28821550000000001</v>
      </c>
      <c r="Z2910">
        <v>6.8906200000000001E-2</v>
      </c>
      <c r="AA2910">
        <v>0.95508309999999996</v>
      </c>
      <c r="AB2910">
        <v>17</v>
      </c>
      <c r="AC2910">
        <v>9.2028000000000194</v>
      </c>
      <c r="AD2910">
        <v>-1.1146172072709899</v>
      </c>
      <c r="AE2910">
        <v>-12.9681999999999</v>
      </c>
      <c r="AF2910">
        <v>-4.6227881060747604</v>
      </c>
      <c r="AG2910">
        <v>-1.1146172072709899</v>
      </c>
      <c r="AH2910">
        <v>15.133704730725199</v>
      </c>
      <c r="AI2910">
        <v>94.029166335471402</v>
      </c>
      <c r="AJ2910">
        <v>106.985977315499</v>
      </c>
      <c r="AK2910">
        <v>15.863214058606999</v>
      </c>
      <c r="AL2910">
        <v>79.243557146129106</v>
      </c>
      <c r="AM2910">
        <v>102.62392738172301</v>
      </c>
      <c r="AN2910">
        <v>0.99999994423841299</v>
      </c>
    </row>
    <row r="2911" spans="1:40" x14ac:dyDescent="0.25">
      <c r="A2911" t="str">
        <f>"20190312172425256"</f>
        <v>20190312172425256</v>
      </c>
      <c r="B2911" t="str">
        <f>"1552382665253060"</f>
        <v>1552382665253060</v>
      </c>
      <c r="C2911" t="s">
        <v>40</v>
      </c>
      <c r="D2911">
        <v>3.737012</v>
      </c>
      <c r="E2911">
        <v>0.46954420000000002</v>
      </c>
      <c r="F2911" t="s">
        <v>46</v>
      </c>
      <c r="G2911">
        <v>-480.34320000000002</v>
      </c>
      <c r="H2911" s="1">
        <v>1.768397E-6</v>
      </c>
      <c r="I2911">
        <v>218.21809999999999</v>
      </c>
      <c r="J2911">
        <v>-489.61660000000001</v>
      </c>
      <c r="K2911">
        <v>1.1146290000000001</v>
      </c>
      <c r="L2911">
        <v>231.09030000000001</v>
      </c>
      <c r="M2911">
        <v>0.32183220000000001</v>
      </c>
      <c r="N2911">
        <v>0</v>
      </c>
      <c r="O2911">
        <v>-0.94669550000000002</v>
      </c>
      <c r="P2911">
        <v>0.51051120000000005</v>
      </c>
      <c r="Q2911">
        <v>0.17558260000000001</v>
      </c>
      <c r="R2911">
        <v>-0.84175349999999904</v>
      </c>
      <c r="S2911">
        <v>1.8040160000000001</v>
      </c>
      <c r="T2911">
        <v>-0.21554329999999999</v>
      </c>
      <c r="U2911">
        <v>-2.5164339999999998</v>
      </c>
      <c r="V2911">
        <v>-0.21412049999999999</v>
      </c>
      <c r="W2911">
        <v>0.18694469999999999</v>
      </c>
      <c r="X2911">
        <v>0.95875129999999997</v>
      </c>
      <c r="Y2911">
        <v>-0.28859669999999998</v>
      </c>
      <c r="Z2911">
        <v>6.9058930000000004E-2</v>
      </c>
      <c r="AA2911">
        <v>0.9549569</v>
      </c>
      <c r="AB2911">
        <v>17</v>
      </c>
      <c r="AC2911">
        <v>9.2733999999999792</v>
      </c>
      <c r="AD2911">
        <v>-1.1146272316029999</v>
      </c>
      <c r="AE2911">
        <v>-12.872199999999999</v>
      </c>
      <c r="AF2911">
        <v>-4.6140659567325004</v>
      </c>
      <c r="AG2911">
        <v>-1.1146272316029999</v>
      </c>
      <c r="AH2911">
        <v>15.097462231968899</v>
      </c>
      <c r="AI2911">
        <v>94.038667866465502</v>
      </c>
      <c r="AJ2911">
        <v>106.994129344703</v>
      </c>
      <c r="AK2911">
        <v>15.826097572182301</v>
      </c>
      <c r="AL2911">
        <v>79.225465996787307</v>
      </c>
      <c r="AM2911">
        <v>102.58942403478</v>
      </c>
      <c r="AN2911">
        <v>0.99999998231501397</v>
      </c>
    </row>
    <row r="2912" spans="1:40" x14ac:dyDescent="0.25">
      <c r="A2912" t="str">
        <f>"20190312172425280"</f>
        <v>20190312172425280</v>
      </c>
      <c r="B2912" t="str">
        <f>"1552382665272580"</f>
        <v>1552382665272580</v>
      </c>
      <c r="C2912" t="s">
        <v>40</v>
      </c>
      <c r="D2912">
        <v>3.7782239999999998</v>
      </c>
      <c r="E2912">
        <v>0.46969149999999998</v>
      </c>
      <c r="F2912" t="s">
        <v>46</v>
      </c>
      <c r="G2912">
        <v>-480.1549</v>
      </c>
      <c r="H2912" s="1">
        <v>1.7285069999999901E-6</v>
      </c>
      <c r="I2912">
        <v>218.06960000000001</v>
      </c>
      <c r="J2912">
        <v>-489.5496</v>
      </c>
      <c r="K2912">
        <v>1.1146339999999999</v>
      </c>
      <c r="L2912">
        <v>230.9238</v>
      </c>
      <c r="M2912">
        <v>0.32971200000000001</v>
      </c>
      <c r="N2912">
        <v>0</v>
      </c>
      <c r="O2912">
        <v>-0.94398009999999999</v>
      </c>
      <c r="P2912">
        <v>0.51724579999999998</v>
      </c>
      <c r="Q2912">
        <v>0.17584669999999999</v>
      </c>
      <c r="R2912">
        <v>-0.83757719999999902</v>
      </c>
      <c r="S2912">
        <v>1.82019</v>
      </c>
      <c r="T2912">
        <v>-0.21442539999999999</v>
      </c>
      <c r="U2912">
        <v>-2.5048520000000001</v>
      </c>
      <c r="V2912">
        <v>-0.213841</v>
      </c>
      <c r="W2912">
        <v>0.18721209999999999</v>
      </c>
      <c r="X2912">
        <v>0.95876150000000004</v>
      </c>
      <c r="Y2912">
        <v>-0.28677129999999901</v>
      </c>
      <c r="Z2912">
        <v>6.8571649999999998E-2</v>
      </c>
      <c r="AA2912">
        <v>0.9555418</v>
      </c>
      <c r="AB2912">
        <v>17</v>
      </c>
      <c r="AC2912">
        <v>9.3947000000000003</v>
      </c>
      <c r="AD2912">
        <v>-1.1146322714929999</v>
      </c>
      <c r="AE2912">
        <v>-12.854199999999899</v>
      </c>
      <c r="AF2912">
        <v>-4.6080843539336698</v>
      </c>
      <c r="AG2912">
        <v>-1.1146322714929999</v>
      </c>
      <c r="AH2912">
        <v>15.1588173427216</v>
      </c>
      <c r="AI2912">
        <v>94.024218041467705</v>
      </c>
      <c r="AJ2912">
        <v>106.908593249625</v>
      </c>
      <c r="AK2912">
        <v>15.8829024344929</v>
      </c>
      <c r="AL2912">
        <v>79.209869714460694</v>
      </c>
      <c r="AM2912">
        <v>102.57338391392599</v>
      </c>
      <c r="AN2912">
        <v>0.99999997877482905</v>
      </c>
    </row>
    <row r="2913" spans="1:40" x14ac:dyDescent="0.25">
      <c r="A2913" t="str">
        <f>"20190312172425302"</f>
        <v>20190312172425302</v>
      </c>
      <c r="B2913" t="str">
        <f>"1552382665293076"</f>
        <v>1552382665293076</v>
      </c>
      <c r="C2913" t="s">
        <v>40</v>
      </c>
      <c r="D2913">
        <v>3.7813880000000002</v>
      </c>
      <c r="E2913">
        <v>0.46982849999999998</v>
      </c>
      <c r="F2913" t="s">
        <v>46</v>
      </c>
      <c r="G2913">
        <v>-479.96589999999998</v>
      </c>
      <c r="H2913" s="1">
        <v>1.6895789999999999E-6</v>
      </c>
      <c r="I2913">
        <v>217.9461</v>
      </c>
      <c r="J2913">
        <v>-489.48570000000001</v>
      </c>
      <c r="K2913">
        <v>1.1146400000000001</v>
      </c>
      <c r="L2913">
        <v>230.7689</v>
      </c>
      <c r="M2913">
        <v>0.33708100000000002</v>
      </c>
      <c r="N2913">
        <v>0</v>
      </c>
      <c r="O2913">
        <v>-0.94137369999999998</v>
      </c>
      <c r="P2913">
        <v>0.52340299999999995</v>
      </c>
      <c r="Q2913">
        <v>0.17587169999999999</v>
      </c>
      <c r="R2913">
        <v>-0.83373759999999997</v>
      </c>
      <c r="S2913">
        <v>1.839386</v>
      </c>
      <c r="T2913">
        <v>-0.21392920000000001</v>
      </c>
      <c r="U2913">
        <v>-2.4907840000000001</v>
      </c>
      <c r="V2913">
        <v>-0.21341170000000001</v>
      </c>
      <c r="W2913">
        <v>0.18724589999999999</v>
      </c>
      <c r="X2913">
        <v>0.9588506</v>
      </c>
      <c r="Y2913">
        <v>-0.28663810000000001</v>
      </c>
      <c r="Z2913">
        <v>6.8307329999999999E-2</v>
      </c>
      <c r="AA2913">
        <v>0.95560069999999997</v>
      </c>
      <c r="AB2913">
        <v>17</v>
      </c>
      <c r="AC2913">
        <v>9.5198000000000302</v>
      </c>
      <c r="AD2913">
        <v>-1.11463831042099</v>
      </c>
      <c r="AE2913">
        <v>-12.822800000000001</v>
      </c>
      <c r="AF2913">
        <v>-4.61732027991264</v>
      </c>
      <c r="AG2913">
        <v>-1.11463831042099</v>
      </c>
      <c r="AH2913">
        <v>15.207378058149599</v>
      </c>
      <c r="AI2913">
        <v>94.011835566655705</v>
      </c>
      <c r="AJ2913">
        <v>106.88953291408301</v>
      </c>
      <c r="AK2913">
        <v>15.931930596567399</v>
      </c>
      <c r="AL2913">
        <v>79.2078987804109</v>
      </c>
      <c r="AM2913">
        <v>102.547813135954</v>
      </c>
      <c r="AN2913">
        <v>1.0000000269420199</v>
      </c>
    </row>
    <row r="2914" spans="1:40" x14ac:dyDescent="0.25">
      <c r="A2914" t="str">
        <f>"20190312172425324"</f>
        <v>20190312172425324</v>
      </c>
      <c r="B2914" t="str">
        <f>"1552382665312599"</f>
        <v>1552382665312599</v>
      </c>
      <c r="C2914" t="s">
        <v>40</v>
      </c>
      <c r="D2914">
        <v>3.7744819999999999</v>
      </c>
      <c r="E2914">
        <v>0.47003460000000002</v>
      </c>
      <c r="F2914" t="s">
        <v>46</v>
      </c>
      <c r="G2914">
        <v>-479.82639999999998</v>
      </c>
      <c r="H2914" s="1">
        <v>1.743542E-6</v>
      </c>
      <c r="I2914">
        <v>217.8811</v>
      </c>
      <c r="J2914">
        <v>-489.42360000000002</v>
      </c>
      <c r="K2914">
        <v>1.11463</v>
      </c>
      <c r="L2914">
        <v>230.62219999999999</v>
      </c>
      <c r="M2914">
        <v>0.34409020000000001</v>
      </c>
      <c r="N2914">
        <v>0</v>
      </c>
      <c r="O2914">
        <v>-0.93883450000000002</v>
      </c>
      <c r="P2914">
        <v>0.52920599999999995</v>
      </c>
      <c r="Q2914">
        <v>0.1757398</v>
      </c>
      <c r="R2914">
        <v>-0.83009439999999901</v>
      </c>
      <c r="S2914">
        <v>1.8569640000000001</v>
      </c>
      <c r="T2914">
        <v>-0.21428620000000001</v>
      </c>
      <c r="U2914">
        <v>-2.4776609999999999</v>
      </c>
      <c r="V2914">
        <v>-0.21293509999999999</v>
      </c>
      <c r="W2914">
        <v>0.18712590000000001</v>
      </c>
      <c r="X2914">
        <v>0.9589799</v>
      </c>
      <c r="Y2914">
        <v>-0.28626479999999999</v>
      </c>
      <c r="Z2914">
        <v>6.8312890000000001E-2</v>
      </c>
      <c r="AA2914">
        <v>0.95571220000000001</v>
      </c>
      <c r="AB2914">
        <v>17</v>
      </c>
      <c r="AC2914">
        <v>9.5972000000000399</v>
      </c>
      <c r="AD2914">
        <v>-1.1146282564579999</v>
      </c>
      <c r="AE2914">
        <v>-12.7410999999999</v>
      </c>
      <c r="AF2914">
        <v>-4.60405750283459</v>
      </c>
      <c r="AG2914">
        <v>-1.1146282564579999</v>
      </c>
      <c r="AH2914">
        <v>15.1913732334478</v>
      </c>
      <c r="AI2914">
        <v>94.016627427220499</v>
      </c>
      <c r="AJ2914">
        <v>106.86050961418</v>
      </c>
      <c r="AK2914">
        <v>15.912811265059799</v>
      </c>
      <c r="AL2914">
        <v>79.214897191368195</v>
      </c>
      <c r="AM2914">
        <v>102.519040458647</v>
      </c>
      <c r="AN2914">
        <v>0.99999995393341401</v>
      </c>
    </row>
    <row r="2915" spans="1:40" x14ac:dyDescent="0.25">
      <c r="A2915" t="str">
        <f>"20190312172425346"</f>
        <v>20190312172425346</v>
      </c>
      <c r="B2915" t="str">
        <f>"1552382665342852"</f>
        <v>1552382665342852</v>
      </c>
      <c r="C2915" t="s">
        <v>40</v>
      </c>
      <c r="D2915">
        <v>3.7637200000000002</v>
      </c>
      <c r="E2915">
        <v>0.47037770000000001</v>
      </c>
      <c r="F2915" t="s">
        <v>46</v>
      </c>
      <c r="G2915">
        <v>-479.72710000000001</v>
      </c>
      <c r="H2915" s="1">
        <v>1.7863139999999999E-6</v>
      </c>
      <c r="I2915">
        <v>217.85239999999999</v>
      </c>
      <c r="J2915">
        <v>-489.35719999999998</v>
      </c>
      <c r="K2915">
        <v>1.1146049999999901</v>
      </c>
      <c r="L2915">
        <v>230.4682</v>
      </c>
      <c r="M2915">
        <v>0.35146260000000001</v>
      </c>
      <c r="N2915">
        <v>0</v>
      </c>
      <c r="O2915">
        <v>-0.93609949999999997</v>
      </c>
      <c r="P2915">
        <v>0.53522959999999997</v>
      </c>
      <c r="Q2915">
        <v>0.1756993</v>
      </c>
      <c r="R2915">
        <v>-0.82623230000000003</v>
      </c>
      <c r="S2915">
        <v>1.8724369999999999</v>
      </c>
      <c r="T2915">
        <v>-0.2152394</v>
      </c>
      <c r="U2915">
        <v>-2.465897</v>
      </c>
      <c r="V2915">
        <v>-0.2123554</v>
      </c>
      <c r="W2915">
        <v>0.18710209999999999</v>
      </c>
      <c r="X2915">
        <v>0.95911310000000005</v>
      </c>
      <c r="Y2915">
        <v>-0.284721</v>
      </c>
      <c r="Z2915">
        <v>6.848253E-2</v>
      </c>
      <c r="AA2915">
        <v>0.95616109999999999</v>
      </c>
      <c r="AB2915">
        <v>17</v>
      </c>
      <c r="AC2915">
        <v>9.6300999999999704</v>
      </c>
      <c r="AD2915">
        <v>-1.11460321368599</v>
      </c>
      <c r="AE2915">
        <v>-12.6158</v>
      </c>
      <c r="AF2915">
        <v>-4.55870597409782</v>
      </c>
      <c r="AG2915">
        <v>-1.11460321368599</v>
      </c>
      <c r="AH2915">
        <v>15.121144669907499</v>
      </c>
      <c r="AI2915">
        <v>94.036903709171298</v>
      </c>
      <c r="AJ2915">
        <v>106.776950535042</v>
      </c>
      <c r="AK2915">
        <v>15.832661071674201</v>
      </c>
      <c r="AL2915">
        <v>79.216285579999393</v>
      </c>
      <c r="AM2915">
        <v>102.48434885953399</v>
      </c>
      <c r="AN2915">
        <v>0.99999997516258898</v>
      </c>
    </row>
    <row r="2916" spans="1:40" x14ac:dyDescent="0.25">
      <c r="A2916" t="str">
        <f>"20190312172425369"</f>
        <v>20190312172425369</v>
      </c>
      <c r="B2916" t="str">
        <f>"1552382665363348"</f>
        <v>1552382665363348</v>
      </c>
      <c r="C2916" t="s">
        <v>40</v>
      </c>
      <c r="D2916">
        <v>3.7594409999999998</v>
      </c>
      <c r="E2916">
        <v>0.47932409999999998</v>
      </c>
      <c r="F2916" t="s">
        <v>46</v>
      </c>
      <c r="G2916">
        <v>-479.63170000000002</v>
      </c>
      <c r="H2916" s="1">
        <v>1.8277150000000001E-6</v>
      </c>
      <c r="I2916">
        <v>217.8313</v>
      </c>
      <c r="J2916">
        <v>-489.28919999999999</v>
      </c>
      <c r="K2916">
        <v>1.114582</v>
      </c>
      <c r="L2916">
        <v>230.31399999999999</v>
      </c>
      <c r="M2916">
        <v>0.35885329999999999</v>
      </c>
      <c r="N2916">
        <v>0</v>
      </c>
      <c r="O2916">
        <v>-0.93329130000000005</v>
      </c>
      <c r="P2916">
        <v>0.54133769999999903</v>
      </c>
      <c r="Q2916">
        <v>0.17587649999999999</v>
      </c>
      <c r="R2916">
        <v>-0.82220519999999997</v>
      </c>
      <c r="S2916">
        <v>1.8883669999999999</v>
      </c>
      <c r="T2916">
        <v>-0.21641769999999999</v>
      </c>
      <c r="U2916">
        <v>-2.453659</v>
      </c>
      <c r="V2916">
        <v>-0.21188180000000001</v>
      </c>
      <c r="W2916">
        <v>0.18729689999999999</v>
      </c>
      <c r="X2916">
        <v>0.95917989999999997</v>
      </c>
      <c r="Y2916">
        <v>-0.28333320000000001</v>
      </c>
      <c r="Z2916">
        <v>6.8717879999999995E-2</v>
      </c>
      <c r="AA2916">
        <v>0.95655639999999997</v>
      </c>
      <c r="AB2916">
        <v>17</v>
      </c>
      <c r="AC2916">
        <v>9.6574999999999704</v>
      </c>
      <c r="AD2916">
        <v>-1.1145801722849999</v>
      </c>
      <c r="AE2916">
        <v>-12.482699999999999</v>
      </c>
      <c r="AF2916">
        <v>-4.5117353118342303</v>
      </c>
      <c r="AG2916">
        <v>-1.1145801722849999</v>
      </c>
      <c r="AH2916">
        <v>15.0420489515716</v>
      </c>
      <c r="AI2916">
        <v>94.059691682582596</v>
      </c>
      <c r="AJ2916">
        <v>106.696171184421</v>
      </c>
      <c r="AK2916">
        <v>15.743610803941399</v>
      </c>
      <c r="AL2916">
        <v>79.204924355073004</v>
      </c>
      <c r="AM2916">
        <v>102.45653561759001</v>
      </c>
      <c r="AN2916">
        <v>1.00000005324242</v>
      </c>
    </row>
    <row r="2917" spans="1:40" x14ac:dyDescent="0.25">
      <c r="A2917" t="str">
        <f>"20190312172425392"</f>
        <v>20190312172425392</v>
      </c>
      <c r="B2917" t="str">
        <f>"1552382665382877"</f>
        <v>1552382665382877</v>
      </c>
      <c r="C2917" t="s">
        <v>40</v>
      </c>
      <c r="D2917">
        <v>3.7993260000000002</v>
      </c>
      <c r="E2917">
        <v>0.479097</v>
      </c>
      <c r="F2917" t="s">
        <v>46</v>
      </c>
      <c r="G2917">
        <v>-480.93279999999999</v>
      </c>
      <c r="H2917" s="1">
        <v>1.9118820000000002E-6</v>
      </c>
      <c r="I2917">
        <v>219.108</v>
      </c>
      <c r="J2917">
        <v>-489.2165</v>
      </c>
      <c r="K2917">
        <v>1.1145499999999999</v>
      </c>
      <c r="L2917">
        <v>230.15260000000001</v>
      </c>
      <c r="M2917">
        <v>0.36658940000000001</v>
      </c>
      <c r="N2917">
        <v>0</v>
      </c>
      <c r="O2917">
        <v>-0.93027969999999904</v>
      </c>
      <c r="P2917">
        <v>0.54729119999999998</v>
      </c>
      <c r="Q2917">
        <v>0.17581160000000001</v>
      </c>
      <c r="R2917">
        <v>-0.81826809999999905</v>
      </c>
      <c r="S2917">
        <v>1.851318</v>
      </c>
      <c r="T2917">
        <v>-0.2469285</v>
      </c>
      <c r="U2917">
        <v>-2.4826350000000001</v>
      </c>
      <c r="V2917">
        <v>-0.2108592</v>
      </c>
      <c r="W2917">
        <v>0.1872566</v>
      </c>
      <c r="X2917">
        <v>0.95941310000000002</v>
      </c>
      <c r="Y2917">
        <v>-0.26033790000000001</v>
      </c>
      <c r="Z2917">
        <v>7.7830170000000004E-2</v>
      </c>
      <c r="AA2917">
        <v>0.96237550000000005</v>
      </c>
      <c r="AB2917">
        <v>17</v>
      </c>
      <c r="AC2917">
        <v>8.2837000000000103</v>
      </c>
      <c r="AD2917">
        <v>-1.1145480881180001</v>
      </c>
      <c r="AE2917">
        <v>-11.044600000000001</v>
      </c>
      <c r="AF2917">
        <v>-3.63399177918139</v>
      </c>
      <c r="AG2917">
        <v>-1.1145480881180001</v>
      </c>
      <c r="AH2917">
        <v>13.226360879180399</v>
      </c>
      <c r="AI2917">
        <v>94.645418831011298</v>
      </c>
      <c r="AJ2917">
        <v>105.36313142047401</v>
      </c>
      <c r="AK2917">
        <v>13.761712676778201</v>
      </c>
      <c r="AL2917">
        <v>79.207275108092503</v>
      </c>
      <c r="AM2917">
        <v>102.395360007409</v>
      </c>
      <c r="AN2917">
        <v>1.0000000664599</v>
      </c>
    </row>
    <row r="2918" spans="1:40" x14ac:dyDescent="0.25">
      <c r="A2918" t="str">
        <f>"20190312172425416"</f>
        <v>20190312172425416</v>
      </c>
      <c r="B2918" t="str">
        <f>"1552382665413124"</f>
        <v>1552382665413124</v>
      </c>
      <c r="C2918" t="s">
        <v>40</v>
      </c>
      <c r="D2918">
        <v>3.6708620000000001</v>
      </c>
      <c r="E2918">
        <v>0.45902270000000001</v>
      </c>
      <c r="F2918" t="s">
        <v>46</v>
      </c>
      <c r="G2918">
        <v>-480.86739999999998</v>
      </c>
      <c r="H2918" s="1">
        <v>1.9018280000000001E-6</v>
      </c>
      <c r="I2918">
        <v>219.14349999999999</v>
      </c>
      <c r="J2918">
        <v>-489.1429</v>
      </c>
      <c r="K2918">
        <v>1.1145229999999999</v>
      </c>
      <c r="L2918">
        <v>229.99279999999999</v>
      </c>
      <c r="M2918">
        <v>0.37423899999999999</v>
      </c>
      <c r="N2918">
        <v>0</v>
      </c>
      <c r="O2918">
        <v>-0.92722879999999996</v>
      </c>
      <c r="P2918">
        <v>0.55301829999999996</v>
      </c>
      <c r="Q2918">
        <v>0.17526429999999901</v>
      </c>
      <c r="R2918">
        <v>-0.81452669999999905</v>
      </c>
      <c r="S2918">
        <v>1.8717349999999999</v>
      </c>
      <c r="T2918">
        <v>-0.24986330000000001</v>
      </c>
      <c r="U2918">
        <v>-2.468048</v>
      </c>
      <c r="V2918">
        <v>-0.209623</v>
      </c>
      <c r="W2918">
        <v>0.18673709999999999</v>
      </c>
      <c r="X2918">
        <v>0.95978509999999995</v>
      </c>
      <c r="Y2918">
        <v>-0.26014100000000001</v>
      </c>
      <c r="Z2918">
        <v>7.8568159999999998E-2</v>
      </c>
      <c r="AA2918">
        <v>0.96236880000000002</v>
      </c>
      <c r="AB2918">
        <v>17</v>
      </c>
      <c r="AC2918">
        <v>8.2755000000000205</v>
      </c>
      <c r="AD2918">
        <v>-1.114521098172</v>
      </c>
      <c r="AE2918">
        <v>-10.849299999999999</v>
      </c>
      <c r="AF2918">
        <v>-3.5894508299058199</v>
      </c>
      <c r="AG2918">
        <v>-1.114521098172</v>
      </c>
      <c r="AH2918">
        <v>13.0708599724534</v>
      </c>
      <c r="AI2918">
        <v>94.700490863852707</v>
      </c>
      <c r="AJ2918">
        <v>105.3557274873</v>
      </c>
      <c r="AK2918">
        <v>13.6005034817858</v>
      </c>
      <c r="AL2918">
        <v>79.237573927304098</v>
      </c>
      <c r="AM2918">
        <v>102.320286249185</v>
      </c>
      <c r="AN2918">
        <v>0.99999999241370996</v>
      </c>
    </row>
    <row r="2919" spans="1:40" x14ac:dyDescent="0.25">
      <c r="A2919" t="str">
        <f>"20190312172425437"</f>
        <v>20190312172425437</v>
      </c>
      <c r="B2919" t="str">
        <f>"1552382665432644"</f>
        <v>1552382665432644</v>
      </c>
      <c r="C2919" t="s">
        <v>40</v>
      </c>
      <c r="D2919">
        <v>3.657543</v>
      </c>
      <c r="E2919">
        <v>0.45724189999999998</v>
      </c>
      <c r="F2919" t="s">
        <v>46</v>
      </c>
      <c r="G2919">
        <v>-479.09620000000001</v>
      </c>
      <c r="H2919" s="1">
        <v>2.0831149999999998E-6</v>
      </c>
      <c r="I2919">
        <v>218.2415</v>
      </c>
      <c r="J2919">
        <v>-489.07510000000002</v>
      </c>
      <c r="K2919">
        <v>1.1144940000000001</v>
      </c>
      <c r="L2919">
        <v>229.8485</v>
      </c>
      <c r="M2919">
        <v>0.38113789999999997</v>
      </c>
      <c r="N2919">
        <v>0</v>
      </c>
      <c r="O2919">
        <v>-0.92441459999999998</v>
      </c>
      <c r="P2919">
        <v>0.55792229999999998</v>
      </c>
      <c r="Q2919">
        <v>0.17389959999999999</v>
      </c>
      <c r="R2919">
        <v>-0.811469199999999</v>
      </c>
      <c r="S2919">
        <v>2.0184329999999999</v>
      </c>
      <c r="T2919">
        <v>-0.22391269999999999</v>
      </c>
      <c r="U2919">
        <v>-2.3608859999999998</v>
      </c>
      <c r="V2919">
        <v>-0.20812249999999999</v>
      </c>
      <c r="W2919">
        <v>0.18540229999999999</v>
      </c>
      <c r="X2919">
        <v>0.96037019999999995</v>
      </c>
      <c r="Y2919">
        <v>-0.3093052</v>
      </c>
      <c r="Z2919">
        <v>7.0838170000000006E-2</v>
      </c>
      <c r="AA2919">
        <v>0.94832070000000002</v>
      </c>
      <c r="AB2919">
        <v>17</v>
      </c>
      <c r="AC2919">
        <v>9.9789000000000101</v>
      </c>
      <c r="AD2919">
        <v>-1.114491916885</v>
      </c>
      <c r="AE2919">
        <v>-11.606999999999999</v>
      </c>
      <c r="AF2919">
        <v>-4.7759146912627397</v>
      </c>
      <c r="AG2919">
        <v>-1.114491916885</v>
      </c>
      <c r="AH2919">
        <v>14.4577648305333</v>
      </c>
      <c r="AI2919">
        <v>94.186344965596902</v>
      </c>
      <c r="AJ2919">
        <v>108.28022930354599</v>
      </c>
      <c r="AK2919">
        <v>15.266905949341099</v>
      </c>
      <c r="AL2919">
        <v>79.315411246018002</v>
      </c>
      <c r="AM2919">
        <v>102.227532548132</v>
      </c>
      <c r="AN2919">
        <v>0.99999995444978795</v>
      </c>
    </row>
    <row r="2920" spans="1:40" x14ac:dyDescent="0.25">
      <c r="A2920" t="str">
        <f>"20190312172425458"</f>
        <v>20190312172425458</v>
      </c>
      <c r="B2920" t="str">
        <f>"1552382665453140"</f>
        <v>1552382665453140</v>
      </c>
      <c r="C2920" t="s">
        <v>40</v>
      </c>
      <c r="D2920">
        <v>3.7264050000000002</v>
      </c>
      <c r="E2920">
        <v>0.45604749999999999</v>
      </c>
      <c r="F2920" t="s">
        <v>46</v>
      </c>
      <c r="G2920">
        <v>-479.51870000000002</v>
      </c>
      <c r="H2920" s="1">
        <v>1.9249509999999999E-6</v>
      </c>
      <c r="I2920">
        <v>218.90950000000001</v>
      </c>
      <c r="J2920">
        <v>-489.00700000000001</v>
      </c>
      <c r="K2920">
        <v>1.114468</v>
      </c>
      <c r="L2920">
        <v>229.7062</v>
      </c>
      <c r="M2920">
        <v>0.38793369999999999</v>
      </c>
      <c r="N2920">
        <v>0</v>
      </c>
      <c r="O2920">
        <v>-0.92158329999999999</v>
      </c>
      <c r="P2920">
        <v>0.56259550000000003</v>
      </c>
      <c r="Q2920">
        <v>0.1732225</v>
      </c>
      <c r="R2920">
        <v>-0.80838149999999998</v>
      </c>
      <c r="S2920">
        <v>2.0456850000000002</v>
      </c>
      <c r="T2920">
        <v>-0.23857249999999999</v>
      </c>
      <c r="U2920">
        <v>-2.3416290000000002</v>
      </c>
      <c r="V2920">
        <v>-0.2065176</v>
      </c>
      <c r="W2920">
        <v>0.1847529</v>
      </c>
      <c r="X2920">
        <v>0.96084170000000002</v>
      </c>
      <c r="Y2920">
        <v>-0.31220679999999901</v>
      </c>
      <c r="Z2920">
        <v>7.5287110000000004E-2</v>
      </c>
      <c r="AA2920">
        <v>0.94702629999999999</v>
      </c>
      <c r="AB2920">
        <v>17</v>
      </c>
      <c r="AC2920">
        <v>9.4882999999999207</v>
      </c>
      <c r="AD2920">
        <v>-1.1144660750489901</v>
      </c>
      <c r="AE2920">
        <v>-10.7966999999999</v>
      </c>
      <c r="AF2920">
        <v>-4.5290635045151797</v>
      </c>
      <c r="AG2920">
        <v>-1.1144660750489901</v>
      </c>
      <c r="AH2920">
        <v>13.5507307909832</v>
      </c>
      <c r="AI2920">
        <v>94.460181723204698</v>
      </c>
      <c r="AJ2920">
        <v>108.481184540168</v>
      </c>
      <c r="AK2920">
        <v>14.3309719080761</v>
      </c>
      <c r="AL2920">
        <v>79.353273324976001</v>
      </c>
      <c r="AM2920">
        <v>102.130268530691</v>
      </c>
      <c r="AN2920">
        <v>0.99999996281352899</v>
      </c>
    </row>
    <row r="2921" spans="1:40" x14ac:dyDescent="0.25">
      <c r="A2921" t="str">
        <f>"20190312172425482"</f>
        <v>20190312172425482</v>
      </c>
      <c r="B2921" t="str">
        <f>"1552382665472659"</f>
        <v>1552382665472659</v>
      </c>
      <c r="C2921" t="s">
        <v>40</v>
      </c>
      <c r="D2921">
        <v>3.7507799999999998</v>
      </c>
      <c r="E2921">
        <v>0.4557332</v>
      </c>
      <c r="F2921" t="s">
        <v>46</v>
      </c>
      <c r="G2921">
        <v>-479.04599999999999</v>
      </c>
      <c r="H2921" s="1">
        <v>2.1172569999999999E-6</v>
      </c>
      <c r="I2921">
        <v>218.5128</v>
      </c>
      <c r="J2921">
        <v>-488.92959999999999</v>
      </c>
      <c r="K2921">
        <v>1.114447</v>
      </c>
      <c r="L2921">
        <v>229.54740000000001</v>
      </c>
      <c r="M2921">
        <v>0.39551009999999998</v>
      </c>
      <c r="N2921">
        <v>0</v>
      </c>
      <c r="O2921">
        <v>-0.91835719999999998</v>
      </c>
      <c r="P2921">
        <v>0.56781289999999995</v>
      </c>
      <c r="Q2921">
        <v>0.17294689999999999</v>
      </c>
      <c r="R2921">
        <v>-0.80478419999999995</v>
      </c>
      <c r="S2921">
        <v>2.066681</v>
      </c>
      <c r="T2921">
        <v>-0.23122490000000001</v>
      </c>
      <c r="U2921">
        <v>-2.3223569999999998</v>
      </c>
      <c r="V2921">
        <v>-0.2047805</v>
      </c>
      <c r="W2921">
        <v>0.184505</v>
      </c>
      <c r="X2921">
        <v>0.96126109999999998</v>
      </c>
      <c r="Y2921">
        <v>-0.31319010000000003</v>
      </c>
      <c r="Z2921">
        <v>7.28602E-2</v>
      </c>
      <c r="AA2921">
        <v>0.94689140000000005</v>
      </c>
      <c r="AB2921">
        <v>17</v>
      </c>
      <c r="AC2921">
        <v>9.8835999999999995</v>
      </c>
      <c r="AD2921">
        <v>-1.114444882743</v>
      </c>
      <c r="AE2921">
        <v>-11.034599999999999</v>
      </c>
      <c r="AF2921">
        <v>-4.6863088583198502</v>
      </c>
      <c r="AG2921">
        <v>-1.114444882743</v>
      </c>
      <c r="AH2921">
        <v>13.965078232963</v>
      </c>
      <c r="AI2921">
        <v>94.326531866980005</v>
      </c>
      <c r="AJ2921">
        <v>108.550383096343</v>
      </c>
      <c r="AK2921">
        <v>14.7725044648839</v>
      </c>
      <c r="AL2921">
        <v>79.367726077149996</v>
      </c>
      <c r="AM2921">
        <v>102.026124714942</v>
      </c>
      <c r="AN2921">
        <v>1.0000000252892201</v>
      </c>
    </row>
    <row r="2922" spans="1:40" x14ac:dyDescent="0.25">
      <c r="A2922" t="str">
        <f>"20190312172425503"</f>
        <v>20190312172425503</v>
      </c>
      <c r="B2922" t="str">
        <f>"1552382665493156"</f>
        <v>1552382665493156</v>
      </c>
      <c r="C2922" t="s">
        <v>40</v>
      </c>
      <c r="D2922">
        <v>3.7409349999999999</v>
      </c>
      <c r="E2922">
        <v>0.45553749999999998</v>
      </c>
      <c r="F2922" t="s">
        <v>46</v>
      </c>
      <c r="G2922">
        <v>-478.7285</v>
      </c>
      <c r="H2922" s="1">
        <v>2.246806E-6</v>
      </c>
      <c r="I2922">
        <v>218.25569999999999</v>
      </c>
      <c r="J2922">
        <v>-488.8578</v>
      </c>
      <c r="K2922">
        <v>1.1144270000000001</v>
      </c>
      <c r="L2922">
        <v>229.4034</v>
      </c>
      <c r="M2922">
        <v>0.40238160000000001</v>
      </c>
      <c r="N2922">
        <v>0</v>
      </c>
      <c r="O2922">
        <v>-0.91536759999999995</v>
      </c>
      <c r="P2922">
        <v>0.57305039999999996</v>
      </c>
      <c r="Q2922">
        <v>0.1729301</v>
      </c>
      <c r="R2922">
        <v>-0.8010678</v>
      </c>
      <c r="S2922">
        <v>2.08371</v>
      </c>
      <c r="T2922">
        <v>-0.2276405</v>
      </c>
      <c r="U2922">
        <v>-2.3064879999999999</v>
      </c>
      <c r="V2922">
        <v>-0.20383380000000001</v>
      </c>
      <c r="W2922">
        <v>0.184504</v>
      </c>
      <c r="X2922">
        <v>0.96146240000000005</v>
      </c>
      <c r="Y2922">
        <v>-0.31322630000000001</v>
      </c>
      <c r="Z2922">
        <v>7.1609800000000001E-2</v>
      </c>
      <c r="AA2922">
        <v>0.94697480000000001</v>
      </c>
      <c r="AB2922">
        <v>17</v>
      </c>
      <c r="AC2922">
        <v>10.129300000000001</v>
      </c>
      <c r="AD2922">
        <v>-1.1144247531939999</v>
      </c>
      <c r="AE2922">
        <v>-11.1477</v>
      </c>
      <c r="AF2922">
        <v>-4.76079998028509</v>
      </c>
      <c r="AG2922">
        <v>-1.1144247531939999</v>
      </c>
      <c r="AH2922">
        <v>14.203699523767</v>
      </c>
      <c r="AI2922">
        <v>94.254541288278602</v>
      </c>
      <c r="AJ2922">
        <v>108.530136006346</v>
      </c>
      <c r="AK2922">
        <v>15.0217255714606</v>
      </c>
      <c r="AL2922">
        <v>79.3677835137036</v>
      </c>
      <c r="AM2922">
        <v>101.969701441431</v>
      </c>
      <c r="AN2922">
        <v>0.99999994532609804</v>
      </c>
    </row>
    <row r="2923" spans="1:40" x14ac:dyDescent="0.25">
      <c r="A2923" t="str">
        <f>"20190312172425526"</f>
        <v>20190312172425526</v>
      </c>
      <c r="B2923" t="str">
        <f>"1552382665523412"</f>
        <v>1552382665523412</v>
      </c>
      <c r="C2923" t="s">
        <v>40</v>
      </c>
      <c r="D2923">
        <v>3.7571729999999999</v>
      </c>
      <c r="E2923">
        <v>0.45560289999999998</v>
      </c>
      <c r="F2923" t="s">
        <v>46</v>
      </c>
      <c r="G2923">
        <v>-478.63049999999998</v>
      </c>
      <c r="H2923" s="1">
        <v>2.2894890000000002E-6</v>
      </c>
      <c r="I2923">
        <v>218.23769999999999</v>
      </c>
      <c r="J2923">
        <v>-488.78230000000002</v>
      </c>
      <c r="K2923">
        <v>1.1144080000000001</v>
      </c>
      <c r="L2923">
        <v>229.255</v>
      </c>
      <c r="M2923">
        <v>0.40946139999999998</v>
      </c>
      <c r="N2923">
        <v>0</v>
      </c>
      <c r="O2923">
        <v>-0.91222270000000005</v>
      </c>
      <c r="P2923">
        <v>0.57871719999999904</v>
      </c>
      <c r="Q2923">
        <v>0.17231540000000001</v>
      </c>
      <c r="R2923">
        <v>-0.79711619999999905</v>
      </c>
      <c r="S2923">
        <v>2.099701</v>
      </c>
      <c r="T2923">
        <v>-0.22879540000000001</v>
      </c>
      <c r="U2923">
        <v>-2.2923580000000001</v>
      </c>
      <c r="V2923">
        <v>-0.2031345</v>
      </c>
      <c r="W2923">
        <v>0.1839037</v>
      </c>
      <c r="X2923">
        <v>0.96172539999999995</v>
      </c>
      <c r="Y2923">
        <v>-0.3123572</v>
      </c>
      <c r="Z2923">
        <v>7.1803400000000003E-2</v>
      </c>
      <c r="AA2923">
        <v>0.94724719999999996</v>
      </c>
      <c r="AB2923">
        <v>17</v>
      </c>
      <c r="AC2923">
        <v>10.1518</v>
      </c>
      <c r="AD2923">
        <v>-1.1144057105109999</v>
      </c>
      <c r="AE2923">
        <v>-11.017300000000001</v>
      </c>
      <c r="AF2923">
        <v>-4.7238585608983801</v>
      </c>
      <c r="AG2923">
        <v>-1.1144057105109999</v>
      </c>
      <c r="AH2923">
        <v>14.130172225625801</v>
      </c>
      <c r="AI2923">
        <v>94.277641586049498</v>
      </c>
      <c r="AJ2923">
        <v>108.485299543369</v>
      </c>
      <c r="AK2923">
        <v>14.9404988844696</v>
      </c>
      <c r="AL2923">
        <v>79.402777248391999</v>
      </c>
      <c r="AM2923">
        <v>101.926646133898</v>
      </c>
      <c r="AN2923">
        <v>0.99999997048454903</v>
      </c>
    </row>
    <row r="2924" spans="1:40" x14ac:dyDescent="0.25">
      <c r="A2924" t="str">
        <f>"20190312172425547"</f>
        <v>20190312172425547</v>
      </c>
      <c r="B2924" t="str">
        <f>"1552382665542933"</f>
        <v>1552382665542933</v>
      </c>
      <c r="C2924" t="s">
        <v>40</v>
      </c>
      <c r="D2924">
        <v>3.7630979999999998</v>
      </c>
      <c r="E2924">
        <v>0.45591209999999999</v>
      </c>
      <c r="F2924" t="s">
        <v>46</v>
      </c>
      <c r="G2924">
        <v>-478.5437</v>
      </c>
      <c r="H2924" s="1">
        <v>2.3276520000000001E-6</v>
      </c>
      <c r="I2924">
        <v>218.23050000000001</v>
      </c>
      <c r="J2924">
        <v>-488.70859999999999</v>
      </c>
      <c r="K2924">
        <v>1.1143809999999901</v>
      </c>
      <c r="L2924">
        <v>229.11250000000001</v>
      </c>
      <c r="M2924">
        <v>0.41624489999999997</v>
      </c>
      <c r="N2924">
        <v>0</v>
      </c>
      <c r="O2924">
        <v>-0.90914740000000005</v>
      </c>
      <c r="P2924">
        <v>0.58478140000000001</v>
      </c>
      <c r="Q2924">
        <v>0.17174719999999999</v>
      </c>
      <c r="R2924">
        <v>-0.7928016</v>
      </c>
      <c r="S2924">
        <v>2.115265</v>
      </c>
      <c r="T2924">
        <v>-0.2302331</v>
      </c>
      <c r="U2924">
        <v>-2.2776179999999999</v>
      </c>
      <c r="V2924">
        <v>-0.20324200000000001</v>
      </c>
      <c r="W2924">
        <v>0.1833417</v>
      </c>
      <c r="X2924">
        <v>0.96181000000000005</v>
      </c>
      <c r="Y2924">
        <v>-0.31179570000000001</v>
      </c>
      <c r="Z2924">
        <v>7.2103360000000005E-2</v>
      </c>
      <c r="AA2924">
        <v>0.94740939999999996</v>
      </c>
      <c r="AB2924">
        <v>17</v>
      </c>
      <c r="AC2924">
        <v>10.1648999999999</v>
      </c>
      <c r="AD2924">
        <v>-1.11437867234799</v>
      </c>
      <c r="AE2924">
        <v>-10.882</v>
      </c>
      <c r="AF2924">
        <v>-4.6860225087022904</v>
      </c>
      <c r="AG2924">
        <v>-1.11437867234799</v>
      </c>
      <c r="AH2924">
        <v>14.047111408411901</v>
      </c>
      <c r="AI2924">
        <v>94.303659795006396</v>
      </c>
      <c r="AJ2924">
        <v>108.448354219598</v>
      </c>
      <c r="AK2924">
        <v>14.849982683416901</v>
      </c>
      <c r="AL2924">
        <v>79.4355345870907</v>
      </c>
      <c r="AM2924">
        <v>101.93175738564899</v>
      </c>
      <c r="AN2924">
        <v>0.99999998281144398</v>
      </c>
    </row>
    <row r="2925" spans="1:40" x14ac:dyDescent="0.25">
      <c r="A2925" t="str">
        <f>"20190312172425571"</f>
        <v>20190312172425571</v>
      </c>
      <c r="B2925" t="str">
        <f>"1552382665563428"</f>
        <v>1552382665563428</v>
      </c>
      <c r="C2925" t="s">
        <v>40</v>
      </c>
      <c r="D2925">
        <v>3.699837</v>
      </c>
      <c r="E2925">
        <v>0.4561402</v>
      </c>
      <c r="F2925" t="s">
        <v>46</v>
      </c>
      <c r="G2925">
        <v>-478.54250000000002</v>
      </c>
      <c r="H2925" s="1">
        <v>2.3318100000000001E-6</v>
      </c>
      <c r="I2925">
        <v>218.3134</v>
      </c>
      <c r="J2925">
        <v>-488.6284</v>
      </c>
      <c r="K2925">
        <v>1.1143590000000001</v>
      </c>
      <c r="L2925">
        <v>228.96039999999999</v>
      </c>
      <c r="M2925">
        <v>0.42346889999999998</v>
      </c>
      <c r="N2925">
        <v>0</v>
      </c>
      <c r="O2925">
        <v>-0.90580530000000004</v>
      </c>
      <c r="P2925">
        <v>0.59142600000000001</v>
      </c>
      <c r="Q2925">
        <v>0.1719552</v>
      </c>
      <c r="R2925">
        <v>-0.78781159999999995</v>
      </c>
      <c r="S2925">
        <v>2.130493</v>
      </c>
      <c r="T2925">
        <v>-0.23353769999999999</v>
      </c>
      <c r="U2925">
        <v>-2.263153</v>
      </c>
      <c r="V2925">
        <v>-0.20368049999999999</v>
      </c>
      <c r="W2925">
        <v>0.1835531</v>
      </c>
      <c r="X2925">
        <v>0.961677</v>
      </c>
      <c r="Y2925">
        <v>-0.31058599999999997</v>
      </c>
      <c r="Z2925">
        <v>7.2953149999999994E-2</v>
      </c>
      <c r="AA2925">
        <v>0.94774159999999996</v>
      </c>
      <c r="AB2925">
        <v>17</v>
      </c>
      <c r="AC2925">
        <v>10.085899999999899</v>
      </c>
      <c r="AD2925">
        <v>-1.1143566681899999</v>
      </c>
      <c r="AE2925">
        <v>-10.646999999999901</v>
      </c>
      <c r="AF2925">
        <v>-4.6010655833741101</v>
      </c>
      <c r="AG2925">
        <v>-1.1143566681899999</v>
      </c>
      <c r="AH2925">
        <v>13.836616127119999</v>
      </c>
      <c r="AI2925">
        <v>94.370183322215397</v>
      </c>
      <c r="AJ2925">
        <v>108.39342310252199</v>
      </c>
      <c r="AK2925">
        <v>14.6240740266086</v>
      </c>
      <c r="AL2925">
        <v>79.423214085658401</v>
      </c>
      <c r="AM2925">
        <v>101.958366334091</v>
      </c>
      <c r="AN2925">
        <v>1.00000006946442</v>
      </c>
    </row>
    <row r="2926" spans="1:40" x14ac:dyDescent="0.25">
      <c r="A2926" t="str">
        <f>"20190312172425593"</f>
        <v>20190312172425593</v>
      </c>
      <c r="B2926" t="str">
        <f>"1552382665582951"</f>
        <v>1552382665582951</v>
      </c>
      <c r="C2926" t="s">
        <v>40</v>
      </c>
      <c r="D2926">
        <v>3.6863939999999999</v>
      </c>
      <c r="E2926">
        <v>0.4566306</v>
      </c>
      <c r="F2926" t="s">
        <v>46</v>
      </c>
      <c r="G2926">
        <v>-478.38720000000001</v>
      </c>
      <c r="H2926" s="1">
        <v>2.3979960000000001E-6</v>
      </c>
      <c r="I2926">
        <v>218.25229999999999</v>
      </c>
      <c r="J2926">
        <v>-488.54849999999999</v>
      </c>
      <c r="K2926">
        <v>1.1143190000000001</v>
      </c>
      <c r="L2926">
        <v>228.8115</v>
      </c>
      <c r="M2926">
        <v>0.43049710000000002</v>
      </c>
      <c r="N2926">
        <v>0</v>
      </c>
      <c r="O2926">
        <v>-0.90248640000000002</v>
      </c>
      <c r="P2926">
        <v>0.59757899999999997</v>
      </c>
      <c r="Q2926">
        <v>0.17230799999999999</v>
      </c>
      <c r="R2926">
        <v>-0.78307729999999998</v>
      </c>
      <c r="S2926">
        <v>2.1483150000000002</v>
      </c>
      <c r="T2926">
        <v>-0.23376050000000001</v>
      </c>
      <c r="U2926">
        <v>-2.2462620000000002</v>
      </c>
      <c r="V2926">
        <v>-0.20375579999999999</v>
      </c>
      <c r="W2926">
        <v>0.1839182</v>
      </c>
      <c r="X2926">
        <v>0.96159119999999998</v>
      </c>
      <c r="Y2926">
        <v>-0.31068820000000003</v>
      </c>
      <c r="Z2926">
        <v>7.2859560000000004E-2</v>
      </c>
      <c r="AA2926">
        <v>0.94771530000000004</v>
      </c>
      <c r="AB2926">
        <v>17</v>
      </c>
      <c r="AC2926">
        <v>10.161299999999899</v>
      </c>
      <c r="AD2926">
        <v>-1.1143166020039901</v>
      </c>
      <c r="AE2926">
        <v>-10.559200000000001</v>
      </c>
      <c r="AF2926">
        <v>-4.5985812312124397</v>
      </c>
      <c r="AG2926">
        <v>-1.1143166020039901</v>
      </c>
      <c r="AH2926">
        <v>13.825329801683599</v>
      </c>
      <c r="AI2926">
        <v>94.373460729745602</v>
      </c>
      <c r="AJ2926">
        <v>108.39815718565001</v>
      </c>
      <c r="AK2926">
        <v>14.612610819250699</v>
      </c>
      <c r="AL2926">
        <v>79.401932178287495</v>
      </c>
      <c r="AM2926">
        <v>101.96369659862999</v>
      </c>
      <c r="AN2926">
        <v>0.99999998312115901</v>
      </c>
    </row>
    <row r="2927" spans="1:40" x14ac:dyDescent="0.25">
      <c r="A2927" t="str">
        <f>"20190312172425616"</f>
        <v>20190312172425616</v>
      </c>
      <c r="B2927" t="str">
        <f>"1552382665613204"</f>
        <v>1552382665613204</v>
      </c>
      <c r="C2927" t="s">
        <v>40</v>
      </c>
      <c r="D2927">
        <v>3.6899920000000002</v>
      </c>
      <c r="E2927">
        <v>0.4572349</v>
      </c>
      <c r="F2927" t="s">
        <v>46</v>
      </c>
      <c r="G2927">
        <v>-478.25299999999999</v>
      </c>
      <c r="H2927" s="1">
        <v>2.4547840000000002E-6</v>
      </c>
      <c r="I2927">
        <v>218.18950000000001</v>
      </c>
      <c r="J2927">
        <v>-488.46890000000002</v>
      </c>
      <c r="K2927">
        <v>1.114263</v>
      </c>
      <c r="L2927">
        <v>228.66560000000001</v>
      </c>
      <c r="M2927">
        <v>0.43731769999999998</v>
      </c>
      <c r="N2927">
        <v>0</v>
      </c>
      <c r="O2927">
        <v>-0.89920119999999903</v>
      </c>
      <c r="P2927">
        <v>0.60365679999999999</v>
      </c>
      <c r="Q2927">
        <v>0.1724945</v>
      </c>
      <c r="R2927">
        <v>-0.77836019999999995</v>
      </c>
      <c r="S2927">
        <v>2.1631770000000001</v>
      </c>
      <c r="T2927">
        <v>-0.2341268</v>
      </c>
      <c r="U2927">
        <v>-2.2317499999999999</v>
      </c>
      <c r="V2927">
        <v>-0.20395469999999999</v>
      </c>
      <c r="W2927">
        <v>0.1841207</v>
      </c>
      <c r="X2927">
        <v>0.96151030000000004</v>
      </c>
      <c r="Y2927">
        <v>-0.30982659999999901</v>
      </c>
      <c r="Z2927">
        <v>7.2796769999999997E-2</v>
      </c>
      <c r="AA2927">
        <v>0.94800220000000002</v>
      </c>
      <c r="AB2927">
        <v>17</v>
      </c>
      <c r="AC2927">
        <v>10.2158999999999</v>
      </c>
      <c r="AD2927">
        <v>-1.1142605452159999</v>
      </c>
      <c r="AE2927">
        <v>-10.476100000000001</v>
      </c>
      <c r="AF2927">
        <v>-4.5786538955868696</v>
      </c>
      <c r="AG2927">
        <v>-1.1142605452159999</v>
      </c>
      <c r="AH2927">
        <v>13.808964195876399</v>
      </c>
      <c r="AI2927">
        <v>94.379772835098905</v>
      </c>
      <c r="AJ2927">
        <v>108.344030825522</v>
      </c>
      <c r="AK2927">
        <v>14.5908581043472</v>
      </c>
      <c r="AL2927">
        <v>79.390128430029606</v>
      </c>
      <c r="AM2927">
        <v>101.97601666905101</v>
      </c>
      <c r="AN2927">
        <v>1.0000000044133299</v>
      </c>
    </row>
    <row r="2928" spans="1:40" x14ac:dyDescent="0.25">
      <c r="A2928" t="str">
        <f>"20190312172425638"</f>
        <v>20190312172425638</v>
      </c>
      <c r="B2928" t="str">
        <f>"1552382665632725"</f>
        <v>1552382665632725</v>
      </c>
      <c r="C2928" t="s">
        <v>40</v>
      </c>
      <c r="D2928">
        <v>3.7046049999999999</v>
      </c>
      <c r="E2928">
        <v>0.46537149999999999</v>
      </c>
      <c r="F2928" t="s">
        <v>46</v>
      </c>
      <c r="G2928">
        <v>-478.18450000000001</v>
      </c>
      <c r="H2928" s="1">
        <v>2.4850840000000001E-6</v>
      </c>
      <c r="I2928">
        <v>218.18770000000001</v>
      </c>
      <c r="J2928">
        <v>-488.38920000000002</v>
      </c>
      <c r="K2928">
        <v>1.11419</v>
      </c>
      <c r="L2928">
        <v>228.52209999999999</v>
      </c>
      <c r="M2928">
        <v>0.44395030000000002</v>
      </c>
      <c r="N2928">
        <v>0</v>
      </c>
      <c r="O2928">
        <v>-0.89594509999999905</v>
      </c>
      <c r="P2928">
        <v>0.60964339999999995</v>
      </c>
      <c r="Q2928">
        <v>0.1725344</v>
      </c>
      <c r="R2928">
        <v>-0.77367089999999905</v>
      </c>
      <c r="S2928">
        <v>2.177063</v>
      </c>
      <c r="T2928">
        <v>-0.2358719</v>
      </c>
      <c r="U2928">
        <v>-2.2180019999999998</v>
      </c>
      <c r="V2928">
        <v>-0.20424030000000001</v>
      </c>
      <c r="W2928">
        <v>0.1841806</v>
      </c>
      <c r="X2928">
        <v>0.96143820000000002</v>
      </c>
      <c r="Y2928">
        <v>-0.30873840000000002</v>
      </c>
      <c r="Z2928">
        <v>7.3154350000000007E-2</v>
      </c>
      <c r="AA2928">
        <v>0.94832959999999999</v>
      </c>
      <c r="AB2928">
        <v>17</v>
      </c>
      <c r="AC2928">
        <v>10.204700000000001</v>
      </c>
      <c r="AD2928">
        <v>-1.1141875149160001</v>
      </c>
      <c r="AE2928">
        <v>-10.334399999999899</v>
      </c>
      <c r="AF2928">
        <v>-4.5286724545791603</v>
      </c>
      <c r="AG2928">
        <v>-1.1141875149160001</v>
      </c>
      <c r="AH2928">
        <v>13.710060942422199</v>
      </c>
      <c r="AI2928">
        <v>94.4125991466328</v>
      </c>
      <c r="AJ2928">
        <v>108.27929104295301</v>
      </c>
      <c r="AK2928">
        <v>14.4815765393202</v>
      </c>
      <c r="AL2928">
        <v>79.386636682062303</v>
      </c>
      <c r="AM2928">
        <v>101.99317491417401</v>
      </c>
      <c r="AN2928">
        <v>1.0000000029898399</v>
      </c>
    </row>
    <row r="2929" spans="1:40" x14ac:dyDescent="0.25">
      <c r="A2929" t="str">
        <f>"20190312172425660"</f>
        <v>20190312172425660</v>
      </c>
      <c r="B2929" t="str">
        <f>"1552382665653220"</f>
        <v>1552382665653220</v>
      </c>
      <c r="C2929" t="s">
        <v>40</v>
      </c>
      <c r="D2929">
        <v>3.778956</v>
      </c>
      <c r="E2929">
        <v>0.46536729999999998</v>
      </c>
      <c r="F2929" t="s">
        <v>46</v>
      </c>
      <c r="G2929">
        <v>-479.52480000000003</v>
      </c>
      <c r="H2929" s="1">
        <v>1.9373749999999998E-6</v>
      </c>
      <c r="I2929">
        <v>219.25579999999999</v>
      </c>
      <c r="J2929">
        <v>-488.3109</v>
      </c>
      <c r="K2929">
        <v>1.1141110000000001</v>
      </c>
      <c r="L2929">
        <v>228.38290000000001</v>
      </c>
      <c r="M2929">
        <v>0.45028210000000002</v>
      </c>
      <c r="N2929">
        <v>0</v>
      </c>
      <c r="O2929">
        <v>-0.89277999999999902</v>
      </c>
      <c r="P2929">
        <v>0.61548659999999999</v>
      </c>
      <c r="Q2929">
        <v>0.17275979999999999</v>
      </c>
      <c r="R2929">
        <v>-0.7689802</v>
      </c>
      <c r="S2929">
        <v>2.1479189999999999</v>
      </c>
      <c r="T2929">
        <v>-0.26997729999999998</v>
      </c>
      <c r="U2929">
        <v>-2.2452999999999999</v>
      </c>
      <c r="V2929">
        <v>-0.204706</v>
      </c>
      <c r="W2929">
        <v>0.18442720000000001</v>
      </c>
      <c r="X2929">
        <v>0.96129180000000003</v>
      </c>
      <c r="Y2929">
        <v>-0.28916029999999998</v>
      </c>
      <c r="Z2929">
        <v>8.3089330000000003E-2</v>
      </c>
      <c r="AA2929">
        <v>0.95366790000000001</v>
      </c>
      <c r="AB2929">
        <v>17</v>
      </c>
      <c r="AC2929">
        <v>8.7860999999999692</v>
      </c>
      <c r="AD2929">
        <v>-1.1141090626250001</v>
      </c>
      <c r="AE2929">
        <v>-9.1271000000000093</v>
      </c>
      <c r="AF2929">
        <v>-3.7059786707835101</v>
      </c>
      <c r="AG2929">
        <v>-1.1141090626250001</v>
      </c>
      <c r="AH2929">
        <v>12.012961971980401</v>
      </c>
      <c r="AI2929">
        <v>95.064378314632194</v>
      </c>
      <c r="AJ2929">
        <v>107.14490683471099</v>
      </c>
      <c r="AK2929">
        <v>12.6208863496972</v>
      </c>
      <c r="AL2929">
        <v>79.372260515171305</v>
      </c>
      <c r="AM2929">
        <v>102.02150410367</v>
      </c>
      <c r="AN2929">
        <v>0.999999931641537</v>
      </c>
    </row>
    <row r="2930" spans="1:40" x14ac:dyDescent="0.25">
      <c r="A2930" t="str">
        <f>"20190312172425682"</f>
        <v>20190312172425682</v>
      </c>
      <c r="B2930" t="str">
        <f>"1552382665672740"</f>
        <v>1552382665672740</v>
      </c>
      <c r="C2930" t="s">
        <v>40</v>
      </c>
      <c r="D2930">
        <v>3.821151</v>
      </c>
      <c r="E2930">
        <v>0.46623019999999998</v>
      </c>
      <c r="F2930" t="s">
        <v>46</v>
      </c>
      <c r="G2930">
        <v>-479.3322</v>
      </c>
      <c r="H2930" s="1">
        <v>2.017457E-6</v>
      </c>
      <c r="I2930">
        <v>219.1336</v>
      </c>
      <c r="J2930">
        <v>-488.22989999999999</v>
      </c>
      <c r="K2930">
        <v>1.114028</v>
      </c>
      <c r="L2930">
        <v>228.2414</v>
      </c>
      <c r="M2930">
        <v>0.45661760000000001</v>
      </c>
      <c r="N2930">
        <v>0</v>
      </c>
      <c r="O2930">
        <v>-0.88955649999999997</v>
      </c>
      <c r="P2930">
        <v>0.62165049999999999</v>
      </c>
      <c r="Q2930">
        <v>0.17279239999999901</v>
      </c>
      <c r="R2930">
        <v>-0.76399859999999997</v>
      </c>
      <c r="S2930">
        <v>2.1641849999999998</v>
      </c>
      <c r="T2930">
        <v>-0.26853929999999998</v>
      </c>
      <c r="U2930">
        <v>-2.2294160000000001</v>
      </c>
      <c r="V2930">
        <v>-0.2055699</v>
      </c>
      <c r="W2930">
        <v>0.18447830000000001</v>
      </c>
      <c r="X2930">
        <v>0.96109770000000005</v>
      </c>
      <c r="Y2930">
        <v>-0.28937010000000002</v>
      </c>
      <c r="Z2930">
        <v>8.2461939999999997E-2</v>
      </c>
      <c r="AA2930">
        <v>0.95365880000000003</v>
      </c>
      <c r="AB2930">
        <v>17</v>
      </c>
      <c r="AC2930">
        <v>8.8976999999999808</v>
      </c>
      <c r="AD2930">
        <v>-1.1140259825429999</v>
      </c>
      <c r="AE2930">
        <v>-9.1077999999999903</v>
      </c>
      <c r="AF2930">
        <v>-3.7280426777704099</v>
      </c>
      <c r="AG2930">
        <v>-1.1140259825429999</v>
      </c>
      <c r="AH2930">
        <v>12.073478752527601</v>
      </c>
      <c r="AI2930">
        <v>95.038353788850003</v>
      </c>
      <c r="AJ2930">
        <v>107.15961548452501</v>
      </c>
      <c r="AK2930">
        <v>12.6849613828657</v>
      </c>
      <c r="AL2930">
        <v>79.369282406994202</v>
      </c>
      <c r="AM2930">
        <v>102.073118594297</v>
      </c>
      <c r="AN2930">
        <v>1.00000000795109</v>
      </c>
    </row>
    <row r="2931" spans="1:40" x14ac:dyDescent="0.25">
      <c r="A2931" t="str">
        <f>"20190312172425704"</f>
        <v>20190312172425704</v>
      </c>
      <c r="B2931" t="str">
        <f>"1552382665693239"</f>
        <v>1552382665693239</v>
      </c>
      <c r="C2931" t="s">
        <v>40</v>
      </c>
      <c r="D2931">
        <v>3.7292160000000001</v>
      </c>
      <c r="E2931">
        <v>0.46390670000000001</v>
      </c>
      <c r="F2931" t="s">
        <v>46</v>
      </c>
      <c r="G2931">
        <v>-479.13099999999997</v>
      </c>
      <c r="H2931" s="1">
        <v>2.0997349999999999E-6</v>
      </c>
      <c r="I2931">
        <v>218.9744</v>
      </c>
      <c r="J2931">
        <v>-488.1463</v>
      </c>
      <c r="K2931">
        <v>1.1139479999999999</v>
      </c>
      <c r="L2931">
        <v>228.09729999999999</v>
      </c>
      <c r="M2931">
        <v>0.46295380000000003</v>
      </c>
      <c r="N2931">
        <v>0</v>
      </c>
      <c r="O2931">
        <v>-0.88627599999999995</v>
      </c>
      <c r="P2931">
        <v>0.62735600000000002</v>
      </c>
      <c r="Q2931">
        <v>0.17278569999999999</v>
      </c>
      <c r="R2931">
        <v>-0.75932180000000005</v>
      </c>
      <c r="S2931">
        <v>2.1761170000000001</v>
      </c>
      <c r="T2931">
        <v>-0.266432</v>
      </c>
      <c r="U2931">
        <v>-2.2162929999999998</v>
      </c>
      <c r="V2931">
        <v>-0.2058749</v>
      </c>
      <c r="W2931">
        <v>0.1844933</v>
      </c>
      <c r="X2931">
        <v>0.96102949999999998</v>
      </c>
      <c r="Y2931">
        <v>-0.28802499999999998</v>
      </c>
      <c r="Z2931">
        <v>8.1618560000000007E-2</v>
      </c>
      <c r="AA2931">
        <v>0.95413840000000005</v>
      </c>
      <c r="AB2931">
        <v>17</v>
      </c>
      <c r="AC2931">
        <v>9.0153000000000194</v>
      </c>
      <c r="AD2931">
        <v>-1.1139459002649901</v>
      </c>
      <c r="AE2931">
        <v>-9.12289999999998</v>
      </c>
      <c r="AF2931">
        <v>-3.7387162818204498</v>
      </c>
      <c r="AG2931">
        <v>-1.1139459002649901</v>
      </c>
      <c r="AH2931">
        <v>12.1684423321107</v>
      </c>
      <c r="AI2931">
        <v>95.001021337775796</v>
      </c>
      <c r="AJ2931">
        <v>107.079413623132</v>
      </c>
      <c r="AK2931">
        <v>12.7784922308765</v>
      </c>
      <c r="AL2931">
        <v>79.368407617299098</v>
      </c>
      <c r="AM2931">
        <v>102.09133733594901</v>
      </c>
      <c r="AN2931">
        <v>0.99999997603257396</v>
      </c>
    </row>
    <row r="2932" spans="1:40" x14ac:dyDescent="0.25">
      <c r="A2932" t="str">
        <f>"20190312172425727"</f>
        <v>20190312172425727</v>
      </c>
      <c r="B2932" t="str">
        <f>"1552382665723493"</f>
        <v>1552382665723493</v>
      </c>
      <c r="C2932" t="s">
        <v>40</v>
      </c>
      <c r="D2932">
        <v>3.761145</v>
      </c>
      <c r="E2932">
        <v>0.46096189999999998</v>
      </c>
      <c r="F2932" t="s">
        <v>46</v>
      </c>
      <c r="G2932">
        <v>-478.6909</v>
      </c>
      <c r="H2932" s="1">
        <v>2.2838309999999999E-6</v>
      </c>
      <c r="I2932">
        <v>218.72200000000001</v>
      </c>
      <c r="J2932">
        <v>-488.065</v>
      </c>
      <c r="K2932">
        <v>1.113888</v>
      </c>
      <c r="L2932">
        <v>227.95930000000001</v>
      </c>
      <c r="M2932">
        <v>0.46893459999999998</v>
      </c>
      <c r="N2932">
        <v>0</v>
      </c>
      <c r="O2932">
        <v>-0.88312630000000003</v>
      </c>
      <c r="P2932">
        <v>0.63263359999999902</v>
      </c>
      <c r="Q2932">
        <v>0.1731134</v>
      </c>
      <c r="R2932">
        <v>-0.75485559999999996</v>
      </c>
      <c r="S2932">
        <v>2.2060550000000001</v>
      </c>
      <c r="T2932">
        <v>-0.25989790000000002</v>
      </c>
      <c r="U2932">
        <v>-2.1873779999999998</v>
      </c>
      <c r="V2932">
        <v>-0.2060883</v>
      </c>
      <c r="W2932">
        <v>0.18483350000000001</v>
      </c>
      <c r="X2932">
        <v>0.96091839999999995</v>
      </c>
      <c r="Y2932">
        <v>-0.29445830000000001</v>
      </c>
      <c r="Z2932">
        <v>7.9559469999999993E-2</v>
      </c>
      <c r="AA2932">
        <v>0.9523469</v>
      </c>
      <c r="AB2932">
        <v>17</v>
      </c>
      <c r="AC2932">
        <v>9.3741000000000003</v>
      </c>
      <c r="AD2932">
        <v>-1.1138857161689999</v>
      </c>
      <c r="AE2932">
        <v>-9.2372999999999994</v>
      </c>
      <c r="AF2932">
        <v>-3.9191213595965402</v>
      </c>
      <c r="AG2932">
        <v>-1.1138857161689999</v>
      </c>
      <c r="AH2932">
        <v>12.4654273530886</v>
      </c>
      <c r="AI2932">
        <v>94.872354216818195</v>
      </c>
      <c r="AJ2932">
        <v>107.453110023546</v>
      </c>
      <c r="AK2932">
        <v>13.114386478789701</v>
      </c>
      <c r="AL2932">
        <v>79.348574658106102</v>
      </c>
      <c r="AM2932">
        <v>102.104859386014</v>
      </c>
      <c r="AN2932">
        <v>0.99999999078884905</v>
      </c>
    </row>
    <row r="2933" spans="1:40" x14ac:dyDescent="0.25">
      <c r="A2933" t="str">
        <f>"20190312172425760"</f>
        <v>20190312172425760</v>
      </c>
      <c r="B2933" t="str">
        <f>"1552382665752773"</f>
        <v>1552382665752773</v>
      </c>
      <c r="C2933" t="s">
        <v>40</v>
      </c>
      <c r="D2933">
        <v>3.7458629999999999</v>
      </c>
      <c r="E2933">
        <v>0.4591845</v>
      </c>
      <c r="F2933" t="s">
        <v>46</v>
      </c>
      <c r="G2933">
        <v>-478.005</v>
      </c>
      <c r="H2933" s="1">
        <v>2.5683029999999999E-6</v>
      </c>
      <c r="I2933">
        <v>218.2713</v>
      </c>
      <c r="J2933">
        <v>-487.93630000000002</v>
      </c>
      <c r="K2933">
        <v>1.1138239999999999</v>
      </c>
      <c r="L2933">
        <v>227.74449999999999</v>
      </c>
      <c r="M2933">
        <v>0.47812260000000001</v>
      </c>
      <c r="N2933">
        <v>0</v>
      </c>
      <c r="O2933">
        <v>-0.87818629999999998</v>
      </c>
      <c r="P2933">
        <v>0.63942270000000001</v>
      </c>
      <c r="Q2933">
        <v>0.1738296</v>
      </c>
      <c r="R2933">
        <v>-0.74894769999999999</v>
      </c>
      <c r="S2933">
        <v>2.2380979999999999</v>
      </c>
      <c r="T2933">
        <v>-0.2478118</v>
      </c>
      <c r="U2933">
        <v>-2.1553499999999999</v>
      </c>
      <c r="V2933">
        <v>-0.20479320000000001</v>
      </c>
      <c r="W2933">
        <v>0.1855706</v>
      </c>
      <c r="X2933">
        <v>0.9610533</v>
      </c>
      <c r="Y2933">
        <v>-0.29861259999999901</v>
      </c>
      <c r="Z2933">
        <v>7.5670150000000005E-2</v>
      </c>
      <c r="AA2933">
        <v>0.95136980000000004</v>
      </c>
      <c r="AB2933">
        <v>17</v>
      </c>
      <c r="AC2933">
        <v>9.9313000000000198</v>
      </c>
      <c r="AD2933">
        <v>-1.1138214316970001</v>
      </c>
      <c r="AE2933">
        <v>-9.4731999999999896</v>
      </c>
      <c r="AF2933">
        <v>-4.1651427154025997</v>
      </c>
      <c r="AG2933">
        <v>-1.1138214316970001</v>
      </c>
      <c r="AH2933">
        <v>12.983332606196001</v>
      </c>
      <c r="AI2933">
        <v>94.670005246628506</v>
      </c>
      <c r="AJ2933">
        <v>107.78659947700601</v>
      </c>
      <c r="AK2933">
        <v>13.6804947858069</v>
      </c>
      <c r="AL2933">
        <v>79.305599368622495</v>
      </c>
      <c r="AM2933">
        <v>102.029373549746</v>
      </c>
      <c r="AN2933">
        <v>1.00000007389574</v>
      </c>
    </row>
    <row r="2934" spans="1:40" x14ac:dyDescent="0.25">
      <c r="A2934" t="str">
        <f>"20190312172425784"</f>
        <v>20190312172425784</v>
      </c>
      <c r="B2934" t="str">
        <f>"1552382665773272"</f>
        <v>1552382665773272</v>
      </c>
      <c r="C2934" t="s">
        <v>40</v>
      </c>
      <c r="D2934">
        <v>3.7427459999999999</v>
      </c>
      <c r="E2934">
        <v>0.45881519999999998</v>
      </c>
      <c r="F2934" t="s">
        <v>46</v>
      </c>
      <c r="G2934">
        <v>-477.49549999999999</v>
      </c>
      <c r="H2934" s="1">
        <v>2.7806870000000002E-6</v>
      </c>
      <c r="I2934">
        <v>217.96039999999999</v>
      </c>
      <c r="J2934">
        <v>-487.85129999999998</v>
      </c>
      <c r="K2934">
        <v>1.1138110000000001</v>
      </c>
      <c r="L2934">
        <v>227.6053</v>
      </c>
      <c r="M2934">
        <v>0.4840141</v>
      </c>
      <c r="N2934">
        <v>0</v>
      </c>
      <c r="O2934">
        <v>-0.87495290000000003</v>
      </c>
      <c r="P2934">
        <v>0.64402569999999904</v>
      </c>
      <c r="Q2934">
        <v>0.17366509999999999</v>
      </c>
      <c r="R2934">
        <v>-0.74503129999999995</v>
      </c>
      <c r="S2934">
        <v>2.2680660000000001</v>
      </c>
      <c r="T2934">
        <v>-0.2419548</v>
      </c>
      <c r="U2934">
        <v>-2.125397</v>
      </c>
      <c r="V2934">
        <v>-0.20422760000000001</v>
      </c>
      <c r="W2934">
        <v>0.1854094</v>
      </c>
      <c r="X2934">
        <v>0.96120470000000002</v>
      </c>
      <c r="Y2934">
        <v>-0.30527029999999999</v>
      </c>
      <c r="Z2934">
        <v>7.3819190000000007E-2</v>
      </c>
      <c r="AA2934">
        <v>0.94940020000000003</v>
      </c>
      <c r="AB2934">
        <v>17</v>
      </c>
      <c r="AC2934">
        <v>10.355799999999901</v>
      </c>
      <c r="AD2934">
        <v>-1.1138082193129999</v>
      </c>
      <c r="AE2934">
        <v>-9.6448999999999998</v>
      </c>
      <c r="AF2934">
        <v>-4.3659369501396501</v>
      </c>
      <c r="AG2934">
        <v>-1.1138082193129999</v>
      </c>
      <c r="AH2934">
        <v>13.3696302179935</v>
      </c>
      <c r="AI2934">
        <v>94.527987529206996</v>
      </c>
      <c r="AJ2934">
        <v>108.08477526455</v>
      </c>
      <c r="AK2934">
        <v>14.108472148602401</v>
      </c>
      <c r="AL2934">
        <v>79.314997942004297</v>
      </c>
      <c r="AM2934">
        <v>101.995279634865</v>
      </c>
      <c r="AN2934">
        <v>1.0000000167561001</v>
      </c>
    </row>
    <row r="2935" spans="1:40" x14ac:dyDescent="0.25">
      <c r="A2935" t="str">
        <f>"20190312172425804"</f>
        <v>20190312172425804</v>
      </c>
      <c r="B2935" t="str">
        <f>"1552382665792791"</f>
        <v>1552382665792791</v>
      </c>
      <c r="C2935" t="s">
        <v>40</v>
      </c>
      <c r="D2935">
        <v>3.742677</v>
      </c>
      <c r="E2935">
        <v>0.45864270000000001</v>
      </c>
      <c r="F2935" t="s">
        <v>46</v>
      </c>
      <c r="G2935">
        <v>-477.33960000000002</v>
      </c>
      <c r="H2935" s="1">
        <v>2.846763E-6</v>
      </c>
      <c r="I2935">
        <v>217.89109999999999</v>
      </c>
      <c r="J2935">
        <v>-487.77019999999999</v>
      </c>
      <c r="K2935">
        <v>1.1138030000000001</v>
      </c>
      <c r="L2935">
        <v>227.4742</v>
      </c>
      <c r="M2935">
        <v>0.4895485</v>
      </c>
      <c r="N2935">
        <v>0</v>
      </c>
      <c r="O2935">
        <v>-0.87186849999999905</v>
      </c>
      <c r="P2935">
        <v>0.648128699999999</v>
      </c>
      <c r="Q2935">
        <v>0.1736779</v>
      </c>
      <c r="R2935">
        <v>-0.74146190000000001</v>
      </c>
      <c r="S2935">
        <v>2.2829280000000001</v>
      </c>
      <c r="T2935">
        <v>-0.24189640000000001</v>
      </c>
      <c r="U2935">
        <v>-2.1097260000000002</v>
      </c>
      <c r="V2935">
        <v>-0.20343990000000001</v>
      </c>
      <c r="W2935">
        <v>0.18542439999999999</v>
      </c>
      <c r="X2935">
        <v>0.96136880000000002</v>
      </c>
      <c r="Y2935">
        <v>-0.30584119999999998</v>
      </c>
      <c r="Z2935">
        <v>7.3636759999999996E-2</v>
      </c>
      <c r="AA2935">
        <v>0.94923060000000004</v>
      </c>
      <c r="AB2935">
        <v>17</v>
      </c>
      <c r="AC2935">
        <v>10.430599999999901</v>
      </c>
      <c r="AD2935">
        <v>-1.1138001532369901</v>
      </c>
      <c r="AE2935">
        <v>-9.5831</v>
      </c>
      <c r="AF2935">
        <v>-4.3760743023534499</v>
      </c>
      <c r="AG2935">
        <v>-1.1138001532369901</v>
      </c>
      <c r="AH2935">
        <v>13.3800193380258</v>
      </c>
      <c r="AI2935">
        <v>94.523783088060497</v>
      </c>
      <c r="AJ2935">
        <v>108.110870377946</v>
      </c>
      <c r="AK2935">
        <v>14.1214551150728</v>
      </c>
      <c r="AL2935">
        <v>79.314122999808703</v>
      </c>
      <c r="AM2935">
        <v>101.948365574528</v>
      </c>
      <c r="AN2935">
        <v>0.99999998532040402</v>
      </c>
    </row>
    <row r="2936" spans="1:40" x14ac:dyDescent="0.25">
      <c r="A2936" t="str">
        <f>"20190312172425828"</f>
        <v>20190312172425828</v>
      </c>
      <c r="B2936" t="str">
        <f>"1552382665823045"</f>
        <v>1552382665823045</v>
      </c>
      <c r="C2936" t="s">
        <v>40</v>
      </c>
      <c r="D2936">
        <v>3.7108569999999999</v>
      </c>
      <c r="E2936">
        <v>0.4586923</v>
      </c>
      <c r="F2936" t="s">
        <v>46</v>
      </c>
      <c r="G2936">
        <v>-477.17669999999998</v>
      </c>
      <c r="H2936" s="1">
        <v>2.9150449999999998E-6</v>
      </c>
      <c r="I2936">
        <v>217.7998</v>
      </c>
      <c r="J2936">
        <v>-487.6789</v>
      </c>
      <c r="K2936">
        <v>1.1137969999999999</v>
      </c>
      <c r="L2936">
        <v>227.32910000000001</v>
      </c>
      <c r="M2936">
        <v>0.49568679999999898</v>
      </c>
      <c r="N2936">
        <v>0</v>
      </c>
      <c r="O2936">
        <v>-0.86839369999999905</v>
      </c>
      <c r="P2936">
        <v>0.653111199999999</v>
      </c>
      <c r="Q2936">
        <v>0.17364599999999999</v>
      </c>
      <c r="R2936">
        <v>-0.73708439999999997</v>
      </c>
      <c r="S2936">
        <v>2.2953489999999999</v>
      </c>
      <c r="T2936">
        <v>-0.24133189999999999</v>
      </c>
      <c r="U2936">
        <v>-2.0962070000000002</v>
      </c>
      <c r="V2936">
        <v>-0.2031338</v>
      </c>
      <c r="W2936">
        <v>0.18538689999999999</v>
      </c>
      <c r="X2936">
        <v>0.96144070000000004</v>
      </c>
      <c r="Y2936">
        <v>-0.3047513</v>
      </c>
      <c r="Z2936">
        <v>7.3249350000000005E-2</v>
      </c>
      <c r="AA2936">
        <v>0.94961110000000004</v>
      </c>
      <c r="AB2936">
        <v>17</v>
      </c>
      <c r="AC2936">
        <v>10.5022</v>
      </c>
      <c r="AD2936">
        <v>-1.1137940849550001</v>
      </c>
      <c r="AE2936">
        <v>-9.5292999999999992</v>
      </c>
      <c r="AF2936">
        <v>-4.3699505114380104</v>
      </c>
      <c r="AG2936">
        <v>-1.1137940849550001</v>
      </c>
      <c r="AH2936">
        <v>13.3995892193928</v>
      </c>
      <c r="AI2936">
        <v>94.518420053793903</v>
      </c>
      <c r="AJ2936">
        <v>108.062478773332</v>
      </c>
      <c r="AK2936">
        <v>14.1381043985595</v>
      </c>
      <c r="AL2936">
        <v>79.316308919274405</v>
      </c>
      <c r="AM2936">
        <v>101.930036714319</v>
      </c>
      <c r="AN2936">
        <v>0.999999931505267</v>
      </c>
    </row>
    <row r="2937" spans="1:40" x14ac:dyDescent="0.25">
      <c r="A2937" t="str">
        <f>"20190312172425851"</f>
        <v>20190312172425851</v>
      </c>
      <c r="B2937" t="str">
        <f>"1552382665842566"</f>
        <v>1552382665842566</v>
      </c>
      <c r="C2937" t="s">
        <v>40</v>
      </c>
      <c r="D2937">
        <v>3.6761910000000002</v>
      </c>
      <c r="E2937">
        <v>0.45886290000000002</v>
      </c>
      <c r="F2937" t="s">
        <v>46</v>
      </c>
      <c r="G2937">
        <v>-477.0249</v>
      </c>
      <c r="H2937" s="1">
        <v>2.9789340000000001E-6</v>
      </c>
      <c r="I2937">
        <v>217.7216</v>
      </c>
      <c r="J2937">
        <v>-487.58730000000003</v>
      </c>
      <c r="K2937">
        <v>1.113807</v>
      </c>
      <c r="L2937">
        <v>227.1857</v>
      </c>
      <c r="M2937">
        <v>0.50176409999999905</v>
      </c>
      <c r="N2937">
        <v>0</v>
      </c>
      <c r="O2937">
        <v>-0.86489629999999995</v>
      </c>
      <c r="P2937">
        <v>0.65835999999999995</v>
      </c>
      <c r="Q2937">
        <v>0.17455470000000001</v>
      </c>
      <c r="R2937">
        <v>-0.73218380000000005</v>
      </c>
      <c r="S2937">
        <v>2.3083499999999999</v>
      </c>
      <c r="T2937">
        <v>-0.24132029999999999</v>
      </c>
      <c r="U2937">
        <v>-2.0815890000000001</v>
      </c>
      <c r="V2937">
        <v>-0.20337839999999999</v>
      </c>
      <c r="W2937">
        <v>0.1862818</v>
      </c>
      <c r="X2937">
        <v>0.96121599999999996</v>
      </c>
      <c r="Y2937">
        <v>-0.304058099999999</v>
      </c>
      <c r="Z2937">
        <v>7.3039300000000001E-2</v>
      </c>
      <c r="AA2937">
        <v>0.94984939999999995</v>
      </c>
      <c r="AB2937">
        <v>17</v>
      </c>
      <c r="AC2937">
        <v>10.5624</v>
      </c>
      <c r="AD2937">
        <v>-1.1138040210660001</v>
      </c>
      <c r="AE2937">
        <v>-9.4641000000000002</v>
      </c>
      <c r="AF2937">
        <v>-4.3601529279416296</v>
      </c>
      <c r="AG2937">
        <v>-1.1138040210660001</v>
      </c>
      <c r="AH2937">
        <v>13.4038874066679</v>
      </c>
      <c r="AI2937">
        <v>94.518124160478493</v>
      </c>
      <c r="AJ2937">
        <v>108.019197977633</v>
      </c>
      <c r="AK2937">
        <v>14.1391545207983</v>
      </c>
      <c r="AL2937">
        <v>79.264126049126702</v>
      </c>
      <c r="AM2937">
        <v>101.94670160694</v>
      </c>
      <c r="AN2937">
        <v>0.99999994062689801</v>
      </c>
    </row>
    <row r="2938" spans="1:40" x14ac:dyDescent="0.25">
      <c r="A2938" t="str">
        <f>"20190312172425872"</f>
        <v>20190312172425872</v>
      </c>
      <c r="B2938" t="str">
        <f>"1552382665863060"</f>
        <v>1552382665863060</v>
      </c>
      <c r="C2938" t="s">
        <v>40</v>
      </c>
      <c r="D2938">
        <v>3.618967</v>
      </c>
      <c r="E2938">
        <v>0.45931369999999999</v>
      </c>
      <c r="F2938" t="s">
        <v>46</v>
      </c>
      <c r="G2938">
        <v>-476.80610000000001</v>
      </c>
      <c r="H2938" s="1">
        <v>3.0705640000000002E-6</v>
      </c>
      <c r="I2938">
        <v>217.59790000000001</v>
      </c>
      <c r="J2938">
        <v>-487.5034</v>
      </c>
      <c r="K2938">
        <v>1.1138170000000001</v>
      </c>
      <c r="L2938">
        <v>227.05609999999999</v>
      </c>
      <c r="M2938">
        <v>0.5072776</v>
      </c>
      <c r="N2938">
        <v>0</v>
      </c>
      <c r="O2938">
        <v>-0.8616741</v>
      </c>
      <c r="P2938">
        <v>0.66341349999999999</v>
      </c>
      <c r="Q2938">
        <v>0.1749</v>
      </c>
      <c r="R2938">
        <v>-0.72752490000000003</v>
      </c>
      <c r="S2938">
        <v>2.322937</v>
      </c>
      <c r="T2938">
        <v>-0.23998059999999999</v>
      </c>
      <c r="U2938">
        <v>-2.0657960000000002</v>
      </c>
      <c r="V2938">
        <v>-0.20394380000000001</v>
      </c>
      <c r="W2938">
        <v>0.186613</v>
      </c>
      <c r="X2938">
        <v>0.961032</v>
      </c>
      <c r="Y2938">
        <v>-0.3045756</v>
      </c>
      <c r="Z2938">
        <v>7.2457659999999993E-2</v>
      </c>
      <c r="AA2938">
        <v>0.94972820000000002</v>
      </c>
      <c r="AB2938">
        <v>17</v>
      </c>
      <c r="AC2938">
        <v>10.697299999999901</v>
      </c>
      <c r="AD2938">
        <v>-1.1138139294359899</v>
      </c>
      <c r="AE2938">
        <v>-9.4581999999999695</v>
      </c>
      <c r="AF2938">
        <v>-4.3933354968715097</v>
      </c>
      <c r="AG2938">
        <v>-1.1138139294359899</v>
      </c>
      <c r="AH2938">
        <v>13.4955428822635</v>
      </c>
      <c r="AI2938">
        <v>94.487276489367005</v>
      </c>
      <c r="AJ2938">
        <v>108.032127519569</v>
      </c>
      <c r="AK2938">
        <v>14.236279568219</v>
      </c>
      <c r="AL2938">
        <v>79.244811588812397</v>
      </c>
      <c r="AM2938">
        <v>101.98118300222301</v>
      </c>
      <c r="AN2938">
        <v>0.99999999517571903</v>
      </c>
    </row>
    <row r="2939" spans="1:40" x14ac:dyDescent="0.25">
      <c r="A2939" t="str">
        <f>"20190312172425896"</f>
        <v>20190312172425896</v>
      </c>
      <c r="B2939" t="str">
        <f>"1552382665893316"</f>
        <v>1552382665893316</v>
      </c>
      <c r="C2939" t="s">
        <v>40</v>
      </c>
      <c r="D2939">
        <v>3.6958700000000002</v>
      </c>
      <c r="E2939">
        <v>0.45998640000000002</v>
      </c>
      <c r="F2939" t="s">
        <v>46</v>
      </c>
      <c r="G2939">
        <v>-476.69670000000002</v>
      </c>
      <c r="H2939" s="1">
        <v>3.1173389999999998E-6</v>
      </c>
      <c r="I2939">
        <v>217.5591</v>
      </c>
      <c r="J2939">
        <v>-487.41219999999998</v>
      </c>
      <c r="K2939">
        <v>1.11382</v>
      </c>
      <c r="L2939">
        <v>226.91739999999999</v>
      </c>
      <c r="M2939">
        <v>0.51319619999999999</v>
      </c>
      <c r="N2939">
        <v>0</v>
      </c>
      <c r="O2939">
        <v>-0.85816239999999999</v>
      </c>
      <c r="P2939">
        <v>0.66897700000000004</v>
      </c>
      <c r="Q2939">
        <v>0.17424410000000001</v>
      </c>
      <c r="R2939">
        <v>-0.72257090000000002</v>
      </c>
      <c r="S2939">
        <v>2.335083</v>
      </c>
      <c r="T2939">
        <v>-0.24067089999999999</v>
      </c>
      <c r="U2939">
        <v>-2.0520939999999999</v>
      </c>
      <c r="V2939">
        <v>-0.2046231</v>
      </c>
      <c r="W2939">
        <v>0.185945</v>
      </c>
      <c r="X2939">
        <v>0.96101709999999996</v>
      </c>
      <c r="Y2939">
        <v>-0.30361120000000003</v>
      </c>
      <c r="Z2939">
        <v>7.2444759999999997E-2</v>
      </c>
      <c r="AA2939">
        <v>0.95003789999999999</v>
      </c>
      <c r="AB2939">
        <v>17</v>
      </c>
      <c r="AC2939">
        <v>10.715499999999899</v>
      </c>
      <c r="AD2939">
        <v>-1.113816882661</v>
      </c>
      <c r="AE2939">
        <v>-9.3582999999999803</v>
      </c>
      <c r="AF2939">
        <v>-4.3666410312208397</v>
      </c>
      <c r="AG2939">
        <v>-1.113816882661</v>
      </c>
      <c r="AH2939">
        <v>13.448926213633699</v>
      </c>
      <c r="AI2939">
        <v>94.503907766465403</v>
      </c>
      <c r="AJ2939">
        <v>107.987745278864</v>
      </c>
      <c r="AK2939">
        <v>14.183855549299899</v>
      </c>
      <c r="AL2939">
        <v>79.283767186357693</v>
      </c>
      <c r="AM2939">
        <v>102.02011230807901</v>
      </c>
      <c r="AN2939">
        <v>1.0000000112855001</v>
      </c>
    </row>
    <row r="2940" spans="1:40" x14ac:dyDescent="0.25">
      <c r="A2940" t="str">
        <f>"20190312172425917"</f>
        <v>20190312172425917</v>
      </c>
      <c r="B2940" t="str">
        <f>"1552382665912837"</f>
        <v>1552382665912837</v>
      </c>
      <c r="C2940" t="s">
        <v>40</v>
      </c>
      <c r="D2940">
        <v>3.6536490000000001</v>
      </c>
      <c r="E2940">
        <v>0.46006799999999998</v>
      </c>
      <c r="F2940" t="s">
        <v>46</v>
      </c>
      <c r="G2940">
        <v>-476.76900000000001</v>
      </c>
      <c r="H2940" s="1">
        <v>3.0904309999999999E-6</v>
      </c>
      <c r="I2940">
        <v>217.6763</v>
      </c>
      <c r="J2940">
        <v>-487.32409999999999</v>
      </c>
      <c r="K2940">
        <v>1.1138170000000001</v>
      </c>
      <c r="L2940">
        <v>226.78530000000001</v>
      </c>
      <c r="M2940">
        <v>0.51883889999999999</v>
      </c>
      <c r="N2940">
        <v>0</v>
      </c>
      <c r="O2940">
        <v>-0.85476289999999999</v>
      </c>
      <c r="P2940">
        <v>0.67415619999999998</v>
      </c>
      <c r="Q2940">
        <v>0.17391599999999999</v>
      </c>
      <c r="R2940">
        <v>-0.71782119999999905</v>
      </c>
      <c r="S2940">
        <v>2.3471980000000001</v>
      </c>
      <c r="T2940">
        <v>-0.24563550000000001</v>
      </c>
      <c r="U2940">
        <v>-2.037979</v>
      </c>
      <c r="V2940">
        <v>-0.20516100000000001</v>
      </c>
      <c r="W2940">
        <v>0.1856081</v>
      </c>
      <c r="X2940">
        <v>0.96096749999999997</v>
      </c>
      <c r="Y2940">
        <v>-0.30293360000000003</v>
      </c>
      <c r="Z2940">
        <v>7.3722449999999995E-2</v>
      </c>
      <c r="AA2940">
        <v>0.95015590000000005</v>
      </c>
      <c r="AB2940">
        <v>16</v>
      </c>
      <c r="AC2940">
        <v>10.5550999999999</v>
      </c>
      <c r="AD2940">
        <v>-1.1138139095690001</v>
      </c>
      <c r="AE2940">
        <v>-9.109</v>
      </c>
      <c r="AF2940">
        <v>-4.2691589082480101</v>
      </c>
      <c r="AG2940">
        <v>-1.1138139095690001</v>
      </c>
      <c r="AH2940">
        <v>13.1795557003538</v>
      </c>
      <c r="AI2940">
        <v>94.596579522626499</v>
      </c>
      <c r="AJ2940">
        <v>107.948322475921</v>
      </c>
      <c r="AK2940">
        <v>13.8984527076848</v>
      </c>
      <c r="AL2940">
        <v>79.303411659374007</v>
      </c>
      <c r="AM2940">
        <v>102.05139132412199</v>
      </c>
      <c r="AN2940">
        <v>0.99999996938142899</v>
      </c>
    </row>
    <row r="2941" spans="1:40" x14ac:dyDescent="0.25">
      <c r="A2941" t="str">
        <f>"20190312172425940"</f>
        <v>20190312172425940</v>
      </c>
      <c r="B2941" t="str">
        <f>"1552382665933332"</f>
        <v>1552382665933332</v>
      </c>
      <c r="C2941" t="s">
        <v>40</v>
      </c>
      <c r="D2941">
        <v>3.5551979999999999</v>
      </c>
      <c r="E2941">
        <v>0.44364340000000002</v>
      </c>
      <c r="F2941" t="s">
        <v>46</v>
      </c>
      <c r="G2941">
        <v>-476.70839999999998</v>
      </c>
      <c r="H2941" s="1">
        <v>3.1182949999999999E-6</v>
      </c>
      <c r="I2941">
        <v>217.69919999999999</v>
      </c>
      <c r="J2941">
        <v>-487.23430000000002</v>
      </c>
      <c r="K2941">
        <v>1.1138159999999999</v>
      </c>
      <c r="L2941">
        <v>226.65260000000001</v>
      </c>
      <c r="M2941">
        <v>0.52450379999999996</v>
      </c>
      <c r="N2941">
        <v>0</v>
      </c>
      <c r="O2941">
        <v>-0.85129849999999996</v>
      </c>
      <c r="P2941">
        <v>0.67871990000000004</v>
      </c>
      <c r="Q2941">
        <v>0.17390050000000001</v>
      </c>
      <c r="R2941">
        <v>-0.71351089999999995</v>
      </c>
      <c r="S2941">
        <v>2.3616329999999999</v>
      </c>
      <c r="T2941">
        <v>-0.24778629999999999</v>
      </c>
      <c r="U2941">
        <v>-2.0213619999999999</v>
      </c>
      <c r="V2941">
        <v>-0.20490079999999999</v>
      </c>
      <c r="W2941">
        <v>0.18559539999999999</v>
      </c>
      <c r="X2941">
        <v>0.96102549999999998</v>
      </c>
      <c r="Y2941">
        <v>-0.30329990000000001</v>
      </c>
      <c r="Z2941">
        <v>7.4166099999999999E-2</v>
      </c>
      <c r="AA2941">
        <v>0.95000450000000003</v>
      </c>
      <c r="AB2941">
        <v>16</v>
      </c>
      <c r="AC2941">
        <v>10.5259</v>
      </c>
      <c r="AD2941">
        <v>-1.1138128817049999</v>
      </c>
      <c r="AE2941">
        <v>-8.9534000000000091</v>
      </c>
      <c r="AF2941">
        <v>-4.2374594410509197</v>
      </c>
      <c r="AG2941">
        <v>-1.1138128817049999</v>
      </c>
      <c r="AH2941">
        <v>13.059276109596199</v>
      </c>
      <c r="AI2941">
        <v>94.637973766955696</v>
      </c>
      <c r="AJ2941">
        <v>107.97715256860501</v>
      </c>
      <c r="AK2941">
        <v>13.7746627601794</v>
      </c>
      <c r="AL2941">
        <v>79.304152524474304</v>
      </c>
      <c r="AM2941">
        <v>102.035847641506</v>
      </c>
      <c r="AN2941">
        <v>1.0000000009960199</v>
      </c>
    </row>
    <row r="2942" spans="1:40" x14ac:dyDescent="0.25">
      <c r="A2942" t="str">
        <f>"20190312172425964"</f>
        <v>20190312172425964</v>
      </c>
      <c r="B2942" t="str">
        <f>"1552382665952853"</f>
        <v>1552382665952853</v>
      </c>
      <c r="C2942" t="s">
        <v>40</v>
      </c>
      <c r="D2942">
        <v>3.6762860000000002</v>
      </c>
      <c r="E2942">
        <v>0.44263710000000001</v>
      </c>
      <c r="F2942" t="s">
        <v>46</v>
      </c>
      <c r="G2942">
        <v>-477.72989999999999</v>
      </c>
      <c r="H2942" s="1">
        <v>2.734361E-6</v>
      </c>
      <c r="I2942">
        <v>219.27940000000001</v>
      </c>
      <c r="J2942">
        <v>-487.13929999999999</v>
      </c>
      <c r="K2942">
        <v>1.1137870000000001</v>
      </c>
      <c r="L2942">
        <v>226.51419999999999</v>
      </c>
      <c r="M2942">
        <v>0.53038339999999995</v>
      </c>
      <c r="N2942">
        <v>0</v>
      </c>
      <c r="O2942">
        <v>-0.84764799999999996</v>
      </c>
      <c r="P2942">
        <v>0.68364849999999999</v>
      </c>
      <c r="Q2942">
        <v>0.1731145</v>
      </c>
      <c r="R2942">
        <v>-0.70898280000000002</v>
      </c>
      <c r="S2942">
        <v>2.4755549999999999</v>
      </c>
      <c r="T2942">
        <v>-0.29010839999999999</v>
      </c>
      <c r="U2942">
        <v>-1.9204559999999999</v>
      </c>
      <c r="V2942">
        <v>-0.20479059999999999</v>
      </c>
      <c r="W2942">
        <v>0.18481900000000001</v>
      </c>
      <c r="X2942">
        <v>0.96119860000000001</v>
      </c>
      <c r="Y2942">
        <v>-0.34123419999999999</v>
      </c>
      <c r="Z2942">
        <v>8.6835430000000005E-2</v>
      </c>
      <c r="AA2942">
        <v>0.93595879999999998</v>
      </c>
      <c r="AB2942">
        <v>16</v>
      </c>
      <c r="AC2942">
        <v>9.4093999999999998</v>
      </c>
      <c r="AD2942">
        <v>-1.113784265639</v>
      </c>
      <c r="AE2942">
        <v>-7.2347999999999697</v>
      </c>
      <c r="AF2942">
        <v>-4.1028986780417096</v>
      </c>
      <c r="AG2942">
        <v>-1.113784265639</v>
      </c>
      <c r="AH2942">
        <v>11.0270903091567</v>
      </c>
      <c r="AI2942">
        <v>95.407736860222201</v>
      </c>
      <c r="AJ2942">
        <v>110.408948608278</v>
      </c>
      <c r="AK2942">
        <v>11.818249178239499</v>
      </c>
      <c r="AL2942">
        <v>79.3494201173188</v>
      </c>
      <c r="AM2942">
        <v>102.02745982818701</v>
      </c>
      <c r="AN2942">
        <v>1.00000000062566</v>
      </c>
    </row>
    <row r="2943" spans="1:40" x14ac:dyDescent="0.25">
      <c r="A2943" t="str">
        <f>"20190312172425987"</f>
        <v>20190312172425987</v>
      </c>
      <c r="B2943" t="str">
        <f>"1552382665983109"</f>
        <v>1552382665983109</v>
      </c>
      <c r="C2943" t="s">
        <v>40</v>
      </c>
      <c r="D2943">
        <v>3.635087</v>
      </c>
      <c r="E2943">
        <v>0.4425539</v>
      </c>
      <c r="F2943" t="s">
        <v>46</v>
      </c>
      <c r="G2943">
        <v>-477.45960000000002</v>
      </c>
      <c r="H2943" s="1">
        <v>2.8485170000000002E-6</v>
      </c>
      <c r="I2943">
        <v>219.14840000000001</v>
      </c>
      <c r="J2943">
        <v>-487.04079999999999</v>
      </c>
      <c r="K2943">
        <v>1.113745</v>
      </c>
      <c r="L2943">
        <v>226.37280000000001</v>
      </c>
      <c r="M2943">
        <v>0.53633430000000004</v>
      </c>
      <c r="N2943">
        <v>0</v>
      </c>
      <c r="O2943">
        <v>-0.84389550000000002</v>
      </c>
      <c r="P2943">
        <v>0.68848259999999994</v>
      </c>
      <c r="Q2943">
        <v>0.1728034</v>
      </c>
      <c r="R2943">
        <v>-0.70436589999999999</v>
      </c>
      <c r="S2943">
        <v>2.4932560000000001</v>
      </c>
      <c r="T2943">
        <v>-0.2868829</v>
      </c>
      <c r="U2943">
        <v>-1.8972469999999999</v>
      </c>
      <c r="V2943">
        <v>-0.20453950000000001</v>
      </c>
      <c r="W2943">
        <v>0.1845251</v>
      </c>
      <c r="X2943">
        <v>0.96130850000000001</v>
      </c>
      <c r="Y2943">
        <v>-0.34342650000000002</v>
      </c>
      <c r="Z2943">
        <v>8.5692749999999998E-2</v>
      </c>
      <c r="AA2943">
        <v>0.93526200000000004</v>
      </c>
      <c r="AB2943">
        <v>16</v>
      </c>
      <c r="AC2943">
        <v>9.58119999999996</v>
      </c>
      <c r="AD2943">
        <v>-1.1137421514829999</v>
      </c>
      <c r="AE2943">
        <v>-7.2244000000000002</v>
      </c>
      <c r="AF2943">
        <v>-4.1752614824170902</v>
      </c>
      <c r="AG2943">
        <v>-1.1137421514829999</v>
      </c>
      <c r="AH2943">
        <v>11.1404393967563</v>
      </c>
      <c r="AI2943">
        <v>95.348111453785606</v>
      </c>
      <c r="AJ2943">
        <v>110.54520808043</v>
      </c>
      <c r="AK2943">
        <v>11.949168171021199</v>
      </c>
      <c r="AL2943">
        <v>79.366553780953595</v>
      </c>
      <c r="AM2943">
        <v>102.011807770804</v>
      </c>
      <c r="AN2943">
        <v>0.999999975881254</v>
      </c>
    </row>
    <row r="2944" spans="1:40" x14ac:dyDescent="0.25">
      <c r="A2944" t="str">
        <f>"20190312172426008"</f>
        <v>20190312172426008</v>
      </c>
      <c r="B2944" t="str">
        <f>"1552382666002629"</f>
        <v>1552382666002629</v>
      </c>
      <c r="C2944" t="s">
        <v>40</v>
      </c>
      <c r="D2944">
        <v>3.6390570000000002</v>
      </c>
      <c r="E2944">
        <v>0.44266319999999998</v>
      </c>
      <c r="F2944" t="s">
        <v>46</v>
      </c>
      <c r="G2944">
        <v>-477.39159999999998</v>
      </c>
      <c r="H2944" s="1">
        <v>2.8778920000000002E-6</v>
      </c>
      <c r="I2944">
        <v>219.1301</v>
      </c>
      <c r="J2944">
        <v>-486.952</v>
      </c>
      <c r="K2944">
        <v>1.1136919999999999</v>
      </c>
      <c r="L2944">
        <v>226.24690000000001</v>
      </c>
      <c r="M2944">
        <v>0.54157659999999996</v>
      </c>
      <c r="N2944">
        <v>0</v>
      </c>
      <c r="O2944">
        <v>-0.84054079999999998</v>
      </c>
      <c r="P2944">
        <v>0.69261039999999996</v>
      </c>
      <c r="Q2944">
        <v>0.17227679999999901</v>
      </c>
      <c r="R2944">
        <v>-0.70043710000000003</v>
      </c>
      <c r="S2944">
        <v>2.505798</v>
      </c>
      <c r="T2944">
        <v>-0.28922740000000002</v>
      </c>
      <c r="U2944">
        <v>-1.8808590000000001</v>
      </c>
      <c r="V2944">
        <v>-0.20410800000000001</v>
      </c>
      <c r="W2944">
        <v>0.1840213</v>
      </c>
      <c r="X2944">
        <v>0.96149680000000004</v>
      </c>
      <c r="Y2944">
        <v>-0.34369820000000001</v>
      </c>
      <c r="Z2944">
        <v>8.6170360000000001E-2</v>
      </c>
      <c r="AA2944">
        <v>0.93511829999999996</v>
      </c>
      <c r="AB2944">
        <v>16</v>
      </c>
      <c r="AC2944">
        <v>9.5604000000000102</v>
      </c>
      <c r="AD2944">
        <v>-1.1136891221080001</v>
      </c>
      <c r="AE2944">
        <v>-7.1168000000000102</v>
      </c>
      <c r="AF2944">
        <v>-4.1458038719250103</v>
      </c>
      <c r="AG2944">
        <v>-1.1136891221080001</v>
      </c>
      <c r="AH2944">
        <v>11.064081911004299</v>
      </c>
      <c r="AI2944">
        <v>95.384683273369703</v>
      </c>
      <c r="AJ2944">
        <v>110.541393652987</v>
      </c>
      <c r="AK2944">
        <v>11.8676830821599</v>
      </c>
      <c r="AL2944">
        <v>79.395922647654402</v>
      </c>
      <c r="AM2944">
        <v>101.98492151256499</v>
      </c>
      <c r="AN2944">
        <v>1.00000000546396</v>
      </c>
    </row>
    <row r="2945" spans="1:40" x14ac:dyDescent="0.25">
      <c r="A2945" t="str">
        <f>"20190312172426030"</f>
        <v>20190312172426030</v>
      </c>
      <c r="B2945" t="str">
        <f>"1552382666023125"</f>
        <v>1552382666023125</v>
      </c>
      <c r="C2945" t="s">
        <v>40</v>
      </c>
      <c r="D2945">
        <v>3.5674290000000002</v>
      </c>
      <c r="E2945">
        <v>0.44285609999999997</v>
      </c>
      <c r="F2945" t="s">
        <v>46</v>
      </c>
      <c r="G2945">
        <v>-477.61759999999998</v>
      </c>
      <c r="H2945" s="1">
        <v>2.7858449999999998E-6</v>
      </c>
      <c r="I2945">
        <v>219.31790000000001</v>
      </c>
      <c r="J2945">
        <v>-486.85849999999999</v>
      </c>
      <c r="K2945">
        <v>1.1136280000000001</v>
      </c>
      <c r="L2945">
        <v>226.11609999999999</v>
      </c>
      <c r="M2945">
        <v>0.54694659999999995</v>
      </c>
      <c r="N2945">
        <v>0</v>
      </c>
      <c r="O2945">
        <v>-0.83705659999999904</v>
      </c>
      <c r="P2945">
        <v>0.69765489999999997</v>
      </c>
      <c r="Q2945">
        <v>0.17162669999999999</v>
      </c>
      <c r="R2945">
        <v>-0.6955732</v>
      </c>
      <c r="S2945">
        <v>2.516785</v>
      </c>
      <c r="T2945">
        <v>-0.30027989999999999</v>
      </c>
      <c r="U2945">
        <v>-1.8682399999999999</v>
      </c>
      <c r="V2945">
        <v>-0.2047832</v>
      </c>
      <c r="W2945">
        <v>0.18338760000000001</v>
      </c>
      <c r="X2945">
        <v>0.9614743</v>
      </c>
      <c r="Y2945">
        <v>-0.34241529999999998</v>
      </c>
      <c r="Z2945">
        <v>8.9127059999999994E-2</v>
      </c>
      <c r="AA2945">
        <v>0.93531180000000003</v>
      </c>
      <c r="AB2945">
        <v>16</v>
      </c>
      <c r="AC2945">
        <v>9.2408999999999999</v>
      </c>
      <c r="AD2945">
        <v>-1.113625214155</v>
      </c>
      <c r="AE2945">
        <v>-6.79819999999998</v>
      </c>
      <c r="AF2945">
        <v>-3.9797754143907</v>
      </c>
      <c r="AG2945">
        <v>-1.113625214155</v>
      </c>
      <c r="AH2945">
        <v>10.6454424194696</v>
      </c>
      <c r="AI2945">
        <v>95.596372938886205</v>
      </c>
      <c r="AJ2945">
        <v>110.498146970433</v>
      </c>
      <c r="AK2945">
        <v>11.419466615075899</v>
      </c>
      <c r="AL2945">
        <v>79.432859537903695</v>
      </c>
      <c r="AM2945">
        <v>102.023689534544</v>
      </c>
      <c r="AN2945">
        <v>1.0000000001982401</v>
      </c>
    </row>
    <row r="2946" spans="1:40" x14ac:dyDescent="0.25">
      <c r="A2946" t="str">
        <f>"20190312172426053"</f>
        <v>20190312172426053</v>
      </c>
      <c r="B2946" t="str">
        <f>"1552382666042645"</f>
        <v>1552382666042645</v>
      </c>
      <c r="C2946" t="s">
        <v>40</v>
      </c>
      <c r="D2946">
        <v>3.5619070000000002</v>
      </c>
      <c r="E2946">
        <v>0.4429632</v>
      </c>
      <c r="F2946" t="s">
        <v>46</v>
      </c>
      <c r="G2946">
        <v>-477.62360000000001</v>
      </c>
      <c r="H2946" s="1">
        <v>2.7846239999999998E-6</v>
      </c>
      <c r="I2946">
        <v>219.3501</v>
      </c>
      <c r="J2946">
        <v>-486.76369999999997</v>
      </c>
      <c r="K2946">
        <v>1.1135459999999999</v>
      </c>
      <c r="L2946">
        <v>225.98490000000001</v>
      </c>
      <c r="M2946">
        <v>0.55221209999999998</v>
      </c>
      <c r="N2946">
        <v>0</v>
      </c>
      <c r="O2946">
        <v>-0.83359259999999902</v>
      </c>
      <c r="P2946">
        <v>0.70280359999999997</v>
      </c>
      <c r="Q2946">
        <v>0.1711471</v>
      </c>
      <c r="R2946">
        <v>-0.6904901</v>
      </c>
      <c r="S2946">
        <v>2.5282589999999998</v>
      </c>
      <c r="T2946">
        <v>-0.30487799999999998</v>
      </c>
      <c r="U2946">
        <v>-1.852325</v>
      </c>
      <c r="V2946">
        <v>-0.20576240000000001</v>
      </c>
      <c r="W2946">
        <v>0.18292910000000001</v>
      </c>
      <c r="X2946">
        <v>0.9613526</v>
      </c>
      <c r="Y2946">
        <v>-0.34224729999999998</v>
      </c>
      <c r="Z2946">
        <v>9.0238689999999996E-2</v>
      </c>
      <c r="AA2946">
        <v>0.93526670000000001</v>
      </c>
      <c r="AB2946">
        <v>16</v>
      </c>
      <c r="AC2946">
        <v>9.1400999999999595</v>
      </c>
      <c r="AD2946">
        <v>-1.1135432153760001</v>
      </c>
      <c r="AE2946">
        <v>-6.63480000000001</v>
      </c>
      <c r="AF2946">
        <v>-3.9175878585624502</v>
      </c>
      <c r="AG2946">
        <v>-1.1135432153760001</v>
      </c>
      <c r="AH2946">
        <v>10.4771295872181</v>
      </c>
      <c r="AI2946">
        <v>95.685146992550997</v>
      </c>
      <c r="AJ2946">
        <v>110.501677444775</v>
      </c>
      <c r="AK2946">
        <v>11.2408948713804</v>
      </c>
      <c r="AL2946">
        <v>79.459581924497499</v>
      </c>
      <c r="AM2946">
        <v>102.080982049078</v>
      </c>
      <c r="AN2946">
        <v>1.0000000212036599</v>
      </c>
    </row>
    <row r="2947" spans="1:40" x14ac:dyDescent="0.25">
      <c r="A2947" t="str">
        <f>"20190312172426075"</f>
        <v>20190312172426075</v>
      </c>
      <c r="B2947" t="str">
        <f>"1552382666063140"</f>
        <v>1552382666063140</v>
      </c>
      <c r="C2947" t="s">
        <v>40</v>
      </c>
      <c r="D2947">
        <v>3.538834</v>
      </c>
      <c r="E2947">
        <v>0.44313010000000003</v>
      </c>
      <c r="F2947" t="s">
        <v>46</v>
      </c>
      <c r="G2947">
        <v>-477.52359999999999</v>
      </c>
      <c r="H2947" s="1">
        <v>2.8273360000000002E-6</v>
      </c>
      <c r="I2947">
        <v>219.3124</v>
      </c>
      <c r="J2947">
        <v>-486.67110000000002</v>
      </c>
      <c r="K2947">
        <v>1.113443</v>
      </c>
      <c r="L2947">
        <v>225.85820000000001</v>
      </c>
      <c r="M2947">
        <v>0.55716089999999996</v>
      </c>
      <c r="N2947">
        <v>0</v>
      </c>
      <c r="O2947">
        <v>-0.83029319999999895</v>
      </c>
      <c r="P2947">
        <v>0.70774499999999996</v>
      </c>
      <c r="Q2947">
        <v>0.17135059999999999</v>
      </c>
      <c r="R2947">
        <v>-0.68537320000000002</v>
      </c>
      <c r="S2947">
        <v>2.54068</v>
      </c>
      <c r="T2947">
        <v>-0.30617949999999999</v>
      </c>
      <c r="U2947">
        <v>-1.8346709999999999</v>
      </c>
      <c r="V2947">
        <v>-0.2069365</v>
      </c>
      <c r="W2947">
        <v>0.1831565</v>
      </c>
      <c r="X2947">
        <v>0.96105719999999994</v>
      </c>
      <c r="Y2947">
        <v>-0.3430783</v>
      </c>
      <c r="Z2947">
        <v>9.0420879999999995E-2</v>
      </c>
      <c r="AA2947">
        <v>0.93494460000000001</v>
      </c>
      <c r="AB2947">
        <v>16</v>
      </c>
      <c r="AC2947">
        <v>9.1475000000000293</v>
      </c>
      <c r="AD2947">
        <v>-1.113440172664</v>
      </c>
      <c r="AE2947">
        <v>-6.5458000000000096</v>
      </c>
      <c r="AF2947">
        <v>-3.9100952385421701</v>
      </c>
      <c r="AG2947">
        <v>-1.113440172664</v>
      </c>
      <c r="AH2947">
        <v>10.4303347885434</v>
      </c>
      <c r="AI2947">
        <v>95.708173463184593</v>
      </c>
      <c r="AJ2947">
        <v>110.549879082188</v>
      </c>
      <c r="AK2947">
        <v>11.1946629066565</v>
      </c>
      <c r="AL2947">
        <v>79.446328516054393</v>
      </c>
      <c r="AM2947">
        <v>102.151498384197</v>
      </c>
      <c r="AN2947">
        <v>0.99999998009816904</v>
      </c>
    </row>
    <row r="2948" spans="1:40" x14ac:dyDescent="0.25">
      <c r="A2948" t="str">
        <f>"20190312172426096"</f>
        <v>20190312172426096</v>
      </c>
      <c r="B2948" t="str">
        <f>"1552382666093397"</f>
        <v>1552382666093397</v>
      </c>
      <c r="C2948" t="s">
        <v>40</v>
      </c>
      <c r="D2948">
        <v>3.6790430000000001</v>
      </c>
      <c r="E2948">
        <v>0.44337219999999999</v>
      </c>
      <c r="F2948" t="s">
        <v>46</v>
      </c>
      <c r="G2948">
        <v>-477.3723</v>
      </c>
      <c r="H2948" s="1">
        <v>2.8909070000000001E-6</v>
      </c>
      <c r="I2948">
        <v>219.23240000000001</v>
      </c>
      <c r="J2948">
        <v>-486.5831</v>
      </c>
      <c r="K2948">
        <v>1.1133280000000001</v>
      </c>
      <c r="L2948">
        <v>225.7388</v>
      </c>
      <c r="M2948">
        <v>0.56166740000000004</v>
      </c>
      <c r="N2948">
        <v>0</v>
      </c>
      <c r="O2948">
        <v>-0.82725159999999998</v>
      </c>
      <c r="P2948">
        <v>0.71218510000000002</v>
      </c>
      <c r="Q2948">
        <v>0.17180509999999999</v>
      </c>
      <c r="R2948">
        <v>-0.68064360000000002</v>
      </c>
      <c r="S2948">
        <v>2.5519409999999998</v>
      </c>
      <c r="T2948">
        <v>-0.30556860000000002</v>
      </c>
      <c r="U2948">
        <v>-1.8183590000000001</v>
      </c>
      <c r="V2948">
        <v>-0.2079753</v>
      </c>
      <c r="W2948">
        <v>0.183643</v>
      </c>
      <c r="X2948">
        <v>0.96074009999999999</v>
      </c>
      <c r="Y2948">
        <v>-0.3439102</v>
      </c>
      <c r="Z2948">
        <v>9.0060189999999998E-2</v>
      </c>
      <c r="AA2948">
        <v>0.93467370000000005</v>
      </c>
      <c r="AB2948">
        <v>16</v>
      </c>
      <c r="AC2948">
        <v>9.2108000000000008</v>
      </c>
      <c r="AD2948">
        <v>-1.1133251090930001</v>
      </c>
      <c r="AE2948">
        <v>-6.5063999999999798</v>
      </c>
      <c r="AF2948">
        <v>-3.9273043662450702</v>
      </c>
      <c r="AG2948">
        <v>-1.1133251090930001</v>
      </c>
      <c r="AH2948">
        <v>10.454910308048801</v>
      </c>
      <c r="AI2948">
        <v>95.692836374704697</v>
      </c>
      <c r="AJ2948">
        <v>110.58829185549099</v>
      </c>
      <c r="AK2948">
        <v>11.2235628003326</v>
      </c>
      <c r="AL2948">
        <v>79.417973468769603</v>
      </c>
      <c r="AM2948">
        <v>102.21458096223201</v>
      </c>
      <c r="AN2948">
        <v>1.0000000083035501</v>
      </c>
    </row>
    <row r="2949" spans="1:40" x14ac:dyDescent="0.25">
      <c r="A2949" t="str">
        <f>"20190312172426117"</f>
        <v>20190312172426117</v>
      </c>
      <c r="B2949" t="str">
        <f>"1552382666112917"</f>
        <v>1552382666112917</v>
      </c>
      <c r="C2949" t="s">
        <v>40</v>
      </c>
      <c r="D2949">
        <v>3.5422820000000002</v>
      </c>
      <c r="E2949">
        <v>0.44350220000000001</v>
      </c>
      <c r="F2949" t="s">
        <v>46</v>
      </c>
      <c r="G2949">
        <v>-477.19229999999999</v>
      </c>
      <c r="H2949" s="1">
        <v>2.9661409999999999E-6</v>
      </c>
      <c r="I2949">
        <v>219.1277</v>
      </c>
      <c r="J2949">
        <v>-486.48899999999998</v>
      </c>
      <c r="K2949">
        <v>1.113184</v>
      </c>
      <c r="L2949">
        <v>225.6122</v>
      </c>
      <c r="M2949">
        <v>0.56626489999999996</v>
      </c>
      <c r="N2949">
        <v>0</v>
      </c>
      <c r="O2949">
        <v>-0.82411179999999995</v>
      </c>
      <c r="P2949">
        <v>0.71652169999999904</v>
      </c>
      <c r="Q2949">
        <v>0.17211270000000001</v>
      </c>
      <c r="R2949">
        <v>-0.67599900000000002</v>
      </c>
      <c r="S2949">
        <v>2.5619510000000001</v>
      </c>
      <c r="T2949">
        <v>-0.3037318</v>
      </c>
      <c r="U2949">
        <v>-1.8036190000000001</v>
      </c>
      <c r="V2949">
        <v>-0.20875009999999999</v>
      </c>
      <c r="W2949">
        <v>0.18399650000000001</v>
      </c>
      <c r="X2949">
        <v>0.96050440000000004</v>
      </c>
      <c r="Y2949">
        <v>-0.34405560000000002</v>
      </c>
      <c r="Z2949">
        <v>8.9313820000000002E-2</v>
      </c>
      <c r="AA2949">
        <v>0.93469179999999996</v>
      </c>
      <c r="AB2949">
        <v>16</v>
      </c>
      <c r="AC2949">
        <v>9.2967000000000404</v>
      </c>
      <c r="AD2949">
        <v>-1.113181033859</v>
      </c>
      <c r="AE2949">
        <v>-6.4844999999999899</v>
      </c>
      <c r="AF2949">
        <v>-3.95182652199329</v>
      </c>
      <c r="AG2949">
        <v>-1.113181033859</v>
      </c>
      <c r="AH2949">
        <v>10.5079728924128</v>
      </c>
      <c r="AI2949">
        <v>95.662738843536502</v>
      </c>
      <c r="AJ2949">
        <v>110.610219459565</v>
      </c>
      <c r="AK2949">
        <v>11.281560139526601</v>
      </c>
      <c r="AL2949">
        <v>79.397368309129504</v>
      </c>
      <c r="AM2949">
        <v>102.261629256517</v>
      </c>
      <c r="AN2949">
        <v>1.0000000093408099</v>
      </c>
    </row>
    <row r="2950" spans="1:40" x14ac:dyDescent="0.25">
      <c r="A2950" t="str">
        <f>"20190312172426142"</f>
        <v>20190312172426142</v>
      </c>
      <c r="B2950" t="str">
        <f>"1552382666133412"</f>
        <v>1552382666133412</v>
      </c>
      <c r="C2950" t="s">
        <v>40</v>
      </c>
      <c r="D2950">
        <v>3.5223930000000001</v>
      </c>
      <c r="E2950">
        <v>0.44372270000000003</v>
      </c>
      <c r="F2950" t="s">
        <v>46</v>
      </c>
      <c r="G2950">
        <v>-477.03890000000001</v>
      </c>
      <c r="H2950" s="1">
        <v>3.030491E-6</v>
      </c>
      <c r="I2950">
        <v>219.04320000000001</v>
      </c>
      <c r="J2950">
        <v>-486.38749999999999</v>
      </c>
      <c r="K2950">
        <v>1.1130119999999999</v>
      </c>
      <c r="L2950">
        <v>225.47669999999999</v>
      </c>
      <c r="M2950">
        <v>0.57096059999999904</v>
      </c>
      <c r="N2950">
        <v>0</v>
      </c>
      <c r="O2950">
        <v>-0.82086619999999999</v>
      </c>
      <c r="P2950">
        <v>0.720503</v>
      </c>
      <c r="Q2950">
        <v>0.17235</v>
      </c>
      <c r="R2950">
        <v>-0.67169330000000005</v>
      </c>
      <c r="S2950">
        <v>2.5725709999999999</v>
      </c>
      <c r="T2950">
        <v>-0.303037</v>
      </c>
      <c r="U2950">
        <v>-1.7882690000000001</v>
      </c>
      <c r="V2950">
        <v>-0.20890220000000001</v>
      </c>
      <c r="W2950">
        <v>0.1842946</v>
      </c>
      <c r="X2950">
        <v>0.9604142</v>
      </c>
      <c r="Y2950">
        <v>-0.34429549999999998</v>
      </c>
      <c r="Z2950">
        <v>8.8889780000000002E-2</v>
      </c>
      <c r="AA2950">
        <v>0.93464389999999997</v>
      </c>
      <c r="AB2950">
        <v>16</v>
      </c>
      <c r="AC2950">
        <v>9.3485999999999692</v>
      </c>
      <c r="AD2950">
        <v>-1.113008969509</v>
      </c>
      <c r="AE2950">
        <v>-6.43349999999998</v>
      </c>
      <c r="AF2950">
        <v>-3.9629210433635</v>
      </c>
      <c r="AG2950">
        <v>-1.113008969509</v>
      </c>
      <c r="AH2950">
        <v>10.5185178433797</v>
      </c>
      <c r="AI2950">
        <v>95.654974409812993</v>
      </c>
      <c r="AJ2950">
        <v>110.644231718151</v>
      </c>
      <c r="AK2950">
        <v>11.2952534183009</v>
      </c>
      <c r="AL2950">
        <v>79.379991517529206</v>
      </c>
      <c r="AM2950">
        <v>102.271410259428</v>
      </c>
      <c r="AN2950">
        <v>1.00000003215781</v>
      </c>
    </row>
    <row r="2951" spans="1:40" x14ac:dyDescent="0.25">
      <c r="A2951" t="str">
        <f>"20190312172426174"</f>
        <v>20190312172426174</v>
      </c>
      <c r="B2951" t="str">
        <f>"1552382666162696"</f>
        <v>1552382666162696</v>
      </c>
      <c r="C2951" t="s">
        <v>40</v>
      </c>
      <c r="D2951">
        <v>3.5068739999999998</v>
      </c>
      <c r="E2951">
        <v>0.44406479999999998</v>
      </c>
      <c r="F2951" t="s">
        <v>46</v>
      </c>
      <c r="G2951">
        <v>-476.90370000000001</v>
      </c>
      <c r="H2951" s="1">
        <v>3.0865840000000002E-6</v>
      </c>
      <c r="I2951">
        <v>218.95439999999999</v>
      </c>
      <c r="J2951">
        <v>-486.24540000000002</v>
      </c>
      <c r="K2951">
        <v>1.1127929999999999</v>
      </c>
      <c r="L2951">
        <v>225.28899999999999</v>
      </c>
      <c r="M2951">
        <v>0.57704219999999995</v>
      </c>
      <c r="N2951">
        <v>0</v>
      </c>
      <c r="O2951">
        <v>-0.81660279999999996</v>
      </c>
      <c r="P2951">
        <v>0.72494029999999998</v>
      </c>
      <c r="Q2951">
        <v>0.17241860000000001</v>
      </c>
      <c r="R2951">
        <v>-0.66688359999999902</v>
      </c>
      <c r="S2951">
        <v>2.581299</v>
      </c>
      <c r="T2951">
        <v>-0.30293579999999998</v>
      </c>
      <c r="U2951">
        <v>-1.775223</v>
      </c>
      <c r="V2951">
        <v>-0.2080446</v>
      </c>
      <c r="W2951">
        <v>0.18444830000000001</v>
      </c>
      <c r="X2951">
        <v>0.96057079999999995</v>
      </c>
      <c r="Y2951">
        <v>-0.34202890000000002</v>
      </c>
      <c r="Z2951">
        <v>8.8492550000000003E-2</v>
      </c>
      <c r="AA2951">
        <v>0.93551340000000005</v>
      </c>
      <c r="AB2951">
        <v>16</v>
      </c>
      <c r="AC2951">
        <v>9.3416999999999994</v>
      </c>
      <c r="AD2951">
        <v>-1.112789913416</v>
      </c>
      <c r="AE2951">
        <v>-6.3346000000000204</v>
      </c>
      <c r="AF2951">
        <v>-3.9352374585775798</v>
      </c>
      <c r="AG2951">
        <v>-1.112789913416</v>
      </c>
      <c r="AH2951">
        <v>10.4626701509869</v>
      </c>
      <c r="AI2951">
        <v>95.685032944554905</v>
      </c>
      <c r="AJ2951">
        <v>110.612370409585</v>
      </c>
      <c r="AK2951">
        <v>11.2335151192824</v>
      </c>
      <c r="AL2951">
        <v>79.371031167941794</v>
      </c>
      <c r="AM2951">
        <v>102.220617548512</v>
      </c>
      <c r="AN2951">
        <v>0.99999999638734405</v>
      </c>
    </row>
    <row r="2952" spans="1:40" x14ac:dyDescent="0.25">
      <c r="A2952" t="str">
        <f>"20190312172426267"</f>
        <v>20190312172426267</v>
      </c>
      <c r="B2952" t="str">
        <f>"1552382666263221"</f>
        <v>1552382666263221</v>
      </c>
      <c r="C2952" t="s">
        <v>40</v>
      </c>
      <c r="D2952">
        <v>3.4121090000000001</v>
      </c>
      <c r="E2952">
        <v>0.44658219999999998</v>
      </c>
      <c r="F2952" t="s">
        <v>46</v>
      </c>
      <c r="G2952">
        <v>-476.81529999999998</v>
      </c>
      <c r="H2952" s="1">
        <v>3.1225580000000001E-6</v>
      </c>
      <c r="I2952">
        <v>218.88069999999999</v>
      </c>
      <c r="J2952">
        <v>-485.84989999999999</v>
      </c>
      <c r="K2952">
        <v>1.1124229999999999</v>
      </c>
      <c r="L2952">
        <v>224.77549999999999</v>
      </c>
      <c r="M2952">
        <v>0.59172910000000001</v>
      </c>
      <c r="N2952">
        <v>0</v>
      </c>
      <c r="O2952">
        <v>-0.80602499999999999</v>
      </c>
      <c r="P2952">
        <v>0.7347283</v>
      </c>
      <c r="Q2952">
        <v>0.17235059999999999</v>
      </c>
      <c r="R2952">
        <v>-0.65610190000000002</v>
      </c>
      <c r="S2952">
        <v>2.5911249999999999</v>
      </c>
      <c r="T2952">
        <v>-0.30576120000000001</v>
      </c>
      <c r="U2952">
        <v>-1.760818</v>
      </c>
      <c r="V2952">
        <v>-0.20468210000000001</v>
      </c>
      <c r="W2952">
        <v>0.18451290000000001</v>
      </c>
      <c r="X2952">
        <v>0.96128049999999998</v>
      </c>
      <c r="Y2952">
        <v>-0.33020110000000003</v>
      </c>
      <c r="Z2952">
        <v>8.8166049999999996E-2</v>
      </c>
      <c r="AA2952">
        <v>0.93978399999999995</v>
      </c>
      <c r="AB2952">
        <v>16</v>
      </c>
      <c r="AC2952">
        <v>9.03460000000001</v>
      </c>
      <c r="AD2952">
        <v>-1.112419877442</v>
      </c>
      <c r="AE2952">
        <v>-5.8948</v>
      </c>
      <c r="AF2952">
        <v>-3.7544075399771399</v>
      </c>
      <c r="AG2952">
        <v>-1.112419877442</v>
      </c>
      <c r="AH2952">
        <v>9.9920496887622594</v>
      </c>
      <c r="AI2952">
        <v>95.949695331647405</v>
      </c>
      <c r="AJ2952">
        <v>110.59318161192699</v>
      </c>
      <c r="AK2952">
        <v>10.731920188981</v>
      </c>
      <c r="AL2952">
        <v>79.367265110774099</v>
      </c>
      <c r="AM2952">
        <v>102.020278571704</v>
      </c>
      <c r="AN2952">
        <v>0.99999998600353501</v>
      </c>
    </row>
    <row r="2953" spans="1:40" x14ac:dyDescent="0.25">
      <c r="A2953" t="str">
        <f>"20190312172426286"</f>
        <v>20190312172426286</v>
      </c>
      <c r="B2953" t="str">
        <f>"1552382666282740"</f>
        <v>1552382666282740</v>
      </c>
      <c r="C2953" t="s">
        <v>40</v>
      </c>
      <c r="D2953">
        <v>3.6894589999999998</v>
      </c>
      <c r="E2953">
        <v>0.44969890000000001</v>
      </c>
      <c r="F2953" t="s">
        <v>46</v>
      </c>
      <c r="G2953">
        <v>-481.37259999999998</v>
      </c>
      <c r="H2953" s="1">
        <v>2.4914669999999999E-6</v>
      </c>
      <c r="I2953">
        <v>221.78440000000001</v>
      </c>
      <c r="J2953">
        <v>-485.76089999999999</v>
      </c>
      <c r="K2953">
        <v>1.1123689999999999</v>
      </c>
      <c r="L2953">
        <v>224.6618</v>
      </c>
      <c r="M2953">
        <v>0.59468399999999999</v>
      </c>
      <c r="N2953">
        <v>0</v>
      </c>
      <c r="O2953">
        <v>-0.8038478</v>
      </c>
      <c r="P2953">
        <v>0.73663659999999997</v>
      </c>
      <c r="Q2953">
        <v>0.17263829999999999</v>
      </c>
      <c r="R2953">
        <v>-0.65388290000000004</v>
      </c>
      <c r="S2953">
        <v>2.6543269999999999</v>
      </c>
      <c r="T2953">
        <v>-0.65948519999999999</v>
      </c>
      <c r="U2953">
        <v>-1.7732540000000001</v>
      </c>
      <c r="V2953">
        <v>-0.20397390000000001</v>
      </c>
      <c r="W2953">
        <v>0.18481620000000001</v>
      </c>
      <c r="X2953">
        <v>0.96137280000000003</v>
      </c>
      <c r="Y2953">
        <v>-0.32091589999999998</v>
      </c>
      <c r="Z2953">
        <v>0.18338399999999999</v>
      </c>
      <c r="AA2953">
        <v>0.92918420000000002</v>
      </c>
      <c r="AB2953">
        <v>16</v>
      </c>
      <c r="AC2953">
        <v>4.3883000000000099</v>
      </c>
      <c r="AD2953">
        <v>-1.1123665085329999</v>
      </c>
      <c r="AE2953">
        <v>-2.87739999999999</v>
      </c>
      <c r="AF2953">
        <v>-1.7384283511399601</v>
      </c>
      <c r="AG2953">
        <v>-1.1123665085329999</v>
      </c>
      <c r="AH2953">
        <v>4.7113795584420597</v>
      </c>
      <c r="AI2953">
        <v>102.48959875629301</v>
      </c>
      <c r="AJ2953">
        <v>110.25330399747</v>
      </c>
      <c r="AK2953">
        <v>5.1435969637072896</v>
      </c>
      <c r="AL2953">
        <v>79.349583567735493</v>
      </c>
      <c r="AM2953">
        <v>101.978775060559</v>
      </c>
      <c r="AN2953">
        <v>1.0000000201217401</v>
      </c>
    </row>
    <row r="2954" spans="1:40" x14ac:dyDescent="0.25">
      <c r="A2954" t="str">
        <f>"20190312172426308"</f>
        <v>20190312172426308</v>
      </c>
      <c r="B2954" t="str">
        <f>"1552382666303237"</f>
        <v>1552382666303237</v>
      </c>
      <c r="C2954" t="s">
        <v>40</v>
      </c>
      <c r="D2954">
        <v>3.6360239999999999</v>
      </c>
      <c r="E2954">
        <v>0.45138460000000002</v>
      </c>
      <c r="F2954" t="s">
        <v>46</v>
      </c>
      <c r="G2954">
        <v>-480.07319999999999</v>
      </c>
      <c r="H2954" s="1">
        <v>2.049528E-6</v>
      </c>
      <c r="I2954">
        <v>220.82810000000001</v>
      </c>
      <c r="J2954">
        <v>-485.6671</v>
      </c>
      <c r="K2954">
        <v>1.1123350000000001</v>
      </c>
      <c r="L2954">
        <v>224.54259999999999</v>
      </c>
      <c r="M2954">
        <v>0.59771809999999903</v>
      </c>
      <c r="N2954">
        <v>0</v>
      </c>
      <c r="O2954">
        <v>-0.80159460000000005</v>
      </c>
      <c r="P2954">
        <v>0.73890500000000003</v>
      </c>
      <c r="Q2954">
        <v>0.1723616</v>
      </c>
      <c r="R2954">
        <v>-0.65139199999999997</v>
      </c>
      <c r="S2954">
        <v>2.6232600000000001</v>
      </c>
      <c r="T2954">
        <v>-0.5130401</v>
      </c>
      <c r="U2954">
        <v>-1.7681579999999999</v>
      </c>
      <c r="V2954">
        <v>-0.20362040000000001</v>
      </c>
      <c r="W2954">
        <v>0.18454719999999999</v>
      </c>
      <c r="X2954">
        <v>0.9614994</v>
      </c>
      <c r="Y2954">
        <v>-0.32003009999999998</v>
      </c>
      <c r="Z2954">
        <v>0.14450209999999999</v>
      </c>
      <c r="AA2954">
        <v>0.93632249999999995</v>
      </c>
      <c r="AB2954">
        <v>16</v>
      </c>
      <c r="AC2954">
        <v>5.5939000000000103</v>
      </c>
      <c r="AD2954">
        <v>-1.1123329504719901</v>
      </c>
      <c r="AE2954">
        <v>-3.7144999999999802</v>
      </c>
      <c r="AF2954">
        <v>-2.2035517531208599</v>
      </c>
      <c r="AG2954">
        <v>-1.1123329504719901</v>
      </c>
      <c r="AH2954">
        <v>6.1528262817932697</v>
      </c>
      <c r="AI2954">
        <v>99.659087492954896</v>
      </c>
      <c r="AJ2954">
        <v>109.70430017007</v>
      </c>
      <c r="AK2954">
        <v>6.6294944132500602</v>
      </c>
      <c r="AL2954">
        <v>79.365265851929607</v>
      </c>
      <c r="AM2954">
        <v>101.957083980696</v>
      </c>
      <c r="AN2954">
        <v>1.0000000162621701</v>
      </c>
    </row>
    <row r="2955" spans="1:40" x14ac:dyDescent="0.25">
      <c r="A2955" t="str">
        <f>"20190312172426331"</f>
        <v>20190312172426331</v>
      </c>
      <c r="B2955" t="str">
        <f>"1552382666322757"</f>
        <v>1552382666322757</v>
      </c>
      <c r="C2955" t="s">
        <v>40</v>
      </c>
      <c r="D2955">
        <v>3.632406</v>
      </c>
      <c r="E2955">
        <v>0.45158979999999999</v>
      </c>
      <c r="F2955" t="s">
        <v>46</v>
      </c>
      <c r="G2955">
        <v>-479.08359999999999</v>
      </c>
      <c r="H2955" s="1">
        <v>2.213312E-6</v>
      </c>
      <c r="I2955">
        <v>220.10339999999999</v>
      </c>
      <c r="J2955">
        <v>-485.56240000000003</v>
      </c>
      <c r="K2955">
        <v>1.1123190000000001</v>
      </c>
      <c r="L2955">
        <v>224.41050000000001</v>
      </c>
      <c r="M2955">
        <v>0.60102440000000001</v>
      </c>
      <c r="N2955">
        <v>0</v>
      </c>
      <c r="O2955">
        <v>-0.79911869999999996</v>
      </c>
      <c r="P2955">
        <v>0.74105669999999901</v>
      </c>
      <c r="Q2955">
        <v>0.17249819999999999</v>
      </c>
      <c r="R2955">
        <v>-0.64890689999999995</v>
      </c>
      <c r="S2955">
        <v>2.6109309999999999</v>
      </c>
      <c r="T2955">
        <v>-0.4411368</v>
      </c>
      <c r="U2955">
        <v>-1.7605440000000001</v>
      </c>
      <c r="V2955">
        <v>-0.20284569999999999</v>
      </c>
      <c r="W2955">
        <v>0.18468309999999999</v>
      </c>
      <c r="X2955">
        <v>0.96163699999999996</v>
      </c>
      <c r="Y2955">
        <v>-0.31864389999999998</v>
      </c>
      <c r="Z2955">
        <v>0.124803</v>
      </c>
      <c r="AA2955">
        <v>0.93962239999999997</v>
      </c>
      <c r="AB2955">
        <v>16</v>
      </c>
      <c r="AC2955">
        <v>6.4788000000000299</v>
      </c>
      <c r="AD2955">
        <v>-1.1123167866879999</v>
      </c>
      <c r="AE2955">
        <v>-4.3071000000000197</v>
      </c>
      <c r="AF2955">
        <v>-2.5370287465544998</v>
      </c>
      <c r="AG2955">
        <v>-1.1123167866879999</v>
      </c>
      <c r="AH2955">
        <v>7.1894927086397997</v>
      </c>
      <c r="AI2955">
        <v>98.300706443200099</v>
      </c>
      <c r="AJ2955">
        <v>109.43692184325199</v>
      </c>
      <c r="AK2955">
        <v>7.7047108253572096</v>
      </c>
      <c r="AL2955">
        <v>79.3573427017174</v>
      </c>
      <c r="AM2955">
        <v>101.911237981931</v>
      </c>
      <c r="AN2955">
        <v>0.99999997260154905</v>
      </c>
    </row>
    <row r="2956" spans="1:40" x14ac:dyDescent="0.25">
      <c r="A2956" t="str">
        <f>"20190312172426353"</f>
        <v>20190312172426353</v>
      </c>
      <c r="B2956" t="str">
        <f>"1552382666343253"</f>
        <v>1552382666343253</v>
      </c>
      <c r="C2956" t="s">
        <v>40</v>
      </c>
      <c r="D2956">
        <v>3.6186959999999999</v>
      </c>
      <c r="E2956">
        <v>0.4552504</v>
      </c>
      <c r="F2956" t="s">
        <v>46</v>
      </c>
      <c r="G2956">
        <v>-478.5111</v>
      </c>
      <c r="H2956" s="1">
        <v>2.4125179999999998E-6</v>
      </c>
      <c r="I2956">
        <v>219.6908</v>
      </c>
      <c r="J2956">
        <v>-485.46480000000003</v>
      </c>
      <c r="K2956">
        <v>1.1123289999999999</v>
      </c>
      <c r="L2956">
        <v>224.28829999999999</v>
      </c>
      <c r="M2956">
        <v>0.60404999999999998</v>
      </c>
      <c r="N2956">
        <v>0</v>
      </c>
      <c r="O2956">
        <v>-0.79683440000000005</v>
      </c>
      <c r="P2956">
        <v>0.74250620000000001</v>
      </c>
      <c r="Q2956">
        <v>0.17285039999999999</v>
      </c>
      <c r="R2956">
        <v>-0.64715369999999905</v>
      </c>
      <c r="S2956">
        <v>2.6127929999999999</v>
      </c>
      <c r="T2956">
        <v>-0.41216269999999999</v>
      </c>
      <c r="U2956">
        <v>-1.7488709999999901</v>
      </c>
      <c r="V2956">
        <v>-0.20140830000000001</v>
      </c>
      <c r="W2956">
        <v>0.18502979999999999</v>
      </c>
      <c r="X2956">
        <v>0.96187250000000002</v>
      </c>
      <c r="Y2956">
        <v>-0.31925039999999999</v>
      </c>
      <c r="Z2956">
        <v>0.1166914</v>
      </c>
      <c r="AA2956">
        <v>0.94045849999999998</v>
      </c>
      <c r="AB2956">
        <v>16</v>
      </c>
      <c r="AC2956">
        <v>6.95370000000002</v>
      </c>
      <c r="AD2956">
        <v>-1.1123265874820001</v>
      </c>
      <c r="AE2956">
        <v>-4.5974999999999904</v>
      </c>
      <c r="AF2956">
        <v>-2.7157214493370199</v>
      </c>
      <c r="AG2956">
        <v>-1.1123265874820001</v>
      </c>
      <c r="AH2956">
        <v>7.7269540767269298</v>
      </c>
      <c r="AI2956">
        <v>97.734038077951993</v>
      </c>
      <c r="AJ2956">
        <v>109.364575780747</v>
      </c>
      <c r="AK2956">
        <v>8.2654844220684094</v>
      </c>
      <c r="AL2956">
        <v>79.337130389562901</v>
      </c>
      <c r="AM2956">
        <v>101.82640450441799</v>
      </c>
      <c r="AN2956">
        <v>1.00000001822658</v>
      </c>
    </row>
    <row r="2957" spans="1:40" x14ac:dyDescent="0.25">
      <c r="A2957" t="str">
        <f>"20190312172426375"</f>
        <v>20190312172426375</v>
      </c>
      <c r="B2957" t="str">
        <f>"1552382666373510"</f>
        <v>1552382666373510</v>
      </c>
      <c r="C2957" t="s">
        <v>40</v>
      </c>
      <c r="D2957">
        <v>3.630385</v>
      </c>
      <c r="E2957">
        <v>0.45515529999999998</v>
      </c>
      <c r="F2957" t="s">
        <v>46</v>
      </c>
      <c r="G2957">
        <v>-472.15629999999999</v>
      </c>
      <c r="H2957" s="1">
        <v>5.0301590000000001E-6</v>
      </c>
      <c r="I2957">
        <v>215.25579999999999</v>
      </c>
      <c r="J2957">
        <v>-485.36649999999997</v>
      </c>
      <c r="K2957">
        <v>1.1123529999999999</v>
      </c>
      <c r="L2957">
        <v>224.1661</v>
      </c>
      <c r="M2957">
        <v>0.60706400000000005</v>
      </c>
      <c r="N2957">
        <v>0</v>
      </c>
      <c r="O2957">
        <v>-0.79454049999999998</v>
      </c>
      <c r="P2957">
        <v>0.74415089999999995</v>
      </c>
      <c r="Q2957">
        <v>0.1725592</v>
      </c>
      <c r="R2957">
        <v>-0.64533909999999906</v>
      </c>
      <c r="S2957">
        <v>2.5700989999999999</v>
      </c>
      <c r="T2957">
        <v>-0.21480920000000001</v>
      </c>
      <c r="U2957">
        <v>-1.7443390000000001</v>
      </c>
      <c r="V2957">
        <v>-0.20017360000000001</v>
      </c>
      <c r="W2957">
        <v>0.18472810000000001</v>
      </c>
      <c r="X2957">
        <v>0.96218820000000005</v>
      </c>
      <c r="Y2957">
        <v>-0.31460329999999997</v>
      </c>
      <c r="Z2957">
        <v>6.1617239999999997E-2</v>
      </c>
      <c r="AA2957">
        <v>0.94722130000000004</v>
      </c>
      <c r="AB2957">
        <v>16</v>
      </c>
      <c r="AC2957">
        <v>13.210199999999899</v>
      </c>
      <c r="AD2957">
        <v>-1.1123479698409999</v>
      </c>
      <c r="AE2957">
        <v>-8.9102999999999994</v>
      </c>
      <c r="AF2957">
        <v>-5.0626995925384399</v>
      </c>
      <c r="AG2957">
        <v>-1.1123479698409999</v>
      </c>
      <c r="AH2957">
        <v>15.0271500693195</v>
      </c>
      <c r="AI2957">
        <v>94.012637655012796</v>
      </c>
      <c r="AJ2957">
        <v>108.618851632564</v>
      </c>
      <c r="AK2957">
        <v>15.896021023392899</v>
      </c>
      <c r="AL2957">
        <v>79.354719941912606</v>
      </c>
      <c r="AM2957">
        <v>101.752178452696</v>
      </c>
      <c r="AN2957">
        <v>1.0000000366429</v>
      </c>
    </row>
    <row r="2958" spans="1:40" x14ac:dyDescent="0.25">
      <c r="A2958" t="str">
        <f>"20190312172426397"</f>
        <v>20190312172426397</v>
      </c>
      <c r="B2958" t="str">
        <f>"1552382666393029"</f>
        <v>1552382666393029</v>
      </c>
      <c r="C2958" t="s">
        <v>40</v>
      </c>
      <c r="D2958">
        <v>3.6266729999999998</v>
      </c>
      <c r="E2958">
        <v>0.45601940000000002</v>
      </c>
      <c r="F2958" t="s">
        <v>46</v>
      </c>
      <c r="G2958">
        <v>-472.41120000000001</v>
      </c>
      <c r="H2958" s="1">
        <v>4.924776E-6</v>
      </c>
      <c r="I2958">
        <v>215.43100000000001</v>
      </c>
      <c r="J2958">
        <v>-485.2681</v>
      </c>
      <c r="K2958">
        <v>1.112385</v>
      </c>
      <c r="L2958">
        <v>224.04470000000001</v>
      </c>
      <c r="M2958">
        <v>0.61007129999999998</v>
      </c>
      <c r="N2958">
        <v>0</v>
      </c>
      <c r="O2958">
        <v>-0.79223379999999999</v>
      </c>
      <c r="P2958">
        <v>0.74573809999999996</v>
      </c>
      <c r="Q2958">
        <v>0.1721579</v>
      </c>
      <c r="R2958">
        <v>-0.64361179999999996</v>
      </c>
      <c r="S2958">
        <v>2.5762939999999999</v>
      </c>
      <c r="T2958">
        <v>-0.22120190000000001</v>
      </c>
      <c r="U2958">
        <v>-1.737061</v>
      </c>
      <c r="V2958">
        <v>-0.19884109999999999</v>
      </c>
      <c r="W2958">
        <v>0.1843147</v>
      </c>
      <c r="X2958">
        <v>0.9625437</v>
      </c>
      <c r="Y2958">
        <v>-0.31379259999999998</v>
      </c>
      <c r="Z2958">
        <v>6.3274520000000001E-2</v>
      </c>
      <c r="AA2958">
        <v>0.94738089999999997</v>
      </c>
      <c r="AB2958">
        <v>16</v>
      </c>
      <c r="AC2958">
        <v>12.8568999999999</v>
      </c>
      <c r="AD2958">
        <v>-1.1123800752240001</v>
      </c>
      <c r="AE2958">
        <v>-8.6137000000000192</v>
      </c>
      <c r="AF2958">
        <v>-4.9057934976107598</v>
      </c>
      <c r="AG2958">
        <v>-1.1123800752240001</v>
      </c>
      <c r="AH2958">
        <v>14.5936001307662</v>
      </c>
      <c r="AI2958">
        <v>94.132482702210794</v>
      </c>
      <c r="AJ2958">
        <v>108.58061678787701</v>
      </c>
      <c r="AK2958">
        <v>15.436235423497999</v>
      </c>
      <c r="AL2958">
        <v>79.378819809457397</v>
      </c>
      <c r="AM2958">
        <v>101.671908290196</v>
      </c>
      <c r="AN2958">
        <v>1.0000000330474901</v>
      </c>
    </row>
    <row r="2959" spans="1:40" x14ac:dyDescent="0.25">
      <c r="A2959" t="str">
        <f>"20190312172426421"</f>
        <v>20190312172426421</v>
      </c>
      <c r="B2959" t="str">
        <f>"1552382666412549"</f>
        <v>1552382666412549</v>
      </c>
      <c r="C2959" t="s">
        <v>40</v>
      </c>
      <c r="D2959">
        <v>3.6578710000000001</v>
      </c>
      <c r="E2959">
        <v>0.45613740000000003</v>
      </c>
      <c r="F2959" t="s">
        <v>46</v>
      </c>
      <c r="G2959">
        <v>-472.67860000000002</v>
      </c>
      <c r="H2959" s="1">
        <v>4.8119030000000003E-6</v>
      </c>
      <c r="I2959">
        <v>215.56100000000001</v>
      </c>
      <c r="J2959">
        <v>-485.16500000000002</v>
      </c>
      <c r="K2959">
        <v>1.1124240000000001</v>
      </c>
      <c r="L2959">
        <v>223.9186</v>
      </c>
      <c r="M2959">
        <v>0.61321870000000001</v>
      </c>
      <c r="N2959">
        <v>0</v>
      </c>
      <c r="O2959">
        <v>-0.78980019999999995</v>
      </c>
      <c r="P2959">
        <v>0.74757989999999996</v>
      </c>
      <c r="Q2959">
        <v>0.17258860000000001</v>
      </c>
      <c r="R2959">
        <v>-0.64135629999999999</v>
      </c>
      <c r="S2959">
        <v>2.576813</v>
      </c>
      <c r="T2959">
        <v>-0.22768140000000001</v>
      </c>
      <c r="U2959">
        <v>-1.736435</v>
      </c>
      <c r="V2959">
        <v>-0.19785649999999999</v>
      </c>
      <c r="W2959">
        <v>0.184729</v>
      </c>
      <c r="X2959">
        <v>0.96266719999999895</v>
      </c>
      <c r="Y2959">
        <v>-0.31014849999999999</v>
      </c>
      <c r="Z2959">
        <v>6.4889970000000005E-2</v>
      </c>
      <c r="AA2959">
        <v>0.94847099999999995</v>
      </c>
      <c r="AB2959">
        <v>16</v>
      </c>
      <c r="AC2959">
        <v>12.4864</v>
      </c>
      <c r="AD2959">
        <v>-1.112419188097</v>
      </c>
      <c r="AE2959">
        <v>-8.3576000000000192</v>
      </c>
      <c r="AF2959">
        <v>-4.7113227574546102</v>
      </c>
      <c r="AG2959">
        <v>-1.112419188097</v>
      </c>
      <c r="AH2959">
        <v>14.1812675474518</v>
      </c>
      <c r="AI2959">
        <v>94.2573725043721</v>
      </c>
      <c r="AJ2959">
        <v>108.37759953205401</v>
      </c>
      <c r="AK2959">
        <v>14.984738497129801</v>
      </c>
      <c r="AL2959">
        <v>79.354667810338597</v>
      </c>
      <c r="AM2959">
        <v>101.614237292065</v>
      </c>
      <c r="AN2959">
        <v>1.00000006799454</v>
      </c>
    </row>
    <row r="2960" spans="1:40" x14ac:dyDescent="0.25">
      <c r="A2960" t="str">
        <f>"20190312172426444"</f>
        <v>20190312172426444</v>
      </c>
      <c r="B2960" t="str">
        <f>"1552382666433044"</f>
        <v>1552382666433044</v>
      </c>
      <c r="C2960" t="s">
        <v>40</v>
      </c>
      <c r="D2960">
        <v>3.6057839999999999</v>
      </c>
      <c r="E2960">
        <v>0.4566036</v>
      </c>
      <c r="F2960" t="s">
        <v>46</v>
      </c>
      <c r="G2960">
        <v>-472.87200000000001</v>
      </c>
      <c r="H2960" s="1">
        <v>4.731357E-6</v>
      </c>
      <c r="I2960">
        <v>215.68100000000001</v>
      </c>
      <c r="J2960">
        <v>-485.06319999999999</v>
      </c>
      <c r="K2960">
        <v>1.112466</v>
      </c>
      <c r="L2960">
        <v>223.79509999999999</v>
      </c>
      <c r="M2960">
        <v>0.6163341</v>
      </c>
      <c r="N2960">
        <v>0</v>
      </c>
      <c r="O2960">
        <v>-0.78737170000000001</v>
      </c>
      <c r="P2960">
        <v>0.75027880000000002</v>
      </c>
      <c r="Q2960">
        <v>0.17312559999999999</v>
      </c>
      <c r="R2960">
        <v>-0.63805159999999905</v>
      </c>
      <c r="S2960">
        <v>2.5823670000000001</v>
      </c>
      <c r="T2960">
        <v>-0.23368349999999999</v>
      </c>
      <c r="U2960">
        <v>-1.73045299999999</v>
      </c>
      <c r="V2960">
        <v>-0.1982225</v>
      </c>
      <c r="W2960">
        <v>0.18524260000000001</v>
      </c>
      <c r="X2960">
        <v>0.96249309999999999</v>
      </c>
      <c r="Y2960">
        <v>-0.30874760000000001</v>
      </c>
      <c r="Z2960">
        <v>6.6386600000000004E-2</v>
      </c>
      <c r="AA2960">
        <v>0.94882440000000001</v>
      </c>
      <c r="AB2960">
        <v>16</v>
      </c>
      <c r="AC2960">
        <v>12.1912</v>
      </c>
      <c r="AD2960">
        <v>-1.112461268643</v>
      </c>
      <c r="AE2960">
        <v>-8.1141000000000005</v>
      </c>
      <c r="AF2960">
        <v>-4.5720357631958901</v>
      </c>
      <c r="AG2960">
        <v>-1.112461268643</v>
      </c>
      <c r="AH2960">
        <v>13.824130559140499</v>
      </c>
      <c r="AI2960">
        <v>94.369043327888093</v>
      </c>
      <c r="AJ2960">
        <v>108.300529384493</v>
      </c>
      <c r="AK2960">
        <v>14.603001979399201</v>
      </c>
      <c r="AL2960">
        <v>79.3247228879099</v>
      </c>
      <c r="AM2960">
        <v>101.637183542342</v>
      </c>
      <c r="AN2960">
        <v>0.99999997395430895</v>
      </c>
    </row>
    <row r="2961" spans="1:40" x14ac:dyDescent="0.25">
      <c r="A2961" t="str">
        <f>"20190312172426467"</f>
        <v>20190312172426467</v>
      </c>
      <c r="B2961" t="str">
        <f>"1552382666463301"</f>
        <v>1552382666463301</v>
      </c>
      <c r="C2961" t="s">
        <v>40</v>
      </c>
      <c r="D2961">
        <v>3.7852350000000001</v>
      </c>
      <c r="E2961">
        <v>0.45727069999999997</v>
      </c>
      <c r="F2961" t="s">
        <v>46</v>
      </c>
      <c r="G2961">
        <v>-472.93900000000002</v>
      </c>
      <c r="H2961" s="1">
        <v>4.7033710000000004E-6</v>
      </c>
      <c r="I2961">
        <v>215.72040000000001</v>
      </c>
      <c r="J2961">
        <v>-484.96179999999998</v>
      </c>
      <c r="K2961">
        <v>1.1125039999999999</v>
      </c>
      <c r="L2961">
        <v>223.67310000000001</v>
      </c>
      <c r="M2961">
        <v>0.61943769999999998</v>
      </c>
      <c r="N2961">
        <v>0</v>
      </c>
      <c r="O2961">
        <v>-0.78493239999999997</v>
      </c>
      <c r="P2961">
        <v>0.75306640000000002</v>
      </c>
      <c r="Q2961">
        <v>0.1743487</v>
      </c>
      <c r="R2961">
        <v>-0.63442399999999999</v>
      </c>
      <c r="S2961">
        <v>2.5876769999999998</v>
      </c>
      <c r="T2961">
        <v>-0.23743320000000001</v>
      </c>
      <c r="U2961">
        <v>-1.7233889999999901</v>
      </c>
      <c r="V2961">
        <v>-0.1988655</v>
      </c>
      <c r="W2961">
        <v>0.186442</v>
      </c>
      <c r="X2961">
        <v>0.96212880000000001</v>
      </c>
      <c r="Y2961">
        <v>-0.30762109999999998</v>
      </c>
      <c r="Z2961">
        <v>6.7259890000000003E-2</v>
      </c>
      <c r="AA2961">
        <v>0.94912870000000005</v>
      </c>
      <c r="AB2961">
        <v>16</v>
      </c>
      <c r="AC2961">
        <v>12.022799999999901</v>
      </c>
      <c r="AD2961">
        <v>-1.1124992966289999</v>
      </c>
      <c r="AE2961">
        <v>-7.9526999999999903</v>
      </c>
      <c r="AF2961">
        <v>-4.4845737714863496</v>
      </c>
      <c r="AG2961">
        <v>-1.1124992966289999</v>
      </c>
      <c r="AH2961">
        <v>13.6098635783716</v>
      </c>
      <c r="AI2961">
        <v>94.439310730548499</v>
      </c>
      <c r="AJ2961">
        <v>108.237521430935</v>
      </c>
      <c r="AK2961">
        <v>14.3728022048169</v>
      </c>
      <c r="AL2961">
        <v>79.254783883866097</v>
      </c>
      <c r="AM2961">
        <v>101.678196914089</v>
      </c>
      <c r="AN2961">
        <v>0.99999996712184402</v>
      </c>
    </row>
    <row r="2962" spans="1:40" x14ac:dyDescent="0.25">
      <c r="A2962" t="str">
        <f>"20190312172426487"</f>
        <v>20190312172426487</v>
      </c>
      <c r="B2962" t="str">
        <f>"1552382666482821"</f>
        <v>1552382666482821</v>
      </c>
      <c r="C2962" t="s">
        <v>40</v>
      </c>
      <c r="D2962">
        <v>3.6354700000000002</v>
      </c>
      <c r="E2962">
        <v>0.45767760000000002</v>
      </c>
      <c r="F2962" t="s">
        <v>46</v>
      </c>
      <c r="G2962">
        <v>-472.81880000000001</v>
      </c>
      <c r="H2962" s="1">
        <v>4.7531460000000003E-6</v>
      </c>
      <c r="I2962">
        <v>215.63919999999999</v>
      </c>
      <c r="J2962">
        <v>-484.8691</v>
      </c>
      <c r="K2962">
        <v>1.1125290000000001</v>
      </c>
      <c r="L2962">
        <v>223.5626</v>
      </c>
      <c r="M2962">
        <v>0.62226870000000001</v>
      </c>
      <c r="N2962">
        <v>0</v>
      </c>
      <c r="O2962">
        <v>-0.78269</v>
      </c>
      <c r="P2962">
        <v>0.75562039999999997</v>
      </c>
      <c r="Q2962">
        <v>0.17553260000000001</v>
      </c>
      <c r="R2962">
        <v>-0.63105230000000001</v>
      </c>
      <c r="S2962">
        <v>2.5932919999999999</v>
      </c>
      <c r="T2962">
        <v>-0.23758789999999999</v>
      </c>
      <c r="U2962">
        <v>-1.7157439999999999</v>
      </c>
      <c r="V2962">
        <v>-0.1994929</v>
      </c>
      <c r="W2962">
        <v>0.18760650000000001</v>
      </c>
      <c r="X2962">
        <v>0.96177250000000003</v>
      </c>
      <c r="Y2962">
        <v>-0.3070812</v>
      </c>
      <c r="Z2962">
        <v>6.7143430000000004E-2</v>
      </c>
      <c r="AA2962">
        <v>0.94931180000000004</v>
      </c>
      <c r="AB2962">
        <v>16</v>
      </c>
      <c r="AC2962">
        <v>12.050299999999901</v>
      </c>
      <c r="AD2962">
        <v>-1.112524246854</v>
      </c>
      <c r="AE2962">
        <v>-7.9234000000000098</v>
      </c>
      <c r="AF2962">
        <v>-4.4749366869905201</v>
      </c>
      <c r="AG2962">
        <v>-1.112524246854</v>
      </c>
      <c r="AH2962">
        <v>13.6202584787984</v>
      </c>
      <c r="AI2962">
        <v>94.437293481804005</v>
      </c>
      <c r="AJ2962">
        <v>108.187940459028</v>
      </c>
      <c r="AK2962">
        <v>14.379645669546001</v>
      </c>
      <c r="AL2962">
        <v>79.186864653731405</v>
      </c>
      <c r="AM2962">
        <v>101.7182434225</v>
      </c>
      <c r="AN2962">
        <v>0.99999997887445402</v>
      </c>
    </row>
    <row r="2963" spans="1:40" x14ac:dyDescent="0.25">
      <c r="A2963" t="str">
        <f>"20190312172426509"</f>
        <v>20190312172426509</v>
      </c>
      <c r="B2963" t="str">
        <f>"1552382666503318"</f>
        <v>1552382666503318</v>
      </c>
      <c r="C2963" t="s">
        <v>40</v>
      </c>
      <c r="D2963">
        <v>3.655713</v>
      </c>
      <c r="E2963">
        <v>0.45823019999999998</v>
      </c>
      <c r="F2963" t="s">
        <v>46</v>
      </c>
      <c r="G2963">
        <v>-472.63929999999999</v>
      </c>
      <c r="H2963" s="1">
        <v>4.8280229999999998E-6</v>
      </c>
      <c r="I2963">
        <v>215.53149999999999</v>
      </c>
      <c r="J2963">
        <v>-484.76949999999999</v>
      </c>
      <c r="K2963">
        <v>1.1125480000000001</v>
      </c>
      <c r="L2963">
        <v>223.44470000000001</v>
      </c>
      <c r="M2963">
        <v>0.62530289999999999</v>
      </c>
      <c r="N2963">
        <v>0</v>
      </c>
      <c r="O2963">
        <v>-0.78026799999999996</v>
      </c>
      <c r="P2963">
        <v>0.75841700000000001</v>
      </c>
      <c r="Q2963">
        <v>0.1761482</v>
      </c>
      <c r="R2963">
        <v>-0.6275153</v>
      </c>
      <c r="S2963">
        <v>2.5995789999999999</v>
      </c>
      <c r="T2963">
        <v>-0.23647869999999999</v>
      </c>
      <c r="U2963">
        <v>-1.7070919999999901</v>
      </c>
      <c r="V2963">
        <v>-0.20015150000000001</v>
      </c>
      <c r="W2963">
        <v>0.18820600000000001</v>
      </c>
      <c r="X2963">
        <v>0.96151850000000005</v>
      </c>
      <c r="Y2963">
        <v>-0.30667729999999999</v>
      </c>
      <c r="Z2963">
        <v>6.6663399999999901E-2</v>
      </c>
      <c r="AA2963">
        <v>0.94947619999999999</v>
      </c>
      <c r="AB2963">
        <v>16</v>
      </c>
      <c r="AC2963">
        <v>12.1302</v>
      </c>
      <c r="AD2963">
        <v>-1.11254317197699</v>
      </c>
      <c r="AE2963">
        <v>-7.9132000000000096</v>
      </c>
      <c r="AF2963">
        <v>-4.4905644466236101</v>
      </c>
      <c r="AG2963">
        <v>-1.11254317197699</v>
      </c>
      <c r="AH2963">
        <v>13.679969028771801</v>
      </c>
      <c r="AI2963">
        <v>94.418457720774001</v>
      </c>
      <c r="AJ2963">
        <v>108.17285545309301</v>
      </c>
      <c r="AK2963">
        <v>14.4410690042998</v>
      </c>
      <c r="AL2963">
        <v>79.151892821507005</v>
      </c>
      <c r="AM2963">
        <v>101.758873770146</v>
      </c>
      <c r="AN2963">
        <v>0.99999997361524895</v>
      </c>
    </row>
    <row r="2964" spans="1:40" x14ac:dyDescent="0.25">
      <c r="A2964" t="str">
        <f>"20190312172426533"</f>
        <v>20190312172426533</v>
      </c>
      <c r="B2964" t="str">
        <f>"1552382666522838"</f>
        <v>1552382666522838</v>
      </c>
      <c r="C2964" t="s">
        <v>40</v>
      </c>
      <c r="D2964">
        <v>3.6613069999999999</v>
      </c>
      <c r="E2964">
        <v>0.45888669999999998</v>
      </c>
      <c r="F2964" t="s">
        <v>46</v>
      </c>
      <c r="G2964">
        <v>-472.28960000000001</v>
      </c>
      <c r="H2964" s="1">
        <v>4.9735690000000003E-6</v>
      </c>
      <c r="I2964">
        <v>215.31309999999999</v>
      </c>
      <c r="J2964">
        <v>-484.65980000000002</v>
      </c>
      <c r="K2964">
        <v>1.1125579999999999</v>
      </c>
      <c r="L2964">
        <v>223.3159</v>
      </c>
      <c r="M2964">
        <v>0.62863389999999997</v>
      </c>
      <c r="N2964">
        <v>0</v>
      </c>
      <c r="O2964">
        <v>-0.77758689999999997</v>
      </c>
      <c r="P2964">
        <v>0.76122889999999999</v>
      </c>
      <c r="Q2964">
        <v>0.17595920000000001</v>
      </c>
      <c r="R2964">
        <v>-0.62415469999999995</v>
      </c>
      <c r="S2964">
        <v>2.6051030000000002</v>
      </c>
      <c r="T2964">
        <v>-0.23223559999999999</v>
      </c>
      <c r="U2964">
        <v>-1.69740299999999</v>
      </c>
      <c r="V2964">
        <v>-0.2003345</v>
      </c>
      <c r="W2964">
        <v>0.18800320000000001</v>
      </c>
      <c r="X2964">
        <v>0.96152009999999999</v>
      </c>
      <c r="Y2964">
        <v>-0.30609579999999997</v>
      </c>
      <c r="Z2964">
        <v>6.5311439999999998E-2</v>
      </c>
      <c r="AA2964">
        <v>0.94975779999999999</v>
      </c>
      <c r="AB2964">
        <v>16</v>
      </c>
      <c r="AC2964">
        <v>12.370200000000001</v>
      </c>
      <c r="AD2964">
        <v>-1.112553026431</v>
      </c>
      <c r="AE2964">
        <v>-8.0028000000000006</v>
      </c>
      <c r="AF2964">
        <v>-4.5624661172664602</v>
      </c>
      <c r="AG2964">
        <v>-1.112553026431</v>
      </c>
      <c r="AH2964">
        <v>13.9210640714311</v>
      </c>
      <c r="AI2964">
        <v>94.342935471733099</v>
      </c>
      <c r="AJ2964">
        <v>108.14595247624899</v>
      </c>
      <c r="AK2964">
        <v>14.691830933845999</v>
      </c>
      <c r="AL2964">
        <v>79.163723984105602</v>
      </c>
      <c r="AM2964">
        <v>101.769306200405</v>
      </c>
      <c r="AN2964">
        <v>1.00000000890225</v>
      </c>
    </row>
    <row r="2965" spans="1:40" x14ac:dyDescent="0.25">
      <c r="A2965" t="str">
        <f>"20190312172426555"</f>
        <v>20190312172426555</v>
      </c>
      <c r="B2965" t="str">
        <f>"1552382666543336"</f>
        <v>1552382666543336</v>
      </c>
      <c r="C2965" t="s">
        <v>40</v>
      </c>
      <c r="D2965">
        <v>3.674785</v>
      </c>
      <c r="E2965">
        <v>0.45923409999999898</v>
      </c>
      <c r="F2965" t="s">
        <v>46</v>
      </c>
      <c r="G2965">
        <v>-472.21129999999999</v>
      </c>
      <c r="H2965" s="1">
        <v>5.0058030000000003E-6</v>
      </c>
      <c r="I2965">
        <v>215.2569</v>
      </c>
      <c r="J2965">
        <v>-484.56229999999999</v>
      </c>
      <c r="K2965">
        <v>1.1125370000000001</v>
      </c>
      <c r="L2965">
        <v>223.20240000000001</v>
      </c>
      <c r="M2965">
        <v>0.63160620000000001</v>
      </c>
      <c r="N2965">
        <v>0</v>
      </c>
      <c r="O2965">
        <v>-0.77517749999999996</v>
      </c>
      <c r="P2965">
        <v>0.76356820000000003</v>
      </c>
      <c r="Q2965">
        <v>0.17560120000000001</v>
      </c>
      <c r="R2965">
        <v>-0.62139200000000006</v>
      </c>
      <c r="S2965">
        <v>2.6096499999999998</v>
      </c>
      <c r="T2965">
        <v>-0.23323179999999999</v>
      </c>
      <c r="U2965">
        <v>-1.6894530000000001</v>
      </c>
      <c r="V2965">
        <v>-0.20021659999999999</v>
      </c>
      <c r="W2965">
        <v>0.18746550000000001</v>
      </c>
      <c r="X2965">
        <v>0.96164959999999999</v>
      </c>
      <c r="Y2965">
        <v>-0.30523359999999999</v>
      </c>
      <c r="Z2965">
        <v>6.5434030000000004E-2</v>
      </c>
      <c r="AA2965">
        <v>0.95002679999999995</v>
      </c>
      <c r="AB2965">
        <v>16</v>
      </c>
      <c r="AC2965">
        <v>12.351000000000001</v>
      </c>
      <c r="AD2965">
        <v>-1.112531994197</v>
      </c>
      <c r="AE2965">
        <v>-7.9455000000000098</v>
      </c>
      <c r="AF2965">
        <v>-4.5301876907748602</v>
      </c>
      <c r="AG2965">
        <v>-1.112531994197</v>
      </c>
      <c r="AH2965">
        <v>13.8816880483127</v>
      </c>
      <c r="AI2965">
        <v>94.3569142160799</v>
      </c>
      <c r="AJ2965">
        <v>108.073716111406</v>
      </c>
      <c r="AK2965">
        <v>14.6445071962981</v>
      </c>
      <c r="AL2965">
        <v>79.195089260740602</v>
      </c>
      <c r="AM2965">
        <v>101.761032938578</v>
      </c>
      <c r="AN2965">
        <v>0.99999997689298403</v>
      </c>
    </row>
    <row r="2966" spans="1:40" x14ac:dyDescent="0.25">
      <c r="A2966" t="str">
        <f>"20190312172426576"</f>
        <v>20190312172426576</v>
      </c>
      <c r="B2966" t="str">
        <f>"1552382666572613"</f>
        <v>1552382666572613</v>
      </c>
      <c r="C2966" t="s">
        <v>40</v>
      </c>
      <c r="D2966">
        <v>3.6747879999999999</v>
      </c>
      <c r="E2966">
        <v>0.45969359999999998</v>
      </c>
      <c r="F2966" t="s">
        <v>46</v>
      </c>
      <c r="G2966">
        <v>-472.23489999999998</v>
      </c>
      <c r="H2966" s="1">
        <v>4.9960449999999999E-6</v>
      </c>
      <c r="I2966">
        <v>215.27209999999999</v>
      </c>
      <c r="J2966">
        <v>-484.4622</v>
      </c>
      <c r="K2966">
        <v>1.1125039999999999</v>
      </c>
      <c r="L2966">
        <v>223.08680000000001</v>
      </c>
      <c r="M2966">
        <v>0.63465909999999903</v>
      </c>
      <c r="N2966">
        <v>0</v>
      </c>
      <c r="O2966">
        <v>-0.77268549999999903</v>
      </c>
      <c r="P2966">
        <v>0.76592389999999999</v>
      </c>
      <c r="Q2966">
        <v>0.17506099999999999</v>
      </c>
      <c r="R2966">
        <v>-0.6186393</v>
      </c>
      <c r="S2966">
        <v>2.614471</v>
      </c>
      <c r="T2966">
        <v>-0.23595189999999999</v>
      </c>
      <c r="U2966">
        <v>-1.6819</v>
      </c>
      <c r="V2966">
        <v>-0.2000007</v>
      </c>
      <c r="W2966">
        <v>0.1865994</v>
      </c>
      <c r="X2966">
        <v>0.96186300000000002</v>
      </c>
      <c r="Y2966">
        <v>-0.30417379999999999</v>
      </c>
      <c r="Z2966">
        <v>6.6014950000000003E-2</v>
      </c>
      <c r="AA2966">
        <v>0.95032640000000002</v>
      </c>
      <c r="AB2966">
        <v>16</v>
      </c>
      <c r="AC2966">
        <v>12.2273</v>
      </c>
      <c r="AD2966">
        <v>-1.112499003955</v>
      </c>
      <c r="AE2966">
        <v>-7.81470000000001</v>
      </c>
      <c r="AF2966">
        <v>-4.4623299841629596</v>
      </c>
      <c r="AG2966">
        <v>-1.112499003955</v>
      </c>
      <c r="AH2966">
        <v>13.7189780026072</v>
      </c>
      <c r="AI2966">
        <v>94.409646943534796</v>
      </c>
      <c r="AJ2966">
        <v>108.01799386413199</v>
      </c>
      <c r="AK2966">
        <v>14.469291632881699</v>
      </c>
      <c r="AL2966">
        <v>79.245605050761498</v>
      </c>
      <c r="AM2966">
        <v>101.746169194272</v>
      </c>
      <c r="AN2966">
        <v>1.00000002342492</v>
      </c>
    </row>
    <row r="2967" spans="1:40" x14ac:dyDescent="0.25">
      <c r="A2967" t="str">
        <f>"20190312172426598"</f>
        <v>20190312172426598</v>
      </c>
      <c r="B2967" t="str">
        <f>"1552382666593109"</f>
        <v>1552382666593109</v>
      </c>
      <c r="C2967" t="s">
        <v>40</v>
      </c>
      <c r="D2967">
        <v>3.6479680000000001</v>
      </c>
      <c r="E2967">
        <v>0.45994309999999999</v>
      </c>
      <c r="F2967" t="s">
        <v>46</v>
      </c>
      <c r="G2967">
        <v>-472.39530000000002</v>
      </c>
      <c r="H2967" s="1">
        <v>4.928962E-6</v>
      </c>
      <c r="I2967">
        <v>215.36539999999999</v>
      </c>
      <c r="J2967">
        <v>-484.3596</v>
      </c>
      <c r="K2967">
        <v>1.112495</v>
      </c>
      <c r="L2967">
        <v>222.96940000000001</v>
      </c>
      <c r="M2967">
        <v>0.63775280000000001</v>
      </c>
      <c r="N2967">
        <v>0</v>
      </c>
      <c r="O2967">
        <v>-0.77013730000000002</v>
      </c>
      <c r="P2967">
        <v>0.76823249999999998</v>
      </c>
      <c r="Q2967">
        <v>0.17482429999999999</v>
      </c>
      <c r="R2967">
        <v>-0.61583739999999998</v>
      </c>
      <c r="S2967">
        <v>2.6186219999999998</v>
      </c>
      <c r="T2967">
        <v>-0.241423</v>
      </c>
      <c r="U2967">
        <v>-1.675613</v>
      </c>
      <c r="V2967">
        <v>-0.1997131</v>
      </c>
      <c r="W2967">
        <v>0.18614919999999999</v>
      </c>
      <c r="X2967">
        <v>0.96201000000000003</v>
      </c>
      <c r="Y2967">
        <v>-0.30255860000000001</v>
      </c>
      <c r="Z2967">
        <v>6.7333980000000002E-2</v>
      </c>
      <c r="AA2967">
        <v>0.95074939999999997</v>
      </c>
      <c r="AB2967">
        <v>16</v>
      </c>
      <c r="AC2967">
        <v>11.9642999999999</v>
      </c>
      <c r="AD2967">
        <v>-1.1124900710379999</v>
      </c>
      <c r="AE2967">
        <v>-7.6040000000000099</v>
      </c>
      <c r="AF2967">
        <v>-4.3383131437332603</v>
      </c>
      <c r="AG2967">
        <v>-1.1124900710379999</v>
      </c>
      <c r="AH2967">
        <v>13.4049147939593</v>
      </c>
      <c r="AI2967">
        <v>94.514654437514096</v>
      </c>
      <c r="AJ2967">
        <v>107.93344852119</v>
      </c>
      <c r="AK2967">
        <v>14.1333059021786</v>
      </c>
      <c r="AL2967">
        <v>79.271859839848801</v>
      </c>
      <c r="AM2967">
        <v>101.72800387871099</v>
      </c>
      <c r="AN2967">
        <v>1.00000004353612</v>
      </c>
    </row>
    <row r="2968" spans="1:40" x14ac:dyDescent="0.25">
      <c r="A2968" t="str">
        <f>"20190312172426621"</f>
        <v>20190312172426621</v>
      </c>
      <c r="B2968" t="str">
        <f>"1552382666612629"</f>
        <v>1552382666612629</v>
      </c>
      <c r="C2968" t="s">
        <v>40</v>
      </c>
      <c r="D2968">
        <v>3.634061</v>
      </c>
      <c r="E2968">
        <v>0.46022790000000002</v>
      </c>
      <c r="F2968" t="s">
        <v>46</v>
      </c>
      <c r="G2968">
        <v>-472.42989999999998</v>
      </c>
      <c r="H2968" s="1">
        <v>4.914266E-6</v>
      </c>
      <c r="I2968">
        <v>215.38040000000001</v>
      </c>
      <c r="J2968">
        <v>-484.25560000000002</v>
      </c>
      <c r="K2968">
        <v>1.1125290000000001</v>
      </c>
      <c r="L2968">
        <v>222.85130000000001</v>
      </c>
      <c r="M2968">
        <v>0.64087839999999996</v>
      </c>
      <c r="N2968">
        <v>0</v>
      </c>
      <c r="O2968">
        <v>-0.76753890000000002</v>
      </c>
      <c r="P2968">
        <v>0.77091699999999996</v>
      </c>
      <c r="Q2968">
        <v>0.17486589999999999</v>
      </c>
      <c r="R2968">
        <v>-0.61246199999999995</v>
      </c>
      <c r="S2968">
        <v>2.6231080000000002</v>
      </c>
      <c r="T2968">
        <v>-0.2446152</v>
      </c>
      <c r="U2968">
        <v>-1.668671</v>
      </c>
      <c r="V2968">
        <v>-0.2000229</v>
      </c>
      <c r="W2968">
        <v>0.18615390000000001</v>
      </c>
      <c r="X2968">
        <v>0.96194469999999999</v>
      </c>
      <c r="Y2968">
        <v>-0.30115710000000001</v>
      </c>
      <c r="Z2968">
        <v>6.8015720000000002E-2</v>
      </c>
      <c r="AA2968">
        <v>0.95114580000000004</v>
      </c>
      <c r="AB2968">
        <v>16</v>
      </c>
      <c r="AC2968">
        <v>11.825699999999999</v>
      </c>
      <c r="AD2968">
        <v>-1.112524085734</v>
      </c>
      <c r="AE2968">
        <v>-7.4709000000000003</v>
      </c>
      <c r="AF2968">
        <v>-4.2621259127116504</v>
      </c>
      <c r="AG2968">
        <v>-1.112524085734</v>
      </c>
      <c r="AH2968">
        <v>13.2304074831546</v>
      </c>
      <c r="AI2968">
        <v>94.576074877678195</v>
      </c>
      <c r="AJ2968">
        <v>107.85614957563701</v>
      </c>
      <c r="AK2968">
        <v>13.944429328856</v>
      </c>
      <c r="AL2968">
        <v>79.271585508262206</v>
      </c>
      <c r="AM2968">
        <v>101.74646677202399</v>
      </c>
      <c r="AN2968">
        <v>1.0000000204338499</v>
      </c>
    </row>
    <row r="2969" spans="1:40" x14ac:dyDescent="0.25">
      <c r="A2969" t="str">
        <f>"20190312172426644"</f>
        <v>20190312172426644</v>
      </c>
      <c r="B2969" t="str">
        <f>"1552382666633125"</f>
        <v>1552382666633125</v>
      </c>
      <c r="C2969" t="s">
        <v>40</v>
      </c>
      <c r="D2969">
        <v>3.6594899999999999</v>
      </c>
      <c r="E2969">
        <v>0.46051439999999999</v>
      </c>
      <c r="F2969" t="s">
        <v>46</v>
      </c>
      <c r="G2969">
        <v>-472.40769999999998</v>
      </c>
      <c r="H2969" s="1">
        <v>4.9238030000000001E-6</v>
      </c>
      <c r="I2969">
        <v>215.3725</v>
      </c>
      <c r="J2969">
        <v>-484.14890000000003</v>
      </c>
      <c r="K2969">
        <v>1.112579</v>
      </c>
      <c r="L2969">
        <v>222.73140000000001</v>
      </c>
      <c r="M2969">
        <v>0.64413100000000001</v>
      </c>
      <c r="N2969">
        <v>0</v>
      </c>
      <c r="O2969">
        <v>-0.76481129999999997</v>
      </c>
      <c r="P2969">
        <v>0.77409220000000001</v>
      </c>
      <c r="Q2969">
        <v>0.17530970000000001</v>
      </c>
      <c r="R2969">
        <v>-0.60831579999999996</v>
      </c>
      <c r="S2969">
        <v>2.6290279999999999</v>
      </c>
      <c r="T2969">
        <v>-0.24686530000000001</v>
      </c>
      <c r="U2969">
        <v>-1.6595150000000001</v>
      </c>
      <c r="V2969">
        <v>-0.2010392</v>
      </c>
      <c r="W2969">
        <v>0.1865695</v>
      </c>
      <c r="X2969">
        <v>0.96165230000000002</v>
      </c>
      <c r="Y2969">
        <v>-0.3004078</v>
      </c>
      <c r="Z2969">
        <v>6.8439829999999993E-2</v>
      </c>
      <c r="AA2969">
        <v>0.95135219999999998</v>
      </c>
      <c r="AB2969">
        <v>16</v>
      </c>
      <c r="AC2969">
        <v>11.741199999999999</v>
      </c>
      <c r="AD2969">
        <v>-1.112574076197</v>
      </c>
      <c r="AE2969">
        <v>-7.3589000000000002</v>
      </c>
      <c r="AF2969">
        <v>-4.2128846648479996</v>
      </c>
      <c r="AG2969">
        <v>-1.112574076197</v>
      </c>
      <c r="AH2969">
        <v>13.1075887434697</v>
      </c>
      <c r="AI2969">
        <v>94.619964894981607</v>
      </c>
      <c r="AJ2969">
        <v>107.81782372150801</v>
      </c>
      <c r="AK2969">
        <v>13.812859984169499</v>
      </c>
      <c r="AL2969">
        <v>79.2473490210145</v>
      </c>
      <c r="AM2969">
        <v>101.807967538897</v>
      </c>
      <c r="AN2969">
        <v>1.00000004218108</v>
      </c>
    </row>
    <row r="2970" spans="1:40" x14ac:dyDescent="0.25">
      <c r="A2970" t="str">
        <f>"20190312172426667"</f>
        <v>20190312172426667</v>
      </c>
      <c r="B2970" t="str">
        <f>"1552382666663381"</f>
        <v>1552382666663381</v>
      </c>
      <c r="C2970" t="s">
        <v>40</v>
      </c>
      <c r="D2970">
        <v>3.6582089999999998</v>
      </c>
      <c r="E2970">
        <v>0.46101370000000003</v>
      </c>
      <c r="F2970" t="s">
        <v>46</v>
      </c>
      <c r="G2970">
        <v>-472.2722</v>
      </c>
      <c r="H2970" s="1">
        <v>4.9810710000000003E-6</v>
      </c>
      <c r="I2970">
        <v>215.30799999999999</v>
      </c>
      <c r="J2970">
        <v>-484.04129999999998</v>
      </c>
      <c r="K2970">
        <v>1.1126229999999999</v>
      </c>
      <c r="L2970">
        <v>222.6114</v>
      </c>
      <c r="M2970">
        <v>0.64745410000000003</v>
      </c>
      <c r="N2970">
        <v>0</v>
      </c>
      <c r="O2970">
        <v>-0.7620015</v>
      </c>
      <c r="P2970">
        <v>0.77730239999999995</v>
      </c>
      <c r="Q2970">
        <v>0.175808399999999</v>
      </c>
      <c r="R2970">
        <v>-0.60406319999999902</v>
      </c>
      <c r="S2970">
        <v>2.6364749999999999</v>
      </c>
      <c r="T2970">
        <v>-0.2469758</v>
      </c>
      <c r="U2970">
        <v>-1.6478729999999999</v>
      </c>
      <c r="V2970">
        <v>-0.20206289999999999</v>
      </c>
      <c r="W2970">
        <v>0.18695970000000001</v>
      </c>
      <c r="X2970">
        <v>0.96136189999999999</v>
      </c>
      <c r="Y2970">
        <v>-0.30049160000000003</v>
      </c>
      <c r="Z2970">
        <v>6.8288390000000004E-2</v>
      </c>
      <c r="AA2970">
        <v>0.95133670000000004</v>
      </c>
      <c r="AB2970">
        <v>16</v>
      </c>
      <c r="AC2970">
        <v>11.7690999999999</v>
      </c>
      <c r="AD2970">
        <v>-1.11261801892899</v>
      </c>
      <c r="AE2970">
        <v>-7.3034000000000097</v>
      </c>
      <c r="AF2970">
        <v>-4.2126064121291096</v>
      </c>
      <c r="AG2970">
        <v>-1.11261801892899</v>
      </c>
      <c r="AH2970">
        <v>13.1016500616226</v>
      </c>
      <c r="AI2970">
        <v>94.622064842302606</v>
      </c>
      <c r="AJ2970">
        <v>107.824286265422</v>
      </c>
      <c r="AK2970">
        <v>13.807143295293599</v>
      </c>
      <c r="AL2970">
        <v>79.224591588600902</v>
      </c>
      <c r="AM2970">
        <v>101.869876480952</v>
      </c>
      <c r="AN2970">
        <v>1.00000002387605</v>
      </c>
    </row>
    <row r="2971" spans="1:40" x14ac:dyDescent="0.25">
      <c r="A2971" t="str">
        <f>"20190312172426688"</f>
        <v>20190312172426688</v>
      </c>
      <c r="B2971" t="str">
        <f>"1552382666682902"</f>
        <v>1552382666682902</v>
      </c>
      <c r="C2971" t="s">
        <v>40</v>
      </c>
      <c r="D2971">
        <v>3.6823030000000001</v>
      </c>
      <c r="E2971">
        <v>0.46134940000000002</v>
      </c>
      <c r="F2971" t="s">
        <v>46</v>
      </c>
      <c r="G2971">
        <v>-472.15379999999999</v>
      </c>
      <c r="H2971" s="1">
        <v>5.03093E-6</v>
      </c>
      <c r="I2971">
        <v>215.24789999999999</v>
      </c>
      <c r="J2971">
        <v>-483.94260000000003</v>
      </c>
      <c r="K2971">
        <v>1.1126689999999999</v>
      </c>
      <c r="L2971">
        <v>222.50239999999999</v>
      </c>
      <c r="M2971">
        <v>0.65049760000000001</v>
      </c>
      <c r="N2971">
        <v>0</v>
      </c>
      <c r="O2971">
        <v>-0.75940659999999904</v>
      </c>
      <c r="P2971">
        <v>0.78029759999999904</v>
      </c>
      <c r="Q2971">
        <v>0.17618829999999999</v>
      </c>
      <c r="R2971">
        <v>-0.60007769999999905</v>
      </c>
      <c r="S2971">
        <v>2.6431269999999998</v>
      </c>
      <c r="T2971">
        <v>-0.24738470000000001</v>
      </c>
      <c r="U2971">
        <v>-1.637238</v>
      </c>
      <c r="V2971">
        <v>-0.2030991</v>
      </c>
      <c r="W2971">
        <v>0.18721960000000001</v>
      </c>
      <c r="X2971">
        <v>0.96109290000000003</v>
      </c>
      <c r="Y2971">
        <v>-0.30051440000000001</v>
      </c>
      <c r="Z2971">
        <v>6.8232440000000005E-2</v>
      </c>
      <c r="AA2971">
        <v>0.95133350000000005</v>
      </c>
      <c r="AB2971">
        <v>16</v>
      </c>
      <c r="AC2971">
        <v>11.7888</v>
      </c>
      <c r="AD2971">
        <v>-1.11266396907</v>
      </c>
      <c r="AE2971">
        <v>-7.2545000000000002</v>
      </c>
      <c r="AF2971">
        <v>-4.2066043183178303</v>
      </c>
      <c r="AG2971">
        <v>-1.11266396907</v>
      </c>
      <c r="AH2971">
        <v>13.094113426342799</v>
      </c>
      <c r="AI2971">
        <v>94.625270458916006</v>
      </c>
      <c r="AJ2971">
        <v>107.810092595843</v>
      </c>
      <c r="AK2971">
        <v>13.7981646395775</v>
      </c>
      <c r="AL2971">
        <v>79.209432413884301</v>
      </c>
      <c r="AM2971">
        <v>101.932249978217</v>
      </c>
      <c r="AN2971">
        <v>0.99999999273769002</v>
      </c>
    </row>
    <row r="2972" spans="1:40" x14ac:dyDescent="0.25">
      <c r="A2972" t="str">
        <f>"20190312172426711"</f>
        <v>20190312172426711</v>
      </c>
      <c r="B2972" t="str">
        <f>"1552382666703398"</f>
        <v>1552382666703398</v>
      </c>
      <c r="C2972" t="s">
        <v>40</v>
      </c>
      <c r="D2972">
        <v>3.6783320000000002</v>
      </c>
      <c r="E2972">
        <v>0.46852109999999902</v>
      </c>
      <c r="F2972" t="s">
        <v>46</v>
      </c>
      <c r="G2972">
        <v>-472.02800000000002</v>
      </c>
      <c r="H2972" s="1">
        <v>5.0843289999999999E-6</v>
      </c>
      <c r="I2972">
        <v>215.1934</v>
      </c>
      <c r="J2972">
        <v>-483.8356</v>
      </c>
      <c r="K2972">
        <v>1.1127290000000001</v>
      </c>
      <c r="L2972">
        <v>222.38550000000001</v>
      </c>
      <c r="M2972">
        <v>0.65378999999999998</v>
      </c>
      <c r="N2972">
        <v>0</v>
      </c>
      <c r="O2972">
        <v>-0.75657459999999999</v>
      </c>
      <c r="P2972">
        <v>0.78307780000000005</v>
      </c>
      <c r="Q2972">
        <v>0.17669179999999901</v>
      </c>
      <c r="R2972">
        <v>-0.59629619999999905</v>
      </c>
      <c r="S2972">
        <v>2.6502690000000002</v>
      </c>
      <c r="T2972">
        <v>-0.24749979999999999</v>
      </c>
      <c r="U2972">
        <v>-1.6258090000000001</v>
      </c>
      <c r="V2972">
        <v>-0.20351839999999999</v>
      </c>
      <c r="W2972">
        <v>0.187637</v>
      </c>
      <c r="X2972">
        <v>0.96092279999999997</v>
      </c>
      <c r="Y2972">
        <v>-0.30050179999999999</v>
      </c>
      <c r="Z2972">
        <v>6.8077689999999996E-2</v>
      </c>
      <c r="AA2972">
        <v>0.95134850000000004</v>
      </c>
      <c r="AB2972">
        <v>16</v>
      </c>
      <c r="AC2972">
        <v>11.8075999999999</v>
      </c>
      <c r="AD2972">
        <v>-1.112723915671</v>
      </c>
      <c r="AE2972">
        <v>-7.1921000000000097</v>
      </c>
      <c r="AF2972">
        <v>-4.2042984710652602</v>
      </c>
      <c r="AG2972">
        <v>-1.112723915671</v>
      </c>
      <c r="AH2972">
        <v>13.077352177380799</v>
      </c>
      <c r="AI2972">
        <v>94.6311050959374</v>
      </c>
      <c r="AJ2972">
        <v>107.82231919031101</v>
      </c>
      <c r="AK2972">
        <v>13.7815608737746</v>
      </c>
      <c r="AL2972">
        <v>79.185085826235394</v>
      </c>
      <c r="AM2972">
        <v>101.958231513013</v>
      </c>
      <c r="AN2972">
        <v>1.0000000052336999</v>
      </c>
    </row>
    <row r="2973" spans="1:40" x14ac:dyDescent="0.25">
      <c r="A2973" t="str">
        <f>"20190312172426733"</f>
        <v>20190312172426733</v>
      </c>
      <c r="B2973" t="str">
        <f>"1552382666722917"</f>
        <v>1552382666722917</v>
      </c>
      <c r="C2973" t="s">
        <v>40</v>
      </c>
      <c r="D2973">
        <v>3.6872199999999999</v>
      </c>
      <c r="E2973">
        <v>0.46891870000000002</v>
      </c>
      <c r="F2973" t="s">
        <v>46</v>
      </c>
      <c r="G2973">
        <v>-473.12079999999997</v>
      </c>
      <c r="H2973" s="1">
        <v>4.618065E-6</v>
      </c>
      <c r="I2973">
        <v>215.61269999999999</v>
      </c>
      <c r="J2973">
        <v>-483.73050000000001</v>
      </c>
      <c r="K2973">
        <v>1.112784</v>
      </c>
      <c r="L2973">
        <v>222.27160000000001</v>
      </c>
      <c r="M2973">
        <v>0.65706730000000002</v>
      </c>
      <c r="N2973">
        <v>0</v>
      </c>
      <c r="O2973">
        <v>-0.75373059999999903</v>
      </c>
      <c r="P2973">
        <v>0.78581800000000002</v>
      </c>
      <c r="Q2973">
        <v>0.17705019999999999</v>
      </c>
      <c r="R2973">
        <v>-0.59257409999999999</v>
      </c>
      <c r="S2973">
        <v>2.6278079999999999</v>
      </c>
      <c r="T2973">
        <v>-0.27289439999999998</v>
      </c>
      <c r="U2973">
        <v>-1.661011</v>
      </c>
      <c r="V2973">
        <v>-0.20387449999999999</v>
      </c>
      <c r="W2973">
        <v>0.18794659999999999</v>
      </c>
      <c r="X2973">
        <v>0.96078680000000005</v>
      </c>
      <c r="Y2973">
        <v>-0.28303970000000001</v>
      </c>
      <c r="Z2973">
        <v>7.4294280000000004E-2</v>
      </c>
      <c r="AA2973">
        <v>0.95622629999999997</v>
      </c>
      <c r="AB2973">
        <v>16</v>
      </c>
      <c r="AC2973">
        <v>10.6097</v>
      </c>
      <c r="AD2973">
        <v>-1.112779381935</v>
      </c>
      <c r="AE2973">
        <v>-6.6589000000000098</v>
      </c>
      <c r="AF2973">
        <v>-3.5934280633641298</v>
      </c>
      <c r="AG2973">
        <v>-1.112779381935</v>
      </c>
      <c r="AH2973">
        <v>11.897327996120501</v>
      </c>
      <c r="AI2973">
        <v>95.116445475887105</v>
      </c>
      <c r="AJ2973">
        <v>106.80623596959001</v>
      </c>
      <c r="AK2973">
        <v>12.477877088940399</v>
      </c>
      <c r="AL2973">
        <v>79.167025747730094</v>
      </c>
      <c r="AM2973">
        <v>101.98019776574399</v>
      </c>
      <c r="AN2973">
        <v>1.00000000562802</v>
      </c>
    </row>
    <row r="2974" spans="1:40" x14ac:dyDescent="0.25">
      <c r="A2974" t="str">
        <f>"20190312172426755"</f>
        <v>20190312172426755</v>
      </c>
      <c r="B2974" t="str">
        <f>"1552382666743413"</f>
        <v>1552382666743413</v>
      </c>
      <c r="C2974" t="s">
        <v>40</v>
      </c>
      <c r="D2974">
        <v>3.6663239999999999</v>
      </c>
      <c r="E2974">
        <v>0.46929799999999999</v>
      </c>
      <c r="F2974" t="s">
        <v>46</v>
      </c>
      <c r="G2974">
        <v>-473.14640000000003</v>
      </c>
      <c r="H2974" s="1">
        <v>4.6077699999999998E-6</v>
      </c>
      <c r="I2974">
        <v>215.63740000000001</v>
      </c>
      <c r="J2974">
        <v>-483.62529999999998</v>
      </c>
      <c r="K2974">
        <v>1.1128450000000001</v>
      </c>
      <c r="L2974">
        <v>222.15889999999999</v>
      </c>
      <c r="M2974">
        <v>0.66041240000000001</v>
      </c>
      <c r="N2974">
        <v>0</v>
      </c>
      <c r="O2974">
        <v>-0.75080159999999996</v>
      </c>
      <c r="P2974">
        <v>0.78831989999999996</v>
      </c>
      <c r="Q2974">
        <v>0.17717949999999999</v>
      </c>
      <c r="R2974">
        <v>-0.58920249999999996</v>
      </c>
      <c r="S2974">
        <v>2.634735</v>
      </c>
      <c r="T2974">
        <v>-0.27700900000000001</v>
      </c>
      <c r="U2974">
        <v>-1.651489</v>
      </c>
      <c r="V2974">
        <v>-0.20372299999999999</v>
      </c>
      <c r="W2974">
        <v>0.1880346</v>
      </c>
      <c r="X2974">
        <v>0.96080169999999998</v>
      </c>
      <c r="Y2974">
        <v>-0.2823099</v>
      </c>
      <c r="Z2974">
        <v>7.5149590000000002E-2</v>
      </c>
      <c r="AA2974">
        <v>0.95637519999999998</v>
      </c>
      <c r="AB2974">
        <v>16</v>
      </c>
      <c r="AC2974">
        <v>10.4788999999999</v>
      </c>
      <c r="AD2974">
        <v>-1.1128403922299901</v>
      </c>
      <c r="AE2974">
        <v>-6.5214999999999703</v>
      </c>
      <c r="AF2974">
        <v>-3.5322516578521799</v>
      </c>
      <c r="AG2974">
        <v>-1.1128403922299901</v>
      </c>
      <c r="AH2974">
        <v>11.7223528730191</v>
      </c>
      <c r="AI2974">
        <v>95.1936999788348</v>
      </c>
      <c r="AJ2974">
        <v>106.76892864024801</v>
      </c>
      <c r="AK2974">
        <v>12.293444285169199</v>
      </c>
      <c r="AL2974">
        <v>79.161892011080496</v>
      </c>
      <c r="AM2974">
        <v>101.97137187769999</v>
      </c>
      <c r="AN2974">
        <v>0.99999998912452404</v>
      </c>
    </row>
    <row r="2975" spans="1:40" x14ac:dyDescent="0.25">
      <c r="A2975" t="str">
        <f>"20190312172426777"</f>
        <v>20190312172426777</v>
      </c>
      <c r="B2975" t="str">
        <f>"1552382666772693"</f>
        <v>1552382666772693</v>
      </c>
      <c r="C2975" t="s">
        <v>40</v>
      </c>
      <c r="D2975">
        <v>3.63246</v>
      </c>
      <c r="E2975">
        <v>0.46948830000000003</v>
      </c>
      <c r="F2975" t="s">
        <v>46</v>
      </c>
      <c r="G2975">
        <v>-473.20929999999998</v>
      </c>
      <c r="H2975" s="1">
        <v>4.5816990000000003E-6</v>
      </c>
      <c r="I2975">
        <v>215.67850000000001</v>
      </c>
      <c r="J2975">
        <v>-483.5215</v>
      </c>
      <c r="K2975">
        <v>1.112914</v>
      </c>
      <c r="L2975">
        <v>222.0488</v>
      </c>
      <c r="M2975">
        <v>0.663796099999999</v>
      </c>
      <c r="N2975">
        <v>0</v>
      </c>
      <c r="O2975">
        <v>-0.74781189999999997</v>
      </c>
      <c r="P2975">
        <v>0.79063499999999998</v>
      </c>
      <c r="Q2975">
        <v>0.17705370000000001</v>
      </c>
      <c r="R2975">
        <v>-0.58612989999999998</v>
      </c>
      <c r="S2975">
        <v>2.64093</v>
      </c>
      <c r="T2975">
        <v>-0.2821535</v>
      </c>
      <c r="U2975">
        <v>-1.6430819999999999</v>
      </c>
      <c r="V2975">
        <v>-0.20317370000000001</v>
      </c>
      <c r="W2975">
        <v>0.18786040000000001</v>
      </c>
      <c r="X2975">
        <v>0.96095209999999998</v>
      </c>
      <c r="Y2975">
        <v>-0.28107880000000002</v>
      </c>
      <c r="Z2975">
        <v>7.6252390000000003E-2</v>
      </c>
      <c r="AA2975">
        <v>0.95665060000000002</v>
      </c>
      <c r="AB2975">
        <v>16</v>
      </c>
      <c r="AC2975">
        <v>10.312200000000001</v>
      </c>
      <c r="AD2975">
        <v>-1.112909418301</v>
      </c>
      <c r="AE2975">
        <v>-6.3702999999999799</v>
      </c>
      <c r="AF2975">
        <v>-3.4541516804320298</v>
      </c>
      <c r="AG2975">
        <v>-1.112909418301</v>
      </c>
      <c r="AH2975">
        <v>11.512813194346601</v>
      </c>
      <c r="AI2975">
        <v>95.289907663271094</v>
      </c>
      <c r="AJ2975">
        <v>106.70064921420899</v>
      </c>
      <c r="AK2975">
        <v>12.071230212894401</v>
      </c>
      <c r="AL2975">
        <v>79.172054265513907</v>
      </c>
      <c r="AM2975">
        <v>101.938205871322</v>
      </c>
      <c r="AN2975">
        <v>1.00000001037713</v>
      </c>
    </row>
    <row r="2976" spans="1:40" x14ac:dyDescent="0.25">
      <c r="A2976" t="str">
        <f>"20190312172426800"</f>
        <v>20190312172426800</v>
      </c>
      <c r="B2976" t="str">
        <f>"1552382666793189"</f>
        <v>1552382666793189</v>
      </c>
      <c r="C2976" t="s">
        <v>40</v>
      </c>
      <c r="D2976">
        <v>3.7061540000000002</v>
      </c>
      <c r="E2976">
        <v>0.46988849999999999</v>
      </c>
      <c r="F2976" t="s">
        <v>46</v>
      </c>
      <c r="G2976">
        <v>-473.11829999999998</v>
      </c>
      <c r="H2976" s="1">
        <v>4.6197120000000003E-6</v>
      </c>
      <c r="I2976">
        <v>215.6251</v>
      </c>
      <c r="J2976">
        <v>-483.411</v>
      </c>
      <c r="K2976">
        <v>1.1129979999999999</v>
      </c>
      <c r="L2976">
        <v>221.93299999999999</v>
      </c>
      <c r="M2976">
        <v>0.66747780000000001</v>
      </c>
      <c r="N2976">
        <v>0</v>
      </c>
      <c r="O2976">
        <v>-0.74452790000000002</v>
      </c>
      <c r="P2976">
        <v>0.79317490000000002</v>
      </c>
      <c r="Q2976">
        <v>0.1766839</v>
      </c>
      <c r="R2976">
        <v>-0.582800599999999</v>
      </c>
      <c r="S2976">
        <v>2.646423</v>
      </c>
      <c r="T2976">
        <v>-0.28310849999999999</v>
      </c>
      <c r="U2976">
        <v>-1.634109</v>
      </c>
      <c r="V2976">
        <v>-0.2025699</v>
      </c>
      <c r="W2976">
        <v>0.18743560000000001</v>
      </c>
      <c r="X2976">
        <v>0.96116250000000003</v>
      </c>
      <c r="Y2976">
        <v>-0.27957320000000002</v>
      </c>
      <c r="Z2976">
        <v>7.6212440000000006E-2</v>
      </c>
      <c r="AA2976">
        <v>0.95709480000000002</v>
      </c>
      <c r="AB2976">
        <v>16</v>
      </c>
      <c r="AC2976">
        <v>10.2927</v>
      </c>
      <c r="AD2976">
        <v>-1.1129933802880001</v>
      </c>
      <c r="AE2976">
        <v>-6.3078999999999796</v>
      </c>
      <c r="AF2976">
        <v>-3.4239757464418701</v>
      </c>
      <c r="AG2976">
        <v>-1.1129933802880001</v>
      </c>
      <c r="AH2976">
        <v>11.469934290985</v>
      </c>
      <c r="AI2976">
        <v>95.312157899540296</v>
      </c>
      <c r="AJ2976">
        <v>106.62128328976701</v>
      </c>
      <c r="AK2976">
        <v>12.0217202103651</v>
      </c>
      <c r="AL2976">
        <v>79.196833681337196</v>
      </c>
      <c r="AM2976">
        <v>101.901209575119</v>
      </c>
      <c r="AN2976">
        <v>1.0000000099698101</v>
      </c>
    </row>
    <row r="2977" spans="1:40" x14ac:dyDescent="0.25">
      <c r="A2977" t="str">
        <f>"20190312172426822"</f>
        <v>20190312172426822</v>
      </c>
      <c r="B2977" t="str">
        <f>"1552382666812709"</f>
        <v>1552382666812709</v>
      </c>
      <c r="C2977" t="s">
        <v>40</v>
      </c>
      <c r="D2977">
        <v>3.7758400000000001</v>
      </c>
      <c r="E2977">
        <v>0.4698503</v>
      </c>
      <c r="F2977" t="s">
        <v>46</v>
      </c>
      <c r="G2977">
        <v>-473.04579999999999</v>
      </c>
      <c r="H2977" s="1">
        <v>4.6498839999999997E-6</v>
      </c>
      <c r="I2977">
        <v>215.58029999999999</v>
      </c>
      <c r="J2977">
        <v>-483.30399999999997</v>
      </c>
      <c r="K2977">
        <v>1.113089</v>
      </c>
      <c r="L2977">
        <v>221.82220000000001</v>
      </c>
      <c r="M2977">
        <v>0.67114390000000002</v>
      </c>
      <c r="N2977">
        <v>0</v>
      </c>
      <c r="O2977">
        <v>-0.74122509999999997</v>
      </c>
      <c r="P2977">
        <v>0.79574119999999904</v>
      </c>
      <c r="Q2977">
        <v>0.17727370000000001</v>
      </c>
      <c r="R2977">
        <v>-0.57911159999999995</v>
      </c>
      <c r="S2977">
        <v>2.6515810000000002</v>
      </c>
      <c r="T2977">
        <v>-0.28472129999999901</v>
      </c>
      <c r="U2977">
        <v>-1.6251370000000001</v>
      </c>
      <c r="V2977">
        <v>-0.202239</v>
      </c>
      <c r="W2977">
        <v>0.1879728</v>
      </c>
      <c r="X2977">
        <v>0.96112730000000002</v>
      </c>
      <c r="Y2977">
        <v>-0.27799689999999999</v>
      </c>
      <c r="Z2977">
        <v>7.6347189999999995E-2</v>
      </c>
      <c r="AA2977">
        <v>0.95754309999999998</v>
      </c>
      <c r="AB2977">
        <v>16</v>
      </c>
      <c r="AC2977">
        <v>10.2582</v>
      </c>
      <c r="AD2977">
        <v>-1.1130843501159999</v>
      </c>
      <c r="AE2977">
        <v>-6.24190000000001</v>
      </c>
      <c r="AF2977">
        <v>-3.3855900186850301</v>
      </c>
      <c r="AG2977">
        <v>-1.1130843501159999</v>
      </c>
      <c r="AH2977">
        <v>11.4141764667836</v>
      </c>
      <c r="AI2977">
        <v>95.341156073658496</v>
      </c>
      <c r="AJ2977">
        <v>106.521026922118</v>
      </c>
      <c r="AK2977">
        <v>11.9576168595573</v>
      </c>
      <c r="AL2977">
        <v>79.165497698502406</v>
      </c>
      <c r="AM2977">
        <v>101.88274470259999</v>
      </c>
      <c r="AN2977">
        <v>1.0000000367330599</v>
      </c>
    </row>
    <row r="2978" spans="1:40" x14ac:dyDescent="0.25">
      <c r="A2978" t="str">
        <f>"20190312172426857"</f>
        <v>20190312172426857</v>
      </c>
      <c r="B2978" t="str">
        <f>"1552382666853090"</f>
        <v>1552382666853090</v>
      </c>
      <c r="C2978" t="s">
        <v>40</v>
      </c>
      <c r="D2978">
        <v>3.665111</v>
      </c>
      <c r="E2978">
        <v>0.47064640000000002</v>
      </c>
      <c r="F2978" t="s">
        <v>46</v>
      </c>
      <c r="G2978">
        <v>-472.94729999999998</v>
      </c>
      <c r="H2978" s="1">
        <v>4.6917130000000001E-6</v>
      </c>
      <c r="I2978">
        <v>215.53800000000001</v>
      </c>
      <c r="J2978">
        <v>-483.13630000000001</v>
      </c>
      <c r="K2978">
        <v>1.1132299999999999</v>
      </c>
      <c r="L2978">
        <v>221.65129999999999</v>
      </c>
      <c r="M2978">
        <v>0.6767706</v>
      </c>
      <c r="N2978">
        <v>0</v>
      </c>
      <c r="O2978">
        <v>-0.7360778</v>
      </c>
      <c r="P2978">
        <v>0.80071040000000004</v>
      </c>
      <c r="Q2978">
        <v>0.17669099999999999</v>
      </c>
      <c r="R2978">
        <v>-0.5724013</v>
      </c>
      <c r="S2978">
        <v>2.6593930000000001</v>
      </c>
      <c r="T2978">
        <v>-0.28581990000000002</v>
      </c>
      <c r="U2978">
        <v>-1.6136629999999901</v>
      </c>
      <c r="V2978">
        <v>-0.20305229999999999</v>
      </c>
      <c r="W2978">
        <v>0.1881601</v>
      </c>
      <c r="X2978">
        <v>0.96091910000000003</v>
      </c>
      <c r="Y2978">
        <v>-0.2749414</v>
      </c>
      <c r="Z2978">
        <v>7.6125789999999999E-2</v>
      </c>
      <c r="AA2978">
        <v>0.95844260000000003</v>
      </c>
      <c r="AB2978">
        <v>16</v>
      </c>
      <c r="AC2978">
        <v>10.189</v>
      </c>
      <c r="AD2978">
        <v>-1.1132253082869901</v>
      </c>
      <c r="AE2978">
        <v>-6.1132999999999997</v>
      </c>
      <c r="AF2978">
        <v>-3.33362191353313</v>
      </c>
      <c r="AG2978">
        <v>-1.1132253082869901</v>
      </c>
      <c r="AH2978">
        <v>11.2972933377484</v>
      </c>
      <c r="AI2978">
        <v>95.399006343006604</v>
      </c>
      <c r="AJ2978">
        <v>106.440353261261</v>
      </c>
      <c r="AK2978">
        <v>11.831362660680099</v>
      </c>
      <c r="AL2978">
        <v>79.154570698725806</v>
      </c>
      <c r="AM2978">
        <v>101.931675072411</v>
      </c>
      <c r="AN2978">
        <v>0.99999998825605396</v>
      </c>
    </row>
    <row r="2979" spans="1:40" x14ac:dyDescent="0.25">
      <c r="A2979" t="str">
        <f>"20190312172426880"</f>
        <v>20190312172426880</v>
      </c>
      <c r="B2979" t="str">
        <f>"1552382666872612"</f>
        <v>1552382666872612</v>
      </c>
      <c r="C2979" t="s">
        <v>40</v>
      </c>
      <c r="D2979">
        <v>3.6631109999999998</v>
      </c>
      <c r="E2979">
        <v>0.47103099999999998</v>
      </c>
      <c r="F2979" t="s">
        <v>46</v>
      </c>
      <c r="G2979">
        <v>-472.8811</v>
      </c>
      <c r="H2979" s="1">
        <v>4.7202470000000004E-6</v>
      </c>
      <c r="I2979">
        <v>215.51859999999999</v>
      </c>
      <c r="J2979">
        <v>-483.0299</v>
      </c>
      <c r="K2979">
        <v>1.113253</v>
      </c>
      <c r="L2979">
        <v>221.54390000000001</v>
      </c>
      <c r="M2979">
        <v>0.67995050000000001</v>
      </c>
      <c r="N2979">
        <v>0</v>
      </c>
      <c r="O2979">
        <v>-0.73311300000000001</v>
      </c>
      <c r="P2979">
        <v>0.80397669999999999</v>
      </c>
      <c r="Q2979">
        <v>0.17474149999999999</v>
      </c>
      <c r="R2979">
        <v>-0.56840749999999995</v>
      </c>
      <c r="S2979">
        <v>2.6694640000000001</v>
      </c>
      <c r="T2979">
        <v>-0.2897767</v>
      </c>
      <c r="U2979">
        <v>-1.5963750000000001</v>
      </c>
      <c r="V2979">
        <v>-0.20380499999999999</v>
      </c>
      <c r="W2979">
        <v>0.18785009999999999</v>
      </c>
      <c r="X2979">
        <v>0.96082040000000002</v>
      </c>
      <c r="Y2979">
        <v>-0.27683930000000001</v>
      </c>
      <c r="Z2979">
        <v>7.7012570000000002E-2</v>
      </c>
      <c r="AA2979">
        <v>0.95782520000000004</v>
      </c>
      <c r="AB2979">
        <v>16</v>
      </c>
      <c r="AC2979">
        <v>10.1487999999999</v>
      </c>
      <c r="AD2979">
        <v>-1.1132482797529999</v>
      </c>
      <c r="AE2979">
        <v>-6.0253000000000103</v>
      </c>
      <c r="AF2979">
        <v>-3.3141819454794299</v>
      </c>
      <c r="AG2979">
        <v>-1.1132482797529999</v>
      </c>
      <c r="AH2979">
        <v>11.219297010321901</v>
      </c>
      <c r="AI2979">
        <v>95.435959900481507</v>
      </c>
      <c r="AJ2979">
        <v>106.45714800963</v>
      </c>
      <c r="AK2979">
        <v>11.751414770398201</v>
      </c>
      <c r="AL2979">
        <v>79.172654881073797</v>
      </c>
      <c r="AM2979">
        <v>101.97582498723099</v>
      </c>
      <c r="AN2979">
        <v>0.999999989575585</v>
      </c>
    </row>
    <row r="2980" spans="1:40" x14ac:dyDescent="0.25">
      <c r="A2980" t="str">
        <f>"20190312172426899"</f>
        <v>20190312172426899</v>
      </c>
      <c r="B2980" t="str">
        <f>"1552382666893106"</f>
        <v>1552382666893106</v>
      </c>
      <c r="C2980" t="s">
        <v>40</v>
      </c>
      <c r="D2980">
        <v>3.6084679999999998</v>
      </c>
      <c r="E2980">
        <v>0.47096850000000001</v>
      </c>
      <c r="F2980" t="s">
        <v>46</v>
      </c>
      <c r="G2980">
        <v>-473.0127</v>
      </c>
      <c r="H2980" s="1">
        <v>4.6656690000000003E-6</v>
      </c>
      <c r="I2980">
        <v>215.60489999999999</v>
      </c>
      <c r="J2980">
        <v>-482.93700000000001</v>
      </c>
      <c r="K2980">
        <v>1.113253</v>
      </c>
      <c r="L2980">
        <v>221.4504</v>
      </c>
      <c r="M2980">
        <v>0.68252100000000004</v>
      </c>
      <c r="N2980">
        <v>0</v>
      </c>
      <c r="O2980">
        <v>-0.73068659999999996</v>
      </c>
      <c r="P2980">
        <v>0.80672819999999901</v>
      </c>
      <c r="Q2980">
        <v>0.1737668</v>
      </c>
      <c r="R2980">
        <v>-0.56479659999999998</v>
      </c>
      <c r="S2980">
        <v>2.6748660000000002</v>
      </c>
      <c r="T2980">
        <v>-0.29726599999999997</v>
      </c>
      <c r="U2980">
        <v>-1.5858760000000001</v>
      </c>
      <c r="V2980">
        <v>-0.2047138</v>
      </c>
      <c r="W2980">
        <v>0.18858530000000001</v>
      </c>
      <c r="X2980">
        <v>0.96048310000000003</v>
      </c>
      <c r="Y2980">
        <v>-0.27690189999999998</v>
      </c>
      <c r="Z2980">
        <v>7.8816780000000003E-2</v>
      </c>
      <c r="AA2980">
        <v>0.95766030000000002</v>
      </c>
      <c r="AB2980">
        <v>15</v>
      </c>
      <c r="AC2980">
        <v>9.9242999999999597</v>
      </c>
      <c r="AD2980">
        <v>-1.113248334331</v>
      </c>
      <c r="AE2980">
        <v>-5.8455000000000101</v>
      </c>
      <c r="AF2980">
        <v>-3.2321098957693599</v>
      </c>
      <c r="AG2980">
        <v>-1.113248334331</v>
      </c>
      <c r="AH2980">
        <v>10.9439813673995</v>
      </c>
      <c r="AI2980">
        <v>95.571963708197799</v>
      </c>
      <c r="AJ2980">
        <v>106.45356655333499</v>
      </c>
      <c r="AK2980">
        <v>11.4654517748848</v>
      </c>
      <c r="AL2980">
        <v>79.129764244444303</v>
      </c>
      <c r="AM2980">
        <v>102.031776141314</v>
      </c>
      <c r="AN2980">
        <v>0.99999997033606902</v>
      </c>
    </row>
    <row r="2981" spans="1:40" x14ac:dyDescent="0.25">
      <c r="A2981" t="str">
        <f>"20190312172426924"</f>
        <v>20190312172426924</v>
      </c>
      <c r="B2981" t="str">
        <f>"1552382666912630"</f>
        <v>1552382666912630</v>
      </c>
      <c r="C2981" t="s">
        <v>40</v>
      </c>
      <c r="D2981">
        <v>3.563326</v>
      </c>
      <c r="E2981">
        <v>0.46919689999999997</v>
      </c>
      <c r="F2981" t="s">
        <v>46</v>
      </c>
      <c r="G2981">
        <v>-472.95929999999998</v>
      </c>
      <c r="H2981" s="1">
        <v>4.6888529999999999E-6</v>
      </c>
      <c r="I2981">
        <v>215.59379999999999</v>
      </c>
      <c r="J2981">
        <v>-482.83159999999998</v>
      </c>
      <c r="K2981">
        <v>1.1133280000000001</v>
      </c>
      <c r="L2981">
        <v>221.3449</v>
      </c>
      <c r="M2981">
        <v>0.68516679999999996</v>
      </c>
      <c r="N2981">
        <v>0</v>
      </c>
      <c r="O2981">
        <v>-0.72816119999999995</v>
      </c>
      <c r="P2981">
        <v>0.8094614</v>
      </c>
      <c r="Q2981">
        <v>0.1725305</v>
      </c>
      <c r="R2981">
        <v>-0.56125409999999998</v>
      </c>
      <c r="S2981">
        <v>2.6812740000000002</v>
      </c>
      <c r="T2981">
        <v>-0.29916019999999999</v>
      </c>
      <c r="U2981">
        <v>-1.5738219999999901</v>
      </c>
      <c r="V2981">
        <v>-0.20548079999999999</v>
      </c>
      <c r="W2981">
        <v>0.18932660000000001</v>
      </c>
      <c r="X2981">
        <v>0.96017350000000001</v>
      </c>
      <c r="Y2981">
        <v>-0.2775494</v>
      </c>
      <c r="Z2981">
        <v>7.9150650000000003E-2</v>
      </c>
      <c r="AA2981">
        <v>0.95744530000000005</v>
      </c>
      <c r="AB2981">
        <v>15</v>
      </c>
      <c r="AC2981">
        <v>9.8722999999999903</v>
      </c>
      <c r="AD2981">
        <v>-1.113323311147</v>
      </c>
      <c r="AE2981">
        <v>-5.7511000000000001</v>
      </c>
      <c r="AF2981">
        <v>-3.2181383094400799</v>
      </c>
      <c r="AG2981">
        <v>-1.113323311147</v>
      </c>
      <c r="AH2981">
        <v>10.8506650865169</v>
      </c>
      <c r="AI2981">
        <v>95.618051005741805</v>
      </c>
      <c r="AJ2981">
        <v>106.519536619436</v>
      </c>
      <c r="AK2981">
        <v>11.3724595314112</v>
      </c>
      <c r="AL2981">
        <v>79.086512429134501</v>
      </c>
      <c r="AM2981">
        <v>102.07931409543301</v>
      </c>
      <c r="AN2981">
        <v>1.00000003536922</v>
      </c>
    </row>
    <row r="2982" spans="1:40" x14ac:dyDescent="0.25">
      <c r="A2982" t="str">
        <f>"20190312172426957"</f>
        <v>20190312172426957</v>
      </c>
      <c r="B2982" t="str">
        <f>"1552382666953148"</f>
        <v>1552382666953148</v>
      </c>
      <c r="C2982" t="s">
        <v>40</v>
      </c>
      <c r="D2982">
        <v>3.671751</v>
      </c>
      <c r="E2982">
        <v>0.46667370000000002</v>
      </c>
      <c r="F2982" t="s">
        <v>46</v>
      </c>
      <c r="G2982">
        <v>-472.6825</v>
      </c>
      <c r="H2982" s="1">
        <v>4.8078500000000001E-6</v>
      </c>
      <c r="I2982">
        <v>215.50810000000001</v>
      </c>
      <c r="J2982">
        <v>-482.68880000000001</v>
      </c>
      <c r="K2982">
        <v>1.1135550000000001</v>
      </c>
      <c r="L2982">
        <v>221.2028</v>
      </c>
      <c r="M2982">
        <v>0.68879619999999997</v>
      </c>
      <c r="N2982">
        <v>0</v>
      </c>
      <c r="O2982">
        <v>-0.72465869999999999</v>
      </c>
      <c r="P2982">
        <v>0.81324319999999894</v>
      </c>
      <c r="Q2982">
        <v>0.16939019999999999</v>
      </c>
      <c r="R2982">
        <v>-0.55672500000000003</v>
      </c>
      <c r="S2982">
        <v>2.6946720000000002</v>
      </c>
      <c r="T2982">
        <v>-0.29559540000000001</v>
      </c>
      <c r="U2982">
        <v>-1.549698</v>
      </c>
      <c r="V2982">
        <v>-0.2064107</v>
      </c>
      <c r="W2982">
        <v>0.1887722</v>
      </c>
      <c r="X2982">
        <v>0.96008320000000003</v>
      </c>
      <c r="Y2982">
        <v>-0.28128839999999999</v>
      </c>
      <c r="Z2982">
        <v>7.8078590000000003E-2</v>
      </c>
      <c r="AA2982">
        <v>0.9564416</v>
      </c>
      <c r="AB2982">
        <v>14</v>
      </c>
      <c r="AC2982">
        <v>10.0063</v>
      </c>
      <c r="AD2982">
        <v>-1.11355019215</v>
      </c>
      <c r="AE2982">
        <v>-5.6946999999999797</v>
      </c>
      <c r="AF2982">
        <v>-3.29852370101433</v>
      </c>
      <c r="AG2982">
        <v>-1.11355019215</v>
      </c>
      <c r="AH2982">
        <v>10.919238560180601</v>
      </c>
      <c r="AI2982">
        <v>95.575746847517493</v>
      </c>
      <c r="AJ2982">
        <v>106.808709510206</v>
      </c>
      <c r="AK2982">
        <v>11.460803783798299</v>
      </c>
      <c r="AL2982">
        <v>79.118860527215503</v>
      </c>
      <c r="AM2982">
        <v>102.133470157842</v>
      </c>
      <c r="AN2982">
        <v>1.00000003574478</v>
      </c>
    </row>
    <row r="2983" spans="1:40" x14ac:dyDescent="0.25">
      <c r="A2983" t="str">
        <f>"20190312172426980"</f>
        <v>20190312172426980</v>
      </c>
      <c r="B2983" t="str">
        <f>"1552382666972668"</f>
        <v>1552382666972668</v>
      </c>
      <c r="C2983" t="s">
        <v>40</v>
      </c>
      <c r="D2983">
        <v>3.5961769999999902</v>
      </c>
      <c r="E2983">
        <v>0.46570590000000001</v>
      </c>
      <c r="F2983" t="s">
        <v>46</v>
      </c>
      <c r="G2983">
        <v>-472.37670000000003</v>
      </c>
      <c r="H2983" s="1">
        <v>4.9405000000000004E-6</v>
      </c>
      <c r="I2983">
        <v>215.44030000000001</v>
      </c>
      <c r="J2983">
        <v>-482.5926</v>
      </c>
      <c r="K2983">
        <v>1.1139139999999901</v>
      </c>
      <c r="L2983">
        <v>221.10839999999999</v>
      </c>
      <c r="M2983">
        <v>0.69192619999999905</v>
      </c>
      <c r="N2983">
        <v>0</v>
      </c>
      <c r="O2983">
        <v>-0.72162939999999998</v>
      </c>
      <c r="P2983">
        <v>0.81607559999999901</v>
      </c>
      <c r="Q2983">
        <v>0.1676887</v>
      </c>
      <c r="R2983">
        <v>-0.55308359999999901</v>
      </c>
      <c r="S2983">
        <v>2.7123409999999999</v>
      </c>
      <c r="T2983">
        <v>-0.29288979999999998</v>
      </c>
      <c r="U2983">
        <v>-1.5156860000000001</v>
      </c>
      <c r="V2983">
        <v>-0.2068847</v>
      </c>
      <c r="W2983">
        <v>0.18829029999999999</v>
      </c>
      <c r="X2983">
        <v>0.96007580000000003</v>
      </c>
      <c r="Y2983">
        <v>-0.28894120000000001</v>
      </c>
      <c r="Z2983">
        <v>7.7429590000000006E-2</v>
      </c>
      <c r="AA2983">
        <v>0.95421049999999996</v>
      </c>
      <c r="AB2983">
        <v>14</v>
      </c>
      <c r="AC2983">
        <v>10.2158999999999</v>
      </c>
      <c r="AD2983">
        <v>-1.1139090595000001</v>
      </c>
      <c r="AE2983">
        <v>-5.6680999999999804</v>
      </c>
      <c r="AF2983">
        <v>-3.4199417107309</v>
      </c>
      <c r="AG2983">
        <v>-1.1139090595000001</v>
      </c>
      <c r="AH2983">
        <v>11.061094676555101</v>
      </c>
      <c r="AI2983">
        <v>95.495589522929905</v>
      </c>
      <c r="AJ2983">
        <v>107.18090546913</v>
      </c>
      <c r="AK2983">
        <v>11.6311912606297</v>
      </c>
      <c r="AL2983">
        <v>79.146975469306099</v>
      </c>
      <c r="AM2983">
        <v>102.16059596625399</v>
      </c>
      <c r="AN2983">
        <v>1.0000000289569</v>
      </c>
    </row>
    <row r="2984" spans="1:40" x14ac:dyDescent="0.25">
      <c r="A2984" t="str">
        <f>"20190312172427002"</f>
        <v>20190312172427002</v>
      </c>
      <c r="B2984" t="str">
        <f>"1552382666993164"</f>
        <v>1552382666993164</v>
      </c>
      <c r="C2984" t="s">
        <v>40</v>
      </c>
      <c r="D2984">
        <v>3.6623670000000002</v>
      </c>
      <c r="E2984">
        <v>0.46511590000000003</v>
      </c>
      <c r="F2984" t="s">
        <v>46</v>
      </c>
      <c r="G2984">
        <v>-472.2457</v>
      </c>
      <c r="H2984" s="1">
        <v>4.9977889999999997E-6</v>
      </c>
      <c r="I2984">
        <v>215.422</v>
      </c>
      <c r="J2984">
        <v>-482.49720000000002</v>
      </c>
      <c r="K2984">
        <v>1.114377</v>
      </c>
      <c r="L2984">
        <v>221.01689999999999</v>
      </c>
      <c r="M2984">
        <v>0.69602129999999995</v>
      </c>
      <c r="N2984">
        <v>0</v>
      </c>
      <c r="O2984">
        <v>-0.7176768</v>
      </c>
      <c r="P2984">
        <v>0.81913019999999903</v>
      </c>
      <c r="Q2984">
        <v>0.1677594</v>
      </c>
      <c r="R2984">
        <v>-0.54852800000000002</v>
      </c>
      <c r="S2984">
        <v>2.7223820000000001</v>
      </c>
      <c r="T2984">
        <v>-0.293081799999999</v>
      </c>
      <c r="U2984">
        <v>-1.49614</v>
      </c>
      <c r="V2984">
        <v>-0.20707010000000001</v>
      </c>
      <c r="W2984">
        <v>0.18813099999999999</v>
      </c>
      <c r="X2984">
        <v>0.960067</v>
      </c>
      <c r="Y2984">
        <v>-0.2902439</v>
      </c>
      <c r="Z2984">
        <v>7.7229119999999998E-2</v>
      </c>
      <c r="AA2984">
        <v>0.95383130000000005</v>
      </c>
      <c r="AB2984">
        <v>13</v>
      </c>
      <c r="AC2984">
        <v>10.2515</v>
      </c>
      <c r="AD2984">
        <v>-1.114372002211</v>
      </c>
      <c r="AE2984">
        <v>-5.5948999999999902</v>
      </c>
      <c r="AF2984">
        <v>-3.4326973229325901</v>
      </c>
      <c r="AG2984">
        <v>-1.114372002211</v>
      </c>
      <c r="AH2984">
        <v>11.0527195326047</v>
      </c>
      <c r="AI2984">
        <v>95.4998538919438</v>
      </c>
      <c r="AJ2984">
        <v>107.253482987415</v>
      </c>
      <c r="AK2984">
        <v>11.627030787634601</v>
      </c>
      <c r="AL2984">
        <v>79.156268144936305</v>
      </c>
      <c r="AM2984">
        <v>102.171277178696</v>
      </c>
      <c r="AN2984">
        <v>0.99999997198200397</v>
      </c>
    </row>
    <row r="2985" spans="1:40" x14ac:dyDescent="0.25">
      <c r="A2985" t="str">
        <f>"20190312172427024"</f>
        <v>20190312172427024</v>
      </c>
      <c r="B2985" t="str">
        <f>"1552382667012684"</f>
        <v>1552382667012684</v>
      </c>
      <c r="C2985" t="s">
        <v>40</v>
      </c>
      <c r="D2985">
        <v>3.6549299999999998</v>
      </c>
      <c r="E2985">
        <v>0.46463959999999999</v>
      </c>
      <c r="F2985" t="s">
        <v>46</v>
      </c>
      <c r="G2985">
        <v>-471.95850000000002</v>
      </c>
      <c r="H2985" s="1">
        <v>5.1208549999999998E-6</v>
      </c>
      <c r="I2985">
        <v>215.3235</v>
      </c>
      <c r="J2985">
        <v>-482.40350000000001</v>
      </c>
      <c r="K2985">
        <v>1.1147309999999999</v>
      </c>
      <c r="L2985">
        <v>220.9298</v>
      </c>
      <c r="M2985">
        <v>0.70025890000000002</v>
      </c>
      <c r="N2985">
        <v>0</v>
      </c>
      <c r="O2985">
        <v>-0.71356949999999997</v>
      </c>
      <c r="P2985">
        <v>0.82224059999999899</v>
      </c>
      <c r="Q2985">
        <v>0.16937530000000001</v>
      </c>
      <c r="R2985">
        <v>-0.54335339999999999</v>
      </c>
      <c r="S2985">
        <v>2.7329409999999998</v>
      </c>
      <c r="T2985">
        <v>-0.28898370000000001</v>
      </c>
      <c r="U2985">
        <v>-1.47644</v>
      </c>
      <c r="V2985">
        <v>-0.2075777</v>
      </c>
      <c r="W2985">
        <v>0.18850520000000001</v>
      </c>
      <c r="X2985">
        <v>0.95988399999999996</v>
      </c>
      <c r="Y2985">
        <v>-0.2915703</v>
      </c>
      <c r="Z2985">
        <v>7.5882519999999995E-2</v>
      </c>
      <c r="AA2985">
        <v>0.95353480000000002</v>
      </c>
      <c r="AB2985">
        <v>13</v>
      </c>
      <c r="AC2985">
        <v>10.444999999999901</v>
      </c>
      <c r="AD2985">
        <v>-1.1147258791450001</v>
      </c>
      <c r="AE2985">
        <v>-5.6063000000000001</v>
      </c>
      <c r="AF2985">
        <v>-3.4972523551843699</v>
      </c>
      <c r="AG2985">
        <v>-1.1147258791450001</v>
      </c>
      <c r="AH2985">
        <v>11.2180747839197</v>
      </c>
      <c r="AI2985">
        <v>95.419184013816405</v>
      </c>
      <c r="AJ2985">
        <v>107.31494921911001</v>
      </c>
      <c r="AK2985">
        <v>11.8033296013919</v>
      </c>
      <c r="AL2985">
        <v>79.134437808880605</v>
      </c>
      <c r="AM2985">
        <v>102.20247674355301</v>
      </c>
      <c r="AN2985">
        <v>1.0000000027101601</v>
      </c>
    </row>
    <row r="2986" spans="1:40" x14ac:dyDescent="0.25">
      <c r="A2986" t="str">
        <f>"20190312172427046"</f>
        <v>20190312172427046</v>
      </c>
      <c r="B2986" t="str">
        <f>"1552382667042940"</f>
        <v>1552382667042940</v>
      </c>
      <c r="C2986" t="s">
        <v>40</v>
      </c>
      <c r="D2986">
        <v>3.6645660000000002</v>
      </c>
      <c r="E2986">
        <v>0.46422029999999997</v>
      </c>
      <c r="F2986" t="s">
        <v>46</v>
      </c>
      <c r="G2986">
        <v>-471.45800000000003</v>
      </c>
      <c r="H2986" s="1">
        <v>5.3340419999999898E-6</v>
      </c>
      <c r="I2986">
        <v>215.1233</v>
      </c>
      <c r="J2986">
        <v>-482.30329999999998</v>
      </c>
      <c r="K2986">
        <v>1.1148579999999999</v>
      </c>
      <c r="L2986">
        <v>220.8391</v>
      </c>
      <c r="M2986">
        <v>0.7046502</v>
      </c>
      <c r="N2986">
        <v>0</v>
      </c>
      <c r="O2986">
        <v>-0.70926279999999997</v>
      </c>
      <c r="P2986">
        <v>0.82530159999999997</v>
      </c>
      <c r="Q2986">
        <v>0.17069519999999999</v>
      </c>
      <c r="R2986">
        <v>-0.53827530000000001</v>
      </c>
      <c r="S2986">
        <v>2.7441409999999999</v>
      </c>
      <c r="T2986">
        <v>-0.279472099999999</v>
      </c>
      <c r="U2986">
        <v>-1.4557500000000001</v>
      </c>
      <c r="V2986">
        <v>-0.20761640000000001</v>
      </c>
      <c r="W2986">
        <v>0.18862319999999999</v>
      </c>
      <c r="X2986">
        <v>0.9598525</v>
      </c>
      <c r="Y2986">
        <v>-0.29314580000000001</v>
      </c>
      <c r="Z2986">
        <v>7.3121699999999998E-2</v>
      </c>
      <c r="AA2986">
        <v>0.95326739999999999</v>
      </c>
      <c r="AB2986">
        <v>14</v>
      </c>
      <c r="AC2986">
        <v>10.8452999999999</v>
      </c>
      <c r="AD2986">
        <v>-1.11485266595799</v>
      </c>
      <c r="AE2986">
        <v>-5.7157999999999998</v>
      </c>
      <c r="AF2986">
        <v>-3.63522463133677</v>
      </c>
      <c r="AG2986">
        <v>-1.11485266595799</v>
      </c>
      <c r="AH2986">
        <v>11.602618246379899</v>
      </c>
      <c r="AI2986">
        <v>95.238873532265302</v>
      </c>
      <c r="AJ2986">
        <v>107.39633285742001</v>
      </c>
      <c r="AK2986">
        <v>12.209770872473401</v>
      </c>
      <c r="AL2986">
        <v>79.127553942975695</v>
      </c>
      <c r="AM2986">
        <v>102.205072059009</v>
      </c>
      <c r="AN2986">
        <v>1.00000005144172</v>
      </c>
    </row>
    <row r="2987" spans="1:40" x14ac:dyDescent="0.25">
      <c r="A2987" t="str">
        <f>"20190312172427070"</f>
        <v>20190312172427070</v>
      </c>
      <c r="B2987" t="str">
        <f>"1552382667063436"</f>
        <v>1552382667063436</v>
      </c>
      <c r="C2987" t="s">
        <v>40</v>
      </c>
      <c r="D2987">
        <v>3.671764</v>
      </c>
      <c r="E2987">
        <v>0.46397870000000002</v>
      </c>
      <c r="F2987" t="s">
        <v>46</v>
      </c>
      <c r="G2987">
        <v>-470.96050000000002</v>
      </c>
      <c r="H2987" s="1">
        <v>5.5460760000000003E-6</v>
      </c>
      <c r="I2987">
        <v>214.92660000000001</v>
      </c>
      <c r="J2987">
        <v>-482.2038</v>
      </c>
      <c r="K2987">
        <v>1.114689</v>
      </c>
      <c r="L2987">
        <v>220.751</v>
      </c>
      <c r="M2987">
        <v>0.7089453</v>
      </c>
      <c r="N2987">
        <v>0</v>
      </c>
      <c r="O2987">
        <v>-0.70498969999999905</v>
      </c>
      <c r="P2987">
        <v>0.82880779999999998</v>
      </c>
      <c r="Q2987">
        <v>0.17131550000000001</v>
      </c>
      <c r="R2987">
        <v>-0.53266230000000003</v>
      </c>
      <c r="S2987">
        <v>2.754578</v>
      </c>
      <c r="T2987">
        <v>-0.27073960000000002</v>
      </c>
      <c r="U2987">
        <v>-1.435837</v>
      </c>
      <c r="V2987">
        <v>-0.20823949999999999</v>
      </c>
      <c r="W2987">
        <v>0.1885404</v>
      </c>
      <c r="X2987">
        <v>0.95973370000000002</v>
      </c>
      <c r="Y2987">
        <v>-0.29446450000000002</v>
      </c>
      <c r="Z2987">
        <v>7.0577619999999994E-2</v>
      </c>
      <c r="AA2987">
        <v>0.95305269999999997</v>
      </c>
      <c r="AB2987">
        <v>14</v>
      </c>
      <c r="AC2987">
        <v>11.2432999999999</v>
      </c>
      <c r="AD2987">
        <v>-1.114683453924</v>
      </c>
      <c r="AE2987">
        <v>-5.8243999999999598</v>
      </c>
      <c r="AF2987">
        <v>-3.7687569498358302</v>
      </c>
      <c r="AG2987">
        <v>-1.114683453924</v>
      </c>
      <c r="AH2987">
        <v>11.9864696215731</v>
      </c>
      <c r="AI2987">
        <v>95.069633734551601</v>
      </c>
      <c r="AJ2987">
        <v>107.454065094488</v>
      </c>
      <c r="AK2987">
        <v>12.6143371660299</v>
      </c>
      <c r="AL2987">
        <v>79.132383850411799</v>
      </c>
      <c r="AM2987">
        <v>102.24206865912799</v>
      </c>
      <c r="AN2987">
        <v>0.999999973354049</v>
      </c>
    </row>
    <row r="2988" spans="1:40" x14ac:dyDescent="0.25">
      <c r="A2988" t="str">
        <f>"20190312172427091"</f>
        <v>20190312172427091</v>
      </c>
      <c r="B2988" t="str">
        <f>"1552382667082956"</f>
        <v>1552382667082956</v>
      </c>
      <c r="C2988" t="s">
        <v>40</v>
      </c>
      <c r="D2988">
        <v>3.7007889999999999</v>
      </c>
      <c r="E2988">
        <v>0.46386959999999999</v>
      </c>
      <c r="F2988" t="s">
        <v>46</v>
      </c>
      <c r="G2988">
        <v>-470.68520000000001</v>
      </c>
      <c r="H2988" s="1">
        <v>5.6649359999999999E-6</v>
      </c>
      <c r="I2988">
        <v>214.8535</v>
      </c>
      <c r="J2988">
        <v>-482.10559999999998</v>
      </c>
      <c r="K2988">
        <v>1.114269</v>
      </c>
      <c r="L2988">
        <v>220.6651</v>
      </c>
      <c r="M2988">
        <v>0.71338230000000002</v>
      </c>
      <c r="N2988">
        <v>0</v>
      </c>
      <c r="O2988">
        <v>-0.70051470000000005</v>
      </c>
      <c r="P2988">
        <v>0.8323815</v>
      </c>
      <c r="Q2988">
        <v>0.17172870000000001</v>
      </c>
      <c r="R2988">
        <v>-0.52692539999999999</v>
      </c>
      <c r="S2988">
        <v>2.7651370000000002</v>
      </c>
      <c r="T2988">
        <v>-0.26759080000000002</v>
      </c>
      <c r="U2988">
        <v>-1.4157409999999999</v>
      </c>
      <c r="V2988">
        <v>-0.20861740000000001</v>
      </c>
      <c r="W2988">
        <v>0.18857640000000001</v>
      </c>
      <c r="X2988">
        <v>0.95964459999999996</v>
      </c>
      <c r="Y2988">
        <v>-0.29549049999999999</v>
      </c>
      <c r="Z2988">
        <v>6.9464170000000006E-2</v>
      </c>
      <c r="AA2988">
        <v>0.95281689999999997</v>
      </c>
      <c r="AB2988">
        <v>13</v>
      </c>
      <c r="AC2988">
        <v>11.4203999999999</v>
      </c>
      <c r="AD2988">
        <v>-1.1142633350640001</v>
      </c>
      <c r="AE2988">
        <v>-5.8115999999999897</v>
      </c>
      <c r="AF2988">
        <v>-3.8260386216143001</v>
      </c>
      <c r="AG2988">
        <v>-1.1142633350640001</v>
      </c>
      <c r="AH2988">
        <v>12.128741757920601</v>
      </c>
      <c r="AI2988">
        <v>95.007114800819295</v>
      </c>
      <c r="AJ2988">
        <v>107.50799615579901</v>
      </c>
      <c r="AK2988">
        <v>12.766617834974101</v>
      </c>
      <c r="AL2988">
        <v>79.130284020744597</v>
      </c>
      <c r="AM2988">
        <v>102.264717212698</v>
      </c>
      <c r="AN2988">
        <v>1.00000001826443</v>
      </c>
    </row>
    <row r="2989" spans="1:40" x14ac:dyDescent="0.25">
      <c r="A2989" t="str">
        <f>"20190312172427113"</f>
        <v>20190312172427113</v>
      </c>
      <c r="B2989" t="str">
        <f>"1552382667103452"</f>
        <v>1552382667103452</v>
      </c>
      <c r="C2989" t="s">
        <v>40</v>
      </c>
      <c r="D2989">
        <v>3.7196609999999999</v>
      </c>
      <c r="E2989">
        <v>0.46386500000000003</v>
      </c>
      <c r="F2989" t="s">
        <v>46</v>
      </c>
      <c r="G2989">
        <v>-470.50420000000003</v>
      </c>
      <c r="H2989" s="1">
        <v>5.7438430000000001E-6</v>
      </c>
      <c r="I2989">
        <v>214.8218</v>
      </c>
      <c r="J2989">
        <v>-482.00880000000001</v>
      </c>
      <c r="K2989">
        <v>1.113748</v>
      </c>
      <c r="L2989">
        <v>220.58090000000001</v>
      </c>
      <c r="M2989">
        <v>0.71800980000000003</v>
      </c>
      <c r="N2989">
        <v>0</v>
      </c>
      <c r="O2989">
        <v>-0.69578600000000002</v>
      </c>
      <c r="P2989">
        <v>0.8360398</v>
      </c>
      <c r="Q2989">
        <v>0.1724425</v>
      </c>
      <c r="R2989">
        <v>-0.52086569999999999</v>
      </c>
      <c r="S2989">
        <v>2.7744450000000001</v>
      </c>
      <c r="T2989">
        <v>-0.26647270000000001</v>
      </c>
      <c r="U2989">
        <v>-1.3974150000000001</v>
      </c>
      <c r="V2989">
        <v>-0.2089395</v>
      </c>
      <c r="W2989">
        <v>0.18896830000000001</v>
      </c>
      <c r="X2989">
        <v>0.95949739999999994</v>
      </c>
      <c r="Y2989">
        <v>-0.29551509999999998</v>
      </c>
      <c r="Z2989">
        <v>6.8831500000000004E-2</v>
      </c>
      <c r="AA2989">
        <v>0.95285520000000001</v>
      </c>
      <c r="AB2989">
        <v>13</v>
      </c>
      <c r="AC2989">
        <v>11.5045999999999</v>
      </c>
      <c r="AD2989">
        <v>-1.1137422561570001</v>
      </c>
      <c r="AE2989">
        <v>-5.7591000000000099</v>
      </c>
      <c r="AF2989">
        <v>-3.8415264665456901</v>
      </c>
      <c r="AG2989">
        <v>-1.1137422561570001</v>
      </c>
      <c r="AH2989">
        <v>12.178361781327</v>
      </c>
      <c r="AI2989">
        <v>94.984515648414501</v>
      </c>
      <c r="AJ2989">
        <v>107.507290549774</v>
      </c>
      <c r="AK2989">
        <v>12.818355709029399</v>
      </c>
      <c r="AL2989">
        <v>79.107418470419603</v>
      </c>
      <c r="AM2989">
        <v>102.284906332136</v>
      </c>
      <c r="AN2989">
        <v>0.99999999683594998</v>
      </c>
    </row>
    <row r="2990" spans="1:40" x14ac:dyDescent="0.25">
      <c r="A2990" t="str">
        <f>"20190312172427136"</f>
        <v>20190312172427136</v>
      </c>
      <c r="B2990" t="str">
        <f>"1552382667132734"</f>
        <v>1552382667132734</v>
      </c>
      <c r="C2990" t="s">
        <v>40</v>
      </c>
      <c r="D2990">
        <v>3.5977269999999999</v>
      </c>
      <c r="E2990">
        <v>0.46401789999999998</v>
      </c>
      <c r="F2990" t="s">
        <v>46</v>
      </c>
      <c r="G2990">
        <v>-470.22199999999998</v>
      </c>
      <c r="H2990" s="1">
        <v>5.8655769999999998E-6</v>
      </c>
      <c r="I2990">
        <v>214.744</v>
      </c>
      <c r="J2990">
        <v>-481.90879999999999</v>
      </c>
      <c r="K2990">
        <v>1.113329</v>
      </c>
      <c r="L2990">
        <v>220.49440000000001</v>
      </c>
      <c r="M2990">
        <v>0.72281340000000005</v>
      </c>
      <c r="N2990">
        <v>0</v>
      </c>
      <c r="O2990">
        <v>-0.69081020000000004</v>
      </c>
      <c r="P2990">
        <v>0.83973819999999999</v>
      </c>
      <c r="Q2990">
        <v>0.17304040000000001</v>
      </c>
      <c r="R2990">
        <v>-0.51468119999999995</v>
      </c>
      <c r="S2990">
        <v>2.7837519999999998</v>
      </c>
      <c r="T2990">
        <v>-0.26303880000000002</v>
      </c>
      <c r="U2990">
        <v>-1.378525</v>
      </c>
      <c r="V2990">
        <v>-0.20914240000000001</v>
      </c>
      <c r="W2990">
        <v>0.18916269999999999</v>
      </c>
      <c r="X2990">
        <v>0.95941489999999996</v>
      </c>
      <c r="Y2990">
        <v>-0.2954599</v>
      </c>
      <c r="Z2990">
        <v>6.7590609999999995E-2</v>
      </c>
      <c r="AA2990">
        <v>0.95296110000000001</v>
      </c>
      <c r="AB2990">
        <v>13</v>
      </c>
      <c r="AC2990">
        <v>11.6868</v>
      </c>
      <c r="AD2990">
        <v>-1.1133231344229999</v>
      </c>
      <c r="AE2990">
        <v>-5.7503999999999804</v>
      </c>
      <c r="AF2990">
        <v>-3.8891106567813498</v>
      </c>
      <c r="AG2990">
        <v>-1.1133231344229999</v>
      </c>
      <c r="AH2990">
        <v>12.331712839472599</v>
      </c>
      <c r="AI2990">
        <v>94.921083580766407</v>
      </c>
      <c r="AJ2990">
        <v>107.503957784823</v>
      </c>
      <c r="AK2990">
        <v>12.9782823076687</v>
      </c>
      <c r="AL2990">
        <v>79.096075746386902</v>
      </c>
      <c r="AM2990">
        <v>102.297498545275</v>
      </c>
      <c r="AN2990">
        <v>1.00000001044553</v>
      </c>
    </row>
    <row r="2991" spans="1:40" x14ac:dyDescent="0.25">
      <c r="A2991" t="str">
        <f>"20190312172427157"</f>
        <v>20190312172427157</v>
      </c>
      <c r="B2991" t="str">
        <f>"1552382667152759"</f>
        <v>1552382667152759</v>
      </c>
      <c r="C2991" t="s">
        <v>40</v>
      </c>
      <c r="D2991">
        <v>3.5757810000000001</v>
      </c>
      <c r="E2991">
        <v>0.46414</v>
      </c>
      <c r="F2991" t="s">
        <v>46</v>
      </c>
      <c r="G2991">
        <v>-469.99180000000001</v>
      </c>
      <c r="H2991" s="1">
        <v>5.9653960000000004E-6</v>
      </c>
      <c r="I2991">
        <v>214.6919</v>
      </c>
      <c r="J2991">
        <v>-481.81540000000001</v>
      </c>
      <c r="K2991">
        <v>1.1131599999999999</v>
      </c>
      <c r="L2991">
        <v>220.4143</v>
      </c>
      <c r="M2991">
        <v>0.72709019999999902</v>
      </c>
      <c r="N2991">
        <v>0</v>
      </c>
      <c r="O2991">
        <v>-0.6863205</v>
      </c>
      <c r="P2991">
        <v>0.84284230000000004</v>
      </c>
      <c r="Q2991">
        <v>0.173813299999999</v>
      </c>
      <c r="R2991">
        <v>-0.50931910000000002</v>
      </c>
      <c r="S2991">
        <v>2.7928470000000001</v>
      </c>
      <c r="T2991">
        <v>-0.2609167</v>
      </c>
      <c r="U2991">
        <v>-1.3598629999999901</v>
      </c>
      <c r="V2991">
        <v>-0.20914240000000001</v>
      </c>
      <c r="W2991">
        <v>0.1895096</v>
      </c>
      <c r="X2991">
        <v>0.95934640000000004</v>
      </c>
      <c r="Y2991">
        <v>-0.29596460000000002</v>
      </c>
      <c r="Z2991">
        <v>6.6743830000000004E-2</v>
      </c>
      <c r="AA2991">
        <v>0.95286420000000005</v>
      </c>
      <c r="AB2991">
        <v>13</v>
      </c>
      <c r="AC2991">
        <v>11.823600000000001</v>
      </c>
      <c r="AD2991">
        <v>-1.1131540346040001</v>
      </c>
      <c r="AE2991">
        <v>-5.7223999999999897</v>
      </c>
      <c r="AF2991">
        <v>-3.9264814486118298</v>
      </c>
      <c r="AG2991">
        <v>-1.1131540346040001</v>
      </c>
      <c r="AH2991">
        <v>12.436813935460499</v>
      </c>
      <c r="AI2991">
        <v>94.878487251607098</v>
      </c>
      <c r="AJ2991">
        <v>107.521657769974</v>
      </c>
      <c r="AK2991">
        <v>13.089335710276201</v>
      </c>
      <c r="AL2991">
        <v>79.075833301610103</v>
      </c>
      <c r="AM2991">
        <v>102.298349898699</v>
      </c>
      <c r="AN2991">
        <v>0.99999997358143899</v>
      </c>
    </row>
    <row r="2992" spans="1:40" x14ac:dyDescent="0.25">
      <c r="A2992" t="str">
        <f>"20190312172427180"</f>
        <v>20190312172427180</v>
      </c>
      <c r="B2992" t="str">
        <f>"1552382667173255"</f>
        <v>1552382667173255</v>
      </c>
      <c r="C2992" t="s">
        <v>40</v>
      </c>
      <c r="D2992">
        <v>3.5584519999999902</v>
      </c>
      <c r="E2992">
        <v>0.46428940000000002</v>
      </c>
      <c r="F2992" t="s">
        <v>47</v>
      </c>
      <c r="G2992">
        <v>-469.7355</v>
      </c>
      <c r="H2992" s="1">
        <v>3.643909E-6</v>
      </c>
      <c r="I2992">
        <v>214.6181</v>
      </c>
      <c r="J2992">
        <v>-481.71280000000002</v>
      </c>
      <c r="K2992">
        <v>1.113192</v>
      </c>
      <c r="L2992">
        <v>220.32749999999999</v>
      </c>
      <c r="M2992">
        <v>0.73151949999999999</v>
      </c>
      <c r="N2992">
        <v>0</v>
      </c>
      <c r="O2992">
        <v>-0.68160919999999903</v>
      </c>
      <c r="P2992">
        <v>0.84580250000000001</v>
      </c>
      <c r="Q2992">
        <v>0.1741547</v>
      </c>
      <c r="R2992">
        <v>-0.50427029999999995</v>
      </c>
      <c r="S2992">
        <v>2.8005369999999998</v>
      </c>
      <c r="T2992">
        <v>-0.25806960000000001</v>
      </c>
      <c r="U2992">
        <v>-1.3437809999999999</v>
      </c>
      <c r="V2992">
        <v>-0.2086472</v>
      </c>
      <c r="W2992">
        <v>0.18939020000000001</v>
      </c>
      <c r="X2992">
        <v>0.95947780000000005</v>
      </c>
      <c r="Y2992">
        <v>-0.295334599999999</v>
      </c>
      <c r="Z2992">
        <v>6.5665290000000001E-2</v>
      </c>
      <c r="AA2992">
        <v>0.95313460000000005</v>
      </c>
      <c r="AB2992">
        <v>13</v>
      </c>
      <c r="AC2992">
        <v>11.9773</v>
      </c>
      <c r="AD2992">
        <v>-1.1131883560910001</v>
      </c>
      <c r="AE2992">
        <v>-5.70939999999998</v>
      </c>
      <c r="AF2992">
        <v>-3.9600016111762302</v>
      </c>
      <c r="AG2992">
        <v>-1.1131883560910001</v>
      </c>
      <c r="AH2992">
        <v>12.566578601186899</v>
      </c>
      <c r="AI2992">
        <v>94.829315916268698</v>
      </c>
      <c r="AJ2992">
        <v>107.490770564557</v>
      </c>
      <c r="AK2992">
        <v>13.222696351972299</v>
      </c>
      <c r="AL2992">
        <v>79.082800611896303</v>
      </c>
      <c r="AM2992">
        <v>102.26848399690699</v>
      </c>
      <c r="AN2992">
        <v>0.99999997530835905</v>
      </c>
    </row>
    <row r="2993" spans="1:40" x14ac:dyDescent="0.25">
      <c r="A2993" t="str">
        <f>"20190312172427203"</f>
        <v>20190312172427203</v>
      </c>
      <c r="B2993" t="str">
        <f>"1552382667192774"</f>
        <v>1552382667192774</v>
      </c>
      <c r="C2993" t="s">
        <v>40</v>
      </c>
      <c r="D2993">
        <v>3.5832609999999998</v>
      </c>
      <c r="E2993">
        <v>0.46446929999999997</v>
      </c>
      <c r="F2993" t="s">
        <v>47</v>
      </c>
      <c r="G2993">
        <v>-469.51319999999998</v>
      </c>
      <c r="H2993" s="1">
        <v>3.528232E-6</v>
      </c>
      <c r="I2993">
        <v>214.55799999999999</v>
      </c>
      <c r="J2993">
        <v>-481.61160000000001</v>
      </c>
      <c r="K2993">
        <v>1.113345</v>
      </c>
      <c r="L2993">
        <v>220.24340000000001</v>
      </c>
      <c r="M2993">
        <v>0.7357361</v>
      </c>
      <c r="N2993">
        <v>0</v>
      </c>
      <c r="O2993">
        <v>-0.67706469999999996</v>
      </c>
      <c r="P2993">
        <v>0.8486378</v>
      </c>
      <c r="Q2993">
        <v>0.1747196</v>
      </c>
      <c r="R2993">
        <v>-0.49928709999999998</v>
      </c>
      <c r="S2993">
        <v>2.8079529999999999</v>
      </c>
      <c r="T2993">
        <v>-0.25622010000000001</v>
      </c>
      <c r="U2993">
        <v>-1.3279570000000001</v>
      </c>
      <c r="V2993">
        <v>-0.2083333</v>
      </c>
      <c r="W2993">
        <v>0.189526</v>
      </c>
      <c r="X2993">
        <v>0.95951920000000002</v>
      </c>
      <c r="Y2993">
        <v>-0.29482900000000001</v>
      </c>
      <c r="Z2993">
        <v>6.4861360000000007E-2</v>
      </c>
      <c r="AA2993">
        <v>0.95334609999999997</v>
      </c>
      <c r="AB2993">
        <v>13</v>
      </c>
      <c r="AC2993">
        <v>12.0984</v>
      </c>
      <c r="AD2993">
        <v>-1.1133414717679999</v>
      </c>
      <c r="AE2993">
        <v>-5.6854000000000102</v>
      </c>
      <c r="AF2993">
        <v>-3.9813812928544898</v>
      </c>
      <c r="AG2993">
        <v>-1.1133414717679999</v>
      </c>
      <c r="AH2993">
        <v>12.664523597620301</v>
      </c>
      <c r="AI2993">
        <v>94.793820867011206</v>
      </c>
      <c r="AJ2993">
        <v>107.45172754740901</v>
      </c>
      <c r="AK2993">
        <v>13.3222026777306</v>
      </c>
      <c r="AL2993">
        <v>79.074876399100006</v>
      </c>
      <c r="AM2993">
        <v>102.25007183458099</v>
      </c>
      <c r="AN2993">
        <v>0.99999998186676398</v>
      </c>
    </row>
    <row r="2994" spans="1:40" x14ac:dyDescent="0.25">
      <c r="A2994" t="str">
        <f>"20190312172427224"</f>
        <v>20190312172427224</v>
      </c>
      <c r="B2994" t="str">
        <f>"1552382667213270"</f>
        <v>1552382667213270</v>
      </c>
      <c r="C2994" t="s">
        <v>40</v>
      </c>
      <c r="D2994">
        <v>3.6206170000000002</v>
      </c>
      <c r="E2994">
        <v>0.46462690000000001</v>
      </c>
      <c r="F2994" t="s">
        <v>47</v>
      </c>
      <c r="G2994">
        <v>-469.26310000000001</v>
      </c>
      <c r="H2994" s="1">
        <v>3.3982840000000001E-6</v>
      </c>
      <c r="I2994">
        <v>214.48560000000001</v>
      </c>
      <c r="J2994">
        <v>-481.51389999999998</v>
      </c>
      <c r="K2994">
        <v>1.1134919999999999</v>
      </c>
      <c r="L2994">
        <v>220.1635</v>
      </c>
      <c r="M2994">
        <v>0.73983160000000003</v>
      </c>
      <c r="N2994">
        <v>0</v>
      </c>
      <c r="O2994">
        <v>-0.67259499999999905</v>
      </c>
      <c r="P2994">
        <v>0.85123400000000005</v>
      </c>
      <c r="Q2994">
        <v>0.17506640000000001</v>
      </c>
      <c r="R2994">
        <v>-0.49472480000000002</v>
      </c>
      <c r="S2994">
        <v>2.8150629999999999</v>
      </c>
      <c r="T2994">
        <v>-0.25380540000000001</v>
      </c>
      <c r="U2994">
        <v>-1.312592</v>
      </c>
      <c r="V2994">
        <v>-0.20768310000000001</v>
      </c>
      <c r="W2994">
        <v>0.18949279999999999</v>
      </c>
      <c r="X2994">
        <v>0.95966669999999998</v>
      </c>
      <c r="Y2994">
        <v>-0.29429929999999999</v>
      </c>
      <c r="Z2994">
        <v>6.3923859999999999E-2</v>
      </c>
      <c r="AA2994">
        <v>0.95357309999999995</v>
      </c>
      <c r="AB2994">
        <v>13</v>
      </c>
      <c r="AC2994">
        <v>12.2507999999999</v>
      </c>
      <c r="AD2994">
        <v>-1.1134886017159999</v>
      </c>
      <c r="AE2994">
        <v>-5.6778999999999904</v>
      </c>
      <c r="AF2994">
        <v>-4.0123867069667698</v>
      </c>
      <c r="AG2994">
        <v>-1.1134886017159999</v>
      </c>
      <c r="AH2994">
        <v>12.797138565041401</v>
      </c>
      <c r="AI2994">
        <v>94.746122445916896</v>
      </c>
      <c r="AJ2994">
        <v>107.408180147667</v>
      </c>
      <c r="AK2994">
        <v>13.457557705812199</v>
      </c>
      <c r="AL2994">
        <v>79.076813740044102</v>
      </c>
      <c r="AM2994">
        <v>102.211168351011</v>
      </c>
      <c r="AN2994">
        <v>0.99999998318316896</v>
      </c>
    </row>
    <row r="2995" spans="1:40" x14ac:dyDescent="0.25">
      <c r="A2995" t="str">
        <f>"20190312172427246"</f>
        <v>20190312172427246</v>
      </c>
      <c r="B2995" t="str">
        <f>"1552382667243527"</f>
        <v>1552382667243527</v>
      </c>
      <c r="C2995" t="s">
        <v>40</v>
      </c>
      <c r="D2995">
        <v>3.6862849999999998</v>
      </c>
      <c r="E2995">
        <v>0.46488180000000001</v>
      </c>
      <c r="F2995" t="s">
        <v>47</v>
      </c>
      <c r="G2995">
        <v>-469.05739999999997</v>
      </c>
      <c r="H2995" s="1">
        <v>3.2910930000000002E-6</v>
      </c>
      <c r="I2995">
        <v>214.4332</v>
      </c>
      <c r="J2995">
        <v>-481.416</v>
      </c>
      <c r="K2995">
        <v>1.1135930000000001</v>
      </c>
      <c r="L2995">
        <v>220.0847</v>
      </c>
      <c r="M2995">
        <v>0.74400819999999901</v>
      </c>
      <c r="N2995">
        <v>0</v>
      </c>
      <c r="O2995">
        <v>-0.66797910000000005</v>
      </c>
      <c r="P2995">
        <v>0.85400279999999995</v>
      </c>
      <c r="Q2995">
        <v>0.1754503</v>
      </c>
      <c r="R2995">
        <v>-0.48979250000000002</v>
      </c>
      <c r="S2995">
        <v>2.8217469999999998</v>
      </c>
      <c r="T2995">
        <v>-0.25223659999999998</v>
      </c>
      <c r="U2995">
        <v>-1.298065</v>
      </c>
      <c r="V2995">
        <v>-0.20724899999999999</v>
      </c>
      <c r="W2995">
        <v>0.18954380000000001</v>
      </c>
      <c r="X2995">
        <v>0.95975049999999995</v>
      </c>
      <c r="Y2995">
        <v>-0.29330859999999997</v>
      </c>
      <c r="Z2995">
        <v>6.3176510000000005E-2</v>
      </c>
      <c r="AA2995">
        <v>0.95392809999999995</v>
      </c>
      <c r="AB2995">
        <v>13</v>
      </c>
      <c r="AC2995">
        <v>12.358599999999999</v>
      </c>
      <c r="AD2995">
        <v>-1.1135897089069999</v>
      </c>
      <c r="AE2995">
        <v>-5.6514999999999898</v>
      </c>
      <c r="AF2995">
        <v>-4.0240210114564698</v>
      </c>
      <c r="AG2995">
        <v>-1.1135897089069999</v>
      </c>
      <c r="AH2995">
        <v>12.8851191900473</v>
      </c>
      <c r="AI2995">
        <v>94.715944289593594</v>
      </c>
      <c r="AJ2995">
        <v>107.34357744931501</v>
      </c>
      <c r="AK2995">
        <v>13.544708327688401</v>
      </c>
      <c r="AL2995">
        <v>79.073838031128304</v>
      </c>
      <c r="AM2995">
        <v>102.18537586561401</v>
      </c>
      <c r="AN2995">
        <v>1.0000000111848399</v>
      </c>
    </row>
    <row r="2996" spans="1:40" x14ac:dyDescent="0.25">
      <c r="A2996" t="str">
        <f>"20190312172427271"</f>
        <v>20190312172427271</v>
      </c>
      <c r="B2996" t="str">
        <f>"1552382667263047"</f>
        <v>1552382667263047</v>
      </c>
      <c r="C2996" t="s">
        <v>40</v>
      </c>
      <c r="D2996">
        <v>3.5851269999999902</v>
      </c>
      <c r="E2996">
        <v>0.46515119999999999</v>
      </c>
      <c r="F2996" t="s">
        <v>47</v>
      </c>
      <c r="G2996">
        <v>-468.8698</v>
      </c>
      <c r="H2996" s="1">
        <v>3.1930429999999999E-6</v>
      </c>
      <c r="I2996">
        <v>214.3922</v>
      </c>
      <c r="J2996">
        <v>-481.3048</v>
      </c>
      <c r="K2996">
        <v>1.1136330000000001</v>
      </c>
      <c r="L2996">
        <v>219.99680000000001</v>
      </c>
      <c r="M2996">
        <v>0.74883339999999998</v>
      </c>
      <c r="N2996">
        <v>0</v>
      </c>
      <c r="O2996">
        <v>-0.66257250000000001</v>
      </c>
      <c r="P2996">
        <v>0.85726219999999997</v>
      </c>
      <c r="Q2996">
        <v>0.17529819999999999</v>
      </c>
      <c r="R2996">
        <v>-0.4841202</v>
      </c>
      <c r="S2996">
        <v>2.8284910000000001</v>
      </c>
      <c r="T2996">
        <v>-0.25105429999999901</v>
      </c>
      <c r="U2996">
        <v>-1.2833559999999999</v>
      </c>
      <c r="V2996">
        <v>-0.20668880000000001</v>
      </c>
      <c r="W2996">
        <v>0.1890925</v>
      </c>
      <c r="X2996">
        <v>0.95996029999999999</v>
      </c>
      <c r="Y2996">
        <v>-0.29139569999999998</v>
      </c>
      <c r="Z2996">
        <v>6.2442060000000001E-2</v>
      </c>
      <c r="AA2996">
        <v>0.95456249999999998</v>
      </c>
      <c r="AB2996">
        <v>13</v>
      </c>
      <c r="AC2996">
        <v>12.435</v>
      </c>
      <c r="AD2996">
        <v>-1.1136298069570001</v>
      </c>
      <c r="AE2996">
        <v>-5.6045999999999996</v>
      </c>
      <c r="AF2996">
        <v>-4.0159045615991102</v>
      </c>
      <c r="AG2996">
        <v>-1.1136298069570001</v>
      </c>
      <c r="AH2996">
        <v>12.940537733025399</v>
      </c>
      <c r="AI2996">
        <v>94.698614299387799</v>
      </c>
      <c r="AJ2996">
        <v>107.24095703074499</v>
      </c>
      <c r="AK2996">
        <v>13.5950423910582</v>
      </c>
      <c r="AL2996">
        <v>79.1001717805445</v>
      </c>
      <c r="AM2996">
        <v>102.15084163621</v>
      </c>
      <c r="AN2996">
        <v>1.00000000558888</v>
      </c>
    </row>
    <row r="2997" spans="1:40" x14ac:dyDescent="0.25">
      <c r="A2997" t="str">
        <f>"20190312172427293"</f>
        <v>20190312172427293</v>
      </c>
      <c r="B2997" t="str">
        <f>"1552382667282567"</f>
        <v>1552382667282567</v>
      </c>
      <c r="C2997" t="s">
        <v>40</v>
      </c>
      <c r="D2997">
        <v>3.6126269999999998</v>
      </c>
      <c r="E2997">
        <v>0.46541739999999998</v>
      </c>
      <c r="F2997" t="s">
        <v>47</v>
      </c>
      <c r="G2997">
        <v>-468.74880000000002</v>
      </c>
      <c r="H2997" s="1">
        <v>3.1287900000000002E-6</v>
      </c>
      <c r="I2997">
        <v>214.38939999999999</v>
      </c>
      <c r="J2997">
        <v>-481.2045</v>
      </c>
      <c r="K2997">
        <v>1.113642</v>
      </c>
      <c r="L2997">
        <v>219.9187</v>
      </c>
      <c r="M2997">
        <v>0.75321959999999999</v>
      </c>
      <c r="N2997">
        <v>0</v>
      </c>
      <c r="O2997">
        <v>-0.65758739999999904</v>
      </c>
      <c r="P2997">
        <v>0.86024439999999902</v>
      </c>
      <c r="Q2997">
        <v>0.17575929999999901</v>
      </c>
      <c r="R2997">
        <v>-0.47863169999999999</v>
      </c>
      <c r="S2997">
        <v>2.8357540000000001</v>
      </c>
      <c r="T2997">
        <v>-0.2515115</v>
      </c>
      <c r="U2997">
        <v>-1.266418</v>
      </c>
      <c r="V2997">
        <v>-0.20638809999999999</v>
      </c>
      <c r="W2997">
        <v>0.18934110000000001</v>
      </c>
      <c r="X2997">
        <v>0.95997600000000005</v>
      </c>
      <c r="Y2997">
        <v>-0.29071399999999997</v>
      </c>
      <c r="Z2997">
        <v>6.2190049999999997E-2</v>
      </c>
      <c r="AA2997">
        <v>0.95478680000000005</v>
      </c>
      <c r="AB2997">
        <v>13</v>
      </c>
      <c r="AC2997">
        <v>12.455699999999901</v>
      </c>
      <c r="AD2997">
        <v>-1.11363887121</v>
      </c>
      <c r="AE2997">
        <v>-5.5293000000000001</v>
      </c>
      <c r="AF2997">
        <v>-3.9997061453318499</v>
      </c>
      <c r="AG2997">
        <v>-1.11363887121</v>
      </c>
      <c r="AH2997">
        <v>12.9330667150367</v>
      </c>
      <c r="AI2997">
        <v>94.702774508288201</v>
      </c>
      <c r="AJ2997">
        <v>107.184851381485</v>
      </c>
      <c r="AK2997">
        <v>13.5831533687898</v>
      </c>
      <c r="AL2997">
        <v>79.085666059633496</v>
      </c>
      <c r="AM2997">
        <v>102.133495669444</v>
      </c>
      <c r="AN2997">
        <v>1.0000000102734099</v>
      </c>
    </row>
    <row r="2998" spans="1:40" x14ac:dyDescent="0.25">
      <c r="A2998" t="str">
        <f>"20190312172427314"</f>
        <v>20190312172427314</v>
      </c>
      <c r="B2998" t="str">
        <f>"1552382667303063"</f>
        <v>1552382667303063</v>
      </c>
      <c r="C2998" t="s">
        <v>40</v>
      </c>
      <c r="D2998">
        <v>3.5864189999999998</v>
      </c>
      <c r="E2998">
        <v>0.46567269999999999</v>
      </c>
      <c r="F2998" t="s">
        <v>47</v>
      </c>
      <c r="G2998">
        <v>-468.53840000000002</v>
      </c>
      <c r="H2998" s="1">
        <v>3.0186269999999999E-6</v>
      </c>
      <c r="I2998">
        <v>214.34809999999999</v>
      </c>
      <c r="J2998">
        <v>-481.10770000000002</v>
      </c>
      <c r="K2998">
        <v>1.113648</v>
      </c>
      <c r="L2998">
        <v>219.84450000000001</v>
      </c>
      <c r="M2998">
        <v>0.75747640000000005</v>
      </c>
      <c r="N2998">
        <v>0</v>
      </c>
      <c r="O2998">
        <v>-0.65268349999999997</v>
      </c>
      <c r="P2998">
        <v>0.86325110000000005</v>
      </c>
      <c r="Q2998">
        <v>0.1759742</v>
      </c>
      <c r="R2998">
        <v>-0.47310780000000002</v>
      </c>
      <c r="S2998">
        <v>2.8428339999999999</v>
      </c>
      <c r="T2998">
        <v>-0.24994859999999999</v>
      </c>
      <c r="U2998">
        <v>-1.2502899999999999</v>
      </c>
      <c r="V2998">
        <v>-0.2062754</v>
      </c>
      <c r="W2998">
        <v>0.18938650000000001</v>
      </c>
      <c r="X2998">
        <v>0.95999129999999999</v>
      </c>
      <c r="Y2998">
        <v>-0.28996490000000003</v>
      </c>
      <c r="Z2998">
        <v>6.1439510000000003E-2</v>
      </c>
      <c r="AA2998">
        <v>0.95506310000000005</v>
      </c>
      <c r="AB2998">
        <v>13</v>
      </c>
      <c r="AC2998">
        <v>12.569299999999901</v>
      </c>
      <c r="AD2998">
        <v>-1.1136449813730001</v>
      </c>
      <c r="AE2998">
        <v>-5.4964000000000199</v>
      </c>
      <c r="AF2998">
        <v>-4.0143992273461002</v>
      </c>
      <c r="AG2998">
        <v>-1.1136449813730001</v>
      </c>
      <c r="AH2998">
        <v>13.0240626855086</v>
      </c>
      <c r="AI2998">
        <v>94.671442180900499</v>
      </c>
      <c r="AJ2998">
        <v>107.130837191149</v>
      </c>
      <c r="AK2998">
        <v>13.674129410573499</v>
      </c>
      <c r="AL2998">
        <v>79.083017245674895</v>
      </c>
      <c r="AM2998">
        <v>102.12687867835</v>
      </c>
      <c r="AN2998">
        <v>1.00000004155154</v>
      </c>
    </row>
    <row r="2999" spans="1:40" x14ac:dyDescent="0.25">
      <c r="A2999" t="str">
        <f>"20190312172427336"</f>
        <v>20190312172427336</v>
      </c>
      <c r="B2999" t="str">
        <f>"1552382667333319"</f>
        <v>1552382667333319</v>
      </c>
      <c r="C2999" t="s">
        <v>40</v>
      </c>
      <c r="D2999">
        <v>3.727357</v>
      </c>
      <c r="E2999">
        <v>0.46608250000000001</v>
      </c>
      <c r="F2999" t="s">
        <v>47</v>
      </c>
      <c r="G2999">
        <v>-468.38380000000001</v>
      </c>
      <c r="H2999" s="1">
        <v>2.937122E-6</v>
      </c>
      <c r="I2999">
        <v>214.3305</v>
      </c>
      <c r="J2999">
        <v>-481.00869999999998</v>
      </c>
      <c r="K2999">
        <v>1.113661</v>
      </c>
      <c r="L2999">
        <v>219.7697</v>
      </c>
      <c r="M2999">
        <v>0.76185019999999903</v>
      </c>
      <c r="N2999">
        <v>0</v>
      </c>
      <c r="O2999">
        <v>-0.64757659999999995</v>
      </c>
      <c r="P2999">
        <v>0.86639619999999995</v>
      </c>
      <c r="Q2999">
        <v>0.17633119999999999</v>
      </c>
      <c r="R2999">
        <v>-0.4671884</v>
      </c>
      <c r="S2999">
        <v>2.849335</v>
      </c>
      <c r="T2999">
        <v>-0.24938340000000001</v>
      </c>
      <c r="U2999">
        <v>-1.234772</v>
      </c>
      <c r="V2999">
        <v>-0.2063479</v>
      </c>
      <c r="W2999">
        <v>0.18958639999999999</v>
      </c>
      <c r="X2999">
        <v>0.95993620000000002</v>
      </c>
      <c r="Y2999">
        <v>-0.28873320000000002</v>
      </c>
      <c r="Z2999">
        <v>6.0909070000000003E-2</v>
      </c>
      <c r="AA2999">
        <v>0.95547009999999999</v>
      </c>
      <c r="AB2999">
        <v>13</v>
      </c>
      <c r="AC2999">
        <v>12.624899999999901</v>
      </c>
      <c r="AD2999">
        <v>-1.113658062878</v>
      </c>
      <c r="AE2999">
        <v>-5.4391999999999996</v>
      </c>
      <c r="AF2999">
        <v>-4.0059047110741002</v>
      </c>
      <c r="AG2999">
        <v>-1.113658062878</v>
      </c>
      <c r="AH2999">
        <v>13.056395469296801</v>
      </c>
      <c r="AI2999">
        <v>94.661822687956999</v>
      </c>
      <c r="AJ2999">
        <v>107.056825970063</v>
      </c>
      <c r="AK2999">
        <v>13.702443923836899</v>
      </c>
      <c r="AL2999">
        <v>79.071351851023707</v>
      </c>
      <c r="AM2999">
        <v>102.131690404908</v>
      </c>
      <c r="AN2999">
        <v>0.99999998348490404</v>
      </c>
    </row>
    <row r="3000" spans="1:40" x14ac:dyDescent="0.25">
      <c r="A3000" t="str">
        <f>"20190312172427359"</f>
        <v>20190312172427359</v>
      </c>
      <c r="B3000" t="str">
        <f>"1552382667352839"</f>
        <v>1552382667352839</v>
      </c>
      <c r="C3000" t="s">
        <v>40</v>
      </c>
      <c r="D3000">
        <v>3.7219190000000002</v>
      </c>
      <c r="E3000">
        <v>0.46630969999999999</v>
      </c>
      <c r="F3000" t="s">
        <v>47</v>
      </c>
      <c r="G3000">
        <v>-468.23509999999999</v>
      </c>
      <c r="H3000" s="1">
        <v>2.8584609999999998E-6</v>
      </c>
      <c r="I3000">
        <v>214.32</v>
      </c>
      <c r="J3000">
        <v>-480.90559999999999</v>
      </c>
      <c r="K3000">
        <v>1.113693</v>
      </c>
      <c r="L3000">
        <v>219.69309999999999</v>
      </c>
      <c r="M3000">
        <v>0.76642299999999997</v>
      </c>
      <c r="N3000">
        <v>0</v>
      </c>
      <c r="O3000">
        <v>-0.64216149999999905</v>
      </c>
      <c r="P3000">
        <v>0.86967700000000003</v>
      </c>
      <c r="Q3000">
        <v>0.17638389999999901</v>
      </c>
      <c r="R3000">
        <v>-0.46103270000000002</v>
      </c>
      <c r="S3000">
        <v>2.856201</v>
      </c>
      <c r="T3000">
        <v>-0.24901570000000001</v>
      </c>
      <c r="U3000">
        <v>-1.2185520000000001</v>
      </c>
      <c r="V3000">
        <v>-0.20635510000000001</v>
      </c>
      <c r="W3000">
        <v>0.18948860000000001</v>
      </c>
      <c r="X3000">
        <v>0.95995399999999997</v>
      </c>
      <c r="Y3000">
        <v>-0.28739379999999998</v>
      </c>
      <c r="Z3000">
        <v>6.0398819999999999E-2</v>
      </c>
      <c r="AA3000">
        <v>0.95590629999999999</v>
      </c>
      <c r="AB3000">
        <v>13</v>
      </c>
      <c r="AC3000">
        <v>12.670500000000001</v>
      </c>
      <c r="AD3000">
        <v>-1.1136901415389999</v>
      </c>
      <c r="AE3000">
        <v>-5.3730999999999902</v>
      </c>
      <c r="AF3000">
        <v>-3.9927455084741301</v>
      </c>
      <c r="AG3000">
        <v>-1.1136901415389999</v>
      </c>
      <c r="AH3000">
        <v>13.0772053589052</v>
      </c>
      <c r="AI3000">
        <v>94.656508963877997</v>
      </c>
      <c r="AJ3000">
        <v>106.978531390474</v>
      </c>
      <c r="AK3000">
        <v>13.7184409619235</v>
      </c>
      <c r="AL3000">
        <v>79.077059223844103</v>
      </c>
      <c r="AM3000">
        <v>102.13188287440499</v>
      </c>
      <c r="AN3000">
        <v>1.0000000194709799</v>
      </c>
    </row>
    <row r="3001" spans="1:40" x14ac:dyDescent="0.25">
      <c r="A3001" t="str">
        <f>"20190312172427382"</f>
        <v>20190312172427382</v>
      </c>
      <c r="B3001" t="str">
        <f>"1552382667373336"</f>
        <v>1552382667373336</v>
      </c>
      <c r="C3001" t="s">
        <v>40</v>
      </c>
      <c r="D3001">
        <v>3.7002229999999998</v>
      </c>
      <c r="E3001">
        <v>0.47710720000000001</v>
      </c>
      <c r="F3001" t="s">
        <v>47</v>
      </c>
      <c r="G3001">
        <v>-468.12779999999998</v>
      </c>
      <c r="H3001" s="1">
        <v>2.80054E-6</v>
      </c>
      <c r="I3001">
        <v>214.33940000000001</v>
      </c>
      <c r="J3001">
        <v>-480.80160000000001</v>
      </c>
      <c r="K3001">
        <v>1.1137459999999999</v>
      </c>
      <c r="L3001">
        <v>219.61699999999999</v>
      </c>
      <c r="M3001">
        <v>0.77105330000000005</v>
      </c>
      <c r="N3001">
        <v>0</v>
      </c>
      <c r="O3001">
        <v>-0.63659739999999998</v>
      </c>
      <c r="P3001">
        <v>0.87302369999999996</v>
      </c>
      <c r="Q3001">
        <v>0.1767059</v>
      </c>
      <c r="R3001">
        <v>-0.45453840000000001</v>
      </c>
      <c r="S3001">
        <v>2.8640439999999998</v>
      </c>
      <c r="T3001">
        <v>-0.24962529999999999</v>
      </c>
      <c r="U3001">
        <v>-1.1999820000000001</v>
      </c>
      <c r="V3001">
        <v>-0.2065372</v>
      </c>
      <c r="W3001">
        <v>0.18967020000000001</v>
      </c>
      <c r="X3001">
        <v>0.95987889999999998</v>
      </c>
      <c r="Y3001">
        <v>-0.28667239999999999</v>
      </c>
      <c r="Z3001">
        <v>6.0131110000000002E-2</v>
      </c>
      <c r="AA3001">
        <v>0.95613970000000004</v>
      </c>
      <c r="AB3001">
        <v>13</v>
      </c>
      <c r="AC3001">
        <v>12.6738</v>
      </c>
      <c r="AD3001">
        <v>-1.11374319946</v>
      </c>
      <c r="AE3001">
        <v>-5.2775999999999996</v>
      </c>
      <c r="AF3001">
        <v>-3.9730903615117099</v>
      </c>
      <c r="AG3001">
        <v>-1.11374319946</v>
      </c>
      <c r="AH3001">
        <v>13.0474614712814</v>
      </c>
      <c r="AI3001">
        <v>94.668349446725699</v>
      </c>
      <c r="AJ3001">
        <v>106.936048463394</v>
      </c>
      <c r="AK3001">
        <v>13.6843750964248</v>
      </c>
      <c r="AL3001">
        <v>79.066461380926</v>
      </c>
      <c r="AM3001">
        <v>102.143193033054</v>
      </c>
      <c r="AN3001">
        <v>0.99999995120854301</v>
      </c>
    </row>
    <row r="3002" spans="1:40" x14ac:dyDescent="0.25">
      <c r="A3002" t="str">
        <f>"20190312172427404"</f>
        <v>20190312172427404</v>
      </c>
      <c r="B3002" t="str">
        <f>"1552382667392854"</f>
        <v>1552382667392854</v>
      </c>
      <c r="C3002" t="s">
        <v>40</v>
      </c>
      <c r="D3002">
        <v>3.7636880000000001</v>
      </c>
      <c r="E3002">
        <v>0.4778674</v>
      </c>
      <c r="F3002" t="s">
        <v>47</v>
      </c>
      <c r="G3002">
        <v>-469.18459999999999</v>
      </c>
      <c r="H3002" s="1">
        <v>3.3572170000000001E-6</v>
      </c>
      <c r="I3002">
        <v>214.4691</v>
      </c>
      <c r="J3002">
        <v>-480.69839999999999</v>
      </c>
      <c r="K3002">
        <v>1.113794</v>
      </c>
      <c r="L3002">
        <v>219.54300000000001</v>
      </c>
      <c r="M3002">
        <v>0.77565930000000005</v>
      </c>
      <c r="N3002">
        <v>0</v>
      </c>
      <c r="O3002">
        <v>-0.63097939999999997</v>
      </c>
      <c r="P3002">
        <v>0.8763109</v>
      </c>
      <c r="Q3002">
        <v>0.17677200000000001</v>
      </c>
      <c r="R3002">
        <v>-0.44814219999999999</v>
      </c>
      <c r="S3002">
        <v>2.836884</v>
      </c>
      <c r="T3002">
        <v>-0.27197549999999998</v>
      </c>
      <c r="U3002">
        <v>-1.257126</v>
      </c>
      <c r="V3002">
        <v>-0.20659340000000001</v>
      </c>
      <c r="W3002">
        <v>0.1896168</v>
      </c>
      <c r="X3002">
        <v>0.95987739999999999</v>
      </c>
      <c r="Y3002">
        <v>-0.25974819999999998</v>
      </c>
      <c r="Z3002">
        <v>6.4137319999999998E-2</v>
      </c>
      <c r="AA3002">
        <v>0.96354410000000001</v>
      </c>
      <c r="AB3002">
        <v>13</v>
      </c>
      <c r="AC3002">
        <v>11.5138</v>
      </c>
      <c r="AD3002">
        <v>-1.113790642783</v>
      </c>
      <c r="AE3002">
        <v>-5.0739000000000001</v>
      </c>
      <c r="AF3002">
        <v>-3.3038265556917801</v>
      </c>
      <c r="AG3002">
        <v>-1.113790642783</v>
      </c>
      <c r="AH3002">
        <v>12.0392932974529</v>
      </c>
      <c r="AI3002">
        <v>95.098128755670601</v>
      </c>
      <c r="AJ3002">
        <v>105.345367887077</v>
      </c>
      <c r="AK3002">
        <v>12.533969148204401</v>
      </c>
      <c r="AL3002">
        <v>79.069577991143603</v>
      </c>
      <c r="AM3002">
        <v>102.146417585682</v>
      </c>
      <c r="AN3002">
        <v>0.99999999339827905</v>
      </c>
    </row>
    <row r="3003" spans="1:40" x14ac:dyDescent="0.25">
      <c r="A3003" t="str">
        <f>"20190312172427428"</f>
        <v>20190312172427428</v>
      </c>
      <c r="B3003" t="str">
        <f>"1552382667423112"</f>
        <v>1552382667423112</v>
      </c>
      <c r="C3003" t="s">
        <v>40</v>
      </c>
      <c r="D3003">
        <v>3.6786460000000001</v>
      </c>
      <c r="E3003">
        <v>0.47720820000000003</v>
      </c>
      <c r="F3003" t="s">
        <v>47</v>
      </c>
      <c r="G3003">
        <v>-468.78089999999997</v>
      </c>
      <c r="H3003" s="1">
        <v>3.1480409999999998E-6</v>
      </c>
      <c r="I3003">
        <v>214.33969999999999</v>
      </c>
      <c r="J3003">
        <v>-480.58629999999999</v>
      </c>
      <c r="K3003">
        <v>1.1138239999999999</v>
      </c>
      <c r="L3003">
        <v>219.46420000000001</v>
      </c>
      <c r="M3003">
        <v>0.78064750000000005</v>
      </c>
      <c r="N3003">
        <v>0</v>
      </c>
      <c r="O3003">
        <v>-0.62479929999999995</v>
      </c>
      <c r="P3003">
        <v>0.87993929999999998</v>
      </c>
      <c r="Q3003">
        <v>0.17666370000000001</v>
      </c>
      <c r="R3003">
        <v>-0.44101800000000002</v>
      </c>
      <c r="S3003">
        <v>2.8423769999999999</v>
      </c>
      <c r="T3003">
        <v>-0.26564260000000001</v>
      </c>
      <c r="U3003">
        <v>-1.2410129999999999</v>
      </c>
      <c r="V3003">
        <v>-0.20678389999999999</v>
      </c>
      <c r="W3003">
        <v>0.18940100000000001</v>
      </c>
      <c r="X3003">
        <v>0.95987900000000004</v>
      </c>
      <c r="Y3003">
        <v>-0.25750479999999998</v>
      </c>
      <c r="Z3003">
        <v>6.2130449999999997E-2</v>
      </c>
      <c r="AA3003">
        <v>0.96427750000000001</v>
      </c>
      <c r="AB3003">
        <v>13</v>
      </c>
      <c r="AC3003">
        <v>11.805400000000001</v>
      </c>
      <c r="AD3003">
        <v>-1.1138208519589901</v>
      </c>
      <c r="AE3003">
        <v>-5.12450000000001</v>
      </c>
      <c r="AF3003">
        <v>-3.35084232118259</v>
      </c>
      <c r="AG3003">
        <v>-1.1138208519589901</v>
      </c>
      <c r="AH3003">
        <v>12.326647262291401</v>
      </c>
      <c r="AI3003">
        <v>94.983276364585194</v>
      </c>
      <c r="AJ3003">
        <v>105.207645684802</v>
      </c>
      <c r="AK3003">
        <v>12.8224402467176</v>
      </c>
      <c r="AL3003">
        <v>79.082170765726104</v>
      </c>
      <c r="AM3003">
        <v>102.157265135602</v>
      </c>
      <c r="AN3003">
        <v>1.0000000073705999</v>
      </c>
    </row>
    <row r="3004" spans="1:40" x14ac:dyDescent="0.25">
      <c r="A3004" t="str">
        <f>"20190312172427448"</f>
        <v>20190312172427448</v>
      </c>
      <c r="B3004" t="str">
        <f>"1552382667442632"</f>
        <v>1552382667442632</v>
      </c>
      <c r="C3004" t="s">
        <v>40</v>
      </c>
      <c r="D3004">
        <v>3.7059129999999998</v>
      </c>
      <c r="E3004">
        <v>0.4547679</v>
      </c>
      <c r="F3004" t="s">
        <v>47</v>
      </c>
      <c r="G3004">
        <v>-468.58850000000001</v>
      </c>
      <c r="H3004" s="1">
        <v>3.044508E-6</v>
      </c>
      <c r="I3004">
        <v>214.3665</v>
      </c>
      <c r="J3004">
        <v>-480.4932</v>
      </c>
      <c r="K3004">
        <v>1.113837</v>
      </c>
      <c r="L3004">
        <v>219.3997</v>
      </c>
      <c r="M3004">
        <v>0.78477959999999902</v>
      </c>
      <c r="N3004">
        <v>0</v>
      </c>
      <c r="O3004">
        <v>-0.61960319999999902</v>
      </c>
      <c r="P3004">
        <v>0.88294799999999996</v>
      </c>
      <c r="Q3004">
        <v>0.1760563</v>
      </c>
      <c r="R3004">
        <v>-0.43520959999999997</v>
      </c>
      <c r="S3004">
        <v>2.8546450000000001</v>
      </c>
      <c r="T3004">
        <v>-0.26501150000000001</v>
      </c>
      <c r="U3004">
        <v>-1.2128749999999999</v>
      </c>
      <c r="V3004">
        <v>-0.2068132</v>
      </c>
      <c r="W3004">
        <v>0.18872249999999999</v>
      </c>
      <c r="X3004">
        <v>0.96000629999999998</v>
      </c>
      <c r="Y3004">
        <v>-0.26065500000000003</v>
      </c>
      <c r="Z3004">
        <v>6.169587E-2</v>
      </c>
      <c r="AA3004">
        <v>0.9634587</v>
      </c>
      <c r="AB3004">
        <v>13</v>
      </c>
      <c r="AC3004">
        <v>11.904699999999901</v>
      </c>
      <c r="AD3004">
        <v>-1.113833955492</v>
      </c>
      <c r="AE3004">
        <v>-5.0331999999999901</v>
      </c>
      <c r="AF3004">
        <v>-3.40134232392333</v>
      </c>
      <c r="AG3004">
        <v>-1.113833955492</v>
      </c>
      <c r="AH3004">
        <v>12.3706091905653</v>
      </c>
      <c r="AI3004">
        <v>94.961798779285303</v>
      </c>
      <c r="AJ3004">
        <v>105.37377441239499</v>
      </c>
      <c r="AK3004">
        <v>12.877955095069201</v>
      </c>
      <c r="AL3004">
        <v>79.121759731725504</v>
      </c>
      <c r="AM3004">
        <v>102.15737214242399</v>
      </c>
      <c r="AN3004">
        <v>0.99999998887008901</v>
      </c>
    </row>
    <row r="3005" spans="1:40" x14ac:dyDescent="0.25">
      <c r="A3005" t="str">
        <f>"20190312172427471"</f>
        <v>20190312172427471</v>
      </c>
      <c r="B3005" t="str">
        <f>"1552382667463127"</f>
        <v>1552382667463127</v>
      </c>
      <c r="C3005" t="s">
        <v>40</v>
      </c>
      <c r="D3005">
        <v>3.5990030000000002</v>
      </c>
      <c r="E3005">
        <v>0.45047300000000001</v>
      </c>
      <c r="F3005" t="s">
        <v>47</v>
      </c>
      <c r="G3005">
        <v>-468.55009999999999</v>
      </c>
      <c r="H3005" s="1">
        <v>2.987515E-6</v>
      </c>
      <c r="I3005">
        <v>215.2029</v>
      </c>
      <c r="J3005">
        <v>-480.38330000000002</v>
      </c>
      <c r="K3005">
        <v>1.113845</v>
      </c>
      <c r="L3005">
        <v>219.32490000000001</v>
      </c>
      <c r="M3005">
        <v>0.78963870000000003</v>
      </c>
      <c r="N3005">
        <v>0</v>
      </c>
      <c r="O3005">
        <v>-0.61340030000000001</v>
      </c>
      <c r="P3005">
        <v>0.88640140000000001</v>
      </c>
      <c r="Q3005">
        <v>0.1760128</v>
      </c>
      <c r="R3005">
        <v>-0.42815009999999998</v>
      </c>
      <c r="S3005">
        <v>2.94278</v>
      </c>
      <c r="T3005">
        <v>-0.27444970000000002</v>
      </c>
      <c r="U3005">
        <v>-1.0340879999999999</v>
      </c>
      <c r="V3005">
        <v>-0.20691580000000001</v>
      </c>
      <c r="W3005">
        <v>0.18860779999999999</v>
      </c>
      <c r="X3005">
        <v>0.96000680000000005</v>
      </c>
      <c r="Y3005">
        <v>-0.31382459999999901</v>
      </c>
      <c r="Z3005">
        <v>6.5007350000000005E-2</v>
      </c>
      <c r="AA3005">
        <v>0.94725289999999995</v>
      </c>
      <c r="AB3005">
        <v>13</v>
      </c>
      <c r="AC3005">
        <v>11.8332</v>
      </c>
      <c r="AD3005">
        <v>-1.1138420124849999</v>
      </c>
      <c r="AE3005">
        <v>-4.1220000000000097</v>
      </c>
      <c r="AF3005">
        <v>-3.9726303605792102</v>
      </c>
      <c r="AG3005">
        <v>-1.1138420124849999</v>
      </c>
      <c r="AH3005">
        <v>11.7805571991153</v>
      </c>
      <c r="AI3005">
        <v>95.119588285259397</v>
      </c>
      <c r="AJ3005">
        <v>108.635095320777</v>
      </c>
      <c r="AK3005">
        <v>12.482145806398799</v>
      </c>
      <c r="AL3005">
        <v>79.128452444980994</v>
      </c>
      <c r="AM3005">
        <v>102.16321773059499</v>
      </c>
      <c r="AN3005">
        <v>1.00000005327835</v>
      </c>
    </row>
    <row r="3006" spans="1:40" x14ac:dyDescent="0.25">
      <c r="A3006" t="str">
        <f>"20190312172427495"</f>
        <v>20190312172427495</v>
      </c>
      <c r="B3006" t="str">
        <f>"1552382667483624"</f>
        <v>1552382667483624</v>
      </c>
      <c r="C3006" t="s">
        <v>40</v>
      </c>
      <c r="D3006">
        <v>3.5548120000000001</v>
      </c>
      <c r="E3006">
        <v>0.44864720000000002</v>
      </c>
      <c r="F3006" t="s">
        <v>47</v>
      </c>
      <c r="G3006">
        <v>-467.66019999999997</v>
      </c>
      <c r="H3006" s="1">
        <v>2.5174849999999998E-6</v>
      </c>
      <c r="I3006">
        <v>215.12139999999999</v>
      </c>
      <c r="J3006">
        <v>-480.2783</v>
      </c>
      <c r="K3006">
        <v>1.113845</v>
      </c>
      <c r="L3006">
        <v>219.25470000000001</v>
      </c>
      <c r="M3006">
        <v>0.7942574</v>
      </c>
      <c r="N3006">
        <v>0</v>
      </c>
      <c r="O3006">
        <v>-0.60740939999999999</v>
      </c>
      <c r="P3006">
        <v>0.88961460000000003</v>
      </c>
      <c r="Q3006">
        <v>0.17626919999999999</v>
      </c>
      <c r="R3006">
        <v>-0.42132599999999998</v>
      </c>
      <c r="S3006">
        <v>2.963165</v>
      </c>
      <c r="T3006">
        <v>-0.25940950000000002</v>
      </c>
      <c r="U3006">
        <v>-0.97897339999999999</v>
      </c>
      <c r="V3006">
        <v>-0.20700070000000001</v>
      </c>
      <c r="W3006">
        <v>0.18880730000000001</v>
      </c>
      <c r="X3006">
        <v>0.95994930000000001</v>
      </c>
      <c r="Y3006">
        <v>-0.324789099999999</v>
      </c>
      <c r="Z3006">
        <v>6.1388459999999999E-2</v>
      </c>
      <c r="AA3006">
        <v>0.94379210000000002</v>
      </c>
      <c r="AB3006">
        <v>13</v>
      </c>
      <c r="AC3006">
        <v>12.6181</v>
      </c>
      <c r="AD3006">
        <v>-1.113842482515</v>
      </c>
      <c r="AE3006">
        <v>-4.1333000000000197</v>
      </c>
      <c r="AF3006">
        <v>-4.3512859446706598</v>
      </c>
      <c r="AG3006">
        <v>-1.113842482515</v>
      </c>
      <c r="AH3006">
        <v>12.4463482596032</v>
      </c>
      <c r="AI3006">
        <v>94.8287534764725</v>
      </c>
      <c r="AJ3006">
        <v>109.269801188553</v>
      </c>
      <c r="AK3006">
        <v>13.232003606690499</v>
      </c>
      <c r="AL3006">
        <v>79.116813023349593</v>
      </c>
      <c r="AM3006">
        <v>102.168766892525</v>
      </c>
      <c r="AN3006">
        <v>1.0000000724521301</v>
      </c>
    </row>
    <row r="3007" spans="1:40" x14ac:dyDescent="0.25">
      <c r="A3007" t="str">
        <f>"20190312172427516"</f>
        <v>20190312172427516</v>
      </c>
      <c r="B3007" t="str">
        <f>"1552382667512904"</f>
        <v>1552382667512904</v>
      </c>
      <c r="C3007" t="s">
        <v>40</v>
      </c>
      <c r="D3007">
        <v>3.57375</v>
      </c>
      <c r="E3007">
        <v>0.44848789999999999</v>
      </c>
      <c r="F3007" t="s">
        <v>47</v>
      </c>
      <c r="G3007">
        <v>-467.19209999999998</v>
      </c>
      <c r="H3007" s="1">
        <v>2.268953E-6</v>
      </c>
      <c r="I3007">
        <v>215.10939999999999</v>
      </c>
      <c r="J3007">
        <v>-480.17660000000001</v>
      </c>
      <c r="K3007">
        <v>1.1138440000000001</v>
      </c>
      <c r="L3007">
        <v>219.18799999999999</v>
      </c>
      <c r="M3007">
        <v>0.79870799999999997</v>
      </c>
      <c r="N3007">
        <v>0</v>
      </c>
      <c r="O3007">
        <v>-0.60154580000000002</v>
      </c>
      <c r="P3007">
        <v>0.89269959999999904</v>
      </c>
      <c r="Q3007">
        <v>0.17628949999999999</v>
      </c>
      <c r="R3007">
        <v>-0.41474050000000001</v>
      </c>
      <c r="S3007">
        <v>2.9759829999999998</v>
      </c>
      <c r="T3007">
        <v>-0.25330340000000001</v>
      </c>
      <c r="U3007">
        <v>-0.94270319999999996</v>
      </c>
      <c r="V3007">
        <v>-0.20702509999999999</v>
      </c>
      <c r="W3007">
        <v>0.188781</v>
      </c>
      <c r="X3007">
        <v>0.9599491</v>
      </c>
      <c r="Y3007">
        <v>-0.32959250000000001</v>
      </c>
      <c r="Z3007">
        <v>5.9685009999999997E-2</v>
      </c>
      <c r="AA3007">
        <v>0.94223480000000004</v>
      </c>
      <c r="AB3007">
        <v>13</v>
      </c>
      <c r="AC3007">
        <v>12.984500000000001</v>
      </c>
      <c r="AD3007">
        <v>-1.1138417310469999</v>
      </c>
      <c r="AE3007">
        <v>-4.07859999999999</v>
      </c>
      <c r="AF3007">
        <v>-4.5233387095115498</v>
      </c>
      <c r="AG3007">
        <v>-1.1138417310469999</v>
      </c>
      <c r="AH3007">
        <v>12.7402922335858</v>
      </c>
      <c r="AI3007">
        <v>94.709851413286103</v>
      </c>
      <c r="AJ3007">
        <v>109.546998891675</v>
      </c>
      <c r="AK3007">
        <v>13.565260140518999</v>
      </c>
      <c r="AL3007">
        <v>79.118346327861801</v>
      </c>
      <c r="AM3007">
        <v>102.17016097975799</v>
      </c>
      <c r="AN3007">
        <v>0.99999996629090904</v>
      </c>
    </row>
    <row r="3008" spans="1:40" x14ac:dyDescent="0.25">
      <c r="A3008" t="str">
        <f>"20190312172427537"</f>
        <v>20190312172427537</v>
      </c>
      <c r="B3008" t="str">
        <f>"1552382667533400"</f>
        <v>1552382667533400</v>
      </c>
      <c r="C3008" t="s">
        <v>40</v>
      </c>
      <c r="D3008">
        <v>3.5705749999999998</v>
      </c>
      <c r="E3008">
        <v>0.4486425</v>
      </c>
      <c r="F3008" t="s">
        <v>47</v>
      </c>
      <c r="G3008">
        <v>-467.05590000000001</v>
      </c>
      <c r="H3008" s="1">
        <v>2.1949559999999998E-6</v>
      </c>
      <c r="I3008">
        <v>215.14420000000001</v>
      </c>
      <c r="J3008">
        <v>-480.07990000000001</v>
      </c>
      <c r="K3008">
        <v>1.1138399999999999</v>
      </c>
      <c r="L3008">
        <v>219.12549999999999</v>
      </c>
      <c r="M3008">
        <v>0.80292269999999999</v>
      </c>
      <c r="N3008">
        <v>0</v>
      </c>
      <c r="O3008">
        <v>-0.59590959999999904</v>
      </c>
      <c r="P3008">
        <v>0.89548819999999996</v>
      </c>
      <c r="Q3008">
        <v>0.176541899999999</v>
      </c>
      <c r="R3008">
        <v>-0.40857589999999999</v>
      </c>
      <c r="S3008">
        <v>2.9834290000000001</v>
      </c>
      <c r="T3008">
        <v>-0.25326910000000002</v>
      </c>
      <c r="U3008">
        <v>-0.91949460000000005</v>
      </c>
      <c r="V3008">
        <v>-0.2068603</v>
      </c>
      <c r="W3008">
        <v>0.18899550000000001</v>
      </c>
      <c r="X3008">
        <v>0.95994250000000003</v>
      </c>
      <c r="Y3008">
        <v>-0.33032289999999997</v>
      </c>
      <c r="Z3008">
        <v>5.9301479999999997E-2</v>
      </c>
      <c r="AA3008">
        <v>0.94200329999999999</v>
      </c>
      <c r="AB3008">
        <v>13</v>
      </c>
      <c r="AC3008">
        <v>13.023999999999999</v>
      </c>
      <c r="AD3008">
        <v>-1.1138378050440001</v>
      </c>
      <c r="AE3008">
        <v>-3.9812999999999699</v>
      </c>
      <c r="AF3008">
        <v>-4.5345910794557396</v>
      </c>
      <c r="AG3008">
        <v>-1.1138378050440001</v>
      </c>
      <c r="AH3008">
        <v>12.7458313007418</v>
      </c>
      <c r="AI3008">
        <v>94.706720017807299</v>
      </c>
      <c r="AJ3008">
        <v>109.584059537146</v>
      </c>
      <c r="AK3008">
        <v>13.5742169741313</v>
      </c>
      <c r="AL3008">
        <v>79.105831936909397</v>
      </c>
      <c r="AM3008">
        <v>102.160842629314</v>
      </c>
      <c r="AN3008">
        <v>1.0000000430212901</v>
      </c>
    </row>
    <row r="3009" spans="1:40" x14ac:dyDescent="0.25">
      <c r="A3009" t="str">
        <f>"20190312172427559"</f>
        <v>20190312172427559</v>
      </c>
      <c r="B3009" t="str">
        <f>"1552382667552919"</f>
        <v>1552382667552919</v>
      </c>
      <c r="C3009" t="s">
        <v>40</v>
      </c>
      <c r="D3009">
        <v>3.5623680000000002</v>
      </c>
      <c r="E3009">
        <v>0.44880799999999998</v>
      </c>
      <c r="F3009" t="s">
        <v>47</v>
      </c>
      <c r="G3009">
        <v>-466.95010000000002</v>
      </c>
      <c r="H3009" s="1">
        <v>2.1374749999999998E-6</v>
      </c>
      <c r="I3009">
        <v>215.1703</v>
      </c>
      <c r="J3009">
        <v>-479.97329999999999</v>
      </c>
      <c r="K3009">
        <v>1.1138459999999999</v>
      </c>
      <c r="L3009">
        <v>219.05799999999999</v>
      </c>
      <c r="M3009">
        <v>0.80753269999999899</v>
      </c>
      <c r="N3009">
        <v>0</v>
      </c>
      <c r="O3009">
        <v>-0.58964850000000002</v>
      </c>
      <c r="P3009">
        <v>0.89851990000000004</v>
      </c>
      <c r="Q3009">
        <v>0.176676</v>
      </c>
      <c r="R3009">
        <v>-0.40180539999999998</v>
      </c>
      <c r="S3009">
        <v>2.989258</v>
      </c>
      <c r="T3009">
        <v>-0.2535866</v>
      </c>
      <c r="U3009">
        <v>-0.90048220000000001</v>
      </c>
      <c r="V3009">
        <v>-0.20662929999999999</v>
      </c>
      <c r="W3009">
        <v>0.18909290000000001</v>
      </c>
      <c r="X3009">
        <v>0.95997299999999997</v>
      </c>
      <c r="Y3009">
        <v>-0.32900239999999997</v>
      </c>
      <c r="Z3009">
        <v>5.8884300000000001E-2</v>
      </c>
      <c r="AA3009">
        <v>0.94249139999999998</v>
      </c>
      <c r="AB3009">
        <v>13</v>
      </c>
      <c r="AC3009">
        <v>13.0231999999999</v>
      </c>
      <c r="AD3009">
        <v>-1.11384386252499</v>
      </c>
      <c r="AE3009">
        <v>-3.8876999999999899</v>
      </c>
      <c r="AF3009">
        <v>-4.5098420715072596</v>
      </c>
      <c r="AG3009">
        <v>-1.11384386252499</v>
      </c>
      <c r="AH3009">
        <v>12.724887188412501</v>
      </c>
      <c r="AI3009">
        <v>94.716469683250807</v>
      </c>
      <c r="AJ3009">
        <v>109.51489485870999</v>
      </c>
      <c r="AK3009">
        <v>13.546293870201101</v>
      </c>
      <c r="AL3009">
        <v>79.100148121208605</v>
      </c>
      <c r="AM3009">
        <v>102.147291706677</v>
      </c>
      <c r="AN3009">
        <v>0.99999997658894901</v>
      </c>
    </row>
    <row r="3010" spans="1:40" x14ac:dyDescent="0.25">
      <c r="A3010" t="str">
        <f>"20190312172427583"</f>
        <v>20190312172427583</v>
      </c>
      <c r="B3010" t="str">
        <f>"1552382667573416"</f>
        <v>1552382667573416</v>
      </c>
      <c r="C3010" t="s">
        <v>40</v>
      </c>
      <c r="D3010">
        <v>3.6841140000000001</v>
      </c>
      <c r="E3010">
        <v>0.44951010000000002</v>
      </c>
      <c r="F3010" t="s">
        <v>47</v>
      </c>
      <c r="G3010">
        <v>-466.91129999999998</v>
      </c>
      <c r="H3010" s="1">
        <v>2.114513E-6</v>
      </c>
      <c r="I3010">
        <v>215.22329999999999</v>
      </c>
      <c r="J3010">
        <v>-479.86579999999998</v>
      </c>
      <c r="K3010">
        <v>1.113847</v>
      </c>
      <c r="L3010">
        <v>218.99109999999999</v>
      </c>
      <c r="M3010">
        <v>0.81215380000000004</v>
      </c>
      <c r="N3010">
        <v>0</v>
      </c>
      <c r="O3010">
        <v>-0.58326789999999995</v>
      </c>
      <c r="P3010">
        <v>0.90163610000000005</v>
      </c>
      <c r="Q3010">
        <v>0.17685960000000001</v>
      </c>
      <c r="R3010">
        <v>-0.39468150000000002</v>
      </c>
      <c r="S3010">
        <v>2.9957579999999999</v>
      </c>
      <c r="T3010">
        <v>-0.25545859999999998</v>
      </c>
      <c r="U3010">
        <v>-0.8794708</v>
      </c>
      <c r="V3010">
        <v>-0.20664750000000001</v>
      </c>
      <c r="W3010">
        <v>0.1892413</v>
      </c>
      <c r="X3010">
        <v>0.95993980000000001</v>
      </c>
      <c r="Y3010">
        <v>-0.3281867</v>
      </c>
      <c r="Z3010">
        <v>5.8826700000000003E-2</v>
      </c>
      <c r="AA3010">
        <v>0.94277940000000005</v>
      </c>
      <c r="AB3010">
        <v>13</v>
      </c>
      <c r="AC3010">
        <v>12.9544999999999</v>
      </c>
      <c r="AD3010">
        <v>-1.113844885487</v>
      </c>
      <c r="AE3010">
        <v>-3.76779999999999</v>
      </c>
      <c r="AF3010">
        <v>-4.46593068268177</v>
      </c>
      <c r="AG3010">
        <v>-1.113844885487</v>
      </c>
      <c r="AH3010">
        <v>12.633870755230699</v>
      </c>
      <c r="AI3010">
        <v>94.751669486586096</v>
      </c>
      <c r="AJ3010">
        <v>109.467926440623</v>
      </c>
      <c r="AK3010">
        <v>13.4461844978907</v>
      </c>
      <c r="AL3010">
        <v>79.091488675419598</v>
      </c>
      <c r="AM3010">
        <v>102.14873754295699</v>
      </c>
      <c r="AN3010">
        <v>0.99999993925298802</v>
      </c>
    </row>
    <row r="3011" spans="1:40" x14ac:dyDescent="0.25">
      <c r="A3011" t="str">
        <f>"20190312172427605"</f>
        <v>20190312172427605</v>
      </c>
      <c r="B3011" t="str">
        <f>"1552382667592935"</f>
        <v>1552382667592935</v>
      </c>
      <c r="C3011" t="s">
        <v>40</v>
      </c>
      <c r="D3011">
        <v>3.5822989999999999</v>
      </c>
      <c r="E3011">
        <v>0.44993870000000002</v>
      </c>
      <c r="F3011" t="s">
        <v>47</v>
      </c>
      <c r="G3011">
        <v>-466.66520000000003</v>
      </c>
      <c r="H3011" s="1">
        <v>1.9844399999999998E-6</v>
      </c>
      <c r="I3011">
        <v>215.203</v>
      </c>
      <c r="J3011">
        <v>-479.7602</v>
      </c>
      <c r="K3011">
        <v>1.1138520000000001</v>
      </c>
      <c r="L3011">
        <v>218.92670000000001</v>
      </c>
      <c r="M3011">
        <v>0.81666430000000001</v>
      </c>
      <c r="N3011">
        <v>0</v>
      </c>
      <c r="O3011">
        <v>-0.57693619999999901</v>
      </c>
      <c r="P3011">
        <v>0.9046381</v>
      </c>
      <c r="Q3011">
        <v>0.17660919999999999</v>
      </c>
      <c r="R3011">
        <v>-0.38786520000000002</v>
      </c>
      <c r="S3011">
        <v>3.000092</v>
      </c>
      <c r="T3011">
        <v>-0.25314209999999998</v>
      </c>
      <c r="U3011">
        <v>-0.86091609999999996</v>
      </c>
      <c r="V3011">
        <v>-0.20645820000000001</v>
      </c>
      <c r="W3011">
        <v>0.1889651</v>
      </c>
      <c r="X3011">
        <v>0.96003499999999997</v>
      </c>
      <c r="Y3011">
        <v>-0.32666269999999997</v>
      </c>
      <c r="Z3011">
        <v>5.780896E-2</v>
      </c>
      <c r="AA3011">
        <v>0.94337139999999997</v>
      </c>
      <c r="AB3011">
        <v>13</v>
      </c>
      <c r="AC3011">
        <v>13.094999999999899</v>
      </c>
      <c r="AD3011">
        <v>-1.11385001556</v>
      </c>
      <c r="AE3011">
        <v>-3.7237</v>
      </c>
      <c r="AF3011">
        <v>-4.4844095417070902</v>
      </c>
      <c r="AG3011">
        <v>-1.11385001556</v>
      </c>
      <c r="AH3011">
        <v>12.758464160861299</v>
      </c>
      <c r="AI3011">
        <v>94.708441452608</v>
      </c>
      <c r="AJ3011">
        <v>109.36581302730799</v>
      </c>
      <c r="AK3011">
        <v>13.5694140823728</v>
      </c>
      <c r="AL3011">
        <v>79.107605207896398</v>
      </c>
      <c r="AM3011">
        <v>102.136770847311</v>
      </c>
      <c r="AN3011">
        <v>0.99999999929512495</v>
      </c>
    </row>
    <row r="3012" spans="1:40" x14ac:dyDescent="0.25">
      <c r="A3012" t="str">
        <f>"20190312172427628"</f>
        <v>20190312172427628</v>
      </c>
      <c r="B3012" t="str">
        <f>"1552382667623192"</f>
        <v>1552382667623192</v>
      </c>
      <c r="C3012" t="s">
        <v>40</v>
      </c>
      <c r="D3012">
        <v>3.755484</v>
      </c>
      <c r="E3012">
        <v>0.45091239999999999</v>
      </c>
      <c r="F3012" t="s">
        <v>47</v>
      </c>
      <c r="G3012">
        <v>-466.61840000000001</v>
      </c>
      <c r="H3012" s="1">
        <v>1.957651E-6</v>
      </c>
      <c r="I3012">
        <v>215.24619999999999</v>
      </c>
      <c r="J3012">
        <v>-479.65530000000001</v>
      </c>
      <c r="K3012">
        <v>1.11385</v>
      </c>
      <c r="L3012">
        <v>218.8639</v>
      </c>
      <c r="M3012">
        <v>0.8211079</v>
      </c>
      <c r="N3012">
        <v>0</v>
      </c>
      <c r="O3012">
        <v>-0.57059469999999901</v>
      </c>
      <c r="P3012">
        <v>0.90749500000000005</v>
      </c>
      <c r="Q3012">
        <v>0.1768286</v>
      </c>
      <c r="R3012">
        <v>-0.38103100000000001</v>
      </c>
      <c r="S3012">
        <v>3.005096</v>
      </c>
      <c r="T3012">
        <v>-0.25470039999999999</v>
      </c>
      <c r="U3012">
        <v>-0.84161379999999997</v>
      </c>
      <c r="V3012">
        <v>-0.20624139999999999</v>
      </c>
      <c r="W3012">
        <v>0.18916459999999999</v>
      </c>
      <c r="X3012">
        <v>0.96004230000000002</v>
      </c>
      <c r="Y3012">
        <v>-0.32536150000000003</v>
      </c>
      <c r="Z3012">
        <v>5.7669239999999997E-2</v>
      </c>
      <c r="AA3012">
        <v>0.94382949999999999</v>
      </c>
      <c r="AB3012">
        <v>13</v>
      </c>
      <c r="AC3012">
        <v>13.036899999999999</v>
      </c>
      <c r="AD3012">
        <v>-1.113848042349</v>
      </c>
      <c r="AE3012">
        <v>-3.6177000000000099</v>
      </c>
      <c r="AF3012">
        <v>-4.4386347546357001</v>
      </c>
      <c r="AG3012">
        <v>-1.113848042349</v>
      </c>
      <c r="AH3012">
        <v>12.6842706546822</v>
      </c>
      <c r="AI3012">
        <v>94.738135823087603</v>
      </c>
      <c r="AJ3012">
        <v>109.286585506557</v>
      </c>
      <c r="AK3012">
        <v>13.4845414452155</v>
      </c>
      <c r="AL3012">
        <v>79.095964650296395</v>
      </c>
      <c r="AM3012">
        <v>102.12431392397301</v>
      </c>
      <c r="AN3012">
        <v>0.999999989378204</v>
      </c>
    </row>
    <row r="3013" spans="1:40" x14ac:dyDescent="0.25">
      <c r="A3013" t="str">
        <f>"20190312172427648"</f>
        <v>20190312172427648</v>
      </c>
      <c r="B3013" t="str">
        <f>"1552382667642711"</f>
        <v>1552382667642711</v>
      </c>
      <c r="C3013" t="s">
        <v>40</v>
      </c>
      <c r="D3013">
        <v>3.6273840000000002</v>
      </c>
      <c r="E3013">
        <v>0.45159179999999999</v>
      </c>
      <c r="F3013" t="s">
        <v>47</v>
      </c>
      <c r="G3013">
        <v>-466.50709999999998</v>
      </c>
      <c r="H3013" s="1">
        <v>1.898128E-6</v>
      </c>
      <c r="I3013">
        <v>215.25309999999999</v>
      </c>
      <c r="J3013">
        <v>-479.55739999999997</v>
      </c>
      <c r="K3013">
        <v>1.1138330000000001</v>
      </c>
      <c r="L3013">
        <v>218.8065</v>
      </c>
      <c r="M3013">
        <v>0.82521699999999998</v>
      </c>
      <c r="N3013">
        <v>0</v>
      </c>
      <c r="O3013">
        <v>-0.56463609999999997</v>
      </c>
      <c r="P3013">
        <v>0.91009660000000003</v>
      </c>
      <c r="Q3013">
        <v>0.17691989999999999</v>
      </c>
      <c r="R3013">
        <v>-0.3747315</v>
      </c>
      <c r="S3013">
        <v>3.0086059999999999</v>
      </c>
      <c r="T3013">
        <v>-0.25487409999999999</v>
      </c>
      <c r="U3013">
        <v>-0.82623289999999905</v>
      </c>
      <c r="V3013">
        <v>-0.20593420000000001</v>
      </c>
      <c r="W3013">
        <v>0.1892432</v>
      </c>
      <c r="X3013">
        <v>0.96009279999999997</v>
      </c>
      <c r="Y3013">
        <v>-0.32330490000000001</v>
      </c>
      <c r="Z3013">
        <v>5.7217329999999997E-2</v>
      </c>
      <c r="AA3013">
        <v>0.94456340000000005</v>
      </c>
      <c r="AB3013">
        <v>13</v>
      </c>
      <c r="AC3013">
        <v>13.050299999999901</v>
      </c>
      <c r="AD3013">
        <v>-1.113831101872</v>
      </c>
      <c r="AE3013">
        <v>-3.5534000000000101</v>
      </c>
      <c r="AF3013">
        <v>-4.4069084808383199</v>
      </c>
      <c r="AG3013">
        <v>-1.113831101872</v>
      </c>
      <c r="AH3013">
        <v>12.6909382625688</v>
      </c>
      <c r="AI3013">
        <v>94.739520043378405</v>
      </c>
      <c r="AJ3013">
        <v>109.14947786144801</v>
      </c>
      <c r="AK3013">
        <v>13.4804071179736</v>
      </c>
      <c r="AL3013">
        <v>79.091378856859706</v>
      </c>
      <c r="AM3013">
        <v>102.106169690784</v>
      </c>
      <c r="AN3013">
        <v>1.00000003404385</v>
      </c>
    </row>
    <row r="3014" spans="1:40" x14ac:dyDescent="0.25">
      <c r="A3014" t="str">
        <f>"20190312172427673"</f>
        <v>20190312172427673</v>
      </c>
      <c r="B3014" t="str">
        <f>"1552382667663208"</f>
        <v>1552382667663208</v>
      </c>
      <c r="C3014" t="s">
        <v>40</v>
      </c>
      <c r="D3014">
        <v>3.7035969999999998</v>
      </c>
      <c r="E3014">
        <v>0.45204109999999997</v>
      </c>
      <c r="F3014" t="s">
        <v>47</v>
      </c>
      <c r="G3014">
        <v>-466.4015</v>
      </c>
      <c r="H3014" s="1">
        <v>1.84126E-6</v>
      </c>
      <c r="I3014">
        <v>215.26840000000001</v>
      </c>
      <c r="J3014">
        <v>-479.43579999999997</v>
      </c>
      <c r="K3014">
        <v>1.1138250000000001</v>
      </c>
      <c r="L3014">
        <v>218.7364</v>
      </c>
      <c r="M3014">
        <v>0.83027980000000001</v>
      </c>
      <c r="N3014">
        <v>0</v>
      </c>
      <c r="O3014">
        <v>-0.55716509999999997</v>
      </c>
      <c r="P3014">
        <v>0.91329320000000003</v>
      </c>
      <c r="Q3014">
        <v>0.176985</v>
      </c>
      <c r="R3014">
        <v>-0.36684050000000001</v>
      </c>
      <c r="S3014">
        <v>3.0123899999999999</v>
      </c>
      <c r="T3014">
        <v>-0.25503999999999999</v>
      </c>
      <c r="U3014">
        <v>-0.81013489999999999</v>
      </c>
      <c r="V3014">
        <v>-0.20556669999999999</v>
      </c>
      <c r="W3014">
        <v>0.18929660000000001</v>
      </c>
      <c r="X3014">
        <v>0.96016100000000004</v>
      </c>
      <c r="Y3014">
        <v>-0.31979780000000002</v>
      </c>
      <c r="Z3014">
        <v>5.659546E-2</v>
      </c>
      <c r="AA3014">
        <v>0.94579400000000002</v>
      </c>
      <c r="AB3014">
        <v>13</v>
      </c>
      <c r="AC3014">
        <v>13.034299999999901</v>
      </c>
      <c r="AD3014">
        <v>-1.11382315874</v>
      </c>
      <c r="AE3014">
        <v>-3.46799999999998</v>
      </c>
      <c r="AF3014">
        <v>-4.3536012086527398</v>
      </c>
      <c r="AG3014">
        <v>-1.11382315874</v>
      </c>
      <c r="AH3014">
        <v>12.6692582635263</v>
      </c>
      <c r="AI3014">
        <v>94.752832603552093</v>
      </c>
      <c r="AJ3014">
        <v>108.964517501846</v>
      </c>
      <c r="AK3014">
        <v>13.442639266931799</v>
      </c>
      <c r="AL3014">
        <v>79.088262659482695</v>
      </c>
      <c r="AM3014">
        <v>102.084368082319</v>
      </c>
      <c r="AN3014">
        <v>1.0000000084207199</v>
      </c>
    </row>
    <row r="3015" spans="1:40" x14ac:dyDescent="0.25">
      <c r="A3015" t="str">
        <f>"20190312172427696"</f>
        <v>20190312172427696</v>
      </c>
      <c r="B3015" t="str">
        <f>"1552382667682728"</f>
        <v>1552382667682728</v>
      </c>
      <c r="C3015" t="s">
        <v>40</v>
      </c>
      <c r="D3015">
        <v>3.718032</v>
      </c>
      <c r="E3015">
        <v>0.45255649999999997</v>
      </c>
      <c r="F3015" t="s">
        <v>47</v>
      </c>
      <c r="G3015">
        <v>-466.1576</v>
      </c>
      <c r="H3015" s="1">
        <v>1.7112E-6</v>
      </c>
      <c r="I3015">
        <v>215.2741</v>
      </c>
      <c r="J3015">
        <v>-479.33420000000001</v>
      </c>
      <c r="K3015">
        <v>1.1138189999999999</v>
      </c>
      <c r="L3015">
        <v>218.679</v>
      </c>
      <c r="M3015">
        <v>0.83447059999999995</v>
      </c>
      <c r="N3015">
        <v>0</v>
      </c>
      <c r="O3015">
        <v>-0.5508691</v>
      </c>
      <c r="P3015">
        <v>0.91590959999999999</v>
      </c>
      <c r="Q3015">
        <v>0.1766577</v>
      </c>
      <c r="R3015">
        <v>-0.3604192</v>
      </c>
      <c r="S3015">
        <v>3.0178530000000001</v>
      </c>
      <c r="T3015">
        <v>-0.25314759999999997</v>
      </c>
      <c r="U3015">
        <v>-0.78689580000000003</v>
      </c>
      <c r="V3015">
        <v>-0.2050746</v>
      </c>
      <c r="W3015">
        <v>0.18896370000000001</v>
      </c>
      <c r="X3015">
        <v>0.96033179999999996</v>
      </c>
      <c r="Y3015">
        <v>-0.31992730000000003</v>
      </c>
      <c r="Z3015">
        <v>5.5740159999999997E-2</v>
      </c>
      <c r="AA3015">
        <v>0.945801</v>
      </c>
      <c r="AB3015">
        <v>13</v>
      </c>
      <c r="AC3015">
        <v>13.176600000000001</v>
      </c>
      <c r="AD3015">
        <v>-1.1138172888</v>
      </c>
      <c r="AE3015">
        <v>-3.4048999999999898</v>
      </c>
      <c r="AF3015">
        <v>-4.3883457593561603</v>
      </c>
      <c r="AG3015">
        <v>-1.1138172888</v>
      </c>
      <c r="AH3015">
        <v>12.7867933040355</v>
      </c>
      <c r="AI3015">
        <v>94.709953469157497</v>
      </c>
      <c r="AJ3015">
        <v>108.941893006038</v>
      </c>
      <c r="AK3015">
        <v>13.564669198200701</v>
      </c>
      <c r="AL3015">
        <v>79.107687108550493</v>
      </c>
      <c r="AM3015">
        <v>102.05420547537599</v>
      </c>
      <c r="AN3015">
        <v>1.0000000187870399</v>
      </c>
    </row>
    <row r="3016" spans="1:40" x14ac:dyDescent="0.25">
      <c r="A3016" t="str">
        <f>"20190312172427716"</f>
        <v>20190312172427716</v>
      </c>
      <c r="B3016" t="str">
        <f>"1552382667712984"</f>
        <v>1552382667712984</v>
      </c>
      <c r="C3016" t="s">
        <v>40</v>
      </c>
      <c r="D3016">
        <v>3.7826879999999998</v>
      </c>
      <c r="E3016">
        <v>0.453322</v>
      </c>
      <c r="F3016" t="s">
        <v>47</v>
      </c>
      <c r="G3016">
        <v>-466.07249999999999</v>
      </c>
      <c r="H3016" s="1">
        <v>1.6646379999999999E-6</v>
      </c>
      <c r="I3016">
        <v>215.30369999999999</v>
      </c>
      <c r="J3016">
        <v>-479.2346</v>
      </c>
      <c r="K3016">
        <v>1.1138170000000001</v>
      </c>
      <c r="L3016">
        <v>218.62370000000001</v>
      </c>
      <c r="M3016">
        <v>0.83854019999999996</v>
      </c>
      <c r="N3016">
        <v>0</v>
      </c>
      <c r="O3016">
        <v>-0.54465469999999905</v>
      </c>
      <c r="P3016">
        <v>0.91835460000000002</v>
      </c>
      <c r="Q3016">
        <v>0.1766356</v>
      </c>
      <c r="R3016">
        <v>-0.35415350000000001</v>
      </c>
      <c r="S3016">
        <v>3.0217290000000001</v>
      </c>
      <c r="T3016">
        <v>-0.2537876</v>
      </c>
      <c r="U3016">
        <v>-0.76907349999999997</v>
      </c>
      <c r="V3016">
        <v>-0.2045006</v>
      </c>
      <c r="W3016">
        <v>0.18893650000000001</v>
      </c>
      <c r="X3016">
        <v>0.96045950000000002</v>
      </c>
      <c r="Y3016">
        <v>-0.31842809999999999</v>
      </c>
      <c r="Z3016">
        <v>5.5387529999999997E-2</v>
      </c>
      <c r="AA3016">
        <v>0.94632749999999999</v>
      </c>
      <c r="AB3016">
        <v>12</v>
      </c>
      <c r="AC3016">
        <v>13.162100000000001</v>
      </c>
      <c r="AD3016">
        <v>-1.1138153353619999</v>
      </c>
      <c r="AE3016">
        <v>-3.3200000000000198</v>
      </c>
      <c r="AF3016">
        <v>-4.3559609362473104</v>
      </c>
      <c r="AG3016">
        <v>-1.1138153353619999</v>
      </c>
      <c r="AH3016">
        <v>12.760585638030999</v>
      </c>
      <c r="AI3016">
        <v>94.722214182136298</v>
      </c>
      <c r="AJ3016">
        <v>108.847881948406</v>
      </c>
      <c r="AK3016">
        <v>13.529505759817001</v>
      </c>
      <c r="AL3016">
        <v>79.109273645359806</v>
      </c>
      <c r="AM3016">
        <v>102.01989694321399</v>
      </c>
      <c r="AN3016">
        <v>0.99999997378642902</v>
      </c>
    </row>
    <row r="3017" spans="1:40" x14ac:dyDescent="0.25">
      <c r="A3017" t="str">
        <f>"20190312172427740"</f>
        <v>20190312172427740</v>
      </c>
      <c r="B3017" t="str">
        <f>"1552382667733479"</f>
        <v>1552382667733479</v>
      </c>
      <c r="C3017" t="s">
        <v>40</v>
      </c>
      <c r="D3017">
        <v>3.7232989999999999</v>
      </c>
      <c r="E3017">
        <v>0.45365109999999997</v>
      </c>
      <c r="F3017" t="s">
        <v>47</v>
      </c>
      <c r="G3017">
        <v>-465.88060000000002</v>
      </c>
      <c r="H3017" s="1">
        <v>1.562828E-6</v>
      </c>
      <c r="I3017">
        <v>215.29650000000001</v>
      </c>
      <c r="J3017">
        <v>-479.12509999999997</v>
      </c>
      <c r="K3017">
        <v>1.113818</v>
      </c>
      <c r="L3017">
        <v>218.5642</v>
      </c>
      <c r="M3017">
        <v>0.84297060000000001</v>
      </c>
      <c r="N3017">
        <v>0</v>
      </c>
      <c r="O3017">
        <v>-0.53777249999999999</v>
      </c>
      <c r="P3017">
        <v>0.9210431</v>
      </c>
      <c r="Q3017">
        <v>0.1764879</v>
      </c>
      <c r="R3017">
        <v>-0.34717700000000001</v>
      </c>
      <c r="S3017">
        <v>3.0246279999999999</v>
      </c>
      <c r="T3017">
        <v>-0.25227509999999997</v>
      </c>
      <c r="U3017">
        <v>-0.75360109999999902</v>
      </c>
      <c r="V3017">
        <v>-0.20393829999999999</v>
      </c>
      <c r="W3017">
        <v>0.18878249999999999</v>
      </c>
      <c r="X3017">
        <v>0.96060939999999995</v>
      </c>
      <c r="Y3017">
        <v>-0.31549829999999901</v>
      </c>
      <c r="Z3017">
        <v>5.4470699999999997E-2</v>
      </c>
      <c r="AA3017">
        <v>0.94736149999999997</v>
      </c>
      <c r="AB3017">
        <v>12</v>
      </c>
      <c r="AC3017">
        <v>13.244499999999899</v>
      </c>
      <c r="AD3017">
        <v>-1.1138164371719901</v>
      </c>
      <c r="AE3017">
        <v>-3.2676999999999898</v>
      </c>
      <c r="AF3017">
        <v>-4.3394638249759501</v>
      </c>
      <c r="AG3017">
        <v>-1.1138164371719901</v>
      </c>
      <c r="AH3017">
        <v>12.83772235614</v>
      </c>
      <c r="AI3017">
        <v>94.698722334814505</v>
      </c>
      <c r="AJ3017">
        <v>108.67650964302</v>
      </c>
      <c r="AK3017">
        <v>13.597008812136799</v>
      </c>
      <c r="AL3017">
        <v>79.118259632776798</v>
      </c>
      <c r="AM3017">
        <v>101.98598755916299</v>
      </c>
      <c r="AN3017">
        <v>1.0000000409407399</v>
      </c>
    </row>
    <row r="3018" spans="1:40" x14ac:dyDescent="0.25">
      <c r="A3018" t="str">
        <f>"20190312172427761"</f>
        <v>20190312172427761</v>
      </c>
      <c r="B3018" t="str">
        <f>"1552382667753000"</f>
        <v>1552382667753000</v>
      </c>
      <c r="C3018" t="s">
        <v>40</v>
      </c>
      <c r="D3018">
        <v>3.677549</v>
      </c>
      <c r="E3018">
        <v>0.46396589999999999</v>
      </c>
      <c r="F3018" t="s">
        <v>47</v>
      </c>
      <c r="G3018">
        <v>-465.75760000000002</v>
      </c>
      <c r="H3018" s="1">
        <v>1.495909E-6</v>
      </c>
      <c r="I3018">
        <v>215.3304</v>
      </c>
      <c r="J3018">
        <v>-479.01909999999998</v>
      </c>
      <c r="K3018">
        <v>1.1138209999999999</v>
      </c>
      <c r="L3018">
        <v>218.5078</v>
      </c>
      <c r="M3018">
        <v>0.84721179999999996</v>
      </c>
      <c r="N3018">
        <v>0</v>
      </c>
      <c r="O3018">
        <v>-0.53106609999999999</v>
      </c>
      <c r="P3018">
        <v>0.92367900000000003</v>
      </c>
      <c r="Q3018">
        <v>0.17591029999999999</v>
      </c>
      <c r="R3018">
        <v>-0.3404006</v>
      </c>
      <c r="S3018">
        <v>3.0293580000000002</v>
      </c>
      <c r="T3018">
        <v>-0.25241520000000001</v>
      </c>
      <c r="U3018">
        <v>-0.73284910000000003</v>
      </c>
      <c r="V3018">
        <v>-0.20342779999999999</v>
      </c>
      <c r="W3018">
        <v>0.1882008</v>
      </c>
      <c r="X3018">
        <v>0.96083169999999996</v>
      </c>
      <c r="Y3018">
        <v>-0.31445909999999999</v>
      </c>
      <c r="Z3018">
        <v>5.398244E-2</v>
      </c>
      <c r="AA3018">
        <v>0.94773479999999999</v>
      </c>
      <c r="AB3018">
        <v>12</v>
      </c>
      <c r="AC3018">
        <v>13.2614999999999</v>
      </c>
      <c r="AD3018">
        <v>-1.1138195040909999</v>
      </c>
      <c r="AE3018">
        <v>-3.1774</v>
      </c>
      <c r="AF3018">
        <v>-4.3224040287541401</v>
      </c>
      <c r="AG3018">
        <v>-1.1138195040909999</v>
      </c>
      <c r="AH3018">
        <v>12.838360420696601</v>
      </c>
      <c r="AI3018">
        <v>94.700409474601997</v>
      </c>
      <c r="AJ3018">
        <v>108.607289339763</v>
      </c>
      <c r="AK3018">
        <v>13.5921767486739</v>
      </c>
      <c r="AL3018">
        <v>79.152196287225294</v>
      </c>
      <c r="AM3018">
        <v>101.95416194790801</v>
      </c>
      <c r="AN3018">
        <v>0.99999998332918405</v>
      </c>
    </row>
    <row r="3019" spans="1:40" x14ac:dyDescent="0.25">
      <c r="A3019" t="str">
        <f>"20190312172427785"</f>
        <v>20190312172427785</v>
      </c>
      <c r="B3019" t="str">
        <f>"1552382667773496"</f>
        <v>1552382667773496</v>
      </c>
      <c r="C3019" t="s">
        <v>40</v>
      </c>
      <c r="D3019">
        <v>3.701298</v>
      </c>
      <c r="E3019">
        <v>0.46515459999999897</v>
      </c>
      <c r="F3019" t="s">
        <v>47</v>
      </c>
      <c r="G3019">
        <v>-465.89800000000002</v>
      </c>
      <c r="H3019" s="1">
        <v>1.5819109999999999E-6</v>
      </c>
      <c r="I3019">
        <v>215.07230000000001</v>
      </c>
      <c r="J3019">
        <v>-478.90809999999999</v>
      </c>
      <c r="K3019">
        <v>1.11382</v>
      </c>
      <c r="L3019">
        <v>218.45</v>
      </c>
      <c r="M3019">
        <v>0.85161359999999997</v>
      </c>
      <c r="N3019">
        <v>0</v>
      </c>
      <c r="O3019">
        <v>-0.5239781</v>
      </c>
      <c r="P3019">
        <v>0.9263576</v>
      </c>
      <c r="Q3019">
        <v>0.17603139999999901</v>
      </c>
      <c r="R3019">
        <v>-0.3329781</v>
      </c>
      <c r="S3019">
        <v>3.0064389999999999</v>
      </c>
      <c r="T3019">
        <v>-0.25520989999999999</v>
      </c>
      <c r="U3019">
        <v>-0.78718569999999999</v>
      </c>
      <c r="V3019">
        <v>-0.20310890000000001</v>
      </c>
      <c r="W3019">
        <v>0.18831600000000001</v>
      </c>
      <c r="X3019">
        <v>0.96087659999999997</v>
      </c>
      <c r="Y3019">
        <v>-0.2887035</v>
      </c>
      <c r="Z3019">
        <v>5.3245439999999998E-2</v>
      </c>
      <c r="AA3019">
        <v>0.95593680000000003</v>
      </c>
      <c r="AB3019">
        <v>12</v>
      </c>
      <c r="AC3019">
        <v>13.0100999999999</v>
      </c>
      <c r="AD3019">
        <v>-1.1138184180890001</v>
      </c>
      <c r="AE3019">
        <v>-3.3776999999999702</v>
      </c>
      <c r="AF3019">
        <v>-3.91403282319909</v>
      </c>
      <c r="AG3019">
        <v>-1.1138184180890001</v>
      </c>
      <c r="AH3019">
        <v>12.763073580233099</v>
      </c>
      <c r="AI3019">
        <v>94.769351597979295</v>
      </c>
      <c r="AJ3019">
        <v>107.04912777662</v>
      </c>
      <c r="AK3019">
        <v>13.3961297255587</v>
      </c>
      <c r="AL3019">
        <v>79.145475726841198</v>
      </c>
      <c r="AM3019">
        <v>101.935418361337</v>
      </c>
      <c r="AN3019">
        <v>0.99999999077138502</v>
      </c>
    </row>
    <row r="3020" spans="1:40" x14ac:dyDescent="0.25">
      <c r="A3020" t="str">
        <f>"20190312172427806"</f>
        <v>20190312172427806</v>
      </c>
      <c r="B3020" t="str">
        <f>"1552382667802775"</f>
        <v>1552382667802775</v>
      </c>
      <c r="C3020" t="s">
        <v>40</v>
      </c>
      <c r="D3020">
        <v>3.748027</v>
      </c>
      <c r="E3020">
        <v>0.46666760000000002</v>
      </c>
      <c r="F3020" t="s">
        <v>47</v>
      </c>
      <c r="G3020">
        <v>-466.02440000000001</v>
      </c>
      <c r="H3020" s="1">
        <v>1.6460720000000001E-6</v>
      </c>
      <c r="I3020">
        <v>215.1437</v>
      </c>
      <c r="J3020">
        <v>-478.80779999999999</v>
      </c>
      <c r="K3020">
        <v>1.113812</v>
      </c>
      <c r="L3020">
        <v>218.3989</v>
      </c>
      <c r="M3020">
        <v>0.8555374</v>
      </c>
      <c r="N3020">
        <v>0</v>
      </c>
      <c r="O3020">
        <v>-0.51754719999999999</v>
      </c>
      <c r="P3020">
        <v>0.92863870000000004</v>
      </c>
      <c r="Q3020">
        <v>0.1760669</v>
      </c>
      <c r="R3020">
        <v>-0.3265438</v>
      </c>
      <c r="S3020">
        <v>3.0101930000000001</v>
      </c>
      <c r="T3020">
        <v>-0.26023839999999998</v>
      </c>
      <c r="U3020">
        <v>-0.7724915</v>
      </c>
      <c r="V3020">
        <v>-0.20252970000000001</v>
      </c>
      <c r="W3020">
        <v>0.18835209999999999</v>
      </c>
      <c r="X3020">
        <v>0.96099179999999995</v>
      </c>
      <c r="Y3020">
        <v>-0.286085799999999</v>
      </c>
      <c r="Z3020">
        <v>5.3702819999999998E-2</v>
      </c>
      <c r="AA3020">
        <v>0.95669789999999999</v>
      </c>
      <c r="AB3020">
        <v>12</v>
      </c>
      <c r="AC3020">
        <v>12.783399999999901</v>
      </c>
      <c r="AD3020">
        <v>-1.113810353928</v>
      </c>
      <c r="AE3020">
        <v>-3.2551999999999999</v>
      </c>
      <c r="AF3020">
        <v>-3.8043299065157399</v>
      </c>
      <c r="AG3020">
        <v>-1.113810353928</v>
      </c>
      <c r="AH3020">
        <v>12.533309725061599</v>
      </c>
      <c r="AI3020">
        <v>94.860560731181806</v>
      </c>
      <c r="AJ3020">
        <v>106.88501287283</v>
      </c>
      <c r="AK3020">
        <v>13.1452406674983</v>
      </c>
      <c r="AL3020">
        <v>79.143369941845194</v>
      </c>
      <c r="AM3020">
        <v>101.900968438186</v>
      </c>
      <c r="AN3020">
        <v>1.0000000163118601</v>
      </c>
    </row>
    <row r="3021" spans="1:40" x14ac:dyDescent="0.25">
      <c r="A3021" t="str">
        <f>"20190312172427828"</f>
        <v>20190312172427828</v>
      </c>
      <c r="B3021" t="str">
        <f>"1552382667823272"</f>
        <v>1552382667823272</v>
      </c>
      <c r="C3021" t="s">
        <v>40</v>
      </c>
      <c r="D3021">
        <v>3.893999</v>
      </c>
      <c r="E3021">
        <v>0.46707090000000001</v>
      </c>
      <c r="F3021" t="s">
        <v>47</v>
      </c>
      <c r="G3021">
        <v>-466.02159999999998</v>
      </c>
      <c r="H3021" s="1">
        <v>1.643867E-6</v>
      </c>
      <c r="I3021">
        <v>215.15950000000001</v>
      </c>
      <c r="J3021">
        <v>-478.70179999999999</v>
      </c>
      <c r="K3021">
        <v>1.113799</v>
      </c>
      <c r="L3021">
        <v>218.3459</v>
      </c>
      <c r="M3021">
        <v>0.85963959999999995</v>
      </c>
      <c r="N3021">
        <v>0</v>
      </c>
      <c r="O3021">
        <v>-0.51070459999999995</v>
      </c>
      <c r="P3021">
        <v>0.93111739999999998</v>
      </c>
      <c r="Q3021">
        <v>0.17580279999999901</v>
      </c>
      <c r="R3021">
        <v>-0.31955339999999999</v>
      </c>
      <c r="S3021">
        <v>3.0119929999999999</v>
      </c>
      <c r="T3021">
        <v>-0.2623761</v>
      </c>
      <c r="U3021">
        <v>-0.7630768</v>
      </c>
      <c r="V3021">
        <v>-0.2021056</v>
      </c>
      <c r="W3021">
        <v>0.1880899</v>
      </c>
      <c r="X3021">
        <v>0.9611324</v>
      </c>
      <c r="Y3021">
        <v>-0.28137909999999999</v>
      </c>
      <c r="Z3021">
        <v>5.3444899999999997E-2</v>
      </c>
      <c r="AA3021">
        <v>0.95810720000000005</v>
      </c>
      <c r="AB3021">
        <v>12</v>
      </c>
      <c r="AC3021">
        <v>12.680199999999999</v>
      </c>
      <c r="AD3021">
        <v>-1.1137973561329999</v>
      </c>
      <c r="AE3021">
        <v>-3.1863999999999901</v>
      </c>
      <c r="AF3021">
        <v>-3.7101306000637599</v>
      </c>
      <c r="AG3021">
        <v>-1.1137973561329999</v>
      </c>
      <c r="AH3021">
        <v>12.438698016875399</v>
      </c>
      <c r="AI3021">
        <v>94.904379255395199</v>
      </c>
      <c r="AJ3021">
        <v>106.608433452537</v>
      </c>
      <c r="AK3021">
        <v>13.027924699470701</v>
      </c>
      <c r="AL3021">
        <v>79.158665971633596</v>
      </c>
      <c r="AM3021">
        <v>101.87506804971601</v>
      </c>
      <c r="AN3021">
        <v>0.99999998718156502</v>
      </c>
    </row>
    <row r="3022" spans="1:40" x14ac:dyDescent="0.25">
      <c r="A3022" t="str">
        <f>"20190312172427850"</f>
        <v>20190312172427850</v>
      </c>
      <c r="B3022" t="str">
        <f>"1552382667842792"</f>
        <v>1552382667842792</v>
      </c>
      <c r="C3022" t="s">
        <v>40</v>
      </c>
      <c r="D3022">
        <v>3.7372649999999998</v>
      </c>
      <c r="E3022">
        <v>0.46567809999999998</v>
      </c>
      <c r="F3022" t="s">
        <v>47</v>
      </c>
      <c r="G3022">
        <v>-466.11649999999997</v>
      </c>
      <c r="H3022" s="1">
        <v>1.690571E-6</v>
      </c>
      <c r="I3022">
        <v>215.24619999999999</v>
      </c>
      <c r="J3022">
        <v>-478.59379999999999</v>
      </c>
      <c r="K3022">
        <v>1.1137870000000001</v>
      </c>
      <c r="L3022">
        <v>218.29300000000001</v>
      </c>
      <c r="M3022">
        <v>0.86376059999999999</v>
      </c>
      <c r="N3022">
        <v>0</v>
      </c>
      <c r="O3022">
        <v>-0.50370360000000003</v>
      </c>
      <c r="P3022">
        <v>0.93361380000000005</v>
      </c>
      <c r="Q3022">
        <v>0.1759685</v>
      </c>
      <c r="R3022">
        <v>-0.3120908</v>
      </c>
      <c r="S3022">
        <v>3.017334</v>
      </c>
      <c r="T3022">
        <v>-0.26703449999999901</v>
      </c>
      <c r="U3022">
        <v>-0.74314880000000005</v>
      </c>
      <c r="V3022">
        <v>-0.20196800000000001</v>
      </c>
      <c r="W3022">
        <v>0.1882566</v>
      </c>
      <c r="X3022">
        <v>0.96112869999999995</v>
      </c>
      <c r="Y3022">
        <v>-0.27988229999999997</v>
      </c>
      <c r="Z3022">
        <v>5.3775719999999999E-2</v>
      </c>
      <c r="AA3022">
        <v>0.95852700000000002</v>
      </c>
      <c r="AB3022">
        <v>12</v>
      </c>
      <c r="AC3022">
        <v>12.4773</v>
      </c>
      <c r="AD3022">
        <v>-1.113785309429</v>
      </c>
      <c r="AE3022">
        <v>-3.0468000000000099</v>
      </c>
      <c r="AF3022">
        <v>-3.6262522364417098</v>
      </c>
      <c r="AG3022">
        <v>-1.113785309429</v>
      </c>
      <c r="AH3022">
        <v>12.221414497272599</v>
      </c>
      <c r="AI3022">
        <v>94.993201485556298</v>
      </c>
      <c r="AJ3022">
        <v>106.52630597092499</v>
      </c>
      <c r="AK3022">
        <v>12.7966087426296</v>
      </c>
      <c r="AL3022">
        <v>79.148941169531497</v>
      </c>
      <c r="AM3022">
        <v>101.867256835121</v>
      </c>
      <c r="AN3022">
        <v>0.99999999921562399</v>
      </c>
    </row>
    <row r="3023" spans="1:40" x14ac:dyDescent="0.25">
      <c r="A3023" t="str">
        <f>"20190312172427875"</f>
        <v>20190312172427875</v>
      </c>
      <c r="B3023" t="str">
        <f>"1552382667863287"</f>
        <v>1552382667863287</v>
      </c>
      <c r="C3023" t="s">
        <v>40</v>
      </c>
      <c r="D3023">
        <v>3.6146929999999999</v>
      </c>
      <c r="E3023">
        <v>0.46404319999999999</v>
      </c>
      <c r="F3023" t="s">
        <v>47</v>
      </c>
      <c r="G3023">
        <v>-465.9853</v>
      </c>
      <c r="H3023" s="1">
        <v>1.6165239999999999E-6</v>
      </c>
      <c r="I3023">
        <v>215.3434</v>
      </c>
      <c r="J3023">
        <v>-478.47890000000001</v>
      </c>
      <c r="K3023">
        <v>1.113766</v>
      </c>
      <c r="L3023">
        <v>218.238</v>
      </c>
      <c r="M3023">
        <v>0.86808439999999998</v>
      </c>
      <c r="N3023">
        <v>0</v>
      </c>
      <c r="O3023">
        <v>-0.49621490000000001</v>
      </c>
      <c r="P3023">
        <v>0.9363918</v>
      </c>
      <c r="Q3023">
        <v>0.17594399999999999</v>
      </c>
      <c r="R3023">
        <v>-0.30366739999999998</v>
      </c>
      <c r="S3023">
        <v>3.0270389999999998</v>
      </c>
      <c r="T3023">
        <v>-0.267397</v>
      </c>
      <c r="U3023">
        <v>-0.70814509999999997</v>
      </c>
      <c r="V3023">
        <v>-0.20230999999999999</v>
      </c>
      <c r="W3023">
        <v>0.18822939999999999</v>
      </c>
      <c r="X3023">
        <v>0.96106210000000003</v>
      </c>
      <c r="Y3023">
        <v>-0.2827887</v>
      </c>
      <c r="Z3023">
        <v>5.3352829999999997E-2</v>
      </c>
      <c r="AA3023">
        <v>0.95769729999999997</v>
      </c>
      <c r="AB3023">
        <v>12</v>
      </c>
      <c r="AC3023">
        <v>12.493600000000001</v>
      </c>
      <c r="AD3023">
        <v>-1.113764383476</v>
      </c>
      <c r="AE3023">
        <v>-2.8945999999999898</v>
      </c>
      <c r="AF3023">
        <v>-3.6595213838130198</v>
      </c>
      <c r="AG3023">
        <v>-1.113764383476</v>
      </c>
      <c r="AH3023">
        <v>12.1911238002426</v>
      </c>
      <c r="AI3023">
        <v>95.0007231970596</v>
      </c>
      <c r="AJ3023">
        <v>106.70866165689399</v>
      </c>
      <c r="AK3023">
        <v>12.777169771640599</v>
      </c>
      <c r="AL3023">
        <v>79.150528009096902</v>
      </c>
      <c r="AM3023">
        <v>101.887581194737</v>
      </c>
      <c r="AN3023">
        <v>1.00000000159038</v>
      </c>
    </row>
    <row r="3024" spans="1:40" x14ac:dyDescent="0.25">
      <c r="A3024" t="str">
        <f>"20190312172427897"</f>
        <v>20190312172427897</v>
      </c>
      <c r="B3024" t="str">
        <f>"1552382667893545"</f>
        <v>1552382667893545</v>
      </c>
      <c r="C3024" t="s">
        <v>40</v>
      </c>
      <c r="D3024">
        <v>3.666471</v>
      </c>
      <c r="E3024">
        <v>0.43945190000000001</v>
      </c>
      <c r="F3024" t="s">
        <v>47</v>
      </c>
      <c r="G3024">
        <v>-465.75170000000003</v>
      </c>
      <c r="H3024" s="1">
        <v>1.488268E-6</v>
      </c>
      <c r="I3024">
        <v>215.43299999999999</v>
      </c>
      <c r="J3024">
        <v>-478.37099999999998</v>
      </c>
      <c r="K3024">
        <v>1.1137509999999999</v>
      </c>
      <c r="L3024">
        <v>218.1875</v>
      </c>
      <c r="M3024">
        <v>0.87208339999999995</v>
      </c>
      <c r="N3024">
        <v>0</v>
      </c>
      <c r="O3024">
        <v>-0.48915310000000001</v>
      </c>
      <c r="P3024">
        <v>0.93878760000000006</v>
      </c>
      <c r="Q3024">
        <v>0.17619000000000001</v>
      </c>
      <c r="R3024">
        <v>-0.29603180000000001</v>
      </c>
      <c r="S3024">
        <v>3.0366819999999999</v>
      </c>
      <c r="T3024">
        <v>-0.2657409</v>
      </c>
      <c r="U3024">
        <v>-0.66928100000000001</v>
      </c>
      <c r="V3024">
        <v>-0.2023085</v>
      </c>
      <c r="W3024">
        <v>0.1884758</v>
      </c>
      <c r="X3024">
        <v>0.96101420000000004</v>
      </c>
      <c r="Y3024">
        <v>-0.28737960000000001</v>
      </c>
      <c r="Z3024">
        <v>5.2639989999999998E-2</v>
      </c>
      <c r="AA3024">
        <v>0.95636920000000003</v>
      </c>
      <c r="AB3024">
        <v>12</v>
      </c>
      <c r="AC3024">
        <v>12.6192999999999</v>
      </c>
      <c r="AD3024">
        <v>-1.113749511732</v>
      </c>
      <c r="AE3024">
        <v>-2.7545000000000002</v>
      </c>
      <c r="AF3024">
        <v>-3.7431616916264301</v>
      </c>
      <c r="AG3024">
        <v>-1.113749511732</v>
      </c>
      <c r="AH3024">
        <v>12.2625145931995</v>
      </c>
      <c r="AI3024">
        <v>94.964735542961293</v>
      </c>
      <c r="AJ3024">
        <v>106.97493426694101</v>
      </c>
      <c r="AK3024">
        <v>12.8693807765942</v>
      </c>
      <c r="AL3024">
        <v>79.136153839650703</v>
      </c>
      <c r="AM3024">
        <v>101.8880712151</v>
      </c>
      <c r="AN3024">
        <v>1.0000000744797599</v>
      </c>
    </row>
    <row r="3025" spans="1:40" x14ac:dyDescent="0.25">
      <c r="A3025" t="str">
        <f>"20190312172427917"</f>
        <v>20190312172427917</v>
      </c>
      <c r="B3025" t="str">
        <f>"1552382667913064"</f>
        <v>1552382667913064</v>
      </c>
      <c r="C3025" t="s">
        <v>40</v>
      </c>
      <c r="D3025">
        <v>3.6354000000000002</v>
      </c>
      <c r="E3025">
        <v>0.44023420000000002</v>
      </c>
      <c r="F3025" t="s">
        <v>47</v>
      </c>
      <c r="G3025">
        <v>-462.27940000000001</v>
      </c>
      <c r="H3025" s="1">
        <v>-3.7613439999999999E-7</v>
      </c>
      <c r="I3025">
        <v>215.8142</v>
      </c>
      <c r="J3025">
        <v>-478.27109999999999</v>
      </c>
      <c r="K3025">
        <v>1.113729</v>
      </c>
      <c r="L3025">
        <v>218.14169999999999</v>
      </c>
      <c r="M3025">
        <v>0.87573009999999996</v>
      </c>
      <c r="N3025">
        <v>0</v>
      </c>
      <c r="O3025">
        <v>-0.48259390000000002</v>
      </c>
      <c r="P3025">
        <v>0.94046730000000001</v>
      </c>
      <c r="Q3025">
        <v>0.17709449999999999</v>
      </c>
      <c r="R3025">
        <v>-0.29010160000000002</v>
      </c>
      <c r="S3025">
        <v>3.0919490000000001</v>
      </c>
      <c r="T3025">
        <v>-0.21400420000000001</v>
      </c>
      <c r="U3025">
        <v>-0.45602419999999999</v>
      </c>
      <c r="V3025">
        <v>-0.2010749</v>
      </c>
      <c r="W3025">
        <v>0.1893898</v>
      </c>
      <c r="X3025">
        <v>0.96109330000000004</v>
      </c>
      <c r="Y3025">
        <v>-0.34785060000000001</v>
      </c>
      <c r="Z3025">
        <v>4.3759289999999999E-2</v>
      </c>
      <c r="AA3025">
        <v>0.93652820000000003</v>
      </c>
      <c r="AB3025">
        <v>12</v>
      </c>
      <c r="AC3025">
        <v>15.9916999999999</v>
      </c>
      <c r="AD3025">
        <v>-1.1137293761344</v>
      </c>
      <c r="AE3025">
        <v>-2.3274999999999801</v>
      </c>
      <c r="AF3025">
        <v>-5.6529529957138598</v>
      </c>
      <c r="AG3025">
        <v>-1.1137293761344</v>
      </c>
      <c r="AH3025">
        <v>15.0576433928988</v>
      </c>
      <c r="AI3025">
        <v>93.961147780821406</v>
      </c>
      <c r="AJ3025">
        <v>110.57718144271</v>
      </c>
      <c r="AK3025">
        <v>16.122310480905799</v>
      </c>
      <c r="AL3025">
        <v>79.082823910869195</v>
      </c>
      <c r="AM3025">
        <v>101.816681447802</v>
      </c>
      <c r="AN3025">
        <v>0.99999997152946896</v>
      </c>
    </row>
    <row r="3026" spans="1:40" x14ac:dyDescent="0.25">
      <c r="A3026" t="str">
        <f>"20190312172427942"</f>
        <v>20190312172427942</v>
      </c>
      <c r="B3026" t="str">
        <f>"1552382667933560"</f>
        <v>1552382667933560</v>
      </c>
      <c r="C3026" t="s">
        <v>40</v>
      </c>
      <c r="D3026">
        <v>3.6143149999999999</v>
      </c>
      <c r="E3026">
        <v>0.44091239999999998</v>
      </c>
      <c r="F3026" t="s">
        <v>47</v>
      </c>
      <c r="G3026">
        <v>-462.29700000000003</v>
      </c>
      <c r="H3026" s="1">
        <v>-3.6888110000000002E-7</v>
      </c>
      <c r="I3026">
        <v>215.8621</v>
      </c>
      <c r="J3026">
        <v>-478.15600000000001</v>
      </c>
      <c r="K3026">
        <v>1.113704</v>
      </c>
      <c r="L3026">
        <v>218.09</v>
      </c>
      <c r="M3026">
        <v>0.87986169999999997</v>
      </c>
      <c r="N3026">
        <v>0</v>
      </c>
      <c r="O3026">
        <v>-0.47501989999999999</v>
      </c>
      <c r="P3026">
        <v>0.94276389999999999</v>
      </c>
      <c r="Q3026">
        <v>0.176704799999999</v>
      </c>
      <c r="R3026">
        <v>-0.28279330000000003</v>
      </c>
      <c r="S3026">
        <v>3.0943299999999998</v>
      </c>
      <c r="T3026">
        <v>-0.2157396</v>
      </c>
      <c r="U3026">
        <v>-0.44157410000000002</v>
      </c>
      <c r="V3026">
        <v>-0.20026389999999999</v>
      </c>
      <c r="W3026">
        <v>0.1890096</v>
      </c>
      <c r="X3026">
        <v>0.96133740000000001</v>
      </c>
      <c r="Y3026">
        <v>-0.34414450000000002</v>
      </c>
      <c r="Z3026">
        <v>4.3514869999999997E-2</v>
      </c>
      <c r="AA3026">
        <v>0.93790779999999996</v>
      </c>
      <c r="AB3026">
        <v>12</v>
      </c>
      <c r="AC3026">
        <v>15.859</v>
      </c>
      <c r="AD3026">
        <v>-1.1137043688810999</v>
      </c>
      <c r="AE3026">
        <v>-2.2279</v>
      </c>
      <c r="AF3026">
        <v>-5.5468273088359199</v>
      </c>
      <c r="AG3026">
        <v>-1.1137043688810999</v>
      </c>
      <c r="AH3026">
        <v>14.9412627127659</v>
      </c>
      <c r="AI3026">
        <v>93.997264819866501</v>
      </c>
      <c r="AJ3026">
        <v>110.36705114895101</v>
      </c>
      <c r="AK3026">
        <v>15.97651282562</v>
      </c>
      <c r="AL3026">
        <v>79.105007965595604</v>
      </c>
      <c r="AM3026">
        <v>101.767447824653</v>
      </c>
      <c r="AN3026">
        <v>0.99999992758706202</v>
      </c>
    </row>
    <row r="3027" spans="1:40" x14ac:dyDescent="0.25">
      <c r="A3027" t="str">
        <f>"20190312172427963"</f>
        <v>20190312172427963</v>
      </c>
      <c r="B3027" t="str">
        <f>"1552382667953080"</f>
        <v>1552382667953080</v>
      </c>
      <c r="C3027" t="s">
        <v>40</v>
      </c>
      <c r="D3027">
        <v>3.6675960000000001</v>
      </c>
      <c r="E3027">
        <v>0.4419476</v>
      </c>
      <c r="F3027" t="s">
        <v>47</v>
      </c>
      <c r="G3027">
        <v>-462.31139999999999</v>
      </c>
      <c r="H3027" s="1">
        <v>-3.6434990000000001E-7</v>
      </c>
      <c r="I3027">
        <v>215.93379999999999</v>
      </c>
      <c r="J3027">
        <v>-478.04930000000002</v>
      </c>
      <c r="K3027">
        <v>1.1136889999999999</v>
      </c>
      <c r="L3027">
        <v>218.04320000000001</v>
      </c>
      <c r="M3027">
        <v>0.88362589999999996</v>
      </c>
      <c r="N3027">
        <v>0</v>
      </c>
      <c r="O3027">
        <v>-0.46798060000000002</v>
      </c>
      <c r="P3027">
        <v>0.94519969999999998</v>
      </c>
      <c r="Q3027">
        <v>0.17543909999999999</v>
      </c>
      <c r="R3027">
        <v>-0.27535229999999999</v>
      </c>
      <c r="S3027">
        <v>3.096527</v>
      </c>
      <c r="T3027">
        <v>-0.2176527</v>
      </c>
      <c r="U3027">
        <v>-0.4213867</v>
      </c>
      <c r="V3027">
        <v>-0.20026099999999999</v>
      </c>
      <c r="W3027">
        <v>0.1877489</v>
      </c>
      <c r="X3027">
        <v>0.96158509999999997</v>
      </c>
      <c r="Y3027">
        <v>-0.34272839999999999</v>
      </c>
      <c r="Z3027">
        <v>4.3417589999999999E-2</v>
      </c>
      <c r="AA3027">
        <v>0.93843069999999895</v>
      </c>
      <c r="AB3027">
        <v>12</v>
      </c>
      <c r="AC3027">
        <v>15.7379</v>
      </c>
      <c r="AD3027">
        <v>-1.1136893643499</v>
      </c>
      <c r="AE3027">
        <v>-2.1094000000000199</v>
      </c>
      <c r="AF3027">
        <v>-5.4747282915588302</v>
      </c>
      <c r="AG3027">
        <v>-1.1136893643499</v>
      </c>
      <c r="AH3027">
        <v>14.82214531696</v>
      </c>
      <c r="AI3027">
        <v>94.031689578473404</v>
      </c>
      <c r="AJ3027">
        <v>110.272283636452</v>
      </c>
      <c r="AK3027">
        <v>15.8401056077206</v>
      </c>
      <c r="AL3027">
        <v>79.178558485666997</v>
      </c>
      <c r="AM3027">
        <v>101.76433546368401</v>
      </c>
      <c r="AN3027">
        <v>1.0000000110571099</v>
      </c>
    </row>
    <row r="3028" spans="1:40" x14ac:dyDescent="0.25">
      <c r="A3028" t="str">
        <f>"20190312172427989"</f>
        <v>20190312172427989</v>
      </c>
      <c r="B3028" t="str">
        <f>"1552382667983336"</f>
        <v>1552382667983336</v>
      </c>
      <c r="C3028" t="s">
        <v>40</v>
      </c>
      <c r="D3028">
        <v>3.7428940000000002</v>
      </c>
      <c r="E3028">
        <v>0.44340600000000002</v>
      </c>
      <c r="F3028" t="s">
        <v>47</v>
      </c>
      <c r="G3028">
        <v>-462.66489999999999</v>
      </c>
      <c r="H3028" s="1">
        <v>-1.8029980000000001E-7</v>
      </c>
      <c r="I3028">
        <v>216.02680000000001</v>
      </c>
      <c r="J3028">
        <v>-477.92700000000002</v>
      </c>
      <c r="K3028">
        <v>1.113659</v>
      </c>
      <c r="L3028">
        <v>217.99090000000001</v>
      </c>
      <c r="M3028">
        <v>0.88785219999999898</v>
      </c>
      <c r="N3028">
        <v>0</v>
      </c>
      <c r="O3028">
        <v>-0.4599126</v>
      </c>
      <c r="P3028">
        <v>0.94783770000000001</v>
      </c>
      <c r="Q3028">
        <v>0.1746231</v>
      </c>
      <c r="R3028">
        <v>-0.26666610000000002</v>
      </c>
      <c r="S3028">
        <v>3.0972900000000001</v>
      </c>
      <c r="T3028">
        <v>-0.22421650000000001</v>
      </c>
      <c r="U3028">
        <v>-0.40594479999999999</v>
      </c>
      <c r="V3028">
        <v>-0.20037969999999999</v>
      </c>
      <c r="W3028">
        <v>0.1869372</v>
      </c>
      <c r="X3028">
        <v>0.96171850000000003</v>
      </c>
      <c r="Y3028">
        <v>-0.33871279999999998</v>
      </c>
      <c r="Z3028">
        <v>4.4077079999999998E-2</v>
      </c>
      <c r="AA3028">
        <v>0.93985680000000005</v>
      </c>
      <c r="AB3028">
        <v>12</v>
      </c>
      <c r="AC3028">
        <v>15.262099999999901</v>
      </c>
      <c r="AD3028">
        <v>-1.1136591802997999</v>
      </c>
      <c r="AE3028">
        <v>-1.9641</v>
      </c>
      <c r="AF3028">
        <v>-5.2484363815090296</v>
      </c>
      <c r="AG3028">
        <v>-1.1136591802997999</v>
      </c>
      <c r="AH3028">
        <v>14.379922811365001</v>
      </c>
      <c r="AI3028">
        <v>94.161004121733598</v>
      </c>
      <c r="AJ3028">
        <v>110.051254316352</v>
      </c>
      <c r="AK3028">
        <v>15.3482409832994</v>
      </c>
      <c r="AL3028">
        <v>79.225903696524199</v>
      </c>
      <c r="AM3028">
        <v>101.76952676857201</v>
      </c>
      <c r="AN3028">
        <v>1.00000000707909</v>
      </c>
    </row>
    <row r="3029" spans="1:40" x14ac:dyDescent="0.25">
      <c r="A3029" t="str">
        <f>"20190312172428009"</f>
        <v>20190312172428009</v>
      </c>
      <c r="B3029" t="str">
        <f>"1552382668002856"</f>
        <v>1552382668002856</v>
      </c>
      <c r="C3029" t="s">
        <v>40</v>
      </c>
      <c r="D3029">
        <v>3.6868970000000001</v>
      </c>
      <c r="E3029">
        <v>0.44379770000000002</v>
      </c>
      <c r="F3029" t="s">
        <v>47</v>
      </c>
      <c r="G3029">
        <v>-462.57490000000001</v>
      </c>
      <c r="H3029" s="1">
        <v>-2.2971089999999999E-7</v>
      </c>
      <c r="I3029">
        <v>216.06120000000001</v>
      </c>
      <c r="J3029">
        <v>-477.82870000000003</v>
      </c>
      <c r="K3029">
        <v>1.113639</v>
      </c>
      <c r="L3029">
        <v>217.94980000000001</v>
      </c>
      <c r="M3029">
        <v>0.89118729999999902</v>
      </c>
      <c r="N3029">
        <v>0</v>
      </c>
      <c r="O3029">
        <v>-0.4534165</v>
      </c>
      <c r="P3029">
        <v>0.94957199999999997</v>
      </c>
      <c r="Q3029">
        <v>0.17485709999999999</v>
      </c>
      <c r="R3029">
        <v>-0.26026559999999999</v>
      </c>
      <c r="S3029">
        <v>3.0969540000000002</v>
      </c>
      <c r="T3029">
        <v>-0.22465669999999999</v>
      </c>
      <c r="U3029">
        <v>-0.38928220000000002</v>
      </c>
      <c r="V3029">
        <v>-0.19981450000000001</v>
      </c>
      <c r="W3029">
        <v>0.18717800000000001</v>
      </c>
      <c r="X3029">
        <v>0.96178929999999996</v>
      </c>
      <c r="Y3029">
        <v>-0.33681529999999998</v>
      </c>
      <c r="Z3029">
        <v>4.370661E-2</v>
      </c>
      <c r="AA3029">
        <v>0.94055580000000005</v>
      </c>
      <c r="AB3029">
        <v>12</v>
      </c>
      <c r="AC3029">
        <v>15.2538</v>
      </c>
      <c r="AD3029">
        <v>-1.1136392297108999</v>
      </c>
      <c r="AE3029">
        <v>-1.8885999999999901</v>
      </c>
      <c r="AF3029">
        <v>-5.2064166116802797</v>
      </c>
      <c r="AG3029">
        <v>-1.1136392297108999</v>
      </c>
      <c r="AH3029">
        <v>14.376281212837799</v>
      </c>
      <c r="AI3029">
        <v>94.165751363360599</v>
      </c>
      <c r="AJ3029">
        <v>109.908017626853</v>
      </c>
      <c r="AK3029">
        <v>15.3305064423497</v>
      </c>
      <c r="AL3029">
        <v>79.211859413702101</v>
      </c>
      <c r="AM3029">
        <v>101.736411308811</v>
      </c>
      <c r="AN3029">
        <v>1.00000004784436</v>
      </c>
    </row>
    <row r="3030" spans="1:40" x14ac:dyDescent="0.25">
      <c r="A3030" t="str">
        <f>"20190312172428030"</f>
        <v>20190312172428030</v>
      </c>
      <c r="B3030" t="str">
        <f>"1552382668023352"</f>
        <v>1552382668023352</v>
      </c>
      <c r="C3030" t="s">
        <v>40</v>
      </c>
      <c r="D3030">
        <v>3.7095289999999999</v>
      </c>
      <c r="E3030">
        <v>0.44981589999999999</v>
      </c>
      <c r="F3030" t="s">
        <v>47</v>
      </c>
      <c r="G3030">
        <v>-462.32889999999998</v>
      </c>
      <c r="H3030" s="1">
        <v>-3.6218690000000002E-7</v>
      </c>
      <c r="I3030">
        <v>216.09639999999999</v>
      </c>
      <c r="J3030">
        <v>-477.72949999999997</v>
      </c>
      <c r="K3030">
        <v>1.113613</v>
      </c>
      <c r="L3030">
        <v>217.90899999999999</v>
      </c>
      <c r="M3030">
        <v>0.89449349999999905</v>
      </c>
      <c r="N3030">
        <v>0</v>
      </c>
      <c r="O3030">
        <v>-0.44685910000000001</v>
      </c>
      <c r="P3030">
        <v>0.95131310000000002</v>
      </c>
      <c r="Q3030">
        <v>0.1748642</v>
      </c>
      <c r="R3030">
        <v>-0.25382280000000002</v>
      </c>
      <c r="S3030">
        <v>3.0987550000000001</v>
      </c>
      <c r="T3030">
        <v>-0.2226409</v>
      </c>
      <c r="U3030">
        <v>-0.3705292</v>
      </c>
      <c r="V3030">
        <v>-0.19925760000000001</v>
      </c>
      <c r="W3030">
        <v>0.18719340000000001</v>
      </c>
      <c r="X3030">
        <v>0.96190180000000003</v>
      </c>
      <c r="Y3030">
        <v>-0.33563090000000001</v>
      </c>
      <c r="Z3030">
        <v>4.2854950000000003E-2</v>
      </c>
      <c r="AA3030">
        <v>0.94101829999999997</v>
      </c>
      <c r="AB3030">
        <v>12</v>
      </c>
      <c r="AC3030">
        <v>15.400599999999899</v>
      </c>
      <c r="AD3030">
        <v>-1.1136133621869</v>
      </c>
      <c r="AE3030">
        <v>-1.81260000000003</v>
      </c>
      <c r="AF3030">
        <v>-5.2340676248849896</v>
      </c>
      <c r="AG3030">
        <v>-1.1136133621869</v>
      </c>
      <c r="AH3030">
        <v>14.512316209592701</v>
      </c>
      <c r="AI3030">
        <v>94.128701008856694</v>
      </c>
      <c r="AJ3030">
        <v>109.83254041086801</v>
      </c>
      <c r="AK3030">
        <v>15.467479445259199</v>
      </c>
      <c r="AL3030">
        <v>79.210960839884507</v>
      </c>
      <c r="AM3030">
        <v>101.703273457828</v>
      </c>
      <c r="AN3030">
        <v>1.00000001650227</v>
      </c>
    </row>
    <row r="3031" spans="1:40" x14ac:dyDescent="0.25">
      <c r="A3031" t="str">
        <f>"20190312172428065"</f>
        <v>20190312172428065</v>
      </c>
      <c r="B3031" t="str">
        <f>"1552382668052632"</f>
        <v>1552382668052632</v>
      </c>
      <c r="C3031" t="s">
        <v>40</v>
      </c>
      <c r="D3031">
        <v>3.695379</v>
      </c>
      <c r="E3031">
        <v>0.45006190000000001</v>
      </c>
      <c r="F3031" t="s">
        <v>47</v>
      </c>
      <c r="G3031">
        <v>-461.1619</v>
      </c>
      <c r="H3031" s="1">
        <v>-9.6991000000000009E-7</v>
      </c>
      <c r="I3031">
        <v>215.79259999999999</v>
      </c>
      <c r="J3031">
        <v>-477.56330000000003</v>
      </c>
      <c r="K3031">
        <v>1.113569</v>
      </c>
      <c r="L3031">
        <v>217.84270000000001</v>
      </c>
      <c r="M3031">
        <v>0.89989909999999995</v>
      </c>
      <c r="N3031">
        <v>0</v>
      </c>
      <c r="O3031">
        <v>-0.43587100000000001</v>
      </c>
      <c r="P3031">
        <v>0.95429059999999999</v>
      </c>
      <c r="Q3031">
        <v>0.1746259</v>
      </c>
      <c r="R3031">
        <v>-0.24256050000000001</v>
      </c>
      <c r="S3031">
        <v>3.086487</v>
      </c>
      <c r="T3031">
        <v>-0.2074627</v>
      </c>
      <c r="U3031">
        <v>-0.3942871</v>
      </c>
      <c r="V3031">
        <v>-0.1988463</v>
      </c>
      <c r="W3031">
        <v>0.18696289999999999</v>
      </c>
      <c r="X3031">
        <v>0.96203170000000005</v>
      </c>
      <c r="Y3031">
        <v>-0.31675930000000002</v>
      </c>
      <c r="Z3031">
        <v>3.8773990000000001E-2</v>
      </c>
      <c r="AA3031">
        <v>0.94771309999999997</v>
      </c>
      <c r="AB3031">
        <v>12</v>
      </c>
      <c r="AC3031">
        <v>16.401399999999999</v>
      </c>
      <c r="AD3031">
        <v>-1.1135699699099999</v>
      </c>
      <c r="AE3031">
        <v>-2.0501000000000098</v>
      </c>
      <c r="AF3031">
        <v>-5.2805694582235496</v>
      </c>
      <c r="AG3031">
        <v>-1.1135699699099999</v>
      </c>
      <c r="AH3031">
        <v>15.5840022212001</v>
      </c>
      <c r="AI3031">
        <v>93.871664933275596</v>
      </c>
      <c r="AJ3031">
        <v>108.718720169988</v>
      </c>
      <c r="AK3031">
        <v>16.491985238635699</v>
      </c>
      <c r="AL3031">
        <v>79.224404520747598</v>
      </c>
      <c r="AM3031">
        <v>101.678246600745</v>
      </c>
      <c r="AN3031">
        <v>0.99999998440249405</v>
      </c>
    </row>
    <row r="3032" spans="1:40" x14ac:dyDescent="0.25">
      <c r="A3032" t="str">
        <f>"20190312172428087"</f>
        <v>20190312172428087</v>
      </c>
      <c r="B3032" t="str">
        <f>"1552382668082888"</f>
        <v>1552382668082888</v>
      </c>
      <c r="C3032" t="s">
        <v>40</v>
      </c>
      <c r="D3032">
        <v>3.6465209999999999</v>
      </c>
      <c r="E3032">
        <v>0.45094479999999998</v>
      </c>
      <c r="F3032" t="s">
        <v>47</v>
      </c>
      <c r="G3032">
        <v>-461.05790000000002</v>
      </c>
      <c r="H3032" s="1">
        <v>-1.0307849999999999E-6</v>
      </c>
      <c r="I3032">
        <v>215.91900000000001</v>
      </c>
      <c r="J3032">
        <v>-477.4545</v>
      </c>
      <c r="K3032">
        <v>1.1135469999999901</v>
      </c>
      <c r="L3032">
        <v>217.8006</v>
      </c>
      <c r="M3032">
        <v>0.90334369999999997</v>
      </c>
      <c r="N3032">
        <v>0</v>
      </c>
      <c r="O3032">
        <v>-0.42868650000000003</v>
      </c>
      <c r="P3032">
        <v>0.95593070000000002</v>
      </c>
      <c r="Q3032">
        <v>0.17452409999999999</v>
      </c>
      <c r="R3032">
        <v>-0.2360882</v>
      </c>
      <c r="S3032">
        <v>3.090271</v>
      </c>
      <c r="T3032">
        <v>-0.2084916</v>
      </c>
      <c r="U3032">
        <v>-0.3601685</v>
      </c>
      <c r="V3032">
        <v>-0.19769500000000001</v>
      </c>
      <c r="W3032">
        <v>0.18687200000000001</v>
      </c>
      <c r="X3032">
        <v>0.96228659999999999</v>
      </c>
      <c r="Y3032">
        <v>-0.31965070000000001</v>
      </c>
      <c r="Z3032">
        <v>3.8622150000000001E-2</v>
      </c>
      <c r="AA3032">
        <v>0.94674800000000003</v>
      </c>
      <c r="AB3032">
        <v>12</v>
      </c>
      <c r="AC3032">
        <v>16.3965999999999</v>
      </c>
      <c r="AD3032">
        <v>-1.1135480307850001</v>
      </c>
      <c r="AE3032">
        <v>-1.8815999999999899</v>
      </c>
      <c r="AF3032">
        <v>-5.3056446012379803</v>
      </c>
      <c r="AG3032">
        <v>-1.1135480307850001</v>
      </c>
      <c r="AH3032">
        <v>15.5491446440868</v>
      </c>
      <c r="AI3032">
        <v>93.877445608154304</v>
      </c>
      <c r="AJ3032">
        <v>108.840553556578</v>
      </c>
      <c r="AK3032">
        <v>16.467111252865301</v>
      </c>
      <c r="AL3032">
        <v>79.229706085848406</v>
      </c>
      <c r="AM3032">
        <v>101.609479844601</v>
      </c>
      <c r="AN3032">
        <v>0.99999997897427895</v>
      </c>
    </row>
    <row r="3033" spans="1:40" x14ac:dyDescent="0.25">
      <c r="A3033" t="str">
        <f>"20190312172428110"</f>
        <v>20190312172428110</v>
      </c>
      <c r="B3033" t="str">
        <f>"1552382668103385"</f>
        <v>1552382668103385</v>
      </c>
      <c r="C3033" t="s">
        <v>40</v>
      </c>
      <c r="D3033">
        <v>3.6218849999999998</v>
      </c>
      <c r="E3033">
        <v>0.46020299999999997</v>
      </c>
      <c r="F3033" t="s">
        <v>47</v>
      </c>
      <c r="G3033">
        <v>-461.29599999999999</v>
      </c>
      <c r="H3033" s="1">
        <v>-9.0733499999999999E-7</v>
      </c>
      <c r="I3033">
        <v>215.9932</v>
      </c>
      <c r="J3033">
        <v>-477.34359999999998</v>
      </c>
      <c r="K3033">
        <v>1.1135280000000001</v>
      </c>
      <c r="L3033">
        <v>217.7587</v>
      </c>
      <c r="M3033">
        <v>0.90678800000000004</v>
      </c>
      <c r="N3033">
        <v>0</v>
      </c>
      <c r="O3033">
        <v>-0.42135240000000002</v>
      </c>
      <c r="P3033">
        <v>0.95751109999999995</v>
      </c>
      <c r="Q3033">
        <v>0.1743557</v>
      </c>
      <c r="R3033">
        <v>-0.22972290000000001</v>
      </c>
      <c r="S3033">
        <v>3.0917970000000001</v>
      </c>
      <c r="T3033">
        <v>-0.21306729999999999</v>
      </c>
      <c r="U3033">
        <v>-0.3458405</v>
      </c>
      <c r="V3033">
        <v>-0.19629940000000001</v>
      </c>
      <c r="W3033">
        <v>0.18671599999999999</v>
      </c>
      <c r="X3033">
        <v>0.96260259999999997</v>
      </c>
      <c r="Y3033">
        <v>-0.31630999999999998</v>
      </c>
      <c r="Z3033">
        <v>3.8894030000000003E-2</v>
      </c>
      <c r="AA3033">
        <v>0.94785819999999998</v>
      </c>
      <c r="AB3033">
        <v>12</v>
      </c>
      <c r="AC3033">
        <v>16.0475999999999</v>
      </c>
      <c r="AD3033">
        <v>-1.1135289073350001</v>
      </c>
      <c r="AE3033">
        <v>-1.7655000000000001</v>
      </c>
      <c r="AF3033">
        <v>-5.1368334151811901</v>
      </c>
      <c r="AG3033">
        <v>-1.1135289073350001</v>
      </c>
      <c r="AH3033">
        <v>15.224752540498001</v>
      </c>
      <c r="AI3033">
        <v>93.964321749543402</v>
      </c>
      <c r="AJ3033">
        <v>108.644401364252</v>
      </c>
      <c r="AK3033">
        <v>16.1065233393863</v>
      </c>
      <c r="AL3033">
        <v>79.238805055236497</v>
      </c>
      <c r="AM3033">
        <v>101.526042821342</v>
      </c>
      <c r="AN3033">
        <v>1.00000004231155</v>
      </c>
    </row>
    <row r="3034" spans="1:40" x14ac:dyDescent="0.25">
      <c r="A3034" t="str">
        <f>"20190312172428130"</f>
        <v>20190312172428130</v>
      </c>
      <c r="B3034" t="str">
        <f>"1552382668122904"</f>
        <v>1552382668122904</v>
      </c>
      <c r="C3034" t="s">
        <v>40</v>
      </c>
      <c r="D3034">
        <v>3.7588979999999999</v>
      </c>
      <c r="E3034">
        <v>0.4596884</v>
      </c>
      <c r="F3034" t="s">
        <v>47</v>
      </c>
      <c r="G3034">
        <v>-464.22070000000002</v>
      </c>
      <c r="H3034" s="1">
        <v>6.4575560000000001E-7</v>
      </c>
      <c r="I3034">
        <v>216.06950000000001</v>
      </c>
      <c r="J3034">
        <v>-477.24369999999999</v>
      </c>
      <c r="K3034">
        <v>1.113507</v>
      </c>
      <c r="L3034">
        <v>217.7218</v>
      </c>
      <c r="M3034">
        <v>0.9098311</v>
      </c>
      <c r="N3034">
        <v>0</v>
      </c>
      <c r="O3034">
        <v>-0.41474109999999997</v>
      </c>
      <c r="P3034">
        <v>0.95899009999999996</v>
      </c>
      <c r="Q3034">
        <v>0.1742581</v>
      </c>
      <c r="R3034">
        <v>-0.22354460000000001</v>
      </c>
      <c r="S3034">
        <v>3.0855100000000002</v>
      </c>
      <c r="T3034">
        <v>-0.26181720000000003</v>
      </c>
      <c r="U3034">
        <v>-0.39718629999999999</v>
      </c>
      <c r="V3034">
        <v>-0.1954968</v>
      </c>
      <c r="W3034">
        <v>0.18662519999999999</v>
      </c>
      <c r="X3034">
        <v>0.96278350000000001</v>
      </c>
      <c r="Y3034">
        <v>-0.29281570000000001</v>
      </c>
      <c r="Z3034">
        <v>4.6284499999999999E-2</v>
      </c>
      <c r="AA3034">
        <v>0.95504800000000001</v>
      </c>
      <c r="AB3034">
        <v>12</v>
      </c>
      <c r="AC3034">
        <v>13.0229999999999</v>
      </c>
      <c r="AD3034">
        <v>-1.1135063542443999</v>
      </c>
      <c r="AE3034">
        <v>-1.6522999999999901</v>
      </c>
      <c r="AF3034">
        <v>-3.8703964622511902</v>
      </c>
      <c r="AG3034">
        <v>-1.1135063542443999</v>
      </c>
      <c r="AH3034">
        <v>12.445696896833001</v>
      </c>
      <c r="AI3034">
        <v>94.883114090098104</v>
      </c>
      <c r="AJ3034">
        <v>107.274790152931</v>
      </c>
      <c r="AK3034">
        <v>13.0811022633335</v>
      </c>
      <c r="AL3034">
        <v>79.244100307192198</v>
      </c>
      <c r="AM3034">
        <v>101.478070731006</v>
      </c>
      <c r="AN3034">
        <v>1.0000000159787601</v>
      </c>
    </row>
    <row r="3035" spans="1:40" x14ac:dyDescent="0.25">
      <c r="A3035" t="str">
        <f>"20190312172428153"</f>
        <v>20190312172428153</v>
      </c>
      <c r="B3035" t="str">
        <f>"1552382668143400"</f>
        <v>1552382668143400</v>
      </c>
      <c r="C3035" t="s">
        <v>40</v>
      </c>
      <c r="D3035">
        <v>3.7826179999999998</v>
      </c>
      <c r="E3035">
        <v>0.46023779999999997</v>
      </c>
      <c r="F3035" t="s">
        <v>47</v>
      </c>
      <c r="G3035">
        <v>-463.02019999999999</v>
      </c>
      <c r="H3035" s="1">
        <v>9.7991450000000005E-9</v>
      </c>
      <c r="I3035">
        <v>216.0035</v>
      </c>
      <c r="J3035">
        <v>-477.13240000000002</v>
      </c>
      <c r="K3035">
        <v>1.1134919999999999</v>
      </c>
      <c r="L3035">
        <v>217.68170000000001</v>
      </c>
      <c r="M3035">
        <v>0.91315119999999905</v>
      </c>
      <c r="N3035">
        <v>0</v>
      </c>
      <c r="O3035">
        <v>-0.40737909999999999</v>
      </c>
      <c r="P3035">
        <v>0.96072040000000003</v>
      </c>
      <c r="Q3035">
        <v>0.1739367</v>
      </c>
      <c r="R3035">
        <v>-0.21624650000000001</v>
      </c>
      <c r="S3035">
        <v>3.0853269999999999</v>
      </c>
      <c r="T3035">
        <v>-0.2415409</v>
      </c>
      <c r="U3035">
        <v>-0.37272640000000001</v>
      </c>
      <c r="V3035">
        <v>-0.1950547</v>
      </c>
      <c r="W3035">
        <v>0.18630759999999999</v>
      </c>
      <c r="X3035">
        <v>0.96293470000000003</v>
      </c>
      <c r="Y3035">
        <v>-0.29291869999999998</v>
      </c>
      <c r="Z3035">
        <v>4.2227279999999999E-2</v>
      </c>
      <c r="AA3035">
        <v>0.95520439999999995</v>
      </c>
      <c r="AB3035">
        <v>12</v>
      </c>
      <c r="AC3035">
        <v>14.1122</v>
      </c>
      <c r="AD3035">
        <v>-1.11349199020085</v>
      </c>
      <c r="AE3035">
        <v>-1.6781999999999999</v>
      </c>
      <c r="AF3035">
        <v>-4.1912512987728103</v>
      </c>
      <c r="AG3035">
        <v>-1.11349199020085</v>
      </c>
      <c r="AH3035">
        <v>13.488768524611</v>
      </c>
      <c r="AI3035">
        <v>94.507403178770801</v>
      </c>
      <c r="AJ3035">
        <v>107.261146552935</v>
      </c>
      <c r="AK3035">
        <v>14.168744763465901</v>
      </c>
      <c r="AL3035">
        <v>79.262622635999307</v>
      </c>
      <c r="AM3035">
        <v>101.451049857341</v>
      </c>
      <c r="AN3035">
        <v>1.0000000471369599</v>
      </c>
    </row>
    <row r="3036" spans="1:40" x14ac:dyDescent="0.25">
      <c r="A3036" t="str">
        <f>"20190312172428174"</f>
        <v>20190312172428174</v>
      </c>
      <c r="B3036" t="str">
        <f>"1552382668162919"</f>
        <v>1552382668162919</v>
      </c>
      <c r="C3036" t="s">
        <v>40</v>
      </c>
      <c r="D3036">
        <v>3.7304840000000001</v>
      </c>
      <c r="E3036">
        <v>0.46102949999999998</v>
      </c>
      <c r="F3036" t="s">
        <v>47</v>
      </c>
      <c r="G3036">
        <v>-462.46510000000001</v>
      </c>
      <c r="H3036" s="1">
        <v>-2.8549009999999999E-7</v>
      </c>
      <c r="I3036">
        <v>216.00020000000001</v>
      </c>
      <c r="J3036">
        <v>-477.02809999999999</v>
      </c>
      <c r="K3036">
        <v>1.1134850000000001</v>
      </c>
      <c r="L3036">
        <v>217.64490000000001</v>
      </c>
      <c r="M3036">
        <v>0.91620250000000003</v>
      </c>
      <c r="N3036">
        <v>0</v>
      </c>
      <c r="O3036">
        <v>-0.40046999999999999</v>
      </c>
      <c r="P3036">
        <v>0.96216400000000002</v>
      </c>
      <c r="Q3036">
        <v>0.1744956</v>
      </c>
      <c r="R3036">
        <v>-0.20926520000000001</v>
      </c>
      <c r="S3036">
        <v>3.08548</v>
      </c>
      <c r="T3036">
        <v>-0.234239</v>
      </c>
      <c r="U3036">
        <v>-0.35372920000000002</v>
      </c>
      <c r="V3036">
        <v>-0.19472919999999999</v>
      </c>
      <c r="W3036">
        <v>0.18686639999999999</v>
      </c>
      <c r="X3036">
        <v>0.96289219999999998</v>
      </c>
      <c r="Y3036">
        <v>-0.29164590000000001</v>
      </c>
      <c r="Z3036">
        <v>4.0449100000000002E-2</v>
      </c>
      <c r="AA3036">
        <v>0.95567069999999998</v>
      </c>
      <c r="AB3036">
        <v>12</v>
      </c>
      <c r="AC3036">
        <v>14.562999999999899</v>
      </c>
      <c r="AD3036">
        <v>-1.1134852854901001</v>
      </c>
      <c r="AE3036">
        <v>-1.6447000000000001</v>
      </c>
      <c r="AF3036">
        <v>-4.3007658111137701</v>
      </c>
      <c r="AG3036">
        <v>-1.1134852854901001</v>
      </c>
      <c r="AH3036">
        <v>13.9223212339356</v>
      </c>
      <c r="AI3036">
        <v>94.369791108510896</v>
      </c>
      <c r="AJ3036">
        <v>107.166522715822</v>
      </c>
      <c r="AK3036">
        <v>14.6139476043929</v>
      </c>
      <c r="AL3036">
        <v>79.230032388466199</v>
      </c>
      <c r="AM3036">
        <v>101.43293567065599</v>
      </c>
      <c r="AN3036">
        <v>0.99999995080121795</v>
      </c>
    </row>
    <row r="3037" spans="1:40" x14ac:dyDescent="0.25">
      <c r="A3037" t="str">
        <f>"20190312172428196"</f>
        <v>20190312172428196</v>
      </c>
      <c r="B3037" t="str">
        <f>"1552382668193176"</f>
        <v>1552382668193176</v>
      </c>
      <c r="C3037" t="s">
        <v>40</v>
      </c>
      <c r="D3037">
        <v>3.7998370000000001</v>
      </c>
      <c r="E3037">
        <v>0.4622076</v>
      </c>
      <c r="F3037" t="s">
        <v>47</v>
      </c>
      <c r="G3037">
        <v>-461.82650000000001</v>
      </c>
      <c r="H3037" s="1">
        <v>-6.2447380000000005E-7</v>
      </c>
      <c r="I3037">
        <v>215.9811</v>
      </c>
      <c r="J3037">
        <v>-476.92610000000002</v>
      </c>
      <c r="K3037">
        <v>1.113478</v>
      </c>
      <c r="L3037">
        <v>217.60990000000001</v>
      </c>
      <c r="M3037">
        <v>0.91912760000000004</v>
      </c>
      <c r="N3037">
        <v>0</v>
      </c>
      <c r="O3037">
        <v>-0.39371050000000002</v>
      </c>
      <c r="P3037">
        <v>0.96329310000000001</v>
      </c>
      <c r="Q3037">
        <v>0.17505419999999999</v>
      </c>
      <c r="R3037">
        <v>-0.2035254</v>
      </c>
      <c r="S3037">
        <v>3.08548</v>
      </c>
      <c r="T3037">
        <v>-0.22600529999999999</v>
      </c>
      <c r="U3037">
        <v>-0.33770749999999999</v>
      </c>
      <c r="V3037">
        <v>-0.19333020000000001</v>
      </c>
      <c r="W3037">
        <v>0.18743460000000001</v>
      </c>
      <c r="X3037">
        <v>0.96306369999999997</v>
      </c>
      <c r="Y3037">
        <v>-0.28965380000000002</v>
      </c>
      <c r="Z3037">
        <v>3.8522870000000001E-2</v>
      </c>
      <c r="AA3037">
        <v>0.95635590000000004</v>
      </c>
      <c r="AB3037">
        <v>12</v>
      </c>
      <c r="AC3037">
        <v>15.099600000000001</v>
      </c>
      <c r="AD3037">
        <v>-1.1134786244738</v>
      </c>
      <c r="AE3037">
        <v>-1.62880000000001</v>
      </c>
      <c r="AF3037">
        <v>-4.42445001617698</v>
      </c>
      <c r="AG3037">
        <v>-1.1134786244738</v>
      </c>
      <c r="AH3037">
        <v>14.443522206826801</v>
      </c>
      <c r="AI3037">
        <v>94.215707458195794</v>
      </c>
      <c r="AJ3037">
        <v>107.031274052001</v>
      </c>
      <c r="AK3037">
        <v>15.1469774652209</v>
      </c>
      <c r="AL3037">
        <v>79.196891824086705</v>
      </c>
      <c r="AM3037">
        <v>101.350968914587</v>
      </c>
      <c r="AN3037">
        <v>0.99999999288344499</v>
      </c>
    </row>
    <row r="3038" spans="1:40" x14ac:dyDescent="0.25">
      <c r="A3038" t="str">
        <f>"20190312172428219"</f>
        <v>20190312172428219</v>
      </c>
      <c r="B3038" t="str">
        <f>"1552382668212696"</f>
        <v>1552382668212696</v>
      </c>
      <c r="C3038" t="s">
        <v>40</v>
      </c>
      <c r="D3038">
        <v>3.7846160000000002</v>
      </c>
      <c r="E3038">
        <v>0.4626248</v>
      </c>
      <c r="F3038" t="s">
        <v>47</v>
      </c>
      <c r="G3038">
        <v>-461.221</v>
      </c>
      <c r="H3038" s="1">
        <v>-9.4503919999999995E-7</v>
      </c>
      <c r="I3038">
        <v>215.94319999999999</v>
      </c>
      <c r="J3038">
        <v>-476.81529999999998</v>
      </c>
      <c r="K3038">
        <v>1.1134649999999999</v>
      </c>
      <c r="L3038">
        <v>217.5728</v>
      </c>
      <c r="M3038">
        <v>0.92224320000000004</v>
      </c>
      <c r="N3038">
        <v>0</v>
      </c>
      <c r="O3038">
        <v>-0.38635580000000003</v>
      </c>
      <c r="P3038">
        <v>0.96441929999999998</v>
      </c>
      <c r="Q3038">
        <v>0.1761172</v>
      </c>
      <c r="R3038">
        <v>-0.1971755</v>
      </c>
      <c r="S3038">
        <v>3.0849299999999999</v>
      </c>
      <c r="T3038">
        <v>-0.2187191</v>
      </c>
      <c r="U3038">
        <v>-0.32739259999999998</v>
      </c>
      <c r="V3038">
        <v>-0.1919032</v>
      </c>
      <c r="W3038">
        <v>0.1885057</v>
      </c>
      <c r="X3038">
        <v>0.96314010000000005</v>
      </c>
      <c r="Y3038">
        <v>-0.28528700000000001</v>
      </c>
      <c r="Z3038">
        <v>3.6667409999999998E-2</v>
      </c>
      <c r="AA3038">
        <v>0.95774049999999999</v>
      </c>
      <c r="AB3038">
        <v>12</v>
      </c>
      <c r="AC3038">
        <v>15.594299999999899</v>
      </c>
      <c r="AD3038">
        <v>-1.1134659450391999</v>
      </c>
      <c r="AE3038">
        <v>-1.6296000000000099</v>
      </c>
      <c r="AF3038">
        <v>-4.49981208648075</v>
      </c>
      <c r="AG3038">
        <v>-1.1134659450391999</v>
      </c>
      <c r="AH3038">
        <v>14.937486381828201</v>
      </c>
      <c r="AI3038">
        <v>94.082480694753301</v>
      </c>
      <c r="AJ3038">
        <v>106.764556123725</v>
      </c>
      <c r="AK3038">
        <v>15.640224251324</v>
      </c>
      <c r="AL3038">
        <v>79.134409099432602</v>
      </c>
      <c r="AM3038">
        <v>101.268466413461</v>
      </c>
      <c r="AN3038">
        <v>1.0000000446653601</v>
      </c>
    </row>
    <row r="3039" spans="1:40" x14ac:dyDescent="0.25">
      <c r="A3039" t="str">
        <f>"20190312172428241"</f>
        <v>20190312172428241</v>
      </c>
      <c r="B3039" t="str">
        <f>"1552382668233191"</f>
        <v>1552382668233191</v>
      </c>
      <c r="C3039" t="s">
        <v>40</v>
      </c>
      <c r="D3039">
        <v>3.9202240000000002</v>
      </c>
      <c r="E3039">
        <v>0.47072540000000002</v>
      </c>
      <c r="F3039" t="s">
        <v>47</v>
      </c>
      <c r="G3039">
        <v>-460.71719999999999</v>
      </c>
      <c r="H3039" s="1">
        <v>-1.2139050000000001E-6</v>
      </c>
      <c r="I3039">
        <v>215.96080000000001</v>
      </c>
      <c r="J3039">
        <v>-476.70729999999998</v>
      </c>
      <c r="K3039">
        <v>1.1134500000000001</v>
      </c>
      <c r="L3039">
        <v>217.53749999999999</v>
      </c>
      <c r="M3039">
        <v>0.92521390000000003</v>
      </c>
      <c r="N3039">
        <v>0</v>
      </c>
      <c r="O3039">
        <v>-0.37918740000000001</v>
      </c>
      <c r="P3039">
        <v>0.96574899999999997</v>
      </c>
      <c r="Q3039">
        <v>0.17562800000000001</v>
      </c>
      <c r="R3039">
        <v>-0.19100780000000001</v>
      </c>
      <c r="S3039">
        <v>3.086487</v>
      </c>
      <c r="T3039">
        <v>-0.21348449999999999</v>
      </c>
      <c r="U3039">
        <v>-0.30906679999999997</v>
      </c>
      <c r="V3039">
        <v>-0.19060589999999999</v>
      </c>
      <c r="W3039">
        <v>0.18802849999999999</v>
      </c>
      <c r="X3039">
        <v>0.96349090000000004</v>
      </c>
      <c r="Y3039">
        <v>-0.2836243</v>
      </c>
      <c r="Z3039">
        <v>3.5276620000000002E-2</v>
      </c>
      <c r="AA3039">
        <v>0.95828639999999998</v>
      </c>
      <c r="AB3039">
        <v>12</v>
      </c>
      <c r="AC3039">
        <v>15.990099999999901</v>
      </c>
      <c r="AD3039">
        <v>-1.1134512139049999</v>
      </c>
      <c r="AE3039">
        <v>-1.57669999999998</v>
      </c>
      <c r="AF3039">
        <v>-4.5829034525788401</v>
      </c>
      <c r="AG3039">
        <v>-1.1134512139049999</v>
      </c>
      <c r="AH3039">
        <v>15.320067779784001</v>
      </c>
      <c r="AI3039">
        <v>93.983104496989696</v>
      </c>
      <c r="AJ3039">
        <v>106.654228088935</v>
      </c>
      <c r="AK3039">
        <v>16.0295743686032</v>
      </c>
      <c r="AL3039">
        <v>79.162248203037294</v>
      </c>
      <c r="AM3039">
        <v>101.190246777743</v>
      </c>
      <c r="AN3039">
        <v>1.0000000201549299</v>
      </c>
    </row>
    <row r="3040" spans="1:40" x14ac:dyDescent="0.25">
      <c r="A3040" t="str">
        <f>"20190312172428265"</f>
        <v>20190312172428265</v>
      </c>
      <c r="B3040" t="str">
        <f>"1552382668252712"</f>
        <v>1552382668252712</v>
      </c>
      <c r="C3040" t="s">
        <v>40</v>
      </c>
      <c r="D3040">
        <v>3.6951360000000002</v>
      </c>
      <c r="E3040">
        <v>0.4715239</v>
      </c>
      <c r="F3040" t="s">
        <v>47</v>
      </c>
      <c r="G3040">
        <v>-458.88229999999999</v>
      </c>
      <c r="H3040" s="1">
        <v>3.1515849999999998E-6</v>
      </c>
      <c r="I3040">
        <v>215.4939</v>
      </c>
      <c r="J3040">
        <v>-476.59230000000002</v>
      </c>
      <c r="K3040">
        <v>1.1134360000000001</v>
      </c>
      <c r="L3040">
        <v>217.50110000000001</v>
      </c>
      <c r="M3040">
        <v>0.92830820000000003</v>
      </c>
      <c r="N3040">
        <v>0</v>
      </c>
      <c r="O3040">
        <v>-0.37154779999999998</v>
      </c>
      <c r="P3040">
        <v>0.96716000000000002</v>
      </c>
      <c r="Q3040">
        <v>0.17512159999999999</v>
      </c>
      <c r="R3040">
        <v>-0.18421119999999999</v>
      </c>
      <c r="S3040">
        <v>3.0716549999999998</v>
      </c>
      <c r="T3040">
        <v>-0.19187219999999999</v>
      </c>
      <c r="U3040">
        <v>-0.35215760000000002</v>
      </c>
      <c r="V3040">
        <v>-0.1894602</v>
      </c>
      <c r="W3040">
        <v>0.18753300000000001</v>
      </c>
      <c r="X3040">
        <v>0.96381340000000004</v>
      </c>
      <c r="Y3040">
        <v>-0.26223999999999997</v>
      </c>
      <c r="Z3040">
        <v>3.0718410000000002E-2</v>
      </c>
      <c r="AA3040">
        <v>0.96451370000000003</v>
      </c>
      <c r="AB3040">
        <v>12</v>
      </c>
      <c r="AC3040">
        <v>17.71</v>
      </c>
      <c r="AD3040">
        <v>-1.113432848415</v>
      </c>
      <c r="AE3040">
        <v>-2.0072000000000099</v>
      </c>
      <c r="AF3040">
        <v>-4.6989361076638803</v>
      </c>
      <c r="AG3040">
        <v>-1.113432848415</v>
      </c>
      <c r="AH3040">
        <v>17.1209790916846</v>
      </c>
      <c r="AI3040">
        <v>93.588555740838402</v>
      </c>
      <c r="AJ3040">
        <v>105.347209581798</v>
      </c>
      <c r="AK3040">
        <v>17.788975752126301</v>
      </c>
      <c r="AL3040">
        <v>79.191152566654907</v>
      </c>
      <c r="AM3040">
        <v>101.12103714329599</v>
      </c>
      <c r="AN3040">
        <v>1.00000003174629</v>
      </c>
    </row>
    <row r="3041" spans="1:40" x14ac:dyDescent="0.25">
      <c r="A3041" t="str">
        <f>"20190312172428286"</f>
        <v>20190312172428286</v>
      </c>
      <c r="B3041" t="str">
        <f>"1552382668282969"</f>
        <v>1552382668282969</v>
      </c>
      <c r="C3041" t="s">
        <v>40</v>
      </c>
      <c r="D3041">
        <v>3.7701690000000001</v>
      </c>
      <c r="E3041">
        <v>0.47263290000000002</v>
      </c>
      <c r="F3041" t="s">
        <v>47</v>
      </c>
      <c r="G3041">
        <v>-459.59269999999998</v>
      </c>
      <c r="H3041" s="1">
        <v>3.5234270000000001E-6</v>
      </c>
      <c r="I3041">
        <v>215.63470000000001</v>
      </c>
      <c r="J3041">
        <v>-476.48599999999999</v>
      </c>
      <c r="K3041">
        <v>1.113416</v>
      </c>
      <c r="L3041">
        <v>217.4683</v>
      </c>
      <c r="M3041">
        <v>0.9311043</v>
      </c>
      <c r="N3041">
        <v>0</v>
      </c>
      <c r="O3041">
        <v>-0.3644848</v>
      </c>
      <c r="P3041">
        <v>0.96844050000000004</v>
      </c>
      <c r="Q3041">
        <v>0.17478089999999999</v>
      </c>
      <c r="R3041">
        <v>-0.17769409999999999</v>
      </c>
      <c r="S3041">
        <v>3.0740970000000001</v>
      </c>
      <c r="T3041">
        <v>-0.201345</v>
      </c>
      <c r="U3041">
        <v>-0.33750920000000001</v>
      </c>
      <c r="V3041">
        <v>-0.18863859999999999</v>
      </c>
      <c r="W3041">
        <v>0.18720139999999999</v>
      </c>
      <c r="X3041">
        <v>0.96403899999999998</v>
      </c>
      <c r="Y3041">
        <v>-0.2594361</v>
      </c>
      <c r="Z3041">
        <v>3.1698959999999998E-2</v>
      </c>
      <c r="AA3041">
        <v>0.96523990000000004</v>
      </c>
      <c r="AB3041">
        <v>12</v>
      </c>
      <c r="AC3041">
        <v>16.8933</v>
      </c>
      <c r="AD3041">
        <v>-1.113412476573</v>
      </c>
      <c r="AE3041">
        <v>-1.8335999999999899</v>
      </c>
      <c r="AF3041">
        <v>-4.4314875937959899</v>
      </c>
      <c r="AG3041">
        <v>-1.113412476573</v>
      </c>
      <c r="AH3041">
        <v>16.329240435586499</v>
      </c>
      <c r="AI3041">
        <v>93.764920931222605</v>
      </c>
      <c r="AJ3041">
        <v>105.183435862162</v>
      </c>
      <c r="AK3041">
        <v>16.956469645540899</v>
      </c>
      <c r="AL3041">
        <v>79.210494476602307</v>
      </c>
      <c r="AM3041">
        <v>101.07147757230101</v>
      </c>
      <c r="AN3041">
        <v>1.0000000395464499</v>
      </c>
    </row>
    <row r="3042" spans="1:40" x14ac:dyDescent="0.25">
      <c r="A3042" t="str">
        <f>"20190312172428310"</f>
        <v>20190312172428310</v>
      </c>
      <c r="B3042" t="str">
        <f>"1552382668303464"</f>
        <v>1552382668303464</v>
      </c>
      <c r="C3042" t="s">
        <v>40</v>
      </c>
      <c r="D3042">
        <v>3.7443719999999998</v>
      </c>
      <c r="E3042">
        <v>0.47346949999999999</v>
      </c>
      <c r="F3042" t="s">
        <v>47</v>
      </c>
      <c r="G3042">
        <v>-459.9316</v>
      </c>
      <c r="H3042" s="1">
        <v>3.7003399999999998E-6</v>
      </c>
      <c r="I3042">
        <v>215.714</v>
      </c>
      <c r="J3042">
        <v>-476.37670000000003</v>
      </c>
      <c r="K3042">
        <v>1.113397</v>
      </c>
      <c r="L3042">
        <v>217.43549999999999</v>
      </c>
      <c r="M3042">
        <v>0.93390879999999998</v>
      </c>
      <c r="N3042">
        <v>0</v>
      </c>
      <c r="O3042">
        <v>-0.35723749999999999</v>
      </c>
      <c r="P3042">
        <v>0.96953290000000003</v>
      </c>
      <c r="Q3042">
        <v>0.17551929999999999</v>
      </c>
      <c r="R3042">
        <v>-0.1708771</v>
      </c>
      <c r="S3042">
        <v>3.0752869999999999</v>
      </c>
      <c r="T3042">
        <v>-0.20683750000000001</v>
      </c>
      <c r="U3042">
        <v>-0.3258972</v>
      </c>
      <c r="V3042">
        <v>-0.18787219999999999</v>
      </c>
      <c r="W3042">
        <v>0.1879461</v>
      </c>
      <c r="X3042">
        <v>0.96404369999999995</v>
      </c>
      <c r="Y3042">
        <v>-0.25552639999999999</v>
      </c>
      <c r="Z3042">
        <v>3.1974580000000002E-2</v>
      </c>
      <c r="AA3042">
        <v>0.96627320000000005</v>
      </c>
      <c r="AB3042">
        <v>12</v>
      </c>
      <c r="AC3042">
        <v>16.4451</v>
      </c>
      <c r="AD3042">
        <v>-1.11339329966</v>
      </c>
      <c r="AE3042">
        <v>-1.7214999999999601</v>
      </c>
      <c r="AF3042">
        <v>-4.2482381239339704</v>
      </c>
      <c r="AG3042">
        <v>-1.11339329966</v>
      </c>
      <c r="AH3042">
        <v>15.9026670867351</v>
      </c>
      <c r="AI3042">
        <v>93.869650632426996</v>
      </c>
      <c r="AJ3042">
        <v>104.956732481272</v>
      </c>
      <c r="AK3042">
        <v>16.4979390309488</v>
      </c>
      <c r="AL3042">
        <v>79.167054610017999</v>
      </c>
      <c r="AM3042">
        <v>101.027548793074</v>
      </c>
      <c r="AN3042">
        <v>0.99999997777386895</v>
      </c>
    </row>
    <row r="3043" spans="1:40" x14ac:dyDescent="0.25">
      <c r="A3043" t="str">
        <f>"20190312172428331"</f>
        <v>20190312172428331</v>
      </c>
      <c r="B3043" t="str">
        <f>"1552382668322985"</f>
        <v>1552382668322985</v>
      </c>
      <c r="C3043" t="s">
        <v>40</v>
      </c>
      <c r="D3043">
        <v>3.782159</v>
      </c>
      <c r="E3043">
        <v>0.47390700000000002</v>
      </c>
      <c r="F3043" t="s">
        <v>47</v>
      </c>
      <c r="G3043">
        <v>-459.59629999999999</v>
      </c>
      <c r="H3043" s="1">
        <v>3.52056E-6</v>
      </c>
      <c r="I3043">
        <v>215.74469999999999</v>
      </c>
      <c r="J3043">
        <v>-476.27050000000003</v>
      </c>
      <c r="K3043">
        <v>1.113367</v>
      </c>
      <c r="L3043">
        <v>217.40440000000001</v>
      </c>
      <c r="M3043">
        <v>0.93656519999999999</v>
      </c>
      <c r="N3043">
        <v>0</v>
      </c>
      <c r="O3043">
        <v>-0.35021429999999998</v>
      </c>
      <c r="P3043">
        <v>0.97068460000000001</v>
      </c>
      <c r="Q3043">
        <v>0.1757785</v>
      </c>
      <c r="R3043">
        <v>-0.16393089999999999</v>
      </c>
      <c r="S3043">
        <v>3.0765989999999999</v>
      </c>
      <c r="T3043">
        <v>-0.2041347</v>
      </c>
      <c r="U3043">
        <v>-0.30999759999999998</v>
      </c>
      <c r="V3043">
        <v>-0.1875067</v>
      </c>
      <c r="W3043">
        <v>0.18821160000000001</v>
      </c>
      <c r="X3043">
        <v>0.96406309999999995</v>
      </c>
      <c r="Y3043">
        <v>-0.25330469999999999</v>
      </c>
      <c r="Z3043">
        <v>3.1048610000000001E-2</v>
      </c>
      <c r="AA3043">
        <v>0.96688819999999998</v>
      </c>
      <c r="AB3043">
        <v>12</v>
      </c>
      <c r="AC3043">
        <v>16.674199999999999</v>
      </c>
      <c r="AD3043">
        <v>-1.11336347943999</v>
      </c>
      <c r="AE3043">
        <v>-1.6597000000000099</v>
      </c>
      <c r="AF3043">
        <v>-4.2667088151015804</v>
      </c>
      <c r="AG3043">
        <v>-1.11336347943999</v>
      </c>
      <c r="AH3043">
        <v>16.128109318087802</v>
      </c>
      <c r="AI3043">
        <v>93.818065103847005</v>
      </c>
      <c r="AJ3043">
        <v>104.818191171138</v>
      </c>
      <c r="AK3043">
        <v>16.720056594593402</v>
      </c>
      <c r="AL3043">
        <v>79.151566579545701</v>
      </c>
      <c r="AM3043">
        <v>101.006403348617</v>
      </c>
      <c r="AN3043">
        <v>1.0000000148505299</v>
      </c>
    </row>
    <row r="3044" spans="1:40" x14ac:dyDescent="0.25">
      <c r="A3044" t="str">
        <f>"20190312172428353"</f>
        <v>20190312172428353</v>
      </c>
      <c r="B3044" t="str">
        <f>"1552382668343480"</f>
        <v>1552382668343480</v>
      </c>
      <c r="C3044" t="s">
        <v>40</v>
      </c>
      <c r="D3044">
        <v>3.711185</v>
      </c>
      <c r="E3044">
        <v>0.48035369999999999</v>
      </c>
      <c r="F3044" t="s">
        <v>47</v>
      </c>
      <c r="G3044">
        <v>-459.45299999999997</v>
      </c>
      <c r="H3044" s="1">
        <v>3.4411660000000001E-6</v>
      </c>
      <c r="I3044">
        <v>215.816</v>
      </c>
      <c r="J3044">
        <v>-476.1651</v>
      </c>
      <c r="K3044">
        <v>1.113329</v>
      </c>
      <c r="L3044">
        <v>217.37450000000001</v>
      </c>
      <c r="M3044">
        <v>0.93913139999999995</v>
      </c>
      <c r="N3044">
        <v>0</v>
      </c>
      <c r="O3044">
        <v>-0.34327390000000002</v>
      </c>
      <c r="P3044">
        <v>0.97182740000000001</v>
      </c>
      <c r="Q3044">
        <v>0.17577660000000001</v>
      </c>
      <c r="R3044">
        <v>-0.15701660000000001</v>
      </c>
      <c r="S3044">
        <v>3.07843</v>
      </c>
      <c r="T3044">
        <v>-0.20379939999999999</v>
      </c>
      <c r="U3044">
        <v>-0.29075620000000002</v>
      </c>
      <c r="V3044">
        <v>-0.1872182</v>
      </c>
      <c r="W3044">
        <v>0.18821769999999999</v>
      </c>
      <c r="X3044">
        <v>0.96411789999999997</v>
      </c>
      <c r="Y3044">
        <v>-0.25221169999999998</v>
      </c>
      <c r="Z3044">
        <v>3.052759E-2</v>
      </c>
      <c r="AA3044">
        <v>0.96719040000000001</v>
      </c>
      <c r="AB3044">
        <v>12</v>
      </c>
      <c r="AC3044">
        <v>16.7120999999999</v>
      </c>
      <c r="AD3044">
        <v>-1.1133255588339901</v>
      </c>
      <c r="AE3044">
        <v>-1.55850000000003</v>
      </c>
      <c r="AF3044">
        <v>-4.2548884984688202</v>
      </c>
      <c r="AG3044">
        <v>-1.1133255588339901</v>
      </c>
      <c r="AH3044">
        <v>16.160334452926701</v>
      </c>
      <c r="AI3044">
        <v>93.811524915061895</v>
      </c>
      <c r="AJ3044">
        <v>104.750754319937</v>
      </c>
      <c r="AK3044">
        <v>16.748133614370399</v>
      </c>
      <c r="AL3044">
        <v>79.151209904933097</v>
      </c>
      <c r="AM3044">
        <v>100.989271934862</v>
      </c>
      <c r="AN3044">
        <v>0.99999994105246803</v>
      </c>
    </row>
    <row r="3045" spans="1:40" x14ac:dyDescent="0.25">
      <c r="A3045" t="str">
        <f>"20190312172428375"</f>
        <v>20190312172428375</v>
      </c>
      <c r="B3045" t="str">
        <f>"1552382668363003"</f>
        <v>1552382668363003</v>
      </c>
      <c r="C3045" t="s">
        <v>40</v>
      </c>
      <c r="D3045">
        <v>3.8969610000000001</v>
      </c>
      <c r="E3045">
        <v>0.48164000000000001</v>
      </c>
      <c r="F3045" t="s">
        <v>47</v>
      </c>
      <c r="G3045">
        <v>-459.36540000000002</v>
      </c>
      <c r="H3045" s="1">
        <v>3.40273E-6</v>
      </c>
      <c r="I3045">
        <v>215.6292</v>
      </c>
      <c r="J3045">
        <v>-476.05829999999997</v>
      </c>
      <c r="K3045">
        <v>1.113278</v>
      </c>
      <c r="L3045">
        <v>217.34479999999999</v>
      </c>
      <c r="M3045">
        <v>0.94165379999999999</v>
      </c>
      <c r="N3045">
        <v>0</v>
      </c>
      <c r="O3045">
        <v>-0.33629360000000003</v>
      </c>
      <c r="P3045">
        <v>0.97280929999999999</v>
      </c>
      <c r="Q3045">
        <v>0.17585390000000001</v>
      </c>
      <c r="R3045">
        <v>-0.15072379999999999</v>
      </c>
      <c r="S3045">
        <v>3.0722659999999999</v>
      </c>
      <c r="T3045">
        <v>-0.20360049999999999</v>
      </c>
      <c r="U3045">
        <v>-0.31916809999999901</v>
      </c>
      <c r="V3045">
        <v>-0.18627179999999999</v>
      </c>
      <c r="W3045">
        <v>0.18831139999999999</v>
      </c>
      <c r="X3045">
        <v>0.964283</v>
      </c>
      <c r="Y3045">
        <v>-0.2360052</v>
      </c>
      <c r="Z3045">
        <v>2.956607E-2</v>
      </c>
      <c r="AA3045">
        <v>0.97130190000000005</v>
      </c>
      <c r="AB3045">
        <v>12</v>
      </c>
      <c r="AC3045">
        <v>16.692899999999899</v>
      </c>
      <c r="AD3045">
        <v>-1.11327459727</v>
      </c>
      <c r="AE3045">
        <v>-1.71559999999999</v>
      </c>
      <c r="AF3045">
        <v>-3.9810817224689301</v>
      </c>
      <c r="AG3045">
        <v>-1.11327459727</v>
      </c>
      <c r="AH3045">
        <v>16.226049749057601</v>
      </c>
      <c r="AI3045">
        <v>93.812213875177406</v>
      </c>
      <c r="AJ3045">
        <v>103.785285125578</v>
      </c>
      <c r="AK3045">
        <v>16.744344790668698</v>
      </c>
      <c r="AL3045">
        <v>79.145744579737396</v>
      </c>
      <c r="AM3045">
        <v>100.933235779564</v>
      </c>
      <c r="AN3045">
        <v>1.0000000354670899</v>
      </c>
    </row>
    <row r="3046" spans="1:40" x14ac:dyDescent="0.25">
      <c r="A3046" t="str">
        <f>"20190312172428397"</f>
        <v>20190312172428397</v>
      </c>
      <c r="B3046" t="str">
        <f>"1552382668393256"</f>
        <v>1552382668393256</v>
      </c>
      <c r="C3046" t="s">
        <v>40</v>
      </c>
      <c r="D3046">
        <v>3.872077</v>
      </c>
      <c r="E3046">
        <v>0.4825103</v>
      </c>
      <c r="F3046" t="s">
        <v>47</v>
      </c>
      <c r="G3046">
        <v>-458.98169999999999</v>
      </c>
      <c r="H3046" s="1">
        <v>3.1986440000000001E-6</v>
      </c>
      <c r="I3046">
        <v>215.62710000000001</v>
      </c>
      <c r="J3046">
        <v>-475.95429999999999</v>
      </c>
      <c r="K3046">
        <v>1.113208</v>
      </c>
      <c r="L3046">
        <v>217.3167</v>
      </c>
      <c r="M3046">
        <v>0.94402810000000004</v>
      </c>
      <c r="N3046">
        <v>0</v>
      </c>
      <c r="O3046">
        <v>-0.3295709</v>
      </c>
      <c r="P3046">
        <v>0.9736108</v>
      </c>
      <c r="Q3046">
        <v>0.1760466</v>
      </c>
      <c r="R3046">
        <v>-0.14522289999999999</v>
      </c>
      <c r="S3046">
        <v>3.0722049999999999</v>
      </c>
      <c r="T3046">
        <v>-0.2002864</v>
      </c>
      <c r="U3046">
        <v>-0.30903629999999999</v>
      </c>
      <c r="V3046">
        <v>-0.184804</v>
      </c>
      <c r="W3046">
        <v>0.18852679999999999</v>
      </c>
      <c r="X3046">
        <v>0.96452329999999997</v>
      </c>
      <c r="Y3046">
        <v>-0.2323035</v>
      </c>
      <c r="Z3046">
        <v>2.8560840000000001E-2</v>
      </c>
      <c r="AA3046">
        <v>0.97222390000000003</v>
      </c>
      <c r="AB3046">
        <v>12</v>
      </c>
      <c r="AC3046">
        <v>16.9726</v>
      </c>
      <c r="AD3046">
        <v>-1.1132048013560001</v>
      </c>
      <c r="AE3046">
        <v>-1.68959999999998</v>
      </c>
      <c r="AF3046">
        <v>-3.9820709366705298</v>
      </c>
      <c r="AG3046">
        <v>-1.1132048013560001</v>
      </c>
      <c r="AH3046">
        <v>16.5107330706483</v>
      </c>
      <c r="AI3046">
        <v>93.750017124147604</v>
      </c>
      <c r="AJ3046">
        <v>103.559683426036</v>
      </c>
      <c r="AK3046">
        <v>17.020588133335401</v>
      </c>
      <c r="AL3046">
        <v>79.133177974632105</v>
      </c>
      <c r="AM3046">
        <v>100.846496751497</v>
      </c>
      <c r="AN3046">
        <v>1.00000003448856</v>
      </c>
    </row>
    <row r="3047" spans="1:40" x14ac:dyDescent="0.25">
      <c r="A3047" t="str">
        <f>"20190312172428420"</f>
        <v>20190312172428420</v>
      </c>
      <c r="B3047" t="str">
        <f>"1552382668412776"</f>
        <v>1552382668412776</v>
      </c>
      <c r="C3047" t="s">
        <v>40</v>
      </c>
      <c r="D3047">
        <v>3.819194</v>
      </c>
      <c r="E3047">
        <v>0.48316740000000002</v>
      </c>
      <c r="F3047" t="s">
        <v>47</v>
      </c>
      <c r="G3047">
        <v>-460.2715</v>
      </c>
      <c r="H3047" s="1">
        <v>-1.4439029999999999E-6</v>
      </c>
      <c r="I3047">
        <v>215.79640000000001</v>
      </c>
      <c r="J3047">
        <v>-475.84359999999998</v>
      </c>
      <c r="K3047">
        <v>1.1131279999999999</v>
      </c>
      <c r="L3047">
        <v>217.2876</v>
      </c>
      <c r="M3047">
        <v>0.946465</v>
      </c>
      <c r="N3047">
        <v>0</v>
      </c>
      <c r="O3047">
        <v>-0.32250669999999998</v>
      </c>
      <c r="P3047">
        <v>0.97446920000000004</v>
      </c>
      <c r="Q3047">
        <v>0.1758806</v>
      </c>
      <c r="R3047">
        <v>-0.13955689999999901</v>
      </c>
      <c r="S3047">
        <v>3.0762939999999999</v>
      </c>
      <c r="T3047">
        <v>-0.218364</v>
      </c>
      <c r="U3047">
        <v>-0.29821779999999998</v>
      </c>
      <c r="V3047">
        <v>-0.18317600000000001</v>
      </c>
      <c r="W3047">
        <v>0.18838820000000001</v>
      </c>
      <c r="X3047">
        <v>0.96486090000000002</v>
      </c>
      <c r="Y3047">
        <v>-0.2283608</v>
      </c>
      <c r="Z3047">
        <v>3.048681E-2</v>
      </c>
      <c r="AA3047">
        <v>0.97309909999999999</v>
      </c>
      <c r="AB3047">
        <v>11</v>
      </c>
      <c r="AC3047">
        <v>15.572099999999899</v>
      </c>
      <c r="AD3047">
        <v>-1.1131294439029999</v>
      </c>
      <c r="AE3047">
        <v>-1.4911999999999901</v>
      </c>
      <c r="AF3047">
        <v>-3.5928953808431099</v>
      </c>
      <c r="AG3047">
        <v>-1.1131294439029999</v>
      </c>
      <c r="AH3047">
        <v>15.1441625439861</v>
      </c>
      <c r="AI3047">
        <v>94.090661417361403</v>
      </c>
      <c r="AJ3047">
        <v>103.34645374308801</v>
      </c>
      <c r="AK3047">
        <v>15.6042818974549</v>
      </c>
      <c r="AL3047">
        <v>79.141264326313106</v>
      </c>
      <c r="AM3047">
        <v>100.749509053949</v>
      </c>
      <c r="AN3047">
        <v>1.0000000586120199</v>
      </c>
    </row>
    <row r="3048" spans="1:40" x14ac:dyDescent="0.25">
      <c r="A3048" t="str">
        <f>"20190312172428444"</f>
        <v>20190312172428444</v>
      </c>
      <c r="B3048" t="str">
        <f>"1552382668433272"</f>
        <v>1552382668433272</v>
      </c>
      <c r="C3048" t="s">
        <v>40</v>
      </c>
      <c r="D3048">
        <v>3.759582</v>
      </c>
      <c r="E3048">
        <v>0.4898132</v>
      </c>
      <c r="F3048" t="s">
        <v>47</v>
      </c>
      <c r="G3048">
        <v>-460.67189999999999</v>
      </c>
      <c r="H3048" s="1">
        <v>-1.2346589999999999E-6</v>
      </c>
      <c r="I3048">
        <v>215.8844</v>
      </c>
      <c r="J3048">
        <v>-475.73020000000002</v>
      </c>
      <c r="K3048">
        <v>1.113029</v>
      </c>
      <c r="L3048">
        <v>217.25839999999999</v>
      </c>
      <c r="M3048">
        <v>0.94885629999999999</v>
      </c>
      <c r="N3048">
        <v>0</v>
      </c>
      <c r="O3048">
        <v>-0.31540220000000002</v>
      </c>
      <c r="P3048">
        <v>0.97531409999999996</v>
      </c>
      <c r="Q3048">
        <v>0.17570089999999999</v>
      </c>
      <c r="R3048">
        <v>-0.13375909999999999</v>
      </c>
      <c r="S3048">
        <v>3.0785830000000001</v>
      </c>
      <c r="T3048">
        <v>-0.22587180000000001</v>
      </c>
      <c r="U3048">
        <v>-0.28471370000000001</v>
      </c>
      <c r="V3048">
        <v>-0.18164530000000001</v>
      </c>
      <c r="W3048">
        <v>0.1882364</v>
      </c>
      <c r="X3048">
        <v>0.96517980000000003</v>
      </c>
      <c r="Y3048">
        <v>-0.22529589999999999</v>
      </c>
      <c r="Z3048">
        <v>3.0913510000000002E-2</v>
      </c>
      <c r="AA3048">
        <v>0.97379979999999999</v>
      </c>
      <c r="AB3048">
        <v>11</v>
      </c>
      <c r="AC3048">
        <v>15.058299999999999</v>
      </c>
      <c r="AD3048">
        <v>-1.113030234659</v>
      </c>
      <c r="AE3048">
        <v>-1.3739999999999899</v>
      </c>
      <c r="AF3048">
        <v>-3.42745435319685</v>
      </c>
      <c r="AG3048">
        <v>-1.113030234659</v>
      </c>
      <c r="AH3048">
        <v>14.6436044577693</v>
      </c>
      <c r="AI3048">
        <v>94.232617077244896</v>
      </c>
      <c r="AJ3048">
        <v>103.173398360981</v>
      </c>
      <c r="AK3048">
        <v>15.080498372471499</v>
      </c>
      <c r="AL3048">
        <v>79.150119641224293</v>
      </c>
      <c r="AM3048">
        <v>100.65830708038899</v>
      </c>
      <c r="AN3048">
        <v>1.0000000018125399</v>
      </c>
    </row>
    <row r="3049" spans="1:40" x14ac:dyDescent="0.25">
      <c r="A3049" t="str">
        <f>"20190312172428466"</f>
        <v>20190312172428466</v>
      </c>
      <c r="B3049" t="str">
        <f>"1552382668452795"</f>
        <v>1552382668452795</v>
      </c>
      <c r="C3049" t="s">
        <v>40</v>
      </c>
      <c r="D3049">
        <v>3.7941639999999999</v>
      </c>
      <c r="E3049">
        <v>0.48889870000000002</v>
      </c>
      <c r="F3049" t="s">
        <v>47</v>
      </c>
      <c r="G3049">
        <v>-460.85</v>
      </c>
      <c r="H3049" s="1">
        <v>-1.132286E-6</v>
      </c>
      <c r="I3049">
        <v>215.7106</v>
      </c>
      <c r="J3049">
        <v>-475.62360000000001</v>
      </c>
      <c r="K3049">
        <v>1.112946</v>
      </c>
      <c r="L3049">
        <v>217.23169999999999</v>
      </c>
      <c r="M3049">
        <v>0.95100770000000001</v>
      </c>
      <c r="N3049">
        <v>0</v>
      </c>
      <c r="O3049">
        <v>-0.30885580000000001</v>
      </c>
      <c r="P3049">
        <v>0.97613380000000005</v>
      </c>
      <c r="Q3049">
        <v>0.17507729999999999</v>
      </c>
      <c r="R3049">
        <v>-0.12849379999999999</v>
      </c>
      <c r="S3049">
        <v>3.0734859999999999</v>
      </c>
      <c r="T3049">
        <v>-0.22989480000000001</v>
      </c>
      <c r="U3049">
        <v>-0.31970209999999999</v>
      </c>
      <c r="V3049">
        <v>-0.18018870000000001</v>
      </c>
      <c r="W3049">
        <v>0.1876398</v>
      </c>
      <c r="X3049">
        <v>0.96556889999999995</v>
      </c>
      <c r="Y3049">
        <v>-0.2074318</v>
      </c>
      <c r="Z3049">
        <v>3.035672E-2</v>
      </c>
      <c r="AA3049">
        <v>0.97777840000000005</v>
      </c>
      <c r="AB3049">
        <v>11</v>
      </c>
      <c r="AC3049">
        <v>14.773599999999901</v>
      </c>
      <c r="AD3049">
        <v>-1.1129471322860001</v>
      </c>
      <c r="AE3049">
        <v>-1.5210999999999899</v>
      </c>
      <c r="AF3049">
        <v>-3.0992300874288201</v>
      </c>
      <c r="AG3049">
        <v>-1.1129471322860001</v>
      </c>
      <c r="AH3049">
        <v>14.4399163633254</v>
      </c>
      <c r="AI3049">
        <v>94.309559812389494</v>
      </c>
      <c r="AJ3049">
        <v>102.11358108840901</v>
      </c>
      <c r="AK3049">
        <v>14.810640196626199</v>
      </c>
      <c r="AL3049">
        <v>79.184922236153994</v>
      </c>
      <c r="AM3049">
        <v>100.570608869062</v>
      </c>
      <c r="AN3049">
        <v>0.999999981399469</v>
      </c>
    </row>
    <row r="3050" spans="1:40" x14ac:dyDescent="0.25">
      <c r="A3050" t="str">
        <f>"20190312172428489"</f>
        <v>20190312172428489</v>
      </c>
      <c r="B3050" t="str">
        <f>"1552382668483048"</f>
        <v>1552382668483048</v>
      </c>
      <c r="C3050" t="s">
        <v>40</v>
      </c>
      <c r="D3050">
        <v>3.7044510000000002</v>
      </c>
      <c r="E3050">
        <v>0.46565089999999998</v>
      </c>
      <c r="F3050" t="s">
        <v>47</v>
      </c>
      <c r="G3050">
        <v>-461.63029999999998</v>
      </c>
      <c r="H3050" s="1">
        <v>-7.2473690000000005E-7</v>
      </c>
      <c r="I3050">
        <v>215.88640000000001</v>
      </c>
      <c r="J3050">
        <v>-475.50990000000002</v>
      </c>
      <c r="K3050">
        <v>1.1128579999999999</v>
      </c>
      <c r="L3050">
        <v>217.2039</v>
      </c>
      <c r="M3050">
        <v>0.95320649999999996</v>
      </c>
      <c r="N3050">
        <v>0</v>
      </c>
      <c r="O3050">
        <v>-0.30200320000000003</v>
      </c>
      <c r="P3050">
        <v>0.97708459999999997</v>
      </c>
      <c r="Q3050">
        <v>0.17406340000000001</v>
      </c>
      <c r="R3050">
        <v>-0.12250560000000001</v>
      </c>
      <c r="S3050">
        <v>3.0783390000000002</v>
      </c>
      <c r="T3050">
        <v>-0.244833</v>
      </c>
      <c r="U3050">
        <v>-0.29595949999999999</v>
      </c>
      <c r="V3050">
        <v>-0.1791702</v>
      </c>
      <c r="W3050">
        <v>0.1866449</v>
      </c>
      <c r="X3050">
        <v>0.96595120000000001</v>
      </c>
      <c r="Y3050">
        <v>-0.2078526</v>
      </c>
      <c r="Z3050">
        <v>3.1790520000000003E-2</v>
      </c>
      <c r="AA3050">
        <v>0.97764340000000005</v>
      </c>
      <c r="AB3050">
        <v>11</v>
      </c>
      <c r="AC3050">
        <v>13.8796</v>
      </c>
      <c r="AD3050">
        <v>-1.1128587247369</v>
      </c>
      <c r="AE3050">
        <v>-1.3174999999999899</v>
      </c>
      <c r="AF3050">
        <v>-2.9175265612861798</v>
      </c>
      <c r="AG3050">
        <v>-1.1128587247369</v>
      </c>
      <c r="AH3050">
        <v>13.5430315814314</v>
      </c>
      <c r="AI3050">
        <v>94.592663280221103</v>
      </c>
      <c r="AJ3050">
        <v>102.15722971216999</v>
      </c>
      <c r="AK3050">
        <v>13.898349549233499</v>
      </c>
      <c r="AL3050">
        <v>79.242951219461901</v>
      </c>
      <c r="AM3050">
        <v>100.50812720658</v>
      </c>
      <c r="AN3050">
        <v>1.00000000002274</v>
      </c>
    </row>
    <row r="3051" spans="1:40" x14ac:dyDescent="0.25">
      <c r="A3051" t="str">
        <f>"20190312172428511"</f>
        <v>20190312172428511</v>
      </c>
      <c r="B3051" t="str">
        <f>"1552382668503545"</f>
        <v>1552382668503545</v>
      </c>
      <c r="C3051" t="s">
        <v>40</v>
      </c>
      <c r="D3051">
        <v>3.7300070000000001</v>
      </c>
      <c r="E3051">
        <v>0.46310099999999998</v>
      </c>
      <c r="F3051" t="s">
        <v>47</v>
      </c>
      <c r="G3051">
        <v>-460.46249999999998</v>
      </c>
      <c r="H3051" s="1">
        <v>-1.3839009999999901E-6</v>
      </c>
      <c r="I3051">
        <v>216.74930000000001</v>
      </c>
      <c r="J3051">
        <v>-475.40499999999997</v>
      </c>
      <c r="K3051">
        <v>1.1127899999999999</v>
      </c>
      <c r="L3051">
        <v>217.1788</v>
      </c>
      <c r="M3051">
        <v>0.95514770000000004</v>
      </c>
      <c r="N3051">
        <v>0</v>
      </c>
      <c r="O3051">
        <v>-0.2958073</v>
      </c>
      <c r="P3051">
        <v>0.97779289999999996</v>
      </c>
      <c r="Q3051">
        <v>0.1737515</v>
      </c>
      <c r="R3051">
        <v>-0.1171816</v>
      </c>
      <c r="S3051">
        <v>3.0994869999999999</v>
      </c>
      <c r="T3051">
        <v>-0.2292284</v>
      </c>
      <c r="U3051">
        <v>-9.3643190000000001E-2</v>
      </c>
      <c r="V3051">
        <v>-0.17813989999999999</v>
      </c>
      <c r="W3051">
        <v>0.18634590000000001</v>
      </c>
      <c r="X3051">
        <v>0.96619949999999999</v>
      </c>
      <c r="Y3051">
        <v>-0.26534439999999998</v>
      </c>
      <c r="Z3051">
        <v>3.1366020000000001E-2</v>
      </c>
      <c r="AA3051">
        <v>0.96364340000000004</v>
      </c>
      <c r="AB3051">
        <v>11</v>
      </c>
      <c r="AC3051">
        <v>14.9424999999999</v>
      </c>
      <c r="AD3051">
        <v>-1.112791383901</v>
      </c>
      <c r="AE3051">
        <v>-0.42949999999999</v>
      </c>
      <c r="AF3051">
        <v>-3.9881474010611302</v>
      </c>
      <c r="AG3051">
        <v>-1.112791383901</v>
      </c>
      <c r="AH3051">
        <v>14.3213575607479</v>
      </c>
      <c r="AI3051">
        <v>94.280796720845302</v>
      </c>
      <c r="AJ3051">
        <v>105.561217923809</v>
      </c>
      <c r="AK3051">
        <v>14.9078806924212</v>
      </c>
      <c r="AL3051">
        <v>79.2603890824182</v>
      </c>
      <c r="AM3051">
        <v>100.446409780739</v>
      </c>
      <c r="AN3051">
        <v>1.00000004610953</v>
      </c>
    </row>
    <row r="3052" spans="1:40" x14ac:dyDescent="0.25">
      <c r="A3052" t="str">
        <f>"20190312172428532"</f>
        <v>20190312172428532</v>
      </c>
      <c r="B3052" t="str">
        <f>"1552382668523064"</f>
        <v>1552382668523064</v>
      </c>
      <c r="C3052" t="s">
        <v>40</v>
      </c>
      <c r="D3052">
        <v>3.8492060000000001</v>
      </c>
      <c r="E3052">
        <v>0.46230270000000001</v>
      </c>
      <c r="F3052" t="s">
        <v>47</v>
      </c>
      <c r="G3052">
        <v>-459.74770000000001</v>
      </c>
      <c r="H3052" s="1">
        <v>3.551046E-6</v>
      </c>
      <c r="I3052">
        <v>216.89109999999999</v>
      </c>
      <c r="J3052">
        <v>-475.30200000000002</v>
      </c>
      <c r="K3052">
        <v>1.1127149999999999</v>
      </c>
      <c r="L3052">
        <v>217.15459999999999</v>
      </c>
      <c r="M3052">
        <v>0.95697049999999995</v>
      </c>
      <c r="N3052">
        <v>0</v>
      </c>
      <c r="O3052">
        <v>-0.28985809999999901</v>
      </c>
      <c r="P3052">
        <v>0.97834399999999999</v>
      </c>
      <c r="Q3052">
        <v>0.17379620000000001</v>
      </c>
      <c r="R3052">
        <v>-0.1124198</v>
      </c>
      <c r="S3052">
        <v>3.1004330000000002</v>
      </c>
      <c r="T3052">
        <v>-0.2203524</v>
      </c>
      <c r="U3052">
        <v>-5.6961060000000001E-2</v>
      </c>
      <c r="V3052">
        <v>-0.17679520000000001</v>
      </c>
      <c r="W3052">
        <v>0.18640409999999999</v>
      </c>
      <c r="X3052">
        <v>0.96643520000000005</v>
      </c>
      <c r="Y3052">
        <v>-0.27086059999999901</v>
      </c>
      <c r="Z3052">
        <v>2.9947580000000001E-2</v>
      </c>
      <c r="AA3052">
        <v>0.96215260000000002</v>
      </c>
      <c r="AB3052">
        <v>11</v>
      </c>
      <c r="AC3052">
        <v>15.5542999999999</v>
      </c>
      <c r="AD3052">
        <v>-1.112711448954</v>
      </c>
      <c r="AE3052">
        <v>-0.26349999999999302</v>
      </c>
      <c r="AF3052">
        <v>-4.2351146900366903</v>
      </c>
      <c r="AG3052">
        <v>-1.112711448954</v>
      </c>
      <c r="AH3052">
        <v>14.8866418349971</v>
      </c>
      <c r="AI3052">
        <v>94.112084984618093</v>
      </c>
      <c r="AJ3052">
        <v>105.880572299162</v>
      </c>
      <c r="AK3052">
        <v>15.5172944913049</v>
      </c>
      <c r="AL3052">
        <v>79.256994645122305</v>
      </c>
      <c r="AM3052">
        <v>100.366797202227</v>
      </c>
      <c r="AN3052">
        <v>1.00000001351944</v>
      </c>
    </row>
    <row r="3053" spans="1:40" x14ac:dyDescent="0.25">
      <c r="A3053" t="str">
        <f>"20190312172428555"</f>
        <v>20190312172428555</v>
      </c>
      <c r="B3053" t="str">
        <f>"1552382668543560"</f>
        <v>1552382668543560</v>
      </c>
      <c r="C3053" t="s">
        <v>40</v>
      </c>
      <c r="D3053">
        <v>3.895775</v>
      </c>
      <c r="E3053">
        <v>0.46158460000000001</v>
      </c>
      <c r="F3053" t="s">
        <v>47</v>
      </c>
      <c r="G3053">
        <v>-459.87670000000003</v>
      </c>
      <c r="H3053" s="1">
        <v>3.6159380000000002E-6</v>
      </c>
      <c r="I3053">
        <v>216.97620000000001</v>
      </c>
      <c r="J3053">
        <v>-475.19369999999998</v>
      </c>
      <c r="K3053">
        <v>1.1126339999999999</v>
      </c>
      <c r="L3053">
        <v>217.12979999999999</v>
      </c>
      <c r="M3053">
        <v>0.95879020000000004</v>
      </c>
      <c r="N3053">
        <v>0</v>
      </c>
      <c r="O3053">
        <v>-0.28378130000000001</v>
      </c>
      <c r="P3053">
        <v>0.97893560000000002</v>
      </c>
      <c r="Q3053">
        <v>0.1736896</v>
      </c>
      <c r="R3053">
        <v>-0.107318</v>
      </c>
      <c r="S3053">
        <v>3.1019899999999998</v>
      </c>
      <c r="T3053">
        <v>-0.2237632</v>
      </c>
      <c r="U3053">
        <v>-3.5888669999999998E-2</v>
      </c>
      <c r="V3053">
        <v>-0.17566780000000001</v>
      </c>
      <c r="W3053">
        <v>0.18631229999999999</v>
      </c>
      <c r="X3053">
        <v>0.96665849999999998</v>
      </c>
      <c r="Y3053">
        <v>-0.27127059999999997</v>
      </c>
      <c r="Z3053">
        <v>2.9993220000000001E-2</v>
      </c>
      <c r="AA3053">
        <v>0.96203570000000005</v>
      </c>
      <c r="AB3053">
        <v>11</v>
      </c>
      <c r="AC3053">
        <v>15.316999999999901</v>
      </c>
      <c r="AD3053">
        <v>-1.112630384062</v>
      </c>
      <c r="AE3053">
        <v>-0.153599999999983</v>
      </c>
      <c r="AF3053">
        <v>-4.1777638189769002</v>
      </c>
      <c r="AG3053">
        <v>-1.112630384062</v>
      </c>
      <c r="AH3053">
        <v>14.6534615785528</v>
      </c>
      <c r="AI3053">
        <v>94.176315042916798</v>
      </c>
      <c r="AJ3053">
        <v>105.913074865795</v>
      </c>
      <c r="AK3053">
        <v>15.2779446632331</v>
      </c>
      <c r="AL3053">
        <v>79.262348603523407</v>
      </c>
      <c r="AM3053">
        <v>100.299780670576</v>
      </c>
      <c r="AN3053">
        <v>1.00000005235518</v>
      </c>
    </row>
    <row r="3054" spans="1:40" x14ac:dyDescent="0.25">
      <c r="A3054" t="str">
        <f>"20190312172428575"</f>
        <v>20190312172428575</v>
      </c>
      <c r="B3054" t="str">
        <f>"1552382668572840"</f>
        <v>1552382668572840</v>
      </c>
      <c r="C3054" t="s">
        <v>40</v>
      </c>
      <c r="D3054">
        <v>3.9265110000000001</v>
      </c>
      <c r="E3054">
        <v>0.46215699999999998</v>
      </c>
      <c r="F3054" t="s">
        <v>47</v>
      </c>
      <c r="G3054">
        <v>-460.3082</v>
      </c>
      <c r="H3054" s="1">
        <v>-1.4795749999999999E-6</v>
      </c>
      <c r="I3054">
        <v>217.05940000000001</v>
      </c>
      <c r="J3054">
        <v>-475.09300000000002</v>
      </c>
      <c r="K3054">
        <v>1.112541</v>
      </c>
      <c r="L3054">
        <v>217.1071</v>
      </c>
      <c r="M3054">
        <v>0.96040020000000004</v>
      </c>
      <c r="N3054">
        <v>0</v>
      </c>
      <c r="O3054">
        <v>-0.27828570000000002</v>
      </c>
      <c r="P3054">
        <v>0.97944989999999998</v>
      </c>
      <c r="Q3054">
        <v>0.17341779999999901</v>
      </c>
      <c r="R3054">
        <v>-0.102977399999999</v>
      </c>
      <c r="S3054">
        <v>3.1041259999999999</v>
      </c>
      <c r="T3054">
        <v>-0.23202130000000001</v>
      </c>
      <c r="U3054">
        <v>-1.467896E-2</v>
      </c>
      <c r="V3054">
        <v>-0.17438689999999901</v>
      </c>
      <c r="W3054">
        <v>0.1860588</v>
      </c>
      <c r="X3054">
        <v>0.9669392</v>
      </c>
      <c r="Y3054">
        <v>-0.27224730000000003</v>
      </c>
      <c r="Z3054">
        <v>3.0721109999999999E-2</v>
      </c>
      <c r="AA3054">
        <v>0.96173679999999995</v>
      </c>
      <c r="AB3054">
        <v>11</v>
      </c>
      <c r="AC3054">
        <v>14.784800000000001</v>
      </c>
      <c r="AD3054">
        <v>-1.1125424795749901</v>
      </c>
      <c r="AE3054">
        <v>-4.7699999999991798E-2</v>
      </c>
      <c r="AF3054">
        <v>-4.0460606296675197</v>
      </c>
      <c r="AG3054">
        <v>-1.1125424795749901</v>
      </c>
      <c r="AH3054">
        <v>14.1339076809722</v>
      </c>
      <c r="AI3054">
        <v>94.327596366449896</v>
      </c>
      <c r="AJ3054">
        <v>105.974629600996</v>
      </c>
      <c r="AK3054">
        <v>14.743666563038101</v>
      </c>
      <c r="AL3054">
        <v>79.277131459002803</v>
      </c>
      <c r="AM3054">
        <v>100.22336315914001</v>
      </c>
      <c r="AN3054">
        <v>1.0000000422228399</v>
      </c>
    </row>
    <row r="3055" spans="1:40" x14ac:dyDescent="0.25">
      <c r="A3055" t="str">
        <f>"20190312172428599"</f>
        <v>20190312172428599</v>
      </c>
      <c r="B3055" t="str">
        <f>"1552382668593336"</f>
        <v>1552382668593336</v>
      </c>
      <c r="C3055" t="s">
        <v>40</v>
      </c>
      <c r="D3055">
        <v>3.8793799999999998</v>
      </c>
      <c r="E3055">
        <v>0.46241199999999999</v>
      </c>
      <c r="F3055" t="s">
        <v>47</v>
      </c>
      <c r="G3055">
        <v>-460.08429999999998</v>
      </c>
      <c r="H3055" s="1">
        <v>-1.5995439999999901E-6</v>
      </c>
      <c r="I3055">
        <v>217.07859999999999</v>
      </c>
      <c r="J3055">
        <v>-474.98450000000003</v>
      </c>
      <c r="K3055">
        <v>1.1124289999999999</v>
      </c>
      <c r="L3055">
        <v>217.0831</v>
      </c>
      <c r="M3055">
        <v>0.9620436</v>
      </c>
      <c r="N3055">
        <v>0</v>
      </c>
      <c r="O3055">
        <v>-0.27255210000000002</v>
      </c>
      <c r="P3055">
        <v>0.97987069999999998</v>
      </c>
      <c r="Q3055">
        <v>0.1731587</v>
      </c>
      <c r="R3055">
        <v>-9.9346030000000002E-2</v>
      </c>
      <c r="S3055">
        <v>3.1030579999999999</v>
      </c>
      <c r="T3055">
        <v>-0.23002</v>
      </c>
      <c r="U3055">
        <v>-5.8898930000000002E-3</v>
      </c>
      <c r="V3055">
        <v>-0.1721625</v>
      </c>
      <c r="W3055">
        <v>0.1858264</v>
      </c>
      <c r="X3055">
        <v>0.96738239999999998</v>
      </c>
      <c r="Y3055">
        <v>-0.26927899999999999</v>
      </c>
      <c r="Z3055">
        <v>2.994811E-2</v>
      </c>
      <c r="AA3055">
        <v>0.96259649999999997</v>
      </c>
      <c r="AB3055">
        <v>11</v>
      </c>
      <c r="AC3055">
        <v>14.9002</v>
      </c>
      <c r="AD3055">
        <v>-1.112430599544</v>
      </c>
      <c r="AE3055">
        <v>-4.5000000000072699E-3</v>
      </c>
      <c r="AF3055">
        <v>-4.0346430824415798</v>
      </c>
      <c r="AG3055">
        <v>-1.112430599544</v>
      </c>
      <c r="AH3055">
        <v>14.25774078649</v>
      </c>
      <c r="AI3055">
        <v>94.2934212720874</v>
      </c>
      <c r="AJ3055">
        <v>105.800405960135</v>
      </c>
      <c r="AK3055">
        <v>14.859307486428699</v>
      </c>
      <c r="AL3055">
        <v>79.290683338007895</v>
      </c>
      <c r="AM3055">
        <v>100.091127589686</v>
      </c>
      <c r="AN3055">
        <v>1.0000000425864799</v>
      </c>
    </row>
    <row r="3056" spans="1:40" x14ac:dyDescent="0.25">
      <c r="A3056" t="str">
        <f>"20190312172428622"</f>
        <v>20190312172428622</v>
      </c>
      <c r="B3056" t="str">
        <f>"1552382668612856"</f>
        <v>1552382668612856</v>
      </c>
      <c r="C3056" t="s">
        <v>40</v>
      </c>
      <c r="D3056">
        <v>3.7791649999999999</v>
      </c>
      <c r="E3056">
        <v>0.46306079999999999</v>
      </c>
      <c r="F3056" t="s">
        <v>47</v>
      </c>
      <c r="G3056">
        <v>-459.99970000000002</v>
      </c>
      <c r="H3056" s="1">
        <v>-1.6455149999999999E-6</v>
      </c>
      <c r="I3056">
        <v>217.09950000000001</v>
      </c>
      <c r="J3056">
        <v>-474.87110000000001</v>
      </c>
      <c r="K3056">
        <v>1.112312</v>
      </c>
      <c r="L3056">
        <v>217.05850000000001</v>
      </c>
      <c r="M3056">
        <v>0.96366269999999998</v>
      </c>
      <c r="N3056">
        <v>0</v>
      </c>
      <c r="O3056">
        <v>-0.26677260000000003</v>
      </c>
      <c r="P3056">
        <v>0.98035280000000002</v>
      </c>
      <c r="Q3056">
        <v>0.17264879999999999</v>
      </c>
      <c r="R3056">
        <v>-9.5400529999999997E-2</v>
      </c>
      <c r="S3056">
        <v>3.102722</v>
      </c>
      <c r="T3056">
        <v>-0.2303364</v>
      </c>
      <c r="U3056">
        <v>3.3874510000000001E-3</v>
      </c>
      <c r="V3056">
        <v>-0.17021710000000001</v>
      </c>
      <c r="W3056">
        <v>0.1853438</v>
      </c>
      <c r="X3056">
        <v>0.96781910000000004</v>
      </c>
      <c r="Y3056">
        <v>-0.26639580000000002</v>
      </c>
      <c r="Z3056">
        <v>2.9471529999999999E-2</v>
      </c>
      <c r="AA3056">
        <v>0.96341310000000002</v>
      </c>
      <c r="AB3056">
        <v>11</v>
      </c>
      <c r="AC3056">
        <v>14.8713999999999</v>
      </c>
      <c r="AD3056">
        <v>-1.112313645515</v>
      </c>
      <c r="AE3056">
        <v>4.0999999999996803E-2</v>
      </c>
      <c r="AF3056">
        <v>-3.9848733934276499</v>
      </c>
      <c r="AG3056">
        <v>-1.112313645515</v>
      </c>
      <c r="AH3056">
        <v>14.2417390259914</v>
      </c>
      <c r="AI3056">
        <v>94.301324992566194</v>
      </c>
      <c r="AJ3056">
        <v>105.631749724291</v>
      </c>
      <c r="AK3056">
        <v>14.8304952072441</v>
      </c>
      <c r="AL3056">
        <v>79.318822635371902</v>
      </c>
      <c r="AM3056">
        <v>99.974992364219204</v>
      </c>
      <c r="AN3056">
        <v>0.99999999782783</v>
      </c>
    </row>
    <row r="3057" spans="1:40" x14ac:dyDescent="0.25">
      <c r="A3057" t="str">
        <f>"20190312172428644"</f>
        <v>20190312172428644</v>
      </c>
      <c r="B3057" t="str">
        <f>"1552382668633352"</f>
        <v>1552382668633352</v>
      </c>
      <c r="C3057" t="s">
        <v>40</v>
      </c>
      <c r="D3057">
        <v>3.7605390000000001</v>
      </c>
      <c r="E3057">
        <v>0.46386359999999899</v>
      </c>
      <c r="F3057" t="s">
        <v>47</v>
      </c>
      <c r="G3057">
        <v>-459.8023</v>
      </c>
      <c r="H3057" s="1">
        <v>3.57044E-6</v>
      </c>
      <c r="I3057">
        <v>217.1113</v>
      </c>
      <c r="J3057">
        <v>-474.7672</v>
      </c>
      <c r="K3057">
        <v>1.112212</v>
      </c>
      <c r="L3057">
        <v>217.03630000000001</v>
      </c>
      <c r="M3057">
        <v>0.96505549999999996</v>
      </c>
      <c r="N3057">
        <v>0</v>
      </c>
      <c r="O3057">
        <v>-0.26168999999999998</v>
      </c>
      <c r="P3057">
        <v>0.98064549999999995</v>
      </c>
      <c r="Q3057">
        <v>0.17262640000000001</v>
      </c>
      <c r="R3057">
        <v>-9.2383779999999999E-2</v>
      </c>
      <c r="S3057">
        <v>3.1015009999999998</v>
      </c>
      <c r="T3057">
        <v>-0.2289379</v>
      </c>
      <c r="U3057">
        <v>1.087952E-2</v>
      </c>
      <c r="V3057">
        <v>-0.16804340000000001</v>
      </c>
      <c r="W3057">
        <v>0.1853457</v>
      </c>
      <c r="X3057">
        <v>0.96819849999999996</v>
      </c>
      <c r="Y3057">
        <v>-0.26368130000000001</v>
      </c>
      <c r="Z3057">
        <v>2.884167E-2</v>
      </c>
      <c r="AA3057">
        <v>0.9641786</v>
      </c>
      <c r="AB3057">
        <v>11</v>
      </c>
      <c r="AC3057">
        <v>14.9649</v>
      </c>
      <c r="AD3057">
        <v>-1.1122084295600001</v>
      </c>
      <c r="AE3057">
        <v>7.4999999999988604E-2</v>
      </c>
      <c r="AF3057">
        <v>-3.9670035633709002</v>
      </c>
      <c r="AG3057">
        <v>-1.1122084295600001</v>
      </c>
      <c r="AH3057">
        <v>14.344443957208499</v>
      </c>
      <c r="AI3057">
        <v>94.273810366286199</v>
      </c>
      <c r="AJ3057">
        <v>105.458959574264</v>
      </c>
      <c r="AK3057">
        <v>14.924382643984901</v>
      </c>
      <c r="AL3057">
        <v>79.318711597490605</v>
      </c>
      <c r="AM3057">
        <v>99.846336497132796</v>
      </c>
      <c r="AN3057">
        <v>0.99999997409714902</v>
      </c>
    </row>
    <row r="3058" spans="1:40" x14ac:dyDescent="0.25">
      <c r="A3058" t="str">
        <f>"20190312172428667"</f>
        <v>20190312172428667</v>
      </c>
      <c r="B3058" t="str">
        <f>"1552382668663608"</f>
        <v>1552382668663608</v>
      </c>
      <c r="C3058" t="s">
        <v>40</v>
      </c>
      <c r="D3058">
        <v>3.7561249999999999</v>
      </c>
      <c r="E3058">
        <v>0.4649218</v>
      </c>
      <c r="F3058" t="s">
        <v>47</v>
      </c>
      <c r="G3058">
        <v>-459.57429999999999</v>
      </c>
      <c r="H3058" s="1">
        <v>3.4495749999999999E-6</v>
      </c>
      <c r="I3058">
        <v>217.10130000000001</v>
      </c>
      <c r="J3058">
        <v>-474.65600000000001</v>
      </c>
      <c r="K3058">
        <v>1.11212</v>
      </c>
      <c r="L3058">
        <v>217.0128</v>
      </c>
      <c r="M3058">
        <v>0.96646609999999999</v>
      </c>
      <c r="N3058">
        <v>0</v>
      </c>
      <c r="O3058">
        <v>-0.25643329999999998</v>
      </c>
      <c r="P3058">
        <v>0.98075619999999997</v>
      </c>
      <c r="Q3058">
        <v>0.17315630000000001</v>
      </c>
      <c r="R3058">
        <v>-9.018967E-2</v>
      </c>
      <c r="S3058">
        <v>3.1004640000000001</v>
      </c>
      <c r="T3058">
        <v>-0.22697249999999999</v>
      </c>
      <c r="U3058">
        <v>1.3275149999999999E-2</v>
      </c>
      <c r="V3058">
        <v>-0.16487189999999999</v>
      </c>
      <c r="W3058">
        <v>0.18589430000000001</v>
      </c>
      <c r="X3058">
        <v>0.96863849999999996</v>
      </c>
      <c r="Y3058">
        <v>-0.25922450000000002</v>
      </c>
      <c r="Z3058">
        <v>2.8067620000000001E-2</v>
      </c>
      <c r="AA3058">
        <v>0.96540919999999997</v>
      </c>
      <c r="AB3058">
        <v>11</v>
      </c>
      <c r="AC3058">
        <v>15.0817</v>
      </c>
      <c r="AD3058">
        <v>-1.1121165504249999</v>
      </c>
      <c r="AE3058">
        <v>8.8500000000010404E-2</v>
      </c>
      <c r="AF3058">
        <v>-3.9319691443579599</v>
      </c>
      <c r="AG3058">
        <v>-1.1121165504249999</v>
      </c>
      <c r="AH3058">
        <v>14.475895439060899</v>
      </c>
      <c r="AI3058">
        <v>94.240102318355099</v>
      </c>
      <c r="AJ3058">
        <v>105.196149614855</v>
      </c>
      <c r="AK3058">
        <v>15.0415668511141</v>
      </c>
      <c r="AL3058">
        <v>79.286723385741993</v>
      </c>
      <c r="AM3058">
        <v>99.659735666354905</v>
      </c>
      <c r="AN3058">
        <v>0.99999998893217401</v>
      </c>
    </row>
    <row r="3059" spans="1:40" x14ac:dyDescent="0.25">
      <c r="A3059" t="str">
        <f>"20190312172428690"</f>
        <v>20190312172428690</v>
      </c>
      <c r="B3059" t="str">
        <f>"1552382668683128"</f>
        <v>1552382668683128</v>
      </c>
      <c r="C3059" t="s">
        <v>40</v>
      </c>
      <c r="D3059">
        <v>3.7227969999999999</v>
      </c>
      <c r="E3059">
        <v>0.46557969999999999</v>
      </c>
      <c r="F3059" t="s">
        <v>47</v>
      </c>
      <c r="G3059">
        <v>-459.15949999999998</v>
      </c>
      <c r="H3059" s="1">
        <v>3.2300969999999999E-6</v>
      </c>
      <c r="I3059">
        <v>217.0727</v>
      </c>
      <c r="J3059">
        <v>-474.54559999999998</v>
      </c>
      <c r="K3059">
        <v>1.1120570000000001</v>
      </c>
      <c r="L3059">
        <v>216.98990000000001</v>
      </c>
      <c r="M3059">
        <v>0.9677888</v>
      </c>
      <c r="N3059">
        <v>0</v>
      </c>
      <c r="O3059">
        <v>-0.25139689999999998</v>
      </c>
      <c r="P3059">
        <v>0.9809871</v>
      </c>
      <c r="Q3059">
        <v>0.17278189999999999</v>
      </c>
      <c r="R3059">
        <v>-8.8379540000000006E-2</v>
      </c>
      <c r="S3059">
        <v>3.099243</v>
      </c>
      <c r="T3059">
        <v>-0.22242029999999999</v>
      </c>
      <c r="U3059">
        <v>1.197815E-2</v>
      </c>
      <c r="V3059">
        <v>-0.16159490000000001</v>
      </c>
      <c r="W3059">
        <v>0.18553500000000001</v>
      </c>
      <c r="X3059">
        <v>0.96925939999999999</v>
      </c>
      <c r="Y3059">
        <v>-0.25386969999999998</v>
      </c>
      <c r="Z3059">
        <v>2.6972989999999999E-2</v>
      </c>
      <c r="AA3059">
        <v>0.96686229999999995</v>
      </c>
      <c r="AB3059">
        <v>11</v>
      </c>
      <c r="AC3059">
        <v>15.386100000000001</v>
      </c>
      <c r="AD3059">
        <v>-1.112053769903</v>
      </c>
      <c r="AE3059">
        <v>8.27999999999917E-2</v>
      </c>
      <c r="AF3059">
        <v>-3.9279960529047</v>
      </c>
      <c r="AG3059">
        <v>-1.112053769903</v>
      </c>
      <c r="AH3059">
        <v>14.793772163329701</v>
      </c>
      <c r="AI3059">
        <v>94.155410423189693</v>
      </c>
      <c r="AJ3059">
        <v>104.869894671279</v>
      </c>
      <c r="AK3059">
        <v>15.346710116481001</v>
      </c>
      <c r="AL3059">
        <v>79.307673980576695</v>
      </c>
      <c r="AM3059">
        <v>99.465293806156794</v>
      </c>
      <c r="AN3059">
        <v>0.99999996620968401</v>
      </c>
    </row>
    <row r="3060" spans="1:40" x14ac:dyDescent="0.25">
      <c r="A3060" t="str">
        <f>"20190312172428712"</f>
        <v>20190312172428712</v>
      </c>
      <c r="B3060" t="str">
        <f>"1552382668703624"</f>
        <v>1552382668703624</v>
      </c>
      <c r="C3060" t="s">
        <v>40</v>
      </c>
      <c r="D3060">
        <v>3.9083860000000001</v>
      </c>
      <c r="E3060">
        <v>0.46636749999999999</v>
      </c>
      <c r="F3060" t="s">
        <v>47</v>
      </c>
      <c r="G3060">
        <v>-458.97449999999998</v>
      </c>
      <c r="H3060" s="1">
        <v>3.1324479999999999E-6</v>
      </c>
      <c r="I3060">
        <v>217.05369999999999</v>
      </c>
      <c r="J3060">
        <v>-474.43799999999999</v>
      </c>
      <c r="K3060">
        <v>1.112009</v>
      </c>
      <c r="L3060">
        <v>216.96799999999999</v>
      </c>
      <c r="M3060">
        <v>0.96900299999999995</v>
      </c>
      <c r="N3060">
        <v>0</v>
      </c>
      <c r="O3060">
        <v>-0.2466769</v>
      </c>
      <c r="P3060">
        <v>0.9813153</v>
      </c>
      <c r="Q3060">
        <v>0.1717823</v>
      </c>
      <c r="R3060">
        <v>-8.6669389999999999E-2</v>
      </c>
      <c r="S3060">
        <v>3.0982669999999999</v>
      </c>
      <c r="T3060">
        <v>-0.22127150000000001</v>
      </c>
      <c r="U3060">
        <v>1.269531E-2</v>
      </c>
      <c r="V3060">
        <v>-0.15856999999999999</v>
      </c>
      <c r="W3060">
        <v>0.18454809999999999</v>
      </c>
      <c r="X3060">
        <v>0.96994720000000001</v>
      </c>
      <c r="Y3060">
        <v>-0.24941440000000001</v>
      </c>
      <c r="Z3060">
        <v>2.6355170000000001E-2</v>
      </c>
      <c r="AA3060">
        <v>0.96803810000000001</v>
      </c>
      <c r="AB3060">
        <v>11</v>
      </c>
      <c r="AC3060">
        <v>15.4635</v>
      </c>
      <c r="AD3060">
        <v>-1.1120058675519999</v>
      </c>
      <c r="AE3060">
        <v>8.5700000000002705E-2</v>
      </c>
      <c r="AF3060">
        <v>-3.8778370356274801</v>
      </c>
      <c r="AG3060">
        <v>-1.1120058675519999</v>
      </c>
      <c r="AH3060">
        <v>14.8874273913379</v>
      </c>
      <c r="AI3060">
        <v>94.1342867522322</v>
      </c>
      <c r="AJ3060">
        <v>104.599829398067</v>
      </c>
      <c r="AK3060">
        <v>15.4243207778078</v>
      </c>
      <c r="AL3060">
        <v>79.365213300485607</v>
      </c>
      <c r="AM3060">
        <v>99.284757469256306</v>
      </c>
      <c r="AN3060">
        <v>1.0000000084507199</v>
      </c>
    </row>
    <row r="3061" spans="1:40" x14ac:dyDescent="0.25">
      <c r="A3061" t="str">
        <f>"20190312172428733"</f>
        <v>20190312172428733</v>
      </c>
      <c r="B3061" t="str">
        <f>"1552382668723145"</f>
        <v>1552382668723145</v>
      </c>
      <c r="C3061" t="s">
        <v>40</v>
      </c>
      <c r="D3061">
        <v>3.7624520000000001</v>
      </c>
      <c r="E3061">
        <v>0.47663759999999999</v>
      </c>
      <c r="F3061" t="s">
        <v>47</v>
      </c>
      <c r="G3061">
        <v>-458.86439999999999</v>
      </c>
      <c r="H3061" s="1">
        <v>3.0750650000000001E-6</v>
      </c>
      <c r="I3061">
        <v>217.02600000000001</v>
      </c>
      <c r="J3061">
        <v>-474.33580000000001</v>
      </c>
      <c r="K3061">
        <v>1.1119460000000001</v>
      </c>
      <c r="L3061">
        <v>216.94739999999999</v>
      </c>
      <c r="M3061">
        <v>0.97008819999999996</v>
      </c>
      <c r="N3061">
        <v>0</v>
      </c>
      <c r="O3061">
        <v>-0.24237520000000001</v>
      </c>
      <c r="P3061">
        <v>0.98167139999999997</v>
      </c>
      <c r="Q3061">
        <v>0.17026929999999901</v>
      </c>
      <c r="R3061">
        <v>-8.5614270000000006E-2</v>
      </c>
      <c r="S3061">
        <v>3.096924</v>
      </c>
      <c r="T3061">
        <v>-0.2211304</v>
      </c>
      <c r="U3061">
        <v>1.153564E-2</v>
      </c>
      <c r="V3061">
        <v>-0.155336</v>
      </c>
      <c r="W3061">
        <v>0.1830534</v>
      </c>
      <c r="X3061">
        <v>0.97075339999999999</v>
      </c>
      <c r="Y3061">
        <v>-0.2447782</v>
      </c>
      <c r="Z3061">
        <v>2.5884689999999998E-2</v>
      </c>
      <c r="AA3061">
        <v>0.96923349999999997</v>
      </c>
      <c r="AB3061">
        <v>11</v>
      </c>
      <c r="AC3061">
        <v>15.471399999999999</v>
      </c>
      <c r="AD3061">
        <v>-1.1119429249349999</v>
      </c>
      <c r="AE3061">
        <v>7.8599999999994397E-2</v>
      </c>
      <c r="AF3061">
        <v>-3.8068197009389699</v>
      </c>
      <c r="AG3061">
        <v>-1.1119429249349999</v>
      </c>
      <c r="AH3061">
        <v>14.9139100773229</v>
      </c>
      <c r="AI3061">
        <v>94.131936114247196</v>
      </c>
      <c r="AJ3061">
        <v>104.319159691606</v>
      </c>
      <c r="AK3061">
        <v>15.432206812320899</v>
      </c>
      <c r="AL3061">
        <v>79.452337425001701</v>
      </c>
      <c r="AM3061">
        <v>99.091166391693605</v>
      </c>
      <c r="AN3061">
        <v>0.99999999187956001</v>
      </c>
    </row>
    <row r="3062" spans="1:40" x14ac:dyDescent="0.25">
      <c r="A3062" t="str">
        <f>"20190312172428755"</f>
        <v>20190312172428755</v>
      </c>
      <c r="B3062" t="str">
        <f>"1552382668743640"</f>
        <v>1552382668743640</v>
      </c>
      <c r="C3062" t="s">
        <v>40</v>
      </c>
      <c r="D3062">
        <v>4.0205909999999996</v>
      </c>
      <c r="E3062">
        <v>0.47668450000000001</v>
      </c>
      <c r="F3062" t="s">
        <v>47</v>
      </c>
      <c r="G3062">
        <v>-456.60629999999998</v>
      </c>
      <c r="H3062" s="1">
        <v>1.893594E-6</v>
      </c>
      <c r="I3062">
        <v>216.5641</v>
      </c>
      <c r="J3062">
        <v>-474.23399999999998</v>
      </c>
      <c r="K3062">
        <v>1.111869</v>
      </c>
      <c r="L3062">
        <v>216.9272</v>
      </c>
      <c r="M3062">
        <v>0.9711052</v>
      </c>
      <c r="N3062">
        <v>0</v>
      </c>
      <c r="O3062">
        <v>-0.23826929999999999</v>
      </c>
      <c r="P3062">
        <v>0.98202599999999995</v>
      </c>
      <c r="Q3062">
        <v>0.16855479999999901</v>
      </c>
      <c r="R3062">
        <v>-8.4937639999999995E-2</v>
      </c>
      <c r="S3062">
        <v>3.0837400000000001</v>
      </c>
      <c r="T3062">
        <v>-0.1934032</v>
      </c>
      <c r="U3062">
        <v>-6.6680909999999996E-2</v>
      </c>
      <c r="V3062">
        <v>-0.15192510000000001</v>
      </c>
      <c r="W3062">
        <v>0.18136269999999999</v>
      </c>
      <c r="X3062">
        <v>0.97161019999999998</v>
      </c>
      <c r="Y3062">
        <v>-0.21635489999999999</v>
      </c>
      <c r="Z3062">
        <v>2.1586879999999999E-2</v>
      </c>
      <c r="AA3062">
        <v>0.9760761</v>
      </c>
      <c r="AB3062">
        <v>11</v>
      </c>
      <c r="AC3062">
        <v>17.627700000000001</v>
      </c>
      <c r="AD3062">
        <v>-1.1118671064059999</v>
      </c>
      <c r="AE3062">
        <v>-0.36310000000000198</v>
      </c>
      <c r="AF3062">
        <v>-3.8326409213450701</v>
      </c>
      <c r="AG3062">
        <v>-1.1118671064059999</v>
      </c>
      <c r="AH3062">
        <v>17.138281318327</v>
      </c>
      <c r="AI3062">
        <v>93.622698030964202</v>
      </c>
      <c r="AJ3062">
        <v>102.60567123948999</v>
      </c>
      <c r="AK3062">
        <v>17.596763095535302</v>
      </c>
      <c r="AL3062">
        <v>79.550856952140094</v>
      </c>
      <c r="AM3062">
        <v>98.887049062815393</v>
      </c>
      <c r="AN3062">
        <v>1.00000002285266</v>
      </c>
    </row>
    <row r="3063" spans="1:40" x14ac:dyDescent="0.25">
      <c r="A3063" t="str">
        <f>"20190312172428778"</f>
        <v>20190312172428778</v>
      </c>
      <c r="B3063" t="str">
        <f>"1552382668772920"</f>
        <v>1552382668772920</v>
      </c>
      <c r="C3063" t="s">
        <v>40</v>
      </c>
      <c r="D3063">
        <v>3.783121</v>
      </c>
      <c r="E3063">
        <v>0.47705639999999999</v>
      </c>
      <c r="F3063" t="s">
        <v>47</v>
      </c>
      <c r="G3063">
        <v>-457.27030000000002</v>
      </c>
      <c r="H3063" s="1">
        <v>2.2463500000000001E-6</v>
      </c>
      <c r="I3063">
        <v>216.57810000000001</v>
      </c>
      <c r="J3063">
        <v>-474.1266</v>
      </c>
      <c r="K3063">
        <v>1.1117680000000001</v>
      </c>
      <c r="L3063">
        <v>216.90610000000001</v>
      </c>
      <c r="M3063">
        <v>0.97211219999999998</v>
      </c>
      <c r="N3063">
        <v>0</v>
      </c>
      <c r="O3063">
        <v>-0.23412820000000001</v>
      </c>
      <c r="P3063">
        <v>0.98236869999999998</v>
      </c>
      <c r="Q3063">
        <v>0.16709099999999999</v>
      </c>
      <c r="R3063">
        <v>-8.3859879999999998E-2</v>
      </c>
      <c r="S3063">
        <v>3.0841059999999998</v>
      </c>
      <c r="T3063">
        <v>-0.2021443</v>
      </c>
      <c r="U3063">
        <v>-6.3476560000000001E-2</v>
      </c>
      <c r="V3063">
        <v>-0.1488602</v>
      </c>
      <c r="W3063">
        <v>0.17992420000000001</v>
      </c>
      <c r="X3063">
        <v>0.97235170000000004</v>
      </c>
      <c r="Y3063">
        <v>-0.21314340000000001</v>
      </c>
      <c r="Z3063">
        <v>2.218854E-2</v>
      </c>
      <c r="AA3063">
        <v>0.976769</v>
      </c>
      <c r="AB3063">
        <v>11</v>
      </c>
      <c r="AC3063">
        <v>16.856299999999901</v>
      </c>
      <c r="AD3063">
        <v>-1.1117657536499901</v>
      </c>
      <c r="AE3063">
        <v>-0.32800000000000201</v>
      </c>
      <c r="AF3063">
        <v>-3.6123042402352001</v>
      </c>
      <c r="AG3063">
        <v>-1.1117657536499901</v>
      </c>
      <c r="AH3063">
        <v>16.3932204606817</v>
      </c>
      <c r="AI3063">
        <v>93.789152681995503</v>
      </c>
      <c r="AJ3063">
        <v>102.426738562742</v>
      </c>
      <c r="AK3063">
        <v>16.823270849853301</v>
      </c>
      <c r="AL3063">
        <v>79.634654801801901</v>
      </c>
      <c r="AM3063">
        <v>98.704000473499406</v>
      </c>
      <c r="AN3063">
        <v>0.99999995269128295</v>
      </c>
    </row>
    <row r="3064" spans="1:40" x14ac:dyDescent="0.25">
      <c r="A3064" t="str">
        <f>"20190312172428800"</f>
        <v>20190312172428800</v>
      </c>
      <c r="B3064" t="str">
        <f>"1552382668793416"</f>
        <v>1552382668793416</v>
      </c>
      <c r="C3064" t="s">
        <v>40</v>
      </c>
      <c r="D3064">
        <v>3.7552699999999999</v>
      </c>
      <c r="E3064">
        <v>0.47744009999999998</v>
      </c>
      <c r="F3064" t="s">
        <v>47</v>
      </c>
      <c r="G3064">
        <v>-457.95769999999999</v>
      </c>
      <c r="H3064" s="1">
        <v>2.6121689999999999E-6</v>
      </c>
      <c r="I3064">
        <v>216.5779</v>
      </c>
      <c r="J3064">
        <v>-474.02190000000002</v>
      </c>
      <c r="K3064">
        <v>1.1116710000000001</v>
      </c>
      <c r="L3064">
        <v>216.88579999999999</v>
      </c>
      <c r="M3064">
        <v>0.97302719999999998</v>
      </c>
      <c r="N3064">
        <v>0</v>
      </c>
      <c r="O3064">
        <v>-0.23029669999999999</v>
      </c>
      <c r="P3064">
        <v>0.98250729999999997</v>
      </c>
      <c r="Q3064">
        <v>0.16659499999999999</v>
      </c>
      <c r="R3064">
        <v>-8.3219669999999996E-2</v>
      </c>
      <c r="S3064">
        <v>3.0845340000000001</v>
      </c>
      <c r="T3064">
        <v>-0.21209140000000001</v>
      </c>
      <c r="U3064">
        <v>-6.2606809999999999E-2</v>
      </c>
      <c r="V3064">
        <v>-0.1456335</v>
      </c>
      <c r="W3064">
        <v>0.17945429999999901</v>
      </c>
      <c r="X3064">
        <v>0.97292699999999999</v>
      </c>
      <c r="Y3064">
        <v>-0.2094935</v>
      </c>
      <c r="Z3064">
        <v>2.2892289999999999E-2</v>
      </c>
      <c r="AA3064">
        <v>0.97754200000000002</v>
      </c>
      <c r="AB3064">
        <v>11</v>
      </c>
      <c r="AC3064">
        <v>16.0642</v>
      </c>
      <c r="AD3064">
        <v>-1.1116683878310001</v>
      </c>
      <c r="AE3064">
        <v>-0.30789999999998902</v>
      </c>
      <c r="AF3064">
        <v>-3.3840459788687798</v>
      </c>
      <c r="AG3064">
        <v>-1.1116683878310001</v>
      </c>
      <c r="AH3064">
        <v>15.628422148393801</v>
      </c>
      <c r="AI3064">
        <v>93.976810397968706</v>
      </c>
      <c r="AJ3064">
        <v>102.217726257864</v>
      </c>
      <c r="AK3064">
        <v>16.029196880692599</v>
      </c>
      <c r="AL3064">
        <v>79.662023581086601</v>
      </c>
      <c r="AM3064">
        <v>98.513166879344794</v>
      </c>
      <c r="AN3064">
        <v>0.99999995471986802</v>
      </c>
    </row>
    <row r="3065" spans="1:40" x14ac:dyDescent="0.25">
      <c r="A3065" t="str">
        <f>"20190312172428822"</f>
        <v>20190312172428822</v>
      </c>
      <c r="B3065" t="str">
        <f>"1552382668812937"</f>
        <v>1552382668812937</v>
      </c>
      <c r="C3065" t="s">
        <v>40</v>
      </c>
      <c r="D3065">
        <v>3.7550119999999998</v>
      </c>
      <c r="E3065">
        <v>0.47763949999999999</v>
      </c>
      <c r="F3065" t="s">
        <v>47</v>
      </c>
      <c r="G3065">
        <v>-458.15899999999999</v>
      </c>
      <c r="H3065" s="1">
        <v>2.7200779999999998E-6</v>
      </c>
      <c r="I3065">
        <v>216.5592</v>
      </c>
      <c r="J3065">
        <v>-473.9153</v>
      </c>
      <c r="K3065">
        <v>1.1115740000000001</v>
      </c>
      <c r="L3065">
        <v>216.86519999999999</v>
      </c>
      <c r="M3065">
        <v>0.97389099999999995</v>
      </c>
      <c r="N3065">
        <v>0</v>
      </c>
      <c r="O3065">
        <v>-0.22661770000000001</v>
      </c>
      <c r="P3065">
        <v>0.9824872</v>
      </c>
      <c r="Q3065">
        <v>0.16658719999999999</v>
      </c>
      <c r="R3065">
        <v>-8.3470559999999999E-2</v>
      </c>
      <c r="S3065">
        <v>3.0846559999999998</v>
      </c>
      <c r="T3065">
        <v>-0.2161708</v>
      </c>
      <c r="U3065">
        <v>-6.3507079999999994E-2</v>
      </c>
      <c r="V3065">
        <v>-0.14165539999999999</v>
      </c>
      <c r="W3065">
        <v>0.17947439999999901</v>
      </c>
      <c r="X3065">
        <v>0.97351049999999995</v>
      </c>
      <c r="Y3065">
        <v>-0.20549129999999999</v>
      </c>
      <c r="Z3065">
        <v>2.2938420000000001E-2</v>
      </c>
      <c r="AA3065">
        <v>0.97839010000000004</v>
      </c>
      <c r="AB3065">
        <v>11</v>
      </c>
      <c r="AC3065">
        <v>15.7563</v>
      </c>
      <c r="AD3065">
        <v>-1.1115712799220001</v>
      </c>
      <c r="AE3065">
        <v>-0.30599999999998301</v>
      </c>
      <c r="AF3065">
        <v>-3.2567389833511502</v>
      </c>
      <c r="AG3065">
        <v>-1.1115712799220001</v>
      </c>
      <c r="AH3065">
        <v>15.3393420808769</v>
      </c>
      <c r="AI3065">
        <v>94.054649347133605</v>
      </c>
      <c r="AJ3065">
        <v>101.986637686625</v>
      </c>
      <c r="AK3065">
        <v>15.720602882529199</v>
      </c>
      <c r="AL3065">
        <v>79.660853435515605</v>
      </c>
      <c r="AM3065">
        <v>98.278997779865605</v>
      </c>
      <c r="AN3065">
        <v>1.0000000031073799</v>
      </c>
    </row>
    <row r="3066" spans="1:40" x14ac:dyDescent="0.25">
      <c r="A3066" t="str">
        <f>"20190312172428845"</f>
        <v>20190312172428845</v>
      </c>
      <c r="B3066" t="str">
        <f>"1552382668833436"</f>
        <v>1552382668833436</v>
      </c>
      <c r="C3066" t="s">
        <v>40</v>
      </c>
      <c r="D3066">
        <v>3.7707250000000001</v>
      </c>
      <c r="E3066">
        <v>0.47801589999999999</v>
      </c>
      <c r="F3066" t="s">
        <v>47</v>
      </c>
      <c r="G3066">
        <v>-458.24669999999998</v>
      </c>
      <c r="H3066" s="1">
        <v>2.7679490000000001E-6</v>
      </c>
      <c r="I3066">
        <v>216.5326</v>
      </c>
      <c r="J3066">
        <v>-473.80900000000003</v>
      </c>
      <c r="K3066">
        <v>1.1114900000000001</v>
      </c>
      <c r="L3066">
        <v>216.84469999999999</v>
      </c>
      <c r="M3066">
        <v>0.97468350000000004</v>
      </c>
      <c r="N3066">
        <v>0</v>
      </c>
      <c r="O3066">
        <v>-0.22318540000000001</v>
      </c>
      <c r="P3066">
        <v>0.98252099999999998</v>
      </c>
      <c r="Q3066">
        <v>0.1664207</v>
      </c>
      <c r="R3066">
        <v>-8.3409250000000004E-2</v>
      </c>
      <c r="S3066">
        <v>3.0850219999999999</v>
      </c>
      <c r="T3066">
        <v>-0.21885940000000001</v>
      </c>
      <c r="U3066">
        <v>-6.5475459999999999E-2</v>
      </c>
      <c r="V3066">
        <v>-0.13824539999999999</v>
      </c>
      <c r="W3066">
        <v>0.179330399999999</v>
      </c>
      <c r="X3066">
        <v>0.97402710000000003</v>
      </c>
      <c r="Y3066">
        <v>-0.20141339999999999</v>
      </c>
      <c r="Z3066">
        <v>2.2837280000000001E-2</v>
      </c>
      <c r="AA3066">
        <v>0.97924009999999995</v>
      </c>
      <c r="AB3066">
        <v>11</v>
      </c>
      <c r="AC3066">
        <v>15.5623</v>
      </c>
      <c r="AD3066">
        <v>-1.1114872320510001</v>
      </c>
      <c r="AE3066">
        <v>-0.312099999999986</v>
      </c>
      <c r="AF3066">
        <v>-3.1532865710442</v>
      </c>
      <c r="AG3066">
        <v>-1.1114872320510001</v>
      </c>
      <c r="AH3066">
        <v>15.162035949945601</v>
      </c>
      <c r="AI3066">
        <v>94.105166839440201</v>
      </c>
      <c r="AJ3066">
        <v>101.748473449958</v>
      </c>
      <c r="AK3066">
        <v>15.526298793131099</v>
      </c>
      <c r="AL3066">
        <v>79.669239929265004</v>
      </c>
      <c r="AM3066">
        <v>98.078136633587405</v>
      </c>
      <c r="AN3066">
        <v>0.99999998725986405</v>
      </c>
    </row>
    <row r="3067" spans="1:40" x14ac:dyDescent="0.25">
      <c r="A3067" t="str">
        <f>"20190312172428866"</f>
        <v>20190312172428866</v>
      </c>
      <c r="B3067" t="str">
        <f>"1552382668863011"</f>
        <v>1552382668863011</v>
      </c>
      <c r="C3067" t="s">
        <v>40</v>
      </c>
      <c r="D3067">
        <v>3.7691189999999999</v>
      </c>
      <c r="E3067">
        <v>0.47857620000000001</v>
      </c>
      <c r="F3067" t="s">
        <v>47</v>
      </c>
      <c r="G3067">
        <v>-458.25029999999998</v>
      </c>
      <c r="H3067" s="1">
        <v>2.7711609999999998E-6</v>
      </c>
      <c r="I3067">
        <v>216.5027</v>
      </c>
      <c r="J3067">
        <v>-473.70650000000001</v>
      </c>
      <c r="K3067">
        <v>1.1114280000000001</v>
      </c>
      <c r="L3067">
        <v>216.8252</v>
      </c>
      <c r="M3067">
        <v>0.9753946</v>
      </c>
      <c r="N3067">
        <v>0</v>
      </c>
      <c r="O3067">
        <v>-0.2200578</v>
      </c>
      <c r="P3067">
        <v>0.98250859999999995</v>
      </c>
      <c r="Q3067">
        <v>0.16719999999999999</v>
      </c>
      <c r="R3067">
        <v>-8.1982879999999994E-2</v>
      </c>
      <c r="S3067">
        <v>3.0849299999999999</v>
      </c>
      <c r="T3067">
        <v>-0.220383</v>
      </c>
      <c r="U3067">
        <v>-6.7810060000000005E-2</v>
      </c>
      <c r="V3067">
        <v>-0.13647429999999999</v>
      </c>
      <c r="W3067">
        <v>0.180118</v>
      </c>
      <c r="X3067">
        <v>0.97413159999999999</v>
      </c>
      <c r="Y3067">
        <v>-0.19753200000000001</v>
      </c>
      <c r="Z3067">
        <v>2.2638999999999999E-2</v>
      </c>
      <c r="AA3067">
        <v>0.98003499999999999</v>
      </c>
      <c r="AB3067">
        <v>11</v>
      </c>
      <c r="AC3067">
        <v>15.456200000000001</v>
      </c>
      <c r="AD3067">
        <v>-1.1114252288390001</v>
      </c>
      <c r="AE3067">
        <v>-0.32249999999999002</v>
      </c>
      <c r="AF3067">
        <v>-3.07109733450508</v>
      </c>
      <c r="AG3067">
        <v>-1.1114252288390001</v>
      </c>
      <c r="AH3067">
        <v>15.070334306530899</v>
      </c>
      <c r="AI3067">
        <v>94.133236403524407</v>
      </c>
      <c r="AJ3067">
        <v>101.518264254747</v>
      </c>
      <c r="AK3067">
        <v>15.420177722319099</v>
      </c>
      <c r="AL3067">
        <v>79.623367493251607</v>
      </c>
      <c r="AM3067">
        <v>97.975141082966402</v>
      </c>
      <c r="AN3067">
        <v>1.0000000513015199</v>
      </c>
    </row>
    <row r="3068" spans="1:40" x14ac:dyDescent="0.25">
      <c r="A3068" t="str">
        <f>"20190312172428891"</f>
        <v>20190312172428891</v>
      </c>
      <c r="B3068" t="str">
        <f>"1552382668883507"</f>
        <v>1552382668883507</v>
      </c>
      <c r="C3068" t="s">
        <v>40</v>
      </c>
      <c r="D3068">
        <v>3.789256</v>
      </c>
      <c r="E3068">
        <v>0.478769</v>
      </c>
      <c r="F3068" t="s">
        <v>47</v>
      </c>
      <c r="G3068">
        <v>-458.12240000000003</v>
      </c>
      <c r="H3068" s="1">
        <v>2.7040369999999998E-6</v>
      </c>
      <c r="I3068">
        <v>216.48070000000001</v>
      </c>
      <c r="J3068">
        <v>-473.59280000000001</v>
      </c>
      <c r="K3068">
        <v>1.1113770000000001</v>
      </c>
      <c r="L3068">
        <v>216.80359999999999</v>
      </c>
      <c r="M3068">
        <v>0.97612679999999996</v>
      </c>
      <c r="N3068">
        <v>0</v>
      </c>
      <c r="O3068">
        <v>-0.21678790000000001</v>
      </c>
      <c r="P3068">
        <v>0.98235740000000005</v>
      </c>
      <c r="Q3068">
        <v>0.1682544</v>
      </c>
      <c r="R3068">
        <v>-8.1638139999999998E-2</v>
      </c>
      <c r="S3068">
        <v>3.085175</v>
      </c>
      <c r="T3068">
        <v>-0.22002759999999999</v>
      </c>
      <c r="U3068">
        <v>-6.819153E-2</v>
      </c>
      <c r="V3068">
        <v>-0.1334851</v>
      </c>
      <c r="W3068">
        <v>0.18117749999999999</v>
      </c>
      <c r="X3068">
        <v>0.97434929999999997</v>
      </c>
      <c r="Y3068">
        <v>-0.19414709999999999</v>
      </c>
      <c r="Z3068">
        <v>2.225189E-2</v>
      </c>
      <c r="AA3068">
        <v>0.98072000000000004</v>
      </c>
      <c r="AB3068">
        <v>11</v>
      </c>
      <c r="AC3068">
        <v>15.4703999999999</v>
      </c>
      <c r="AD3068">
        <v>-1.111374295963</v>
      </c>
      <c r="AE3068">
        <v>-0.32289999999997498</v>
      </c>
      <c r="AF3068">
        <v>-3.02328112463274</v>
      </c>
      <c r="AG3068">
        <v>-1.111374295963</v>
      </c>
      <c r="AH3068">
        <v>15.0945682401869</v>
      </c>
      <c r="AI3068">
        <v>94.129225784351902</v>
      </c>
      <c r="AJ3068">
        <v>101.325871985563</v>
      </c>
      <c r="AK3068">
        <v>15.4344216588101</v>
      </c>
      <c r="AL3068">
        <v>79.5616472587228</v>
      </c>
      <c r="AM3068">
        <v>97.800914772147294</v>
      </c>
      <c r="AN3068">
        <v>1.00000005841937</v>
      </c>
    </row>
    <row r="3069" spans="1:40" x14ac:dyDescent="0.25">
      <c r="A3069" t="str">
        <f>"20190312172428913"</f>
        <v>20190312172428913</v>
      </c>
      <c r="B3069" t="str">
        <f>"1552382668903027"</f>
        <v>1552382668903027</v>
      </c>
      <c r="C3069" t="s">
        <v>40</v>
      </c>
      <c r="D3069">
        <v>3.8072509999999999</v>
      </c>
      <c r="E3069">
        <v>0.47922039999999999</v>
      </c>
      <c r="F3069" t="s">
        <v>47</v>
      </c>
      <c r="G3069">
        <v>-457.85669999999999</v>
      </c>
      <c r="H3069" s="1">
        <v>2.564018E-6</v>
      </c>
      <c r="I3069">
        <v>216.44909999999999</v>
      </c>
      <c r="J3069">
        <v>-473.48630000000003</v>
      </c>
      <c r="K3069">
        <v>1.1113360000000001</v>
      </c>
      <c r="L3069">
        <v>216.7835</v>
      </c>
      <c r="M3069">
        <v>0.97675880000000004</v>
      </c>
      <c r="N3069">
        <v>0</v>
      </c>
      <c r="O3069">
        <v>-0.2139228</v>
      </c>
      <c r="P3069">
        <v>0.98230070000000003</v>
      </c>
      <c r="Q3069">
        <v>0.16854820000000001</v>
      </c>
      <c r="R3069">
        <v>-8.1712399999999893E-2</v>
      </c>
      <c r="S3069">
        <v>3.0854189999999999</v>
      </c>
      <c r="T3069">
        <v>-0.21790989999999999</v>
      </c>
      <c r="U3069">
        <v>-6.9503780000000001E-2</v>
      </c>
      <c r="V3069">
        <v>-0.13051660000000001</v>
      </c>
      <c r="W3069">
        <v>0.181478</v>
      </c>
      <c r="X3069">
        <v>0.97469539999999999</v>
      </c>
      <c r="Y3069">
        <v>-0.190888</v>
      </c>
      <c r="Z3069">
        <v>2.1723139999999998E-2</v>
      </c>
      <c r="AA3069">
        <v>0.9813714</v>
      </c>
      <c r="AB3069">
        <v>11</v>
      </c>
      <c r="AC3069">
        <v>15.6296</v>
      </c>
      <c r="AD3069">
        <v>-1.111333435982</v>
      </c>
      <c r="AE3069">
        <v>-0.33440000000001602</v>
      </c>
      <c r="AF3069">
        <v>-3.0019994524490499</v>
      </c>
      <c r="AG3069">
        <v>-1.111333435982</v>
      </c>
      <c r="AH3069">
        <v>15.262132671005499</v>
      </c>
      <c r="AI3069">
        <v>94.086689164017201</v>
      </c>
      <c r="AJ3069">
        <v>101.12778947677801</v>
      </c>
      <c r="AK3069">
        <v>15.5942218910021</v>
      </c>
      <c r="AL3069">
        <v>79.5441388738559</v>
      </c>
      <c r="AM3069">
        <v>97.626823638458305</v>
      </c>
      <c r="AN3069">
        <v>0.99999998507035903</v>
      </c>
    </row>
    <row r="3070" spans="1:40" x14ac:dyDescent="0.25">
      <c r="A3070" t="str">
        <f>"20190312172428935"</f>
        <v>20190312172428935</v>
      </c>
      <c r="B3070" t="str">
        <f>"1552382668923526"</f>
        <v>1552382668923526</v>
      </c>
      <c r="C3070" t="s">
        <v>40</v>
      </c>
      <c r="D3070">
        <v>3.7941340000000001</v>
      </c>
      <c r="E3070">
        <v>0.4794041</v>
      </c>
      <c r="F3070" t="s">
        <v>47</v>
      </c>
      <c r="G3070">
        <v>-457.8639</v>
      </c>
      <c r="H3070" s="1">
        <v>2.5696680000000001E-6</v>
      </c>
      <c r="I3070">
        <v>216.40780000000001</v>
      </c>
      <c r="J3070">
        <v>-473.38299999999998</v>
      </c>
      <c r="K3070">
        <v>1.1112869999999999</v>
      </c>
      <c r="L3070">
        <v>216.76410000000001</v>
      </c>
      <c r="M3070">
        <v>0.97732039999999998</v>
      </c>
      <c r="N3070">
        <v>0</v>
      </c>
      <c r="O3070">
        <v>-0.21134339999999999</v>
      </c>
      <c r="P3070">
        <v>0.98233349999999997</v>
      </c>
      <c r="Q3070">
        <v>0.1685576</v>
      </c>
      <c r="R3070">
        <v>-8.1298659999999995E-2</v>
      </c>
      <c r="S3070">
        <v>3.0855100000000002</v>
      </c>
      <c r="T3070">
        <v>-0.21949460000000001</v>
      </c>
      <c r="U3070">
        <v>-7.4203489999999997E-2</v>
      </c>
      <c r="V3070">
        <v>-0.12832730000000001</v>
      </c>
      <c r="W3070">
        <v>0.18149680000000001</v>
      </c>
      <c r="X3070">
        <v>0.97498260000000003</v>
      </c>
      <c r="Y3070">
        <v>-0.1868041</v>
      </c>
      <c r="Z3070">
        <v>2.1554219999999999E-2</v>
      </c>
      <c r="AA3070">
        <v>0.9821607</v>
      </c>
      <c r="AB3070">
        <v>11</v>
      </c>
      <c r="AC3070">
        <v>15.5191</v>
      </c>
      <c r="AD3070">
        <v>-1.111284430332</v>
      </c>
      <c r="AE3070">
        <v>-0.356300000000004</v>
      </c>
      <c r="AF3070">
        <v>-2.91695302792054</v>
      </c>
      <c r="AG3070">
        <v>-1.111284430332</v>
      </c>
      <c r="AH3070">
        <v>15.1660723859295</v>
      </c>
      <c r="AI3070">
        <v>94.115656215417403</v>
      </c>
      <c r="AJ3070">
        <v>100.88698666483</v>
      </c>
      <c r="AK3070">
        <v>15.483969764483801</v>
      </c>
      <c r="AL3070">
        <v>79.543043969753597</v>
      </c>
      <c r="AM3070">
        <v>97.4981749500554</v>
      </c>
      <c r="AN3070">
        <v>1.0000000273191401</v>
      </c>
    </row>
    <row r="3071" spans="1:40" x14ac:dyDescent="0.25">
      <c r="A3071" t="str">
        <f>"20190312172428959"</f>
        <v>20190312172428959</v>
      </c>
      <c r="B3071" t="str">
        <f>"1552382668953310"</f>
        <v>1552382668953310</v>
      </c>
      <c r="C3071" t="s">
        <v>40</v>
      </c>
      <c r="D3071">
        <v>3.9297170000000001</v>
      </c>
      <c r="E3071">
        <v>0.47950140000000002</v>
      </c>
      <c r="F3071" t="s">
        <v>47</v>
      </c>
      <c r="G3071">
        <v>-457.81299999999999</v>
      </c>
      <c r="H3071" s="1">
        <v>2.5435869999999999E-6</v>
      </c>
      <c r="I3071">
        <v>216.3844</v>
      </c>
      <c r="J3071">
        <v>-473.27330000000001</v>
      </c>
      <c r="K3071">
        <v>1.1112139999999999</v>
      </c>
      <c r="L3071">
        <v>216.74359999999999</v>
      </c>
      <c r="M3071">
        <v>0.97786289999999998</v>
      </c>
      <c r="N3071">
        <v>0</v>
      </c>
      <c r="O3071">
        <v>-0.2088199</v>
      </c>
      <c r="P3071">
        <v>0.98262930000000004</v>
      </c>
      <c r="Q3071">
        <v>0.16703280000000001</v>
      </c>
      <c r="R3071">
        <v>-8.0868560000000006E-2</v>
      </c>
      <c r="S3071">
        <v>3.0855100000000002</v>
      </c>
      <c r="T3071">
        <v>-0.22022220000000001</v>
      </c>
      <c r="U3071">
        <v>-7.525635E-2</v>
      </c>
      <c r="V3071">
        <v>-0.12625319999999901</v>
      </c>
      <c r="W3071">
        <v>0.17999039999999999</v>
      </c>
      <c r="X3071">
        <v>0.97553250000000002</v>
      </c>
      <c r="Y3071">
        <v>-0.18393979999999999</v>
      </c>
      <c r="Z3071">
        <v>2.1346650000000002E-2</v>
      </c>
      <c r="AA3071">
        <v>0.98270570000000002</v>
      </c>
      <c r="AB3071">
        <v>11</v>
      </c>
      <c r="AC3071">
        <v>15.460299999999901</v>
      </c>
      <c r="AD3071">
        <v>-1.111211456413</v>
      </c>
      <c r="AE3071">
        <v>-0.35919999999998697</v>
      </c>
      <c r="AF3071">
        <v>-2.8626460621701502</v>
      </c>
      <c r="AG3071">
        <v>-1.111211456413</v>
      </c>
      <c r="AH3071">
        <v>15.1163676928933</v>
      </c>
      <c r="AI3071">
        <v>94.131115605519</v>
      </c>
      <c r="AJ3071">
        <v>100.72334216257801</v>
      </c>
      <c r="AK3071">
        <v>15.425112823084</v>
      </c>
      <c r="AL3071">
        <v>79.6307997501861</v>
      </c>
      <c r="AM3071">
        <v>97.3742179504125</v>
      </c>
      <c r="AN3071">
        <v>1.00000003657932</v>
      </c>
    </row>
    <row r="3072" spans="1:40" x14ac:dyDescent="0.25">
      <c r="A3072" t="str">
        <f>"20190312172428980"</f>
        <v>20190312172428980</v>
      </c>
      <c r="B3072" t="str">
        <f>"1552382668972831"</f>
        <v>1552382668972831</v>
      </c>
      <c r="C3072" t="s">
        <v>40</v>
      </c>
      <c r="D3072">
        <v>3.8231109999999999</v>
      </c>
      <c r="E3072">
        <v>0.47971989999999998</v>
      </c>
      <c r="F3072" t="s">
        <v>47</v>
      </c>
      <c r="G3072">
        <v>-458.17450000000002</v>
      </c>
      <c r="H3072" s="1">
        <v>2.7363930000000002E-6</v>
      </c>
      <c r="I3072">
        <v>216.37469999999999</v>
      </c>
      <c r="J3072">
        <v>-473.16989999999998</v>
      </c>
      <c r="K3072">
        <v>1.1111200000000001</v>
      </c>
      <c r="L3072">
        <v>216.7242</v>
      </c>
      <c r="M3072">
        <v>0.97832129999999995</v>
      </c>
      <c r="N3072">
        <v>0</v>
      </c>
      <c r="O3072">
        <v>-0.2066626</v>
      </c>
      <c r="P3072">
        <v>0.98290619999999995</v>
      </c>
      <c r="Q3072">
        <v>0.16540869999999999</v>
      </c>
      <c r="R3072">
        <v>-8.0844079999999999E-2</v>
      </c>
      <c r="S3072">
        <v>3.0854189999999999</v>
      </c>
      <c r="T3072">
        <v>-0.22707469999999999</v>
      </c>
      <c r="U3072">
        <v>-7.5378420000000002E-2</v>
      </c>
      <c r="V3072">
        <v>-0.1241382</v>
      </c>
      <c r="W3072">
        <v>0.1783902</v>
      </c>
      <c r="X3072">
        <v>0.97609760000000001</v>
      </c>
      <c r="Y3072">
        <v>-0.18168119999999999</v>
      </c>
      <c r="Z3072">
        <v>2.1771059999999998E-2</v>
      </c>
      <c r="AA3072">
        <v>0.9831164</v>
      </c>
      <c r="AB3072">
        <v>11</v>
      </c>
      <c r="AC3072">
        <v>14.995399999999901</v>
      </c>
      <c r="AD3072">
        <v>-1.1111172636069999</v>
      </c>
      <c r="AE3072">
        <v>-0.34950000000000597</v>
      </c>
      <c r="AF3072">
        <v>-2.7422625410920398</v>
      </c>
      <c r="AG3072">
        <v>-1.1111172636069999</v>
      </c>
      <c r="AH3072">
        <v>14.663395947589899</v>
      </c>
      <c r="AI3072">
        <v>94.259729112487904</v>
      </c>
      <c r="AJ3072">
        <v>100.59276121438501</v>
      </c>
      <c r="AK3072">
        <v>14.9589359960379</v>
      </c>
      <c r="AL3072">
        <v>79.723991848779804</v>
      </c>
      <c r="AM3072">
        <v>97.247857023922094</v>
      </c>
      <c r="AN3072">
        <v>0.99999994044051799</v>
      </c>
    </row>
    <row r="3073" spans="1:40" x14ac:dyDescent="0.25">
      <c r="A3073" t="str">
        <f>"20190312172429003"</f>
        <v>20190312172429003</v>
      </c>
      <c r="B3073" t="str">
        <f>"1552382668993327"</f>
        <v>1552382668993327</v>
      </c>
      <c r="C3073" t="s">
        <v>40</v>
      </c>
      <c r="D3073">
        <v>3.8027730000000002</v>
      </c>
      <c r="E3073">
        <v>0.47987299999999999</v>
      </c>
      <c r="F3073" t="s">
        <v>47</v>
      </c>
      <c r="G3073">
        <v>-458.45269999999999</v>
      </c>
      <c r="H3073" s="1">
        <v>2.885365E-6</v>
      </c>
      <c r="I3073">
        <v>216.3537</v>
      </c>
      <c r="J3073">
        <v>-473.06439999999998</v>
      </c>
      <c r="K3073">
        <v>1.111016</v>
      </c>
      <c r="L3073">
        <v>216.70439999999999</v>
      </c>
      <c r="M3073">
        <v>0.97873500000000002</v>
      </c>
      <c r="N3073">
        <v>0</v>
      </c>
      <c r="O3073">
        <v>-0.2046953</v>
      </c>
      <c r="P3073">
        <v>0.98300480000000001</v>
      </c>
      <c r="Q3073">
        <v>0.16453129999999999</v>
      </c>
      <c r="R3073">
        <v>-8.1431320000000001E-2</v>
      </c>
      <c r="S3073">
        <v>3.0850219999999999</v>
      </c>
      <c r="T3073">
        <v>-0.23291290000000001</v>
      </c>
      <c r="U3073">
        <v>-7.7682500000000002E-2</v>
      </c>
      <c r="V3073">
        <v>-0.1215736</v>
      </c>
      <c r="W3073">
        <v>0.17753859999999999</v>
      </c>
      <c r="X3073">
        <v>0.97657559999999999</v>
      </c>
      <c r="Y3073">
        <v>-0.17892569999999999</v>
      </c>
      <c r="Z3073">
        <v>2.2082060000000001E-2</v>
      </c>
      <c r="AA3073">
        <v>0.98361469999999995</v>
      </c>
      <c r="AB3073">
        <v>11</v>
      </c>
      <c r="AC3073">
        <v>14.6116999999999</v>
      </c>
      <c r="AD3073">
        <v>-1.111013114635</v>
      </c>
      <c r="AE3073">
        <v>-0.35069999999998902</v>
      </c>
      <c r="AF3073">
        <v>-2.6327269233920298</v>
      </c>
      <c r="AG3073">
        <v>-1.111013114635</v>
      </c>
      <c r="AH3073">
        <v>14.291467701536201</v>
      </c>
      <c r="AI3073">
        <v>94.371939803199695</v>
      </c>
      <c r="AJ3073">
        <v>100.43781710020301</v>
      </c>
      <c r="AK3073">
        <v>14.5743490509215</v>
      </c>
      <c r="AL3073">
        <v>79.773577063399202</v>
      </c>
      <c r="AM3073">
        <v>97.096226122236601</v>
      </c>
      <c r="AN3073">
        <v>0.99999999861113997</v>
      </c>
    </row>
    <row r="3074" spans="1:40" x14ac:dyDescent="0.25">
      <c r="A3074" t="str">
        <f>"20190312172429023"</f>
        <v>20190312172429023</v>
      </c>
      <c r="B3074" t="str">
        <f>"1552382669012847"</f>
        <v>1552382669012847</v>
      </c>
      <c r="C3074" t="s">
        <v>40</v>
      </c>
      <c r="D3074">
        <v>3.7424339999999998</v>
      </c>
      <c r="E3074">
        <v>0.48000369999999998</v>
      </c>
      <c r="F3074" t="s">
        <v>47</v>
      </c>
      <c r="G3074">
        <v>-458.54700000000003</v>
      </c>
      <c r="H3074" s="1">
        <v>2.936947E-6</v>
      </c>
      <c r="I3074">
        <v>216.32169999999999</v>
      </c>
      <c r="J3074">
        <v>-472.96620000000001</v>
      </c>
      <c r="K3074">
        <v>1.1109199999999999</v>
      </c>
      <c r="L3074">
        <v>216.6859</v>
      </c>
      <c r="M3074">
        <v>0.97907440000000001</v>
      </c>
      <c r="N3074">
        <v>0</v>
      </c>
      <c r="O3074">
        <v>-0.20306669999999999</v>
      </c>
      <c r="P3074">
        <v>0.98304290000000005</v>
      </c>
      <c r="Q3074">
        <v>0.16386110000000001</v>
      </c>
      <c r="R3074">
        <v>-8.232072E-2</v>
      </c>
      <c r="S3074">
        <v>3.0846559999999998</v>
      </c>
      <c r="T3074">
        <v>-0.2360679</v>
      </c>
      <c r="U3074">
        <v>-8.1314090000000006E-2</v>
      </c>
      <c r="V3074">
        <v>-0.11904480000000001</v>
      </c>
      <c r="W3074">
        <v>0.17689050000000001</v>
      </c>
      <c r="X3074">
        <v>0.9770046</v>
      </c>
      <c r="Y3074">
        <v>-0.176111299999999</v>
      </c>
      <c r="Z3074">
        <v>2.2152359999999999E-2</v>
      </c>
      <c r="AA3074">
        <v>0.98412100000000002</v>
      </c>
      <c r="AB3074">
        <v>11</v>
      </c>
      <c r="AC3074">
        <v>14.4192</v>
      </c>
      <c r="AD3074">
        <v>-1.1109170630529901</v>
      </c>
      <c r="AE3074">
        <v>-0.36420000000001002</v>
      </c>
      <c r="AF3074">
        <v>-2.5565428612607999</v>
      </c>
      <c r="AG3074">
        <v>-1.1109170630529901</v>
      </c>
      <c r="AH3074">
        <v>14.1089891857251</v>
      </c>
      <c r="AI3074">
        <v>94.430232708012696</v>
      </c>
      <c r="AJ3074">
        <v>100.270533438435</v>
      </c>
      <c r="AK3074">
        <v>14.381711440762301</v>
      </c>
      <c r="AL3074">
        <v>79.811307158241704</v>
      </c>
      <c r="AM3074">
        <v>96.947057410194304</v>
      </c>
      <c r="AN3074">
        <v>0.999999950909223</v>
      </c>
    </row>
    <row r="3075" spans="1:40" x14ac:dyDescent="0.25">
      <c r="A3075" t="str">
        <f>"20190312172429047"</f>
        <v>20190312172429047</v>
      </c>
      <c r="B3075" t="str">
        <f>"1552382669043103"</f>
        <v>1552382669043103</v>
      </c>
      <c r="C3075" t="s">
        <v>40</v>
      </c>
      <c r="D3075">
        <v>3.8175560000000002</v>
      </c>
      <c r="E3075">
        <v>0.48028569999999998</v>
      </c>
      <c r="F3075" t="s">
        <v>47</v>
      </c>
      <c r="G3075">
        <v>-458.50119999999998</v>
      </c>
      <c r="H3075" s="1">
        <v>2.9139620000000002E-6</v>
      </c>
      <c r="I3075">
        <v>216.28989999999999</v>
      </c>
      <c r="J3075">
        <v>-472.85899999999998</v>
      </c>
      <c r="K3075">
        <v>1.1108439999999999</v>
      </c>
      <c r="L3075">
        <v>216.66560000000001</v>
      </c>
      <c r="M3075">
        <v>0.97940210000000005</v>
      </c>
      <c r="N3075">
        <v>0</v>
      </c>
      <c r="O3075">
        <v>-0.2014802</v>
      </c>
      <c r="P3075">
        <v>0.98323939999999999</v>
      </c>
      <c r="Q3075">
        <v>0.1623214</v>
      </c>
      <c r="R3075">
        <v>-8.3020869999999997E-2</v>
      </c>
      <c r="S3075">
        <v>3.0841669999999999</v>
      </c>
      <c r="T3075">
        <v>-0.23686460000000001</v>
      </c>
      <c r="U3075">
        <v>-8.4426879999999996E-2</v>
      </c>
      <c r="V3075">
        <v>-0.11678520000000001</v>
      </c>
      <c r="W3075">
        <v>0.17536689999999999</v>
      </c>
      <c r="X3075">
        <v>0.97755190000000003</v>
      </c>
      <c r="Y3075">
        <v>-0.17352400000000001</v>
      </c>
      <c r="Z3075">
        <v>2.2010979999999999E-2</v>
      </c>
      <c r="AA3075">
        <v>0.9845836</v>
      </c>
      <c r="AB3075">
        <v>11</v>
      </c>
      <c r="AC3075">
        <v>14.357799999999999</v>
      </c>
      <c r="AD3075">
        <v>-1.110841086038</v>
      </c>
      <c r="AE3075">
        <v>-0.37570000000002302</v>
      </c>
      <c r="AF3075">
        <v>-2.5100602075157901</v>
      </c>
      <c r="AG3075">
        <v>-1.110841086038</v>
      </c>
      <c r="AH3075">
        <v>14.0549351452614</v>
      </c>
      <c r="AI3075">
        <v>94.448914914484007</v>
      </c>
      <c r="AJ3075">
        <v>100.125660721204</v>
      </c>
      <c r="AK3075">
        <v>14.3204599123523</v>
      </c>
      <c r="AL3075">
        <v>79.899990132824698</v>
      </c>
      <c r="AM3075">
        <v>96.812666794486105</v>
      </c>
      <c r="AN3075">
        <v>1.0000000248741201</v>
      </c>
    </row>
    <row r="3076" spans="1:40" x14ac:dyDescent="0.25">
      <c r="A3076" t="str">
        <f>"20190312172429067"</f>
        <v>20190312172429067</v>
      </c>
      <c r="B3076" t="str">
        <f>"1552382669062971"</f>
        <v>1552382669062971</v>
      </c>
      <c r="C3076" t="s">
        <v>40</v>
      </c>
      <c r="D3076">
        <v>3.7951009999999998</v>
      </c>
      <c r="E3076">
        <v>0.48046139999999998</v>
      </c>
      <c r="F3076" t="s">
        <v>47</v>
      </c>
      <c r="G3076">
        <v>-458.69580000000002</v>
      </c>
      <c r="H3076" s="1">
        <v>3.0187669999999999E-6</v>
      </c>
      <c r="I3076">
        <v>216.2612</v>
      </c>
      <c r="J3076">
        <v>-472.76190000000003</v>
      </c>
      <c r="K3076">
        <v>1.1107990000000001</v>
      </c>
      <c r="L3076">
        <v>216.6472</v>
      </c>
      <c r="M3076">
        <v>0.97966470000000005</v>
      </c>
      <c r="N3076">
        <v>0</v>
      </c>
      <c r="O3076">
        <v>-0.20019970000000001</v>
      </c>
      <c r="P3076">
        <v>0.98343000000000003</v>
      </c>
      <c r="Q3076">
        <v>0.16053039999999999</v>
      </c>
      <c r="R3076">
        <v>-8.4236199999999997E-2</v>
      </c>
      <c r="S3076">
        <v>3.083618</v>
      </c>
      <c r="T3076">
        <v>-0.2418516</v>
      </c>
      <c r="U3076">
        <v>-8.805847E-2</v>
      </c>
      <c r="V3076">
        <v>-0.1143388</v>
      </c>
      <c r="W3076">
        <v>0.17358599999999999</v>
      </c>
      <c r="X3076">
        <v>0.97815879999999999</v>
      </c>
      <c r="Y3076">
        <v>-0.171037299999999</v>
      </c>
      <c r="Z3076">
        <v>2.2280250000000001E-2</v>
      </c>
      <c r="AA3076">
        <v>0.98501260000000002</v>
      </c>
      <c r="AB3076">
        <v>11</v>
      </c>
      <c r="AC3076">
        <v>14.0661</v>
      </c>
      <c r="AD3076">
        <v>-1.1107959812329999</v>
      </c>
      <c r="AE3076">
        <v>-0.38599999999999501</v>
      </c>
      <c r="AF3076">
        <v>-2.42299544238382</v>
      </c>
      <c r="AG3076">
        <v>-1.1107959812329999</v>
      </c>
      <c r="AH3076">
        <v>13.7727411697641</v>
      </c>
      <c r="AI3076">
        <v>94.541578156766903</v>
      </c>
      <c r="AJ3076">
        <v>99.977765882937803</v>
      </c>
      <c r="AK3076">
        <v>14.0282990399781</v>
      </c>
      <c r="AL3076">
        <v>80.003617953220399</v>
      </c>
      <c r="AM3076">
        <v>96.667153995508698</v>
      </c>
      <c r="AN3076">
        <v>1.0000000492994301</v>
      </c>
    </row>
    <row r="3077" spans="1:40" x14ac:dyDescent="0.25">
      <c r="A3077" t="str">
        <f>"20190312172429092"</f>
        <v>20190312172429092</v>
      </c>
      <c r="B3077" t="str">
        <f>"1552382669083468"</f>
        <v>1552382669083468</v>
      </c>
      <c r="C3077" t="s">
        <v>40</v>
      </c>
      <c r="D3077">
        <v>3.8391850000000001</v>
      </c>
      <c r="E3077">
        <v>0.4806163</v>
      </c>
      <c r="F3077" t="s">
        <v>47</v>
      </c>
      <c r="G3077">
        <v>-458.93709999999999</v>
      </c>
      <c r="H3077" s="1">
        <v>3.1485380000000002E-6</v>
      </c>
      <c r="I3077">
        <v>216.23089999999999</v>
      </c>
      <c r="J3077">
        <v>-472.64940000000001</v>
      </c>
      <c r="K3077">
        <v>1.1107750000000001</v>
      </c>
      <c r="L3077">
        <v>216.6258</v>
      </c>
      <c r="M3077">
        <v>0.97992860000000004</v>
      </c>
      <c r="N3077">
        <v>0</v>
      </c>
      <c r="O3077">
        <v>-0.19890530000000001</v>
      </c>
      <c r="P3077">
        <v>0.98351929999999999</v>
      </c>
      <c r="Q3077">
        <v>0.15935769999999999</v>
      </c>
      <c r="R3077">
        <v>-8.541224E-2</v>
      </c>
      <c r="S3077">
        <v>3.083008</v>
      </c>
      <c r="T3077">
        <v>-0.2477144</v>
      </c>
      <c r="U3077">
        <v>-9.2834470000000002E-2</v>
      </c>
      <c r="V3077">
        <v>-0.111901399999999</v>
      </c>
      <c r="W3077">
        <v>0.1724175</v>
      </c>
      <c r="X3077">
        <v>0.97864720000000005</v>
      </c>
      <c r="Y3077">
        <v>-0.16816249999999999</v>
      </c>
      <c r="Z3077">
        <v>2.260465E-2</v>
      </c>
      <c r="AA3077">
        <v>0.98550009999999999</v>
      </c>
      <c r="AB3077">
        <v>11</v>
      </c>
      <c r="AC3077">
        <v>13.712300000000001</v>
      </c>
      <c r="AD3077">
        <v>-1.110771851462</v>
      </c>
      <c r="AE3077">
        <v>-0.39490000000000602</v>
      </c>
      <c r="AF3077">
        <v>-2.3254354440154699</v>
      </c>
      <c r="AG3077">
        <v>-1.110771851462</v>
      </c>
      <c r="AH3077">
        <v>13.428771239238801</v>
      </c>
      <c r="AI3077">
        <v>94.659469067250399</v>
      </c>
      <c r="AJ3077">
        <v>99.824375339903398</v>
      </c>
      <c r="AK3077">
        <v>13.6738202820605</v>
      </c>
      <c r="AL3077">
        <v>80.071592838489593</v>
      </c>
      <c r="AM3077">
        <v>96.523038361257306</v>
      </c>
      <c r="AN3077">
        <v>1.0000000298480201</v>
      </c>
    </row>
    <row r="3078" spans="1:40" x14ac:dyDescent="0.25">
      <c r="A3078" t="str">
        <f>"20190312172429114"</f>
        <v>20190312172429114</v>
      </c>
      <c r="B3078" t="str">
        <f>"1552382669102987"</f>
        <v>1552382669102987</v>
      </c>
      <c r="C3078" t="s">
        <v>40</v>
      </c>
      <c r="D3078">
        <v>3.8207249999999999</v>
      </c>
      <c r="E3078">
        <v>0.48075250000000003</v>
      </c>
      <c r="F3078" t="s">
        <v>47</v>
      </c>
      <c r="G3078">
        <v>-459.01260000000002</v>
      </c>
      <c r="H3078" s="1">
        <v>3.1902629999999998E-6</v>
      </c>
      <c r="I3078">
        <v>216.19499999999999</v>
      </c>
      <c r="J3078">
        <v>-472.54500000000002</v>
      </c>
      <c r="K3078">
        <v>1.110744</v>
      </c>
      <c r="L3078">
        <v>216.60589999999999</v>
      </c>
      <c r="M3078">
        <v>0.98013729999999999</v>
      </c>
      <c r="N3078">
        <v>0</v>
      </c>
      <c r="O3078">
        <v>-0.19787389999999999</v>
      </c>
      <c r="P3078">
        <v>0.98348230000000003</v>
      </c>
      <c r="Q3078">
        <v>0.1585241</v>
      </c>
      <c r="R3078">
        <v>-8.7366830000000006E-2</v>
      </c>
      <c r="S3078">
        <v>3.0824579999999999</v>
      </c>
      <c r="T3078">
        <v>-0.25107819999999997</v>
      </c>
      <c r="U3078">
        <v>-9.7381590000000004E-2</v>
      </c>
      <c r="V3078">
        <v>-0.1089401</v>
      </c>
      <c r="W3078">
        <v>0.17158889999999999</v>
      </c>
      <c r="X3078">
        <v>0.97912679999999996</v>
      </c>
      <c r="Y3078">
        <v>-0.1656464</v>
      </c>
      <c r="Z3078">
        <v>2.272884E-2</v>
      </c>
      <c r="AA3078">
        <v>0.9859232</v>
      </c>
      <c r="AB3078">
        <v>11</v>
      </c>
      <c r="AC3078">
        <v>13.5323999999999</v>
      </c>
      <c r="AD3078">
        <v>-1.110740809737</v>
      </c>
      <c r="AE3078">
        <v>-0.41089999999999799</v>
      </c>
      <c r="AF3078">
        <v>-2.2599598247083801</v>
      </c>
      <c r="AG3078">
        <v>-1.110740809737</v>
      </c>
      <c r="AH3078">
        <v>13.256865049383199</v>
      </c>
      <c r="AI3078">
        <v>94.7215998531222</v>
      </c>
      <c r="AJ3078">
        <v>99.674476471205793</v>
      </c>
      <c r="AK3078">
        <v>13.493911015464301</v>
      </c>
      <c r="AL3078">
        <v>80.119786013780896</v>
      </c>
      <c r="AM3078">
        <v>96.348760023264205</v>
      </c>
      <c r="AN3078">
        <v>0.99999999323472899</v>
      </c>
    </row>
    <row r="3079" spans="1:40" x14ac:dyDescent="0.25">
      <c r="A3079" t="str">
        <f>"20190312172429137"</f>
        <v>20190312172429137</v>
      </c>
      <c r="B3079" t="str">
        <f>"1552382669133243"</f>
        <v>1552382669133243</v>
      </c>
      <c r="C3079" t="s">
        <v>40</v>
      </c>
      <c r="D3079">
        <v>3.8094320000000002</v>
      </c>
      <c r="E3079">
        <v>0.4808769</v>
      </c>
      <c r="F3079" t="s">
        <v>47</v>
      </c>
      <c r="G3079">
        <v>-459.01979999999998</v>
      </c>
      <c r="H3079" s="1">
        <v>3.1960310000000002E-6</v>
      </c>
      <c r="I3079">
        <v>216.15039999999999</v>
      </c>
      <c r="J3079">
        <v>-472.44150000000002</v>
      </c>
      <c r="K3079">
        <v>1.1107129999999901</v>
      </c>
      <c r="L3079">
        <v>216.58609999999999</v>
      </c>
      <c r="M3079">
        <v>0.98031230000000003</v>
      </c>
      <c r="N3079">
        <v>0</v>
      </c>
      <c r="O3079">
        <v>-0.19700509999999999</v>
      </c>
      <c r="P3079">
        <v>0.98335119999999998</v>
      </c>
      <c r="Q3079">
        <v>0.15806990000000001</v>
      </c>
      <c r="R3079">
        <v>-8.9634409999999998E-2</v>
      </c>
      <c r="S3079">
        <v>3.0819399999999999</v>
      </c>
      <c r="T3079">
        <v>-0.25309930000000003</v>
      </c>
      <c r="U3079">
        <v>-0.1037903</v>
      </c>
      <c r="V3079">
        <v>-0.1058104</v>
      </c>
      <c r="W3079">
        <v>0.17114260000000001</v>
      </c>
      <c r="X3079">
        <v>0.97954799999999997</v>
      </c>
      <c r="Y3079">
        <v>-0.16271160000000001</v>
      </c>
      <c r="Z3079">
        <v>2.2723130000000001E-2</v>
      </c>
      <c r="AA3079">
        <v>0.98641199999999996</v>
      </c>
      <c r="AB3079">
        <v>11</v>
      </c>
      <c r="AC3079">
        <v>13.4217</v>
      </c>
      <c r="AD3079">
        <v>-1.11070980396899</v>
      </c>
      <c r="AE3079">
        <v>-0.43569999999999698</v>
      </c>
      <c r="AF3079">
        <v>-2.20215203633806</v>
      </c>
      <c r="AG3079">
        <v>-1.11070980396899</v>
      </c>
      <c r="AH3079">
        <v>13.154471845395101</v>
      </c>
      <c r="AI3079">
        <v>94.760439007502498</v>
      </c>
      <c r="AJ3079">
        <v>99.503594586867393</v>
      </c>
      <c r="AK3079">
        <v>13.3836945344353</v>
      </c>
      <c r="AL3079">
        <v>80.145740703428601</v>
      </c>
      <c r="AM3079">
        <v>96.165163464920894</v>
      </c>
      <c r="AN3079">
        <v>0.99999995729345903</v>
      </c>
    </row>
    <row r="3080" spans="1:40" x14ac:dyDescent="0.25">
      <c r="A3080" t="str">
        <f>"20190312172429159"</f>
        <v>20190312172429159</v>
      </c>
      <c r="B3080" t="str">
        <f>"1552382669153270"</f>
        <v>1552382669153270</v>
      </c>
      <c r="C3080" t="s">
        <v>40</v>
      </c>
      <c r="D3080">
        <v>4.0482239999999896</v>
      </c>
      <c r="E3080">
        <v>0.48091060000000002</v>
      </c>
      <c r="F3080" t="s">
        <v>47</v>
      </c>
      <c r="G3080">
        <v>-458.9556</v>
      </c>
      <c r="H3080" s="1">
        <v>3.1640140000000001E-6</v>
      </c>
      <c r="I3080">
        <v>216.10159999999999</v>
      </c>
      <c r="J3080">
        <v>-472.34280000000001</v>
      </c>
      <c r="K3080">
        <v>1.1106689999999999</v>
      </c>
      <c r="L3080">
        <v>216.56720000000001</v>
      </c>
      <c r="M3080">
        <v>0.98045070000000001</v>
      </c>
      <c r="N3080">
        <v>0</v>
      </c>
      <c r="O3080">
        <v>-0.19631580000000001</v>
      </c>
      <c r="P3080">
        <v>0.98324849999999997</v>
      </c>
      <c r="Q3080">
        <v>0.15734790000000001</v>
      </c>
      <c r="R3080">
        <v>-9.2002360000000005E-2</v>
      </c>
      <c r="S3080">
        <v>3.0814509999999999</v>
      </c>
      <c r="T3080">
        <v>-0.25379049999999997</v>
      </c>
      <c r="U3080">
        <v>-0.11071780000000001</v>
      </c>
      <c r="V3080">
        <v>-0.1027629</v>
      </c>
      <c r="W3080">
        <v>0.17043179999999999</v>
      </c>
      <c r="X3080">
        <v>0.97999630000000004</v>
      </c>
      <c r="Y3080">
        <v>-0.15980259999999999</v>
      </c>
      <c r="Z3080">
        <v>2.2611530000000001E-2</v>
      </c>
      <c r="AA3080">
        <v>0.98689000000000004</v>
      </c>
      <c r="AB3080">
        <v>11</v>
      </c>
      <c r="AC3080">
        <v>13.3872</v>
      </c>
      <c r="AD3080">
        <v>-1.110665835986</v>
      </c>
      <c r="AE3080">
        <v>-0.465600000000023</v>
      </c>
      <c r="AF3080">
        <v>-2.15698382798137</v>
      </c>
      <c r="AG3080">
        <v>-1.110665835986</v>
      </c>
      <c r="AH3080">
        <v>13.127809470460701</v>
      </c>
      <c r="AI3080">
        <v>94.772251731039404</v>
      </c>
      <c r="AJ3080">
        <v>99.3306967295823</v>
      </c>
      <c r="AK3080">
        <v>13.3501138319536</v>
      </c>
      <c r="AL3080">
        <v>80.187074040330003</v>
      </c>
      <c r="AM3080">
        <v>95.986187116049294</v>
      </c>
      <c r="AN3080">
        <v>0.99999998004066903</v>
      </c>
    </row>
    <row r="3081" spans="1:40" x14ac:dyDescent="0.25">
      <c r="A3081" t="str">
        <f>"20190312172429180"</f>
        <v>20190312172429180</v>
      </c>
      <c r="B3081" t="str">
        <f>"1552382669172791"</f>
        <v>1552382669172791</v>
      </c>
      <c r="C3081" t="s">
        <v>40</v>
      </c>
      <c r="D3081">
        <v>3.8347120000000001</v>
      </c>
      <c r="E3081">
        <v>0.48334270000000001</v>
      </c>
      <c r="F3081" t="s">
        <v>47</v>
      </c>
      <c r="G3081">
        <v>-458.95659999999998</v>
      </c>
      <c r="H3081" s="1">
        <v>3.1664680000000001E-6</v>
      </c>
      <c r="I3081">
        <v>216.05760000000001</v>
      </c>
      <c r="J3081">
        <v>-472.24099999999999</v>
      </c>
      <c r="K3081">
        <v>1.110614</v>
      </c>
      <c r="L3081">
        <v>216.54750000000001</v>
      </c>
      <c r="M3081">
        <v>0.98056500000000002</v>
      </c>
      <c r="N3081">
        <v>0</v>
      </c>
      <c r="O3081">
        <v>-0.19574359999999999</v>
      </c>
      <c r="P3081">
        <v>0.98323490000000002</v>
      </c>
      <c r="Q3081">
        <v>0.1557405</v>
      </c>
      <c r="R3081">
        <v>-9.483685E-2</v>
      </c>
      <c r="S3081">
        <v>3.0810240000000002</v>
      </c>
      <c r="T3081">
        <v>-0.2556349</v>
      </c>
      <c r="U3081">
        <v>-0.1172791</v>
      </c>
      <c r="V3081">
        <v>-9.9388920000000006E-2</v>
      </c>
      <c r="W3081">
        <v>0.16883960000000001</v>
      </c>
      <c r="X3081">
        <v>0.98061969999999998</v>
      </c>
      <c r="Y3081">
        <v>-0.1571158</v>
      </c>
      <c r="Z3081">
        <v>2.2618880000000001E-2</v>
      </c>
      <c r="AA3081">
        <v>0.98732109999999995</v>
      </c>
      <c r="AB3081">
        <v>11</v>
      </c>
      <c r="AC3081">
        <v>13.2844</v>
      </c>
      <c r="AD3081">
        <v>-1.110610833532</v>
      </c>
      <c r="AE3081">
        <v>-0.489900000000005</v>
      </c>
      <c r="AF3081">
        <v>-2.1054489945243802</v>
      </c>
      <c r="AG3081">
        <v>-1.110610833532</v>
      </c>
      <c r="AH3081">
        <v>13.0323078155545</v>
      </c>
      <c r="AI3081">
        <v>94.808911822954698</v>
      </c>
      <c r="AJ3081">
        <v>99.177188973891703</v>
      </c>
      <c r="AK3081">
        <v>13.2479213045468</v>
      </c>
      <c r="AL3081">
        <v>80.2796420145539</v>
      </c>
      <c r="AM3081">
        <v>95.787346385374704</v>
      </c>
      <c r="AN3081">
        <v>0.99999998198750795</v>
      </c>
    </row>
    <row r="3082" spans="1:40" x14ac:dyDescent="0.25">
      <c r="A3082" t="str">
        <f>"20190312172429202"</f>
        <v>20190312172429202</v>
      </c>
      <c r="B3082" t="str">
        <f>"1552382669193286"</f>
        <v>1552382669193286</v>
      </c>
      <c r="C3082" t="s">
        <v>40</v>
      </c>
      <c r="D3082">
        <v>3.876074</v>
      </c>
      <c r="E3082">
        <v>0.48309960000000002</v>
      </c>
      <c r="F3082" t="s">
        <v>47</v>
      </c>
      <c r="G3082">
        <v>-457.14249999999998</v>
      </c>
      <c r="H3082" s="1">
        <v>2.2109190000000002E-6</v>
      </c>
      <c r="I3082">
        <v>215.8329</v>
      </c>
      <c r="J3082">
        <v>-472.13900000000001</v>
      </c>
      <c r="K3082">
        <v>1.1105579999999999</v>
      </c>
      <c r="L3082">
        <v>216.52770000000001</v>
      </c>
      <c r="M3082">
        <v>0.98064949999999995</v>
      </c>
      <c r="N3082">
        <v>0</v>
      </c>
      <c r="O3082">
        <v>-0.19531979999999999</v>
      </c>
      <c r="P3082">
        <v>0.98325499999999999</v>
      </c>
      <c r="Q3082">
        <v>0.15375349999999999</v>
      </c>
      <c r="R3082">
        <v>-9.7823450000000006E-2</v>
      </c>
      <c r="S3082">
        <v>3.0729679999999999</v>
      </c>
      <c r="T3082">
        <v>-0.2260402</v>
      </c>
      <c r="U3082">
        <v>-0.14544679999999999</v>
      </c>
      <c r="V3082">
        <v>-9.6021110000000007E-2</v>
      </c>
      <c r="W3082">
        <v>0.16686909999999999</v>
      </c>
      <c r="X3082">
        <v>0.98129230000000001</v>
      </c>
      <c r="Y3082">
        <v>-0.147833399999999</v>
      </c>
      <c r="Z3082">
        <v>1.96816E-2</v>
      </c>
      <c r="AA3082">
        <v>0.98881640000000004</v>
      </c>
      <c r="AB3082">
        <v>11</v>
      </c>
      <c r="AC3082">
        <v>14.996499999999999</v>
      </c>
      <c r="AD3082">
        <v>-1.1105557890809901</v>
      </c>
      <c r="AE3082">
        <v>-0.69480000000001496</v>
      </c>
      <c r="AF3082">
        <v>-2.23572222467606</v>
      </c>
      <c r="AG3082">
        <v>-1.1105557890809901</v>
      </c>
      <c r="AH3082">
        <v>14.7625451019584</v>
      </c>
      <c r="AI3082">
        <v>94.253815184928001</v>
      </c>
      <c r="AJ3082">
        <v>98.611751519441896</v>
      </c>
      <c r="AK3082">
        <v>14.972124963208399</v>
      </c>
      <c r="AL3082">
        <v>80.394168117880099</v>
      </c>
      <c r="AM3082">
        <v>95.588697004943597</v>
      </c>
      <c r="AN3082">
        <v>0.99999996406986502</v>
      </c>
    </row>
    <row r="3083" spans="1:40" x14ac:dyDescent="0.25">
      <c r="A3083" t="str">
        <f>"20190312172429225"</f>
        <v>20190312172429225</v>
      </c>
      <c r="B3083" t="str">
        <f>"1552382669212810"</f>
        <v>1552382669212810</v>
      </c>
      <c r="C3083" t="s">
        <v>40</v>
      </c>
      <c r="D3083">
        <v>3.8655119999999998</v>
      </c>
      <c r="E3083">
        <v>0.48094429999999999</v>
      </c>
      <c r="F3083" t="s">
        <v>47</v>
      </c>
      <c r="G3083">
        <v>-457.52589999999998</v>
      </c>
      <c r="H3083" s="1">
        <v>2.4165329999999999E-6</v>
      </c>
      <c r="I3083">
        <v>215.79660000000001</v>
      </c>
      <c r="J3083">
        <v>-472.03379999999999</v>
      </c>
      <c r="K3083">
        <v>1.110503</v>
      </c>
      <c r="L3083">
        <v>216.50700000000001</v>
      </c>
      <c r="M3083">
        <v>0.98070480000000004</v>
      </c>
      <c r="N3083">
        <v>0</v>
      </c>
      <c r="O3083">
        <v>-0.1950421</v>
      </c>
      <c r="P3083">
        <v>0.98315300000000005</v>
      </c>
      <c r="Q3083">
        <v>0.15241489999999999</v>
      </c>
      <c r="R3083">
        <v>-0.1008952</v>
      </c>
      <c r="S3083">
        <v>3.0722659999999999</v>
      </c>
      <c r="T3083">
        <v>-0.2334833</v>
      </c>
      <c r="U3083">
        <v>-0.153701799999999</v>
      </c>
      <c r="V3083">
        <v>-9.2694090000000007E-2</v>
      </c>
      <c r="W3083">
        <v>0.1655432</v>
      </c>
      <c r="X3083">
        <v>0.98183670000000001</v>
      </c>
      <c r="Y3083">
        <v>-0.144839299999999</v>
      </c>
      <c r="Z3083">
        <v>2.0195930000000001E-2</v>
      </c>
      <c r="AA3083">
        <v>0.98924909999999999</v>
      </c>
      <c r="AB3083">
        <v>11</v>
      </c>
      <c r="AC3083">
        <v>14.507899999999999</v>
      </c>
      <c r="AD3083">
        <v>-1.1105005834669901</v>
      </c>
      <c r="AE3083">
        <v>-0.71039999999999204</v>
      </c>
      <c r="AF3083">
        <v>-2.12075113579776</v>
      </c>
      <c r="AG3083">
        <v>-1.1105005834669901</v>
      </c>
      <c r="AH3083">
        <v>14.284301850297901</v>
      </c>
      <c r="AI3083">
        <v>94.397380317988194</v>
      </c>
      <c r="AJ3083">
        <v>98.444859202047695</v>
      </c>
      <c r="AK3083">
        <v>14.483510495604699</v>
      </c>
      <c r="AL3083">
        <v>80.4712087386864</v>
      </c>
      <c r="AM3083">
        <v>95.393244121041604</v>
      </c>
      <c r="AN3083">
        <v>1.00000002542702</v>
      </c>
    </row>
    <row r="3084" spans="1:40" x14ac:dyDescent="0.25">
      <c r="A3084" t="str">
        <f>"20190312172429246"</f>
        <v>20190312172429246</v>
      </c>
      <c r="B3084" t="str">
        <f>"1552382669243063"</f>
        <v>1552382669243063</v>
      </c>
      <c r="C3084" t="s">
        <v>40</v>
      </c>
      <c r="D3084">
        <v>3.8873060000000002</v>
      </c>
      <c r="E3084">
        <v>0.48120619999999997</v>
      </c>
      <c r="F3084" t="s">
        <v>47</v>
      </c>
      <c r="G3084">
        <v>-458.73169999999999</v>
      </c>
      <c r="H3084" s="1">
        <v>3.0547090000000002E-6</v>
      </c>
      <c r="I3084">
        <v>215.87610000000001</v>
      </c>
      <c r="J3084">
        <v>-471.93540000000002</v>
      </c>
      <c r="K3084">
        <v>1.1104639999999999</v>
      </c>
      <c r="L3084">
        <v>216.48759999999999</v>
      </c>
      <c r="M3084">
        <v>0.9807342</v>
      </c>
      <c r="N3084">
        <v>0</v>
      </c>
      <c r="O3084">
        <v>-0.1948946</v>
      </c>
      <c r="P3084">
        <v>0.98309279999999999</v>
      </c>
      <c r="Q3084">
        <v>0.151038899999999</v>
      </c>
      <c r="R3084">
        <v>-0.103516899999999</v>
      </c>
      <c r="S3084">
        <v>3.0762019999999999</v>
      </c>
      <c r="T3084">
        <v>-0.25681009999999999</v>
      </c>
      <c r="U3084">
        <v>-0.14591979999999999</v>
      </c>
      <c r="V3084">
        <v>-8.9956090000000002E-2</v>
      </c>
      <c r="W3084">
        <v>0.1641745</v>
      </c>
      <c r="X3084">
        <v>0.982321</v>
      </c>
      <c r="Y3084">
        <v>-0.14704229999999999</v>
      </c>
      <c r="Z3084">
        <v>2.2260729999999999E-2</v>
      </c>
      <c r="AA3084">
        <v>0.98887970000000003</v>
      </c>
      <c r="AB3084">
        <v>10</v>
      </c>
      <c r="AC3084">
        <v>13.2037</v>
      </c>
      <c r="AD3084">
        <v>-1.1104609452909999</v>
      </c>
      <c r="AE3084">
        <v>-0.61149999999997795</v>
      </c>
      <c r="AF3084">
        <v>-1.9599516464120601</v>
      </c>
      <c r="AG3084">
        <v>-1.1104609452909999</v>
      </c>
      <c r="AH3084">
        <v>12.978052058708499</v>
      </c>
      <c r="AI3084">
        <v>94.8360022360242</v>
      </c>
      <c r="AJ3084">
        <v>98.587939599232698</v>
      </c>
      <c r="AK3084">
        <v>13.1721057240609</v>
      </c>
      <c r="AL3084">
        <v>80.550716716246498</v>
      </c>
      <c r="AM3084">
        <v>95.232270244525296</v>
      </c>
      <c r="AN3084">
        <v>0.99999995580966805</v>
      </c>
    </row>
    <row r="3085" spans="1:40" x14ac:dyDescent="0.25">
      <c r="A3085" t="str">
        <f>"20190312172429268"</f>
        <v>20190312172429268</v>
      </c>
      <c r="B3085" t="str">
        <f>"1552382669263090"</f>
        <v>1552382669263090</v>
      </c>
      <c r="C3085" t="s">
        <v>40</v>
      </c>
      <c r="D3085">
        <v>3.7995100000000002</v>
      </c>
      <c r="E3085">
        <v>0.48115390000000002</v>
      </c>
      <c r="F3085" t="s">
        <v>47</v>
      </c>
      <c r="G3085">
        <v>-458.28530000000001</v>
      </c>
      <c r="H3085" s="1">
        <v>2.8208210000000001E-6</v>
      </c>
      <c r="I3085">
        <v>215.79239999999999</v>
      </c>
      <c r="J3085">
        <v>-471.83420000000001</v>
      </c>
      <c r="K3085">
        <v>1.110449</v>
      </c>
      <c r="L3085">
        <v>216.4675</v>
      </c>
      <c r="M3085">
        <v>0.98074399999999995</v>
      </c>
      <c r="N3085">
        <v>0</v>
      </c>
      <c r="O3085">
        <v>-0.19484570000000001</v>
      </c>
      <c r="P3085">
        <v>0.98313019999999995</v>
      </c>
      <c r="Q3085">
        <v>0.14943970000000001</v>
      </c>
      <c r="R3085">
        <v>-0.1054655</v>
      </c>
      <c r="S3085">
        <v>3.0735169999999998</v>
      </c>
      <c r="T3085">
        <v>-0.2500368</v>
      </c>
      <c r="U3085">
        <v>-0.15652469999999999</v>
      </c>
      <c r="V3085">
        <v>-8.8002319999999995E-2</v>
      </c>
      <c r="W3085">
        <v>0.162579799999999</v>
      </c>
      <c r="X3085">
        <v>0.98276319999999995</v>
      </c>
      <c r="Y3085">
        <v>-0.1436183</v>
      </c>
      <c r="Z3085">
        <v>2.1548399999999999E-2</v>
      </c>
      <c r="AA3085">
        <v>0.98939849999999996</v>
      </c>
      <c r="AB3085">
        <v>10</v>
      </c>
      <c r="AC3085">
        <v>13.5489</v>
      </c>
      <c r="AD3085">
        <v>-1.1104461791789999</v>
      </c>
      <c r="AE3085">
        <v>-0.67510000000001402</v>
      </c>
      <c r="AF3085">
        <v>-1.9648534724452</v>
      </c>
      <c r="AG3085">
        <v>-1.1104461791789999</v>
      </c>
      <c r="AH3085">
        <v>13.331398581688299</v>
      </c>
      <c r="AI3085">
        <v>94.710833982205699</v>
      </c>
      <c r="AJ3085">
        <v>98.384200453904995</v>
      </c>
      <c r="AK3085">
        <v>13.521091968804701</v>
      </c>
      <c r="AL3085">
        <v>80.6433316234355</v>
      </c>
      <c r="AM3085">
        <v>95.116949044520496</v>
      </c>
      <c r="AN3085">
        <v>1.00000005348382</v>
      </c>
    </row>
    <row r="3086" spans="1:40" x14ac:dyDescent="0.25">
      <c r="A3086" t="str">
        <f>"20190312172429291"</f>
        <v>20190312172429291</v>
      </c>
      <c r="B3086" t="str">
        <f>"1552382669283586"</f>
        <v>1552382669283586</v>
      </c>
      <c r="C3086" t="s">
        <v>40</v>
      </c>
      <c r="D3086">
        <v>3.8903349999999999</v>
      </c>
      <c r="E3086">
        <v>0.48078759999999998</v>
      </c>
      <c r="F3086" t="s">
        <v>47</v>
      </c>
      <c r="G3086">
        <v>-458.75560000000002</v>
      </c>
      <c r="H3086" s="1">
        <v>3.071871E-6</v>
      </c>
      <c r="I3086">
        <v>215.7748</v>
      </c>
      <c r="J3086">
        <v>-471.73050000000001</v>
      </c>
      <c r="K3086">
        <v>1.110463</v>
      </c>
      <c r="L3086">
        <v>216.4468</v>
      </c>
      <c r="M3086">
        <v>0.98073449999999995</v>
      </c>
      <c r="N3086">
        <v>0</v>
      </c>
      <c r="O3086">
        <v>-0.19489319999999999</v>
      </c>
      <c r="P3086">
        <v>0.98303280000000004</v>
      </c>
      <c r="Q3086">
        <v>0.14865499999999901</v>
      </c>
      <c r="R3086">
        <v>-0.10746260000000001</v>
      </c>
      <c r="S3086">
        <v>3.0736690000000002</v>
      </c>
      <c r="T3086">
        <v>-0.26097120000000001</v>
      </c>
      <c r="U3086">
        <v>-0.162796</v>
      </c>
      <c r="V3086">
        <v>-8.6073789999999997E-2</v>
      </c>
      <c r="W3086">
        <v>0.16179589999999999</v>
      </c>
      <c r="X3086">
        <v>0.98306329999999997</v>
      </c>
      <c r="Y3086">
        <v>-0.141564</v>
      </c>
      <c r="Z3086">
        <v>2.2401279999999999E-2</v>
      </c>
      <c r="AA3086">
        <v>0.98967559999999999</v>
      </c>
      <c r="AB3086">
        <v>10</v>
      </c>
      <c r="AC3086">
        <v>12.9748999999999</v>
      </c>
      <c r="AD3086">
        <v>-1.110459928129</v>
      </c>
      <c r="AE3086">
        <v>-0.67199999999999704</v>
      </c>
      <c r="AF3086">
        <v>-1.8562707007644901</v>
      </c>
      <c r="AG3086">
        <v>-1.110459928129</v>
      </c>
      <c r="AH3086">
        <v>12.763792323417301</v>
      </c>
      <c r="AI3086">
        <v>94.920749682882501</v>
      </c>
      <c r="AJ3086">
        <v>98.274657964005499</v>
      </c>
      <c r="AK3086">
        <v>12.9457814226034</v>
      </c>
      <c r="AL3086">
        <v>80.688848221475496</v>
      </c>
      <c r="AM3086">
        <v>95.003869237405198</v>
      </c>
      <c r="AN3086">
        <v>1.00000003119433</v>
      </c>
    </row>
    <row r="3087" spans="1:40" x14ac:dyDescent="0.25">
      <c r="A3087" t="str">
        <f>"20190312172429316"</f>
        <v>20190312172429316</v>
      </c>
      <c r="B3087" t="str">
        <f>"1552382669312866"</f>
        <v>1552382669312866</v>
      </c>
      <c r="C3087" t="s">
        <v>40</v>
      </c>
      <c r="D3087">
        <v>4.1080030000000001</v>
      </c>
      <c r="E3087">
        <v>0.48128850000000001</v>
      </c>
      <c r="F3087" t="s">
        <v>47</v>
      </c>
      <c r="G3087">
        <v>-458.72649999999999</v>
      </c>
      <c r="H3087" s="1">
        <v>3.0577989999999999E-6</v>
      </c>
      <c r="I3087">
        <v>215.7424</v>
      </c>
      <c r="J3087">
        <v>-471.61880000000002</v>
      </c>
      <c r="K3087">
        <v>1.110484</v>
      </c>
      <c r="L3087">
        <v>216.42439999999999</v>
      </c>
      <c r="M3087">
        <v>0.98070389999999996</v>
      </c>
      <c r="N3087">
        <v>0</v>
      </c>
      <c r="O3087">
        <v>-0.1950481</v>
      </c>
      <c r="P3087">
        <v>0.98272349999999997</v>
      </c>
      <c r="Q3087">
        <v>0.14948139999999999</v>
      </c>
      <c r="R3087">
        <v>-0.1091352</v>
      </c>
      <c r="S3087">
        <v>3.0732729999999999</v>
      </c>
      <c r="T3087">
        <v>-0.26243749999999999</v>
      </c>
      <c r="U3087">
        <v>-0.16648859999999999</v>
      </c>
      <c r="V3087">
        <v>-8.4529699999999999E-2</v>
      </c>
      <c r="W3087">
        <v>0.16261979999999901</v>
      </c>
      <c r="X3087">
        <v>0.98306130000000003</v>
      </c>
      <c r="Y3087">
        <v>-0.14051739999999999</v>
      </c>
      <c r="Z3087">
        <v>2.2496769999999999E-2</v>
      </c>
      <c r="AA3087">
        <v>0.9898226</v>
      </c>
      <c r="AB3087">
        <v>10</v>
      </c>
      <c r="AC3087">
        <v>12.892300000000001</v>
      </c>
      <c r="AD3087">
        <v>-1.110480942201</v>
      </c>
      <c r="AE3087">
        <v>-0.68199999999998795</v>
      </c>
      <c r="AF3087">
        <v>-1.83238407951411</v>
      </c>
      <c r="AG3087">
        <v>-1.110480942201</v>
      </c>
      <c r="AH3087">
        <v>12.683834575282001</v>
      </c>
      <c r="AI3087">
        <v>94.952385190690407</v>
      </c>
      <c r="AJ3087">
        <v>98.220424505289301</v>
      </c>
      <c r="AK3087">
        <v>12.863532130444099</v>
      </c>
      <c r="AL3087">
        <v>80.641008325011597</v>
      </c>
      <c r="AM3087">
        <v>94.914557688093396</v>
      </c>
      <c r="AN3087">
        <v>0.99999999454591004</v>
      </c>
    </row>
    <row r="3088" spans="1:40" x14ac:dyDescent="0.25">
      <c r="A3088" t="str">
        <f>"20190312172429338"</f>
        <v>20190312172429338</v>
      </c>
      <c r="B3088" t="str">
        <f>"1552382669333361"</f>
        <v>1552382669333361</v>
      </c>
      <c r="C3088" t="s">
        <v>40</v>
      </c>
      <c r="D3088">
        <v>3.974221</v>
      </c>
      <c r="E3088">
        <v>0.51288900000000004</v>
      </c>
      <c r="F3088" t="s">
        <v>47</v>
      </c>
      <c r="G3088">
        <v>-458.53399999999999</v>
      </c>
      <c r="H3088" s="1">
        <v>2.9583199999999998E-6</v>
      </c>
      <c r="I3088">
        <v>215.67490000000001</v>
      </c>
      <c r="J3088">
        <v>-471.51909999999998</v>
      </c>
      <c r="K3088">
        <v>1.1105020000000001</v>
      </c>
      <c r="L3088">
        <v>216.40430000000001</v>
      </c>
      <c r="M3088">
        <v>0.98065860000000005</v>
      </c>
      <c r="N3088">
        <v>0</v>
      </c>
      <c r="O3088">
        <v>-0.19527600000000001</v>
      </c>
      <c r="P3088">
        <v>0.98234359999999998</v>
      </c>
      <c r="Q3088">
        <v>0.15100269999999999</v>
      </c>
      <c r="R3088">
        <v>-0.1104522</v>
      </c>
      <c r="S3088">
        <v>3.072845</v>
      </c>
      <c r="T3088">
        <v>-0.2607872</v>
      </c>
      <c r="U3088">
        <v>-0.1760101</v>
      </c>
      <c r="V3088">
        <v>-8.3389450000000004E-2</v>
      </c>
      <c r="W3088">
        <v>0.1641388</v>
      </c>
      <c r="X3088">
        <v>0.98290619999999995</v>
      </c>
      <c r="Y3088">
        <v>-0.1377062</v>
      </c>
      <c r="Z3088">
        <v>2.2255730000000001E-2</v>
      </c>
      <c r="AA3088">
        <v>0.99022310000000002</v>
      </c>
      <c r="AB3088">
        <v>10</v>
      </c>
      <c r="AC3088">
        <v>12.9850999999999</v>
      </c>
      <c r="AD3088">
        <v>-1.11049904168</v>
      </c>
      <c r="AE3088">
        <v>-0.72939999999999805</v>
      </c>
      <c r="AF3088">
        <v>-1.8073689752845901</v>
      </c>
      <c r="AG3088">
        <v>-1.11049904168</v>
      </c>
      <c r="AH3088">
        <v>12.784309173485999</v>
      </c>
      <c r="AI3088">
        <v>94.9158523948783</v>
      </c>
      <c r="AJ3088">
        <v>98.046807068279094</v>
      </c>
      <c r="AK3088">
        <v>12.9591030468035</v>
      </c>
      <c r="AL3088">
        <v>80.552790459914604</v>
      </c>
      <c r="AM3088">
        <v>94.849343172645305</v>
      </c>
      <c r="AN3088">
        <v>0.99999997201759006</v>
      </c>
    </row>
    <row r="3089" spans="1:40" x14ac:dyDescent="0.25">
      <c r="A3089" t="str">
        <f>"20190312172429358"</f>
        <v>20190312172429358</v>
      </c>
      <c r="B3089" t="str">
        <f>"1552382669353387"</f>
        <v>1552382669353387</v>
      </c>
      <c r="C3089" t="s">
        <v>40</v>
      </c>
      <c r="D3089">
        <v>3.9755340000000001</v>
      </c>
      <c r="E3089">
        <v>0.51299170000000005</v>
      </c>
      <c r="F3089" t="s">
        <v>47</v>
      </c>
      <c r="G3089">
        <v>-456.3032</v>
      </c>
      <c r="H3089" s="1">
        <v>1.8334469999999999E-6</v>
      </c>
      <c r="I3089">
        <v>214.25020000000001</v>
      </c>
      <c r="J3089">
        <v>-471.42910000000001</v>
      </c>
      <c r="K3089">
        <v>1.1104959999999999</v>
      </c>
      <c r="L3089">
        <v>216.386</v>
      </c>
      <c r="M3089">
        <v>0.98060290000000006</v>
      </c>
      <c r="N3089">
        <v>0</v>
      </c>
      <c r="O3089">
        <v>-0.1955549</v>
      </c>
      <c r="P3089">
        <v>0.98189300000000002</v>
      </c>
      <c r="Q3089">
        <v>0.1531429</v>
      </c>
      <c r="R3089">
        <v>-0.11150549999999999</v>
      </c>
      <c r="S3089">
        <v>3.0395810000000001</v>
      </c>
      <c r="T3089">
        <v>-0.2218369</v>
      </c>
      <c r="U3089">
        <v>-0.4303131</v>
      </c>
      <c r="V3089">
        <v>-8.2541110000000001E-2</v>
      </c>
      <c r="W3089">
        <v>0.1662767</v>
      </c>
      <c r="X3089">
        <v>0.98261849999999995</v>
      </c>
      <c r="Y3089">
        <v>-5.5530660000000003E-2</v>
      </c>
      <c r="Z3089">
        <v>1.608002E-2</v>
      </c>
      <c r="AA3089">
        <v>0.99832750000000003</v>
      </c>
      <c r="AB3089">
        <v>10</v>
      </c>
      <c r="AC3089">
        <v>15.1259</v>
      </c>
      <c r="AD3089">
        <v>-1.1104941665529999</v>
      </c>
      <c r="AE3089">
        <v>-2.1357999999999802</v>
      </c>
      <c r="AF3089">
        <v>-0.85910820543796396</v>
      </c>
      <c r="AG3089">
        <v>-1.1104941665529999</v>
      </c>
      <c r="AH3089">
        <v>15.171336300827599</v>
      </c>
      <c r="AI3089">
        <v>94.179732878424403</v>
      </c>
      <c r="AJ3089">
        <v>93.241030376200101</v>
      </c>
      <c r="AK3089">
        <v>15.2361645224581</v>
      </c>
      <c r="AL3089">
        <v>80.428591850702404</v>
      </c>
      <c r="AM3089">
        <v>94.801640283116498</v>
      </c>
      <c r="AN3089">
        <v>1.00000004617258</v>
      </c>
    </row>
    <row r="3090" spans="1:40" x14ac:dyDescent="0.25">
      <c r="A3090" t="str">
        <f>"20190312172429382"</f>
        <v>20190312172429382</v>
      </c>
      <c r="B3090" t="str">
        <f>"1552382669372908"</f>
        <v>1552382669372908</v>
      </c>
      <c r="C3090" t="s">
        <v>40</v>
      </c>
      <c r="D3090">
        <v>3.9534090000000002</v>
      </c>
      <c r="E3090">
        <v>0.51372269999999998</v>
      </c>
      <c r="F3090" t="s">
        <v>47</v>
      </c>
      <c r="G3090">
        <v>-455.2978</v>
      </c>
      <c r="H3090" s="1">
        <v>1.3058489999999999E-6</v>
      </c>
      <c r="I3090">
        <v>214.08090000000001</v>
      </c>
      <c r="J3090">
        <v>-471.32260000000002</v>
      </c>
      <c r="K3090">
        <v>1.1104560000000001</v>
      </c>
      <c r="L3090">
        <v>216.36429999999999</v>
      </c>
      <c r="M3090">
        <v>0.98052150000000005</v>
      </c>
      <c r="N3090">
        <v>0</v>
      </c>
      <c r="O3090">
        <v>-0.19596279999999999</v>
      </c>
      <c r="P3090">
        <v>0.98166560000000003</v>
      </c>
      <c r="Q3090">
        <v>0.15314410000000001</v>
      </c>
      <c r="R3090">
        <v>-0.1134892</v>
      </c>
      <c r="S3090">
        <v>3.038605</v>
      </c>
      <c r="T3090">
        <v>-0.20918110000000001</v>
      </c>
      <c r="U3090">
        <v>-0.43420409999999998</v>
      </c>
      <c r="V3090">
        <v>-8.0953499999999998E-2</v>
      </c>
      <c r="W3090">
        <v>0.1662814</v>
      </c>
      <c r="X3090">
        <v>0.98274969999999995</v>
      </c>
      <c r="Y3090">
        <v>-5.4720539999999998E-2</v>
      </c>
      <c r="Z3090">
        <v>1.5167480000000001E-2</v>
      </c>
      <c r="AA3090">
        <v>0.99838649999999995</v>
      </c>
      <c r="AB3090">
        <v>10</v>
      </c>
      <c r="AC3090">
        <v>16.024799999999999</v>
      </c>
      <c r="AD3090">
        <v>-1.1104546941509901</v>
      </c>
      <c r="AE3090">
        <v>-2.2833999999999701</v>
      </c>
      <c r="AF3090">
        <v>-0.89719873161646402</v>
      </c>
      <c r="AG3090">
        <v>-1.1104546941509901</v>
      </c>
      <c r="AH3090">
        <v>16.085839972184299</v>
      </c>
      <c r="AI3090">
        <v>93.942928643858096</v>
      </c>
      <c r="AJ3090">
        <v>93.192403605521093</v>
      </c>
      <c r="AK3090">
        <v>16.149065694413899</v>
      </c>
      <c r="AL3090">
        <v>80.428318051785098</v>
      </c>
      <c r="AM3090">
        <v>94.709078272857397</v>
      </c>
      <c r="AN3090">
        <v>0.999999972999149</v>
      </c>
    </row>
    <row r="3091" spans="1:40" x14ac:dyDescent="0.25">
      <c r="A3091" t="str">
        <f>"20190312172429414"</f>
        <v>20190312172429414</v>
      </c>
      <c r="B3091" t="str">
        <f>"1552382669403164"</f>
        <v>1552382669403164</v>
      </c>
      <c r="C3091" t="s">
        <v>40</v>
      </c>
      <c r="D3091">
        <v>3.966926</v>
      </c>
      <c r="E3091">
        <v>0.51393059999999902</v>
      </c>
      <c r="F3091" t="s">
        <v>47</v>
      </c>
      <c r="G3091">
        <v>-455.22370000000001</v>
      </c>
      <c r="H3091" s="1">
        <v>1.2697370000000001E-6</v>
      </c>
      <c r="I3091">
        <v>214.0051</v>
      </c>
      <c r="J3091">
        <v>-471.17250000000001</v>
      </c>
      <c r="K3091">
        <v>1.110395</v>
      </c>
      <c r="L3091">
        <v>216.33330000000001</v>
      </c>
      <c r="M3091">
        <v>0.980379</v>
      </c>
      <c r="N3091">
        <v>0</v>
      </c>
      <c r="O3091">
        <v>-0.19667380000000001</v>
      </c>
      <c r="P3091">
        <v>0.98216840000000005</v>
      </c>
      <c r="Q3091">
        <v>0.1479607</v>
      </c>
      <c r="R3091">
        <v>-0.11598600000000001</v>
      </c>
      <c r="S3091">
        <v>3.0372620000000001</v>
      </c>
      <c r="T3091">
        <v>-0.2095014</v>
      </c>
      <c r="U3091">
        <v>-0.44508359999999902</v>
      </c>
      <c r="V3091">
        <v>-7.9318929999999996E-2</v>
      </c>
      <c r="W3091">
        <v>0.1611107</v>
      </c>
      <c r="X3091">
        <v>0.98374379999999995</v>
      </c>
      <c r="Y3091">
        <v>-5.188284E-2</v>
      </c>
      <c r="Z3091">
        <v>1.514268E-2</v>
      </c>
      <c r="AA3091">
        <v>0.99853840000000005</v>
      </c>
      <c r="AB3091">
        <v>10</v>
      </c>
      <c r="AC3091">
        <v>15.9488</v>
      </c>
      <c r="AD3091">
        <v>-1.110393730263</v>
      </c>
      <c r="AE3091">
        <v>-2.3281999999999998</v>
      </c>
      <c r="AF3091">
        <v>-0.85023275532567599</v>
      </c>
      <c r="AG3091">
        <v>-1.110393730263</v>
      </c>
      <c r="AH3091">
        <v>16.019155334400399</v>
      </c>
      <c r="AI3091">
        <v>93.959651717778897</v>
      </c>
      <c r="AJ3091">
        <v>93.038180258076594</v>
      </c>
      <c r="AK3091">
        <v>16.0800873008228</v>
      </c>
      <c r="AL3091">
        <v>80.728628976933194</v>
      </c>
      <c r="AM3091">
        <v>94.609767006717902</v>
      </c>
      <c r="AN3091">
        <v>1.00000000717463</v>
      </c>
    </row>
    <row r="3092" spans="1:40" x14ac:dyDescent="0.25">
      <c r="A3092" t="str">
        <f>"20190312172429436"</f>
        <v>20190312172429436</v>
      </c>
      <c r="B3092" t="str">
        <f>"1552382669433420"</f>
        <v>1552382669433420</v>
      </c>
      <c r="C3092" t="s">
        <v>40</v>
      </c>
      <c r="D3092">
        <v>4.4488159999999999</v>
      </c>
      <c r="E3092">
        <v>0.5141715</v>
      </c>
      <c r="F3092" t="s">
        <v>47</v>
      </c>
      <c r="G3092">
        <v>-456.11180000000002</v>
      </c>
      <c r="H3092" s="1">
        <v>1.7389369999999999E-6</v>
      </c>
      <c r="I3092">
        <v>214.0823</v>
      </c>
      <c r="J3092">
        <v>-471.07819999999998</v>
      </c>
      <c r="K3092">
        <v>1.1103780000000001</v>
      </c>
      <c r="L3092">
        <v>216.31370000000001</v>
      </c>
      <c r="M3092">
        <v>0.98027949999999997</v>
      </c>
      <c r="N3092">
        <v>0</v>
      </c>
      <c r="O3092">
        <v>-0.19716939999999999</v>
      </c>
      <c r="P3092">
        <v>0.98224990000000001</v>
      </c>
      <c r="Q3092">
        <v>0.14593310000000001</v>
      </c>
      <c r="R3092">
        <v>-0.1178498</v>
      </c>
      <c r="S3092">
        <v>3.0345759999999999</v>
      </c>
      <c r="T3092">
        <v>-0.22373319999999999</v>
      </c>
      <c r="U3092">
        <v>-0.45355220000000002</v>
      </c>
      <c r="V3092">
        <v>-7.8012150000000002E-2</v>
      </c>
      <c r="W3092">
        <v>0.1590849</v>
      </c>
      <c r="X3092">
        <v>0.98417790000000005</v>
      </c>
      <c r="Y3092">
        <v>-4.9458420000000003E-2</v>
      </c>
      <c r="Z3092">
        <v>1.6125259999999999E-2</v>
      </c>
      <c r="AA3092">
        <v>0.99864600000000003</v>
      </c>
      <c r="AB3092">
        <v>10</v>
      </c>
      <c r="AC3092">
        <v>14.966399999999901</v>
      </c>
      <c r="AD3092">
        <v>-1.1103762610629999</v>
      </c>
      <c r="AE3092">
        <v>-2.2313999999999998</v>
      </c>
      <c r="AF3092">
        <v>-0.75949812519834803</v>
      </c>
      <c r="AG3092">
        <v>-1.1103762610629999</v>
      </c>
      <c r="AH3092">
        <v>15.0316114031144</v>
      </c>
      <c r="AI3092">
        <v>94.219369198767197</v>
      </c>
      <c r="AJ3092">
        <v>92.892508404589904</v>
      </c>
      <c r="AK3092">
        <v>15.0916902372647</v>
      </c>
      <c r="AL3092">
        <v>80.846215636020105</v>
      </c>
      <c r="AM3092">
        <v>94.532148788776098</v>
      </c>
      <c r="AN3092">
        <v>1.00000001990202</v>
      </c>
    </row>
    <row r="3093" spans="1:40" x14ac:dyDescent="0.25">
      <c r="A3093" t="str">
        <f>"20190312172429458"</f>
        <v>20190312172429458</v>
      </c>
      <c r="B3093" t="str">
        <f>"1552382669452940"</f>
        <v>1552382669452940</v>
      </c>
      <c r="C3093" t="s">
        <v>40</v>
      </c>
      <c r="D3093">
        <v>4.0470350000000002</v>
      </c>
      <c r="E3093">
        <v>0.5141831</v>
      </c>
      <c r="F3093" t="s">
        <v>47</v>
      </c>
      <c r="G3093">
        <v>-456.69470000000001</v>
      </c>
      <c r="H3093" s="1">
        <v>2.04683E-6</v>
      </c>
      <c r="I3093">
        <v>214.13480000000001</v>
      </c>
      <c r="J3093">
        <v>-470.97629999999998</v>
      </c>
      <c r="K3093">
        <v>1.1103989999999999</v>
      </c>
      <c r="L3093">
        <v>216.29249999999999</v>
      </c>
      <c r="M3093">
        <v>0.98016599999999998</v>
      </c>
      <c r="N3093">
        <v>0</v>
      </c>
      <c r="O3093">
        <v>-0.19773299999999999</v>
      </c>
      <c r="P3093">
        <v>0.98208640000000003</v>
      </c>
      <c r="Q3093">
        <v>0.14514869999999999</v>
      </c>
      <c r="R3093">
        <v>-0.1201586</v>
      </c>
      <c r="S3093">
        <v>3.0338440000000002</v>
      </c>
      <c r="T3093">
        <v>-0.2342051</v>
      </c>
      <c r="U3093">
        <v>-0.45957949999999997</v>
      </c>
      <c r="V3093">
        <v>-7.6293410000000006E-2</v>
      </c>
      <c r="W3093">
        <v>0.15829670000000001</v>
      </c>
      <c r="X3093">
        <v>0.98443970000000003</v>
      </c>
      <c r="Y3093">
        <v>-4.7998300000000001E-2</v>
      </c>
      <c r="Z3093">
        <v>1.686495E-2</v>
      </c>
      <c r="AA3093">
        <v>0.99870499999999995</v>
      </c>
      <c r="AB3093">
        <v>10</v>
      </c>
      <c r="AC3093">
        <v>14.2815999999999</v>
      </c>
      <c r="AD3093">
        <v>-1.11039695317</v>
      </c>
      <c r="AE3093">
        <v>-2.15769999999997</v>
      </c>
      <c r="AF3093">
        <v>-0.70493563525279102</v>
      </c>
      <c r="AG3093">
        <v>-1.11039695317</v>
      </c>
      <c r="AH3093">
        <v>14.3414978732003</v>
      </c>
      <c r="AI3093">
        <v>94.422001398006401</v>
      </c>
      <c r="AJ3093">
        <v>92.814026533678103</v>
      </c>
      <c r="AK3093">
        <v>14.4016831269983</v>
      </c>
      <c r="AL3093">
        <v>80.891955832422596</v>
      </c>
      <c r="AM3093">
        <v>94.431526142328806</v>
      </c>
      <c r="AN3093">
        <v>1.0000000262882001</v>
      </c>
    </row>
    <row r="3094" spans="1:40" x14ac:dyDescent="0.25">
      <c r="A3094" t="str">
        <f>"20190312172429482"</f>
        <v>20190312172429482</v>
      </c>
      <c r="B3094" t="str">
        <f>"1552382669473436"</f>
        <v>1552382669473436</v>
      </c>
      <c r="C3094" t="s">
        <v>40</v>
      </c>
      <c r="D3094">
        <v>4.0006089999999999</v>
      </c>
      <c r="E3094">
        <v>0.51407740000000002</v>
      </c>
      <c r="F3094" t="s">
        <v>47</v>
      </c>
      <c r="G3094">
        <v>-456.6035</v>
      </c>
      <c r="H3094" s="1">
        <v>2.0002860000000002E-6</v>
      </c>
      <c r="I3094">
        <v>214.08940000000001</v>
      </c>
      <c r="J3094">
        <v>-470.87389999999999</v>
      </c>
      <c r="K3094">
        <v>1.11043799999999</v>
      </c>
      <c r="L3094">
        <v>216.27109999999999</v>
      </c>
      <c r="M3094">
        <v>0.98004899999999995</v>
      </c>
      <c r="N3094">
        <v>0</v>
      </c>
      <c r="O3094">
        <v>-0.1983116</v>
      </c>
      <c r="P3094">
        <v>0.98169209999999996</v>
      </c>
      <c r="Q3094">
        <v>0.14571439999999999</v>
      </c>
      <c r="R3094">
        <v>-0.12266920000000001</v>
      </c>
      <c r="S3094">
        <v>3.0324710000000001</v>
      </c>
      <c r="T3094">
        <v>-0.23427809999999999</v>
      </c>
      <c r="U3094">
        <v>-0.46481319999999998</v>
      </c>
      <c r="V3094">
        <v>-7.4350189999999997E-2</v>
      </c>
      <c r="W3094">
        <v>0.1588532</v>
      </c>
      <c r="X3094">
        <v>0.98449869999999995</v>
      </c>
      <c r="Y3094">
        <v>-4.6837339999999998E-2</v>
      </c>
      <c r="Z3094">
        <v>1.687375E-2</v>
      </c>
      <c r="AA3094">
        <v>0.99875999999999998</v>
      </c>
      <c r="AB3094">
        <v>10</v>
      </c>
      <c r="AC3094">
        <v>14.270399999999899</v>
      </c>
      <c r="AD3094">
        <v>-1.1104359997140001</v>
      </c>
      <c r="AE3094">
        <v>-2.18169999999997</v>
      </c>
      <c r="AF3094">
        <v>-0.68780445864553097</v>
      </c>
      <c r="AG3094">
        <v>-1.1104359997140001</v>
      </c>
      <c r="AH3094">
        <v>14.3348050423247</v>
      </c>
      <c r="AI3094">
        <v>94.424463035250895</v>
      </c>
      <c r="AJ3094">
        <v>92.747026697869202</v>
      </c>
      <c r="AK3094">
        <v>14.394192533249299</v>
      </c>
      <c r="AL3094">
        <v>80.859661783716007</v>
      </c>
      <c r="AM3094">
        <v>94.318828411990296</v>
      </c>
      <c r="AN3094">
        <v>0.99999999010248297</v>
      </c>
    </row>
    <row r="3095" spans="1:40" x14ac:dyDescent="0.25">
      <c r="A3095" t="str">
        <f>"20190312172429505"</f>
        <v>20190312172429505</v>
      </c>
      <c r="B3095" t="str">
        <f>"1552382669492956"</f>
        <v>1552382669492956</v>
      </c>
      <c r="C3095" t="s">
        <v>40</v>
      </c>
      <c r="D3095">
        <v>3.9884339999999998</v>
      </c>
      <c r="E3095">
        <v>0.51408209999999999</v>
      </c>
      <c r="F3095" t="s">
        <v>47</v>
      </c>
      <c r="G3095">
        <v>-456.29360000000003</v>
      </c>
      <c r="H3095" s="1">
        <v>1.838867E-6</v>
      </c>
      <c r="I3095">
        <v>214.0093</v>
      </c>
      <c r="J3095">
        <v>-470.77109999999999</v>
      </c>
      <c r="K3095">
        <v>1.110479</v>
      </c>
      <c r="L3095">
        <v>216.24950000000001</v>
      </c>
      <c r="M3095">
        <v>0.9799329</v>
      </c>
      <c r="N3095">
        <v>0</v>
      </c>
      <c r="O3095">
        <v>-0.1988856</v>
      </c>
      <c r="P3095">
        <v>0.98120700000000005</v>
      </c>
      <c r="Q3095">
        <v>0.1461558</v>
      </c>
      <c r="R3095">
        <v>-0.1259837</v>
      </c>
      <c r="S3095">
        <v>3.0314329999999998</v>
      </c>
      <c r="T3095">
        <v>-0.23087350000000001</v>
      </c>
      <c r="U3095">
        <v>-0.47024539999999998</v>
      </c>
      <c r="V3095">
        <v>-7.1597649999999999E-2</v>
      </c>
      <c r="W3095">
        <v>0.15928639999999999</v>
      </c>
      <c r="X3095">
        <v>0.98463270000000003</v>
      </c>
      <c r="Y3095">
        <v>-4.5644820000000003E-2</v>
      </c>
      <c r="Z3095">
        <v>1.662926E-2</v>
      </c>
      <c r="AA3095">
        <v>0.99881929999999997</v>
      </c>
      <c r="AB3095">
        <v>10</v>
      </c>
      <c r="AC3095">
        <v>14.4774999999999</v>
      </c>
      <c r="AD3095">
        <v>-1.110477161133</v>
      </c>
      <c r="AE3095">
        <v>-2.24020000000001</v>
      </c>
      <c r="AF3095">
        <v>-0.68027205414291303</v>
      </c>
      <c r="AG3095">
        <v>-1.110477161133</v>
      </c>
      <c r="AH3095">
        <v>14.550206466646401</v>
      </c>
      <c r="AI3095">
        <v>94.359630594159</v>
      </c>
      <c r="AJ3095">
        <v>92.676824922308995</v>
      </c>
      <c r="AK3095">
        <v>14.608368759553001</v>
      </c>
      <c r="AL3095">
        <v>80.834520933621107</v>
      </c>
      <c r="AM3095">
        <v>94.158947634395105</v>
      </c>
      <c r="AN3095">
        <v>0.99999996730988505</v>
      </c>
    </row>
    <row r="3096" spans="1:40" x14ac:dyDescent="0.25">
      <c r="A3096" t="str">
        <f>"20190312172429528"</f>
        <v>20190312172429528</v>
      </c>
      <c r="B3096" t="str">
        <f>"1552382669523213"</f>
        <v>1552382669523213</v>
      </c>
      <c r="C3096" t="s">
        <v>40</v>
      </c>
      <c r="D3096">
        <v>4.011571</v>
      </c>
      <c r="E3096">
        <v>0.51390499999999995</v>
      </c>
      <c r="F3096" t="s">
        <v>47</v>
      </c>
      <c r="G3096">
        <v>-456.0865</v>
      </c>
      <c r="H3096" s="1">
        <v>1.732433E-6</v>
      </c>
      <c r="I3096">
        <v>213.9237</v>
      </c>
      <c r="J3096">
        <v>-470.67169999999999</v>
      </c>
      <c r="K3096">
        <v>1.1105210000000001</v>
      </c>
      <c r="L3096">
        <v>216.2286</v>
      </c>
      <c r="M3096">
        <v>0.97982360000000002</v>
      </c>
      <c r="N3096">
        <v>0</v>
      </c>
      <c r="O3096">
        <v>-0.19942309999999999</v>
      </c>
      <c r="P3096">
        <v>0.98072329999999996</v>
      </c>
      <c r="Q3096">
        <v>0.14649599999999999</v>
      </c>
      <c r="R3096">
        <v>-0.1293116</v>
      </c>
      <c r="S3096">
        <v>3.0300289999999999</v>
      </c>
      <c r="T3096">
        <v>-0.2291368</v>
      </c>
      <c r="U3096">
        <v>-0.4799042</v>
      </c>
      <c r="V3096">
        <v>-6.8794869999999994E-2</v>
      </c>
      <c r="W3096">
        <v>0.1596187</v>
      </c>
      <c r="X3096">
        <v>0.98477870000000001</v>
      </c>
      <c r="Y3096">
        <v>-4.3030810000000003E-2</v>
      </c>
      <c r="Z3096">
        <v>1.644818E-2</v>
      </c>
      <c r="AA3096">
        <v>0.99893829999999995</v>
      </c>
      <c r="AB3096">
        <v>10</v>
      </c>
      <c r="AC3096">
        <v>14.585199999999899</v>
      </c>
      <c r="AD3096">
        <v>-1.1105192675669999</v>
      </c>
      <c r="AE3096">
        <v>-2.3048999999999999</v>
      </c>
      <c r="AF3096">
        <v>-0.64663026973891002</v>
      </c>
      <c r="AG3096">
        <v>-1.1105192675669999</v>
      </c>
      <c r="AH3096">
        <v>14.6689043779517</v>
      </c>
      <c r="AI3096">
        <v>94.325172762905197</v>
      </c>
      <c r="AJ3096">
        <v>92.524061402266597</v>
      </c>
      <c r="AK3096">
        <v>14.725085378321999</v>
      </c>
      <c r="AL3096">
        <v>80.8152348688035</v>
      </c>
      <c r="AM3096">
        <v>93.996088087177299</v>
      </c>
      <c r="AN3096">
        <v>0.99999997575084798</v>
      </c>
    </row>
    <row r="3097" spans="1:40" x14ac:dyDescent="0.25">
      <c r="A3097" t="str">
        <f>"20190312172429548"</f>
        <v>20190312172429548</v>
      </c>
      <c r="B3097" t="str">
        <f>"1552382669542732"</f>
        <v>1552382669542732</v>
      </c>
      <c r="C3097" t="s">
        <v>40</v>
      </c>
      <c r="D3097">
        <v>4.0239089999999997</v>
      </c>
      <c r="E3097">
        <v>0.51367859999999999</v>
      </c>
      <c r="F3097" t="s">
        <v>47</v>
      </c>
      <c r="G3097">
        <v>-455.8655</v>
      </c>
      <c r="H3097" s="1">
        <v>1.6184930000000001E-6</v>
      </c>
      <c r="I3097">
        <v>213.84</v>
      </c>
      <c r="J3097">
        <v>-470.5797</v>
      </c>
      <c r="K3097">
        <v>1.110562</v>
      </c>
      <c r="L3097">
        <v>216.20930000000001</v>
      </c>
      <c r="M3097">
        <v>0.9797264</v>
      </c>
      <c r="N3097">
        <v>0</v>
      </c>
      <c r="O3097">
        <v>-0.1999002</v>
      </c>
      <c r="P3097">
        <v>0.9801552</v>
      </c>
      <c r="Q3097">
        <v>0.14800329999999901</v>
      </c>
      <c r="R3097">
        <v>-0.1318734</v>
      </c>
      <c r="S3097">
        <v>3.0285030000000002</v>
      </c>
      <c r="T3097">
        <v>-0.22714960000000001</v>
      </c>
      <c r="U3097">
        <v>-0.48857119999999998</v>
      </c>
      <c r="V3097">
        <v>-6.6661399999999996E-2</v>
      </c>
      <c r="W3097">
        <v>0.16111729999999999</v>
      </c>
      <c r="X3097">
        <v>0.98468140000000004</v>
      </c>
      <c r="Y3097">
        <v>-4.0668219999999998E-2</v>
      </c>
      <c r="Z3097">
        <v>1.6256090000000001E-2</v>
      </c>
      <c r="AA3097">
        <v>0.9990405</v>
      </c>
      <c r="AB3097">
        <v>10</v>
      </c>
      <c r="AC3097">
        <v>14.7142</v>
      </c>
      <c r="AD3097">
        <v>-1.110560381507</v>
      </c>
      <c r="AE3097">
        <v>-2.3693</v>
      </c>
      <c r="AF3097">
        <v>-0.61673589749804802</v>
      </c>
      <c r="AG3097">
        <v>-1.110560381507</v>
      </c>
      <c r="AH3097">
        <v>14.8085990522115</v>
      </c>
      <c r="AI3097">
        <v>94.285127257229902</v>
      </c>
      <c r="AJ3097">
        <v>92.384827557446499</v>
      </c>
      <c r="AK3097">
        <v>14.862984673927199</v>
      </c>
      <c r="AL3097">
        <v>80.728245687098095</v>
      </c>
      <c r="AM3097">
        <v>93.872925772840503</v>
      </c>
      <c r="AN3097">
        <v>0.99999999305760501</v>
      </c>
    </row>
    <row r="3098" spans="1:40" x14ac:dyDescent="0.25">
      <c r="A3098" t="str">
        <f>"20190312172429571"</f>
        <v>20190312172429571</v>
      </c>
      <c r="B3098" t="str">
        <f>"1552382669562757"</f>
        <v>1552382669562757</v>
      </c>
      <c r="C3098" t="s">
        <v>40</v>
      </c>
      <c r="D3098">
        <v>3.988035</v>
      </c>
      <c r="E3098">
        <v>0.51351179999999996</v>
      </c>
      <c r="F3098" t="s">
        <v>47</v>
      </c>
      <c r="G3098">
        <v>-455.42250000000001</v>
      </c>
      <c r="H3098" s="1">
        <v>1.387467E-6</v>
      </c>
      <c r="I3098">
        <v>213.7312</v>
      </c>
      <c r="J3098">
        <v>-470.4794</v>
      </c>
      <c r="K3098">
        <v>1.110606</v>
      </c>
      <c r="L3098">
        <v>216.18819999999999</v>
      </c>
      <c r="M3098">
        <v>0.97962550000000004</v>
      </c>
      <c r="N3098">
        <v>0</v>
      </c>
      <c r="O3098">
        <v>-0.2003944</v>
      </c>
      <c r="P3098">
        <v>0.97972570000000003</v>
      </c>
      <c r="Q3098">
        <v>0.1499656</v>
      </c>
      <c r="R3098">
        <v>-0.13284779999999999</v>
      </c>
      <c r="S3098">
        <v>3.0276489999999998</v>
      </c>
      <c r="T3098">
        <v>-0.22183369999999999</v>
      </c>
      <c r="U3098">
        <v>-0.49499510000000002</v>
      </c>
      <c r="V3098">
        <v>-6.6128580000000006E-2</v>
      </c>
      <c r="W3098">
        <v>0.16306899999999999</v>
      </c>
      <c r="X3098">
        <v>0.98439600000000005</v>
      </c>
      <c r="Y3098">
        <v>-3.9095320000000003E-2</v>
      </c>
      <c r="Z3098">
        <v>1.585555E-2</v>
      </c>
      <c r="AA3098">
        <v>0.99910969999999999</v>
      </c>
      <c r="AB3098">
        <v>10</v>
      </c>
      <c r="AC3098">
        <v>15.056899999999899</v>
      </c>
      <c r="AD3098">
        <v>-1.110604612533</v>
      </c>
      <c r="AE3098">
        <v>-2.4569999999999901</v>
      </c>
      <c r="AF3098">
        <v>-0.60721436631693304</v>
      </c>
      <c r="AG3098">
        <v>-1.110604612533</v>
      </c>
      <c r="AH3098">
        <v>15.163474678957201</v>
      </c>
      <c r="AI3098">
        <v>94.185640300347501</v>
      </c>
      <c r="AJ3098">
        <v>92.293157907961998</v>
      </c>
      <c r="AK3098">
        <v>15.216212282674601</v>
      </c>
      <c r="AL3098">
        <v>80.614922787816795</v>
      </c>
      <c r="AM3098">
        <v>93.8431733972388</v>
      </c>
      <c r="AN3098">
        <v>0.99999998633490805</v>
      </c>
    </row>
    <row r="3099" spans="1:40" x14ac:dyDescent="0.25">
      <c r="A3099" t="str">
        <f>"20190312172429593"</f>
        <v>20190312172429593</v>
      </c>
      <c r="B3099" t="str">
        <f>"1552382669583254"</f>
        <v>1552382669583254</v>
      </c>
      <c r="C3099" t="s">
        <v>40</v>
      </c>
      <c r="D3099">
        <v>3.9830869999999998</v>
      </c>
      <c r="E3099">
        <v>0.51332290000000003</v>
      </c>
      <c r="F3099" t="s">
        <v>47</v>
      </c>
      <c r="G3099">
        <v>-454.86939999999998</v>
      </c>
      <c r="H3099" s="1">
        <v>1.0979210000000001E-6</v>
      </c>
      <c r="I3099">
        <v>213.6215</v>
      </c>
      <c r="J3099">
        <v>-470.38200000000001</v>
      </c>
      <c r="K3099">
        <v>1.110633</v>
      </c>
      <c r="L3099">
        <v>216.1677</v>
      </c>
      <c r="M3099">
        <v>0.97953310000000005</v>
      </c>
      <c r="N3099">
        <v>0</v>
      </c>
      <c r="O3099">
        <v>-0.20084569999999999</v>
      </c>
      <c r="P3099">
        <v>0.97937419999999997</v>
      </c>
      <c r="Q3099">
        <v>0.15217329999999901</v>
      </c>
      <c r="R3099">
        <v>-0.13292709999999999</v>
      </c>
      <c r="S3099">
        <v>3.0275569999999998</v>
      </c>
      <c r="T3099">
        <v>-0.21540139999999999</v>
      </c>
      <c r="U3099">
        <v>-0.49780269999999999</v>
      </c>
      <c r="V3099">
        <v>-6.6443799999999997E-2</v>
      </c>
      <c r="W3099">
        <v>0.1652652</v>
      </c>
      <c r="X3099">
        <v>0.98400840000000001</v>
      </c>
      <c r="Y3099">
        <v>-3.868365E-2</v>
      </c>
      <c r="Z3099">
        <v>1.5412530000000001E-2</v>
      </c>
      <c r="AA3099">
        <v>0.99913260000000004</v>
      </c>
      <c r="AB3099">
        <v>10</v>
      </c>
      <c r="AC3099">
        <v>15.5125999999999</v>
      </c>
      <c r="AD3099">
        <v>-1.1106319020790001</v>
      </c>
      <c r="AE3099">
        <v>-2.54619999999999</v>
      </c>
      <c r="AF3099">
        <v>-0.61851920332108501</v>
      </c>
      <c r="AG3099">
        <v>-1.1106319020790001</v>
      </c>
      <c r="AH3099">
        <v>15.6298646649477</v>
      </c>
      <c r="AI3099">
        <v>94.061341815044003</v>
      </c>
      <c r="AJ3099">
        <v>92.266178173892399</v>
      </c>
      <c r="AK3099">
        <v>15.6814775665871</v>
      </c>
      <c r="AL3099">
        <v>80.487358684231097</v>
      </c>
      <c r="AM3099">
        <v>93.862954057921499</v>
      </c>
      <c r="AN3099">
        <v>0.99999994808001802</v>
      </c>
    </row>
    <row r="3100" spans="1:40" x14ac:dyDescent="0.25">
      <c r="A3100" t="str">
        <f>"20190312172429616"</f>
        <v>20190312172429616</v>
      </c>
      <c r="B3100" t="str">
        <f>"1552382669613509"</f>
        <v>1552382669613509</v>
      </c>
      <c r="C3100" t="s">
        <v>40</v>
      </c>
      <c r="D3100">
        <v>3.9584450000000002</v>
      </c>
      <c r="E3100">
        <v>0.513121099999999</v>
      </c>
      <c r="F3100" t="s">
        <v>47</v>
      </c>
      <c r="G3100">
        <v>-454.2475</v>
      </c>
      <c r="H3100" s="1">
        <v>7.7152530000000002E-7</v>
      </c>
      <c r="I3100">
        <v>213.51859999999999</v>
      </c>
      <c r="J3100">
        <v>-470.2833</v>
      </c>
      <c r="K3100">
        <v>1.110649</v>
      </c>
      <c r="L3100">
        <v>216.14689999999999</v>
      </c>
      <c r="M3100">
        <v>0.97944560000000003</v>
      </c>
      <c r="N3100">
        <v>0</v>
      </c>
      <c r="O3100">
        <v>-0.20127239999999999</v>
      </c>
      <c r="P3100">
        <v>0.97916440000000005</v>
      </c>
      <c r="Q3100">
        <v>0.15295149999999999</v>
      </c>
      <c r="R3100">
        <v>-0.13357829999999901</v>
      </c>
      <c r="S3100">
        <v>3.028076</v>
      </c>
      <c r="T3100">
        <v>-0.2084404</v>
      </c>
      <c r="U3100">
        <v>-0.49717709999999998</v>
      </c>
      <c r="V3100">
        <v>-6.6202860000000002E-2</v>
      </c>
      <c r="W3100">
        <v>0.16603499999999999</v>
      </c>
      <c r="X3100">
        <v>0.98389510000000002</v>
      </c>
      <c r="Y3100">
        <v>-3.938175E-2</v>
      </c>
      <c r="Z3100">
        <v>1.496573E-2</v>
      </c>
      <c r="AA3100">
        <v>0.99911209999999995</v>
      </c>
      <c r="AB3100">
        <v>10</v>
      </c>
      <c r="AC3100">
        <v>16.035799999999899</v>
      </c>
      <c r="AD3100">
        <v>-1.1106482284746999</v>
      </c>
      <c r="AE3100">
        <v>-2.6282999999999901</v>
      </c>
      <c r="AF3100">
        <v>-0.65030656748675597</v>
      </c>
      <c r="AG3100">
        <v>-1.1106482284746999</v>
      </c>
      <c r="AH3100">
        <v>16.161127603329</v>
      </c>
      <c r="AI3100">
        <v>93.928212484534697</v>
      </c>
      <c r="AJ3100">
        <v>92.304278025403804</v>
      </c>
      <c r="AK3100">
        <v>16.212294209340399</v>
      </c>
      <c r="AL3100">
        <v>80.442635044735795</v>
      </c>
      <c r="AM3100">
        <v>93.849430204908799</v>
      </c>
      <c r="AN3100">
        <v>1.0000000038505901</v>
      </c>
    </row>
    <row r="3101" spans="1:40" x14ac:dyDescent="0.25">
      <c r="A3101" t="str">
        <f>"20190312172429637"</f>
        <v>20190312172429637</v>
      </c>
      <c r="B3101" t="str">
        <f>"1552382669633029"</f>
        <v>1552382669633029</v>
      </c>
      <c r="C3101" t="s">
        <v>40</v>
      </c>
      <c r="D3101">
        <v>3.951981</v>
      </c>
      <c r="E3101">
        <v>0.5129629</v>
      </c>
      <c r="F3101" t="s">
        <v>47</v>
      </c>
      <c r="G3101">
        <v>-454.02780000000001</v>
      </c>
      <c r="H3101" s="1">
        <v>6.5616599999999997E-7</v>
      </c>
      <c r="I3101">
        <v>213.4829</v>
      </c>
      <c r="J3101">
        <v>-470.19040000000001</v>
      </c>
      <c r="K3101">
        <v>1.110662</v>
      </c>
      <c r="L3101">
        <v>216.12729999999999</v>
      </c>
      <c r="M3101">
        <v>0.97937019999999997</v>
      </c>
      <c r="N3101">
        <v>0</v>
      </c>
      <c r="O3101">
        <v>-0.2016395</v>
      </c>
      <c r="P3101">
        <v>0.97911890000000001</v>
      </c>
      <c r="Q3101">
        <v>0.15271279999999901</v>
      </c>
      <c r="R3101">
        <v>-0.13418379999999999</v>
      </c>
      <c r="S3101">
        <v>3.0284119999999999</v>
      </c>
      <c r="T3101">
        <v>-0.2069155</v>
      </c>
      <c r="U3101">
        <v>-0.49629210000000001</v>
      </c>
      <c r="V3101">
        <v>-6.5979940000000001E-2</v>
      </c>
      <c r="W3101">
        <v>0.16579050000000001</v>
      </c>
      <c r="X3101">
        <v>0.98395129999999997</v>
      </c>
      <c r="Y3101">
        <v>-4.0063969999999997E-2</v>
      </c>
      <c r="Z3101">
        <v>1.4902739999999999E-2</v>
      </c>
      <c r="AA3101">
        <v>0.99908600000000003</v>
      </c>
      <c r="AB3101">
        <v>10</v>
      </c>
      <c r="AC3101">
        <v>16.162599999999902</v>
      </c>
      <c r="AD3101">
        <v>-1.1106613438339901</v>
      </c>
      <c r="AE3101">
        <v>-2.6443999999999899</v>
      </c>
      <c r="AF3101">
        <v>-0.66616702581978804</v>
      </c>
      <c r="AG3101">
        <v>-1.1106613438339901</v>
      </c>
      <c r="AH3101">
        <v>16.288906971736399</v>
      </c>
      <c r="AI3101">
        <v>93.897435046134106</v>
      </c>
      <c r="AJ3101">
        <v>92.341918991744805</v>
      </c>
      <c r="AK3101">
        <v>16.340313260793401</v>
      </c>
      <c r="AL3101">
        <v>80.456840725713207</v>
      </c>
      <c r="AM3101">
        <v>93.836288603192997</v>
      </c>
      <c r="AN3101">
        <v>1.0000000015721699</v>
      </c>
    </row>
    <row r="3102" spans="1:40" x14ac:dyDescent="0.25">
      <c r="A3102" t="str">
        <f>"20190312172429659"</f>
        <v>20190312172429659</v>
      </c>
      <c r="B3102" t="str">
        <f>"1552382669653526"</f>
        <v>1552382669653526</v>
      </c>
      <c r="C3102" t="s">
        <v>40</v>
      </c>
      <c r="D3102">
        <v>3.9807760000000001</v>
      </c>
      <c r="E3102">
        <v>0.51280459999999894</v>
      </c>
      <c r="F3102" t="s">
        <v>47</v>
      </c>
      <c r="G3102">
        <v>-454.02690000000001</v>
      </c>
      <c r="H3102" s="1">
        <v>6.5555350000000001E-7</v>
      </c>
      <c r="I3102">
        <v>213.4854</v>
      </c>
      <c r="J3102">
        <v>-470.09350000000001</v>
      </c>
      <c r="K3102">
        <v>1.1106830000000001</v>
      </c>
      <c r="L3102">
        <v>216.1069</v>
      </c>
      <c r="M3102">
        <v>0.97929929999999998</v>
      </c>
      <c r="N3102">
        <v>0</v>
      </c>
      <c r="O3102">
        <v>-0.2019831</v>
      </c>
      <c r="P3102">
        <v>0.97923570000000004</v>
      </c>
      <c r="Q3102">
        <v>0.15220600000000001</v>
      </c>
      <c r="R3102">
        <v>-0.13390550000000001</v>
      </c>
      <c r="S3102">
        <v>3.0285950000000001</v>
      </c>
      <c r="T3102">
        <v>-0.20810680000000001</v>
      </c>
      <c r="U3102">
        <v>-0.49502560000000001</v>
      </c>
      <c r="V3102">
        <v>-6.6633239999999996E-2</v>
      </c>
      <c r="W3102">
        <v>0.16527649999999999</v>
      </c>
      <c r="X3102">
        <v>0.98399380000000003</v>
      </c>
      <c r="Y3102">
        <v>-4.0822459999999998E-2</v>
      </c>
      <c r="Z3102">
        <v>1.5036819999999999E-2</v>
      </c>
      <c r="AA3102">
        <v>0.99905319999999997</v>
      </c>
      <c r="AB3102">
        <v>10</v>
      </c>
      <c r="AC3102">
        <v>16.066599999999902</v>
      </c>
      <c r="AD3102">
        <v>-1.1106823444464999</v>
      </c>
      <c r="AE3102">
        <v>-2.6214999999999899</v>
      </c>
      <c r="AF3102">
        <v>-0.67486661494524003</v>
      </c>
      <c r="AG3102">
        <v>-1.1106823444464999</v>
      </c>
      <c r="AH3102">
        <v>16.189575148868499</v>
      </c>
      <c r="AI3102">
        <v>93.921220442870606</v>
      </c>
      <c r="AJ3102">
        <v>92.387007381165404</v>
      </c>
      <c r="AK3102">
        <v>16.241656433969201</v>
      </c>
      <c r="AL3102">
        <v>80.486703233972605</v>
      </c>
      <c r="AM3102">
        <v>93.873991663434694</v>
      </c>
      <c r="AN3102">
        <v>1.00000005428179</v>
      </c>
    </row>
    <row r="3103" spans="1:40" x14ac:dyDescent="0.25">
      <c r="A3103" t="str">
        <f>"20190312172429683"</f>
        <v>20190312172429683</v>
      </c>
      <c r="B3103" t="str">
        <f>"1552382669673046"</f>
        <v>1552382669673046</v>
      </c>
      <c r="C3103" t="s">
        <v>40</v>
      </c>
      <c r="D3103">
        <v>3.976718</v>
      </c>
      <c r="E3103">
        <v>0.51262959999999902</v>
      </c>
      <c r="F3103" t="s">
        <v>47</v>
      </c>
      <c r="G3103">
        <v>-454.10489999999999</v>
      </c>
      <c r="H3103" s="1">
        <v>6.9613819999999901E-7</v>
      </c>
      <c r="I3103">
        <v>213.50720000000001</v>
      </c>
      <c r="J3103">
        <v>-469.99149999999997</v>
      </c>
      <c r="K3103">
        <v>1.1107209999999901</v>
      </c>
      <c r="L3103">
        <v>216.08539999999999</v>
      </c>
      <c r="M3103">
        <v>0.97923579999999999</v>
      </c>
      <c r="N3103">
        <v>0</v>
      </c>
      <c r="O3103">
        <v>-0.202291</v>
      </c>
      <c r="P3103">
        <v>0.97953610000000002</v>
      </c>
      <c r="Q3103">
        <v>0.15127779999999999</v>
      </c>
      <c r="R3103">
        <v>-0.1327565</v>
      </c>
      <c r="S3103">
        <v>3.0289609999999998</v>
      </c>
      <c r="T3103">
        <v>-0.2104135</v>
      </c>
      <c r="U3103">
        <v>-0.49249270000000001</v>
      </c>
      <c r="V3103">
        <v>-6.8142610000000006E-2</v>
      </c>
      <c r="W3103">
        <v>0.1643406</v>
      </c>
      <c r="X3103">
        <v>0.98404709999999995</v>
      </c>
      <c r="Y3103">
        <v>-4.1954070000000003E-2</v>
      </c>
      <c r="Z3103">
        <v>1.5262309999999999E-2</v>
      </c>
      <c r="AA3103">
        <v>0.99900290000000003</v>
      </c>
      <c r="AB3103">
        <v>10</v>
      </c>
      <c r="AC3103">
        <v>15.8865999999999</v>
      </c>
      <c r="AD3103">
        <v>-1.1107203038618001</v>
      </c>
      <c r="AE3103">
        <v>-2.5781999999999798</v>
      </c>
      <c r="AF3103">
        <v>-0.68584446468341098</v>
      </c>
      <c r="AG3103">
        <v>-1.1107203038618001</v>
      </c>
      <c r="AH3103">
        <v>16.003465534014001</v>
      </c>
      <c r="AI3103">
        <v>93.966616684859801</v>
      </c>
      <c r="AJ3103">
        <v>92.4539661198407</v>
      </c>
      <c r="AK3103">
        <v>16.056618302790898</v>
      </c>
      <c r="AL3103">
        <v>80.541068994845006</v>
      </c>
      <c r="AM3103">
        <v>93.961254759131194</v>
      </c>
      <c r="AN3103">
        <v>0.99999997156219</v>
      </c>
    </row>
    <row r="3104" spans="1:40" x14ac:dyDescent="0.25">
      <c r="A3104" t="str">
        <f>"20190312172429707"</f>
        <v>20190312172429707</v>
      </c>
      <c r="B3104" t="str">
        <f>"1552382669703301"</f>
        <v>1552382669703301</v>
      </c>
      <c r="C3104" t="s">
        <v>40</v>
      </c>
      <c r="D3104">
        <v>3.8994300000000002</v>
      </c>
      <c r="E3104">
        <v>0.51240350000000001</v>
      </c>
      <c r="F3104" t="s">
        <v>47</v>
      </c>
      <c r="G3104">
        <v>-454.2337</v>
      </c>
      <c r="H3104" s="1">
        <v>7.6279279999999996E-7</v>
      </c>
      <c r="I3104">
        <v>213.5497</v>
      </c>
      <c r="J3104">
        <v>-469.89229999999998</v>
      </c>
      <c r="K3104">
        <v>1.110749</v>
      </c>
      <c r="L3104">
        <v>216.06460000000001</v>
      </c>
      <c r="M3104">
        <v>0.97918689999999997</v>
      </c>
      <c r="N3104">
        <v>0</v>
      </c>
      <c r="O3104">
        <v>-0.2025286</v>
      </c>
      <c r="P3104">
        <v>0.97958460000000003</v>
      </c>
      <c r="Q3104">
        <v>0.1520494</v>
      </c>
      <c r="R3104">
        <v>-0.13151270000000001</v>
      </c>
      <c r="S3104">
        <v>3.0296020000000001</v>
      </c>
      <c r="T3104">
        <v>-0.21354809999999999</v>
      </c>
      <c r="U3104">
        <v>-0.48751830000000002</v>
      </c>
      <c r="V3104">
        <v>-6.9622899999999904E-2</v>
      </c>
      <c r="W3104">
        <v>0.16510059999999999</v>
      </c>
      <c r="X3104">
        <v>0.98381629999999998</v>
      </c>
      <c r="Y3104">
        <v>-4.3806520000000002E-2</v>
      </c>
      <c r="Z3104">
        <v>1.556951E-2</v>
      </c>
      <c r="AA3104">
        <v>0.99891870000000005</v>
      </c>
      <c r="AB3104">
        <v>10</v>
      </c>
      <c r="AC3104">
        <v>15.6585999999999</v>
      </c>
      <c r="AD3104">
        <v>-1.1107482372072</v>
      </c>
      <c r="AE3104">
        <v>-2.5149000000000101</v>
      </c>
      <c r="AF3104">
        <v>-0.70535929671908604</v>
      </c>
      <c r="AG3104">
        <v>-1.1107482372072</v>
      </c>
      <c r="AH3104">
        <v>15.766085715823801</v>
      </c>
      <c r="AI3104">
        <v>94.025915133343901</v>
      </c>
      <c r="AJ3104">
        <v>92.561649085058505</v>
      </c>
      <c r="AK3104">
        <v>15.820896061305399</v>
      </c>
      <c r="AL3104">
        <v>80.496921753378302</v>
      </c>
      <c r="AM3104">
        <v>94.047970083234702</v>
      </c>
      <c r="AN3104">
        <v>1.00000003423522</v>
      </c>
    </row>
    <row r="3105" spans="1:40" x14ac:dyDescent="0.25">
      <c r="A3105" t="str">
        <f>"20190312172429728"</f>
        <v>20190312172429728</v>
      </c>
      <c r="B3105" t="str">
        <f>"1552382669723797"</f>
        <v>1552382669723797</v>
      </c>
      <c r="C3105" t="s">
        <v>40</v>
      </c>
      <c r="D3105">
        <v>3.9401419999999998</v>
      </c>
      <c r="E3105">
        <v>0.51225790000000004</v>
      </c>
      <c r="F3105" t="s">
        <v>47</v>
      </c>
      <c r="G3105">
        <v>-453.99799999999999</v>
      </c>
      <c r="H3105" s="1">
        <v>6.3776929999999997E-7</v>
      </c>
      <c r="I3105">
        <v>213.54130000000001</v>
      </c>
      <c r="J3105">
        <v>-469.7955</v>
      </c>
      <c r="K3105">
        <v>1.1107739999999999</v>
      </c>
      <c r="L3105">
        <v>216.04429999999999</v>
      </c>
      <c r="M3105">
        <v>0.97914959999999995</v>
      </c>
      <c r="N3105">
        <v>0</v>
      </c>
      <c r="O3105">
        <v>-0.20270859999999999</v>
      </c>
      <c r="P3105">
        <v>0.97943420000000003</v>
      </c>
      <c r="Q3105">
        <v>0.15294360000000001</v>
      </c>
      <c r="R3105">
        <v>-0.13159460000000001</v>
      </c>
      <c r="S3105">
        <v>3.0307919999999999</v>
      </c>
      <c r="T3105">
        <v>-0.2118033</v>
      </c>
      <c r="U3105">
        <v>-0.48115540000000001</v>
      </c>
      <c r="V3105">
        <v>-6.9704829999999995E-2</v>
      </c>
      <c r="W3105">
        <v>0.1659852</v>
      </c>
      <c r="X3105">
        <v>0.98366160000000002</v>
      </c>
      <c r="Y3105">
        <v>-4.6100439999999999E-2</v>
      </c>
      <c r="Z3105">
        <v>1.5531659999999999E-2</v>
      </c>
      <c r="AA3105">
        <v>0.99881609999999998</v>
      </c>
      <c r="AB3105">
        <v>10</v>
      </c>
      <c r="AC3105">
        <v>15.7974999999999</v>
      </c>
      <c r="AD3105">
        <v>-1.1107733622306999</v>
      </c>
      <c r="AE3105">
        <v>-2.5029999999999801</v>
      </c>
      <c r="AF3105">
        <v>-0.747936324415584</v>
      </c>
      <c r="AG3105">
        <v>-1.1107733622306999</v>
      </c>
      <c r="AH3105">
        <v>15.9002109773275</v>
      </c>
      <c r="AI3105">
        <v>93.991735892858102</v>
      </c>
      <c r="AJ3105">
        <v>92.693173646538696</v>
      </c>
      <c r="AK3105">
        <v>15.956501349956</v>
      </c>
      <c r="AL3105">
        <v>80.4455284546748</v>
      </c>
      <c r="AM3105">
        <v>94.053352986196003</v>
      </c>
      <c r="AN3105">
        <v>0.99999999662946404</v>
      </c>
    </row>
    <row r="3106" spans="1:40" x14ac:dyDescent="0.25">
      <c r="A3106" t="str">
        <f>"20190312172429751"</f>
        <v>20190312172429751</v>
      </c>
      <c r="B3106" t="str">
        <f>"1552382669743317"</f>
        <v>1552382669743317</v>
      </c>
      <c r="C3106" t="s">
        <v>40</v>
      </c>
      <c r="D3106">
        <v>3.9659900000000001</v>
      </c>
      <c r="E3106">
        <v>0.51214839999999995</v>
      </c>
      <c r="F3106" t="s">
        <v>47</v>
      </c>
      <c r="G3106">
        <v>-453.72859999999997</v>
      </c>
      <c r="H3106" s="1">
        <v>4.9593390000000003E-7</v>
      </c>
      <c r="I3106">
        <v>213.50530000000001</v>
      </c>
      <c r="J3106">
        <v>-469.70069999999998</v>
      </c>
      <c r="K3106">
        <v>1.1107910000000001</v>
      </c>
      <c r="L3106">
        <v>216.02459999999999</v>
      </c>
      <c r="M3106">
        <v>0.97912469999999996</v>
      </c>
      <c r="N3106">
        <v>0</v>
      </c>
      <c r="O3106">
        <v>-0.2028286</v>
      </c>
      <c r="P3106">
        <v>0.97911420000000005</v>
      </c>
      <c r="Q3106">
        <v>0.1542105</v>
      </c>
      <c r="R3106">
        <v>-0.13249439999999901</v>
      </c>
      <c r="S3106">
        <v>3.031342</v>
      </c>
      <c r="T3106">
        <v>-0.20956959999999999</v>
      </c>
      <c r="U3106">
        <v>-0.47903440000000003</v>
      </c>
      <c r="V3106">
        <v>-6.888975E-2</v>
      </c>
      <c r="W3106">
        <v>0.1672438</v>
      </c>
      <c r="X3106">
        <v>0.98350579999999999</v>
      </c>
      <c r="Y3106">
        <v>-4.6942709999999999E-2</v>
      </c>
      <c r="Z3106">
        <v>1.540352E-2</v>
      </c>
      <c r="AA3106">
        <v>0.99877879999999997</v>
      </c>
      <c r="AB3106">
        <v>10</v>
      </c>
      <c r="AC3106">
        <v>15.972099999999999</v>
      </c>
      <c r="AD3106">
        <v>-1.1107905040660999</v>
      </c>
      <c r="AE3106">
        <v>-2.5192999999999799</v>
      </c>
      <c r="AF3106">
        <v>-0.76932700773645202</v>
      </c>
      <c r="AG3106">
        <v>-1.1107905040660999</v>
      </c>
      <c r="AH3106">
        <v>16.075218035805101</v>
      </c>
      <c r="AI3106">
        <v>93.948325240047296</v>
      </c>
      <c r="AJ3106">
        <v>92.739968063318599</v>
      </c>
      <c r="AK3106">
        <v>16.131904862335102</v>
      </c>
      <c r="AL3106">
        <v>80.372393477009297</v>
      </c>
      <c r="AM3106">
        <v>94.006743670095702</v>
      </c>
      <c r="AN3106">
        <v>0.99999997246356997</v>
      </c>
    </row>
    <row r="3107" spans="1:40" x14ac:dyDescent="0.25">
      <c r="A3107" t="str">
        <f>"20190312172429771"</f>
        <v>20190312172429771</v>
      </c>
      <c r="B3107" t="str">
        <f>"1552382669763814"</f>
        <v>1552382669763814</v>
      </c>
      <c r="C3107" t="s">
        <v>40</v>
      </c>
      <c r="D3107">
        <v>3.945614</v>
      </c>
      <c r="E3107">
        <v>0.51199450000000002</v>
      </c>
      <c r="F3107" t="s">
        <v>47</v>
      </c>
      <c r="G3107">
        <v>-453.36509999999998</v>
      </c>
      <c r="H3107" s="1">
        <v>3.0540900000000001E-7</v>
      </c>
      <c r="I3107">
        <v>213.43879999999999</v>
      </c>
      <c r="J3107">
        <v>-469.61</v>
      </c>
      <c r="K3107">
        <v>1.1108209999999901</v>
      </c>
      <c r="L3107">
        <v>216.00569999999999</v>
      </c>
      <c r="M3107">
        <v>0.97911329999999996</v>
      </c>
      <c r="N3107">
        <v>0</v>
      </c>
      <c r="O3107">
        <v>-0.2028847</v>
      </c>
      <c r="P3107">
        <v>0.97881510000000005</v>
      </c>
      <c r="Q3107">
        <v>0.15525439999999999</v>
      </c>
      <c r="R3107">
        <v>-0.1334833</v>
      </c>
      <c r="S3107">
        <v>3.031555</v>
      </c>
      <c r="T3107">
        <v>-0.2061393</v>
      </c>
      <c r="U3107">
        <v>-0.47987370000000001</v>
      </c>
      <c r="V3107">
        <v>-6.7927899999999999E-2</v>
      </c>
      <c r="W3107">
        <v>0.16827990000000001</v>
      </c>
      <c r="X3107">
        <v>0.98339600000000005</v>
      </c>
      <c r="Y3107">
        <v>-4.675998E-2</v>
      </c>
      <c r="Z3107">
        <v>1.514803E-2</v>
      </c>
      <c r="AA3107">
        <v>0.99879130000000005</v>
      </c>
      <c r="AB3107">
        <v>10</v>
      </c>
      <c r="AC3107">
        <v>16.244900000000001</v>
      </c>
      <c r="AD3107">
        <v>-1.11082069459099</v>
      </c>
      <c r="AE3107">
        <v>-2.5669</v>
      </c>
      <c r="AF3107">
        <v>-0.77907017209089702</v>
      </c>
      <c r="AG3107">
        <v>-1.11082069459099</v>
      </c>
      <c r="AH3107">
        <v>16.353218060406501</v>
      </c>
      <c r="AI3107">
        <v>93.8815570889588</v>
      </c>
      <c r="AJ3107">
        <v>92.727518770316394</v>
      </c>
      <c r="AK3107">
        <v>16.4094062622564</v>
      </c>
      <c r="AL3107">
        <v>80.312176237742094</v>
      </c>
      <c r="AM3107">
        <v>93.951419025705107</v>
      </c>
      <c r="AN3107">
        <v>1.00000000857921</v>
      </c>
    </row>
    <row r="3108" spans="1:40" x14ac:dyDescent="0.25">
      <c r="A3108" t="str">
        <f>"20190312172429794"</f>
        <v>20190312172429794</v>
      </c>
      <c r="B3108" t="str">
        <f>"1552382669783337"</f>
        <v>1552382669783337</v>
      </c>
      <c r="C3108" t="s">
        <v>40</v>
      </c>
      <c r="D3108">
        <v>4.0971260000000003</v>
      </c>
      <c r="E3108">
        <v>0.51141879999999995</v>
      </c>
      <c r="F3108" t="s">
        <v>47</v>
      </c>
      <c r="G3108">
        <v>-453.04939999999999</v>
      </c>
      <c r="H3108" s="1">
        <v>1.4021429999999999E-7</v>
      </c>
      <c r="I3108">
        <v>213.37520000000001</v>
      </c>
      <c r="J3108">
        <v>-469.51510000000002</v>
      </c>
      <c r="K3108">
        <v>1.1108480000000001</v>
      </c>
      <c r="L3108">
        <v>215.98599999999999</v>
      </c>
      <c r="M3108">
        <v>0.9791147</v>
      </c>
      <c r="N3108">
        <v>0</v>
      </c>
      <c r="O3108">
        <v>-0.20287749999999999</v>
      </c>
      <c r="P3108">
        <v>0.97888399999999998</v>
      </c>
      <c r="Q3108">
        <v>0.15535099999999999</v>
      </c>
      <c r="R3108">
        <v>-0.13286239999999999</v>
      </c>
      <c r="S3108">
        <v>3.031555</v>
      </c>
      <c r="T3108">
        <v>-0.20334540000000001</v>
      </c>
      <c r="U3108">
        <v>-0.48153689999999999</v>
      </c>
      <c r="V3108">
        <v>-6.8553310000000006E-2</v>
      </c>
      <c r="W3108">
        <v>0.1683682</v>
      </c>
      <c r="X3108">
        <v>0.98333749999999998</v>
      </c>
      <c r="Y3108">
        <v>-4.6234209999999998E-2</v>
      </c>
      <c r="Z3108">
        <v>1.4924379999999999E-2</v>
      </c>
      <c r="AA3108">
        <v>0.99881909999999896</v>
      </c>
      <c r="AB3108">
        <v>10</v>
      </c>
      <c r="AC3108">
        <v>16.465699999999998</v>
      </c>
      <c r="AD3108">
        <v>-1.1108478597856899</v>
      </c>
      <c r="AE3108">
        <v>-2.6107999999999798</v>
      </c>
      <c r="AF3108">
        <v>-0.78084924469642603</v>
      </c>
      <c r="AG3108">
        <v>-1.1108478597856899</v>
      </c>
      <c r="AH3108">
        <v>16.579330531337899</v>
      </c>
      <c r="AI3108">
        <v>93.828969341174499</v>
      </c>
      <c r="AJ3108">
        <v>92.6965099564772</v>
      </c>
      <c r="AK3108">
        <v>16.634840227002002</v>
      </c>
      <c r="AL3108">
        <v>80.307043930293602</v>
      </c>
      <c r="AM3108">
        <v>93.987919244621594</v>
      </c>
      <c r="AN3108">
        <v>1.0000000229947199</v>
      </c>
    </row>
    <row r="3109" spans="1:40" x14ac:dyDescent="0.25">
      <c r="A3109" t="str">
        <f>"20190312172429816"</f>
        <v>20190312172429816</v>
      </c>
      <c r="B3109" t="str">
        <f>"1552382669813589"</f>
        <v>1552382669813589</v>
      </c>
      <c r="C3109" t="s">
        <v>40</v>
      </c>
      <c r="D3109">
        <v>3.912515</v>
      </c>
      <c r="E3109">
        <v>0.48768050000000002</v>
      </c>
      <c r="F3109" t="s">
        <v>47</v>
      </c>
      <c r="G3109">
        <v>-453.08440000000002</v>
      </c>
      <c r="H3109" s="1">
        <v>1.5743759999999999E-7</v>
      </c>
      <c r="I3109">
        <v>213.40690000000001</v>
      </c>
      <c r="J3109">
        <v>-469.42070000000001</v>
      </c>
      <c r="K3109">
        <v>1.110876</v>
      </c>
      <c r="L3109">
        <v>215.9665</v>
      </c>
      <c r="M3109">
        <v>0.97913159999999999</v>
      </c>
      <c r="N3109">
        <v>0</v>
      </c>
      <c r="O3109">
        <v>-0.20279659999999999</v>
      </c>
      <c r="P3109">
        <v>0.97895989999999999</v>
      </c>
      <c r="Q3109">
        <v>0.15535779999999999</v>
      </c>
      <c r="R3109">
        <v>-0.13229549999999901</v>
      </c>
      <c r="S3109">
        <v>3.032654</v>
      </c>
      <c r="T3109">
        <v>-0.20503209999999999</v>
      </c>
      <c r="U3109">
        <v>-0.47602840000000002</v>
      </c>
      <c r="V3109">
        <v>-6.9054560000000001E-2</v>
      </c>
      <c r="W3109">
        <v>0.168367299999999</v>
      </c>
      <c r="X3109">
        <v>0.98330249999999997</v>
      </c>
      <c r="Y3109">
        <v>-4.7965279999999999E-2</v>
      </c>
      <c r="Z3109">
        <v>1.509806E-2</v>
      </c>
      <c r="AA3109">
        <v>0.99873489999999998</v>
      </c>
      <c r="AB3109">
        <v>10</v>
      </c>
      <c r="AC3109">
        <v>16.336299999999898</v>
      </c>
      <c r="AD3109">
        <v>-1.1108758425623999</v>
      </c>
      <c r="AE3109">
        <v>-2.5595999999999801</v>
      </c>
      <c r="AF3109">
        <v>-0.80320631012978005</v>
      </c>
      <c r="AG3109">
        <v>-1.1108758425623999</v>
      </c>
      <c r="AH3109">
        <v>16.441703924256799</v>
      </c>
      <c r="AI3109">
        <v>93.860697306919207</v>
      </c>
      <c r="AJ3109">
        <v>92.796776726466803</v>
      </c>
      <c r="AK3109">
        <v>16.498751875434198</v>
      </c>
      <c r="AL3109">
        <v>80.307095462748606</v>
      </c>
      <c r="AM3109">
        <v>94.017125624706296</v>
      </c>
      <c r="AN3109">
        <v>0.99999994323616503</v>
      </c>
    </row>
    <row r="3110" spans="1:40" x14ac:dyDescent="0.25">
      <c r="A3110" t="str">
        <f>"20190312172429837"</f>
        <v>20190312172429837</v>
      </c>
      <c r="B3110" t="str">
        <f>"1552382669833110"</f>
        <v>1552382669833110</v>
      </c>
      <c r="C3110" t="s">
        <v>40</v>
      </c>
      <c r="D3110">
        <v>3.96793</v>
      </c>
      <c r="E3110">
        <v>0.48785119999999998</v>
      </c>
      <c r="F3110" t="s">
        <v>47</v>
      </c>
      <c r="G3110">
        <v>-457.30419999999998</v>
      </c>
      <c r="H3110" s="1">
        <v>2.3404289999999998E-6</v>
      </c>
      <c r="I3110">
        <v>214.83869999999999</v>
      </c>
      <c r="J3110">
        <v>-469.32810000000001</v>
      </c>
      <c r="K3110">
        <v>1.1109180000000001</v>
      </c>
      <c r="L3110">
        <v>215.94749999999999</v>
      </c>
      <c r="M3110">
        <v>0.97916479999999995</v>
      </c>
      <c r="N3110">
        <v>0</v>
      </c>
      <c r="O3110">
        <v>-0.2026358</v>
      </c>
      <c r="P3110">
        <v>0.97904910000000001</v>
      </c>
      <c r="Q3110">
        <v>0.15582029999999999</v>
      </c>
      <c r="R3110">
        <v>-0.13108520000000001</v>
      </c>
      <c r="S3110">
        <v>3.070557</v>
      </c>
      <c r="T3110">
        <v>-0.28151690000000001</v>
      </c>
      <c r="U3110">
        <v>-0.28581240000000002</v>
      </c>
      <c r="V3110">
        <v>-7.0110539999999999E-2</v>
      </c>
      <c r="W3110">
        <v>0.16881940000000001</v>
      </c>
      <c r="X3110">
        <v>0.98315030000000003</v>
      </c>
      <c r="Y3110">
        <v>-0.1097394</v>
      </c>
      <c r="Z3110">
        <v>2.3370109999999999E-2</v>
      </c>
      <c r="AA3110">
        <v>0.99368559999999995</v>
      </c>
      <c r="AB3110">
        <v>10</v>
      </c>
      <c r="AC3110">
        <v>12.023899999999999</v>
      </c>
      <c r="AD3110">
        <v>-1.1109156595709999</v>
      </c>
      <c r="AE3110">
        <v>-1.1088</v>
      </c>
      <c r="AF3110">
        <v>-1.33955442680023</v>
      </c>
      <c r="AG3110">
        <v>-1.1109156595709999</v>
      </c>
      <c r="AH3110">
        <v>11.898400053975999</v>
      </c>
      <c r="AI3110">
        <v>95.300765465907503</v>
      </c>
      <c r="AJ3110">
        <v>96.423467839466198</v>
      </c>
      <c r="AK3110">
        <v>12.024993285216301</v>
      </c>
      <c r="AL3110">
        <v>80.280816372906102</v>
      </c>
      <c r="AM3110">
        <v>94.078978872513403</v>
      </c>
      <c r="AN3110">
        <v>0.99999999501277004</v>
      </c>
    </row>
    <row r="3111" spans="1:40" x14ac:dyDescent="0.25">
      <c r="A3111" t="str">
        <f>"20190312172429861"</f>
        <v>20190312172429861</v>
      </c>
      <c r="B3111" t="str">
        <f>"1552382669853606"</f>
        <v>1552382669853606</v>
      </c>
      <c r="C3111" t="s">
        <v>40</v>
      </c>
      <c r="D3111">
        <v>3.989662</v>
      </c>
      <c r="E3111">
        <v>0.48810569999999998</v>
      </c>
      <c r="F3111" t="s">
        <v>47</v>
      </c>
      <c r="G3111">
        <v>-457.3734</v>
      </c>
      <c r="H3111" s="1">
        <v>2.3768459999999998E-6</v>
      </c>
      <c r="I3111">
        <v>214.84729999999999</v>
      </c>
      <c r="J3111">
        <v>-469.2296</v>
      </c>
      <c r="K3111">
        <v>1.1109610000000001</v>
      </c>
      <c r="L3111">
        <v>215.92750000000001</v>
      </c>
      <c r="M3111">
        <v>0.97921979999999997</v>
      </c>
      <c r="N3111">
        <v>0</v>
      </c>
      <c r="O3111">
        <v>-0.20236970000000001</v>
      </c>
      <c r="P3111">
        <v>0.97901819999999895</v>
      </c>
      <c r="Q3111">
        <v>0.15654479999999901</v>
      </c>
      <c r="R3111">
        <v>-0.13044990000000001</v>
      </c>
      <c r="S3111">
        <v>3.071777</v>
      </c>
      <c r="T3111">
        <v>-0.28545090000000001</v>
      </c>
      <c r="U3111">
        <v>-0.28271479999999999</v>
      </c>
      <c r="V3111">
        <v>-7.0476839999999999E-2</v>
      </c>
      <c r="W3111">
        <v>0.169532399999999</v>
      </c>
      <c r="X3111">
        <v>0.98300140000000003</v>
      </c>
      <c r="Y3111">
        <v>-0.110462</v>
      </c>
      <c r="Z3111">
        <v>2.3696869999999998E-2</v>
      </c>
      <c r="AA3111">
        <v>0.99359779999999998</v>
      </c>
      <c r="AB3111">
        <v>10</v>
      </c>
      <c r="AC3111">
        <v>11.856199999999999</v>
      </c>
      <c r="AD3111">
        <v>-1.1109586231540001</v>
      </c>
      <c r="AE3111">
        <v>-1.08020000000001</v>
      </c>
      <c r="AF3111">
        <v>-1.3301173111112401</v>
      </c>
      <c r="AG3111">
        <v>-1.1109586231540001</v>
      </c>
      <c r="AH3111">
        <v>11.7273403928665</v>
      </c>
      <c r="AI3111">
        <v>95.377341701025799</v>
      </c>
      <c r="AJ3111">
        <v>96.470846115447401</v>
      </c>
      <c r="AK3111">
        <v>11.8547017598013</v>
      </c>
      <c r="AL3111">
        <v>80.239366936111395</v>
      </c>
      <c r="AM3111">
        <v>94.100836398239196</v>
      </c>
      <c r="AN3111">
        <v>0.99999998601405204</v>
      </c>
    </row>
    <row r="3112" spans="1:40" x14ac:dyDescent="0.25">
      <c r="A3112" t="str">
        <f>"20190312172429885"</f>
        <v>20190312172429885</v>
      </c>
      <c r="B3112" t="str">
        <f>"1552382669873126"</f>
        <v>1552382669873126</v>
      </c>
      <c r="C3112" t="s">
        <v>40</v>
      </c>
      <c r="D3112">
        <v>4.0007699999999904</v>
      </c>
      <c r="E3112">
        <v>0.48845450000000001</v>
      </c>
      <c r="F3112" t="s">
        <v>47</v>
      </c>
      <c r="G3112">
        <v>-456.96440000000001</v>
      </c>
      <c r="H3112" s="1">
        <v>2.1610920000000001E-6</v>
      </c>
      <c r="I3112">
        <v>214.804</v>
      </c>
      <c r="J3112">
        <v>-469.12720000000002</v>
      </c>
      <c r="K3112">
        <v>1.1110040000000001</v>
      </c>
      <c r="L3112">
        <v>215.9068</v>
      </c>
      <c r="M3112">
        <v>0.97930320000000004</v>
      </c>
      <c r="N3112">
        <v>0</v>
      </c>
      <c r="O3112">
        <v>-0.2019659</v>
      </c>
      <c r="P3112">
        <v>0.97919060000000002</v>
      </c>
      <c r="Q3112">
        <v>0.15626319999999999</v>
      </c>
      <c r="R3112">
        <v>-0.12949059999999901</v>
      </c>
      <c r="S3112">
        <v>3.071259</v>
      </c>
      <c r="T3112">
        <v>-0.27818910000000002</v>
      </c>
      <c r="U3112">
        <v>-0.28131099999999998</v>
      </c>
      <c r="V3112">
        <v>-7.1064479999999999E-2</v>
      </c>
      <c r="W3112">
        <v>0.16924049999999999</v>
      </c>
      <c r="X3112">
        <v>0.98300940000000003</v>
      </c>
      <c r="Y3112">
        <v>-0.11055429999999999</v>
      </c>
      <c r="Z3112">
        <v>2.3069530000000001E-2</v>
      </c>
      <c r="AA3112">
        <v>0.99360230000000005</v>
      </c>
      <c r="AB3112">
        <v>10</v>
      </c>
      <c r="AC3112">
        <v>12.162800000000001</v>
      </c>
      <c r="AD3112">
        <v>-1.1110018389080001</v>
      </c>
      <c r="AE3112">
        <v>-1.1028</v>
      </c>
      <c r="AF3112">
        <v>-1.3653167487965701</v>
      </c>
      <c r="AG3112">
        <v>-1.1110018389080001</v>
      </c>
      <c r="AH3112">
        <v>12.035258279352201</v>
      </c>
      <c r="AI3112">
        <v>95.2407296334855</v>
      </c>
      <c r="AJ3112">
        <v>96.472140212255098</v>
      </c>
      <c r="AK3112">
        <v>12.1632995836375</v>
      </c>
      <c r="AL3112">
        <v>80.256336870657904</v>
      </c>
      <c r="AM3112">
        <v>94.134877765545497</v>
      </c>
      <c r="AN3112">
        <v>0.99999999382313998</v>
      </c>
    </row>
    <row r="3113" spans="1:40" x14ac:dyDescent="0.25">
      <c r="A3113" t="str">
        <f>"20190312172429906"</f>
        <v>20190312172429906</v>
      </c>
      <c r="B3113" t="str">
        <f>"1552382669893625"</f>
        <v>1552382669893625</v>
      </c>
      <c r="C3113" t="s">
        <v>40</v>
      </c>
      <c r="D3113">
        <v>3.9673069999999999</v>
      </c>
      <c r="E3113">
        <v>0.4884675</v>
      </c>
      <c r="F3113" t="s">
        <v>47</v>
      </c>
      <c r="G3113">
        <v>-456.8698</v>
      </c>
      <c r="H3113" s="1">
        <v>2.1114019999999999E-6</v>
      </c>
      <c r="I3113">
        <v>214.7901</v>
      </c>
      <c r="J3113">
        <v>-469.04039999999998</v>
      </c>
      <c r="K3113">
        <v>1.11104</v>
      </c>
      <c r="L3113">
        <v>215.88939999999999</v>
      </c>
      <c r="M3113">
        <v>0.97939279999999995</v>
      </c>
      <c r="N3113">
        <v>0</v>
      </c>
      <c r="O3113">
        <v>-0.20153170000000001</v>
      </c>
      <c r="P3113">
        <v>0.97955179999999997</v>
      </c>
      <c r="Q3113">
        <v>0.15498229999999999</v>
      </c>
      <c r="R3113">
        <v>-0.12829260000000001</v>
      </c>
      <c r="S3113">
        <v>3.071167</v>
      </c>
      <c r="T3113">
        <v>-0.27836860000000002</v>
      </c>
      <c r="U3113">
        <v>-0.27978520000000001</v>
      </c>
      <c r="V3113">
        <v>-7.1889540000000002E-2</v>
      </c>
      <c r="W3113">
        <v>0.16795270000000001</v>
      </c>
      <c r="X3113">
        <v>0.98317030000000005</v>
      </c>
      <c r="Y3113">
        <v>-0.1106002</v>
      </c>
      <c r="Z3113">
        <v>2.3049440000000001E-2</v>
      </c>
      <c r="AA3113">
        <v>0.99359770000000003</v>
      </c>
      <c r="AB3113">
        <v>10</v>
      </c>
      <c r="AC3113">
        <v>12.170599999999901</v>
      </c>
      <c r="AD3113">
        <v>-1.1110378885979999</v>
      </c>
      <c r="AE3113">
        <v>-1.09929999999999</v>
      </c>
      <c r="AF3113">
        <v>-1.3649524886336</v>
      </c>
      <c r="AG3113">
        <v>-1.1110378885979999</v>
      </c>
      <c r="AH3113">
        <v>12.0428541755275</v>
      </c>
      <c r="AI3113">
        <v>95.237670849599695</v>
      </c>
      <c r="AJ3113">
        <v>96.466381548177097</v>
      </c>
      <c r="AK3113">
        <v>12.170778002212799</v>
      </c>
      <c r="AL3113">
        <v>80.331194275485302</v>
      </c>
      <c r="AM3113">
        <v>94.182032281516399</v>
      </c>
      <c r="AN3113">
        <v>1.0000000271003899</v>
      </c>
    </row>
    <row r="3114" spans="1:40" x14ac:dyDescent="0.25">
      <c r="A3114" t="str">
        <f>"20190312172429930"</f>
        <v>20190312172429930</v>
      </c>
      <c r="B3114" t="str">
        <f>"1552382669922903"</f>
        <v>1552382669922903</v>
      </c>
      <c r="C3114" t="s">
        <v>40</v>
      </c>
      <c r="D3114">
        <v>3.9638279999999999</v>
      </c>
      <c r="E3114">
        <v>0.48834159999999999</v>
      </c>
      <c r="F3114" t="s">
        <v>47</v>
      </c>
      <c r="G3114">
        <v>-457.06380000000001</v>
      </c>
      <c r="H3114" s="1">
        <v>2.2138049999999998E-6</v>
      </c>
      <c r="I3114">
        <v>214.80860000000001</v>
      </c>
      <c r="J3114">
        <v>-468.93759999999997</v>
      </c>
      <c r="K3114">
        <v>1.1110629999999999</v>
      </c>
      <c r="L3114">
        <v>215.869</v>
      </c>
      <c r="M3114">
        <v>0.97951900000000003</v>
      </c>
      <c r="N3114">
        <v>0</v>
      </c>
      <c r="O3114">
        <v>-0.20091700000000001</v>
      </c>
      <c r="P3114">
        <v>0.97993450000000004</v>
      </c>
      <c r="Q3114">
        <v>0.15398339999999999</v>
      </c>
      <c r="R3114">
        <v>-0.12656019999999901</v>
      </c>
      <c r="S3114">
        <v>3.0713810000000001</v>
      </c>
      <c r="T3114">
        <v>-0.28492339999999999</v>
      </c>
      <c r="U3114">
        <v>-0.27717589999999998</v>
      </c>
      <c r="V3114">
        <v>-7.3058719999999994E-2</v>
      </c>
      <c r="W3114">
        <v>0.16694619999999999</v>
      </c>
      <c r="X3114">
        <v>0.98325549999999995</v>
      </c>
      <c r="Y3114">
        <v>-0.11076229999999999</v>
      </c>
      <c r="Z3114">
        <v>2.354142E-2</v>
      </c>
      <c r="AA3114">
        <v>0.99356809999999995</v>
      </c>
      <c r="AB3114">
        <v>10</v>
      </c>
      <c r="AC3114">
        <v>11.8737999999999</v>
      </c>
      <c r="AD3114">
        <v>-1.1110607861949999</v>
      </c>
      <c r="AE3114">
        <v>-1.06040000000001</v>
      </c>
      <c r="AF3114">
        <v>-1.3354834132950999</v>
      </c>
      <c r="AG3114">
        <v>-1.1110607861949999</v>
      </c>
      <c r="AH3114">
        <v>11.7426976175493</v>
      </c>
      <c r="AI3114">
        <v>95.370656485213502</v>
      </c>
      <c r="AJ3114">
        <v>96.488304762978203</v>
      </c>
      <c r="AK3114">
        <v>11.870506280483699</v>
      </c>
      <c r="AL3114">
        <v>80.389688058114501</v>
      </c>
      <c r="AM3114">
        <v>94.249432918526495</v>
      </c>
      <c r="AN3114">
        <v>0.99999999427136399</v>
      </c>
    </row>
    <row r="3115" spans="1:40" x14ac:dyDescent="0.25">
      <c r="A3115" t="str">
        <f>"20190312172429953"</f>
        <v>20190312172429953</v>
      </c>
      <c r="B3115" t="str">
        <f>"1552382669943398"</f>
        <v>1552382669943398</v>
      </c>
      <c r="C3115" t="s">
        <v>40</v>
      </c>
      <c r="D3115">
        <v>3.9645009999999998</v>
      </c>
      <c r="E3115">
        <v>0.4882724</v>
      </c>
      <c r="F3115" t="s">
        <v>47</v>
      </c>
      <c r="G3115">
        <v>-457.34010000000001</v>
      </c>
      <c r="H3115" s="1">
        <v>2.3592089999999998E-6</v>
      </c>
      <c r="I3115">
        <v>214.84540000000001</v>
      </c>
      <c r="J3115">
        <v>-468.84359999999998</v>
      </c>
      <c r="K3115">
        <v>1.111076</v>
      </c>
      <c r="L3115">
        <v>215.85050000000001</v>
      </c>
      <c r="M3115">
        <v>0.97965170000000001</v>
      </c>
      <c r="N3115">
        <v>0</v>
      </c>
      <c r="O3115">
        <v>-0.20026869999999999</v>
      </c>
      <c r="P3115">
        <v>0.98017140000000003</v>
      </c>
      <c r="Q3115">
        <v>0.1537085</v>
      </c>
      <c r="R3115">
        <v>-0.12505169999999999</v>
      </c>
      <c r="S3115">
        <v>3.0726619999999998</v>
      </c>
      <c r="T3115">
        <v>-0.2943654</v>
      </c>
      <c r="U3115">
        <v>-0.27119450000000001</v>
      </c>
      <c r="V3115">
        <v>-7.3940889999999995E-2</v>
      </c>
      <c r="W3115">
        <v>0.16666500000000001</v>
      </c>
      <c r="X3115">
        <v>0.98323729999999998</v>
      </c>
      <c r="Y3115">
        <v>-0.1119704</v>
      </c>
      <c r="Z3115">
        <v>2.430804E-2</v>
      </c>
      <c r="AA3115">
        <v>0.99341420000000002</v>
      </c>
      <c r="AB3115">
        <v>10</v>
      </c>
      <c r="AC3115">
        <v>11.503499999999899</v>
      </c>
      <c r="AD3115">
        <v>-1.111073640791</v>
      </c>
      <c r="AE3115">
        <v>-1.0050999999999899</v>
      </c>
      <c r="AF3115">
        <v>-1.3071566890472299</v>
      </c>
      <c r="AG3115">
        <v>-1.111073640791</v>
      </c>
      <c r="AH3115">
        <v>11.366484900898</v>
      </c>
      <c r="AI3115">
        <v>95.546597696394997</v>
      </c>
      <c r="AJ3115">
        <v>96.5602507543326</v>
      </c>
      <c r="AK3115">
        <v>11.495221713708901</v>
      </c>
      <c r="AL3115">
        <v>80.4060289380852</v>
      </c>
      <c r="AM3115">
        <v>94.300631950094697</v>
      </c>
      <c r="AN3115">
        <v>1.0000000327751399</v>
      </c>
    </row>
    <row r="3116" spans="1:40" x14ac:dyDescent="0.25">
      <c r="A3116" t="str">
        <f>"20190312172429974"</f>
        <v>20190312172429974</v>
      </c>
      <c r="B3116" t="str">
        <f>"1552382669962918"</f>
        <v>1552382669962918</v>
      </c>
      <c r="C3116" t="s">
        <v>40</v>
      </c>
      <c r="D3116">
        <v>3.9929070000000002</v>
      </c>
      <c r="E3116">
        <v>0.48822660000000001</v>
      </c>
      <c r="F3116" t="s">
        <v>47</v>
      </c>
      <c r="G3116">
        <v>-457.33789999999999</v>
      </c>
      <c r="H3116" s="1">
        <v>2.3575540000000001E-6</v>
      </c>
      <c r="I3116">
        <v>214.85650000000001</v>
      </c>
      <c r="J3116">
        <v>-468.75220000000002</v>
      </c>
      <c r="K3116">
        <v>1.1110869999999999</v>
      </c>
      <c r="L3116">
        <v>215.83269999999999</v>
      </c>
      <c r="M3116">
        <v>0.97979640000000001</v>
      </c>
      <c r="N3116">
        <v>0</v>
      </c>
      <c r="O3116">
        <v>-0.1995603</v>
      </c>
      <c r="P3116">
        <v>0.98034739999999998</v>
      </c>
      <c r="Q3116">
        <v>0.15370130000000001</v>
      </c>
      <c r="R3116">
        <v>-0.1236739</v>
      </c>
      <c r="S3116">
        <v>3.0733640000000002</v>
      </c>
      <c r="T3116">
        <v>-0.29678599999999999</v>
      </c>
      <c r="U3116">
        <v>-0.26551819999999998</v>
      </c>
      <c r="V3116">
        <v>-7.4619000000000005E-2</v>
      </c>
      <c r="W3116">
        <v>0.16665239999999901</v>
      </c>
      <c r="X3116">
        <v>0.98318819999999996</v>
      </c>
      <c r="Y3116">
        <v>-0.1130679</v>
      </c>
      <c r="Z3116">
        <v>2.4490290000000001E-2</v>
      </c>
      <c r="AA3116">
        <v>0.99328539999999998</v>
      </c>
      <c r="AB3116">
        <v>10</v>
      </c>
      <c r="AC3116">
        <v>11.414300000000001</v>
      </c>
      <c r="AD3116">
        <v>-1.1110846424459999</v>
      </c>
      <c r="AE3116">
        <v>-0.97619999999997698</v>
      </c>
      <c r="AF3116">
        <v>-1.3091645926625901</v>
      </c>
      <c r="AG3116">
        <v>-1.1110846424459999</v>
      </c>
      <c r="AH3116">
        <v>11.2734505108023</v>
      </c>
      <c r="AI3116">
        <v>95.591422948966795</v>
      </c>
      <c r="AJ3116">
        <v>96.623980955826397</v>
      </c>
      <c r="AK3116">
        <v>11.403469096414</v>
      </c>
      <c r="AL3116">
        <v>80.406761049562306</v>
      </c>
      <c r="AM3116">
        <v>94.340138834029503</v>
      </c>
      <c r="AN3116">
        <v>1.0000000271029901</v>
      </c>
    </row>
    <row r="3117" spans="1:40" x14ac:dyDescent="0.25">
      <c r="A3117" t="str">
        <f>"20190312172429998"</f>
        <v>20190312172429998</v>
      </c>
      <c r="B3117" t="str">
        <f>"1552382669993174"</f>
        <v>1552382669993174</v>
      </c>
      <c r="C3117" t="s">
        <v>40</v>
      </c>
      <c r="D3117">
        <v>3.9933200000000002</v>
      </c>
      <c r="E3117">
        <v>0.48821300000000001</v>
      </c>
      <c r="F3117" t="s">
        <v>47</v>
      </c>
      <c r="G3117">
        <v>-457.33089999999999</v>
      </c>
      <c r="H3117" s="1">
        <v>2.353376E-6</v>
      </c>
      <c r="I3117">
        <v>214.8674</v>
      </c>
      <c r="J3117">
        <v>-468.65339999999998</v>
      </c>
      <c r="K3117">
        <v>1.111097</v>
      </c>
      <c r="L3117">
        <v>215.81360000000001</v>
      </c>
      <c r="M3117">
        <v>0.97996819999999896</v>
      </c>
      <c r="N3117">
        <v>0</v>
      </c>
      <c r="O3117">
        <v>-0.1987149</v>
      </c>
      <c r="P3117">
        <v>0.98063789999999995</v>
      </c>
      <c r="Q3117">
        <v>0.15320320000000001</v>
      </c>
      <c r="R3117">
        <v>-0.1219758</v>
      </c>
      <c r="S3117">
        <v>3.0742189999999998</v>
      </c>
      <c r="T3117">
        <v>-0.29906569999999999</v>
      </c>
      <c r="U3117">
        <v>-0.25982670000000002</v>
      </c>
      <c r="V3117">
        <v>-7.5495179999999995E-2</v>
      </c>
      <c r="W3117">
        <v>0.16614499999999999</v>
      </c>
      <c r="X3117">
        <v>0.98320719999999995</v>
      </c>
      <c r="Y3117">
        <v>-0.114037899999999</v>
      </c>
      <c r="Z3117">
        <v>2.4640220000000001E-2</v>
      </c>
      <c r="AA3117">
        <v>0.99317080000000002</v>
      </c>
      <c r="AB3117">
        <v>10</v>
      </c>
      <c r="AC3117">
        <v>11.3224999999999</v>
      </c>
      <c r="AD3117">
        <v>-1.1110946466239999</v>
      </c>
      <c r="AE3117">
        <v>-0.94620000000000404</v>
      </c>
      <c r="AF3117">
        <v>-1.3102887907179901</v>
      </c>
      <c r="AG3117">
        <v>-1.1110946466239999</v>
      </c>
      <c r="AH3117">
        <v>11.1778062528973</v>
      </c>
      <c r="AI3117">
        <v>95.638304384036701</v>
      </c>
      <c r="AJ3117">
        <v>96.685834181899494</v>
      </c>
      <c r="AK3117">
        <v>11.3090556925036</v>
      </c>
      <c r="AL3117">
        <v>80.436244093113501</v>
      </c>
      <c r="AM3117">
        <v>94.390818288123896</v>
      </c>
      <c r="AN3117">
        <v>1.00000004068003</v>
      </c>
    </row>
    <row r="3118" spans="1:40" x14ac:dyDescent="0.25">
      <c r="A3118" t="str">
        <f>"20190312172430029"</f>
        <v>20190312172430029</v>
      </c>
      <c r="B3118" t="str">
        <f>"1552382670023429"</f>
        <v>1552382670023429</v>
      </c>
      <c r="C3118" t="s">
        <v>40</v>
      </c>
      <c r="D3118">
        <v>3.9301330000000001</v>
      </c>
      <c r="E3118">
        <v>0.4881528</v>
      </c>
      <c r="F3118" t="s">
        <v>47</v>
      </c>
      <c r="G3118">
        <v>-457.4008</v>
      </c>
      <c r="H3118" s="1">
        <v>2.3899179999999998E-6</v>
      </c>
      <c r="I3118">
        <v>214.8826</v>
      </c>
      <c r="J3118">
        <v>-468.52690000000001</v>
      </c>
      <c r="K3118">
        <v>1.1111070000000001</v>
      </c>
      <c r="L3118">
        <v>215.7895</v>
      </c>
      <c r="M3118">
        <v>0.9802111</v>
      </c>
      <c r="N3118">
        <v>0</v>
      </c>
      <c r="O3118">
        <v>-0.19751750000000001</v>
      </c>
      <c r="P3118">
        <v>0.98059540000000001</v>
      </c>
      <c r="Q3118">
        <v>0.15446940000000001</v>
      </c>
      <c r="R3118">
        <v>-0.120715</v>
      </c>
      <c r="S3118">
        <v>3.0749819999999999</v>
      </c>
      <c r="T3118">
        <v>-0.30362650000000002</v>
      </c>
      <c r="U3118">
        <v>-0.25442500000000001</v>
      </c>
      <c r="V3118">
        <v>-7.5525469999999997E-2</v>
      </c>
      <c r="W3118">
        <v>0.16735329999999901</v>
      </c>
      <c r="X3118">
        <v>0.98299990000000004</v>
      </c>
      <c r="Y3118">
        <v>-0.1145364</v>
      </c>
      <c r="Z3118">
        <v>2.4919719999999999E-2</v>
      </c>
      <c r="AA3118">
        <v>0.99310639999999994</v>
      </c>
      <c r="AB3118">
        <v>10</v>
      </c>
      <c r="AC3118">
        <v>11.126099999999999</v>
      </c>
      <c r="AD3118">
        <v>-1.1111046100819999</v>
      </c>
      <c r="AE3118">
        <v>-0.90690000000000703</v>
      </c>
      <c r="AF3118">
        <v>-1.29592038936659</v>
      </c>
      <c r="AG3118">
        <v>-1.1111046100819999</v>
      </c>
      <c r="AH3118">
        <v>10.9772613231005</v>
      </c>
      <c r="AI3118">
        <v>95.740129627978703</v>
      </c>
      <c r="AJ3118">
        <v>96.732888923763895</v>
      </c>
      <c r="AK3118">
        <v>11.10919570742</v>
      </c>
      <c r="AL3118">
        <v>80.366030301846607</v>
      </c>
      <c r="AM3118">
        <v>94.393495770177907</v>
      </c>
      <c r="AN3118">
        <v>1.0000000135198099</v>
      </c>
    </row>
    <row r="3119" spans="1:40" x14ac:dyDescent="0.25">
      <c r="A3119" t="str">
        <f>"20190312172430051"</f>
        <v>20190312172430051</v>
      </c>
      <c r="B3119" t="str">
        <f>"1552382670042950"</f>
        <v>1552382670042950</v>
      </c>
      <c r="C3119" t="s">
        <v>40</v>
      </c>
      <c r="D3119">
        <v>3.955241</v>
      </c>
      <c r="E3119">
        <v>0.48816080000000001</v>
      </c>
      <c r="F3119" t="s">
        <v>47</v>
      </c>
      <c r="G3119">
        <v>-457.15039999999999</v>
      </c>
      <c r="H3119" s="1">
        <v>2.257479E-6</v>
      </c>
      <c r="I3119">
        <v>214.86359999999999</v>
      </c>
      <c r="J3119">
        <v>-468.43099999999998</v>
      </c>
      <c r="K3119">
        <v>1.1111</v>
      </c>
      <c r="L3119">
        <v>215.7714</v>
      </c>
      <c r="M3119">
        <v>0.98040660000000002</v>
      </c>
      <c r="N3119">
        <v>0</v>
      </c>
      <c r="O3119">
        <v>-0.19655059999999999</v>
      </c>
      <c r="P3119">
        <v>0.98034730000000003</v>
      </c>
      <c r="Q3119">
        <v>0.15611549999999999</v>
      </c>
      <c r="R3119">
        <v>-0.1206122</v>
      </c>
      <c r="S3119">
        <v>3.0758670000000001</v>
      </c>
      <c r="T3119">
        <v>-0.30041020000000002</v>
      </c>
      <c r="U3119">
        <v>-0.25033569999999999</v>
      </c>
      <c r="V3119">
        <v>-7.4610709999999997E-2</v>
      </c>
      <c r="W3119">
        <v>0.16889509999999999</v>
      </c>
      <c r="X3119">
        <v>0.98280599999999996</v>
      </c>
      <c r="Y3119">
        <v>-0.114926</v>
      </c>
      <c r="Z3119">
        <v>2.4578579999999999E-2</v>
      </c>
      <c r="AA3119">
        <v>0.99306989999999995</v>
      </c>
      <c r="AB3119">
        <v>10</v>
      </c>
      <c r="AC3119">
        <v>11.2805999999999</v>
      </c>
      <c r="AD3119">
        <v>-1.111097742521</v>
      </c>
      <c r="AE3119">
        <v>-0.90780000000000804</v>
      </c>
      <c r="AF3119">
        <v>-1.3146369953464501</v>
      </c>
      <c r="AG3119">
        <v>-1.111097742521</v>
      </c>
      <c r="AH3119">
        <v>11.131663692280901</v>
      </c>
      <c r="AI3119">
        <v>95.6609680789918</v>
      </c>
      <c r="AJ3119">
        <v>96.735369403949406</v>
      </c>
      <c r="AK3119">
        <v>11.263957793822399</v>
      </c>
      <c r="AL3119">
        <v>80.276415680036393</v>
      </c>
      <c r="AM3119">
        <v>94.341339680595098</v>
      </c>
      <c r="AN3119">
        <v>0.99999997324335599</v>
      </c>
    </row>
    <row r="3120" spans="1:40" x14ac:dyDescent="0.25">
      <c r="A3120" t="str">
        <f>"20190312172430074"</f>
        <v>20190312172430074</v>
      </c>
      <c r="B3120" t="str">
        <f>"1552382670063445"</f>
        <v>1552382670063445</v>
      </c>
      <c r="C3120" t="s">
        <v>40</v>
      </c>
      <c r="D3120">
        <v>3.9508420000000002</v>
      </c>
      <c r="E3120">
        <v>0.48823749999999999</v>
      </c>
      <c r="F3120" t="s">
        <v>47</v>
      </c>
      <c r="G3120">
        <v>-456.89069999999998</v>
      </c>
      <c r="H3120" s="1">
        <v>2.120621E-6</v>
      </c>
      <c r="I3120">
        <v>214.83269999999999</v>
      </c>
      <c r="J3120">
        <v>-468.3381</v>
      </c>
      <c r="K3120">
        <v>1.1110660000000001</v>
      </c>
      <c r="L3120">
        <v>215.75399999999999</v>
      </c>
      <c r="M3120">
        <v>0.98060329999999996</v>
      </c>
      <c r="N3120">
        <v>0</v>
      </c>
      <c r="O3120">
        <v>-0.1955781</v>
      </c>
      <c r="P3120">
        <v>0.98026219999999997</v>
      </c>
      <c r="Q3120">
        <v>0.15707679999999999</v>
      </c>
      <c r="R3120">
        <v>-0.12005490000000001</v>
      </c>
      <c r="S3120">
        <v>3.0764770000000001</v>
      </c>
      <c r="T3120">
        <v>-0.29620089999999999</v>
      </c>
      <c r="U3120">
        <v>-0.25022889999999998</v>
      </c>
      <c r="V3120">
        <v>-7.4163030000000005E-2</v>
      </c>
      <c r="W3120">
        <v>0.16970389999999999</v>
      </c>
      <c r="X3120">
        <v>0.98270060000000004</v>
      </c>
      <c r="Y3120">
        <v>-0.1140399</v>
      </c>
      <c r="Z3120">
        <v>2.4097009999999999E-2</v>
      </c>
      <c r="AA3120">
        <v>0.99318390000000001</v>
      </c>
      <c r="AB3120">
        <v>10</v>
      </c>
      <c r="AC3120">
        <v>11.4474</v>
      </c>
      <c r="AD3120">
        <v>-1.111063879379</v>
      </c>
      <c r="AE3120">
        <v>-0.92130000000002998</v>
      </c>
      <c r="AF3120">
        <v>-1.3231577111336099</v>
      </c>
      <c r="AG3120">
        <v>-1.111063879379</v>
      </c>
      <c r="AH3120">
        <v>11.300722240257899</v>
      </c>
      <c r="AI3120">
        <v>95.577300101553604</v>
      </c>
      <c r="AJ3120">
        <v>96.678134037866002</v>
      </c>
      <c r="AK3120">
        <v>11.432039731563799</v>
      </c>
      <c r="AL3120">
        <v>80.229396558008901</v>
      </c>
      <c r="AM3120">
        <v>94.315850523524801</v>
      </c>
      <c r="AN3120">
        <v>1.0000000189671701</v>
      </c>
    </row>
    <row r="3121" spans="1:40" x14ac:dyDescent="0.25">
      <c r="A3121" t="str">
        <f>"20190312172430095"</f>
        <v>20190312172430095</v>
      </c>
      <c r="B3121" t="str">
        <f>"1552382670082969"</f>
        <v>1552382670082969</v>
      </c>
      <c r="C3121" t="s">
        <v>40</v>
      </c>
      <c r="D3121">
        <v>3.9583849999999998</v>
      </c>
      <c r="E3121">
        <v>0.48824260000000003</v>
      </c>
      <c r="F3121" t="s">
        <v>47</v>
      </c>
      <c r="G3121">
        <v>-456.70209999999997</v>
      </c>
      <c r="H3121" s="1">
        <v>2.021162E-6</v>
      </c>
      <c r="I3121">
        <v>214.81190000000001</v>
      </c>
      <c r="J3121">
        <v>-468.2475</v>
      </c>
      <c r="K3121">
        <v>1.1110120000000001</v>
      </c>
      <c r="L3121">
        <v>215.7371</v>
      </c>
      <c r="M3121">
        <v>0.98080029999999996</v>
      </c>
      <c r="N3121">
        <v>0</v>
      </c>
      <c r="O3121">
        <v>-0.19460060000000001</v>
      </c>
      <c r="P3121">
        <v>0.9802575</v>
      </c>
      <c r="Q3121">
        <v>0.15758839999999999</v>
      </c>
      <c r="R3121">
        <v>-0.1194185</v>
      </c>
      <c r="S3121">
        <v>3.0769959999999998</v>
      </c>
      <c r="T3121">
        <v>-0.29380659999999997</v>
      </c>
      <c r="U3121">
        <v>-0.249115</v>
      </c>
      <c r="V3121">
        <v>-7.3799180000000006E-2</v>
      </c>
      <c r="W3121">
        <v>0.17001069999999999</v>
      </c>
      <c r="X3121">
        <v>0.98267499999999997</v>
      </c>
      <c r="Y3121">
        <v>-0.11345</v>
      </c>
      <c r="Z3121">
        <v>2.3780289999999999E-2</v>
      </c>
      <c r="AA3121">
        <v>0.99325909999999995</v>
      </c>
      <c r="AB3121">
        <v>10</v>
      </c>
      <c r="AC3121">
        <v>11.545400000000001</v>
      </c>
      <c r="AD3121">
        <v>-1.1110099788379999</v>
      </c>
      <c r="AE3121">
        <v>-0.92519999999998903</v>
      </c>
      <c r="AF3121">
        <v>-1.3272017449579601</v>
      </c>
      <c r="AG3121">
        <v>-1.1110099788379999</v>
      </c>
      <c r="AH3121">
        <v>11.3998142065584</v>
      </c>
      <c r="AI3121">
        <v>95.5292746593896</v>
      </c>
      <c r="AJ3121">
        <v>96.640656891847399</v>
      </c>
      <c r="AK3121">
        <v>11.5304627656026</v>
      </c>
      <c r="AL3121">
        <v>80.211559379365497</v>
      </c>
      <c r="AM3121">
        <v>94.2948674845982</v>
      </c>
      <c r="AN3121">
        <v>1.0000000563540701</v>
      </c>
    </row>
    <row r="3122" spans="1:40" x14ac:dyDescent="0.25">
      <c r="A3122" t="str">
        <f>"20190312172430120"</f>
        <v>20190312172430120</v>
      </c>
      <c r="B3122" t="str">
        <f>"1552382670113222"</f>
        <v>1552382670113222</v>
      </c>
      <c r="C3122" t="s">
        <v>40</v>
      </c>
      <c r="D3122">
        <v>3.9582410000000001</v>
      </c>
      <c r="E3122">
        <v>0.48839949999999999</v>
      </c>
      <c r="F3122" t="s">
        <v>47</v>
      </c>
      <c r="G3122">
        <v>-456.56619999999998</v>
      </c>
      <c r="H3122" s="1">
        <v>1.9494349999999998E-6</v>
      </c>
      <c r="I3122">
        <v>214.79830000000001</v>
      </c>
      <c r="J3122">
        <v>-468.14839999999998</v>
      </c>
      <c r="K3122">
        <v>1.1109309999999999</v>
      </c>
      <c r="L3122">
        <v>215.71879999999999</v>
      </c>
      <c r="M3122">
        <v>0.98102029999999996</v>
      </c>
      <c r="N3122">
        <v>0</v>
      </c>
      <c r="O3122">
        <v>-0.19350809999999999</v>
      </c>
      <c r="P3122">
        <v>0.98028139999999997</v>
      </c>
      <c r="Q3122">
        <v>0.15774299999999999</v>
      </c>
      <c r="R3122">
        <v>-0.1190191</v>
      </c>
      <c r="S3122">
        <v>3.0773619999999999</v>
      </c>
      <c r="T3122">
        <v>-0.29268719999999998</v>
      </c>
      <c r="U3122">
        <v>-0.24731449999999999</v>
      </c>
      <c r="V3122">
        <v>-7.3090020000000006E-2</v>
      </c>
      <c r="W3122">
        <v>0.16987959999999999</v>
      </c>
      <c r="X3122">
        <v>0.98275060000000003</v>
      </c>
      <c r="Y3122">
        <v>-0.1129474</v>
      </c>
      <c r="Z3122">
        <v>2.3562630000000001E-2</v>
      </c>
      <c r="AA3122">
        <v>0.99332149999999997</v>
      </c>
      <c r="AB3122">
        <v>10</v>
      </c>
      <c r="AC3122">
        <v>11.5822</v>
      </c>
      <c r="AD3122">
        <v>-1.11092905056499</v>
      </c>
      <c r="AE3122">
        <v>-0.920499999999975</v>
      </c>
      <c r="AF3122">
        <v>-1.3261987199837599</v>
      </c>
      <c r="AG3122">
        <v>-1.11092905056499</v>
      </c>
      <c r="AH3122">
        <v>11.436825988901299</v>
      </c>
      <c r="AI3122">
        <v>95.511383872941707</v>
      </c>
      <c r="AJ3122">
        <v>96.614399263228506</v>
      </c>
      <c r="AK3122">
        <v>11.566933694833899</v>
      </c>
      <c r="AL3122">
        <v>80.2191810357957</v>
      </c>
      <c r="AM3122">
        <v>94.253422913913496</v>
      </c>
      <c r="AN3122">
        <v>0.99999998566005999</v>
      </c>
    </row>
    <row r="3123" spans="1:40" x14ac:dyDescent="0.25">
      <c r="A3123" t="str">
        <f>"20190312172430142"</f>
        <v>20190312172430142</v>
      </c>
      <c r="B3123" t="str">
        <f>"1552382670133717"</f>
        <v>1552382670133717</v>
      </c>
      <c r="C3123" t="s">
        <v>40</v>
      </c>
      <c r="D3123">
        <v>4.0176769999999999</v>
      </c>
      <c r="E3123">
        <v>0.488454</v>
      </c>
      <c r="F3123" t="s">
        <v>47</v>
      </c>
      <c r="G3123">
        <v>-456.5498</v>
      </c>
      <c r="H3123" s="1">
        <v>1.941164E-6</v>
      </c>
      <c r="I3123">
        <v>214.7886</v>
      </c>
      <c r="J3123">
        <v>-468.05439999999999</v>
      </c>
      <c r="K3123">
        <v>1.1108480000000001</v>
      </c>
      <c r="L3123">
        <v>215.70150000000001</v>
      </c>
      <c r="M3123">
        <v>0.98123110000000002</v>
      </c>
      <c r="N3123">
        <v>0</v>
      </c>
      <c r="O3123">
        <v>-0.19245760000000001</v>
      </c>
      <c r="P3123">
        <v>0.98035369999999999</v>
      </c>
      <c r="Q3123">
        <v>0.15760679999999999</v>
      </c>
      <c r="R3123">
        <v>-0.1186045</v>
      </c>
      <c r="S3123">
        <v>3.0778500000000002</v>
      </c>
      <c r="T3123">
        <v>-0.2947999</v>
      </c>
      <c r="U3123">
        <v>-0.24684139999999999</v>
      </c>
      <c r="V3123">
        <v>-7.2447639999999994E-2</v>
      </c>
      <c r="W3123">
        <v>0.1694271</v>
      </c>
      <c r="X3123">
        <v>0.98287630000000004</v>
      </c>
      <c r="Y3123">
        <v>-0.1120366</v>
      </c>
      <c r="Z3123">
        <v>2.3586510000000002E-2</v>
      </c>
      <c r="AA3123">
        <v>0.99342410000000003</v>
      </c>
      <c r="AB3123">
        <v>10</v>
      </c>
      <c r="AC3123">
        <v>11.5045999999999</v>
      </c>
      <c r="AD3123">
        <v>-1.1108460588360001</v>
      </c>
      <c r="AE3123">
        <v>-0.91290000000000704</v>
      </c>
      <c r="AF3123">
        <v>-1.30637445032846</v>
      </c>
      <c r="AG3123">
        <v>-1.1108460588360001</v>
      </c>
      <c r="AH3123">
        <v>11.359952223249399</v>
      </c>
      <c r="AI3123">
        <v>95.548639465468497</v>
      </c>
      <c r="AJ3123">
        <v>96.560096568413101</v>
      </c>
      <c r="AK3123">
        <v>11.4886512561489</v>
      </c>
      <c r="AL3123">
        <v>80.245488997104204</v>
      </c>
      <c r="AM3123">
        <v>94.215638192080704</v>
      </c>
      <c r="AN3123">
        <v>1.0000000119288299</v>
      </c>
    </row>
    <row r="3124" spans="1:40" x14ac:dyDescent="0.25">
      <c r="A3124" t="str">
        <f>"20190312172430163"</f>
        <v>20190312172430163</v>
      </c>
      <c r="B3124" t="str">
        <f>"1552382670153238"</f>
        <v>1552382670153238</v>
      </c>
      <c r="C3124" t="s">
        <v>40</v>
      </c>
      <c r="D3124">
        <v>3.9510239999999999</v>
      </c>
      <c r="E3124">
        <v>0.48851610000000001</v>
      </c>
      <c r="F3124" t="s">
        <v>47</v>
      </c>
      <c r="G3124">
        <v>-456.5403</v>
      </c>
      <c r="H3124" s="1">
        <v>1.936325E-6</v>
      </c>
      <c r="I3124">
        <v>214.7835</v>
      </c>
      <c r="J3124">
        <v>-467.95800000000003</v>
      </c>
      <c r="K3124">
        <v>1.1107659999999999</v>
      </c>
      <c r="L3124">
        <v>215.68389999999999</v>
      </c>
      <c r="M3124">
        <v>0.98144560000000003</v>
      </c>
      <c r="N3124">
        <v>0</v>
      </c>
      <c r="O3124">
        <v>-0.191383</v>
      </c>
      <c r="P3124">
        <v>0.98042050000000003</v>
      </c>
      <c r="Q3124">
        <v>0.15729660000000001</v>
      </c>
      <c r="R3124">
        <v>-0.1184644</v>
      </c>
      <c r="S3124">
        <v>3.078125</v>
      </c>
      <c r="T3124">
        <v>-0.2969695</v>
      </c>
      <c r="U3124">
        <v>-0.24540709999999999</v>
      </c>
      <c r="V3124">
        <v>-7.1511279999999997E-2</v>
      </c>
      <c r="W3124">
        <v>0.16877899999999901</v>
      </c>
      <c r="X3124">
        <v>0.98305640000000005</v>
      </c>
      <c r="Y3124">
        <v>-0.111402399999999</v>
      </c>
      <c r="Z3124">
        <v>2.362587E-2</v>
      </c>
      <c r="AA3124">
        <v>0.99349449999999995</v>
      </c>
      <c r="AB3124">
        <v>10</v>
      </c>
      <c r="AC3124">
        <v>11.4177</v>
      </c>
      <c r="AD3124">
        <v>-1.110764063675</v>
      </c>
      <c r="AE3124">
        <v>-0.90039999999998999</v>
      </c>
      <c r="AF3124">
        <v>-1.2894212853651199</v>
      </c>
      <c r="AG3124">
        <v>-1.110764063675</v>
      </c>
      <c r="AH3124">
        <v>11.2729222231143</v>
      </c>
      <c r="AI3124">
        <v>95.591183404443299</v>
      </c>
      <c r="AJ3124">
        <v>96.525256841202406</v>
      </c>
      <c r="AK3124">
        <v>11.400665748310001</v>
      </c>
      <c r="AL3124">
        <v>80.283165359036104</v>
      </c>
      <c r="AM3124">
        <v>94.160585520057197</v>
      </c>
      <c r="AN3124">
        <v>1.00000004979459</v>
      </c>
    </row>
    <row r="3125" spans="1:40" x14ac:dyDescent="0.25">
      <c r="A3125" t="str">
        <f>"20190312172430185"</f>
        <v>20190312172430185</v>
      </c>
      <c r="B3125" t="str">
        <f>"1552382670173733"</f>
        <v>1552382670173733</v>
      </c>
      <c r="C3125" t="s">
        <v>40</v>
      </c>
      <c r="D3125">
        <v>3.971006</v>
      </c>
      <c r="E3125">
        <v>0.48858610000000002</v>
      </c>
      <c r="F3125" t="s">
        <v>47</v>
      </c>
      <c r="G3125">
        <v>-456.53120000000001</v>
      </c>
      <c r="H3125" s="1">
        <v>1.9318549999999999E-6</v>
      </c>
      <c r="I3125">
        <v>214.7748</v>
      </c>
      <c r="J3125">
        <v>-467.86669999999998</v>
      </c>
      <c r="K3125">
        <v>1.110703</v>
      </c>
      <c r="L3125">
        <v>215.66730000000001</v>
      </c>
      <c r="M3125">
        <v>0.98164560000000001</v>
      </c>
      <c r="N3125">
        <v>0</v>
      </c>
      <c r="O3125">
        <v>-0.19037290000000001</v>
      </c>
      <c r="P3125">
        <v>0.98041500000000004</v>
      </c>
      <c r="Q3125">
        <v>0.15743070000000001</v>
      </c>
      <c r="R3125">
        <v>-0.1183317</v>
      </c>
      <c r="S3125">
        <v>3.0783390000000002</v>
      </c>
      <c r="T3125">
        <v>-0.29923519999999998</v>
      </c>
      <c r="U3125">
        <v>-0.2449036</v>
      </c>
      <c r="V3125">
        <v>-7.0621400000000001E-2</v>
      </c>
      <c r="W3125">
        <v>0.1686</v>
      </c>
      <c r="X3125">
        <v>0.98315140000000001</v>
      </c>
      <c r="Y3125">
        <v>-0.1105338</v>
      </c>
      <c r="Z3125">
        <v>2.366569E-2</v>
      </c>
      <c r="AA3125">
        <v>0.99359059999999999</v>
      </c>
      <c r="AB3125">
        <v>10</v>
      </c>
      <c r="AC3125">
        <v>11.3354999999999</v>
      </c>
      <c r="AD3125">
        <v>-1.110701068145</v>
      </c>
      <c r="AE3125">
        <v>-0.89250000000001195</v>
      </c>
      <c r="AF3125">
        <v>-1.2698203498409899</v>
      </c>
      <c r="AG3125">
        <v>-1.110701068145</v>
      </c>
      <c r="AH3125">
        <v>11.191301483527599</v>
      </c>
      <c r="AI3125">
        <v>95.631959855627699</v>
      </c>
      <c r="AJ3125">
        <v>96.473376862827493</v>
      </c>
      <c r="AK3125">
        <v>11.3177440101309</v>
      </c>
      <c r="AL3125">
        <v>80.293570012965901</v>
      </c>
      <c r="AM3125">
        <v>94.108594328080201</v>
      </c>
      <c r="AN3125">
        <v>1.0000000087299501</v>
      </c>
    </row>
    <row r="3126" spans="1:40" x14ac:dyDescent="0.25">
      <c r="A3126" t="str">
        <f>"20190312172430207"</f>
        <v>20190312172430207</v>
      </c>
      <c r="B3126" t="str">
        <f>"1552382670203014"</f>
        <v>1552382670203014</v>
      </c>
      <c r="C3126" t="s">
        <v>40</v>
      </c>
      <c r="D3126">
        <v>4.0036060000000004</v>
      </c>
      <c r="E3126">
        <v>0.48870049999999998</v>
      </c>
      <c r="F3126" t="s">
        <v>47</v>
      </c>
      <c r="G3126">
        <v>-456.46429999999998</v>
      </c>
      <c r="H3126" s="1">
        <v>1.8967800000000001E-6</v>
      </c>
      <c r="I3126">
        <v>214.76339999999999</v>
      </c>
      <c r="J3126">
        <v>-467.77199999999999</v>
      </c>
      <c r="K3126">
        <v>1.110646</v>
      </c>
      <c r="L3126">
        <v>215.65020000000001</v>
      </c>
      <c r="M3126">
        <v>0.98185029999999995</v>
      </c>
      <c r="N3126">
        <v>0</v>
      </c>
      <c r="O3126">
        <v>-0.18933320000000001</v>
      </c>
      <c r="P3126">
        <v>0.98040939999999999</v>
      </c>
      <c r="Q3126">
        <v>0.15726780000000001</v>
      </c>
      <c r="R3126">
        <v>-0.1185925</v>
      </c>
      <c r="S3126">
        <v>3.0785830000000001</v>
      </c>
      <c r="T3126">
        <v>-0.29988399999999998</v>
      </c>
      <c r="U3126">
        <v>-0.24404909999999999</v>
      </c>
      <c r="V3126">
        <v>-6.9315799999999997E-2</v>
      </c>
      <c r="W3126">
        <v>0.16812569999999999</v>
      </c>
      <c r="X3126">
        <v>0.98332549999999996</v>
      </c>
      <c r="Y3126">
        <v>-0.1097634</v>
      </c>
      <c r="Z3126">
        <v>2.3578729999999999E-2</v>
      </c>
      <c r="AA3126">
        <v>0.99367799999999995</v>
      </c>
      <c r="AB3126">
        <v>10</v>
      </c>
      <c r="AC3126">
        <v>11.307700000000001</v>
      </c>
      <c r="AD3126">
        <v>-1.1106441032200001</v>
      </c>
      <c r="AE3126">
        <v>-0.88680000000002202</v>
      </c>
      <c r="AF3126">
        <v>-1.25823204305137</v>
      </c>
      <c r="AG3126">
        <v>-1.1106441032200001</v>
      </c>
      <c r="AH3126">
        <v>11.1640189394414</v>
      </c>
      <c r="AI3126">
        <v>95.645823145471496</v>
      </c>
      <c r="AJ3126">
        <v>96.430341154637205</v>
      </c>
      <c r="AK3126">
        <v>11.2894639854328</v>
      </c>
      <c r="AL3126">
        <v>80.3211387137938</v>
      </c>
      <c r="AM3126">
        <v>94.032178755220301</v>
      </c>
      <c r="AN3126">
        <v>0.99999998504018905</v>
      </c>
    </row>
    <row r="3127" spans="1:40" x14ac:dyDescent="0.25">
      <c r="A3127" t="str">
        <f>"20190312172430230"</f>
        <v>20190312172430230</v>
      </c>
      <c r="B3127" t="str">
        <f>"1552382670223510"</f>
        <v>1552382670223510</v>
      </c>
      <c r="C3127" t="s">
        <v>40</v>
      </c>
      <c r="D3127">
        <v>4.0242149999999999</v>
      </c>
      <c r="E3127">
        <v>0.48882619999999999</v>
      </c>
      <c r="F3127" t="s">
        <v>47</v>
      </c>
      <c r="G3127">
        <v>-456.41789999999997</v>
      </c>
      <c r="H3127" s="1">
        <v>1.8726150000000001E-6</v>
      </c>
      <c r="I3127">
        <v>214.75120000000001</v>
      </c>
      <c r="J3127">
        <v>-467.67509999999999</v>
      </c>
      <c r="K3127">
        <v>1.1105879999999999</v>
      </c>
      <c r="L3127">
        <v>215.6328</v>
      </c>
      <c r="M3127">
        <v>0.98205719999999996</v>
      </c>
      <c r="N3127">
        <v>0</v>
      </c>
      <c r="O3127">
        <v>-0.18827659999999999</v>
      </c>
      <c r="P3127">
        <v>0.9803636</v>
      </c>
      <c r="Q3127">
        <v>0.15719669999999999</v>
      </c>
      <c r="R3127">
        <v>-0.1190652</v>
      </c>
      <c r="S3127">
        <v>3.078735</v>
      </c>
      <c r="T3127">
        <v>-0.30115769999999997</v>
      </c>
      <c r="U3127">
        <v>-0.2437744</v>
      </c>
      <c r="V3127">
        <v>-6.7778530000000003E-2</v>
      </c>
      <c r="W3127">
        <v>0.16774069999999999</v>
      </c>
      <c r="X3127">
        <v>0.98349839999999999</v>
      </c>
      <c r="Y3127">
        <v>-0.10878309999999999</v>
      </c>
      <c r="Z3127">
        <v>2.352839E-2</v>
      </c>
      <c r="AA3127">
        <v>0.99378710000000003</v>
      </c>
      <c r="AB3127">
        <v>10</v>
      </c>
      <c r="AC3127">
        <v>11.257199999999999</v>
      </c>
      <c r="AD3127">
        <v>-1.110586127385</v>
      </c>
      <c r="AE3127">
        <v>-0.88159999999999095</v>
      </c>
      <c r="AF3127">
        <v>-1.2417460111066401</v>
      </c>
      <c r="AG3127">
        <v>-1.110586127385</v>
      </c>
      <c r="AH3127">
        <v>11.1143318423377</v>
      </c>
      <c r="AI3127">
        <v>95.671216321979799</v>
      </c>
      <c r="AJ3127">
        <v>96.374919882835698</v>
      </c>
      <c r="AK3127">
        <v>11.238492203318099</v>
      </c>
      <c r="AL3127">
        <v>80.343515395191901</v>
      </c>
      <c r="AM3127">
        <v>93.942348272587296</v>
      </c>
      <c r="AN3127">
        <v>0.99999998718400496</v>
      </c>
    </row>
    <row r="3128" spans="1:40" x14ac:dyDescent="0.25">
      <c r="A3128" t="str">
        <f>"20190312172430252"</f>
        <v>20190312172430252</v>
      </c>
      <c r="B3128" t="str">
        <f>"1552382670243030"</f>
        <v>1552382670243030</v>
      </c>
      <c r="C3128" t="s">
        <v>40</v>
      </c>
      <c r="D3128">
        <v>3.9626939999999999</v>
      </c>
      <c r="E3128">
        <v>0.48890749999999999</v>
      </c>
      <c r="F3128" t="s">
        <v>47</v>
      </c>
      <c r="G3128">
        <v>-456.37290000000002</v>
      </c>
      <c r="H3128" s="1">
        <v>1.8494109999999999E-6</v>
      </c>
      <c r="I3128">
        <v>214.73429999999999</v>
      </c>
      <c r="J3128">
        <v>-467.57459999999998</v>
      </c>
      <c r="K3128">
        <v>1.1105400000000001</v>
      </c>
      <c r="L3128">
        <v>215.61490000000001</v>
      </c>
      <c r="M3128">
        <v>0.98226950000000002</v>
      </c>
      <c r="N3128">
        <v>0</v>
      </c>
      <c r="O3128">
        <v>-0.1871845</v>
      </c>
      <c r="P3128">
        <v>0.98027880000000001</v>
      </c>
      <c r="Q3128">
        <v>0.1573078</v>
      </c>
      <c r="R3128">
        <v>-0.11961570000000001</v>
      </c>
      <c r="S3128">
        <v>3.078827</v>
      </c>
      <c r="T3128">
        <v>-0.30253469999999999</v>
      </c>
      <c r="U3128">
        <v>-0.24478150000000001</v>
      </c>
      <c r="V3128">
        <v>-6.6123600000000005E-2</v>
      </c>
      <c r="W3128">
        <v>0.16752210000000001</v>
      </c>
      <c r="X3128">
        <v>0.98364830000000003</v>
      </c>
      <c r="Y3128">
        <v>-0.1073556</v>
      </c>
      <c r="Z3128">
        <v>2.345935E-2</v>
      </c>
      <c r="AA3128">
        <v>0.99394389999999999</v>
      </c>
      <c r="AB3128">
        <v>10</v>
      </c>
      <c r="AC3128">
        <v>11.201699999999899</v>
      </c>
      <c r="AD3128">
        <v>-1.110538150589</v>
      </c>
      <c r="AE3128">
        <v>-0.88060000000001504</v>
      </c>
      <c r="AF3128">
        <v>-1.2199480397373601</v>
      </c>
      <c r="AG3128">
        <v>-1.110538150589</v>
      </c>
      <c r="AH3128">
        <v>11.060486108905</v>
      </c>
      <c r="AI3128">
        <v>95.6992854878619</v>
      </c>
      <c r="AJ3128">
        <v>96.294160500459896</v>
      </c>
      <c r="AK3128">
        <v>11.182840478557001</v>
      </c>
      <c r="AL3128">
        <v>80.356219969109901</v>
      </c>
      <c r="AM3128">
        <v>93.845797170740894</v>
      </c>
      <c r="AN3128">
        <v>0.99999998127912904</v>
      </c>
    </row>
    <row r="3129" spans="1:40" x14ac:dyDescent="0.25">
      <c r="A3129" t="str">
        <f>"20190312172430274"</f>
        <v>20190312172430274</v>
      </c>
      <c r="B3129" t="str">
        <f>"1552382670263529"</f>
        <v>1552382670263529</v>
      </c>
      <c r="C3129" t="s">
        <v>40</v>
      </c>
      <c r="D3129">
        <v>3.9818120000000001</v>
      </c>
      <c r="E3129">
        <v>0.48895050000000001</v>
      </c>
      <c r="F3129" t="s">
        <v>47</v>
      </c>
      <c r="G3129">
        <v>-456.30399999999997</v>
      </c>
      <c r="H3129" s="1">
        <v>1.8135099999999999E-6</v>
      </c>
      <c r="I3129">
        <v>214.71639999999999</v>
      </c>
      <c r="J3129">
        <v>-467.48110000000003</v>
      </c>
      <c r="K3129">
        <v>1.1105</v>
      </c>
      <c r="L3129">
        <v>215.59829999999999</v>
      </c>
      <c r="M3129">
        <v>0.9824657</v>
      </c>
      <c r="N3129">
        <v>0</v>
      </c>
      <c r="O3129">
        <v>-0.18617069999999999</v>
      </c>
      <c r="P3129">
        <v>0.98021559999999996</v>
      </c>
      <c r="Q3129">
        <v>0.15755160000000001</v>
      </c>
      <c r="R3129">
        <v>-0.1198114</v>
      </c>
      <c r="S3129">
        <v>3.0791019999999998</v>
      </c>
      <c r="T3129">
        <v>-0.30339670000000002</v>
      </c>
      <c r="U3129">
        <v>-0.2454529</v>
      </c>
      <c r="V3129">
        <v>-6.4901639999999997E-2</v>
      </c>
      <c r="W3129">
        <v>0.16744410000000001</v>
      </c>
      <c r="X3129">
        <v>0.98374300000000003</v>
      </c>
      <c r="Y3129">
        <v>-0.1061236</v>
      </c>
      <c r="Z3129">
        <v>2.3365190000000001E-2</v>
      </c>
      <c r="AA3129">
        <v>0.99407840000000003</v>
      </c>
      <c r="AB3129">
        <v>10</v>
      </c>
      <c r="AC3129">
        <v>11.1770999999999</v>
      </c>
      <c r="AD3129">
        <v>-1.1104981864899901</v>
      </c>
      <c r="AE3129">
        <v>-0.88190000000000102</v>
      </c>
      <c r="AF3129">
        <v>-1.20267514019615</v>
      </c>
      <c r="AG3129">
        <v>-1.1104981864899901</v>
      </c>
      <c r="AH3129">
        <v>11.0375856709546</v>
      </c>
      <c r="AI3129">
        <v>95.711649086593198</v>
      </c>
      <c r="AJ3129">
        <v>96.218518237667595</v>
      </c>
      <c r="AK3129">
        <v>11.158312200270499</v>
      </c>
      <c r="AL3129">
        <v>80.360753444898407</v>
      </c>
      <c r="AM3129">
        <v>93.774572151731505</v>
      </c>
      <c r="AN3129">
        <v>1.00000001977424</v>
      </c>
    </row>
    <row r="3130" spans="1:40" x14ac:dyDescent="0.25">
      <c r="A3130" t="str">
        <f>"20190312172430297"</f>
        <v>20190312172430297</v>
      </c>
      <c r="B3130" t="str">
        <f>"1552382670292806"</f>
        <v>1552382670292806</v>
      </c>
      <c r="C3130" t="s">
        <v>40</v>
      </c>
      <c r="D3130">
        <v>4.0139820000000004</v>
      </c>
      <c r="E3130">
        <v>0.47571350000000001</v>
      </c>
      <c r="F3130" t="s">
        <v>47</v>
      </c>
      <c r="G3130">
        <v>-456.20060000000001</v>
      </c>
      <c r="H3130" s="1">
        <v>1.7591889999999999E-6</v>
      </c>
      <c r="I3130">
        <v>214.70060000000001</v>
      </c>
      <c r="J3130">
        <v>-467.3809</v>
      </c>
      <c r="K3130">
        <v>1.1104480000000001</v>
      </c>
      <c r="L3130">
        <v>215.5806</v>
      </c>
      <c r="M3130">
        <v>0.98267470000000001</v>
      </c>
      <c r="N3130">
        <v>0</v>
      </c>
      <c r="O3130">
        <v>-0.18508379999999999</v>
      </c>
      <c r="P3130">
        <v>0.98013419999999896</v>
      </c>
      <c r="Q3130">
        <v>0.15793199999999999</v>
      </c>
      <c r="R3130">
        <v>-0.11997629999999999</v>
      </c>
      <c r="S3130">
        <v>3.0793759999999999</v>
      </c>
      <c r="T3130">
        <v>-0.30314760000000002</v>
      </c>
      <c r="U3130">
        <v>-0.24504090000000001</v>
      </c>
      <c r="V3130">
        <v>-6.3634969999999999E-2</v>
      </c>
      <c r="W3130">
        <v>0.1674525</v>
      </c>
      <c r="X3130">
        <v>0.98382429999999998</v>
      </c>
      <c r="Y3130">
        <v>-0.1051744</v>
      </c>
      <c r="Z3130">
        <v>2.3192839999999999E-2</v>
      </c>
      <c r="AA3130">
        <v>0.99418329999999999</v>
      </c>
      <c r="AB3130">
        <v>10</v>
      </c>
      <c r="AC3130">
        <v>11.1802999999999</v>
      </c>
      <c r="AD3130">
        <v>-1.1104462408110001</v>
      </c>
      <c r="AE3130">
        <v>-0.87999999999999501</v>
      </c>
      <c r="AF3130">
        <v>-1.19290027967323</v>
      </c>
      <c r="AG3130">
        <v>-1.1104462408110001</v>
      </c>
      <c r="AH3130">
        <v>11.041744193578699</v>
      </c>
      <c r="AI3130">
        <v>95.709810278910098</v>
      </c>
      <c r="AJ3130">
        <v>96.166062598869502</v>
      </c>
      <c r="AK3130">
        <v>11.161371634678501</v>
      </c>
      <c r="AL3130">
        <v>80.360265087121604</v>
      </c>
      <c r="AM3130">
        <v>93.700806506317903</v>
      </c>
      <c r="AN3130">
        <v>1.00000000121682</v>
      </c>
    </row>
    <row r="3131" spans="1:40" x14ac:dyDescent="0.25">
      <c r="A3131" t="str">
        <f>"20190312172430320"</f>
        <v>20190312172430320</v>
      </c>
      <c r="B3131" t="str">
        <f>"1552382670313302"</f>
        <v>1552382670313302</v>
      </c>
      <c r="C3131" t="s">
        <v>40</v>
      </c>
      <c r="D3131">
        <v>4.0232089999999996</v>
      </c>
      <c r="E3131">
        <v>0.47481200000000001</v>
      </c>
      <c r="F3131" t="s">
        <v>47</v>
      </c>
      <c r="G3131">
        <v>-453.27229999999997</v>
      </c>
      <c r="H3131" s="1">
        <v>1.907163E-7</v>
      </c>
      <c r="I3131">
        <v>214.93350000000001</v>
      </c>
      <c r="J3131">
        <v>-467.27510000000001</v>
      </c>
      <c r="K3131">
        <v>1.110393</v>
      </c>
      <c r="L3131">
        <v>215.56200000000001</v>
      </c>
      <c r="M3131">
        <v>0.98289479999999996</v>
      </c>
      <c r="N3131">
        <v>0</v>
      </c>
      <c r="O3131">
        <v>-0.18393419999999999</v>
      </c>
      <c r="P3131">
        <v>0.9800546</v>
      </c>
      <c r="Q3131">
        <v>0.15842989999999901</v>
      </c>
      <c r="R3131">
        <v>-0.1199708</v>
      </c>
      <c r="S3131">
        <v>3.0825809999999998</v>
      </c>
      <c r="T3131">
        <v>-0.24262120000000001</v>
      </c>
      <c r="U3131">
        <v>-0.14138789999999901</v>
      </c>
      <c r="V3131">
        <v>-6.2474990000000001E-2</v>
      </c>
      <c r="W3131">
        <v>0.16751830000000001</v>
      </c>
      <c r="X3131">
        <v>0.98388739999999997</v>
      </c>
      <c r="Y3131">
        <v>-0.1377264</v>
      </c>
      <c r="Z3131">
        <v>1.9779049999999999E-2</v>
      </c>
      <c r="AA3131">
        <v>0.99027279999999995</v>
      </c>
      <c r="AB3131">
        <v>10</v>
      </c>
      <c r="AC3131">
        <v>14.002800000000001</v>
      </c>
      <c r="AD3131">
        <v>-1.1103928092837001</v>
      </c>
      <c r="AE3131">
        <v>-0.62850000000000195</v>
      </c>
      <c r="AF3131">
        <v>-1.9457182613725601</v>
      </c>
      <c r="AG3131">
        <v>-1.1103928092837001</v>
      </c>
      <c r="AH3131">
        <v>13.792921229804501</v>
      </c>
      <c r="AI3131">
        <v>94.5577120939232</v>
      </c>
      <c r="AJ3131">
        <v>98.029529384896406</v>
      </c>
      <c r="AK3131">
        <v>13.973670519771799</v>
      </c>
      <c r="AL3131">
        <v>80.356440612048104</v>
      </c>
      <c r="AM3131">
        <v>93.633295767304801</v>
      </c>
      <c r="AN3131">
        <v>0.99999996054457396</v>
      </c>
    </row>
    <row r="3132" spans="1:40" x14ac:dyDescent="0.25">
      <c r="A3132" t="str">
        <f>"20190312172430343"</f>
        <v>20190312172430343</v>
      </c>
      <c r="B3132" t="str">
        <f>"1552382670332822"</f>
        <v>1552382670332822</v>
      </c>
      <c r="C3132" t="s">
        <v>40</v>
      </c>
      <c r="D3132">
        <v>3.9836580000000001</v>
      </c>
      <c r="E3132">
        <v>0.47453820000000002</v>
      </c>
      <c r="F3132" t="s">
        <v>47</v>
      </c>
      <c r="G3132">
        <v>-452.41039999999998</v>
      </c>
      <c r="H3132" s="1">
        <v>-2.6727290000000002E-7</v>
      </c>
      <c r="I3132">
        <v>214.91739999999999</v>
      </c>
      <c r="J3132">
        <v>-467.16980000000001</v>
      </c>
      <c r="K3132">
        <v>1.110333</v>
      </c>
      <c r="L3132">
        <v>215.5437</v>
      </c>
      <c r="M3132">
        <v>0.98311349999999997</v>
      </c>
      <c r="N3132">
        <v>0</v>
      </c>
      <c r="O3132">
        <v>-0.18278559999999999</v>
      </c>
      <c r="P3132">
        <v>0.97985339999999999</v>
      </c>
      <c r="Q3132">
        <v>0.1594217</v>
      </c>
      <c r="R3132">
        <v>-0.12030059999999999</v>
      </c>
      <c r="S3132">
        <v>3.0818789999999998</v>
      </c>
      <c r="T3132">
        <v>-0.23021520000000001</v>
      </c>
      <c r="U3132">
        <v>-0.13363649999999999</v>
      </c>
      <c r="V3132">
        <v>-6.0966260000000001E-2</v>
      </c>
      <c r="W3132">
        <v>0.16803959999999901</v>
      </c>
      <c r="X3132">
        <v>0.98389320000000002</v>
      </c>
      <c r="Y3132">
        <v>-0.1391405</v>
      </c>
      <c r="Z3132">
        <v>1.874497E-2</v>
      </c>
      <c r="AA3132">
        <v>0.99009519999999995</v>
      </c>
      <c r="AB3132">
        <v>10</v>
      </c>
      <c r="AC3132">
        <v>14.759399999999999</v>
      </c>
      <c r="AD3132">
        <v>-1.1103332672728901</v>
      </c>
      <c r="AE3132">
        <v>-0.62630000000001396</v>
      </c>
      <c r="AF3132">
        <v>-2.0704657429087301</v>
      </c>
      <c r="AG3132">
        <v>-1.1103332672728901</v>
      </c>
      <c r="AH3132">
        <v>14.5430522650394</v>
      </c>
      <c r="AI3132">
        <v>94.322530975206405</v>
      </c>
      <c r="AJ3132">
        <v>98.1026370163748</v>
      </c>
      <c r="AK3132">
        <v>14.7315999654022</v>
      </c>
      <c r="AL3132">
        <v>80.326143326868703</v>
      </c>
      <c r="AM3132">
        <v>93.545759820616695</v>
      </c>
      <c r="AN3132">
        <v>1.00000001051639</v>
      </c>
    </row>
    <row r="3133" spans="1:40" x14ac:dyDescent="0.25">
      <c r="A3133" t="str">
        <f>"20190312172430366"</f>
        <v>20190312172430366</v>
      </c>
      <c r="B3133" t="str">
        <f>"1552382670363078"</f>
        <v>1552382670363078</v>
      </c>
      <c r="C3133" t="s">
        <v>40</v>
      </c>
      <c r="D3133">
        <v>3.9897330000000002</v>
      </c>
      <c r="E3133">
        <v>0.47502440000000001</v>
      </c>
      <c r="F3133" t="s">
        <v>47</v>
      </c>
      <c r="G3133">
        <v>-451.89240000000001</v>
      </c>
      <c r="H3133" s="1">
        <v>-5.4179649999999995E-7</v>
      </c>
      <c r="I3133">
        <v>214.892</v>
      </c>
      <c r="J3133">
        <v>-467.05880000000002</v>
      </c>
      <c r="K3133">
        <v>1.1102669999999999</v>
      </c>
      <c r="L3133">
        <v>215.52449999999999</v>
      </c>
      <c r="M3133">
        <v>0.98334319999999997</v>
      </c>
      <c r="N3133">
        <v>0</v>
      </c>
      <c r="O3133">
        <v>-0.18157119999999999</v>
      </c>
      <c r="P3133">
        <v>0.97971680000000005</v>
      </c>
      <c r="Q3133">
        <v>0.16019050000000001</v>
      </c>
      <c r="R3133">
        <v>-0.1203915</v>
      </c>
      <c r="S3133">
        <v>3.082001</v>
      </c>
      <c r="T3133">
        <v>-0.22399369999999999</v>
      </c>
      <c r="U3133">
        <v>-0.13146969999999999</v>
      </c>
      <c r="V3133">
        <v>-5.9639230000000001E-2</v>
      </c>
      <c r="W3133">
        <v>0.16828689999999999</v>
      </c>
      <c r="X3133">
        <v>0.98393229999999998</v>
      </c>
      <c r="Y3133">
        <v>-0.13866489999999901</v>
      </c>
      <c r="Z3133">
        <v>1.8135390000000001E-2</v>
      </c>
      <c r="AA3133">
        <v>0.99017330000000003</v>
      </c>
      <c r="AB3133">
        <v>10</v>
      </c>
      <c r="AC3133">
        <v>15.166399999999999</v>
      </c>
      <c r="AD3133">
        <v>-1.1102675417965</v>
      </c>
      <c r="AE3133">
        <v>-0.63249999999999296</v>
      </c>
      <c r="AF3133">
        <v>-2.1205449722967602</v>
      </c>
      <c r="AG3133">
        <v>-1.1102675417965</v>
      </c>
      <c r="AH3133">
        <v>14.949156830086199</v>
      </c>
      <c r="AI3133">
        <v>94.205587523074001</v>
      </c>
      <c r="AJ3133">
        <v>98.073570048468099</v>
      </c>
      <c r="AK3133">
        <v>15.139573802601401</v>
      </c>
      <c r="AL3133">
        <v>80.311769718297299</v>
      </c>
      <c r="AM3133">
        <v>93.468633611256607</v>
      </c>
      <c r="AN3133">
        <v>1.00000004472494</v>
      </c>
    </row>
    <row r="3134" spans="1:40" x14ac:dyDescent="0.25">
      <c r="A3134" t="str">
        <f>"20190312172430386"</f>
        <v>20190312172430386</v>
      </c>
      <c r="B3134" t="str">
        <f>"1552382670383575"</f>
        <v>1552382670383575</v>
      </c>
      <c r="C3134" t="s">
        <v>40</v>
      </c>
      <c r="D3134">
        <v>3.9883410000000001</v>
      </c>
      <c r="E3134">
        <v>0.475184</v>
      </c>
      <c r="F3134" t="s">
        <v>47</v>
      </c>
      <c r="G3134">
        <v>-451.38600000000002</v>
      </c>
      <c r="H3134" s="1">
        <v>-8.0890559999999998E-7</v>
      </c>
      <c r="I3134">
        <v>214.8383</v>
      </c>
      <c r="J3134">
        <v>-466.9674</v>
      </c>
      <c r="K3134">
        <v>1.110215</v>
      </c>
      <c r="L3134">
        <v>215.5087</v>
      </c>
      <c r="M3134">
        <v>0.98353109999999999</v>
      </c>
      <c r="N3134">
        <v>0</v>
      </c>
      <c r="O3134">
        <v>-0.1805688</v>
      </c>
      <c r="P3134">
        <v>0.97965650000000004</v>
      </c>
      <c r="Q3134">
        <v>0.16017139999999999</v>
      </c>
      <c r="R3134">
        <v>-0.1209076</v>
      </c>
      <c r="S3134">
        <v>3.081207</v>
      </c>
      <c r="T3134">
        <v>-0.2182741</v>
      </c>
      <c r="U3134">
        <v>-0.134903</v>
      </c>
      <c r="V3134">
        <v>-5.8119299999999999E-2</v>
      </c>
      <c r="W3134">
        <v>0.16783899999999999</v>
      </c>
      <c r="X3134">
        <v>0.98409970000000002</v>
      </c>
      <c r="Y3134">
        <v>-0.13659189999999999</v>
      </c>
      <c r="Z3134">
        <v>1.7534069999999999E-2</v>
      </c>
      <c r="AA3134">
        <v>0.99047220000000002</v>
      </c>
      <c r="AB3134">
        <v>11</v>
      </c>
      <c r="AC3134">
        <v>15.5814</v>
      </c>
      <c r="AD3134">
        <v>-1.1102158089056</v>
      </c>
      <c r="AE3134">
        <v>-0.6704</v>
      </c>
      <c r="AF3134">
        <v>-2.1433600775852502</v>
      </c>
      <c r="AG3134">
        <v>-1.1102158089056</v>
      </c>
      <c r="AH3134">
        <v>15.368439221142999</v>
      </c>
      <c r="AI3134">
        <v>94.092397257889104</v>
      </c>
      <c r="AJ3134">
        <v>97.939546766328604</v>
      </c>
      <c r="AK3134">
        <v>15.556847227458899</v>
      </c>
      <c r="AL3134">
        <v>80.3378023603087</v>
      </c>
      <c r="AM3134">
        <v>93.379868051279601</v>
      </c>
      <c r="AN3134">
        <v>1.00000000124679</v>
      </c>
    </row>
    <row r="3135" spans="1:40" x14ac:dyDescent="0.25">
      <c r="A3135" t="str">
        <f>"20190312172430407"</f>
        <v>20190312172430407</v>
      </c>
      <c r="B3135" t="str">
        <f>"1552382670403094"</f>
        <v>1552382670403094</v>
      </c>
      <c r="C3135" t="s">
        <v>40</v>
      </c>
      <c r="D3135">
        <v>4.0142049999999996</v>
      </c>
      <c r="E3135">
        <v>0.47514339999999999</v>
      </c>
      <c r="F3135" t="s">
        <v>47</v>
      </c>
      <c r="G3135">
        <v>-451.29070000000002</v>
      </c>
      <c r="H3135" s="1">
        <v>-8.5833679999999998E-7</v>
      </c>
      <c r="I3135">
        <v>214.80850000000001</v>
      </c>
      <c r="J3135">
        <v>-466.8664</v>
      </c>
      <c r="K3135">
        <v>1.110158</v>
      </c>
      <c r="L3135">
        <v>215.4915</v>
      </c>
      <c r="M3135">
        <v>0.98373730000000004</v>
      </c>
      <c r="N3135">
        <v>0</v>
      </c>
      <c r="O3135">
        <v>-0.17946219999999999</v>
      </c>
      <c r="P3135">
        <v>0.97972859999999995</v>
      </c>
      <c r="Q3135">
        <v>0.15983339999999999</v>
      </c>
      <c r="R3135">
        <v>-0.12076969999999999</v>
      </c>
      <c r="S3135">
        <v>3.0809630000000001</v>
      </c>
      <c r="T3135">
        <v>-0.2181922</v>
      </c>
      <c r="U3135">
        <v>-0.13761899999999999</v>
      </c>
      <c r="V3135">
        <v>-5.716189E-2</v>
      </c>
      <c r="W3135">
        <v>0.1670402</v>
      </c>
      <c r="X3135">
        <v>0.98429169999999999</v>
      </c>
      <c r="Y3135">
        <v>-0.13460999999999901</v>
      </c>
      <c r="Z3135">
        <v>1.7381099999999899E-2</v>
      </c>
      <c r="AA3135">
        <v>0.99074620000000002</v>
      </c>
      <c r="AB3135">
        <v>11</v>
      </c>
      <c r="AC3135">
        <v>15.5756999999999</v>
      </c>
      <c r="AD3135">
        <v>-1.1101588583368001</v>
      </c>
      <c r="AE3135">
        <v>-0.68299999999999195</v>
      </c>
      <c r="AF3135">
        <v>-2.1127021931940799</v>
      </c>
      <c r="AG3135">
        <v>-1.1101588583368001</v>
      </c>
      <c r="AH3135">
        <v>15.3674696887444</v>
      </c>
      <c r="AI3135">
        <v>94.093546110584597</v>
      </c>
      <c r="AJ3135">
        <v>97.827887673099795</v>
      </c>
      <c r="AK3135">
        <v>15.5516908367659</v>
      </c>
      <c r="AL3135">
        <v>80.384225901107598</v>
      </c>
      <c r="AM3135">
        <v>93.323669767919597</v>
      </c>
      <c r="AN3135">
        <v>1.0000000303866501</v>
      </c>
    </row>
    <row r="3136" spans="1:40" x14ac:dyDescent="0.25">
      <c r="A3136" t="str">
        <f>"20190312172430430"</f>
        <v>20190312172430430</v>
      </c>
      <c r="B3136" t="str">
        <f>"1552382670423590"</f>
        <v>1552382670423590</v>
      </c>
      <c r="C3136" t="s">
        <v>40</v>
      </c>
      <c r="D3136">
        <v>3.9716089999999999</v>
      </c>
      <c r="E3136">
        <v>0.47511059999999999</v>
      </c>
      <c r="F3136" t="s">
        <v>47</v>
      </c>
      <c r="G3136">
        <v>-451.238</v>
      </c>
      <c r="H3136" s="1">
        <v>-8.8600269999999896E-7</v>
      </c>
      <c r="I3136">
        <v>214.79939999999999</v>
      </c>
      <c r="J3136">
        <v>-466.75490000000002</v>
      </c>
      <c r="K3136">
        <v>1.1100969999999999</v>
      </c>
      <c r="L3136">
        <v>215.4726</v>
      </c>
      <c r="M3136">
        <v>0.98396260000000002</v>
      </c>
      <c r="N3136">
        <v>0</v>
      </c>
      <c r="O3136">
        <v>-0.1782424</v>
      </c>
      <c r="P3136">
        <v>0.97962289999999996</v>
      </c>
      <c r="Q3136">
        <v>0.16007859999999999</v>
      </c>
      <c r="R3136">
        <v>-0.1213007</v>
      </c>
      <c r="S3136">
        <v>3.0809630000000001</v>
      </c>
      <c r="T3136">
        <v>-0.21885560000000001</v>
      </c>
      <c r="U3136">
        <v>-0.13642879999999999</v>
      </c>
      <c r="V3136">
        <v>-5.5402109999999997E-2</v>
      </c>
      <c r="W3136">
        <v>0.16680420000000001</v>
      </c>
      <c r="X3136">
        <v>0.98443230000000004</v>
      </c>
      <c r="Y3136">
        <v>-0.1337632</v>
      </c>
      <c r="Z3136">
        <v>1.7318739999999999E-2</v>
      </c>
      <c r="AA3136">
        <v>0.99086200000000002</v>
      </c>
      <c r="AB3136">
        <v>11</v>
      </c>
      <c r="AC3136">
        <v>15.5168999999999</v>
      </c>
      <c r="AD3136">
        <v>-1.1100978860027</v>
      </c>
      <c r="AE3136">
        <v>-0.67320000000000801</v>
      </c>
      <c r="AF3136">
        <v>-2.0927248191655301</v>
      </c>
      <c r="AG3136">
        <v>-1.1100978860027</v>
      </c>
      <c r="AH3136">
        <v>15.3101930169063</v>
      </c>
      <c r="AI3136">
        <v>94.109018704415305</v>
      </c>
      <c r="AJ3136">
        <v>97.783429560911003</v>
      </c>
      <c r="AK3136">
        <v>15.4923795686842</v>
      </c>
      <c r="AL3136">
        <v>80.397939762471694</v>
      </c>
      <c r="AM3136">
        <v>93.221107403468494</v>
      </c>
      <c r="AN3136">
        <v>0.99999999410669105</v>
      </c>
    </row>
    <row r="3137" spans="1:40" x14ac:dyDescent="0.25">
      <c r="A3137" t="str">
        <f>"20190312172430464"</f>
        <v>20190312172430464</v>
      </c>
      <c r="B3137" t="str">
        <f>"1552382670452873"</f>
        <v>1552382670452873</v>
      </c>
      <c r="C3137" t="s">
        <v>40</v>
      </c>
      <c r="D3137">
        <v>4.0114359999999998</v>
      </c>
      <c r="E3137">
        <v>0.47536440000000002</v>
      </c>
      <c r="F3137" t="s">
        <v>47</v>
      </c>
      <c r="G3137">
        <v>-451.0163</v>
      </c>
      <c r="H3137" s="1">
        <v>-1.0030350000000001E-6</v>
      </c>
      <c r="I3137">
        <v>214.7782</v>
      </c>
      <c r="J3137">
        <v>-466.58909999999997</v>
      </c>
      <c r="K3137">
        <v>1.110034</v>
      </c>
      <c r="L3137">
        <v>215.44470000000001</v>
      </c>
      <c r="M3137">
        <v>0.98429290000000003</v>
      </c>
      <c r="N3137">
        <v>0</v>
      </c>
      <c r="O3137">
        <v>-0.17643410000000001</v>
      </c>
      <c r="P3137">
        <v>0.9797285</v>
      </c>
      <c r="Q3137">
        <v>0.15973689999999999</v>
      </c>
      <c r="R3137">
        <v>-0.1208974</v>
      </c>
      <c r="S3137">
        <v>3.0810849999999999</v>
      </c>
      <c r="T3137">
        <v>-0.2173204</v>
      </c>
      <c r="U3137">
        <v>-0.1359253</v>
      </c>
      <c r="V3137">
        <v>-5.4010490000000001E-2</v>
      </c>
      <c r="W3137">
        <v>0.1658116</v>
      </c>
      <c r="X3137">
        <v>0.98467729999999998</v>
      </c>
      <c r="Y3137">
        <v>-0.1321242</v>
      </c>
      <c r="Z3137">
        <v>1.70137E-2</v>
      </c>
      <c r="AA3137">
        <v>0.9910871</v>
      </c>
      <c r="AB3137">
        <v>11</v>
      </c>
      <c r="AC3137">
        <v>15.5727999999999</v>
      </c>
      <c r="AD3137">
        <v>-1.1100350030349999</v>
      </c>
      <c r="AE3137">
        <v>-0.66650000000001297</v>
      </c>
      <c r="AF3137">
        <v>-2.08102784864916</v>
      </c>
      <c r="AG3137">
        <v>-1.1100350030349999</v>
      </c>
      <c r="AH3137">
        <v>15.3681459889539</v>
      </c>
      <c r="AI3137">
        <v>94.094041040795801</v>
      </c>
      <c r="AJ3137">
        <v>97.711616901406401</v>
      </c>
      <c r="AK3137">
        <v>15.5480791660133</v>
      </c>
      <c r="AL3137">
        <v>80.455614825504398</v>
      </c>
      <c r="AM3137">
        <v>93.139582119348304</v>
      </c>
      <c r="AN3137">
        <v>1.00000000242994</v>
      </c>
    </row>
    <row r="3138" spans="1:40" x14ac:dyDescent="0.25">
      <c r="A3138" t="str">
        <f>"20190312172430488"</f>
        <v>20190312172430488</v>
      </c>
      <c r="B3138" t="str">
        <f>"1552382670483126"</f>
        <v>1552382670483126</v>
      </c>
      <c r="C3138" t="s">
        <v>40</v>
      </c>
      <c r="D3138">
        <v>3.9944999999999999</v>
      </c>
      <c r="E3138">
        <v>0.47542069999999997</v>
      </c>
      <c r="F3138" t="s">
        <v>47</v>
      </c>
      <c r="G3138">
        <v>-451.00150000000002</v>
      </c>
      <c r="H3138" s="1">
        <v>-1.0102000000000001E-6</v>
      </c>
      <c r="I3138">
        <v>214.7621</v>
      </c>
      <c r="J3138">
        <v>-466.47289999999998</v>
      </c>
      <c r="K3138">
        <v>1.1100000000000001</v>
      </c>
      <c r="L3138">
        <v>215.4254</v>
      </c>
      <c r="M3138">
        <v>0.98452090000000003</v>
      </c>
      <c r="N3138">
        <v>0</v>
      </c>
      <c r="O3138">
        <v>-0.1751712</v>
      </c>
      <c r="P3138">
        <v>0.97979720000000003</v>
      </c>
      <c r="Q3138">
        <v>0.15949160000000001</v>
      </c>
      <c r="R3138">
        <v>-0.12066449999999999</v>
      </c>
      <c r="S3138">
        <v>3.0812379999999999</v>
      </c>
      <c r="T3138">
        <v>-0.21942420000000001</v>
      </c>
      <c r="U3138">
        <v>-0.13493350000000001</v>
      </c>
      <c r="V3138">
        <v>-5.29899E-2</v>
      </c>
      <c r="W3138">
        <v>0.16516500000000001</v>
      </c>
      <c r="X3138">
        <v>0.98484139999999998</v>
      </c>
      <c r="Y3138">
        <v>-0.13116349999999999</v>
      </c>
      <c r="Z3138">
        <v>1.7054630000000001E-2</v>
      </c>
      <c r="AA3138">
        <v>0.99121400000000004</v>
      </c>
      <c r="AB3138">
        <v>11</v>
      </c>
      <c r="AC3138">
        <v>15.4713999999999</v>
      </c>
      <c r="AD3138">
        <v>-1.1100010102</v>
      </c>
      <c r="AE3138">
        <v>-0.66329999999999201</v>
      </c>
      <c r="AF3138">
        <v>-2.0466301145540302</v>
      </c>
      <c r="AG3138">
        <v>-1.1100010102</v>
      </c>
      <c r="AH3138">
        <v>15.269909878935</v>
      </c>
      <c r="AI3138">
        <v>94.120913762264806</v>
      </c>
      <c r="AJ3138">
        <v>97.633873707922504</v>
      </c>
      <c r="AK3138">
        <v>15.4463893767845</v>
      </c>
      <c r="AL3138">
        <v>80.493180166478396</v>
      </c>
      <c r="AM3138">
        <v>93.079859190892904</v>
      </c>
      <c r="AN3138">
        <v>0.99999999494048497</v>
      </c>
    </row>
    <row r="3139" spans="1:40" x14ac:dyDescent="0.25">
      <c r="A3139" t="str">
        <f>"20190312172430508"</f>
        <v>20190312172430508</v>
      </c>
      <c r="B3139" t="str">
        <f>"1552382670503622"</f>
        <v>1552382670503622</v>
      </c>
      <c r="C3139" t="s">
        <v>40</v>
      </c>
      <c r="D3139">
        <v>4.0025370000000002</v>
      </c>
      <c r="E3139">
        <v>0.47553600000000001</v>
      </c>
      <c r="F3139" t="s">
        <v>47</v>
      </c>
      <c r="G3139">
        <v>-451.0659</v>
      </c>
      <c r="H3139" s="1">
        <v>-9.7570060000000009E-7</v>
      </c>
      <c r="I3139">
        <v>214.75729999999999</v>
      </c>
      <c r="J3139">
        <v>-466.36599999999999</v>
      </c>
      <c r="K3139">
        <v>1.1099730000000001</v>
      </c>
      <c r="L3139">
        <v>215.40770000000001</v>
      </c>
      <c r="M3139">
        <v>0.98472890000000002</v>
      </c>
      <c r="N3139">
        <v>0</v>
      </c>
      <c r="O3139">
        <v>-0.17400950000000001</v>
      </c>
      <c r="P3139">
        <v>0.97981790000000002</v>
      </c>
      <c r="Q3139">
        <v>0.15923960000000001</v>
      </c>
      <c r="R3139">
        <v>-0.1208298</v>
      </c>
      <c r="S3139">
        <v>3.0815429999999999</v>
      </c>
      <c r="T3139">
        <v>-0.2220114</v>
      </c>
      <c r="U3139">
        <v>-0.1336212</v>
      </c>
      <c r="V3139">
        <v>-5.1671160000000001E-2</v>
      </c>
      <c r="W3139">
        <v>0.16457849999999999</v>
      </c>
      <c r="X3139">
        <v>0.98500969999999999</v>
      </c>
      <c r="Y3139">
        <v>-0.13040599999999999</v>
      </c>
      <c r="Z3139">
        <v>1.7144099999999999E-2</v>
      </c>
      <c r="AA3139">
        <v>0.99131239999999998</v>
      </c>
      <c r="AB3139">
        <v>11</v>
      </c>
      <c r="AC3139">
        <v>15.300099999999899</v>
      </c>
      <c r="AD3139">
        <v>-1.1099739757006</v>
      </c>
      <c r="AE3139">
        <v>-0.65040000000001896</v>
      </c>
      <c r="AF3139">
        <v>-2.01135831366022</v>
      </c>
      <c r="AG3139">
        <v>-1.1099739757006</v>
      </c>
      <c r="AH3139">
        <v>15.100520392105</v>
      </c>
      <c r="AI3139">
        <v>94.167330576462206</v>
      </c>
      <c r="AJ3139">
        <v>97.587021658073397</v>
      </c>
      <c r="AK3139">
        <v>15.2742698877897</v>
      </c>
      <c r="AL3139">
        <v>80.527250921366303</v>
      </c>
      <c r="AM3139">
        <v>93.002841769395104</v>
      </c>
      <c r="AN3139">
        <v>1.00000005026604</v>
      </c>
    </row>
    <row r="3140" spans="1:40" x14ac:dyDescent="0.25">
      <c r="A3140" t="str">
        <f>"20190312172430532"</f>
        <v>20190312172430532</v>
      </c>
      <c r="B3140" t="str">
        <f>"1552382670523142"</f>
        <v>1552382670523142</v>
      </c>
      <c r="C3140" t="s">
        <v>40</v>
      </c>
      <c r="D3140">
        <v>4.0263159999999996</v>
      </c>
      <c r="E3140">
        <v>0.4756126</v>
      </c>
      <c r="F3140" t="s">
        <v>47</v>
      </c>
      <c r="G3140">
        <v>-451.02069999999998</v>
      </c>
      <c r="H3140" s="1">
        <v>-9.9898610000000007E-7</v>
      </c>
      <c r="I3140">
        <v>214.739</v>
      </c>
      <c r="J3140">
        <v>-466.24029999999999</v>
      </c>
      <c r="K3140">
        <v>1.109953</v>
      </c>
      <c r="L3140">
        <v>215.3871</v>
      </c>
      <c r="M3140">
        <v>0.98497069999999998</v>
      </c>
      <c r="N3140">
        <v>0</v>
      </c>
      <c r="O3140">
        <v>-0.17264579999999999</v>
      </c>
      <c r="P3140">
        <v>0.9798635</v>
      </c>
      <c r="Q3140">
        <v>0.1593466</v>
      </c>
      <c r="R3140">
        <v>-0.1203168</v>
      </c>
      <c r="S3140">
        <v>3.0814210000000002</v>
      </c>
      <c r="T3140">
        <v>-0.22288939999999999</v>
      </c>
      <c r="U3140">
        <v>-0.13427729999999999</v>
      </c>
      <c r="V3140">
        <v>-5.0823170000000001E-2</v>
      </c>
      <c r="W3140">
        <v>0.164326</v>
      </c>
      <c r="X3140">
        <v>0.98509590000000002</v>
      </c>
      <c r="Y3140">
        <v>-0.12882169999999901</v>
      </c>
      <c r="Z3140">
        <v>1.7057909999999999E-2</v>
      </c>
      <c r="AA3140">
        <v>0.99152110000000004</v>
      </c>
      <c r="AB3140">
        <v>12</v>
      </c>
      <c r="AC3140">
        <v>15.2196</v>
      </c>
      <c r="AD3140">
        <v>-1.1099539989861</v>
      </c>
      <c r="AE3140">
        <v>-0.64809999999999901</v>
      </c>
      <c r="AF3140">
        <v>-1.9787611760850401</v>
      </c>
      <c r="AG3140">
        <v>-1.1099539989861</v>
      </c>
      <c r="AH3140">
        <v>15.023190421565999</v>
      </c>
      <c r="AI3140">
        <v>94.189436539024797</v>
      </c>
      <c r="AJ3140">
        <v>97.503451292733402</v>
      </c>
      <c r="AK3140">
        <v>15.19354284275</v>
      </c>
      <c r="AL3140">
        <v>80.541917128270498</v>
      </c>
      <c r="AM3140">
        <v>92.9533912739561</v>
      </c>
      <c r="AN3140">
        <v>0.99999998054082895</v>
      </c>
    </row>
    <row r="3141" spans="1:40" x14ac:dyDescent="0.25">
      <c r="A3141" t="str">
        <f>"20190312172430554"</f>
        <v>20190312172430554</v>
      </c>
      <c r="B3141" t="str">
        <f>"1552382670543639"</f>
        <v>1552382670543639</v>
      </c>
      <c r="C3141" t="s">
        <v>40</v>
      </c>
      <c r="D3141">
        <v>4.0254789999999998</v>
      </c>
      <c r="E3141">
        <v>0.47568890000000003</v>
      </c>
      <c r="F3141" t="s">
        <v>47</v>
      </c>
      <c r="G3141">
        <v>-450.93810000000002</v>
      </c>
      <c r="H3141" s="1">
        <v>-1.0424059999999999E-6</v>
      </c>
      <c r="I3141">
        <v>214.72669999999999</v>
      </c>
      <c r="J3141">
        <v>-466.12520000000001</v>
      </c>
      <c r="K3141">
        <v>1.1099330000000001</v>
      </c>
      <c r="L3141">
        <v>215.36840000000001</v>
      </c>
      <c r="M3141">
        <v>0.98519060000000003</v>
      </c>
      <c r="N3141">
        <v>0</v>
      </c>
      <c r="O3141">
        <v>-0.1713962</v>
      </c>
      <c r="P3141">
        <v>0.97987789999999997</v>
      </c>
      <c r="Q3141">
        <v>0.15976609999999999</v>
      </c>
      <c r="R3141">
        <v>-0.1196412</v>
      </c>
      <c r="S3141">
        <v>3.0816349999999999</v>
      </c>
      <c r="T3141">
        <v>-0.22352810000000001</v>
      </c>
      <c r="U3141">
        <v>-0.13299559999999999</v>
      </c>
      <c r="V3141">
        <v>-5.024493E-2</v>
      </c>
      <c r="W3141">
        <v>0.16443650000000001</v>
      </c>
      <c r="X3141">
        <v>0.98510710000000001</v>
      </c>
      <c r="Y3141">
        <v>-0.12797919999999999</v>
      </c>
      <c r="Z3141">
        <v>1.6985940000000001E-2</v>
      </c>
      <c r="AA3141">
        <v>0.99163140000000005</v>
      </c>
      <c r="AB3141">
        <v>12</v>
      </c>
      <c r="AC3141">
        <v>15.1870999999999</v>
      </c>
      <c r="AD3141">
        <v>-1.109934042406</v>
      </c>
      <c r="AE3141">
        <v>-0.64170000000001404</v>
      </c>
      <c r="AF3141">
        <v>-1.9603846270557801</v>
      </c>
      <c r="AG3141">
        <v>-1.109934042406</v>
      </c>
      <c r="AH3141">
        <v>14.992409296488001</v>
      </c>
      <c r="AI3141">
        <v>94.198447566843797</v>
      </c>
      <c r="AJ3141">
        <v>97.449643360010398</v>
      </c>
      <c r="AK3141">
        <v>15.1607189136237</v>
      </c>
      <c r="AL3141">
        <v>80.535498408058302</v>
      </c>
      <c r="AM3141">
        <v>92.919814441755506</v>
      </c>
      <c r="AN3141">
        <v>0.99999995699668098</v>
      </c>
    </row>
    <row r="3142" spans="1:40" x14ac:dyDescent="0.25">
      <c r="A3142" t="str">
        <f>"20190312172430575"</f>
        <v>20190312172430575</v>
      </c>
      <c r="B3142" t="str">
        <f>"1552382670572918"</f>
        <v>1552382670572918</v>
      </c>
      <c r="C3142" t="s">
        <v>40</v>
      </c>
      <c r="D3142">
        <v>4.0239219999999998</v>
      </c>
      <c r="E3142">
        <v>0.475715</v>
      </c>
      <c r="F3142" t="s">
        <v>47</v>
      </c>
      <c r="G3142">
        <v>-450.79509999999999</v>
      </c>
      <c r="H3142" s="1">
        <v>-1.1179769999999999E-6</v>
      </c>
      <c r="I3142">
        <v>214.7148</v>
      </c>
      <c r="J3142">
        <v>-466.0104</v>
      </c>
      <c r="K3142">
        <v>1.1099159999999999</v>
      </c>
      <c r="L3142">
        <v>215.34989999999999</v>
      </c>
      <c r="M3142">
        <v>0.98540810000000001</v>
      </c>
      <c r="N3142">
        <v>0</v>
      </c>
      <c r="O3142">
        <v>-0.17015</v>
      </c>
      <c r="P3142">
        <v>0.9798635</v>
      </c>
      <c r="Q3142">
        <v>0.16003889999999901</v>
      </c>
      <c r="R3142">
        <v>-0.1193955</v>
      </c>
      <c r="S3142">
        <v>3.0819399999999999</v>
      </c>
      <c r="T3142">
        <v>-0.22314039999999999</v>
      </c>
      <c r="U3142">
        <v>-0.13139339999999999</v>
      </c>
      <c r="V3142">
        <v>-4.924216E-2</v>
      </c>
      <c r="W3142">
        <v>0.1644186</v>
      </c>
      <c r="X3142">
        <v>0.98516079999999995</v>
      </c>
      <c r="Y3142">
        <v>-0.12725129999999901</v>
      </c>
      <c r="Z3142">
        <v>1.6839980000000001E-2</v>
      </c>
      <c r="AA3142">
        <v>0.99172749999999998</v>
      </c>
      <c r="AB3142">
        <v>12</v>
      </c>
      <c r="AC3142">
        <v>15.215299999999999</v>
      </c>
      <c r="AD3142">
        <v>-1.109917117977</v>
      </c>
      <c r="AE3142">
        <v>-0.635099999999994</v>
      </c>
      <c r="AF3142">
        <v>-1.9526972276438499</v>
      </c>
      <c r="AG3142">
        <v>-1.109917117977</v>
      </c>
      <c r="AH3142">
        <v>15.0216956956081</v>
      </c>
      <c r="AI3142">
        <v>94.190638154144196</v>
      </c>
      <c r="AJ3142">
        <v>97.406449979880705</v>
      </c>
      <c r="AK3142">
        <v>15.1886893457954</v>
      </c>
      <c r="AL3142">
        <v>80.536538890766806</v>
      </c>
      <c r="AM3142">
        <v>92.861483966619602</v>
      </c>
      <c r="AN3142">
        <v>1.0000000341020301</v>
      </c>
    </row>
    <row r="3143" spans="1:40" x14ac:dyDescent="0.25">
      <c r="A3143" t="str">
        <f>"20190312172430599"</f>
        <v>20190312172430599</v>
      </c>
      <c r="B3143" t="str">
        <f>"1552382670593415"</f>
        <v>1552382670593415</v>
      </c>
      <c r="C3143" t="s">
        <v>40</v>
      </c>
      <c r="D3143">
        <v>4.0147069999999996</v>
      </c>
      <c r="E3143">
        <v>0.47575539999999999</v>
      </c>
      <c r="F3143" t="s">
        <v>47</v>
      </c>
      <c r="G3143">
        <v>-450.67720000000003</v>
      </c>
      <c r="H3143" s="1">
        <v>-1.1802820000000001E-6</v>
      </c>
      <c r="I3143">
        <v>214.70439999999999</v>
      </c>
      <c r="J3143">
        <v>-465.88549999999998</v>
      </c>
      <c r="K3143">
        <v>1.1098950000000001</v>
      </c>
      <c r="L3143">
        <v>215.32990000000001</v>
      </c>
      <c r="M3143">
        <v>0.98564269999999998</v>
      </c>
      <c r="N3143">
        <v>0</v>
      </c>
      <c r="O3143">
        <v>-0.168792</v>
      </c>
      <c r="P3143">
        <v>0.97987460000000004</v>
      </c>
      <c r="Q3143">
        <v>0.1603427</v>
      </c>
      <c r="R3143">
        <v>-0.118893</v>
      </c>
      <c r="S3143">
        <v>3.0822449999999999</v>
      </c>
      <c r="T3143">
        <v>-0.22311210000000001</v>
      </c>
      <c r="U3143">
        <v>-0.12974550000000001</v>
      </c>
      <c r="V3143">
        <v>-4.8386190000000003E-2</v>
      </c>
      <c r="W3143">
        <v>0.1644243</v>
      </c>
      <c r="X3143">
        <v>0.98520229999999998</v>
      </c>
      <c r="Y3143">
        <v>-0.12642390000000001</v>
      </c>
      <c r="Z3143">
        <v>1.6709740000000001E-2</v>
      </c>
      <c r="AA3143">
        <v>0.99183560000000004</v>
      </c>
      <c r="AB3143">
        <v>12</v>
      </c>
      <c r="AC3143">
        <v>15.2082999999999</v>
      </c>
      <c r="AD3143">
        <v>-1.109896180282</v>
      </c>
      <c r="AE3143">
        <v>-0.62550000000001604</v>
      </c>
      <c r="AF3143">
        <v>-1.9402209364972101</v>
      </c>
      <c r="AG3143">
        <v>-1.109896180282</v>
      </c>
      <c r="AH3143">
        <v>15.015823456743</v>
      </c>
      <c r="AI3143">
        <v>94.192607685039505</v>
      </c>
      <c r="AJ3143">
        <v>97.362495252652096</v>
      </c>
      <c r="AK3143">
        <v>15.181280607955999</v>
      </c>
      <c r="AL3143">
        <v>80.5362081689901</v>
      </c>
      <c r="AM3143">
        <v>92.811705443360594</v>
      </c>
      <c r="AN3143">
        <v>1.00000007286924</v>
      </c>
    </row>
    <row r="3144" spans="1:40" x14ac:dyDescent="0.25">
      <c r="A3144" t="str">
        <f>"20190312172430620"</f>
        <v>20190312172430620</v>
      </c>
      <c r="B3144" t="str">
        <f>"1552382670612934"</f>
        <v>1552382670612934</v>
      </c>
      <c r="C3144" t="s">
        <v>40</v>
      </c>
      <c r="D3144">
        <v>4.015377</v>
      </c>
      <c r="E3144">
        <v>0.4758252</v>
      </c>
      <c r="F3144" t="s">
        <v>47</v>
      </c>
      <c r="G3144">
        <v>-450.53190000000001</v>
      </c>
      <c r="H3144" s="1">
        <v>-1.25694E-6</v>
      </c>
      <c r="I3144">
        <v>214.68889999999999</v>
      </c>
      <c r="J3144">
        <v>-465.76749999999998</v>
      </c>
      <c r="K3144">
        <v>1.10988</v>
      </c>
      <c r="L3144">
        <v>215.31120000000001</v>
      </c>
      <c r="M3144">
        <v>0.98586240000000003</v>
      </c>
      <c r="N3144">
        <v>0</v>
      </c>
      <c r="O3144">
        <v>-0.16751089999999999</v>
      </c>
      <c r="P3144">
        <v>0.97981620000000003</v>
      </c>
      <c r="Q3144">
        <v>0.160853</v>
      </c>
      <c r="R3144">
        <v>-0.1186881</v>
      </c>
      <c r="S3144">
        <v>3.0824889999999998</v>
      </c>
      <c r="T3144">
        <v>-0.22282930000000001</v>
      </c>
      <c r="U3144">
        <v>-0.1286774</v>
      </c>
      <c r="V3144">
        <v>-4.7302259999999999E-2</v>
      </c>
      <c r="W3144">
        <v>0.1646736</v>
      </c>
      <c r="X3144">
        <v>0.98521320000000001</v>
      </c>
      <c r="Y3144">
        <v>-0.12548860000000001</v>
      </c>
      <c r="Z3144">
        <v>1.6562469999999999E-2</v>
      </c>
      <c r="AA3144">
        <v>0.99195679999999997</v>
      </c>
      <c r="AB3144">
        <v>12</v>
      </c>
      <c r="AC3144">
        <v>15.2355999999999</v>
      </c>
      <c r="AD3144">
        <v>-1.1098812569399901</v>
      </c>
      <c r="AE3144">
        <v>-0.62230000000002395</v>
      </c>
      <c r="AF3144">
        <v>-1.92842510043432</v>
      </c>
      <c r="AG3144">
        <v>-1.1098812569399901</v>
      </c>
      <c r="AH3144">
        <v>15.0448565894817</v>
      </c>
      <c r="AI3144">
        <v>94.185035144323194</v>
      </c>
      <c r="AJ3144">
        <v>97.304250835386597</v>
      </c>
      <c r="AK3144">
        <v>15.2084966242743</v>
      </c>
      <c r="AL3144">
        <v>80.521725990588706</v>
      </c>
      <c r="AM3144">
        <v>92.748785975831794</v>
      </c>
      <c r="AN3144">
        <v>0.99999997389615303</v>
      </c>
    </row>
    <row r="3145" spans="1:40" x14ac:dyDescent="0.25">
      <c r="A3145" t="str">
        <f>"20190312172430644"</f>
        <v>20190312172430644</v>
      </c>
      <c r="B3145" t="str">
        <f>"1552382670633430"</f>
        <v>1552382670633430</v>
      </c>
      <c r="C3145" t="s">
        <v>40</v>
      </c>
      <c r="D3145">
        <v>4.0086329999999997</v>
      </c>
      <c r="E3145">
        <v>0.4758655</v>
      </c>
      <c r="F3145" t="s">
        <v>47</v>
      </c>
      <c r="G3145">
        <v>-450.33</v>
      </c>
      <c r="H3145" s="1">
        <v>-1.3635289999999999E-6</v>
      </c>
      <c r="I3145">
        <v>214.67080000000001</v>
      </c>
      <c r="J3145">
        <v>-465.64069999999998</v>
      </c>
      <c r="K3145">
        <v>1.109858</v>
      </c>
      <c r="L3145">
        <v>215.2912</v>
      </c>
      <c r="M3145">
        <v>0.98609630000000004</v>
      </c>
      <c r="N3145">
        <v>0</v>
      </c>
      <c r="O3145">
        <v>-0.16613499999999901</v>
      </c>
      <c r="P3145">
        <v>0.97983889999999996</v>
      </c>
      <c r="Q3145">
        <v>0.16091849999999999</v>
      </c>
      <c r="R3145">
        <v>-0.1184104</v>
      </c>
      <c r="S3145">
        <v>3.082703</v>
      </c>
      <c r="T3145">
        <v>-0.22163150000000001</v>
      </c>
      <c r="U3145">
        <v>-0.12788389999999999</v>
      </c>
      <c r="V3145">
        <v>-4.6209140000000003E-2</v>
      </c>
      <c r="W3145">
        <v>0.16448119999999999</v>
      </c>
      <c r="X3145">
        <v>0.98529730000000004</v>
      </c>
      <c r="Y3145">
        <v>-0.124376399999999</v>
      </c>
      <c r="Z3145">
        <v>1.6335240000000001E-2</v>
      </c>
      <c r="AA3145">
        <v>0.99210069999999995</v>
      </c>
      <c r="AB3145">
        <v>12</v>
      </c>
      <c r="AC3145">
        <v>15.310699999999899</v>
      </c>
      <c r="AD3145">
        <v>-1.1098593635289999</v>
      </c>
      <c r="AE3145">
        <v>-0.62039999999998896</v>
      </c>
      <c r="AF3145">
        <v>-1.9217999186261601</v>
      </c>
      <c r="AG3145">
        <v>-1.1098593635289999</v>
      </c>
      <c r="AH3145">
        <v>15.1216662935263</v>
      </c>
      <c r="AI3145">
        <v>94.164338188548697</v>
      </c>
      <c r="AJ3145">
        <v>97.242844589757993</v>
      </c>
      <c r="AK3145">
        <v>15.283647935843501</v>
      </c>
      <c r="AL3145">
        <v>80.532902912954398</v>
      </c>
      <c r="AM3145">
        <v>92.685128786230194</v>
      </c>
      <c r="AN3145">
        <v>1.0000000595801299</v>
      </c>
    </row>
    <row r="3146" spans="1:40" x14ac:dyDescent="0.25">
      <c r="A3146" t="str">
        <f>"20190312172430665"</f>
        <v>20190312172430665</v>
      </c>
      <c r="B3146" t="str">
        <f>"1552382670652953"</f>
        <v>1552382670652953</v>
      </c>
      <c r="C3146" t="s">
        <v>40</v>
      </c>
      <c r="D3146">
        <v>4.0332889999999999</v>
      </c>
      <c r="E3146">
        <v>0.47594399999999998</v>
      </c>
      <c r="F3146" t="s">
        <v>47</v>
      </c>
      <c r="G3146">
        <v>-450.20060000000001</v>
      </c>
      <c r="H3146" s="1">
        <v>-1.431808E-6</v>
      </c>
      <c r="I3146">
        <v>214.6566</v>
      </c>
      <c r="J3146">
        <v>-465.51510000000002</v>
      </c>
      <c r="K3146">
        <v>1.1098330000000001</v>
      </c>
      <c r="L3146">
        <v>215.27160000000001</v>
      </c>
      <c r="M3146">
        <v>0.98632560000000002</v>
      </c>
      <c r="N3146">
        <v>0</v>
      </c>
      <c r="O3146">
        <v>-0.16477240000000001</v>
      </c>
      <c r="P3146">
        <v>0.98000609999999999</v>
      </c>
      <c r="Q3146">
        <v>0.1603503</v>
      </c>
      <c r="R3146">
        <v>-0.1177955</v>
      </c>
      <c r="S3146">
        <v>3.0827939999999998</v>
      </c>
      <c r="T3146">
        <v>-0.2215954</v>
      </c>
      <c r="U3146">
        <v>-0.12670899999999999</v>
      </c>
      <c r="V3146">
        <v>-4.5485629999999999E-2</v>
      </c>
      <c r="W3146">
        <v>0.16367970000000001</v>
      </c>
      <c r="X3146">
        <v>0.98546440000000002</v>
      </c>
      <c r="Y3146">
        <v>-0.1233904</v>
      </c>
      <c r="Z3146">
        <v>1.6200349999999999E-2</v>
      </c>
      <c r="AA3146">
        <v>0.99222589999999999</v>
      </c>
      <c r="AB3146">
        <v>13</v>
      </c>
      <c r="AC3146">
        <v>15.314500000000001</v>
      </c>
      <c r="AD3146">
        <v>-1.109834431808</v>
      </c>
      <c r="AE3146">
        <v>-0.61500000000000898</v>
      </c>
      <c r="AF3146">
        <v>-1.90682982508584</v>
      </c>
      <c r="AG3146">
        <v>-1.109834431808</v>
      </c>
      <c r="AH3146">
        <v>15.1271911162909</v>
      </c>
      <c r="AI3146">
        <v>94.163264836950006</v>
      </c>
      <c r="AJ3146">
        <v>97.184420363068597</v>
      </c>
      <c r="AK3146">
        <v>15.2872379296148</v>
      </c>
      <c r="AL3146">
        <v>80.579456188527701</v>
      </c>
      <c r="AM3146">
        <v>92.642699486191006</v>
      </c>
      <c r="AN3146">
        <v>1.0000000351979701</v>
      </c>
    </row>
    <row r="3147" spans="1:40" x14ac:dyDescent="0.25">
      <c r="A3147" t="str">
        <f>"20190312172430688"</f>
        <v>20190312172430688</v>
      </c>
      <c r="B3147" t="str">
        <f>"1552382670683206"</f>
        <v>1552382670683206</v>
      </c>
      <c r="C3147" t="s">
        <v>40</v>
      </c>
      <c r="D3147">
        <v>4.0026710000000003</v>
      </c>
      <c r="E3147">
        <v>0.4759874</v>
      </c>
      <c r="F3147" t="s">
        <v>47</v>
      </c>
      <c r="G3147">
        <v>-450.22129999999999</v>
      </c>
      <c r="H3147" s="1">
        <v>-1.4206940000000001E-6</v>
      </c>
      <c r="I3147">
        <v>214.6541</v>
      </c>
      <c r="J3147">
        <v>-465.38600000000002</v>
      </c>
      <c r="K3147">
        <v>1.109812</v>
      </c>
      <c r="L3147">
        <v>215.2517</v>
      </c>
      <c r="M3147">
        <v>0.98655919999999997</v>
      </c>
      <c r="N3147">
        <v>0</v>
      </c>
      <c r="O3147">
        <v>-0.16337260000000001</v>
      </c>
      <c r="P3147">
        <v>0.98020359999999995</v>
      </c>
      <c r="Q3147">
        <v>0.15965119999999999</v>
      </c>
      <c r="R3147">
        <v>-0.11709940000000001</v>
      </c>
      <c r="S3147">
        <v>3.0828859999999998</v>
      </c>
      <c r="T3147">
        <v>-0.22371750000000001</v>
      </c>
      <c r="U3147">
        <v>-0.1244812</v>
      </c>
      <c r="V3147">
        <v>-4.4809740000000001E-2</v>
      </c>
      <c r="W3147">
        <v>0.16276179999999901</v>
      </c>
      <c r="X3147">
        <v>0.9856473</v>
      </c>
      <c r="Y3147">
        <v>-0.12269040000000001</v>
      </c>
      <c r="Z3147">
        <v>1.6229460000000001E-2</v>
      </c>
      <c r="AA3147">
        <v>0.99231230000000004</v>
      </c>
      <c r="AB3147">
        <v>13</v>
      </c>
      <c r="AC3147">
        <v>15.1646999999999</v>
      </c>
      <c r="AD3147">
        <v>-1.109813420694</v>
      </c>
      <c r="AE3147">
        <v>-0.59759999999999902</v>
      </c>
      <c r="AF3147">
        <v>-1.87789622280888</v>
      </c>
      <c r="AG3147">
        <v>-1.109813420694</v>
      </c>
      <c r="AH3147">
        <v>14.978484759189699</v>
      </c>
      <c r="AI3147">
        <v>94.204723589956998</v>
      </c>
      <c r="AJ3147">
        <v>97.146052845659796</v>
      </c>
      <c r="AK3147">
        <v>15.136485250337101</v>
      </c>
      <c r="AL3147">
        <v>80.632762121690405</v>
      </c>
      <c r="AM3147">
        <v>92.603002500125001</v>
      </c>
      <c r="AN3147">
        <v>0.99999995816769705</v>
      </c>
    </row>
    <row r="3148" spans="1:40" x14ac:dyDescent="0.25">
      <c r="A3148" t="str">
        <f>"20190312172430710"</f>
        <v>20190312172430710</v>
      </c>
      <c r="B3148" t="str">
        <f>"1552382670703703"</f>
        <v>1552382670703703</v>
      </c>
      <c r="C3148" t="s">
        <v>40</v>
      </c>
      <c r="D3148">
        <v>4.1742470000000003</v>
      </c>
      <c r="E3148">
        <v>0.47601939999999998</v>
      </c>
      <c r="F3148" t="s">
        <v>47</v>
      </c>
      <c r="G3148">
        <v>-450.24189999999999</v>
      </c>
      <c r="H3148" s="1">
        <v>-1.4095819999999999E-6</v>
      </c>
      <c r="I3148">
        <v>214.65180000000001</v>
      </c>
      <c r="J3148">
        <v>-465.255</v>
      </c>
      <c r="K3148">
        <v>1.1097980000000001</v>
      </c>
      <c r="L3148">
        <v>215.23169999999999</v>
      </c>
      <c r="M3148">
        <v>0.98679439999999996</v>
      </c>
      <c r="N3148">
        <v>0</v>
      </c>
      <c r="O3148">
        <v>-0.1619507</v>
      </c>
      <c r="P3148">
        <v>0.98023830000000001</v>
      </c>
      <c r="Q3148">
        <v>0.1598407</v>
      </c>
      <c r="R3148">
        <v>-0.1165503</v>
      </c>
      <c r="S3148">
        <v>3.0828250000000001</v>
      </c>
      <c r="T3148">
        <v>-0.22592190000000001</v>
      </c>
      <c r="U3148">
        <v>-0.12211610000000001</v>
      </c>
      <c r="V3148">
        <v>-4.3942670000000003E-2</v>
      </c>
      <c r="W3148">
        <v>0.16275049999999999</v>
      </c>
      <c r="X3148">
        <v>0.98568820000000001</v>
      </c>
      <c r="Y3148">
        <v>-0.1220101</v>
      </c>
      <c r="Z3148">
        <v>1.6262019999999999E-2</v>
      </c>
      <c r="AA3148">
        <v>0.99239560000000004</v>
      </c>
      <c r="AB3148">
        <v>13</v>
      </c>
      <c r="AC3148">
        <v>15.0131</v>
      </c>
      <c r="AD3148">
        <v>-1.1097994095819901</v>
      </c>
      <c r="AE3148">
        <v>-0.57989999999997999</v>
      </c>
      <c r="AF3148">
        <v>-1.8490590668298399</v>
      </c>
      <c r="AG3148">
        <v>-1.1097994095819901</v>
      </c>
      <c r="AH3148">
        <v>14.827917655505701</v>
      </c>
      <c r="AI3148">
        <v>94.247560682655902</v>
      </c>
      <c r="AJ3148">
        <v>97.108158912956497</v>
      </c>
      <c r="AK3148">
        <v>14.983918584956101</v>
      </c>
      <c r="AL3148">
        <v>80.633418288812095</v>
      </c>
      <c r="AM3148">
        <v>92.552595813981796</v>
      </c>
      <c r="AN3148">
        <v>0.99999995555810794</v>
      </c>
    </row>
    <row r="3149" spans="1:40" x14ac:dyDescent="0.25">
      <c r="A3149" t="str">
        <f>"20190312172430733"</f>
        <v>20190312172430733</v>
      </c>
      <c r="B3149" t="str">
        <f>"1552382670723222"</f>
        <v>1552382670723222</v>
      </c>
      <c r="C3149" t="s">
        <v>40</v>
      </c>
      <c r="D3149">
        <v>3.973811</v>
      </c>
      <c r="E3149">
        <v>0.47608060000000002</v>
      </c>
      <c r="F3149" t="s">
        <v>47</v>
      </c>
      <c r="G3149">
        <v>-450.07389999999998</v>
      </c>
      <c r="H3149" s="1">
        <v>-1.4984210000000001E-6</v>
      </c>
      <c r="I3149">
        <v>214.63820000000001</v>
      </c>
      <c r="J3149">
        <v>-465.11489999999998</v>
      </c>
      <c r="K3149">
        <v>1.1097859999999999</v>
      </c>
      <c r="L3149">
        <v>215.21039999999999</v>
      </c>
      <c r="M3149">
        <v>0.98704519999999996</v>
      </c>
      <c r="N3149">
        <v>0</v>
      </c>
      <c r="O3149">
        <v>-0.1604187</v>
      </c>
      <c r="P3149">
        <v>0.98029549999999999</v>
      </c>
      <c r="Q3149">
        <v>0.15969079999999999</v>
      </c>
      <c r="R3149">
        <v>-0.1162758</v>
      </c>
      <c r="S3149">
        <v>3.082916</v>
      </c>
      <c r="T3149">
        <v>-0.22537399999999999</v>
      </c>
      <c r="U3149">
        <v>-0.12051389999999999</v>
      </c>
      <c r="V3149">
        <v>-4.270003E-2</v>
      </c>
      <c r="W3149">
        <v>0.1624052</v>
      </c>
      <c r="X3149">
        <v>0.9857998</v>
      </c>
      <c r="Y3149">
        <v>-0.1209959</v>
      </c>
      <c r="Z3149">
        <v>1.6074970000000001E-2</v>
      </c>
      <c r="AA3149">
        <v>0.99252280000000004</v>
      </c>
      <c r="AB3149">
        <v>13</v>
      </c>
      <c r="AC3149">
        <v>15.040999999999899</v>
      </c>
      <c r="AD3149">
        <v>-1.1097874984209899</v>
      </c>
      <c r="AE3149">
        <v>-0.57219999999998095</v>
      </c>
      <c r="AF3149">
        <v>-1.8380851772809499</v>
      </c>
      <c r="AG3149">
        <v>-1.1097874984209899</v>
      </c>
      <c r="AH3149">
        <v>14.857227930831399</v>
      </c>
      <c r="AI3149">
        <v>94.239675101208803</v>
      </c>
      <c r="AJ3149">
        <v>97.052600748437897</v>
      </c>
      <c r="AK3149">
        <v>15.011575773358</v>
      </c>
      <c r="AL3149">
        <v>80.653469645475596</v>
      </c>
      <c r="AM3149">
        <v>92.480222824327399</v>
      </c>
      <c r="AN3149">
        <v>0.99999999361453995</v>
      </c>
    </row>
    <row r="3150" spans="1:40" x14ac:dyDescent="0.25">
      <c r="A3150" t="str">
        <f>"20190312172430755"</f>
        <v>20190312172430755</v>
      </c>
      <c r="B3150" t="str">
        <f>"1552382670743718"</f>
        <v>1552382670743718</v>
      </c>
      <c r="C3150" t="s">
        <v>40</v>
      </c>
      <c r="D3150">
        <v>4.0439910000000001</v>
      </c>
      <c r="E3150">
        <v>0.47610560000000002</v>
      </c>
      <c r="F3150" t="s">
        <v>47</v>
      </c>
      <c r="G3150">
        <v>-449.9461</v>
      </c>
      <c r="H3150" s="1">
        <v>3.755534E-6</v>
      </c>
      <c r="I3150">
        <v>214.62819999999999</v>
      </c>
      <c r="J3150">
        <v>-464.98500000000001</v>
      </c>
      <c r="K3150">
        <v>1.1097779999999999</v>
      </c>
      <c r="L3150">
        <v>215.191</v>
      </c>
      <c r="M3150">
        <v>0.98727869999999995</v>
      </c>
      <c r="N3150">
        <v>0</v>
      </c>
      <c r="O3150">
        <v>-0.15897819999999999</v>
      </c>
      <c r="P3150">
        <v>0.98050000000000004</v>
      </c>
      <c r="Q3150">
        <v>0.15887599999999999</v>
      </c>
      <c r="R3150">
        <v>-0.1156649</v>
      </c>
      <c r="S3150">
        <v>3.0830380000000002</v>
      </c>
      <c r="T3150">
        <v>-0.22556280000000001</v>
      </c>
      <c r="U3150">
        <v>-0.1183319</v>
      </c>
      <c r="V3150">
        <v>-4.1904480000000001E-2</v>
      </c>
      <c r="W3150">
        <v>0.16141989999999901</v>
      </c>
      <c r="X3150">
        <v>0.98599579999999998</v>
      </c>
      <c r="Y3150">
        <v>-0.1202548</v>
      </c>
      <c r="Z3150">
        <v>1.5957059999999999E-2</v>
      </c>
      <c r="AA3150">
        <v>0.99261480000000002</v>
      </c>
      <c r="AB3150">
        <v>13</v>
      </c>
      <c r="AC3150">
        <v>15.0389</v>
      </c>
      <c r="AD3150">
        <v>-1.1097742444659999</v>
      </c>
      <c r="AE3150">
        <v>-0.56279999999998098</v>
      </c>
      <c r="AF3150">
        <v>-1.8252972071178299</v>
      </c>
      <c r="AG3150">
        <v>-1.1097742444659999</v>
      </c>
      <c r="AH3150">
        <v>14.8563217710213</v>
      </c>
      <c r="AI3150">
        <v>94.240320060160897</v>
      </c>
      <c r="AJ3150">
        <v>97.004446227252203</v>
      </c>
      <c r="AK3150">
        <v>15.0091174068335</v>
      </c>
      <c r="AL3150">
        <v>80.710678506694094</v>
      </c>
      <c r="AM3150">
        <v>92.433586292085295</v>
      </c>
      <c r="AN3150">
        <v>1.0000000435888501</v>
      </c>
    </row>
    <row r="3151" spans="1:40" x14ac:dyDescent="0.25">
      <c r="A3151" t="str">
        <f>"20190312172430778"</f>
        <v>20190312172430778</v>
      </c>
      <c r="B3151" t="str">
        <f>"1552382670772998"</f>
        <v>1552382670772998</v>
      </c>
      <c r="C3151" t="s">
        <v>40</v>
      </c>
      <c r="D3151">
        <v>4.0241239999999996</v>
      </c>
      <c r="E3151">
        <v>0.4762207</v>
      </c>
      <c r="F3151" t="s">
        <v>47</v>
      </c>
      <c r="G3151">
        <v>-449.9948</v>
      </c>
      <c r="H3151" s="1">
        <v>-1.540144E-6</v>
      </c>
      <c r="I3151">
        <v>214.6301</v>
      </c>
      <c r="J3151">
        <v>-464.84089999999998</v>
      </c>
      <c r="K3151">
        <v>1.1097760000000001</v>
      </c>
      <c r="L3151">
        <v>215.1696</v>
      </c>
      <c r="M3151">
        <v>0.98753979999999997</v>
      </c>
      <c r="N3151">
        <v>0</v>
      </c>
      <c r="O3151">
        <v>-0.1573514</v>
      </c>
      <c r="P3151">
        <v>0.98087780000000002</v>
      </c>
      <c r="Q3151">
        <v>0.15765589999999999</v>
      </c>
      <c r="R3151">
        <v>-0.1141226</v>
      </c>
      <c r="S3151">
        <v>3.083008</v>
      </c>
      <c r="T3151">
        <v>-0.22824739999999999</v>
      </c>
      <c r="U3151">
        <v>-0.115356399999999</v>
      </c>
      <c r="V3151">
        <v>-4.1873290000000001E-2</v>
      </c>
      <c r="W3151">
        <v>0.16001409999999999</v>
      </c>
      <c r="X3151">
        <v>0.98622619999999905</v>
      </c>
      <c r="Y3151">
        <v>-0.1195639</v>
      </c>
      <c r="Z3151">
        <v>1.600269E-2</v>
      </c>
      <c r="AA3151">
        <v>0.99269750000000001</v>
      </c>
      <c r="AB3151">
        <v>14</v>
      </c>
      <c r="AC3151">
        <v>14.8460999999999</v>
      </c>
      <c r="AD3151">
        <v>-1.109777540144</v>
      </c>
      <c r="AE3151">
        <v>-0.53950000000000298</v>
      </c>
      <c r="AF3151">
        <v>-1.79327463033057</v>
      </c>
      <c r="AG3151">
        <v>-1.109777540144</v>
      </c>
      <c r="AH3151">
        <v>14.6642137805737</v>
      </c>
      <c r="AI3151">
        <v>94.295973070813801</v>
      </c>
      <c r="AJ3151">
        <v>96.972036457602499</v>
      </c>
      <c r="AK3151">
        <v>14.8150803538409</v>
      </c>
      <c r="AL3151">
        <v>80.792285373725093</v>
      </c>
      <c r="AM3151">
        <v>92.431209695650594</v>
      </c>
      <c r="AN3151">
        <v>1.00000000109033</v>
      </c>
    </row>
    <row r="3152" spans="1:40" x14ac:dyDescent="0.25">
      <c r="A3152" t="str">
        <f>"20190312172430800"</f>
        <v>20190312172430800</v>
      </c>
      <c r="B3152" t="str">
        <f>"1552382670793495"</f>
        <v>1552382670793495</v>
      </c>
      <c r="C3152" t="s">
        <v>40</v>
      </c>
      <c r="D3152">
        <v>4.0427720000000003</v>
      </c>
      <c r="E3152">
        <v>0.47625689999999998</v>
      </c>
      <c r="F3152" t="s">
        <v>47</v>
      </c>
      <c r="G3152">
        <v>-450.15949999999998</v>
      </c>
      <c r="H3152" s="1">
        <v>-1.452981E-6</v>
      </c>
      <c r="I3152">
        <v>214.64060000000001</v>
      </c>
      <c r="J3152">
        <v>-464.71359999999999</v>
      </c>
      <c r="K3152">
        <v>1.109785</v>
      </c>
      <c r="L3152">
        <v>215.15100000000001</v>
      </c>
      <c r="M3152">
        <v>0.98777380000000004</v>
      </c>
      <c r="N3152">
        <v>0</v>
      </c>
      <c r="O3152">
        <v>-0.1558785</v>
      </c>
      <c r="P3152">
        <v>0.98123289999999996</v>
      </c>
      <c r="Q3152">
        <v>0.15661079999999999</v>
      </c>
      <c r="R3152">
        <v>-0.1124952</v>
      </c>
      <c r="S3152">
        <v>3.0829770000000001</v>
      </c>
      <c r="T3152">
        <v>-0.2330439</v>
      </c>
      <c r="U3152">
        <v>-0.1110992</v>
      </c>
      <c r="V3152">
        <v>-4.2076769999999999E-2</v>
      </c>
      <c r="W3152">
        <v>0.15880520000000001</v>
      </c>
      <c r="X3152">
        <v>0.98641290000000004</v>
      </c>
      <c r="Y3152">
        <v>-0.1194244</v>
      </c>
      <c r="Z3152">
        <v>1.6223720000000001E-2</v>
      </c>
      <c r="AA3152">
        <v>0.99271069999999995</v>
      </c>
      <c r="AB3152">
        <v>14</v>
      </c>
      <c r="AC3152">
        <v>14.5541</v>
      </c>
      <c r="AD3152">
        <v>-1.109786452981</v>
      </c>
      <c r="AE3152">
        <v>-0.51039999999997498</v>
      </c>
      <c r="AF3152">
        <v>-1.7543278657861201</v>
      </c>
      <c r="AG3152">
        <v>-1.109786452981</v>
      </c>
      <c r="AH3152">
        <v>14.372289625803599</v>
      </c>
      <c r="AI3152">
        <v>94.383048325821207</v>
      </c>
      <c r="AJ3152">
        <v>96.959280167522707</v>
      </c>
      <c r="AK3152">
        <v>14.521432481676101</v>
      </c>
      <c r="AL3152">
        <v>80.862447226548099</v>
      </c>
      <c r="AM3152">
        <v>92.442547858376003</v>
      </c>
      <c r="AN3152">
        <v>0.99999997770354099</v>
      </c>
    </row>
    <row r="3153" spans="1:40" x14ac:dyDescent="0.25">
      <c r="A3153" t="str">
        <f>"20190312172430822"</f>
        <v>20190312172430822</v>
      </c>
      <c r="B3153" t="str">
        <f>"1552382670813014"</f>
        <v>1552382670813014</v>
      </c>
      <c r="C3153" t="s">
        <v>40</v>
      </c>
      <c r="D3153">
        <v>4.0573739999999896</v>
      </c>
      <c r="E3153">
        <v>0.47629329999999998</v>
      </c>
      <c r="F3153" t="s">
        <v>47</v>
      </c>
      <c r="G3153">
        <v>-450.245</v>
      </c>
      <c r="H3153" s="1">
        <v>-1.40798E-6</v>
      </c>
      <c r="I3153">
        <v>214.65180000000001</v>
      </c>
      <c r="J3153">
        <v>-464.56990000000002</v>
      </c>
      <c r="K3153">
        <v>1.1097969999999999</v>
      </c>
      <c r="L3153">
        <v>215.13030000000001</v>
      </c>
      <c r="M3153">
        <v>0.98804130000000001</v>
      </c>
      <c r="N3153">
        <v>0</v>
      </c>
      <c r="O3153">
        <v>-0.15417539999999999</v>
      </c>
      <c r="P3153">
        <v>0.98138099999999995</v>
      </c>
      <c r="Q3153">
        <v>0.15688669999999999</v>
      </c>
      <c r="R3153">
        <v>-0.1108064</v>
      </c>
      <c r="S3153">
        <v>3.0829469999999999</v>
      </c>
      <c r="T3153">
        <v>-0.23647180000000001</v>
      </c>
      <c r="U3153">
        <v>-0.10636900000000001</v>
      </c>
      <c r="V3153">
        <v>-4.208369E-2</v>
      </c>
      <c r="W3153">
        <v>0.1588928</v>
      </c>
      <c r="X3153">
        <v>0.98639849999999996</v>
      </c>
      <c r="Y3153">
        <v>-0.11921619999999999</v>
      </c>
      <c r="Z3153">
        <v>1.6325630000000001E-2</v>
      </c>
      <c r="AA3153">
        <v>0.99273409999999995</v>
      </c>
      <c r="AB3153">
        <v>14</v>
      </c>
      <c r="AC3153">
        <v>14.3249</v>
      </c>
      <c r="AD3153">
        <v>-1.1097984079799901</v>
      </c>
      <c r="AE3153">
        <v>-0.47849999999999598</v>
      </c>
      <c r="AF3153">
        <v>-1.7254284940422</v>
      </c>
      <c r="AG3153">
        <v>-1.1097984079799901</v>
      </c>
      <c r="AH3153">
        <v>14.1426055189912</v>
      </c>
      <c r="AI3153">
        <v>94.454027772094094</v>
      </c>
      <c r="AJ3153">
        <v>96.955833644988601</v>
      </c>
      <c r="AK3153">
        <v>14.2906279379251</v>
      </c>
      <c r="AL3153">
        <v>80.857363587974902</v>
      </c>
      <c r="AM3153">
        <v>92.442984696653497</v>
      </c>
      <c r="AN3153">
        <v>0.99999997982905198</v>
      </c>
    </row>
    <row r="3154" spans="1:40" x14ac:dyDescent="0.25">
      <c r="A3154" t="str">
        <f>"20190312172430845"</f>
        <v>20190312172430845</v>
      </c>
      <c r="B3154" t="str">
        <f>"1552382670833514"</f>
        <v>1552382670833514</v>
      </c>
      <c r="C3154" t="s">
        <v>40</v>
      </c>
      <c r="D3154">
        <v>4.0606809999999998</v>
      </c>
      <c r="E3154">
        <v>0.4763579</v>
      </c>
      <c r="F3154" t="s">
        <v>47</v>
      </c>
      <c r="G3154">
        <v>-450.06689999999998</v>
      </c>
      <c r="H3154" s="1">
        <v>-1.5028029999999999E-6</v>
      </c>
      <c r="I3154">
        <v>214.65350000000001</v>
      </c>
      <c r="J3154">
        <v>-464.42680000000001</v>
      </c>
      <c r="K3154">
        <v>1.1098049999999999</v>
      </c>
      <c r="L3154">
        <v>215.10990000000001</v>
      </c>
      <c r="M3154">
        <v>0.98831139999999995</v>
      </c>
      <c r="N3154">
        <v>0</v>
      </c>
      <c r="O3154">
        <v>-0.1524374</v>
      </c>
      <c r="P3154">
        <v>0.98141619999999996</v>
      </c>
      <c r="Q3154">
        <v>0.15771479999999999</v>
      </c>
      <c r="R3154">
        <v>-0.1093095</v>
      </c>
      <c r="S3154">
        <v>3.0831909999999998</v>
      </c>
      <c r="T3154">
        <v>-0.23593239999999999</v>
      </c>
      <c r="U3154">
        <v>-0.1013641</v>
      </c>
      <c r="V3154">
        <v>-4.1849789999999998E-2</v>
      </c>
      <c r="W3154">
        <v>0.15953110000000001</v>
      </c>
      <c r="X3154">
        <v>0.9863054</v>
      </c>
      <c r="Y3154">
        <v>-0.1190914</v>
      </c>
      <c r="Z3154">
        <v>1.6151849999999999E-2</v>
      </c>
      <c r="AA3154">
        <v>0.99275190000000002</v>
      </c>
      <c r="AB3154">
        <v>14</v>
      </c>
      <c r="AC3154">
        <v>14.3599</v>
      </c>
      <c r="AD3154">
        <v>-1.109806502803</v>
      </c>
      <c r="AE3154">
        <v>-0.45640000000000203</v>
      </c>
      <c r="AF3154">
        <v>-1.7276148545797401</v>
      </c>
      <c r="AG3154">
        <v>-1.109806502803</v>
      </c>
      <c r="AH3154">
        <v>14.177055717360901</v>
      </c>
      <c r="AI3154">
        <v>94.443355805176097</v>
      </c>
      <c r="AJ3154">
        <v>96.947802908440096</v>
      </c>
      <c r="AK3154">
        <v>14.324986295720599</v>
      </c>
      <c r="AL3154">
        <v>80.820318978712507</v>
      </c>
      <c r="AM3154">
        <v>92.429652013327399</v>
      </c>
      <c r="AN3154">
        <v>0.99999995942970599</v>
      </c>
    </row>
    <row r="3155" spans="1:40" x14ac:dyDescent="0.25">
      <c r="A3155" t="str">
        <f>"20190312172430867"</f>
        <v>20190312172430867</v>
      </c>
      <c r="B3155" t="str">
        <f>"1552382670862790"</f>
        <v>1552382670862790</v>
      </c>
      <c r="C3155" t="s">
        <v>40</v>
      </c>
      <c r="D3155">
        <v>4.0495669999999997</v>
      </c>
      <c r="E3155">
        <v>0.47653669999999998</v>
      </c>
      <c r="F3155" t="s">
        <v>47</v>
      </c>
      <c r="G3155">
        <v>-449.78230000000002</v>
      </c>
      <c r="H3155" s="1">
        <v>3.667367E-6</v>
      </c>
      <c r="I3155">
        <v>214.6507</v>
      </c>
      <c r="J3155">
        <v>-464.28269999999998</v>
      </c>
      <c r="K3155">
        <v>1.10981</v>
      </c>
      <c r="L3155">
        <v>215.08969999999999</v>
      </c>
      <c r="M3155">
        <v>0.98858460000000004</v>
      </c>
      <c r="N3155">
        <v>0</v>
      </c>
      <c r="O3155">
        <v>-0.15065780000000001</v>
      </c>
      <c r="P3155">
        <v>0.98154319999999895</v>
      </c>
      <c r="Q3155">
        <v>0.1582083</v>
      </c>
      <c r="R3155">
        <v>-0.1074397</v>
      </c>
      <c r="S3155">
        <v>3.0835880000000002</v>
      </c>
      <c r="T3155">
        <v>-0.23368330000000001</v>
      </c>
      <c r="U3155">
        <v>-9.6694950000000002E-2</v>
      </c>
      <c r="V3155">
        <v>-4.1956359999999998E-2</v>
      </c>
      <c r="W3155">
        <v>0.1598347</v>
      </c>
      <c r="X3155">
        <v>0.98625180000000001</v>
      </c>
      <c r="Y3155">
        <v>-0.11883059999999999</v>
      </c>
      <c r="Z3155">
        <v>1.5853820000000001E-2</v>
      </c>
      <c r="AA3155">
        <v>0.992788</v>
      </c>
      <c r="AB3155">
        <v>14</v>
      </c>
      <c r="AC3155">
        <v>14.5003999999999</v>
      </c>
      <c r="AD3155">
        <v>-1.1098063326330001</v>
      </c>
      <c r="AE3155">
        <v>-0.43899999999999201</v>
      </c>
      <c r="AF3155">
        <v>-1.74042636995004</v>
      </c>
      <c r="AG3155">
        <v>-1.1098063326330001</v>
      </c>
      <c r="AH3155">
        <v>14.3172397586315</v>
      </c>
      <c r="AI3155">
        <v>94.4001775178305</v>
      </c>
      <c r="AJ3155">
        <v>96.930959219334994</v>
      </c>
      <c r="AK3155">
        <v>14.465272494886101</v>
      </c>
      <c r="AL3155">
        <v>80.802698621203803</v>
      </c>
      <c r="AM3155">
        <v>92.435963872032801</v>
      </c>
      <c r="AN3155">
        <v>1.00000004023588</v>
      </c>
    </row>
    <row r="3156" spans="1:40" x14ac:dyDescent="0.25">
      <c r="A3156" t="str">
        <f>"20190312172430888"</f>
        <v>20190312172430888</v>
      </c>
      <c r="B3156" t="str">
        <f>"1552382670883286"</f>
        <v>1552382670883286</v>
      </c>
      <c r="C3156" t="s">
        <v>40</v>
      </c>
      <c r="D3156">
        <v>4.0406849999999999</v>
      </c>
      <c r="E3156">
        <v>0.4766629</v>
      </c>
      <c r="F3156" t="s">
        <v>47</v>
      </c>
      <c r="G3156">
        <v>-449.59010000000001</v>
      </c>
      <c r="H3156" s="1">
        <v>3.5650280000000001E-6</v>
      </c>
      <c r="I3156">
        <v>214.6516</v>
      </c>
      <c r="J3156">
        <v>-464.14330000000001</v>
      </c>
      <c r="K3156">
        <v>1.109812</v>
      </c>
      <c r="L3156">
        <v>215.07050000000001</v>
      </c>
      <c r="M3156">
        <v>0.98884890000000003</v>
      </c>
      <c r="N3156">
        <v>0</v>
      </c>
      <c r="O3156">
        <v>-0.14891559999999901</v>
      </c>
      <c r="P3156">
        <v>0.98157859999999997</v>
      </c>
      <c r="Q3156">
        <v>0.1589006</v>
      </c>
      <c r="R3156">
        <v>-0.10608629999999999</v>
      </c>
      <c r="S3156">
        <v>3.0838930000000002</v>
      </c>
      <c r="T3156">
        <v>-0.23294190000000001</v>
      </c>
      <c r="U3156">
        <v>-9.196472E-2</v>
      </c>
      <c r="V3156">
        <v>-4.1574729999999997E-2</v>
      </c>
      <c r="W3156">
        <v>0.16034870000000001</v>
      </c>
      <c r="X3156">
        <v>0.98618450000000002</v>
      </c>
      <c r="Y3156">
        <v>-0.118616</v>
      </c>
      <c r="Z3156">
        <v>1.5664600000000001E-2</v>
      </c>
      <c r="AA3156">
        <v>0.99281660000000005</v>
      </c>
      <c r="AB3156">
        <v>15</v>
      </c>
      <c r="AC3156">
        <v>14.5532</v>
      </c>
      <c r="AD3156">
        <v>-1.1098084349719901</v>
      </c>
      <c r="AE3156">
        <v>-0.41890000000000699</v>
      </c>
      <c r="AF3156">
        <v>-1.7428445211664101</v>
      </c>
      <c r="AG3156">
        <v>-1.1098084349719901</v>
      </c>
      <c r="AH3156">
        <v>14.3698140554992</v>
      </c>
      <c r="AI3156">
        <v>94.384294381818606</v>
      </c>
      <c r="AJ3156">
        <v>96.915348647510299</v>
      </c>
      <c r="AK3156">
        <v>14.517600964929301</v>
      </c>
      <c r="AL3156">
        <v>80.772863559575896</v>
      </c>
      <c r="AM3156">
        <v>92.413997498146898</v>
      </c>
      <c r="AN3156">
        <v>1.0000000159032501</v>
      </c>
    </row>
    <row r="3157" spans="1:40" x14ac:dyDescent="0.25">
      <c r="A3157" t="str">
        <f>"20190312172430910"</f>
        <v>20190312172430910</v>
      </c>
      <c r="B3157" t="str">
        <f>"1552382670903782"</f>
        <v>1552382670903782</v>
      </c>
      <c r="C3157" t="s">
        <v>40</v>
      </c>
      <c r="D3157">
        <v>4.0191809999999997</v>
      </c>
      <c r="E3157">
        <v>0.47676079999999998</v>
      </c>
      <c r="F3157" t="s">
        <v>47</v>
      </c>
      <c r="G3157">
        <v>-449.35759999999999</v>
      </c>
      <c r="H3157" s="1">
        <v>3.4416639999999999E-6</v>
      </c>
      <c r="I3157">
        <v>214.6438</v>
      </c>
      <c r="J3157">
        <v>-463.99239999999998</v>
      </c>
      <c r="K3157">
        <v>1.109807</v>
      </c>
      <c r="L3157">
        <v>215.04990000000001</v>
      </c>
      <c r="M3157">
        <v>0.98913320000000005</v>
      </c>
      <c r="N3157">
        <v>0</v>
      </c>
      <c r="O3157">
        <v>-0.14701629999999999</v>
      </c>
      <c r="P3157">
        <v>0.98166889999999996</v>
      </c>
      <c r="Q3157">
        <v>0.15952669999999999</v>
      </c>
      <c r="R3157">
        <v>-0.1042956</v>
      </c>
      <c r="S3157">
        <v>3.0841059999999998</v>
      </c>
      <c r="T3157">
        <v>-0.23149230000000001</v>
      </c>
      <c r="U3157">
        <v>-8.9004520000000004E-2</v>
      </c>
      <c r="V3157">
        <v>-4.1476270000000003E-2</v>
      </c>
      <c r="W3157">
        <v>0.160788299999999</v>
      </c>
      <c r="X3157">
        <v>0.98611709999999997</v>
      </c>
      <c r="Y3157">
        <v>-0.1176807</v>
      </c>
      <c r="Z3157">
        <v>1.539071E-2</v>
      </c>
      <c r="AA3157">
        <v>0.99293220000000004</v>
      </c>
      <c r="AB3157">
        <v>15</v>
      </c>
      <c r="AC3157">
        <v>14.634799999999901</v>
      </c>
      <c r="AD3157">
        <v>-1.109803558336</v>
      </c>
      <c r="AE3157">
        <v>-0.40610000000000901</v>
      </c>
      <c r="AF3157">
        <v>-1.7398709299815101</v>
      </c>
      <c r="AG3157">
        <v>-1.109803558336</v>
      </c>
      <c r="AH3157">
        <v>14.4524351008896</v>
      </c>
      <c r="AI3157">
        <v>94.359773273667301</v>
      </c>
      <c r="AJ3157">
        <v>96.864574939539295</v>
      </c>
      <c r="AK3157">
        <v>14.5990306231789</v>
      </c>
      <c r="AL3157">
        <v>80.747345514046998</v>
      </c>
      <c r="AM3157">
        <v>92.408451660188405</v>
      </c>
      <c r="AN3157">
        <v>1.0000000466512</v>
      </c>
    </row>
    <row r="3158" spans="1:40" x14ac:dyDescent="0.25">
      <c r="A3158" t="str">
        <f>"20190312172430935"</f>
        <v>20190312172430935</v>
      </c>
      <c r="B3158" t="str">
        <f>"1552382670923302"</f>
        <v>1552382670923302</v>
      </c>
      <c r="C3158" t="s">
        <v>40</v>
      </c>
      <c r="D3158">
        <v>4.0356389999999998</v>
      </c>
      <c r="E3158">
        <v>0.47687469999999998</v>
      </c>
      <c r="F3158" t="s">
        <v>47</v>
      </c>
      <c r="G3158">
        <v>-449.10739999999998</v>
      </c>
      <c r="H3158" s="1">
        <v>3.308469E-6</v>
      </c>
      <c r="I3158">
        <v>214.64429999999999</v>
      </c>
      <c r="J3158">
        <v>-463.83139999999997</v>
      </c>
      <c r="K3158">
        <v>1.1097950000000001</v>
      </c>
      <c r="L3158">
        <v>215.0283</v>
      </c>
      <c r="M3158">
        <v>0.98943369999999997</v>
      </c>
      <c r="N3158">
        <v>0</v>
      </c>
      <c r="O3158">
        <v>-0.14498129999999901</v>
      </c>
      <c r="P3158">
        <v>0.98195140000000003</v>
      </c>
      <c r="Q3158">
        <v>0.1590579</v>
      </c>
      <c r="R3158">
        <v>-0.1023348</v>
      </c>
      <c r="S3158">
        <v>3.0845030000000002</v>
      </c>
      <c r="T3158">
        <v>-0.22997490000000001</v>
      </c>
      <c r="U3158">
        <v>-8.4045410000000001E-2</v>
      </c>
      <c r="V3158">
        <v>-4.1435630000000001E-2</v>
      </c>
      <c r="W3158">
        <v>0.16012750000000001</v>
      </c>
      <c r="X3158">
        <v>0.9862263</v>
      </c>
      <c r="Y3158">
        <v>-0.11725339999999999</v>
      </c>
      <c r="Z3158">
        <v>1.5122790000000001E-2</v>
      </c>
      <c r="AA3158">
        <v>0.99298690000000001</v>
      </c>
      <c r="AB3158">
        <v>15</v>
      </c>
      <c r="AC3158">
        <v>14.723999999999901</v>
      </c>
      <c r="AD3158">
        <v>-1.109791691531</v>
      </c>
      <c r="AE3158">
        <v>-0.384000000000014</v>
      </c>
      <c r="AF3158">
        <v>-1.74485738140047</v>
      </c>
      <c r="AG3158">
        <v>-1.109791691531</v>
      </c>
      <c r="AH3158">
        <v>14.541549047514099</v>
      </c>
      <c r="AI3158">
        <v>94.333313432691199</v>
      </c>
      <c r="AJ3158">
        <v>96.842274274397298</v>
      </c>
      <c r="AK3158">
        <v>14.68784577742</v>
      </c>
      <c r="AL3158">
        <v>80.785703345571704</v>
      </c>
      <c r="AM3158">
        <v>92.4058284420733</v>
      </c>
      <c r="AN3158">
        <v>1.0000000212507101</v>
      </c>
    </row>
    <row r="3159" spans="1:40" x14ac:dyDescent="0.25">
      <c r="A3159" t="str">
        <f>"20190312172430957"</f>
        <v>20190312172430957</v>
      </c>
      <c r="B3159" t="str">
        <f>"1552382670953559"</f>
        <v>1552382670953559</v>
      </c>
      <c r="C3159" t="s">
        <v>40</v>
      </c>
      <c r="D3159">
        <v>4.059291</v>
      </c>
      <c r="E3159">
        <v>0.48089559999999998</v>
      </c>
      <c r="F3159" t="s">
        <v>47</v>
      </c>
      <c r="G3159">
        <v>-449.07249999999999</v>
      </c>
      <c r="H3159" s="1">
        <v>3.2895940000000001E-6</v>
      </c>
      <c r="I3159">
        <v>214.65170000000001</v>
      </c>
      <c r="J3159">
        <v>-463.67219999999998</v>
      </c>
      <c r="K3159">
        <v>1.10978</v>
      </c>
      <c r="L3159">
        <v>215.00729999999999</v>
      </c>
      <c r="M3159">
        <v>0.9897262</v>
      </c>
      <c r="N3159">
        <v>0</v>
      </c>
      <c r="O3159">
        <v>-0.14297290000000001</v>
      </c>
      <c r="P3159">
        <v>0.98222359999999997</v>
      </c>
      <c r="Q3159">
        <v>0.15882470000000001</v>
      </c>
      <c r="R3159">
        <v>-0.1000586</v>
      </c>
      <c r="S3159">
        <v>3.0845030000000002</v>
      </c>
      <c r="T3159">
        <v>-0.23193910000000001</v>
      </c>
      <c r="U3159">
        <v>-7.8704830000000003E-2</v>
      </c>
      <c r="V3159">
        <v>-4.173052E-2</v>
      </c>
      <c r="W3159">
        <v>0.1597114</v>
      </c>
      <c r="X3159">
        <v>0.98628130000000003</v>
      </c>
      <c r="Y3159">
        <v>-0.11695</v>
      </c>
      <c r="Z3159">
        <v>1.5091429999999999E-2</v>
      </c>
      <c r="AA3159">
        <v>0.99302319999999999</v>
      </c>
      <c r="AB3159">
        <v>15</v>
      </c>
      <c r="AC3159">
        <v>14.599699999999901</v>
      </c>
      <c r="AD3159">
        <v>-1.1097767104059999</v>
      </c>
      <c r="AE3159">
        <v>-0.35559999999998099</v>
      </c>
      <c r="AF3159">
        <v>-1.72545162277009</v>
      </c>
      <c r="AG3159">
        <v>-1.1097767104059999</v>
      </c>
      <c r="AH3159">
        <v>14.4172976874905</v>
      </c>
      <c r="AI3159">
        <v>94.370616420964694</v>
      </c>
      <c r="AJ3159">
        <v>96.8246569592105</v>
      </c>
      <c r="AK3159">
        <v>14.562529322174701</v>
      </c>
      <c r="AL3159">
        <v>80.8098546140493</v>
      </c>
      <c r="AM3159">
        <v>92.422795007710405</v>
      </c>
      <c r="AN3159">
        <v>0.99999998515956001</v>
      </c>
    </row>
    <row r="3160" spans="1:40" x14ac:dyDescent="0.25">
      <c r="A3160" t="str">
        <f>"20190312172430980"</f>
        <v>20190312172430980</v>
      </c>
      <c r="B3160" t="str">
        <f>"1552382670973081"</f>
        <v>1552382670973081</v>
      </c>
      <c r="C3160" t="s">
        <v>40</v>
      </c>
      <c r="D3160">
        <v>4.0593079999999997</v>
      </c>
      <c r="E3160">
        <v>0.48071320000000001</v>
      </c>
      <c r="F3160" t="s">
        <v>47</v>
      </c>
      <c r="G3160">
        <v>-449.87099999999998</v>
      </c>
      <c r="H3160" s="1">
        <v>3.719264E-6</v>
      </c>
      <c r="I3160">
        <v>214.5437</v>
      </c>
      <c r="J3160">
        <v>-463.5147</v>
      </c>
      <c r="K3160">
        <v>1.109756</v>
      </c>
      <c r="L3160">
        <v>214.98679999999999</v>
      </c>
      <c r="M3160">
        <v>0.99001059999999996</v>
      </c>
      <c r="N3160">
        <v>0</v>
      </c>
      <c r="O3160">
        <v>-0.1409907</v>
      </c>
      <c r="P3160">
        <v>0.98242030000000002</v>
      </c>
      <c r="Q3160">
        <v>0.1588822</v>
      </c>
      <c r="R3160">
        <v>-9.8015740000000004E-2</v>
      </c>
      <c r="S3160">
        <v>3.0838009999999998</v>
      </c>
      <c r="T3160">
        <v>-0.24797330000000001</v>
      </c>
      <c r="U3160">
        <v>-0.103607199999999</v>
      </c>
      <c r="V3160">
        <v>-4.1811260000000003E-2</v>
      </c>
      <c r="W3160">
        <v>0.15959660000000001</v>
      </c>
      <c r="X3160">
        <v>0.98629650000000002</v>
      </c>
      <c r="Y3160">
        <v>-0.1068725</v>
      </c>
      <c r="Z3160">
        <v>1.556948E-2</v>
      </c>
      <c r="AA3160">
        <v>0.9941508</v>
      </c>
      <c r="AB3160">
        <v>15</v>
      </c>
      <c r="AC3160">
        <v>13.643700000000001</v>
      </c>
      <c r="AD3160">
        <v>-1.1097522807359901</v>
      </c>
      <c r="AE3160">
        <v>-0.44309999999998601</v>
      </c>
      <c r="AF3160">
        <v>-1.475212041632</v>
      </c>
      <c r="AG3160">
        <v>-1.1097522807359901</v>
      </c>
      <c r="AH3160">
        <v>13.4807915457317</v>
      </c>
      <c r="AI3160">
        <v>94.678231987616201</v>
      </c>
      <c r="AJ3160">
        <v>96.245066238804398</v>
      </c>
      <c r="AK3160">
        <v>13.6065991853896</v>
      </c>
      <c r="AL3160">
        <v>80.816517968474898</v>
      </c>
      <c r="AM3160">
        <v>92.427439651643297</v>
      </c>
      <c r="AN3160">
        <v>1.00000002105329</v>
      </c>
    </row>
    <row r="3161" spans="1:40" x14ac:dyDescent="0.25">
      <c r="A3161" t="str">
        <f>"20190312172431004"</f>
        <v>20190312172431004</v>
      </c>
      <c r="B3161" t="str">
        <f>"1552382670993574"</f>
        <v>1552382670993574</v>
      </c>
      <c r="C3161" t="s">
        <v>40</v>
      </c>
      <c r="D3161">
        <v>4.1141959999999997</v>
      </c>
      <c r="E3161">
        <v>0.48037170000000001</v>
      </c>
      <c r="F3161" t="s">
        <v>47</v>
      </c>
      <c r="G3161">
        <v>-449.84719999999999</v>
      </c>
      <c r="H3161" s="1">
        <v>3.7056379999999999E-6</v>
      </c>
      <c r="I3161">
        <v>214.56530000000001</v>
      </c>
      <c r="J3161">
        <v>-463.34739999999999</v>
      </c>
      <c r="K3161">
        <v>1.109737</v>
      </c>
      <c r="L3161">
        <v>214.96549999999999</v>
      </c>
      <c r="M3161">
        <v>0.99030700000000005</v>
      </c>
      <c r="N3161">
        <v>0</v>
      </c>
      <c r="O3161">
        <v>-0.13889409999999999</v>
      </c>
      <c r="P3161">
        <v>0.98271200000000003</v>
      </c>
      <c r="Q3161">
        <v>0.15835299999999999</v>
      </c>
      <c r="R3161">
        <v>-9.5923330000000001E-2</v>
      </c>
      <c r="S3161">
        <v>3.0847169999999999</v>
      </c>
      <c r="T3161">
        <v>-0.25046800000000002</v>
      </c>
      <c r="U3161">
        <v>-9.5138550000000002E-2</v>
      </c>
      <c r="V3161">
        <v>-4.183912E-2</v>
      </c>
      <c r="W3161">
        <v>0.15889229999999999</v>
      </c>
      <c r="X3161">
        <v>0.98640899999999998</v>
      </c>
      <c r="Y3161">
        <v>-0.10749259999999999</v>
      </c>
      <c r="Z3161">
        <v>1.557886E-2</v>
      </c>
      <c r="AA3161">
        <v>0.99408379999999996</v>
      </c>
      <c r="AB3161">
        <v>16</v>
      </c>
      <c r="AC3161">
        <v>13.5002</v>
      </c>
      <c r="AD3161">
        <v>-1.109733294362</v>
      </c>
      <c r="AE3161">
        <v>-0.40019999999998301</v>
      </c>
      <c r="AF3161">
        <v>-1.46886117128545</v>
      </c>
      <c r="AG3161">
        <v>-1.109733294362</v>
      </c>
      <c r="AH3161">
        <v>13.3349057169729</v>
      </c>
      <c r="AI3161">
        <v>94.728732932406601</v>
      </c>
      <c r="AJ3161">
        <v>96.285880419403696</v>
      </c>
      <c r="AK3161">
        <v>13.461380746627899</v>
      </c>
      <c r="AL3161">
        <v>80.857392745504697</v>
      </c>
      <c r="AM3161">
        <v>92.428778483026804</v>
      </c>
      <c r="AN3161">
        <v>0.99999999512133197</v>
      </c>
    </row>
    <row r="3162" spans="1:40" x14ac:dyDescent="0.25">
      <c r="A3162" t="str">
        <f>"20190312172431024"</f>
        <v>20190312172431024</v>
      </c>
      <c r="B3162" t="str">
        <f>"1552382671013095"</f>
        <v>1552382671013095</v>
      </c>
      <c r="C3162" t="s">
        <v>40</v>
      </c>
      <c r="D3162">
        <v>4.0617760000000001</v>
      </c>
      <c r="E3162">
        <v>0.48055870000000001</v>
      </c>
      <c r="F3162" t="s">
        <v>47</v>
      </c>
      <c r="G3162">
        <v>-449.71539999999999</v>
      </c>
      <c r="H3162" s="1">
        <v>3.6345920000000001E-6</v>
      </c>
      <c r="I3162">
        <v>214.5856</v>
      </c>
      <c r="J3162">
        <v>-463.2002</v>
      </c>
      <c r="K3162">
        <v>1.1097220000000001</v>
      </c>
      <c r="L3162">
        <v>214.9469</v>
      </c>
      <c r="M3162">
        <v>0.99056330000000004</v>
      </c>
      <c r="N3162">
        <v>0</v>
      </c>
      <c r="O3162">
        <v>-0.1370557</v>
      </c>
      <c r="P3162">
        <v>0.98302350000000005</v>
      </c>
      <c r="Q3162">
        <v>0.1575365</v>
      </c>
      <c r="R3162">
        <v>-9.4060669999999999E-2</v>
      </c>
      <c r="S3162">
        <v>3.0849000000000002</v>
      </c>
      <c r="T3162">
        <v>-0.25112950000000001</v>
      </c>
      <c r="U3162">
        <v>-8.5968020000000006E-2</v>
      </c>
      <c r="V3162">
        <v>-4.1898820000000003E-2</v>
      </c>
      <c r="W3162">
        <v>0.15792900000000001</v>
      </c>
      <c r="X3162">
        <v>0.98656120000000003</v>
      </c>
      <c r="Y3162">
        <v>-0.1085998</v>
      </c>
      <c r="Z3162">
        <v>1.5517029999999999E-2</v>
      </c>
      <c r="AA3162">
        <v>0.99396439999999997</v>
      </c>
      <c r="AB3162">
        <v>16</v>
      </c>
      <c r="AC3162">
        <v>13.4848</v>
      </c>
      <c r="AD3162">
        <v>-1.1097183654079901</v>
      </c>
      <c r="AE3162">
        <v>-0.36130000000000001</v>
      </c>
      <c r="AF3162">
        <v>-1.4802606597447701</v>
      </c>
      <c r="AG3162">
        <v>-1.1097183654079901</v>
      </c>
      <c r="AH3162">
        <v>13.3169450523015</v>
      </c>
      <c r="AI3162">
        <v>94.734500633640394</v>
      </c>
      <c r="AJ3162">
        <v>96.342742152933397</v>
      </c>
      <c r="AK3162">
        <v>13.4448381171857</v>
      </c>
      <c r="AL3162">
        <v>80.913292007703902</v>
      </c>
      <c r="AM3162">
        <v>92.431865155047007</v>
      </c>
      <c r="AN3162">
        <v>1.0000000407519101</v>
      </c>
    </row>
    <row r="3163" spans="1:40" x14ac:dyDescent="0.25">
      <c r="A3163" t="str">
        <f>"20190312172431047"</f>
        <v>20190312172431047</v>
      </c>
      <c r="B3163" t="str">
        <f>"1552382671043350"</f>
        <v>1552382671043350</v>
      </c>
      <c r="C3163" t="s">
        <v>40</v>
      </c>
      <c r="D3163">
        <v>4.0776110000000001</v>
      </c>
      <c r="E3163">
        <v>0.48095019999999999</v>
      </c>
      <c r="F3163" t="s">
        <v>47</v>
      </c>
      <c r="G3163">
        <v>-449.69850000000002</v>
      </c>
      <c r="H3163" s="1">
        <v>3.6253729999999999E-6</v>
      </c>
      <c r="I3163">
        <v>214.5915</v>
      </c>
      <c r="J3163">
        <v>-463.03489999999999</v>
      </c>
      <c r="K3163">
        <v>1.1097060000000001</v>
      </c>
      <c r="L3163">
        <v>214.9264</v>
      </c>
      <c r="M3163">
        <v>0.9908458</v>
      </c>
      <c r="N3163">
        <v>0</v>
      </c>
      <c r="O3163">
        <v>-0.13499890000000001</v>
      </c>
      <c r="P3163">
        <v>0.98333760000000003</v>
      </c>
      <c r="Q3163">
        <v>0.1566092</v>
      </c>
      <c r="R3163">
        <v>-9.2308970000000004E-2</v>
      </c>
      <c r="S3163">
        <v>3.084625</v>
      </c>
      <c r="T3163">
        <v>-0.25352970000000002</v>
      </c>
      <c r="U3163">
        <v>-8.1207280000000007E-2</v>
      </c>
      <c r="V3163">
        <v>-4.1632309999999999E-2</v>
      </c>
      <c r="W3163">
        <v>0.1568455</v>
      </c>
      <c r="X3163">
        <v>0.98674530000000005</v>
      </c>
      <c r="Y3163">
        <v>-0.1080595</v>
      </c>
      <c r="Z3163">
        <v>1.5477289999999999E-2</v>
      </c>
      <c r="AA3163">
        <v>0.99402389999999996</v>
      </c>
      <c r="AB3163">
        <v>16</v>
      </c>
      <c r="AC3163">
        <v>13.3363999999999</v>
      </c>
      <c r="AD3163">
        <v>-1.1097023746269901</v>
      </c>
      <c r="AE3163">
        <v>-0.33490000000000397</v>
      </c>
      <c r="AF3163">
        <v>-1.45847338460939</v>
      </c>
      <c r="AG3163">
        <v>-1.1097023746269901</v>
      </c>
      <c r="AH3163">
        <v>13.168410227397301</v>
      </c>
      <c r="AI3163">
        <v>94.787797825259503</v>
      </c>
      <c r="AJ3163">
        <v>96.320062382340396</v>
      </c>
      <c r="AK3163">
        <v>13.2953229329298</v>
      </c>
      <c r="AL3163">
        <v>80.976155298857705</v>
      </c>
      <c r="AM3163">
        <v>92.415964639062906</v>
      </c>
      <c r="AN3163">
        <v>1.00000002358913</v>
      </c>
    </row>
    <row r="3164" spans="1:40" x14ac:dyDescent="0.25">
      <c r="A3164" t="str">
        <f>"20190312172431066"</f>
        <v>20190312172431066</v>
      </c>
      <c r="B3164" t="str">
        <f>"1552382671062871"</f>
        <v>1552382671062871</v>
      </c>
      <c r="C3164" t="s">
        <v>40</v>
      </c>
      <c r="D3164">
        <v>4.0382980000000002</v>
      </c>
      <c r="E3164">
        <v>0.4812514</v>
      </c>
      <c r="F3164" t="s">
        <v>47</v>
      </c>
      <c r="G3164">
        <v>-449.74700000000001</v>
      </c>
      <c r="H3164" s="1">
        <v>3.6514069999999999E-6</v>
      </c>
      <c r="I3164">
        <v>214.5856</v>
      </c>
      <c r="J3164">
        <v>-462.88760000000002</v>
      </c>
      <c r="K3164">
        <v>1.1096980000000001</v>
      </c>
      <c r="L3164">
        <v>214.9084</v>
      </c>
      <c r="M3164">
        <v>0.99109290000000005</v>
      </c>
      <c r="N3164">
        <v>0</v>
      </c>
      <c r="O3164">
        <v>-0.13317209999999999</v>
      </c>
      <c r="P3164">
        <v>0.98349209999999998</v>
      </c>
      <c r="Q3164">
        <v>0.1565407</v>
      </c>
      <c r="R3164">
        <v>-9.0765600000000002E-2</v>
      </c>
      <c r="S3164">
        <v>3.0844119999999999</v>
      </c>
      <c r="T3164">
        <v>-0.2575865</v>
      </c>
      <c r="U3164">
        <v>-7.9101560000000001E-2</v>
      </c>
      <c r="V3164">
        <v>-4.1368750000000003E-2</v>
      </c>
      <c r="W3164">
        <v>0.156643</v>
      </c>
      <c r="X3164">
        <v>0.98678849999999996</v>
      </c>
      <c r="Y3164">
        <v>-0.1068872</v>
      </c>
      <c r="Z3164">
        <v>1.5525489999999999E-2</v>
      </c>
      <c r="AA3164">
        <v>0.99414990000000003</v>
      </c>
      <c r="AB3164">
        <v>17</v>
      </c>
      <c r="AC3164">
        <v>13.140599999999999</v>
      </c>
      <c r="AD3164">
        <v>-1.10969434859299</v>
      </c>
      <c r="AE3164">
        <v>-0.32279999999999998</v>
      </c>
      <c r="AF3164">
        <v>-1.41991662570493</v>
      </c>
      <c r="AG3164">
        <v>-1.10969434859299</v>
      </c>
      <c r="AH3164">
        <v>12.9740758195748</v>
      </c>
      <c r="AI3164">
        <v>94.859827508743507</v>
      </c>
      <c r="AJ3164">
        <v>96.245741881820194</v>
      </c>
      <c r="AK3164">
        <v>13.098634590801</v>
      </c>
      <c r="AL3164">
        <v>80.987902446716703</v>
      </c>
      <c r="AM3164">
        <v>92.4005829645657</v>
      </c>
      <c r="AN3164">
        <v>0.999999973328905</v>
      </c>
    </row>
    <row r="3165" spans="1:40" x14ac:dyDescent="0.25">
      <c r="A3165" t="str">
        <f>"20190312172431089"</f>
        <v>20190312172431089</v>
      </c>
      <c r="B3165" t="str">
        <f>"1552382671083366"</f>
        <v>1552382671083366</v>
      </c>
      <c r="C3165" t="s">
        <v>40</v>
      </c>
      <c r="D3165">
        <v>4.0748810000000004</v>
      </c>
      <c r="E3165">
        <v>0.48152129999999999</v>
      </c>
      <c r="F3165" t="s">
        <v>47</v>
      </c>
      <c r="G3165">
        <v>-449.61450000000002</v>
      </c>
      <c r="H3165" s="1">
        <v>3.581166E-6</v>
      </c>
      <c r="I3165">
        <v>214.58</v>
      </c>
      <c r="J3165">
        <v>-462.72019999999998</v>
      </c>
      <c r="K3165">
        <v>1.109691</v>
      </c>
      <c r="L3165">
        <v>214.88829999999999</v>
      </c>
      <c r="M3165">
        <v>0.99136919999999995</v>
      </c>
      <c r="N3165">
        <v>0</v>
      </c>
      <c r="O3165">
        <v>-0.1311003</v>
      </c>
      <c r="P3165">
        <v>0.98348029999999997</v>
      </c>
      <c r="Q3165">
        <v>0.15728800000000001</v>
      </c>
      <c r="R3165">
        <v>-8.9593539999999999E-2</v>
      </c>
      <c r="S3165">
        <v>3.0843509999999998</v>
      </c>
      <c r="T3165">
        <v>-0.2578666</v>
      </c>
      <c r="U3165">
        <v>-7.6324459999999997E-2</v>
      </c>
      <c r="V3165">
        <v>-4.0475499999999998E-2</v>
      </c>
      <c r="W3165">
        <v>0.1572453</v>
      </c>
      <c r="X3165">
        <v>0.98672979999999999</v>
      </c>
      <c r="Y3165">
        <v>-0.1057125</v>
      </c>
      <c r="Z3165">
        <v>1.532236E-2</v>
      </c>
      <c r="AA3165">
        <v>0.99427869999999996</v>
      </c>
      <c r="AB3165">
        <v>17</v>
      </c>
      <c r="AC3165">
        <v>13.105699999999899</v>
      </c>
      <c r="AD3165">
        <v>-1.109687418834</v>
      </c>
      <c r="AE3165">
        <v>-0.30829999999997398</v>
      </c>
      <c r="AF3165">
        <v>-1.40247266895441</v>
      </c>
      <c r="AG3165">
        <v>-1.109687418834</v>
      </c>
      <c r="AH3165">
        <v>12.940282043727001</v>
      </c>
      <c r="AI3165">
        <v>94.872982156687101</v>
      </c>
      <c r="AJ3165">
        <v>96.185594388240503</v>
      </c>
      <c r="AK3165">
        <v>13.063278115614199</v>
      </c>
      <c r="AL3165">
        <v>80.952960639749705</v>
      </c>
      <c r="AM3165">
        <v>92.348946917433807</v>
      </c>
      <c r="AN3165">
        <v>1.0000000243401801</v>
      </c>
    </row>
    <row r="3166" spans="1:40" x14ac:dyDescent="0.25">
      <c r="A3166" t="str">
        <f>"20190312172431112"</f>
        <v>20190312172431112</v>
      </c>
      <c r="B3166" t="str">
        <f>"1552382671102887"</f>
        <v>1552382671102887</v>
      </c>
      <c r="C3166" t="s">
        <v>40</v>
      </c>
      <c r="D3166">
        <v>4.0827249999999999</v>
      </c>
      <c r="E3166">
        <v>0.48178700000000002</v>
      </c>
      <c r="F3166" t="s">
        <v>47</v>
      </c>
      <c r="G3166">
        <v>-449.40859999999998</v>
      </c>
      <c r="H3166" s="1">
        <v>3.472115E-6</v>
      </c>
      <c r="I3166">
        <v>214.5676</v>
      </c>
      <c r="J3166">
        <v>-462.53620000000001</v>
      </c>
      <c r="K3166">
        <v>1.1096870000000001</v>
      </c>
      <c r="L3166">
        <v>214.86660000000001</v>
      </c>
      <c r="M3166">
        <v>0.99166730000000003</v>
      </c>
      <c r="N3166">
        <v>0</v>
      </c>
      <c r="O3166">
        <v>-0.12882650000000001</v>
      </c>
      <c r="P3166">
        <v>0.98353639999999998</v>
      </c>
      <c r="Q3166">
        <v>0.15771180000000001</v>
      </c>
      <c r="R3166">
        <v>-8.8225449999999997E-2</v>
      </c>
      <c r="S3166">
        <v>3.0847169999999999</v>
      </c>
      <c r="T3166">
        <v>-0.25714870000000001</v>
      </c>
      <c r="U3166">
        <v>-7.4325559999999999E-2</v>
      </c>
      <c r="V3166">
        <v>-3.95859E-2</v>
      </c>
      <c r="W3166">
        <v>0.15751560000000001</v>
      </c>
      <c r="X3166">
        <v>0.98672280000000001</v>
      </c>
      <c r="Y3166">
        <v>-0.1040971</v>
      </c>
      <c r="Z3166">
        <v>1.502325E-2</v>
      </c>
      <c r="AA3166">
        <v>0.9944537</v>
      </c>
      <c r="AB3166">
        <v>17</v>
      </c>
      <c r="AC3166">
        <v>13.127599999999999</v>
      </c>
      <c r="AD3166">
        <v>-1.1096835278849999</v>
      </c>
      <c r="AE3166">
        <v>-0.29900000000000598</v>
      </c>
      <c r="AF3166">
        <v>-1.3847842973345701</v>
      </c>
      <c r="AG3166">
        <v>-1.1096835278849999</v>
      </c>
      <c r="AH3166">
        <v>12.964142625185101</v>
      </c>
      <c r="AI3166">
        <v>94.864844794127706</v>
      </c>
      <c r="AJ3166">
        <v>96.097016070723896</v>
      </c>
      <c r="AK3166">
        <v>13.0850303434247</v>
      </c>
      <c r="AL3166">
        <v>80.937278353373202</v>
      </c>
      <c r="AM3166">
        <v>92.2973922710392</v>
      </c>
      <c r="AN3166">
        <v>1.0000000458810001</v>
      </c>
    </row>
    <row r="3167" spans="1:40" x14ac:dyDescent="0.25">
      <c r="A3167" t="str">
        <f>"20190312172431134"</f>
        <v>20190312172431134</v>
      </c>
      <c r="B3167" t="str">
        <f>"1552382671123386"</f>
        <v>1552382671123386</v>
      </c>
      <c r="C3167" t="s">
        <v>40</v>
      </c>
      <c r="D3167">
        <v>4.0845580000000004</v>
      </c>
      <c r="E3167">
        <v>0.48203289999999999</v>
      </c>
      <c r="F3167" t="s">
        <v>47</v>
      </c>
      <c r="G3167">
        <v>-449.15730000000002</v>
      </c>
      <c r="H3167" s="1">
        <v>3.3388609999999999E-6</v>
      </c>
      <c r="I3167">
        <v>214.55690000000001</v>
      </c>
      <c r="J3167">
        <v>-462.37079999999997</v>
      </c>
      <c r="K3167">
        <v>1.109686</v>
      </c>
      <c r="L3167">
        <v>214.84739999999999</v>
      </c>
      <c r="M3167">
        <v>0.99193010000000004</v>
      </c>
      <c r="N3167">
        <v>0</v>
      </c>
      <c r="O3167">
        <v>-0.1267858</v>
      </c>
      <c r="P3167">
        <v>0.98372979999999999</v>
      </c>
      <c r="Q3167">
        <v>0.15725339999999999</v>
      </c>
      <c r="R3167">
        <v>-8.687694E-2</v>
      </c>
      <c r="S3167">
        <v>3.084778</v>
      </c>
      <c r="T3167">
        <v>-0.25585940000000001</v>
      </c>
      <c r="U3167">
        <v>-7.1411130000000003E-2</v>
      </c>
      <c r="V3167">
        <v>-3.8925229999999998E-2</v>
      </c>
      <c r="W3167">
        <v>0.1569265</v>
      </c>
      <c r="X3167">
        <v>0.98684289999999997</v>
      </c>
      <c r="Y3167">
        <v>-0.103009</v>
      </c>
      <c r="Z3167">
        <v>1.4735399999999999E-2</v>
      </c>
      <c r="AA3167">
        <v>0.99457130000000005</v>
      </c>
      <c r="AB3167">
        <v>17</v>
      </c>
      <c r="AC3167">
        <v>13.2134999999999</v>
      </c>
      <c r="AD3167">
        <v>-1.109682661139</v>
      </c>
      <c r="AE3167">
        <v>-0.29049999999998</v>
      </c>
      <c r="AF3167">
        <v>-1.3774185296302099</v>
      </c>
      <c r="AG3167">
        <v>-1.109682661139</v>
      </c>
      <c r="AH3167">
        <v>13.051693324451699</v>
      </c>
      <c r="AI3167">
        <v>94.833009567217204</v>
      </c>
      <c r="AJ3167">
        <v>96.024445293594596</v>
      </c>
      <c r="AK3167">
        <v>13.1710051267828</v>
      </c>
      <c r="AL3167">
        <v>80.971455977127704</v>
      </c>
      <c r="AM3167">
        <v>92.258815290935502</v>
      </c>
      <c r="AN3167">
        <v>1.0000000046066</v>
      </c>
    </row>
    <row r="3168" spans="1:40" x14ac:dyDescent="0.25">
      <c r="A3168" t="str">
        <f>"20190312172431158"</f>
        <v>20190312172431158</v>
      </c>
      <c r="B3168" t="str">
        <f>"1552382671153638"</f>
        <v>1552382671153638</v>
      </c>
      <c r="C3168" t="s">
        <v>40</v>
      </c>
      <c r="D3168">
        <v>4.0809100000000003</v>
      </c>
      <c r="E3168">
        <v>0.48228769999999999</v>
      </c>
      <c r="F3168" t="s">
        <v>47</v>
      </c>
      <c r="G3168">
        <v>-449.10719999999998</v>
      </c>
      <c r="H3168" s="1">
        <v>3.3125099999999999E-6</v>
      </c>
      <c r="I3168">
        <v>214.55019999999999</v>
      </c>
      <c r="J3168">
        <v>-462.18630000000002</v>
      </c>
      <c r="K3168">
        <v>1.109685</v>
      </c>
      <c r="L3168">
        <v>214.82640000000001</v>
      </c>
      <c r="M3168">
        <v>0.99221769999999998</v>
      </c>
      <c r="N3168">
        <v>0</v>
      </c>
      <c r="O3168">
        <v>-0.1245161</v>
      </c>
      <c r="P3168">
        <v>0.98391569999999995</v>
      </c>
      <c r="Q3168">
        <v>0.15711729999999999</v>
      </c>
      <c r="R3168">
        <v>-8.4996970000000005E-2</v>
      </c>
      <c r="S3168">
        <v>3.084778</v>
      </c>
      <c r="T3168">
        <v>-0.25808530000000002</v>
      </c>
      <c r="U3168">
        <v>-6.9122310000000006E-2</v>
      </c>
      <c r="V3168">
        <v>-3.8565549999999997E-2</v>
      </c>
      <c r="W3168">
        <v>0.1566515</v>
      </c>
      <c r="X3168">
        <v>0.98690069999999996</v>
      </c>
      <c r="Y3168">
        <v>-0.1014703</v>
      </c>
      <c r="Z3168">
        <v>1.461089E-2</v>
      </c>
      <c r="AA3168">
        <v>0.99473120000000004</v>
      </c>
      <c r="AB3168">
        <v>17</v>
      </c>
      <c r="AC3168">
        <v>13.0791</v>
      </c>
      <c r="AD3168">
        <v>-1.10968168749</v>
      </c>
      <c r="AE3168">
        <v>-0.27620000000001699</v>
      </c>
      <c r="AF3168">
        <v>-1.3448314097284499</v>
      </c>
      <c r="AG3168">
        <v>-1.10968168749</v>
      </c>
      <c r="AH3168">
        <v>12.9187504330037</v>
      </c>
      <c r="AI3168">
        <v>94.883224783493006</v>
      </c>
      <c r="AJ3168">
        <v>95.943038196516596</v>
      </c>
      <c r="AK3168">
        <v>13.035876561182</v>
      </c>
      <c r="AL3168">
        <v>80.987409522719403</v>
      </c>
      <c r="AM3168">
        <v>92.2378335901859</v>
      </c>
      <c r="AN3168">
        <v>0.99999999287977104</v>
      </c>
    </row>
    <row r="3169" spans="1:40" x14ac:dyDescent="0.25">
      <c r="A3169" t="str">
        <f>"20190312172431180"</f>
        <v>20190312172431180</v>
      </c>
      <c r="B3169" t="str">
        <f>"1552382671173158"</f>
        <v>1552382671173158</v>
      </c>
      <c r="C3169" t="s">
        <v>40</v>
      </c>
      <c r="D3169">
        <v>4.0816350000000003</v>
      </c>
      <c r="E3169">
        <v>0.48258309999999999</v>
      </c>
      <c r="F3169" t="s">
        <v>47</v>
      </c>
      <c r="G3169">
        <v>-449.0016</v>
      </c>
      <c r="H3169" s="1">
        <v>3.2565289999999998E-6</v>
      </c>
      <c r="I3169">
        <v>214.54509999999999</v>
      </c>
      <c r="J3169">
        <v>-462.00569999999999</v>
      </c>
      <c r="K3169">
        <v>1.1096950000000001</v>
      </c>
      <c r="L3169">
        <v>214.80629999999999</v>
      </c>
      <c r="M3169">
        <v>0.99249350000000003</v>
      </c>
      <c r="N3169">
        <v>0</v>
      </c>
      <c r="O3169">
        <v>-0.12229810000000001</v>
      </c>
      <c r="P3169">
        <v>0.98398050000000004</v>
      </c>
      <c r="Q3169">
        <v>0.15773280000000001</v>
      </c>
      <c r="R3169">
        <v>-8.3084259999999993E-2</v>
      </c>
      <c r="S3169">
        <v>3.0848080000000002</v>
      </c>
      <c r="T3169">
        <v>-0.25963079999999999</v>
      </c>
      <c r="U3169">
        <v>-6.5811159999999994E-2</v>
      </c>
      <c r="V3169">
        <v>-3.8276900000000003E-2</v>
      </c>
      <c r="W3169">
        <v>0.1571389</v>
      </c>
      <c r="X3169">
        <v>0.98683449999999995</v>
      </c>
      <c r="Y3169">
        <v>-0.1003168</v>
      </c>
      <c r="Z3169">
        <v>1.44647E-2</v>
      </c>
      <c r="AA3169">
        <v>0.99485040000000002</v>
      </c>
      <c r="AB3169">
        <v>18</v>
      </c>
      <c r="AC3169">
        <v>13.0040999999999</v>
      </c>
      <c r="AD3169">
        <v>-1.1096917434710001</v>
      </c>
      <c r="AE3169">
        <v>-0.26120000000000199</v>
      </c>
      <c r="AF3169">
        <v>-1.3215180370033099</v>
      </c>
      <c r="AG3169">
        <v>-1.1096917434710001</v>
      </c>
      <c r="AH3169">
        <v>12.8449302227347</v>
      </c>
      <c r="AI3169">
        <v>94.911805152508606</v>
      </c>
      <c r="AJ3169">
        <v>95.874063732813298</v>
      </c>
      <c r="AK3169">
        <v>12.960326312040801</v>
      </c>
      <c r="AL3169">
        <v>80.959133820349706</v>
      </c>
      <c r="AM3169">
        <v>92.221249856034504</v>
      </c>
      <c r="AN3169">
        <v>1.00000004267853</v>
      </c>
    </row>
    <row r="3170" spans="1:40" x14ac:dyDescent="0.25">
      <c r="A3170" t="str">
        <f>"20190312172431201"</f>
        <v>20190312172431201</v>
      </c>
      <c r="B3170" t="str">
        <f>"1552382671193656"</f>
        <v>1552382671193656</v>
      </c>
      <c r="C3170" t="s">
        <v>40</v>
      </c>
      <c r="D3170">
        <v>4.0525729999999998</v>
      </c>
      <c r="E3170">
        <v>0.48281570000000001</v>
      </c>
      <c r="F3170" t="s">
        <v>47</v>
      </c>
      <c r="G3170">
        <v>-448.74610000000001</v>
      </c>
      <c r="H3170" s="1">
        <v>3.120783E-6</v>
      </c>
      <c r="I3170">
        <v>214.5401</v>
      </c>
      <c r="J3170">
        <v>-461.83730000000003</v>
      </c>
      <c r="K3170">
        <v>1.1097030000000001</v>
      </c>
      <c r="L3170">
        <v>214.7878</v>
      </c>
      <c r="M3170">
        <v>0.99274519999999999</v>
      </c>
      <c r="N3170">
        <v>0</v>
      </c>
      <c r="O3170">
        <v>-0.1202367</v>
      </c>
      <c r="P3170">
        <v>0.98409210000000003</v>
      </c>
      <c r="Q3170">
        <v>0.1578435</v>
      </c>
      <c r="R3170">
        <v>-8.1537799999999994E-2</v>
      </c>
      <c r="S3170">
        <v>3.084991</v>
      </c>
      <c r="T3170">
        <v>-0.25818150000000001</v>
      </c>
      <c r="U3170">
        <v>-6.1920169999999997E-2</v>
      </c>
      <c r="V3170">
        <v>-3.778608E-2</v>
      </c>
      <c r="W3170">
        <v>0.1571408</v>
      </c>
      <c r="X3170">
        <v>0.98685310000000004</v>
      </c>
      <c r="Y3170">
        <v>-9.9524710000000002E-2</v>
      </c>
      <c r="Z3170">
        <v>1.4179550000000001E-2</v>
      </c>
      <c r="AA3170">
        <v>0.99493410000000004</v>
      </c>
      <c r="AB3170">
        <v>18</v>
      </c>
      <c r="AC3170">
        <v>13.091200000000001</v>
      </c>
      <c r="AD3170">
        <v>-1.1096998792170001</v>
      </c>
      <c r="AE3170">
        <v>-0.247700000000008</v>
      </c>
      <c r="AF3170">
        <v>-1.3186679776094401</v>
      </c>
      <c r="AG3170">
        <v>-1.1096998792170001</v>
      </c>
      <c r="AH3170">
        <v>12.9331126797109</v>
      </c>
      <c r="AI3170">
        <v>94.878966191470894</v>
      </c>
      <c r="AJ3170">
        <v>95.821793512744506</v>
      </c>
      <c r="AK3170">
        <v>13.0474412297279</v>
      </c>
      <c r="AL3170">
        <v>80.959023472608393</v>
      </c>
      <c r="AM3170">
        <v>92.192753737030699</v>
      </c>
      <c r="AN3170">
        <v>1.0000000299230001</v>
      </c>
    </row>
    <row r="3171" spans="1:40" x14ac:dyDescent="0.25">
      <c r="A3171" t="str">
        <f>"20190312172431224"</f>
        <v>20190312172431224</v>
      </c>
      <c r="B3171" t="str">
        <f>"1552382671213174"</f>
        <v>1552382671213174</v>
      </c>
      <c r="C3171" t="s">
        <v>40</v>
      </c>
      <c r="D3171">
        <v>3.9923540000000002</v>
      </c>
      <c r="E3171">
        <v>0.48304269999999999</v>
      </c>
      <c r="F3171" t="s">
        <v>47</v>
      </c>
      <c r="G3171">
        <v>-448.5215</v>
      </c>
      <c r="H3171" s="1">
        <v>3.0014129999999999E-6</v>
      </c>
      <c r="I3171">
        <v>214.53639999999999</v>
      </c>
      <c r="J3171">
        <v>-461.65460000000002</v>
      </c>
      <c r="K3171">
        <v>1.1097109999999999</v>
      </c>
      <c r="L3171">
        <v>214.76820000000001</v>
      </c>
      <c r="M3171">
        <v>0.99301209999999995</v>
      </c>
      <c r="N3171">
        <v>0</v>
      </c>
      <c r="O3171">
        <v>-0.11801209999999999</v>
      </c>
      <c r="P3171">
        <v>0.98428179999999998</v>
      </c>
      <c r="Q3171">
        <v>0.15779199999999999</v>
      </c>
      <c r="R3171">
        <v>-7.9319490000000006E-2</v>
      </c>
      <c r="S3171">
        <v>3.0849299999999999</v>
      </c>
      <c r="T3171">
        <v>-0.25708930000000002</v>
      </c>
      <c r="U3171">
        <v>-5.8242799999999997E-2</v>
      </c>
      <c r="V3171">
        <v>-3.7810110000000001E-2</v>
      </c>
      <c r="W3171">
        <v>0.15698299999999901</v>
      </c>
      <c r="X3171">
        <v>0.98687729999999996</v>
      </c>
      <c r="Y3171">
        <v>-9.8498180000000005E-2</v>
      </c>
      <c r="Z3171">
        <v>1.389375E-2</v>
      </c>
      <c r="AA3171">
        <v>0.99504020000000004</v>
      </c>
      <c r="AB3171">
        <v>18</v>
      </c>
      <c r="AC3171">
        <v>13.133100000000001</v>
      </c>
      <c r="AD3171">
        <v>-1.109707998587</v>
      </c>
      <c r="AE3171">
        <v>-0.23180000000002099</v>
      </c>
      <c r="AF3171">
        <v>-1.31033205250628</v>
      </c>
      <c r="AG3171">
        <v>-1.109707998587</v>
      </c>
      <c r="AH3171">
        <v>12.976066157045199</v>
      </c>
      <c r="AI3171">
        <v>94.863405119653706</v>
      </c>
      <c r="AJ3171">
        <v>95.766220517132396</v>
      </c>
      <c r="AK3171">
        <v>13.089183123555401</v>
      </c>
      <c r="AL3171">
        <v>80.968178425148395</v>
      </c>
      <c r="AM3171">
        <v>92.194093101085997</v>
      </c>
      <c r="AN3171">
        <v>1.00000003598125</v>
      </c>
    </row>
    <row r="3172" spans="1:40" x14ac:dyDescent="0.25">
      <c r="A3172" t="str">
        <f>"20190312172431245"</f>
        <v>20190312172431245</v>
      </c>
      <c r="B3172" t="str">
        <f>"1552382671233674"</f>
        <v>1552382671233674</v>
      </c>
      <c r="C3172" t="s">
        <v>40</v>
      </c>
      <c r="D3172">
        <v>4.1108250000000002</v>
      </c>
      <c r="E3172">
        <v>0.4878981</v>
      </c>
      <c r="F3172" t="s">
        <v>47</v>
      </c>
      <c r="G3172">
        <v>-448.30889999999999</v>
      </c>
      <c r="H3172" s="1">
        <v>2.8882289999999999E-6</v>
      </c>
      <c r="I3172">
        <v>214.53800000000001</v>
      </c>
      <c r="J3172">
        <v>-461.47410000000002</v>
      </c>
      <c r="K3172">
        <v>1.1097189999999999</v>
      </c>
      <c r="L3172">
        <v>214.74930000000001</v>
      </c>
      <c r="M3172">
        <v>0.99326939999999997</v>
      </c>
      <c r="N3172">
        <v>0</v>
      </c>
      <c r="O3172">
        <v>-0.115825</v>
      </c>
      <c r="P3172">
        <v>0.9845216</v>
      </c>
      <c r="Q3172">
        <v>0.15724279999999999</v>
      </c>
      <c r="R3172">
        <v>-7.7409290000000006E-2</v>
      </c>
      <c r="S3172">
        <v>3.0847470000000001</v>
      </c>
      <c r="T3172">
        <v>-0.25650079999999997</v>
      </c>
      <c r="U3172">
        <v>-5.3207400000000002E-2</v>
      </c>
      <c r="V3172">
        <v>-3.7569270000000002E-2</v>
      </c>
      <c r="W3172">
        <v>0.15634200000000001</v>
      </c>
      <c r="X3172">
        <v>0.98698819999999998</v>
      </c>
      <c r="Y3172">
        <v>-9.7942119999999994E-2</v>
      </c>
      <c r="Z3172">
        <v>1.365974E-2</v>
      </c>
      <c r="AA3172">
        <v>0.99509840000000005</v>
      </c>
      <c r="AB3172">
        <v>19</v>
      </c>
      <c r="AC3172">
        <v>13.1652</v>
      </c>
      <c r="AD3172">
        <v>-1.1097161117709999</v>
      </c>
      <c r="AE3172">
        <v>-0.211300000000022</v>
      </c>
      <c r="AF3172">
        <v>-1.30570701251593</v>
      </c>
      <c r="AG3172">
        <v>-1.1097161117709999</v>
      </c>
      <c r="AH3172">
        <v>13.008663428115</v>
      </c>
      <c r="AI3172">
        <v>94.851604729284205</v>
      </c>
      <c r="AJ3172">
        <v>95.731701668545</v>
      </c>
      <c r="AK3172">
        <v>13.1210390151555</v>
      </c>
      <c r="AL3172">
        <v>81.005363755266302</v>
      </c>
      <c r="AM3172">
        <v>92.179886132996501</v>
      </c>
      <c r="AN3172">
        <v>0.99999998897578601</v>
      </c>
    </row>
    <row r="3173" spans="1:40" x14ac:dyDescent="0.25">
      <c r="A3173" t="str">
        <f>"20190312172431267"</f>
        <v>20190312172431267</v>
      </c>
      <c r="B3173" t="str">
        <f>"1552382671263457"</f>
        <v>1552382671263457</v>
      </c>
      <c r="C3173" t="s">
        <v>40</v>
      </c>
      <c r="D3173">
        <v>4.0237660000000002</v>
      </c>
      <c r="E3173">
        <v>0.4882611</v>
      </c>
      <c r="F3173" t="s">
        <v>47</v>
      </c>
      <c r="G3173">
        <v>-448.69990000000001</v>
      </c>
      <c r="H3173" s="1">
        <v>3.102472E-6</v>
      </c>
      <c r="I3173">
        <v>214.39599999999999</v>
      </c>
      <c r="J3173">
        <v>-461.28960000000001</v>
      </c>
      <c r="K3173">
        <v>1.109723</v>
      </c>
      <c r="L3173">
        <v>214.7303</v>
      </c>
      <c r="M3173">
        <v>0.99352600000000002</v>
      </c>
      <c r="N3173">
        <v>0</v>
      </c>
      <c r="O3173">
        <v>-0.11360149999999999</v>
      </c>
      <c r="P3173">
        <v>0.98471640000000005</v>
      </c>
      <c r="Q3173">
        <v>0.15688070000000001</v>
      </c>
      <c r="R3173">
        <v>-7.5645030000000002E-2</v>
      </c>
      <c r="S3173">
        <v>3.0832820000000001</v>
      </c>
      <c r="T3173">
        <v>-0.26784849999999999</v>
      </c>
      <c r="U3173">
        <v>-8.5281369999999995E-2</v>
      </c>
      <c r="V3173">
        <v>-3.7141729999999998E-2</v>
      </c>
      <c r="W3173">
        <v>0.15589979999999901</v>
      </c>
      <c r="X3173">
        <v>0.98707429999999996</v>
      </c>
      <c r="Y3173">
        <v>-8.5341710000000001E-2</v>
      </c>
      <c r="Z3173">
        <v>1.3527610000000001E-2</v>
      </c>
      <c r="AA3173">
        <v>0.99625989999999998</v>
      </c>
      <c r="AB3173">
        <v>19</v>
      </c>
      <c r="AC3173">
        <v>12.589699999999899</v>
      </c>
      <c r="AD3173">
        <v>-1.109719897528</v>
      </c>
      <c r="AE3173">
        <v>-0.33430000000001298</v>
      </c>
      <c r="AF3173">
        <v>-1.0896136494762001</v>
      </c>
      <c r="AG3173">
        <v>-1.109719897528</v>
      </c>
      <c r="AH3173">
        <v>12.4495171781222</v>
      </c>
      <c r="AI3173">
        <v>95.074448386973998</v>
      </c>
      <c r="AJ3173">
        <v>95.0019275277579</v>
      </c>
      <c r="AK3173">
        <v>12.546282880775999</v>
      </c>
      <c r="AL3173">
        <v>81.031014260642905</v>
      </c>
      <c r="AM3173">
        <v>92.154914648534799</v>
      </c>
      <c r="AN3173">
        <v>0.99999996473396002</v>
      </c>
    </row>
    <row r="3174" spans="1:40" x14ac:dyDescent="0.25">
      <c r="A3174" t="str">
        <f>"20190312172431290"</f>
        <v>20190312172431290</v>
      </c>
      <c r="B3174" t="str">
        <f>"1552382671282978"</f>
        <v>1552382671282978</v>
      </c>
      <c r="C3174" t="s">
        <v>40</v>
      </c>
      <c r="D3174">
        <v>4.0181750000000003</v>
      </c>
      <c r="E3174">
        <v>0.48827589999999998</v>
      </c>
      <c r="F3174" t="s">
        <v>47</v>
      </c>
      <c r="G3174">
        <v>-448.46420000000001</v>
      </c>
      <c r="H3174" s="1">
        <v>2.9775720000000002E-6</v>
      </c>
      <c r="I3174">
        <v>214.38470000000001</v>
      </c>
      <c r="J3174">
        <v>-461.0942</v>
      </c>
      <c r="K3174">
        <v>1.1097269999999999</v>
      </c>
      <c r="L3174">
        <v>214.7107</v>
      </c>
      <c r="M3174">
        <v>0.99379099999999998</v>
      </c>
      <c r="N3174">
        <v>0</v>
      </c>
      <c r="O3174">
        <v>-0.11125939999999999</v>
      </c>
      <c r="P3174">
        <v>0.98491700000000004</v>
      </c>
      <c r="Q3174">
        <v>0.1565512</v>
      </c>
      <c r="R3174">
        <v>-7.3690320000000004E-2</v>
      </c>
      <c r="S3174">
        <v>3.0826419999999999</v>
      </c>
      <c r="T3174">
        <v>-0.26672610000000002</v>
      </c>
      <c r="U3174">
        <v>-8.3084110000000003E-2</v>
      </c>
      <c r="V3174">
        <v>-3.6785909999999998E-2</v>
      </c>
      <c r="W3174">
        <v>0.155498</v>
      </c>
      <c r="X3174">
        <v>0.987151</v>
      </c>
      <c r="Y3174">
        <v>-8.3717730000000004E-2</v>
      </c>
      <c r="Z3174">
        <v>1.320292E-2</v>
      </c>
      <c r="AA3174">
        <v>0.99640200000000001</v>
      </c>
      <c r="AB3174">
        <v>19</v>
      </c>
      <c r="AC3174">
        <v>12.6299999999999</v>
      </c>
      <c r="AD3174">
        <v>-1.1097240224280001</v>
      </c>
      <c r="AE3174">
        <v>-0.32599999999999302</v>
      </c>
      <c r="AF3174">
        <v>-1.0729529893373799</v>
      </c>
      <c r="AG3174">
        <v>-1.1097240224280001</v>
      </c>
      <c r="AH3174">
        <v>12.4914845125562</v>
      </c>
      <c r="AI3174">
        <v>95.058212043883302</v>
      </c>
      <c r="AJ3174">
        <v>94.909356953522504</v>
      </c>
      <c r="AK3174">
        <v>12.586496766404601</v>
      </c>
      <c r="AL3174">
        <v>81.054319921973502</v>
      </c>
      <c r="AM3174">
        <v>92.134123943631593</v>
      </c>
      <c r="AN3174">
        <v>0.99999996398976299</v>
      </c>
    </row>
    <row r="3175" spans="1:40" x14ac:dyDescent="0.25">
      <c r="A3175" t="str">
        <f>"20190312172431313"</f>
        <v>20190312172431313</v>
      </c>
      <c r="B3175" t="str">
        <f>"1552382671303474"</f>
        <v>1552382671303474</v>
      </c>
      <c r="C3175" t="s">
        <v>40</v>
      </c>
      <c r="D3175">
        <v>4.0325319999999998</v>
      </c>
      <c r="E3175">
        <v>0.48851220000000001</v>
      </c>
      <c r="F3175" t="s">
        <v>47</v>
      </c>
      <c r="G3175">
        <v>-448.35739999999998</v>
      </c>
      <c r="H3175" s="1">
        <v>2.9203490000000001E-6</v>
      </c>
      <c r="I3175">
        <v>214.3929</v>
      </c>
      <c r="J3175">
        <v>-460.89499999999998</v>
      </c>
      <c r="K3175">
        <v>1.1097250000000001</v>
      </c>
      <c r="L3175">
        <v>214.69110000000001</v>
      </c>
      <c r="M3175">
        <v>0.99405330000000003</v>
      </c>
      <c r="N3175">
        <v>0</v>
      </c>
      <c r="O3175">
        <v>-0.1088906</v>
      </c>
      <c r="P3175">
        <v>0.98505849999999995</v>
      </c>
      <c r="Q3175">
        <v>0.1563746</v>
      </c>
      <c r="R3175">
        <v>-7.2158399999999998E-2</v>
      </c>
      <c r="S3175">
        <v>3.0828549999999999</v>
      </c>
      <c r="T3175">
        <v>-0.26860020000000001</v>
      </c>
      <c r="U3175">
        <v>-7.6904299999999995E-2</v>
      </c>
      <c r="V3175">
        <v>-3.5976689999999999E-2</v>
      </c>
      <c r="W3175">
        <v>0.1552606</v>
      </c>
      <c r="X3175">
        <v>0.98721820000000005</v>
      </c>
      <c r="Y3175">
        <v>-8.3340999999999998E-2</v>
      </c>
      <c r="Z3175">
        <v>1.307379E-2</v>
      </c>
      <c r="AA3175">
        <v>0.99643530000000002</v>
      </c>
      <c r="AB3175">
        <v>19</v>
      </c>
      <c r="AC3175">
        <v>12.5375999999999</v>
      </c>
      <c r="AD3175">
        <v>-1.1097220796509999</v>
      </c>
      <c r="AE3175">
        <v>-0.29820000000000801</v>
      </c>
      <c r="AF3175">
        <v>-1.06049701589311</v>
      </c>
      <c r="AG3175">
        <v>-1.1097220796509999</v>
      </c>
      <c r="AH3175">
        <v>12.398441226581999</v>
      </c>
      <c r="AI3175">
        <v>95.096118360120698</v>
      </c>
      <c r="AJ3175">
        <v>94.8888781380208</v>
      </c>
      <c r="AK3175">
        <v>12.4930973686989</v>
      </c>
      <c r="AL3175">
        <v>81.068089271278097</v>
      </c>
      <c r="AM3175">
        <v>92.0870773169231</v>
      </c>
      <c r="AN3175">
        <v>0.99999997527347695</v>
      </c>
    </row>
    <row r="3176" spans="1:40" x14ac:dyDescent="0.25">
      <c r="A3176" t="str">
        <f>"20190312172431334"</f>
        <v>20190312172431334</v>
      </c>
      <c r="B3176" t="str">
        <f>"1552382671322994"</f>
        <v>1552382671322994</v>
      </c>
      <c r="C3176" t="s">
        <v>40</v>
      </c>
      <c r="D3176">
        <v>4.0115790000000002</v>
      </c>
      <c r="E3176">
        <v>0.48869820000000003</v>
      </c>
      <c r="F3176" t="s">
        <v>47</v>
      </c>
      <c r="G3176">
        <v>-448.11169999999998</v>
      </c>
      <c r="H3176" s="1">
        <v>2.789986E-6</v>
      </c>
      <c r="I3176">
        <v>214.38460000000001</v>
      </c>
      <c r="J3176">
        <v>-460.70600000000002</v>
      </c>
      <c r="K3176">
        <v>1.109718</v>
      </c>
      <c r="L3176">
        <v>214.6729</v>
      </c>
      <c r="M3176">
        <v>0.99429429999999996</v>
      </c>
      <c r="N3176">
        <v>0</v>
      </c>
      <c r="O3176">
        <v>-0.1066674</v>
      </c>
      <c r="P3176">
        <v>0.98514520000000005</v>
      </c>
      <c r="Q3176">
        <v>0.15606059999999999</v>
      </c>
      <c r="R3176">
        <v>-7.1651870000000006E-2</v>
      </c>
      <c r="S3176">
        <v>3.082611</v>
      </c>
      <c r="T3176">
        <v>-0.26760279999999997</v>
      </c>
      <c r="U3176">
        <v>-7.3898320000000003E-2</v>
      </c>
      <c r="V3176">
        <v>-3.4283929999999997E-2</v>
      </c>
      <c r="W3176">
        <v>0.154898799999999</v>
      </c>
      <c r="X3176">
        <v>0.98733530000000003</v>
      </c>
      <c r="Y3176">
        <v>-8.2099859999999997E-2</v>
      </c>
      <c r="Z3176">
        <v>1.2781320000000001E-2</v>
      </c>
      <c r="AA3176">
        <v>0.99654219999999905</v>
      </c>
      <c r="AB3176">
        <v>19</v>
      </c>
      <c r="AC3176">
        <v>12.594299999999899</v>
      </c>
      <c r="AD3176">
        <v>-1.109715210014</v>
      </c>
      <c r="AE3176">
        <v>-0.28829999999999201</v>
      </c>
      <c r="AF3176">
        <v>-1.0486097254675599</v>
      </c>
      <c r="AG3176">
        <v>-1.109715210014</v>
      </c>
      <c r="AH3176">
        <v>12.456539054125701</v>
      </c>
      <c r="AI3176">
        <v>95.0730182350934</v>
      </c>
      <c r="AJ3176">
        <v>94.811897610707902</v>
      </c>
      <c r="AK3176">
        <v>12.54975758374</v>
      </c>
      <c r="AL3176">
        <v>81.089073059018105</v>
      </c>
      <c r="AM3176">
        <v>91.988722149243799</v>
      </c>
      <c r="AN3176">
        <v>1.00000001036188</v>
      </c>
    </row>
    <row r="3177" spans="1:40" x14ac:dyDescent="0.25">
      <c r="A3177" t="str">
        <f>"20190312172431359"</f>
        <v>20190312172431359</v>
      </c>
      <c r="B3177" t="str">
        <f>"1552382671353250"</f>
        <v>1552382671353250</v>
      </c>
      <c r="C3177" t="s">
        <v>40</v>
      </c>
      <c r="D3177">
        <v>4.239903</v>
      </c>
      <c r="E3177">
        <v>0.50691260000000005</v>
      </c>
      <c r="F3177" t="s">
        <v>47</v>
      </c>
      <c r="G3177">
        <v>-447.92410000000001</v>
      </c>
      <c r="H3177" s="1">
        <v>2.6908480000000002E-6</v>
      </c>
      <c r="I3177">
        <v>214.3681</v>
      </c>
      <c r="J3177">
        <v>-460.49099999999999</v>
      </c>
      <c r="K3177">
        <v>1.109704</v>
      </c>
      <c r="L3177">
        <v>214.65260000000001</v>
      </c>
      <c r="M3177">
        <v>0.99455800000000005</v>
      </c>
      <c r="N3177">
        <v>0</v>
      </c>
      <c r="O3177">
        <v>-0.1041784</v>
      </c>
      <c r="P3177">
        <v>0.98520059999999998</v>
      </c>
      <c r="Q3177">
        <v>0.15576300000000001</v>
      </c>
      <c r="R3177">
        <v>-7.1539430000000001E-2</v>
      </c>
      <c r="S3177">
        <v>3.0822750000000001</v>
      </c>
      <c r="T3177">
        <v>-0.26760020000000001</v>
      </c>
      <c r="U3177">
        <v>-7.3486330000000002E-2</v>
      </c>
      <c r="V3177">
        <v>-3.192971E-2</v>
      </c>
      <c r="W3177">
        <v>0.15455439999999901</v>
      </c>
      <c r="X3177">
        <v>0.98746820000000002</v>
      </c>
      <c r="Y3177">
        <v>-7.97538E-2</v>
      </c>
      <c r="Z3177">
        <v>1.2466380000000001E-2</v>
      </c>
      <c r="AA3177">
        <v>0.99673659999999997</v>
      </c>
      <c r="AB3177">
        <v>20</v>
      </c>
      <c r="AC3177">
        <v>12.566899999999899</v>
      </c>
      <c r="AD3177">
        <v>-1.109701309152</v>
      </c>
      <c r="AE3177">
        <v>-0.28450000000000802</v>
      </c>
      <c r="AF3177">
        <v>-1.0183121921987199</v>
      </c>
      <c r="AG3177">
        <v>-1.109701309152</v>
      </c>
      <c r="AH3177">
        <v>12.431274171134801</v>
      </c>
      <c r="AI3177">
        <v>95.084156354694699</v>
      </c>
      <c r="AJ3177">
        <v>94.682948201088294</v>
      </c>
      <c r="AK3177">
        <v>12.522179292528801</v>
      </c>
      <c r="AL3177">
        <v>81.1090462301988</v>
      </c>
      <c r="AM3177">
        <v>91.852009447859601</v>
      </c>
      <c r="AN3177">
        <v>1.0000000074756401</v>
      </c>
    </row>
    <row r="3178" spans="1:40" x14ac:dyDescent="0.25">
      <c r="A3178" t="str">
        <f>"20190312172431381"</f>
        <v>20190312172431381</v>
      </c>
      <c r="B3178" t="str">
        <f>"1552382671373280"</f>
        <v>1552382671373280</v>
      </c>
      <c r="C3178" t="s">
        <v>40</v>
      </c>
      <c r="D3178">
        <v>4.1011709999999999</v>
      </c>
      <c r="E3178">
        <v>0.51786739999999998</v>
      </c>
      <c r="F3178" t="s">
        <v>41</v>
      </c>
      <c r="G3178">
        <v>-459.74990000000003</v>
      </c>
      <c r="H3178">
        <v>1.0292110000000001</v>
      </c>
      <c r="I3178">
        <v>214.60069999999999</v>
      </c>
      <c r="J3178">
        <v>-460.2971</v>
      </c>
      <c r="K3178">
        <v>1.109677</v>
      </c>
      <c r="L3178">
        <v>214.63470000000001</v>
      </c>
      <c r="M3178">
        <v>0.99478520000000004</v>
      </c>
      <c r="N3178">
        <v>0</v>
      </c>
      <c r="O3178">
        <v>-0.1019847</v>
      </c>
      <c r="P3178">
        <v>0.98528210000000005</v>
      </c>
      <c r="Q3178">
        <v>0.15497429999999901</v>
      </c>
      <c r="R3178">
        <v>-7.2127499999999997E-2</v>
      </c>
      <c r="S3178">
        <v>3.082611</v>
      </c>
      <c r="T3178">
        <v>-0.33551619999999999</v>
      </c>
      <c r="U3178">
        <v>-0.21327209999999999</v>
      </c>
      <c r="V3178">
        <v>-2.9171320000000001E-2</v>
      </c>
      <c r="W3178">
        <v>0.15372949999999999</v>
      </c>
      <c r="X3178">
        <v>0.98768230000000001</v>
      </c>
      <c r="Y3178">
        <v>-3.2294570000000002E-2</v>
      </c>
      <c r="Z3178">
        <v>1.278047E-2</v>
      </c>
      <c r="AA3178">
        <v>0.99939670000000003</v>
      </c>
      <c r="AB3178">
        <v>20</v>
      </c>
      <c r="AC3178">
        <v>0.54719999999997504</v>
      </c>
      <c r="AD3178">
        <v>-8.0465999999999899E-2</v>
      </c>
      <c r="AE3178">
        <v>-3.4000000000020202E-2</v>
      </c>
      <c r="AF3178">
        <v>-2.1519796987640099E-2</v>
      </c>
      <c r="AG3178">
        <v>-8.0465999999999899E-2</v>
      </c>
      <c r="AH3178">
        <v>0.53626289760387003</v>
      </c>
      <c r="AI3178">
        <v>98.526779651965001</v>
      </c>
      <c r="AJ3178">
        <v>92.298000358387895</v>
      </c>
      <c r="AK3178">
        <v>0.54269307547165901</v>
      </c>
      <c r="AL3178">
        <v>81.156881369236103</v>
      </c>
      <c r="AM3178">
        <v>91.691746196491593</v>
      </c>
      <c r="AN3178">
        <v>1.00000002540704</v>
      </c>
    </row>
    <row r="3179" spans="1:40" x14ac:dyDescent="0.25">
      <c r="A3179" t="str">
        <f>"20190312172431402"</f>
        <v>20190312172431402</v>
      </c>
      <c r="B3179" t="str">
        <f>"1552382671393774"</f>
        <v>1552382671393774</v>
      </c>
      <c r="C3179" t="s">
        <v>40</v>
      </c>
      <c r="D3179">
        <v>4.0539809999999896</v>
      </c>
      <c r="E3179">
        <v>0.56907890000000005</v>
      </c>
      <c r="F3179" t="s">
        <v>41</v>
      </c>
      <c r="G3179">
        <v>-459.57929999999999</v>
      </c>
      <c r="H3179">
        <v>1.017047</v>
      </c>
      <c r="I3179">
        <v>214.56540000000001</v>
      </c>
      <c r="J3179">
        <v>-460.10449999999997</v>
      </c>
      <c r="K3179">
        <v>1.1096509999999999</v>
      </c>
      <c r="L3179">
        <v>214.6173</v>
      </c>
      <c r="M3179">
        <v>0.99499959999999998</v>
      </c>
      <c r="N3179">
        <v>0</v>
      </c>
      <c r="O3179">
        <v>-9.9871340000000003E-2</v>
      </c>
      <c r="P3179">
        <v>0.98531939999999996</v>
      </c>
      <c r="Q3179">
        <v>0.15424199999999999</v>
      </c>
      <c r="R3179">
        <v>-7.3179670000000002E-2</v>
      </c>
      <c r="S3179">
        <v>3.085693</v>
      </c>
      <c r="T3179">
        <v>-0.39837689999999998</v>
      </c>
      <c r="U3179">
        <v>-0.29753109999999999</v>
      </c>
      <c r="V3179">
        <v>-2.6023080000000001E-2</v>
      </c>
      <c r="W3179">
        <v>0.15296570000000001</v>
      </c>
      <c r="X3179">
        <v>0.98788880000000001</v>
      </c>
      <c r="Y3179">
        <v>-3.070143E-3</v>
      </c>
      <c r="Z3179">
        <v>1.2976730000000001E-2</v>
      </c>
      <c r="AA3179">
        <v>0.99991110000000005</v>
      </c>
      <c r="AB3179">
        <v>20</v>
      </c>
      <c r="AC3179">
        <v>0.52519999999998301</v>
      </c>
      <c r="AD3179">
        <v>-9.2603999999999895E-2</v>
      </c>
      <c r="AE3179">
        <v>-5.1899999999989101E-2</v>
      </c>
      <c r="AF3179">
        <v>-7.8769706965508396E-4</v>
      </c>
      <c r="AG3179">
        <v>-9.2603999999999895E-2</v>
      </c>
      <c r="AH3179">
        <v>0.51199394621527305</v>
      </c>
      <c r="AI3179">
        <v>100.25220008139701</v>
      </c>
      <c r="AJ3179">
        <v>90.088148858695604</v>
      </c>
      <c r="AK3179">
        <v>0.52030176075404699</v>
      </c>
      <c r="AL3179">
        <v>81.201167408620293</v>
      </c>
      <c r="AM3179">
        <v>91.508943033608205</v>
      </c>
      <c r="AN3179">
        <v>0.99999999361730796</v>
      </c>
    </row>
    <row r="3180" spans="1:40" x14ac:dyDescent="0.25">
      <c r="A3180" t="str">
        <f>"20190312172431425"</f>
        <v>20190312172431425</v>
      </c>
      <c r="B3180" t="str">
        <f>"1552382671413297"</f>
        <v>1552382671413297</v>
      </c>
      <c r="C3180" t="s">
        <v>40</v>
      </c>
      <c r="D3180">
        <v>4.0887250000000002</v>
      </c>
      <c r="E3180">
        <v>0.57054099999999996</v>
      </c>
      <c r="F3180" t="s">
        <v>41</v>
      </c>
      <c r="G3180">
        <v>-459.26240000000001</v>
      </c>
      <c r="H3180">
        <v>0.93668830000000003</v>
      </c>
      <c r="I3180">
        <v>214.42840000000001</v>
      </c>
      <c r="J3180">
        <v>-459.8913</v>
      </c>
      <c r="K3180">
        <v>1.1096079999999999</v>
      </c>
      <c r="L3180">
        <v>214.5985</v>
      </c>
      <c r="M3180">
        <v>0.99522259999999996</v>
      </c>
      <c r="N3180">
        <v>0</v>
      </c>
      <c r="O3180">
        <v>-9.7624440000000007E-2</v>
      </c>
      <c r="P3180">
        <v>0.98546009999999995</v>
      </c>
      <c r="Q3180">
        <v>0.15301139999999999</v>
      </c>
      <c r="R3180">
        <v>-7.3866909999999994E-2</v>
      </c>
      <c r="S3180">
        <v>3.092743</v>
      </c>
      <c r="T3180">
        <v>-0.63556499999999905</v>
      </c>
      <c r="U3180">
        <v>-0.692276</v>
      </c>
      <c r="V3180">
        <v>-2.310976E-2</v>
      </c>
      <c r="W3180">
        <v>0.15170129999999901</v>
      </c>
      <c r="X3180">
        <v>0.98815620000000004</v>
      </c>
      <c r="Y3180">
        <v>0.1216428</v>
      </c>
      <c r="Z3180">
        <v>7.320305E-3</v>
      </c>
      <c r="AA3180">
        <v>0.99254690000000001</v>
      </c>
      <c r="AB3180">
        <v>21</v>
      </c>
      <c r="AC3180">
        <v>0.62889999999998702</v>
      </c>
      <c r="AD3180">
        <v>-0.17291969999999901</v>
      </c>
      <c r="AE3180">
        <v>-0.17009999999999001</v>
      </c>
      <c r="AF3180">
        <v>0.100790997032184</v>
      </c>
      <c r="AG3180">
        <v>-0.17291969999999901</v>
      </c>
      <c r="AH3180">
        <v>0.60021823232289395</v>
      </c>
      <c r="AI3180">
        <v>105.86073560371101</v>
      </c>
      <c r="AJ3180">
        <v>80.467603833542199</v>
      </c>
      <c r="AK3180">
        <v>0.632710023742038</v>
      </c>
      <c r="AL3180">
        <v>81.274467823138494</v>
      </c>
      <c r="AM3180">
        <v>91.339717742177399</v>
      </c>
      <c r="AN3180">
        <v>1.0000000105136899</v>
      </c>
    </row>
    <row r="3181" spans="1:40" x14ac:dyDescent="0.25">
      <c r="A3181" t="str">
        <f>"20190312172431447"</f>
        <v>20190312172431447</v>
      </c>
      <c r="B3181" t="str">
        <f>"1552382671443550"</f>
        <v>1552382671443550</v>
      </c>
      <c r="C3181" t="s">
        <v>40</v>
      </c>
      <c r="D3181">
        <v>4.0367490000000004</v>
      </c>
      <c r="E3181">
        <v>0.57135380000000002</v>
      </c>
      <c r="F3181" t="s">
        <v>41</v>
      </c>
      <c r="G3181">
        <v>-459.07510000000002</v>
      </c>
      <c r="H3181">
        <v>0.93922090000000003</v>
      </c>
      <c r="I3181">
        <v>214.41149999999999</v>
      </c>
      <c r="J3181">
        <v>-459.6866</v>
      </c>
      <c r="K3181">
        <v>1.109569</v>
      </c>
      <c r="L3181">
        <v>214.58070000000001</v>
      </c>
      <c r="M3181">
        <v>0.99542399999999998</v>
      </c>
      <c r="N3181">
        <v>0</v>
      </c>
      <c r="O3181">
        <v>-9.5548590000000003E-2</v>
      </c>
      <c r="P3181">
        <v>0.98566940000000003</v>
      </c>
      <c r="Q3181">
        <v>0.1514296</v>
      </c>
      <c r="R3181">
        <v>-7.4331159999999993E-2</v>
      </c>
      <c r="S3181">
        <v>3.0917050000000001</v>
      </c>
      <c r="T3181">
        <v>-0.64588690000000004</v>
      </c>
      <c r="U3181">
        <v>-0.70555109999999999</v>
      </c>
      <c r="V3181">
        <v>-2.0594419999999999E-2</v>
      </c>
      <c r="W3181">
        <v>0.15008920000000001</v>
      </c>
      <c r="X3181">
        <v>0.9884579</v>
      </c>
      <c r="Y3181">
        <v>0.12765599999999999</v>
      </c>
      <c r="Z3181">
        <v>6.4010760000000003E-3</v>
      </c>
      <c r="AA3181">
        <v>0.99179790000000001</v>
      </c>
      <c r="AB3181">
        <v>21</v>
      </c>
      <c r="AC3181">
        <v>0.61149999999997795</v>
      </c>
      <c r="AD3181">
        <v>-0.1703481</v>
      </c>
      <c r="AE3181">
        <v>-0.169200000000017</v>
      </c>
      <c r="AF3181">
        <v>0.10260184059124</v>
      </c>
      <c r="AG3181">
        <v>-0.1703481</v>
      </c>
      <c r="AH3181">
        <v>0.58285421197347298</v>
      </c>
      <c r="AI3181">
        <v>106.05791571489399</v>
      </c>
      <c r="AJ3181">
        <v>80.016311494247503</v>
      </c>
      <c r="AK3181">
        <v>0.61584466002518701</v>
      </c>
      <c r="AL3181">
        <v>81.367903781375901</v>
      </c>
      <c r="AM3181">
        <v>91.1935790614734</v>
      </c>
      <c r="AN3181">
        <v>0.99999995908209205</v>
      </c>
    </row>
    <row r="3182" spans="1:40" x14ac:dyDescent="0.25">
      <c r="A3182" t="str">
        <f>"20190312172431469"</f>
        <v>20190312172431469</v>
      </c>
      <c r="B3182" t="str">
        <f>"1552382671463070"</f>
        <v>1552382671463070</v>
      </c>
      <c r="C3182" t="s">
        <v>40</v>
      </c>
      <c r="D3182">
        <v>4.1508260000000003</v>
      </c>
      <c r="E3182">
        <v>0.57130630000000004</v>
      </c>
      <c r="F3182" t="s">
        <v>41</v>
      </c>
      <c r="G3182">
        <v>-458.88650000000001</v>
      </c>
      <c r="H3182">
        <v>0.93999909999999998</v>
      </c>
      <c r="I3182">
        <v>214.39619999999999</v>
      </c>
      <c r="J3182">
        <v>-459.47660000000002</v>
      </c>
      <c r="K3182">
        <v>1.109521</v>
      </c>
      <c r="L3182">
        <v>214.56290000000001</v>
      </c>
      <c r="M3182">
        <v>0.99561770000000005</v>
      </c>
      <c r="N3182">
        <v>0</v>
      </c>
      <c r="O3182">
        <v>-9.3508359999999999E-2</v>
      </c>
      <c r="P3182">
        <v>0.98586439999999997</v>
      </c>
      <c r="Q3182">
        <v>0.15000759999999999</v>
      </c>
      <c r="R3182">
        <v>-7.4628819999999998E-2</v>
      </c>
      <c r="S3182">
        <v>3.0905149999999999</v>
      </c>
      <c r="T3182">
        <v>-0.65508269999999902</v>
      </c>
      <c r="U3182">
        <v>-0.71282959999999995</v>
      </c>
      <c r="V3182">
        <v>-1.8276629999999999E-2</v>
      </c>
      <c r="W3182">
        <v>0.1486365</v>
      </c>
      <c r="X3182">
        <v>0.98872300000000002</v>
      </c>
      <c r="Y3182">
        <v>0.13183989999999901</v>
      </c>
      <c r="Z3182">
        <v>5.6388159999999996E-3</v>
      </c>
      <c r="AA3182">
        <v>0.991255</v>
      </c>
      <c r="AB3182">
        <v>21</v>
      </c>
      <c r="AC3182">
        <v>0.59010000000000595</v>
      </c>
      <c r="AD3182">
        <v>-0.1695219</v>
      </c>
      <c r="AE3182">
        <v>-0.16670000000002</v>
      </c>
      <c r="AF3182">
        <v>0.10292394380647001</v>
      </c>
      <c r="AG3182">
        <v>-0.1695219</v>
      </c>
      <c r="AH3182">
        <v>0.56028085370140501</v>
      </c>
      <c r="AI3182">
        <v>106.572291025898</v>
      </c>
      <c r="AJ3182">
        <v>79.590783489885695</v>
      </c>
      <c r="AK3182">
        <v>0.59434472136350502</v>
      </c>
      <c r="AL3182">
        <v>81.452082058117199</v>
      </c>
      <c r="AM3182">
        <v>91.058996821789904</v>
      </c>
      <c r="AN3182">
        <v>1.0000000075327</v>
      </c>
    </row>
    <row r="3183" spans="1:40" x14ac:dyDescent="0.25">
      <c r="A3183" t="str">
        <f>"20190312172431492"</f>
        <v>20190312172431492</v>
      </c>
      <c r="B3183" t="str">
        <f>"1552382671483566"</f>
        <v>1552382671483566</v>
      </c>
      <c r="C3183" t="s">
        <v>40</v>
      </c>
      <c r="D3183">
        <v>4.0245800000000003</v>
      </c>
      <c r="E3183">
        <v>0.57131619999999905</v>
      </c>
      <c r="F3183" t="s">
        <v>41</v>
      </c>
      <c r="G3183">
        <v>-458.69510000000002</v>
      </c>
      <c r="H3183">
        <v>0.94222720000000004</v>
      </c>
      <c r="I3183">
        <v>214.38239999999999</v>
      </c>
      <c r="J3183">
        <v>-459.25760000000002</v>
      </c>
      <c r="K3183">
        <v>1.109464</v>
      </c>
      <c r="L3183">
        <v>214.5446</v>
      </c>
      <c r="M3183">
        <v>0.99580469999999999</v>
      </c>
      <c r="N3183">
        <v>0</v>
      </c>
      <c r="O3183">
        <v>-9.1495510000000002E-2</v>
      </c>
      <c r="P3183">
        <v>0.98590330000000004</v>
      </c>
      <c r="Q3183">
        <v>0.14886559999999999</v>
      </c>
      <c r="R3183">
        <v>-7.6380809999999993E-2</v>
      </c>
      <c r="S3183">
        <v>3.0897220000000001</v>
      </c>
      <c r="T3183">
        <v>-0.66161419999999904</v>
      </c>
      <c r="U3183">
        <v>-0.71281430000000001</v>
      </c>
      <c r="V3183">
        <v>-1.4520129999999999E-2</v>
      </c>
      <c r="W3183">
        <v>0.14746699999999999</v>
      </c>
      <c r="X3183">
        <v>0.98896039999999996</v>
      </c>
      <c r="Y3183">
        <v>0.1337931</v>
      </c>
      <c r="Z3183">
        <v>5.0737519999999999E-3</v>
      </c>
      <c r="AA3183">
        <v>0.99099630000000005</v>
      </c>
      <c r="AB3183">
        <v>21</v>
      </c>
      <c r="AC3183">
        <v>0.5625</v>
      </c>
      <c r="AD3183">
        <v>-0.16723679999999999</v>
      </c>
      <c r="AE3183">
        <v>-0.162200000000012</v>
      </c>
      <c r="AF3183">
        <v>0.10174982775842201</v>
      </c>
      <c r="AG3183">
        <v>-0.16723679999999999</v>
      </c>
      <c r="AH3183">
        <v>0.53159868759489504</v>
      </c>
      <c r="AI3183">
        <v>107.170273640274</v>
      </c>
      <c r="AJ3183">
        <v>79.164442375307203</v>
      </c>
      <c r="AK3183">
        <v>0.56649654842348596</v>
      </c>
      <c r="AL3183">
        <v>81.519836186123896</v>
      </c>
      <c r="AM3183">
        <v>90.841168559251997</v>
      </c>
      <c r="AN3183">
        <v>1.00000001151618</v>
      </c>
    </row>
    <row r="3184" spans="1:40" x14ac:dyDescent="0.25">
      <c r="A3184" t="str">
        <f>"20190312172431526"</f>
        <v>20190312172431526</v>
      </c>
      <c r="B3184" t="str">
        <f>"1552382671523582"</f>
        <v>1552382671523582</v>
      </c>
      <c r="C3184" t="s">
        <v>40</v>
      </c>
      <c r="D3184">
        <v>4.1411449999999999</v>
      </c>
      <c r="E3184">
        <v>0.57008449999999999</v>
      </c>
      <c r="F3184" t="s">
        <v>41</v>
      </c>
      <c r="G3184">
        <v>-458.50060000000002</v>
      </c>
      <c r="H3184">
        <v>0.94668220000000003</v>
      </c>
      <c r="I3184">
        <v>214.36850000000001</v>
      </c>
      <c r="J3184">
        <v>-458.9314</v>
      </c>
      <c r="K3184">
        <v>1.1093679999999999</v>
      </c>
      <c r="L3184">
        <v>214.5179</v>
      </c>
      <c r="M3184">
        <v>0.99605350000000004</v>
      </c>
      <c r="N3184">
        <v>0</v>
      </c>
      <c r="O3184">
        <v>-8.8744580000000003E-2</v>
      </c>
      <c r="P3184">
        <v>0.9858751</v>
      </c>
      <c r="Q3184">
        <v>0.14848320000000001</v>
      </c>
      <c r="R3184">
        <v>-7.74812E-2</v>
      </c>
      <c r="S3184">
        <v>3.087555</v>
      </c>
      <c r="T3184">
        <v>-0.66401529999999998</v>
      </c>
      <c r="U3184">
        <v>-0.71786499999999998</v>
      </c>
      <c r="V3184">
        <v>-1.065995E-2</v>
      </c>
      <c r="W3184">
        <v>0.14703869999999999</v>
      </c>
      <c r="X3184">
        <v>0.98907330000000004</v>
      </c>
      <c r="Y3184">
        <v>0.13806099999999999</v>
      </c>
      <c r="Z3184">
        <v>4.073185E-3</v>
      </c>
      <c r="AA3184">
        <v>0.9904153</v>
      </c>
      <c r="AB3184">
        <v>21</v>
      </c>
      <c r="AC3184">
        <v>0.43079999999997598</v>
      </c>
      <c r="AD3184">
        <v>-0.16268579999999999</v>
      </c>
      <c r="AE3184">
        <v>-0.14939999999998499</v>
      </c>
      <c r="AF3184">
        <v>9.8092253781855196E-2</v>
      </c>
      <c r="AG3184">
        <v>-0.16268579999999999</v>
      </c>
      <c r="AH3184">
        <v>0.39240571944000802</v>
      </c>
      <c r="AI3184">
        <v>111.91045600288</v>
      </c>
      <c r="AJ3184">
        <v>75.9650175401204</v>
      </c>
      <c r="AK3184">
        <v>0.43597133899245499</v>
      </c>
      <c r="AL3184">
        <v>81.544646357819403</v>
      </c>
      <c r="AM3184">
        <v>90.617493665660703</v>
      </c>
      <c r="AN3184">
        <v>1.00000000330229</v>
      </c>
    </row>
    <row r="3185" spans="1:40" x14ac:dyDescent="0.25">
      <c r="A3185" t="str">
        <f>"20190312172431547"</f>
        <v>20190312172431547</v>
      </c>
      <c r="B3185" t="str">
        <f>"1552382671543102"</f>
        <v>1552382671543102</v>
      </c>
      <c r="C3185" t="s">
        <v>40</v>
      </c>
      <c r="D3185">
        <v>4.0142689999999996</v>
      </c>
      <c r="E3185">
        <v>0.56996429999999998</v>
      </c>
      <c r="F3185" t="s">
        <v>41</v>
      </c>
      <c r="G3185">
        <v>-458.11599999999999</v>
      </c>
      <c r="H3185">
        <v>0.93377080000000001</v>
      </c>
      <c r="I3185">
        <v>214.33009999999999</v>
      </c>
      <c r="J3185">
        <v>-458.72359999999998</v>
      </c>
      <c r="K3185">
        <v>1.1092869999999999</v>
      </c>
      <c r="L3185">
        <v>214.50120000000001</v>
      </c>
      <c r="M3185">
        <v>0.99619259999999998</v>
      </c>
      <c r="N3185">
        <v>0</v>
      </c>
      <c r="O3185">
        <v>-8.7166480000000005E-2</v>
      </c>
      <c r="P3185">
        <v>0.9857572</v>
      </c>
      <c r="Q3185">
        <v>0.14872179999999999</v>
      </c>
      <c r="R3185">
        <v>-7.851371E-2</v>
      </c>
      <c r="S3185">
        <v>3.0872799999999998</v>
      </c>
      <c r="T3185">
        <v>-0.66489960000000004</v>
      </c>
      <c r="U3185">
        <v>-0.71060179999999995</v>
      </c>
      <c r="V3185">
        <v>-8.031758E-3</v>
      </c>
      <c r="W3185">
        <v>0.14724860000000001</v>
      </c>
      <c r="X3185">
        <v>0.98906689999999997</v>
      </c>
      <c r="Y3185">
        <v>0.1374136</v>
      </c>
      <c r="Z3185">
        <v>3.819172E-3</v>
      </c>
      <c r="AA3185">
        <v>0.99050640000000001</v>
      </c>
      <c r="AB3185">
        <v>22</v>
      </c>
      <c r="AC3185">
        <v>0.60759999999999004</v>
      </c>
      <c r="AD3185">
        <v>-0.17551620000000001</v>
      </c>
      <c r="AE3185">
        <v>-0.17110000000002401</v>
      </c>
      <c r="AF3185">
        <v>0.109054882487207</v>
      </c>
      <c r="AG3185">
        <v>-0.17551620000000001</v>
      </c>
      <c r="AH3185">
        <v>0.57569251482975203</v>
      </c>
      <c r="AI3185">
        <v>106.675644967983</v>
      </c>
      <c r="AJ3185">
        <v>79.273417645935893</v>
      </c>
      <c r="AK3185">
        <v>0.61165413060629503</v>
      </c>
      <c r="AL3185">
        <v>81.532487565327898</v>
      </c>
      <c r="AM3185">
        <v>90.465262481737099</v>
      </c>
      <c r="AN3185">
        <v>0.99999999600707001</v>
      </c>
    </row>
    <row r="3186" spans="1:40" x14ac:dyDescent="0.25">
      <c r="A3186" t="str">
        <f>"20190312172431570"</f>
        <v>20190312172431570</v>
      </c>
      <c r="B3186" t="str">
        <f>"1552382671563598"</f>
        <v>1552382671563598</v>
      </c>
      <c r="C3186" t="s">
        <v>40</v>
      </c>
      <c r="D3186">
        <v>4.0197010000000004</v>
      </c>
      <c r="E3186">
        <v>0.56975480000000001</v>
      </c>
      <c r="F3186" t="s">
        <v>41</v>
      </c>
      <c r="G3186">
        <v>-457.91640000000001</v>
      </c>
      <c r="H3186">
        <v>0.93588910000000003</v>
      </c>
      <c r="I3186">
        <v>214.31450000000001</v>
      </c>
      <c r="J3186">
        <v>-458.49439999999998</v>
      </c>
      <c r="K3186">
        <v>1.1092010000000001</v>
      </c>
      <c r="L3186">
        <v>214.483</v>
      </c>
      <c r="M3186">
        <v>0.99633070000000001</v>
      </c>
      <c r="N3186">
        <v>0</v>
      </c>
      <c r="O3186">
        <v>-8.5573700000000003E-2</v>
      </c>
      <c r="P3186">
        <v>0.9856433</v>
      </c>
      <c r="Q3186">
        <v>0.1487945</v>
      </c>
      <c r="R3186">
        <v>-7.9799250000000002E-2</v>
      </c>
      <c r="S3186">
        <v>3.0866699999999998</v>
      </c>
      <c r="T3186">
        <v>-0.66340669999999902</v>
      </c>
      <c r="U3186">
        <v>-0.71224980000000004</v>
      </c>
      <c r="V3186">
        <v>-5.1340359999999998E-3</v>
      </c>
      <c r="W3186">
        <v>0.14729100000000001</v>
      </c>
      <c r="X3186">
        <v>0.98907990000000001</v>
      </c>
      <c r="Y3186">
        <v>0.1394676</v>
      </c>
      <c r="Z3186">
        <v>3.2640220000000001E-3</v>
      </c>
      <c r="AA3186">
        <v>0.99022129999999997</v>
      </c>
      <c r="AB3186">
        <v>22</v>
      </c>
      <c r="AC3186">
        <v>0.57799999999997398</v>
      </c>
      <c r="AD3186">
        <v>-0.17331189999999999</v>
      </c>
      <c r="AE3186">
        <v>-0.16849999999999399</v>
      </c>
      <c r="AF3186">
        <v>0.109358167875113</v>
      </c>
      <c r="AG3186">
        <v>-0.17331189999999999</v>
      </c>
      <c r="AH3186">
        <v>0.54512645016419004</v>
      </c>
      <c r="AI3186">
        <v>107.31325293790201</v>
      </c>
      <c r="AJ3186">
        <v>78.656429858037697</v>
      </c>
      <c r="AK3186">
        <v>0.58237365173162003</v>
      </c>
      <c r="AL3186">
        <v>81.530031672158103</v>
      </c>
      <c r="AM3186">
        <v>90.297403630199199</v>
      </c>
      <c r="AN3186">
        <v>1.0000000227953201</v>
      </c>
    </row>
    <row r="3187" spans="1:40" x14ac:dyDescent="0.25">
      <c r="A3187" t="str">
        <f>"20190312172431593"</f>
        <v>20190312172431593</v>
      </c>
      <c r="B3187" t="str">
        <f>"1552382671583118"</f>
        <v>1552382671583118</v>
      </c>
      <c r="C3187" t="s">
        <v>40</v>
      </c>
      <c r="D3187">
        <v>4.0141179999999999</v>
      </c>
      <c r="E3187">
        <v>0.56961890000000004</v>
      </c>
      <c r="F3187" t="s">
        <v>41</v>
      </c>
      <c r="G3187">
        <v>-457.71319999999997</v>
      </c>
      <c r="H3187">
        <v>0.94139499999999998</v>
      </c>
      <c r="I3187">
        <v>214.30189999999999</v>
      </c>
      <c r="J3187">
        <v>-458.25900000000001</v>
      </c>
      <c r="K3187">
        <v>1.1091040000000001</v>
      </c>
      <c r="L3187">
        <v>214.46449999999999</v>
      </c>
      <c r="M3187">
        <v>0.99645499999999998</v>
      </c>
      <c r="N3187">
        <v>0</v>
      </c>
      <c r="O3187">
        <v>-8.4115099999999998E-2</v>
      </c>
      <c r="P3187">
        <v>0.98564649999999998</v>
      </c>
      <c r="Q3187">
        <v>0.148226</v>
      </c>
      <c r="R3187">
        <v>-8.0811149999999998E-2</v>
      </c>
      <c r="S3187">
        <v>3.0859990000000002</v>
      </c>
      <c r="T3187">
        <v>-0.66282629999999998</v>
      </c>
      <c r="U3187">
        <v>-0.71423340000000002</v>
      </c>
      <c r="V3187">
        <v>-2.6468860000000002E-3</v>
      </c>
      <c r="W3187">
        <v>0.14669160000000001</v>
      </c>
      <c r="X3187">
        <v>0.98917869999999997</v>
      </c>
      <c r="Y3187">
        <v>0.141494799999999</v>
      </c>
      <c r="Z3187">
        <v>2.7454689999999999E-3</v>
      </c>
      <c r="AA3187">
        <v>0.98993520000000002</v>
      </c>
      <c r="AB3187">
        <v>22</v>
      </c>
      <c r="AC3187">
        <v>0.54580000000004203</v>
      </c>
      <c r="AD3187">
        <v>-0.167709</v>
      </c>
      <c r="AE3187">
        <v>-0.162599999999997</v>
      </c>
      <c r="AF3187">
        <v>0.10684788148084499</v>
      </c>
      <c r="AG3187">
        <v>-0.167709</v>
      </c>
      <c r="AH3187">
        <v>0.51305125753796899</v>
      </c>
      <c r="AI3187">
        <v>107.74566839437</v>
      </c>
      <c r="AJ3187">
        <v>78.235756599528301</v>
      </c>
      <c r="AK3187">
        <v>0.55024028507483602</v>
      </c>
      <c r="AL3187">
        <v>81.564751418383096</v>
      </c>
      <c r="AM3187">
        <v>90.153314092485303</v>
      </c>
      <c r="AN3187">
        <v>0.99999996602487295</v>
      </c>
    </row>
    <row r="3188" spans="1:40" x14ac:dyDescent="0.25">
      <c r="A3188" t="str">
        <f>"20190312172431614"</f>
        <v>20190312172431614</v>
      </c>
      <c r="B3188" t="str">
        <f>"1552382671603616"</f>
        <v>1552382671603616</v>
      </c>
      <c r="C3188" t="s">
        <v>40</v>
      </c>
      <c r="D3188">
        <v>4.0059979999999999</v>
      </c>
      <c r="E3188">
        <v>0.56943350000000004</v>
      </c>
      <c r="F3188" t="s">
        <v>41</v>
      </c>
      <c r="G3188">
        <v>-457.50740000000002</v>
      </c>
      <c r="H3188">
        <v>0.94757409999999997</v>
      </c>
      <c r="I3188">
        <v>214.2893</v>
      </c>
      <c r="J3188">
        <v>-458.03960000000001</v>
      </c>
      <c r="K3188">
        <v>1.109003</v>
      </c>
      <c r="L3188">
        <v>214.44739999999999</v>
      </c>
      <c r="M3188">
        <v>0.99655419999999995</v>
      </c>
      <c r="N3188">
        <v>0</v>
      </c>
      <c r="O3188">
        <v>-8.2930439999999994E-2</v>
      </c>
      <c r="P3188">
        <v>0.9856606</v>
      </c>
      <c r="Q3188">
        <v>0.14731859999999999</v>
      </c>
      <c r="R3188">
        <v>-8.2285410000000003E-2</v>
      </c>
      <c r="S3188">
        <v>3.0847169999999999</v>
      </c>
      <c r="T3188">
        <v>-0.66320819999999903</v>
      </c>
      <c r="U3188">
        <v>-0.71641540000000004</v>
      </c>
      <c r="V3188" s="1">
        <v>2.9755289999999999E-5</v>
      </c>
      <c r="W3188">
        <v>0.1457552</v>
      </c>
      <c r="X3188">
        <v>0.98932070000000005</v>
      </c>
      <c r="Y3188">
        <v>0.14335809999999999</v>
      </c>
      <c r="Z3188">
        <v>2.305437E-3</v>
      </c>
      <c r="AA3188">
        <v>0.9896682</v>
      </c>
      <c r="AB3188">
        <v>23</v>
      </c>
      <c r="AC3188">
        <v>0.53219999999998802</v>
      </c>
      <c r="AD3188">
        <v>-0.16142889999999999</v>
      </c>
      <c r="AE3188">
        <v>-0.15809999999999</v>
      </c>
      <c r="AF3188">
        <v>0.104578272982566</v>
      </c>
      <c r="AG3188">
        <v>-0.16142889999999999</v>
      </c>
      <c r="AH3188">
        <v>0.50111191916668496</v>
      </c>
      <c r="AI3188">
        <v>107.502538653613</v>
      </c>
      <c r="AJ3188">
        <v>78.211992640965804</v>
      </c>
      <c r="AK3188">
        <v>0.53675791607217505</v>
      </c>
      <c r="AL3188">
        <v>81.618986526274796</v>
      </c>
      <c r="AM3188">
        <v>89.998276744300696</v>
      </c>
      <c r="AN3188">
        <v>1.0000000133304501</v>
      </c>
    </row>
    <row r="3189" spans="1:40" x14ac:dyDescent="0.25">
      <c r="A3189" t="str">
        <f>"20190312172431636"</f>
        <v>20190312172431636</v>
      </c>
      <c r="B3189" t="str">
        <f>"1552382671632894"</f>
        <v>1552382671632894</v>
      </c>
      <c r="C3189" t="s">
        <v>40</v>
      </c>
      <c r="D3189">
        <v>4.0337319999999997</v>
      </c>
      <c r="E3189">
        <v>0.56914560000000003</v>
      </c>
      <c r="F3189" t="s">
        <v>41</v>
      </c>
      <c r="G3189">
        <v>-457.30149999999998</v>
      </c>
      <c r="H3189">
        <v>0.94980540000000002</v>
      </c>
      <c r="I3189">
        <v>214.2747</v>
      </c>
      <c r="J3189">
        <v>-457.82029999999997</v>
      </c>
      <c r="K3189">
        <v>1.1089039999999999</v>
      </c>
      <c r="L3189">
        <v>214.43029999999999</v>
      </c>
      <c r="M3189">
        <v>0.99663749999999995</v>
      </c>
      <c r="N3189">
        <v>0</v>
      </c>
      <c r="O3189">
        <v>-8.1922200000000001E-2</v>
      </c>
      <c r="P3189">
        <v>0.98552530000000005</v>
      </c>
      <c r="Q3189">
        <v>0.14721229999999999</v>
      </c>
      <c r="R3189">
        <v>-8.4075259999999999E-2</v>
      </c>
      <c r="S3189">
        <v>3.082916</v>
      </c>
      <c r="T3189">
        <v>-0.66502269999999997</v>
      </c>
      <c r="U3189">
        <v>-0.72013850000000001</v>
      </c>
      <c r="V3189">
        <v>2.8597829999999999E-3</v>
      </c>
      <c r="W3189">
        <v>0.14562079999999999</v>
      </c>
      <c r="X3189">
        <v>0.9893364</v>
      </c>
      <c r="Y3189">
        <v>0.14554249999999999</v>
      </c>
      <c r="Z3189">
        <v>1.8717320000000001E-3</v>
      </c>
      <c r="AA3189">
        <v>0.98935030000000002</v>
      </c>
      <c r="AB3189">
        <v>23</v>
      </c>
      <c r="AC3189">
        <v>0.51879999999999804</v>
      </c>
      <c r="AD3189">
        <v>-0.15909860000000001</v>
      </c>
      <c r="AE3189">
        <v>-0.15559999999999199</v>
      </c>
      <c r="AF3189">
        <v>0.10363386533902701</v>
      </c>
      <c r="AG3189">
        <v>-0.15909860000000001</v>
      </c>
      <c r="AH3189">
        <v>0.48772127355384398</v>
      </c>
      <c r="AI3189">
        <v>107.697061417074</v>
      </c>
      <c r="AJ3189">
        <v>78.003876855113901</v>
      </c>
      <c r="AK3189">
        <v>0.52337785895474298</v>
      </c>
      <c r="AL3189">
        <v>81.626770468862503</v>
      </c>
      <c r="AM3189">
        <v>89.834380863920202</v>
      </c>
      <c r="AN3189">
        <v>1.0000000540581999</v>
      </c>
    </row>
    <row r="3190" spans="1:40" x14ac:dyDescent="0.25">
      <c r="A3190" t="str">
        <f>"20190312172431659"</f>
        <v>20190312172431659</v>
      </c>
      <c r="B3190" t="str">
        <f>"1552382671653390"</f>
        <v>1552382671653390</v>
      </c>
      <c r="C3190" t="s">
        <v>40</v>
      </c>
      <c r="D3190">
        <v>4.0051769999999998</v>
      </c>
      <c r="E3190">
        <v>0.56872509999999998</v>
      </c>
      <c r="F3190" t="s">
        <v>41</v>
      </c>
      <c r="G3190">
        <v>-457.09379999999999</v>
      </c>
      <c r="H3190">
        <v>0.95159130000000003</v>
      </c>
      <c r="I3190">
        <v>214.25960000000001</v>
      </c>
      <c r="J3190">
        <v>-457.58580000000001</v>
      </c>
      <c r="K3190">
        <v>1.108784</v>
      </c>
      <c r="L3190">
        <v>214.41210000000001</v>
      </c>
      <c r="M3190">
        <v>0.99670950000000003</v>
      </c>
      <c r="N3190">
        <v>0</v>
      </c>
      <c r="O3190">
        <v>-8.1039699999999895E-2</v>
      </c>
      <c r="P3190">
        <v>0.98525759999999996</v>
      </c>
      <c r="Q3190">
        <v>0.1478661</v>
      </c>
      <c r="R3190">
        <v>-8.6041359999999997E-2</v>
      </c>
      <c r="S3190">
        <v>3.0820620000000001</v>
      </c>
      <c r="T3190">
        <v>-0.66735710000000004</v>
      </c>
      <c r="U3190">
        <v>-0.72357179999999999</v>
      </c>
      <c r="V3190">
        <v>5.7557569999999898E-3</v>
      </c>
      <c r="W3190">
        <v>0.14624670000000001</v>
      </c>
      <c r="X3190">
        <v>0.98923139999999998</v>
      </c>
      <c r="Y3190">
        <v>0.14745259999999999</v>
      </c>
      <c r="Z3190">
        <v>1.4913389999999999E-3</v>
      </c>
      <c r="AA3190">
        <v>0.98906799999999995</v>
      </c>
      <c r="AB3190">
        <v>23</v>
      </c>
      <c r="AC3190">
        <v>0.49200000000001798</v>
      </c>
      <c r="AD3190">
        <v>-0.15719269999999899</v>
      </c>
      <c r="AE3190">
        <v>-0.15250000000000299</v>
      </c>
      <c r="AF3190">
        <v>0.10257399901243699</v>
      </c>
      <c r="AG3190">
        <v>-0.15719269999999899</v>
      </c>
      <c r="AH3190">
        <v>0.45990856421845</v>
      </c>
      <c r="AI3190">
        <v>108.448435361858</v>
      </c>
      <c r="AJ3190">
        <v>77.427025324498899</v>
      </c>
      <c r="AK3190">
        <v>0.49673620529227602</v>
      </c>
      <c r="AL3190">
        <v>81.590520462323198</v>
      </c>
      <c r="AM3190">
        <v>89.666633244130693</v>
      </c>
      <c r="AN3190">
        <v>0.999999994372746</v>
      </c>
    </row>
    <row r="3191" spans="1:40" x14ac:dyDescent="0.25">
      <c r="A3191" t="str">
        <f>"20190312172431682"</f>
        <v>20190312172431682</v>
      </c>
      <c r="B3191" t="str">
        <f>"1552382671672911"</f>
        <v>1552382671672911</v>
      </c>
      <c r="C3191" t="s">
        <v>40</v>
      </c>
      <c r="D3191">
        <v>3.9729390000000002</v>
      </c>
      <c r="E3191">
        <v>0.5682779</v>
      </c>
      <c r="F3191" t="s">
        <v>41</v>
      </c>
      <c r="G3191">
        <v>-456.88209999999998</v>
      </c>
      <c r="H3191">
        <v>0.95707089999999995</v>
      </c>
      <c r="I3191">
        <v>214.24619999999999</v>
      </c>
      <c r="J3191">
        <v>-457.33929999999998</v>
      </c>
      <c r="K3191">
        <v>1.1086530000000001</v>
      </c>
      <c r="L3191">
        <v>214.393</v>
      </c>
      <c r="M3191">
        <v>0.99676719999999996</v>
      </c>
      <c r="N3191">
        <v>0</v>
      </c>
      <c r="O3191">
        <v>-8.0328250000000004E-2</v>
      </c>
      <c r="P3191">
        <v>0.98508229999999997</v>
      </c>
      <c r="Q3191">
        <v>0.14765439999999999</v>
      </c>
      <c r="R3191">
        <v>-8.8382740000000001E-2</v>
      </c>
      <c r="S3191">
        <v>3.081207</v>
      </c>
      <c r="T3191">
        <v>-0.66421289999999999</v>
      </c>
      <c r="U3191">
        <v>-0.72558590000000001</v>
      </c>
      <c r="V3191">
        <v>8.8529609999999995E-3</v>
      </c>
      <c r="W3191">
        <v>0.14601</v>
      </c>
      <c r="X3191">
        <v>0.98924350000000005</v>
      </c>
      <c r="Y3191">
        <v>0.1488004</v>
      </c>
      <c r="Z3191">
        <v>1.1942960000000001E-3</v>
      </c>
      <c r="AA3191">
        <v>0.98886649999999998</v>
      </c>
      <c r="AB3191">
        <v>23</v>
      </c>
      <c r="AC3191">
        <v>0.4572</v>
      </c>
      <c r="AD3191">
        <v>-0.1515821</v>
      </c>
      <c r="AE3191">
        <v>-0.146800000000013</v>
      </c>
      <c r="AF3191">
        <v>9.9667755819553602E-2</v>
      </c>
      <c r="AG3191">
        <v>-0.1515821</v>
      </c>
      <c r="AH3191">
        <v>0.42514929730613099</v>
      </c>
      <c r="AI3191">
        <v>109.143292636551</v>
      </c>
      <c r="AJ3191">
        <v>76.806401373848004</v>
      </c>
      <c r="AK3191">
        <v>0.46223664890444699</v>
      </c>
      <c r="AL3191">
        <v>81.604229567754004</v>
      </c>
      <c r="AM3191">
        <v>89.487260961697999</v>
      </c>
      <c r="AN3191">
        <v>0.99999999865535805</v>
      </c>
    </row>
    <row r="3192" spans="1:40" x14ac:dyDescent="0.25">
      <c r="A3192" t="str">
        <f>"20190312172431704"</f>
        <v>20190312172431704</v>
      </c>
      <c r="B3192" t="str">
        <f>"1552382671693409"</f>
        <v>1552382671693409</v>
      </c>
      <c r="C3192" t="s">
        <v>40</v>
      </c>
      <c r="D3192">
        <v>3.9456799999999999</v>
      </c>
      <c r="E3192">
        <v>0.56786700000000001</v>
      </c>
      <c r="F3192" t="s">
        <v>41</v>
      </c>
      <c r="G3192">
        <v>-456.4742</v>
      </c>
      <c r="H3192">
        <v>0.92245659999999896</v>
      </c>
      <c r="I3192">
        <v>214.1884</v>
      </c>
      <c r="J3192">
        <v>-457.10820000000001</v>
      </c>
      <c r="K3192">
        <v>1.1085389999999999</v>
      </c>
      <c r="L3192">
        <v>214.375</v>
      </c>
      <c r="M3192">
        <v>0.99680449999999998</v>
      </c>
      <c r="N3192">
        <v>0</v>
      </c>
      <c r="O3192">
        <v>-7.9864580000000004E-2</v>
      </c>
      <c r="P3192">
        <v>0.98499099999999995</v>
      </c>
      <c r="Q3192">
        <v>0.14723510000000001</v>
      </c>
      <c r="R3192">
        <v>-9.0083930000000006E-2</v>
      </c>
      <c r="S3192">
        <v>3.079437</v>
      </c>
      <c r="T3192">
        <v>-0.66277269999999999</v>
      </c>
      <c r="U3192">
        <v>-0.72863769999999894</v>
      </c>
      <c r="V3192">
        <v>1.105627E-2</v>
      </c>
      <c r="W3192">
        <v>0.1455717</v>
      </c>
      <c r="X3192">
        <v>0.98928590000000005</v>
      </c>
      <c r="Y3192">
        <v>0.15027850000000001</v>
      </c>
      <c r="Z3192">
        <v>9.4023719999999998E-4</v>
      </c>
      <c r="AA3192">
        <v>0.98864319999999895</v>
      </c>
      <c r="AB3192">
        <v>24</v>
      </c>
      <c r="AC3192">
        <v>0.634000000000014</v>
      </c>
      <c r="AD3192">
        <v>-0.18608240000000001</v>
      </c>
      <c r="AE3192">
        <v>-0.18659999999999799</v>
      </c>
      <c r="AF3192">
        <v>0.125426211338902</v>
      </c>
      <c r="AG3192">
        <v>-0.18608240000000001</v>
      </c>
      <c r="AH3192">
        <v>0.59936144134443903</v>
      </c>
      <c r="AI3192">
        <v>106.90324605635701</v>
      </c>
      <c r="AJ3192">
        <v>78.180483650416306</v>
      </c>
      <c r="AK3192">
        <v>0.63999416516955399</v>
      </c>
      <c r="AL3192">
        <v>81.629613337470104</v>
      </c>
      <c r="AM3192">
        <v>89.359688401836905</v>
      </c>
      <c r="AN3192">
        <v>0.99999997644300598</v>
      </c>
    </row>
    <row r="3193" spans="1:40" x14ac:dyDescent="0.25">
      <c r="A3193" t="str">
        <f>"20190312172431725"</f>
        <v>20190312172431725</v>
      </c>
      <c r="B3193" t="str">
        <f>"1552382671712926"</f>
        <v>1552382671712926</v>
      </c>
      <c r="C3193" t="s">
        <v>40</v>
      </c>
      <c r="D3193">
        <v>4.1636139999999999</v>
      </c>
      <c r="E3193">
        <v>0.56762460000000003</v>
      </c>
      <c r="F3193" t="s">
        <v>41</v>
      </c>
      <c r="G3193">
        <v>-456.25760000000002</v>
      </c>
      <c r="H3193">
        <v>0.92564590000000002</v>
      </c>
      <c r="I3193">
        <v>214.17230000000001</v>
      </c>
      <c r="J3193">
        <v>-456.87189999999998</v>
      </c>
      <c r="K3193">
        <v>1.108433</v>
      </c>
      <c r="L3193">
        <v>214.35659999999999</v>
      </c>
      <c r="M3193">
        <v>0.99682979999999999</v>
      </c>
      <c r="N3193">
        <v>0</v>
      </c>
      <c r="O3193">
        <v>-7.9545210000000005E-2</v>
      </c>
      <c r="P3193">
        <v>0.98495069999999996</v>
      </c>
      <c r="Q3193">
        <v>0.1467492</v>
      </c>
      <c r="R3193">
        <v>-9.130713E-2</v>
      </c>
      <c r="S3193">
        <v>3.0776669999999999</v>
      </c>
      <c r="T3193">
        <v>-0.66181020000000002</v>
      </c>
      <c r="U3193">
        <v>-0.73242189999999996</v>
      </c>
      <c r="V3193">
        <v>1.263159E-2</v>
      </c>
      <c r="W3193">
        <v>0.14507349999999999</v>
      </c>
      <c r="X3193">
        <v>0.9893402</v>
      </c>
      <c r="Y3193">
        <v>0.151836</v>
      </c>
      <c r="Z3193">
        <v>7.0919380000000005E-4</v>
      </c>
      <c r="AA3193">
        <v>0.98840550000000005</v>
      </c>
      <c r="AB3193">
        <v>24</v>
      </c>
      <c r="AC3193">
        <v>0.61429999999995699</v>
      </c>
      <c r="AD3193">
        <v>-0.18278710000000001</v>
      </c>
      <c r="AE3193">
        <v>-0.18429999999997901</v>
      </c>
      <c r="AF3193">
        <v>0.124720639852673</v>
      </c>
      <c r="AG3193">
        <v>-0.18278710000000001</v>
      </c>
      <c r="AH3193">
        <v>0.57990941924928496</v>
      </c>
      <c r="AI3193">
        <v>107.126848288272</v>
      </c>
      <c r="AJ3193">
        <v>77.862331611893794</v>
      </c>
      <c r="AK3193">
        <v>0.62069420527801999</v>
      </c>
      <c r="AL3193">
        <v>81.658464183849901</v>
      </c>
      <c r="AM3193">
        <v>89.268504935924398</v>
      </c>
      <c r="AN3193">
        <v>0.99999995440210798</v>
      </c>
    </row>
    <row r="3194" spans="1:40" x14ac:dyDescent="0.25">
      <c r="A3194" t="str">
        <f>"20190312172431748"</f>
        <v>20190312172431748</v>
      </c>
      <c r="B3194" t="str">
        <f>"1552382671743182"</f>
        <v>1552382671743182</v>
      </c>
      <c r="C3194" t="s">
        <v>40</v>
      </c>
      <c r="D3194">
        <v>4.0162820000000004</v>
      </c>
      <c r="E3194">
        <v>0.51863930000000003</v>
      </c>
      <c r="F3194" t="s">
        <v>41</v>
      </c>
      <c r="G3194">
        <v>-456.03910000000002</v>
      </c>
      <c r="H3194">
        <v>0.92862370000000005</v>
      </c>
      <c r="I3194">
        <v>214.15710000000001</v>
      </c>
      <c r="J3194">
        <v>-456.63400000000001</v>
      </c>
      <c r="K3194">
        <v>1.1083430000000001</v>
      </c>
      <c r="L3194">
        <v>214.33789999999999</v>
      </c>
      <c r="M3194">
        <v>0.99684479999999998</v>
      </c>
      <c r="N3194">
        <v>0</v>
      </c>
      <c r="O3194">
        <v>-7.9358090000000006E-2</v>
      </c>
      <c r="P3194">
        <v>0.98486419999999997</v>
      </c>
      <c r="Q3194">
        <v>0.1467456</v>
      </c>
      <c r="R3194">
        <v>-9.2239660000000001E-2</v>
      </c>
      <c r="S3194">
        <v>3.0765989999999999</v>
      </c>
      <c r="T3194">
        <v>-0.66424700000000003</v>
      </c>
      <c r="U3194">
        <v>-0.73577879999999996</v>
      </c>
      <c r="V3194">
        <v>1.3784340000000001E-2</v>
      </c>
      <c r="W3194">
        <v>0.14506459999999999</v>
      </c>
      <c r="X3194">
        <v>0.98932620000000004</v>
      </c>
      <c r="Y3194">
        <v>0.1530762</v>
      </c>
      <c r="Z3194">
        <v>5.4200919999999896E-4</v>
      </c>
      <c r="AA3194">
        <v>0.98821429999999999</v>
      </c>
      <c r="AB3194">
        <v>24</v>
      </c>
      <c r="AC3194">
        <v>0.59489999999999499</v>
      </c>
      <c r="AD3194">
        <v>-0.1797193</v>
      </c>
      <c r="AE3194">
        <v>-0.18079999999997601</v>
      </c>
      <c r="AF3194">
        <v>0.12276304542142299</v>
      </c>
      <c r="AG3194">
        <v>-0.1797193</v>
      </c>
      <c r="AH3194">
        <v>0.560540014047892</v>
      </c>
      <c r="AI3194">
        <v>107.39029314053499</v>
      </c>
      <c r="AJ3194">
        <v>77.646777156458299</v>
      </c>
      <c r="AK3194">
        <v>0.60131098398619298</v>
      </c>
      <c r="AL3194">
        <v>81.658980271425307</v>
      </c>
      <c r="AM3194">
        <v>89.201746194190207</v>
      </c>
      <c r="AN3194">
        <v>1.0000000381044101</v>
      </c>
    </row>
    <row r="3195" spans="1:40" x14ac:dyDescent="0.25">
      <c r="A3195" t="str">
        <f>"20190312172431771"</f>
        <v>20190312172431771</v>
      </c>
      <c r="B3195" t="str">
        <f>"1552382671763678"</f>
        <v>1552382671763678</v>
      </c>
      <c r="C3195" t="s">
        <v>40</v>
      </c>
      <c r="D3195">
        <v>3.9275039999999999</v>
      </c>
      <c r="E3195">
        <v>0.51292780000000004</v>
      </c>
      <c r="F3195" t="s">
        <v>41</v>
      </c>
      <c r="G3195">
        <v>-455.78219999999999</v>
      </c>
      <c r="H3195">
        <v>0.99586960000000002</v>
      </c>
      <c r="I3195">
        <v>214.2355</v>
      </c>
      <c r="J3195">
        <v>-456.37450000000001</v>
      </c>
      <c r="K3195">
        <v>1.108257</v>
      </c>
      <c r="L3195">
        <v>214.31739999999999</v>
      </c>
      <c r="M3195">
        <v>0.99685060000000003</v>
      </c>
      <c r="N3195">
        <v>0</v>
      </c>
      <c r="O3195">
        <v>-7.9284499999999994E-2</v>
      </c>
      <c r="P3195">
        <v>0.98467170000000004</v>
      </c>
      <c r="Q3195">
        <v>0.14739469999999999</v>
      </c>
      <c r="R3195">
        <v>-9.3255909999999997E-2</v>
      </c>
      <c r="S3195">
        <v>3.0721440000000002</v>
      </c>
      <c r="T3195">
        <v>-0.40566859999999999</v>
      </c>
      <c r="U3195">
        <v>-0.36740109999999998</v>
      </c>
      <c r="V3195">
        <v>1.4913589999999999E-2</v>
      </c>
      <c r="W3195">
        <v>0.1457165</v>
      </c>
      <c r="X3195">
        <v>0.98921389999999998</v>
      </c>
      <c r="Y3195">
        <v>3.998206E-2</v>
      </c>
      <c r="Z3195">
        <v>7.7479979999999999E-3</v>
      </c>
      <c r="AA3195">
        <v>0.99917040000000001</v>
      </c>
      <c r="AB3195">
        <v>24</v>
      </c>
      <c r="AC3195">
        <v>0.59230000000002203</v>
      </c>
      <c r="AD3195">
        <v>-0.1123874</v>
      </c>
      <c r="AE3195">
        <v>-8.18999999999903E-2</v>
      </c>
      <c r="AF3195">
        <v>3.3498450573317899E-2</v>
      </c>
      <c r="AG3195">
        <v>-0.1123874</v>
      </c>
      <c r="AH3195">
        <v>0.57655980601534995</v>
      </c>
      <c r="AI3195">
        <v>101.012094965632</v>
      </c>
      <c r="AJ3195">
        <v>86.6748210425623</v>
      </c>
      <c r="AK3195">
        <v>0.58836577380234401</v>
      </c>
      <c r="AL3195">
        <v>81.621227071118895</v>
      </c>
      <c r="AM3195">
        <v>89.136262608135496</v>
      </c>
      <c r="AN3195">
        <v>0.99999992674607097</v>
      </c>
    </row>
    <row r="3196" spans="1:40" x14ac:dyDescent="0.25">
      <c r="A3196" t="str">
        <f>"20190312172431793"</f>
        <v>20190312172431793</v>
      </c>
      <c r="B3196" t="str">
        <f>"1552382671783197"</f>
        <v>1552382671783197</v>
      </c>
      <c r="C3196" t="s">
        <v>40</v>
      </c>
      <c r="D3196">
        <v>3.9271449999999999</v>
      </c>
      <c r="E3196">
        <v>0.51029049999999998</v>
      </c>
      <c r="F3196" t="s">
        <v>41</v>
      </c>
      <c r="G3196">
        <v>-455.55410000000001</v>
      </c>
      <c r="H3196">
        <v>1.0077780000000001</v>
      </c>
      <c r="I3196">
        <v>214.22989999999999</v>
      </c>
      <c r="J3196">
        <v>-456.11860000000001</v>
      </c>
      <c r="K3196">
        <v>1.1081890000000001</v>
      </c>
      <c r="L3196">
        <v>214.2971</v>
      </c>
      <c r="M3196">
        <v>0.99684729999999999</v>
      </c>
      <c r="N3196">
        <v>0</v>
      </c>
      <c r="O3196">
        <v>-7.9327170000000002E-2</v>
      </c>
      <c r="P3196">
        <v>0.98436389999999996</v>
      </c>
      <c r="Q3196">
        <v>0.14867610000000001</v>
      </c>
      <c r="R3196">
        <v>-9.4462939999999995E-2</v>
      </c>
      <c r="S3196">
        <v>3.0721440000000002</v>
      </c>
      <c r="T3196">
        <v>-0.3763437</v>
      </c>
      <c r="U3196">
        <v>-0.32626339999999998</v>
      </c>
      <c r="V3196">
        <v>1.612367E-2</v>
      </c>
      <c r="W3196">
        <v>0.147009</v>
      </c>
      <c r="X3196">
        <v>0.98900370000000004</v>
      </c>
      <c r="Y3196">
        <v>2.6776950000000001E-2</v>
      </c>
      <c r="Z3196">
        <v>8.0075149999999998E-3</v>
      </c>
      <c r="AA3196">
        <v>0.99960939999999998</v>
      </c>
      <c r="AB3196">
        <v>25</v>
      </c>
      <c r="AC3196">
        <v>0.56450000000000899</v>
      </c>
      <c r="AD3196">
        <v>-0.100410999999999</v>
      </c>
      <c r="AE3196">
        <v>-6.7200000000013901E-2</v>
      </c>
      <c r="AF3196">
        <v>2.1536102557334E-2</v>
      </c>
      <c r="AG3196">
        <v>-0.100410999999999</v>
      </c>
      <c r="AH3196">
        <v>0.55086605729979499</v>
      </c>
      <c r="AI3196">
        <v>100.322654893921</v>
      </c>
      <c r="AJ3196">
        <v>87.761162281323493</v>
      </c>
      <c r="AK3196">
        <v>0.56035665938701995</v>
      </c>
      <c r="AL3196">
        <v>81.546366443393396</v>
      </c>
      <c r="AM3196">
        <v>89.065992970146397</v>
      </c>
      <c r="AN3196">
        <v>0.99999996871447905</v>
      </c>
    </row>
    <row r="3197" spans="1:40" x14ac:dyDescent="0.25">
      <c r="A3197" t="str">
        <f>"20190312172431816"</f>
        <v>20190312172431816</v>
      </c>
      <c r="B3197" t="str">
        <f>"1552382671813454"</f>
        <v>1552382671813454</v>
      </c>
      <c r="C3197" t="s">
        <v>40</v>
      </c>
      <c r="D3197">
        <v>3.907778</v>
      </c>
      <c r="E3197">
        <v>0.50887720000000003</v>
      </c>
      <c r="F3197" t="s">
        <v>41</v>
      </c>
      <c r="G3197">
        <v>-455.32639999999998</v>
      </c>
      <c r="H3197">
        <v>1.015871</v>
      </c>
      <c r="I3197">
        <v>214.21729999999999</v>
      </c>
      <c r="J3197">
        <v>-455.86840000000001</v>
      </c>
      <c r="K3197">
        <v>1.108139</v>
      </c>
      <c r="L3197">
        <v>214.27709999999999</v>
      </c>
      <c r="M3197">
        <v>0.99683659999999996</v>
      </c>
      <c r="N3197">
        <v>0</v>
      </c>
      <c r="O3197">
        <v>-7.946106E-2</v>
      </c>
      <c r="P3197">
        <v>0.98415989999999998</v>
      </c>
      <c r="Q3197">
        <v>0.14939069999999999</v>
      </c>
      <c r="R3197">
        <v>-9.5454810000000001E-2</v>
      </c>
      <c r="S3197">
        <v>3.072174</v>
      </c>
      <c r="T3197">
        <v>-0.35807</v>
      </c>
      <c r="U3197">
        <v>-0.30815120000000001</v>
      </c>
      <c r="V3197">
        <v>1.7016469999999999E-2</v>
      </c>
      <c r="W3197">
        <v>0.1477424</v>
      </c>
      <c r="X3197">
        <v>0.98887950000000002</v>
      </c>
      <c r="Y3197">
        <v>2.0814590000000001E-2</v>
      </c>
      <c r="Z3197">
        <v>7.9849750000000001E-3</v>
      </c>
      <c r="AA3197">
        <v>0.99975139999999996</v>
      </c>
      <c r="AB3197">
        <v>25</v>
      </c>
      <c r="AC3197">
        <v>0.54200000000003001</v>
      </c>
      <c r="AD3197">
        <v>-9.2268000000000003E-2</v>
      </c>
      <c r="AE3197">
        <v>-5.97999999999956E-2</v>
      </c>
      <c r="AF3197">
        <v>1.6082486063506301E-2</v>
      </c>
      <c r="AG3197">
        <v>-9.2268000000000003E-2</v>
      </c>
      <c r="AH3197">
        <v>0.529866904288819</v>
      </c>
      <c r="AI3197">
        <v>99.873653710198994</v>
      </c>
      <c r="AJ3197">
        <v>88.261495928753604</v>
      </c>
      <c r="AK3197">
        <v>0.53808081776123495</v>
      </c>
      <c r="AL3197">
        <v>81.503882258734905</v>
      </c>
      <c r="AM3197">
        <v>89.014161283026596</v>
      </c>
      <c r="AN3197">
        <v>1.0000000212646301</v>
      </c>
    </row>
    <row r="3198" spans="1:40" x14ac:dyDescent="0.25">
      <c r="A3198" t="str">
        <f>"20190312172431837"</f>
        <v>20190312172431837</v>
      </c>
      <c r="B3198" t="str">
        <f>"1552382671832974"</f>
        <v>1552382671832974</v>
      </c>
      <c r="C3198" t="s">
        <v>40</v>
      </c>
      <c r="D3198">
        <v>3.903769</v>
      </c>
      <c r="E3198">
        <v>0.50828109999999904</v>
      </c>
      <c r="F3198" t="s">
        <v>41</v>
      </c>
      <c r="G3198">
        <v>-455.09789999999998</v>
      </c>
      <c r="H3198">
        <v>1.022429</v>
      </c>
      <c r="I3198">
        <v>214.2013</v>
      </c>
      <c r="J3198">
        <v>-455.63060000000002</v>
      </c>
      <c r="K3198">
        <v>1.1080920000000001</v>
      </c>
      <c r="L3198">
        <v>214.25800000000001</v>
      </c>
      <c r="M3198">
        <v>0.99682159999999997</v>
      </c>
      <c r="N3198">
        <v>0</v>
      </c>
      <c r="O3198">
        <v>-7.9651840000000002E-2</v>
      </c>
      <c r="P3198">
        <v>0.98399959999999997</v>
      </c>
      <c r="Q3198">
        <v>0.149622799999999</v>
      </c>
      <c r="R3198">
        <v>-9.6738649999999995E-2</v>
      </c>
      <c r="S3198">
        <v>3.0709840000000002</v>
      </c>
      <c r="T3198">
        <v>-0.34171859999999998</v>
      </c>
      <c r="U3198">
        <v>-0.30029299999999998</v>
      </c>
      <c r="V3198">
        <v>1.813524E-2</v>
      </c>
      <c r="W3198">
        <v>0.14799889999999999</v>
      </c>
      <c r="X3198">
        <v>0.98882119999999996</v>
      </c>
      <c r="Y3198">
        <v>1.8111479999999999E-2</v>
      </c>
      <c r="Z3198">
        <v>7.7972909999999996E-3</v>
      </c>
      <c r="AA3198">
        <v>0.99980559999999996</v>
      </c>
      <c r="AB3198">
        <v>25</v>
      </c>
      <c r="AC3198">
        <v>0.53270000000003304</v>
      </c>
      <c r="AD3198">
        <v>-8.5663000000000003E-2</v>
      </c>
      <c r="AE3198">
        <v>-5.66999999999779E-2</v>
      </c>
      <c r="AF3198">
        <v>1.37379870200385E-2</v>
      </c>
      <c r="AG3198">
        <v>-8.5663000000000003E-2</v>
      </c>
      <c r="AH3198">
        <v>0.52217186741870503</v>
      </c>
      <c r="AI3198">
        <v>99.313297800383495</v>
      </c>
      <c r="AJ3198">
        <v>88.492934629233702</v>
      </c>
      <c r="AK3198">
        <v>0.52933008697777595</v>
      </c>
      <c r="AL3198">
        <v>81.489022038585205</v>
      </c>
      <c r="AM3198">
        <v>88.949298181182797</v>
      </c>
      <c r="AN3198">
        <v>0.99999996345025299</v>
      </c>
    </row>
    <row r="3199" spans="1:40" x14ac:dyDescent="0.25">
      <c r="A3199" t="str">
        <f>"20190312172431860"</f>
        <v>20190312172431860</v>
      </c>
      <c r="B3199" t="str">
        <f>"1552382671853470"</f>
        <v>1552382671853470</v>
      </c>
      <c r="C3199" t="s">
        <v>40</v>
      </c>
      <c r="D3199">
        <v>3.8782230000000002</v>
      </c>
      <c r="E3199">
        <v>0.50783199999999995</v>
      </c>
      <c r="F3199" t="s">
        <v>41</v>
      </c>
      <c r="G3199">
        <v>-454.86939999999998</v>
      </c>
      <c r="H3199">
        <v>1.024993</v>
      </c>
      <c r="I3199">
        <v>214.18350000000001</v>
      </c>
      <c r="J3199">
        <v>-455.37009999999998</v>
      </c>
      <c r="K3199">
        <v>1.108058</v>
      </c>
      <c r="L3199">
        <v>214.23689999999999</v>
      </c>
      <c r="M3199">
        <v>0.9968013</v>
      </c>
      <c r="N3199">
        <v>0</v>
      </c>
      <c r="O3199">
        <v>-7.9906420000000006E-2</v>
      </c>
      <c r="P3199">
        <v>0.98378429999999994</v>
      </c>
      <c r="Q3199">
        <v>0.1498177</v>
      </c>
      <c r="R3199">
        <v>-9.8607929999999996E-2</v>
      </c>
      <c r="S3199">
        <v>3.0703130000000001</v>
      </c>
      <c r="T3199">
        <v>-0.3352501</v>
      </c>
      <c r="U3199">
        <v>-0.299591099999999</v>
      </c>
      <c r="V3199">
        <v>1.977483E-2</v>
      </c>
      <c r="W3199">
        <v>0.14822669999999999</v>
      </c>
      <c r="X3199">
        <v>0.98875570000000002</v>
      </c>
      <c r="Y3199">
        <v>1.764129E-2</v>
      </c>
      <c r="Z3199">
        <v>7.7053900000000003E-3</v>
      </c>
      <c r="AA3199">
        <v>0.99981469999999995</v>
      </c>
      <c r="AB3199">
        <v>25</v>
      </c>
      <c r="AC3199">
        <v>0.50069999999999404</v>
      </c>
      <c r="AD3199">
        <v>-8.3064999999999903E-2</v>
      </c>
      <c r="AE3199">
        <v>-5.3399999999982101E-2</v>
      </c>
      <c r="AF3199">
        <v>1.2869838091795699E-2</v>
      </c>
      <c r="AG3199">
        <v>-8.3064999999999903E-2</v>
      </c>
      <c r="AH3199">
        <v>0.490030965256819</v>
      </c>
      <c r="AI3199">
        <v>99.617485486279506</v>
      </c>
      <c r="AJ3199">
        <v>88.495568673145996</v>
      </c>
      <c r="AK3199">
        <v>0.49718786576910601</v>
      </c>
      <c r="AL3199">
        <v>81.475824951477904</v>
      </c>
      <c r="AM3199">
        <v>88.854253612294102</v>
      </c>
      <c r="AN3199">
        <v>1.0000000163884499</v>
      </c>
    </row>
    <row r="3200" spans="1:40" x14ac:dyDescent="0.25">
      <c r="A3200" t="str">
        <f>"20190312172431882"</f>
        <v>20190312172431882</v>
      </c>
      <c r="B3200" t="str">
        <f>"1552382671873966"</f>
        <v>1552382671873966</v>
      </c>
      <c r="C3200" t="s">
        <v>40</v>
      </c>
      <c r="D3200">
        <v>3.8988900000000002</v>
      </c>
      <c r="E3200">
        <v>0.50752759999999997</v>
      </c>
      <c r="F3200" t="s">
        <v>41</v>
      </c>
      <c r="G3200">
        <v>-454.63810000000001</v>
      </c>
      <c r="H3200">
        <v>1.0292239999999999</v>
      </c>
      <c r="I3200">
        <v>214.16489999999999</v>
      </c>
      <c r="J3200">
        <v>-455.10579999999999</v>
      </c>
      <c r="K3200">
        <v>1.10805</v>
      </c>
      <c r="L3200">
        <v>214.21539999999999</v>
      </c>
      <c r="M3200">
        <v>0.99677789999999999</v>
      </c>
      <c r="N3200">
        <v>0</v>
      </c>
      <c r="O3200">
        <v>-8.0195939999999993E-2</v>
      </c>
      <c r="P3200">
        <v>0.98369359999999995</v>
      </c>
      <c r="Q3200">
        <v>0.1494702</v>
      </c>
      <c r="R3200">
        <v>-0.1000287</v>
      </c>
      <c r="S3200">
        <v>3.06955</v>
      </c>
      <c r="T3200">
        <v>-0.33069150000000003</v>
      </c>
      <c r="U3200">
        <v>-0.30154419999999998</v>
      </c>
      <c r="V3200">
        <v>2.0916580000000001E-2</v>
      </c>
      <c r="W3200">
        <v>0.14791969999999999</v>
      </c>
      <c r="X3200">
        <v>0.98877820000000005</v>
      </c>
      <c r="Y3200">
        <v>1.7994969999999999E-2</v>
      </c>
      <c r="Z3200">
        <v>7.6147389999999997E-3</v>
      </c>
      <c r="AA3200">
        <v>0.99980910000000001</v>
      </c>
      <c r="AB3200">
        <v>25</v>
      </c>
      <c r="AC3200">
        <v>0.46769999999997902</v>
      </c>
      <c r="AD3200">
        <v>-7.8825999999999993E-2</v>
      </c>
      <c r="AE3200">
        <v>-5.0499999999999497E-2</v>
      </c>
      <c r="AF3200">
        <v>1.2479262380879401E-2</v>
      </c>
      <c r="AG3200">
        <v>-7.8825999999999993E-2</v>
      </c>
      <c r="AH3200">
        <v>0.45740047891014901</v>
      </c>
      <c r="AI3200">
        <v>99.774442229309898</v>
      </c>
      <c r="AJ3200">
        <v>88.4371862966496</v>
      </c>
      <c r="AK3200">
        <v>0.46431074548496598</v>
      </c>
      <c r="AL3200">
        <v>81.4936109782697</v>
      </c>
      <c r="AM3200">
        <v>88.788147795279102</v>
      </c>
      <c r="AN3200">
        <v>1.00000003488111</v>
      </c>
    </row>
    <row r="3201" spans="1:40" x14ac:dyDescent="0.25">
      <c r="A3201" t="str">
        <f>"20190312172431904"</f>
        <v>20190312172431904</v>
      </c>
      <c r="B3201" t="str">
        <f>"1552382671893495"</f>
        <v>1552382671893495</v>
      </c>
      <c r="C3201" t="s">
        <v>40</v>
      </c>
      <c r="D3201">
        <v>3.8926479999999999</v>
      </c>
      <c r="E3201">
        <v>0.50718960000000002</v>
      </c>
      <c r="F3201" t="s">
        <v>41</v>
      </c>
      <c r="G3201">
        <v>-454.18360000000001</v>
      </c>
      <c r="H3201">
        <v>1.0092099999999999</v>
      </c>
      <c r="I3201">
        <v>214.1241</v>
      </c>
      <c r="J3201">
        <v>-454.85180000000003</v>
      </c>
      <c r="K3201">
        <v>1.1080479999999999</v>
      </c>
      <c r="L3201">
        <v>214.19460000000001</v>
      </c>
      <c r="M3201">
        <v>0.99675449999999999</v>
      </c>
      <c r="N3201">
        <v>0</v>
      </c>
      <c r="O3201">
        <v>-8.0488229999999994E-2</v>
      </c>
      <c r="P3201">
        <v>0.98356659999999996</v>
      </c>
      <c r="Q3201">
        <v>0.1497831</v>
      </c>
      <c r="R3201">
        <v>-0.1008058</v>
      </c>
      <c r="S3201">
        <v>3.0688780000000002</v>
      </c>
      <c r="T3201">
        <v>-0.32900010000000002</v>
      </c>
      <c r="U3201">
        <v>-0.30358889999999999</v>
      </c>
      <c r="V3201">
        <v>2.1413399999999999E-2</v>
      </c>
      <c r="W3201">
        <v>0.14827770000000001</v>
      </c>
      <c r="X3201">
        <v>0.98871390000000003</v>
      </c>
      <c r="Y3201">
        <v>1.8378769999999999E-2</v>
      </c>
      <c r="Z3201">
        <v>7.5879169999999996E-3</v>
      </c>
      <c r="AA3201">
        <v>0.99980230000000003</v>
      </c>
      <c r="AB3201">
        <v>26</v>
      </c>
      <c r="AC3201">
        <v>0.66820000000001301</v>
      </c>
      <c r="AD3201">
        <v>-9.8837999999999898E-2</v>
      </c>
      <c r="AE3201">
        <v>-7.0500000000009694E-2</v>
      </c>
      <c r="AF3201">
        <v>1.6139734695218101E-2</v>
      </c>
      <c r="AG3201">
        <v>-9.8837999999999898E-2</v>
      </c>
      <c r="AH3201">
        <v>0.65747961253978604</v>
      </c>
      <c r="AI3201">
        <v>98.546642029751496</v>
      </c>
      <c r="AJ3201">
        <v>88.593792140146803</v>
      </c>
      <c r="AK3201">
        <v>0.66506306632190804</v>
      </c>
      <c r="AL3201">
        <v>81.472870015099204</v>
      </c>
      <c r="AM3201">
        <v>88.759291571816405</v>
      </c>
      <c r="AN3201">
        <v>0.99999999303502995</v>
      </c>
    </row>
    <row r="3202" spans="1:40" x14ac:dyDescent="0.25">
      <c r="A3202" t="str">
        <f>"20190312172431926"</f>
        <v>20190312172431926</v>
      </c>
      <c r="B3202" t="str">
        <f>"1552382671923742"</f>
        <v>1552382671923742</v>
      </c>
      <c r="C3202" t="s">
        <v>40</v>
      </c>
      <c r="D3202">
        <v>3.9095819999999999</v>
      </c>
      <c r="E3202">
        <v>0.50658939999999997</v>
      </c>
      <c r="F3202" t="s">
        <v>41</v>
      </c>
      <c r="G3202">
        <v>-453.94729999999998</v>
      </c>
      <c r="H3202">
        <v>1.012046</v>
      </c>
      <c r="I3202">
        <v>214.10470000000001</v>
      </c>
      <c r="J3202">
        <v>-454.5985</v>
      </c>
      <c r="K3202">
        <v>1.10806</v>
      </c>
      <c r="L3202">
        <v>214.1738</v>
      </c>
      <c r="M3202">
        <v>0.99673069999999997</v>
      </c>
      <c r="N3202">
        <v>0</v>
      </c>
      <c r="O3202">
        <v>-8.0784919999999996E-2</v>
      </c>
      <c r="P3202">
        <v>0.98328459999999995</v>
      </c>
      <c r="Q3202">
        <v>0.151201799999999</v>
      </c>
      <c r="R3202">
        <v>-0.1014375</v>
      </c>
      <c r="S3202">
        <v>3.0684809999999998</v>
      </c>
      <c r="T3202">
        <v>-0.32572770000000001</v>
      </c>
      <c r="U3202">
        <v>-0.30493160000000002</v>
      </c>
      <c r="V3202">
        <v>2.1771539999999999E-2</v>
      </c>
      <c r="W3202">
        <v>0.1497473</v>
      </c>
      <c r="X3202">
        <v>0.98848460000000005</v>
      </c>
      <c r="Y3202">
        <v>1.852109E-2</v>
      </c>
      <c r="Z3202">
        <v>7.5373000000000002E-3</v>
      </c>
      <c r="AA3202">
        <v>0.99980009999999997</v>
      </c>
      <c r="AB3202">
        <v>26</v>
      </c>
      <c r="AC3202">
        <v>0.65120000000001699</v>
      </c>
      <c r="AD3202">
        <v>-9.6014000000000002E-2</v>
      </c>
      <c r="AE3202">
        <v>-6.9099999999991696E-2</v>
      </c>
      <c r="AF3202">
        <v>1.59246336841787E-2</v>
      </c>
      <c r="AG3202">
        <v>-9.6014000000000002E-2</v>
      </c>
      <c r="AH3202">
        <v>0.64087690515965501</v>
      </c>
      <c r="AI3202">
        <v>98.517897985159195</v>
      </c>
      <c r="AJ3202">
        <v>88.576596257776302</v>
      </c>
      <c r="AK3202">
        <v>0.64822487588875599</v>
      </c>
      <c r="AL3202">
        <v>81.387717739764298</v>
      </c>
      <c r="AM3202">
        <v>88.738254795819799</v>
      </c>
      <c r="AN3202">
        <v>1.0000000291242099</v>
      </c>
    </row>
    <row r="3203" spans="1:40" x14ac:dyDescent="0.25">
      <c r="A3203" t="str">
        <f>"20190312172431950"</f>
        <v>20190312172431950</v>
      </c>
      <c r="B3203" t="str">
        <f>"1552382671943263"</f>
        <v>1552382671943263</v>
      </c>
      <c r="C3203" t="s">
        <v>40</v>
      </c>
      <c r="D3203">
        <v>3.9748070000000002</v>
      </c>
      <c r="E3203">
        <v>0.50608009999999903</v>
      </c>
      <c r="F3203" t="s">
        <v>41</v>
      </c>
      <c r="G3203">
        <v>-453.70830000000001</v>
      </c>
      <c r="H3203">
        <v>1.0159750000000001</v>
      </c>
      <c r="I3203">
        <v>214.08619999999999</v>
      </c>
      <c r="J3203">
        <v>-454.32139999999998</v>
      </c>
      <c r="K3203">
        <v>1.1080749999999999</v>
      </c>
      <c r="L3203">
        <v>214.15100000000001</v>
      </c>
      <c r="M3203">
        <v>0.99670429999999999</v>
      </c>
      <c r="N3203">
        <v>0</v>
      </c>
      <c r="O3203">
        <v>-8.1109520000000004E-2</v>
      </c>
      <c r="P3203">
        <v>0.98302869999999998</v>
      </c>
      <c r="Q3203">
        <v>0.15249589999999999</v>
      </c>
      <c r="R3203">
        <v>-0.1019798</v>
      </c>
      <c r="S3203">
        <v>3.0685419999999999</v>
      </c>
      <c r="T3203">
        <v>-0.3173995</v>
      </c>
      <c r="U3203">
        <v>-0.30264279999999999</v>
      </c>
      <c r="V3203">
        <v>2.200947E-2</v>
      </c>
      <c r="W3203">
        <v>0.15110170000000001</v>
      </c>
      <c r="X3203">
        <v>0.98827310000000002</v>
      </c>
      <c r="Y3203">
        <v>1.744501E-2</v>
      </c>
      <c r="Z3203">
        <v>7.4344279999999999E-3</v>
      </c>
      <c r="AA3203">
        <v>0.99982020000000005</v>
      </c>
      <c r="AB3203">
        <v>26</v>
      </c>
      <c r="AC3203">
        <v>0.613099999999974</v>
      </c>
      <c r="AD3203">
        <v>-9.2099999999999793E-2</v>
      </c>
      <c r="AE3203">
        <v>-6.4799999999991004E-2</v>
      </c>
      <c r="AF3203">
        <v>1.4533855912797501E-2</v>
      </c>
      <c r="AG3203">
        <v>-9.2099999999999793E-2</v>
      </c>
      <c r="AH3203">
        <v>0.60288146326742098</v>
      </c>
      <c r="AI3203">
        <v>98.683230342216604</v>
      </c>
      <c r="AJ3203">
        <v>88.619019834187895</v>
      </c>
      <c r="AK3203">
        <v>0.61004893387265302</v>
      </c>
      <c r="AL3203">
        <v>81.309222316377998</v>
      </c>
      <c r="AM3203">
        <v>88.7241974746821</v>
      </c>
      <c r="AN3203">
        <v>0.99999993034808798</v>
      </c>
    </row>
    <row r="3204" spans="1:40" x14ac:dyDescent="0.25">
      <c r="A3204" t="str">
        <f>"20190312172431973"</f>
        <v>20190312172431973</v>
      </c>
      <c r="B3204" t="str">
        <f>"1552382671963758"</f>
        <v>1552382671963758</v>
      </c>
      <c r="C3204" t="s">
        <v>40</v>
      </c>
      <c r="D3204">
        <v>4.0086700000000004</v>
      </c>
      <c r="E3204">
        <v>0.48640169999999999</v>
      </c>
      <c r="F3204" t="s">
        <v>41</v>
      </c>
      <c r="G3204">
        <v>-453.46690000000001</v>
      </c>
      <c r="H3204">
        <v>1.0216369999999999</v>
      </c>
      <c r="I3204">
        <v>214.0669</v>
      </c>
      <c r="J3204">
        <v>-454.04570000000001</v>
      </c>
      <c r="K3204">
        <v>1.108098</v>
      </c>
      <c r="L3204">
        <v>214.12819999999999</v>
      </c>
      <c r="M3204">
        <v>0.99667830000000002</v>
      </c>
      <c r="N3204">
        <v>0</v>
      </c>
      <c r="O3204">
        <v>-8.1429459999999995E-2</v>
      </c>
      <c r="P3204">
        <v>0.98280540000000005</v>
      </c>
      <c r="Q3204">
        <v>0.15359239999999999</v>
      </c>
      <c r="R3204">
        <v>-0.1024862</v>
      </c>
      <c r="S3204">
        <v>3.0688170000000001</v>
      </c>
      <c r="T3204">
        <v>-0.3105695</v>
      </c>
      <c r="U3204">
        <v>-0.30035400000000001</v>
      </c>
      <c r="V3204">
        <v>2.2213219999999999E-2</v>
      </c>
      <c r="W3204">
        <v>0.15226210000000001</v>
      </c>
      <c r="X3204">
        <v>0.98809049999999998</v>
      </c>
      <c r="Y3204">
        <v>1.6369519999999999E-2</v>
      </c>
      <c r="Z3204">
        <v>7.3611750000000002E-3</v>
      </c>
      <c r="AA3204">
        <v>0.99983889999999997</v>
      </c>
      <c r="AB3204">
        <v>27</v>
      </c>
      <c r="AC3204">
        <v>0.57880000000000098</v>
      </c>
      <c r="AD3204">
        <v>-8.6460999999999899E-2</v>
      </c>
      <c r="AE3204">
        <v>-6.1299999999988503E-2</v>
      </c>
      <c r="AF3204">
        <v>1.3663509722955E-2</v>
      </c>
      <c r="AG3204">
        <v>-8.6460999999999899E-2</v>
      </c>
      <c r="AH3204">
        <v>0.569306719959907</v>
      </c>
      <c r="AI3204">
        <v>98.633111843279295</v>
      </c>
      <c r="AJ3204">
        <v>88.625150288439201</v>
      </c>
      <c r="AK3204">
        <v>0.575996820660025</v>
      </c>
      <c r="AL3204">
        <v>81.241958654632896</v>
      </c>
      <c r="AM3204">
        <v>88.712152974197096</v>
      </c>
      <c r="AN3204">
        <v>1.00000000521471</v>
      </c>
    </row>
    <row r="3205" spans="1:40" x14ac:dyDescent="0.25">
      <c r="A3205" t="str">
        <f>"20190312172431996"</f>
        <v>20190312172431996</v>
      </c>
      <c r="B3205" t="str">
        <f>"1552382671993038"</f>
        <v>1552382671993038</v>
      </c>
      <c r="C3205" t="s">
        <v>40</v>
      </c>
      <c r="D3205">
        <v>3.9901049999999998</v>
      </c>
      <c r="E3205">
        <v>0.48376049999999998</v>
      </c>
      <c r="F3205" t="s">
        <v>41</v>
      </c>
      <c r="G3205">
        <v>-453.21260000000001</v>
      </c>
      <c r="H3205">
        <v>1.034618</v>
      </c>
      <c r="I3205">
        <v>214.08850000000001</v>
      </c>
      <c r="J3205">
        <v>-453.75779999999997</v>
      </c>
      <c r="K3205">
        <v>1.108112</v>
      </c>
      <c r="L3205">
        <v>214.10429999999999</v>
      </c>
      <c r="M3205">
        <v>0.99665119999999896</v>
      </c>
      <c r="N3205">
        <v>0</v>
      </c>
      <c r="O3205">
        <v>-8.1761319999999998E-2</v>
      </c>
      <c r="P3205">
        <v>0.98281200000000002</v>
      </c>
      <c r="Q3205">
        <v>0.15395919999999999</v>
      </c>
      <c r="R3205">
        <v>-0.1018688</v>
      </c>
      <c r="S3205">
        <v>3.0795590000000002</v>
      </c>
      <c r="T3205">
        <v>-0.27157290000000001</v>
      </c>
      <c r="U3205">
        <v>-0.147308299999999</v>
      </c>
      <c r="V3205">
        <v>2.126631E-2</v>
      </c>
      <c r="W3205">
        <v>0.15270039999999999</v>
      </c>
      <c r="X3205">
        <v>0.98804369999999997</v>
      </c>
      <c r="Y3205">
        <v>-3.3602649999999998E-2</v>
      </c>
      <c r="Z3205">
        <v>8.6605099999999997E-3</v>
      </c>
      <c r="AA3205">
        <v>0.9993978</v>
      </c>
      <c r="AB3205">
        <v>27</v>
      </c>
      <c r="AC3205">
        <v>0.54519999999996505</v>
      </c>
      <c r="AD3205">
        <v>-7.3493999999999907E-2</v>
      </c>
      <c r="AE3205">
        <v>-1.5799999999984399E-2</v>
      </c>
      <c r="AF3205">
        <v>-2.83151062000539E-2</v>
      </c>
      <c r="AG3205">
        <v>-7.3493999999999907E-2</v>
      </c>
      <c r="AH3205">
        <v>0.53495368142992605</v>
      </c>
      <c r="AI3205">
        <v>97.811745675340802</v>
      </c>
      <c r="AJ3205">
        <v>93.029839108227506</v>
      </c>
      <c r="AK3205">
        <v>0.54072040330521198</v>
      </c>
      <c r="AL3205">
        <v>81.216548828281901</v>
      </c>
      <c r="AM3205">
        <v>88.766975891971498</v>
      </c>
      <c r="AN3205">
        <v>1.0000000106054301</v>
      </c>
    </row>
    <row r="3206" spans="1:40" x14ac:dyDescent="0.25">
      <c r="A3206" t="str">
        <f>"20190312172432018"</f>
        <v>20190312172432018</v>
      </c>
      <c r="B3206" t="str">
        <f>"1552382672013535"</f>
        <v>1552382672013535</v>
      </c>
      <c r="C3206" t="s">
        <v>40</v>
      </c>
      <c r="D3206">
        <v>4.0064060000000001</v>
      </c>
      <c r="E3206">
        <v>0.48370099999999999</v>
      </c>
      <c r="F3206" t="s">
        <v>47</v>
      </c>
      <c r="G3206">
        <v>-440.08150000000001</v>
      </c>
      <c r="H3206" s="1">
        <v>-1.4465539999999901E-6</v>
      </c>
      <c r="I3206">
        <v>213.54470000000001</v>
      </c>
      <c r="J3206">
        <v>-453.4896</v>
      </c>
      <c r="K3206">
        <v>1.108123</v>
      </c>
      <c r="L3206">
        <v>214.08199999999999</v>
      </c>
      <c r="M3206">
        <v>0.99662600000000001</v>
      </c>
      <c r="N3206">
        <v>0</v>
      </c>
      <c r="O3206">
        <v>-8.2068509999999997E-2</v>
      </c>
      <c r="P3206">
        <v>0.98286799999999996</v>
      </c>
      <c r="Q3206">
        <v>0.15408849999999999</v>
      </c>
      <c r="R3206">
        <v>-0.1011321</v>
      </c>
      <c r="S3206">
        <v>3.078522</v>
      </c>
      <c r="T3206">
        <v>-0.2494364</v>
      </c>
      <c r="U3206">
        <v>-0.12597659999999999</v>
      </c>
      <c r="V3206">
        <v>2.0221309999999999E-2</v>
      </c>
      <c r="W3206">
        <v>0.15289929999999999</v>
      </c>
      <c r="X3206">
        <v>0.98803490000000005</v>
      </c>
      <c r="Y3206">
        <v>-4.08496E-2</v>
      </c>
      <c r="Z3206">
        <v>8.2790680000000005E-3</v>
      </c>
      <c r="AA3206">
        <v>0.99913099999999999</v>
      </c>
      <c r="AB3206">
        <v>27</v>
      </c>
      <c r="AC3206">
        <v>13.4080999999999</v>
      </c>
      <c r="AD3206">
        <v>-1.1081244465540001</v>
      </c>
      <c r="AE3206">
        <v>-0.53729999999998701</v>
      </c>
      <c r="AF3206">
        <v>-0.56106987151260401</v>
      </c>
      <c r="AG3206">
        <v>-1.1081244465540001</v>
      </c>
      <c r="AH3206">
        <v>13.3161575857697</v>
      </c>
      <c r="AI3206">
        <v>94.752797877015794</v>
      </c>
      <c r="AJ3206">
        <v>92.412702914328705</v>
      </c>
      <c r="AK3206">
        <v>13.3739594749955</v>
      </c>
      <c r="AL3206">
        <v>81.205017460798302</v>
      </c>
      <c r="AM3206">
        <v>88.827537372588196</v>
      </c>
      <c r="AN3206">
        <v>1.0000000304683001</v>
      </c>
    </row>
    <row r="3207" spans="1:40" x14ac:dyDescent="0.25">
      <c r="A3207" t="str">
        <f>"20190312172432039"</f>
        <v>20190312172432039</v>
      </c>
      <c r="B3207" t="str">
        <f>"1552382672033055"</f>
        <v>1552382672033055</v>
      </c>
      <c r="C3207" t="s">
        <v>40</v>
      </c>
      <c r="D3207">
        <v>3.927584</v>
      </c>
      <c r="E3207">
        <v>0.48401040000000001</v>
      </c>
      <c r="F3207" t="s">
        <v>48</v>
      </c>
      <c r="G3207">
        <v>-439.17520000000002</v>
      </c>
      <c r="H3207" s="1">
        <v>6.3830870000000002E-6</v>
      </c>
      <c r="I3207">
        <v>213.50380000000001</v>
      </c>
      <c r="J3207">
        <v>-453.22800000000001</v>
      </c>
      <c r="K3207">
        <v>1.108131</v>
      </c>
      <c r="L3207">
        <v>214.06010000000001</v>
      </c>
      <c r="M3207">
        <v>0.99660159999999998</v>
      </c>
      <c r="N3207">
        <v>0</v>
      </c>
      <c r="O3207">
        <v>-8.2365090000000002E-2</v>
      </c>
      <c r="P3207">
        <v>0.98288739999999997</v>
      </c>
      <c r="Q3207">
        <v>0.15434239999999999</v>
      </c>
      <c r="R3207">
        <v>-0.10055409999999999</v>
      </c>
      <c r="S3207">
        <v>3.076813</v>
      </c>
      <c r="T3207">
        <v>-0.23818520000000001</v>
      </c>
      <c r="U3207">
        <v>-0.1242828</v>
      </c>
      <c r="V3207">
        <v>1.9348609999999999E-2</v>
      </c>
      <c r="W3207">
        <v>0.1532239</v>
      </c>
      <c r="X3207">
        <v>0.98800209999999999</v>
      </c>
      <c r="Y3207">
        <v>-4.1704829999999998E-2</v>
      </c>
      <c r="Z3207">
        <v>7.9671410000000005E-3</v>
      </c>
      <c r="AA3207">
        <v>0.99909820000000005</v>
      </c>
      <c r="AB3207">
        <v>27</v>
      </c>
      <c r="AC3207">
        <v>14.0527999999999</v>
      </c>
      <c r="AD3207">
        <v>-1.1081246169129999</v>
      </c>
      <c r="AE3207">
        <v>-0.55629999999999302</v>
      </c>
      <c r="AF3207">
        <v>-0.59933023037210398</v>
      </c>
      <c r="AG3207">
        <v>-1.1081246169129999</v>
      </c>
      <c r="AH3207">
        <v>13.9641778423739</v>
      </c>
      <c r="AI3207">
        <v>94.533031843423601</v>
      </c>
      <c r="AJ3207">
        <v>92.457576207471902</v>
      </c>
      <c r="AK3207">
        <v>14.0208915445878</v>
      </c>
      <c r="AL3207">
        <v>81.186197581809495</v>
      </c>
      <c r="AM3207">
        <v>88.878087401025297</v>
      </c>
      <c r="AN3207">
        <v>1.00000004092227</v>
      </c>
    </row>
    <row r="3208" spans="1:40" x14ac:dyDescent="0.25">
      <c r="A3208" t="str">
        <f>"20190312172432062"</f>
        <v>20190312172432062</v>
      </c>
      <c r="B3208" t="str">
        <f>"1552382672053551"</f>
        <v>1552382672053551</v>
      </c>
      <c r="C3208" t="s">
        <v>40</v>
      </c>
      <c r="D3208">
        <v>3.9417089999999999</v>
      </c>
      <c r="E3208">
        <v>0.48412280000000002</v>
      </c>
      <c r="F3208" t="s">
        <v>48</v>
      </c>
      <c r="G3208">
        <v>-438.70069999999998</v>
      </c>
      <c r="H3208" s="1">
        <v>6.1756520000000004E-6</v>
      </c>
      <c r="I3208">
        <v>213.4691</v>
      </c>
      <c r="J3208">
        <v>-452.9547</v>
      </c>
      <c r="K3208">
        <v>1.108144</v>
      </c>
      <c r="L3208">
        <v>214.03720000000001</v>
      </c>
      <c r="M3208">
        <v>0.99657649999999998</v>
      </c>
      <c r="N3208">
        <v>0</v>
      </c>
      <c r="O3208">
        <v>-8.2668459999999999E-2</v>
      </c>
      <c r="P3208">
        <v>0.98275999999999997</v>
      </c>
      <c r="Q3208">
        <v>0.15518390000000001</v>
      </c>
      <c r="R3208">
        <v>-0.1005031</v>
      </c>
      <c r="S3208">
        <v>3.0762939999999999</v>
      </c>
      <c r="T3208">
        <v>-0.23465559999999999</v>
      </c>
      <c r="U3208">
        <v>-0.1251526</v>
      </c>
      <c r="V3208">
        <v>1.900657E-2</v>
      </c>
      <c r="W3208">
        <v>0.15414220000000001</v>
      </c>
      <c r="X3208">
        <v>0.98786589999999996</v>
      </c>
      <c r="Y3208">
        <v>-4.1729969999999998E-2</v>
      </c>
      <c r="Z3208">
        <v>7.8746559999999903E-3</v>
      </c>
      <c r="AA3208">
        <v>0.99909789999999998</v>
      </c>
      <c r="AB3208">
        <v>27</v>
      </c>
      <c r="AC3208">
        <v>14.254</v>
      </c>
      <c r="AD3208">
        <v>-1.108137824348</v>
      </c>
      <c r="AE3208">
        <v>-0.56810000000001504</v>
      </c>
      <c r="AF3208">
        <v>-0.60852945711719897</v>
      </c>
      <c r="AG3208">
        <v>-1.108137824348</v>
      </c>
      <c r="AH3208">
        <v>14.1666883504124</v>
      </c>
      <c r="AI3208">
        <v>94.468543426033506</v>
      </c>
      <c r="AJ3208">
        <v>92.459625585451107</v>
      </c>
      <c r="AK3208">
        <v>14.2229861968449</v>
      </c>
      <c r="AL3208">
        <v>81.132950398948594</v>
      </c>
      <c r="AM3208">
        <v>88.897763452076902</v>
      </c>
      <c r="AN3208">
        <v>1.0000000519534</v>
      </c>
    </row>
    <row r="3209" spans="1:40" x14ac:dyDescent="0.25">
      <c r="A3209" t="str">
        <f>"20190312172432083"</f>
        <v>20190312172432083</v>
      </c>
      <c r="B3209" t="str">
        <f>"1552382672073070"</f>
        <v>1552382672073070</v>
      </c>
      <c r="C3209" t="s">
        <v>40</v>
      </c>
      <c r="D3209">
        <v>3.924023</v>
      </c>
      <c r="E3209">
        <v>0.48427389999999998</v>
      </c>
      <c r="F3209" t="s">
        <v>48</v>
      </c>
      <c r="G3209">
        <v>-438.18130000000002</v>
      </c>
      <c r="H3209" s="1">
        <v>5.9484259999999898E-6</v>
      </c>
      <c r="I3209">
        <v>213.4341</v>
      </c>
      <c r="J3209">
        <v>-452.6746</v>
      </c>
      <c r="K3209">
        <v>1.1081589999999999</v>
      </c>
      <c r="L3209">
        <v>214.0137</v>
      </c>
      <c r="M3209">
        <v>0.9965522</v>
      </c>
      <c r="N3209">
        <v>0</v>
      </c>
      <c r="O3209">
        <v>-8.2963620000000002E-2</v>
      </c>
      <c r="P3209">
        <v>0.98262130000000003</v>
      </c>
      <c r="Q3209">
        <v>0.15598999999999999</v>
      </c>
      <c r="R3209">
        <v>-0.1006104</v>
      </c>
      <c r="S3209">
        <v>3.076263</v>
      </c>
      <c r="T3209">
        <v>-0.23074749999999999</v>
      </c>
      <c r="U3209">
        <v>-0.12557979999999999</v>
      </c>
      <c r="V3209">
        <v>1.8829970000000001E-2</v>
      </c>
      <c r="W3209">
        <v>0.15502839999999901</v>
      </c>
      <c r="X3209">
        <v>0.98773060000000001</v>
      </c>
      <c r="Y3209">
        <v>-4.1897509999999999E-2</v>
      </c>
      <c r="Z3209">
        <v>7.7722149999999999E-3</v>
      </c>
      <c r="AA3209">
        <v>0.99909170000000003</v>
      </c>
      <c r="AB3209">
        <v>28</v>
      </c>
      <c r="AC3209">
        <v>14.4932999999999</v>
      </c>
      <c r="AD3209">
        <v>-1.1081530515739999</v>
      </c>
      <c r="AE3209">
        <v>-0.579599999999999</v>
      </c>
      <c r="AF3209">
        <v>-0.621189486684393</v>
      </c>
      <c r="AG3209">
        <v>-1.1081530515739999</v>
      </c>
      <c r="AH3209">
        <v>14.4073292044973</v>
      </c>
      <c r="AI3209">
        <v>94.394231439675707</v>
      </c>
      <c r="AJ3209">
        <v>92.468847969363296</v>
      </c>
      <c r="AK3209">
        <v>14.4632297351194</v>
      </c>
      <c r="AL3209">
        <v>81.081557134903903</v>
      </c>
      <c r="AM3209">
        <v>88.907852871465494</v>
      </c>
      <c r="AN3209">
        <v>1.00000005537655</v>
      </c>
    </row>
    <row r="3210" spans="1:40" x14ac:dyDescent="0.25">
      <c r="A3210" t="str">
        <f>"20190312172432105"</f>
        <v>20190312172432105</v>
      </c>
      <c r="B3210" t="str">
        <f>"1552382672093569"</f>
        <v>1552382672093569</v>
      </c>
      <c r="C3210" t="s">
        <v>40</v>
      </c>
      <c r="D3210">
        <v>3.9179940000000002</v>
      </c>
      <c r="E3210">
        <v>0.48439700000000002</v>
      </c>
      <c r="F3210" t="s">
        <v>48</v>
      </c>
      <c r="G3210">
        <v>-437.72120000000001</v>
      </c>
      <c r="H3210" s="1">
        <v>5.747636E-6</v>
      </c>
      <c r="I3210">
        <v>213.39670000000001</v>
      </c>
      <c r="J3210">
        <v>-452.40559999999999</v>
      </c>
      <c r="K3210">
        <v>1.108169</v>
      </c>
      <c r="L3210">
        <v>213.99100000000001</v>
      </c>
      <c r="M3210">
        <v>0.99653000000000003</v>
      </c>
      <c r="N3210">
        <v>0</v>
      </c>
      <c r="O3210">
        <v>-8.3230399999999996E-2</v>
      </c>
      <c r="P3210">
        <v>0.98258639999999997</v>
      </c>
      <c r="Q3210">
        <v>0.15619759999999999</v>
      </c>
      <c r="R3210">
        <v>-0.1006315</v>
      </c>
      <c r="S3210">
        <v>3.076263</v>
      </c>
      <c r="T3210">
        <v>-0.22797229999999999</v>
      </c>
      <c r="U3210">
        <v>-0.12693789999999999</v>
      </c>
      <c r="V3210">
        <v>1.858564E-2</v>
      </c>
      <c r="W3210">
        <v>0.1553148</v>
      </c>
      <c r="X3210">
        <v>0.98769019999999996</v>
      </c>
      <c r="Y3210">
        <v>-4.1732739999999997E-2</v>
      </c>
      <c r="Z3210">
        <v>7.6924690000000004E-3</v>
      </c>
      <c r="AA3210">
        <v>0.99909919999999997</v>
      </c>
      <c r="AB3210">
        <v>28</v>
      </c>
      <c r="AC3210">
        <v>14.684399999999901</v>
      </c>
      <c r="AD3210">
        <v>-1.1081632523639999</v>
      </c>
      <c r="AE3210">
        <v>-0.59429999999997496</v>
      </c>
      <c r="AF3210">
        <v>-0.62638944901606097</v>
      </c>
      <c r="AG3210">
        <v>-1.1081632523639999</v>
      </c>
      <c r="AH3210">
        <v>14.599903062112499</v>
      </c>
      <c r="AI3210">
        <v>94.336572930006497</v>
      </c>
      <c r="AJ3210">
        <v>92.456692692615604</v>
      </c>
      <c r="AK3210">
        <v>14.655291159127801</v>
      </c>
      <c r="AL3210">
        <v>81.064946128492394</v>
      </c>
      <c r="AM3210">
        <v>88.9219766778685</v>
      </c>
      <c r="AN3210">
        <v>1.0000000221446399</v>
      </c>
    </row>
    <row r="3211" spans="1:40" x14ac:dyDescent="0.25">
      <c r="A3211" t="str">
        <f>"20190312172432127"</f>
        <v>20190312172432127</v>
      </c>
      <c r="B3211" t="str">
        <f>"1552382672123823"</f>
        <v>1552382672123823</v>
      </c>
      <c r="C3211" t="s">
        <v>40</v>
      </c>
      <c r="D3211">
        <v>3.9986410000000001</v>
      </c>
      <c r="E3211">
        <v>0.48447689999999999</v>
      </c>
      <c r="F3211" t="s">
        <v>48</v>
      </c>
      <c r="G3211">
        <v>-437.39729999999997</v>
      </c>
      <c r="H3211" s="1">
        <v>5.6066730000000004E-6</v>
      </c>
      <c r="I3211">
        <v>213.36609999999999</v>
      </c>
      <c r="J3211">
        <v>-452.12479999999999</v>
      </c>
      <c r="K3211">
        <v>1.108195</v>
      </c>
      <c r="L3211">
        <v>213.96729999999999</v>
      </c>
      <c r="M3211">
        <v>0.99650930000000004</v>
      </c>
      <c r="N3211">
        <v>0</v>
      </c>
      <c r="O3211">
        <v>-8.3479059999999994E-2</v>
      </c>
      <c r="P3211">
        <v>0.98254900000000001</v>
      </c>
      <c r="Q3211">
        <v>0.15634489999999901</v>
      </c>
      <c r="R3211">
        <v>-0.1007668</v>
      </c>
      <c r="S3211">
        <v>3.0761720000000001</v>
      </c>
      <c r="T3211">
        <v>-0.22713430000000001</v>
      </c>
      <c r="U3211">
        <v>-0.12808230000000001</v>
      </c>
      <c r="V3211">
        <v>1.8471120000000001E-2</v>
      </c>
      <c r="W3211">
        <v>0.1555465</v>
      </c>
      <c r="X3211">
        <v>0.98765590000000003</v>
      </c>
      <c r="Y3211">
        <v>-4.1611919999999997E-2</v>
      </c>
      <c r="Z3211">
        <v>7.6782279999999996E-3</v>
      </c>
      <c r="AA3211">
        <v>0.99910429999999995</v>
      </c>
      <c r="AB3211">
        <v>28</v>
      </c>
      <c r="AC3211">
        <v>14.727499999999999</v>
      </c>
      <c r="AD3211">
        <v>-1.1081893933269999</v>
      </c>
      <c r="AE3211">
        <v>-0.60120000000000495</v>
      </c>
      <c r="AF3211">
        <v>-0.62679360869961398</v>
      </c>
      <c r="AG3211">
        <v>-1.1081893933269999</v>
      </c>
      <c r="AH3211">
        <v>14.6435081067455</v>
      </c>
      <c r="AI3211">
        <v>94.323828702452502</v>
      </c>
      <c r="AJ3211">
        <v>92.450964611073999</v>
      </c>
      <c r="AK3211">
        <v>14.698751090882199</v>
      </c>
      <c r="AL3211">
        <v>81.051507501195303</v>
      </c>
      <c r="AM3211">
        <v>88.928580432039794</v>
      </c>
      <c r="AN3211">
        <v>1.0000000363705499</v>
      </c>
    </row>
    <row r="3212" spans="1:40" x14ac:dyDescent="0.25">
      <c r="A3212" t="str">
        <f>"20190312172432150"</f>
        <v>20190312172432150</v>
      </c>
      <c r="B3212" t="str">
        <f>"1552382672143342"</f>
        <v>1552382672143342</v>
      </c>
      <c r="C3212" t="s">
        <v>40</v>
      </c>
      <c r="D3212">
        <v>3.9504000000000001</v>
      </c>
      <c r="E3212">
        <v>0.48465249999999999</v>
      </c>
      <c r="F3212" t="s">
        <v>48</v>
      </c>
      <c r="G3212">
        <v>-437.20580000000001</v>
      </c>
      <c r="H3212" s="1">
        <v>5.5238630000000002E-6</v>
      </c>
      <c r="I3212">
        <v>213.34200000000001</v>
      </c>
      <c r="J3212">
        <v>-451.83839999999998</v>
      </c>
      <c r="K3212">
        <v>1.108228</v>
      </c>
      <c r="L3212">
        <v>213.94309999999999</v>
      </c>
      <c r="M3212">
        <v>0.99649209999999999</v>
      </c>
      <c r="N3212">
        <v>0</v>
      </c>
      <c r="O3212">
        <v>-8.3683859999999999E-2</v>
      </c>
      <c r="P3212">
        <v>0.98251900000000003</v>
      </c>
      <c r="Q3212">
        <v>0.15631919999999999</v>
      </c>
      <c r="R3212">
        <v>-0.10109799999999999</v>
      </c>
      <c r="S3212">
        <v>3.076416</v>
      </c>
      <c r="T3212">
        <v>-0.22851730000000001</v>
      </c>
      <c r="U3212">
        <v>-0.12893679999999999</v>
      </c>
      <c r="V3212">
        <v>1.859015E-2</v>
      </c>
      <c r="W3212">
        <v>0.15560869999999999</v>
      </c>
      <c r="X3212">
        <v>0.98764379999999996</v>
      </c>
      <c r="Y3212">
        <v>-4.1539100000000002E-2</v>
      </c>
      <c r="Z3212">
        <v>7.7366090000000002E-3</v>
      </c>
      <c r="AA3212">
        <v>0.99910690000000002</v>
      </c>
      <c r="AB3212">
        <v>28</v>
      </c>
      <c r="AC3212">
        <v>14.632599999999901</v>
      </c>
      <c r="AD3212">
        <v>-1.1082224761370001</v>
      </c>
      <c r="AE3212">
        <v>-0.60109999999997399</v>
      </c>
      <c r="AF3212">
        <v>-0.62195964208762</v>
      </c>
      <c r="AG3212">
        <v>-1.1082224761370001</v>
      </c>
      <c r="AH3212">
        <v>14.5482677567687</v>
      </c>
      <c r="AI3212">
        <v>94.352165343077402</v>
      </c>
      <c r="AJ3212">
        <v>92.4479873900722</v>
      </c>
      <c r="AK3212">
        <v>14.603666853760901</v>
      </c>
      <c r="AL3212">
        <v>81.047899161832007</v>
      </c>
      <c r="AM3212">
        <v>88.921664499585106</v>
      </c>
      <c r="AN3212">
        <v>0.99999996843557504</v>
      </c>
    </row>
    <row r="3213" spans="1:40" x14ac:dyDescent="0.25">
      <c r="A3213" t="str">
        <f>"20190312172432173"</f>
        <v>20190312172432173</v>
      </c>
      <c r="B3213" t="str">
        <f>"1552382672163839"</f>
        <v>1552382672163839</v>
      </c>
      <c r="C3213" t="s">
        <v>40</v>
      </c>
      <c r="D3213">
        <v>3.949192</v>
      </c>
      <c r="E3213">
        <v>0.4848961</v>
      </c>
      <c r="F3213" t="s">
        <v>48</v>
      </c>
      <c r="G3213">
        <v>-436.86410000000001</v>
      </c>
      <c r="H3213" s="1">
        <v>5.3754210000000002E-6</v>
      </c>
      <c r="I3213">
        <v>213.3065</v>
      </c>
      <c r="J3213">
        <v>-451.53620000000001</v>
      </c>
      <c r="K3213">
        <v>1.108271</v>
      </c>
      <c r="L3213">
        <v>213.91749999999999</v>
      </c>
      <c r="M3213">
        <v>0.99647969999999997</v>
      </c>
      <c r="N3213">
        <v>0</v>
      </c>
      <c r="O3213">
        <v>-8.3833589999999999E-2</v>
      </c>
      <c r="P3213">
        <v>0.98246639999999996</v>
      </c>
      <c r="Q3213">
        <v>0.15654390000000001</v>
      </c>
      <c r="R3213">
        <v>-0.1012627</v>
      </c>
      <c r="S3213">
        <v>3.0761409999999998</v>
      </c>
      <c r="T3213">
        <v>-0.22765920000000001</v>
      </c>
      <c r="U3213">
        <v>-0.13076779999999999</v>
      </c>
      <c r="V3213">
        <v>1.8594969999999999E-2</v>
      </c>
      <c r="W3213">
        <v>0.15592800000000001</v>
      </c>
      <c r="X3213">
        <v>0.98759339999999995</v>
      </c>
      <c r="Y3213">
        <v>-4.1095140000000002E-2</v>
      </c>
      <c r="Z3213">
        <v>7.7028130000000002E-3</v>
      </c>
      <c r="AA3213">
        <v>0.9991255</v>
      </c>
      <c r="AB3213">
        <v>29</v>
      </c>
      <c r="AC3213">
        <v>14.6721</v>
      </c>
      <c r="AD3213">
        <v>-1.1082656245789999</v>
      </c>
      <c r="AE3213">
        <v>-0.61099999999999</v>
      </c>
      <c r="AF3213">
        <v>-0.61764779616862098</v>
      </c>
      <c r="AG3213">
        <v>-1.1082656245789999</v>
      </c>
      <c r="AH3213">
        <v>14.5885802740003</v>
      </c>
      <c r="AI3213">
        <v>94.340429355380095</v>
      </c>
      <c r="AJ3213">
        <v>92.424327073974396</v>
      </c>
      <c r="AK3213">
        <v>14.643647629797901</v>
      </c>
      <c r="AL3213">
        <v>81.029379005490298</v>
      </c>
      <c r="AM3213">
        <v>88.921329945822606</v>
      </c>
      <c r="AN3213">
        <v>1.0000000189084299</v>
      </c>
    </row>
    <row r="3214" spans="1:40" x14ac:dyDescent="0.25">
      <c r="A3214" t="str">
        <f>"20190312172432197"</f>
        <v>20190312172432197</v>
      </c>
      <c r="B3214" t="str">
        <f>"1552382672193118"</f>
        <v>1552382672193118</v>
      </c>
      <c r="C3214" t="s">
        <v>40</v>
      </c>
      <c r="D3214">
        <v>3.9451939999999999</v>
      </c>
      <c r="E3214">
        <v>0.4850891</v>
      </c>
      <c r="F3214" t="s">
        <v>48</v>
      </c>
      <c r="G3214">
        <v>-436.44540000000001</v>
      </c>
      <c r="H3214" s="1">
        <v>5.1933550000000004E-6</v>
      </c>
      <c r="I3214">
        <v>213.2655</v>
      </c>
      <c r="J3214">
        <v>-451.2396</v>
      </c>
      <c r="K3214">
        <v>1.108331</v>
      </c>
      <c r="L3214">
        <v>213.89240000000001</v>
      </c>
      <c r="M3214">
        <v>0.99647390000000002</v>
      </c>
      <c r="N3214">
        <v>0</v>
      </c>
      <c r="O3214">
        <v>-8.3902859999999996E-2</v>
      </c>
      <c r="P3214">
        <v>0.98248489999999999</v>
      </c>
      <c r="Q3214">
        <v>0.1566256</v>
      </c>
      <c r="R3214">
        <v>-0.10095800000000001</v>
      </c>
      <c r="S3214">
        <v>3.0758670000000001</v>
      </c>
      <c r="T3214">
        <v>-0.2258918</v>
      </c>
      <c r="U3214">
        <v>-0.1329041</v>
      </c>
      <c r="V3214">
        <v>1.820157E-2</v>
      </c>
      <c r="W3214">
        <v>0.1561042</v>
      </c>
      <c r="X3214">
        <v>0.98757280000000003</v>
      </c>
      <c r="Y3214">
        <v>-4.0474860000000001E-2</v>
      </c>
      <c r="Z3214">
        <v>7.6260190000000004E-3</v>
      </c>
      <c r="AA3214">
        <v>0.99915149999999997</v>
      </c>
      <c r="AB3214">
        <v>29</v>
      </c>
      <c r="AC3214">
        <v>14.794199999999901</v>
      </c>
      <c r="AD3214">
        <v>-1.1083258066449999</v>
      </c>
      <c r="AE3214">
        <v>-0.62690000000000601</v>
      </c>
      <c r="AF3214">
        <v>-0.61315111975796199</v>
      </c>
      <c r="AG3214">
        <v>-1.1083258066449999</v>
      </c>
      <c r="AH3214">
        <v>14.7122100069244</v>
      </c>
      <c r="AI3214">
        <v>94.304445252004001</v>
      </c>
      <c r="AJ3214">
        <v>92.386497518222299</v>
      </c>
      <c r="AK3214">
        <v>14.7666334578056</v>
      </c>
      <c r="AL3214">
        <v>81.019157498627607</v>
      </c>
      <c r="AM3214">
        <v>88.944123327470194</v>
      </c>
      <c r="AN3214">
        <v>0.99999992685396899</v>
      </c>
    </row>
    <row r="3215" spans="1:40" x14ac:dyDescent="0.25">
      <c r="A3215" t="str">
        <f>"20190312172432218"</f>
        <v>20190312172432218</v>
      </c>
      <c r="B3215" t="str">
        <f>"1552382672213614"</f>
        <v>1552382672213614</v>
      </c>
      <c r="C3215" t="s">
        <v>40</v>
      </c>
      <c r="D3215">
        <v>3.9382450000000002</v>
      </c>
      <c r="E3215">
        <v>0.48523949999999999</v>
      </c>
      <c r="F3215" t="s">
        <v>48</v>
      </c>
      <c r="G3215">
        <v>-436.0659</v>
      </c>
      <c r="H3215" s="1">
        <v>5.0278329999999998E-6</v>
      </c>
      <c r="I3215">
        <v>213.2336</v>
      </c>
      <c r="J3215">
        <v>-450.95639999999997</v>
      </c>
      <c r="K3215">
        <v>1.1084050000000001</v>
      </c>
      <c r="L3215">
        <v>213.86859999999999</v>
      </c>
      <c r="M3215">
        <v>0.9964769</v>
      </c>
      <c r="N3215">
        <v>0</v>
      </c>
      <c r="O3215">
        <v>-8.38671E-2</v>
      </c>
      <c r="P3215">
        <v>0.98273699999999997</v>
      </c>
      <c r="Q3215">
        <v>0.15560479999999999</v>
      </c>
      <c r="R3215">
        <v>-0.10007720000000001</v>
      </c>
      <c r="S3215">
        <v>3.0755309999999998</v>
      </c>
      <c r="T3215">
        <v>-0.2246447</v>
      </c>
      <c r="U3215">
        <v>-0.13354489999999999</v>
      </c>
      <c r="V3215">
        <v>1.731342E-2</v>
      </c>
      <c r="W3215">
        <v>0.155175799999999</v>
      </c>
      <c r="X3215">
        <v>0.98773520000000004</v>
      </c>
      <c r="Y3215">
        <v>-4.0230830000000002E-2</v>
      </c>
      <c r="Z3215">
        <v>7.5733090000000003E-3</v>
      </c>
      <c r="AA3215">
        <v>0.99916170000000004</v>
      </c>
      <c r="AB3215">
        <v>29</v>
      </c>
      <c r="AC3215">
        <v>14.8904999999999</v>
      </c>
      <c r="AD3215">
        <v>-1.1083999721669999</v>
      </c>
      <c r="AE3215">
        <v>-0.63499999999999002</v>
      </c>
      <c r="AF3215">
        <v>-0.61267170647254099</v>
      </c>
      <c r="AG3215">
        <v>-1.1083999721669999</v>
      </c>
      <c r="AH3215">
        <v>14.809388333881</v>
      </c>
      <c r="AI3215">
        <v>94.2766439717021</v>
      </c>
      <c r="AJ3215">
        <v>92.369003769868002</v>
      </c>
      <c r="AK3215">
        <v>14.86344172599</v>
      </c>
      <c r="AL3215">
        <v>81.073008274004494</v>
      </c>
      <c r="AM3215">
        <v>88.995799360533894</v>
      </c>
      <c r="AN3215">
        <v>1.00000005436838</v>
      </c>
    </row>
    <row r="3216" spans="1:40" x14ac:dyDescent="0.25">
      <c r="A3216" t="str">
        <f>"20190312172432239"</f>
        <v>20190312172432239</v>
      </c>
      <c r="B3216" t="str">
        <f>"1552382672233135"</f>
        <v>1552382672233135</v>
      </c>
      <c r="C3216" t="s">
        <v>40</v>
      </c>
      <c r="D3216">
        <v>3.9249109999999998</v>
      </c>
      <c r="E3216">
        <v>0.48535080000000003</v>
      </c>
      <c r="F3216" t="s">
        <v>48</v>
      </c>
      <c r="G3216">
        <v>-435.99990000000003</v>
      </c>
      <c r="H3216" s="1">
        <v>4.9994809999999998E-6</v>
      </c>
      <c r="I3216">
        <v>213.2234</v>
      </c>
      <c r="J3216">
        <v>-450.66969999999998</v>
      </c>
      <c r="K3216">
        <v>1.1085039999999999</v>
      </c>
      <c r="L3216">
        <v>213.84460000000001</v>
      </c>
      <c r="M3216">
        <v>0.99649089999999996</v>
      </c>
      <c r="N3216">
        <v>0</v>
      </c>
      <c r="O3216">
        <v>-8.3702390000000002E-2</v>
      </c>
      <c r="P3216">
        <v>0.98300500000000002</v>
      </c>
      <c r="Q3216">
        <v>0.15508449999999999</v>
      </c>
      <c r="R3216">
        <v>-9.8235489999999995E-2</v>
      </c>
      <c r="S3216">
        <v>3.075256</v>
      </c>
      <c r="T3216">
        <v>-0.22790250000000001</v>
      </c>
      <c r="U3216">
        <v>-0.1326599</v>
      </c>
      <c r="V3216">
        <v>1.558617E-2</v>
      </c>
      <c r="W3216">
        <v>0.1547509</v>
      </c>
      <c r="X3216">
        <v>0.9878306</v>
      </c>
      <c r="Y3216">
        <v>-4.0339279999999998E-2</v>
      </c>
      <c r="Z3216">
        <v>7.6754630000000004E-3</v>
      </c>
      <c r="AA3216">
        <v>0.9991565</v>
      </c>
      <c r="AB3216">
        <v>29</v>
      </c>
      <c r="AC3216">
        <v>14.669799999999899</v>
      </c>
      <c r="AD3216">
        <v>-1.1084990005190001</v>
      </c>
      <c r="AE3216">
        <v>-0.62120000000001596</v>
      </c>
      <c r="AF3216">
        <v>-0.60542642485999398</v>
      </c>
      <c r="AG3216">
        <v>-1.1084990005190001</v>
      </c>
      <c r="AH3216">
        <v>14.587175607372</v>
      </c>
      <c r="AI3216">
        <v>94.341907214251805</v>
      </c>
      <c r="AJ3216">
        <v>92.376641137798799</v>
      </c>
      <c r="AK3216">
        <v>14.641755475023499</v>
      </c>
      <c r="AL3216">
        <v>81.097650726849494</v>
      </c>
      <c r="AM3216">
        <v>89.096051828499697</v>
      </c>
      <c r="AN3216">
        <v>1.0000000320212099</v>
      </c>
    </row>
    <row r="3217" spans="1:40" x14ac:dyDescent="0.25">
      <c r="A3217" t="str">
        <f>"20190312172432263"</f>
        <v>20190312172432263</v>
      </c>
      <c r="B3217" t="str">
        <f>"1552382672253631"</f>
        <v>1552382672253631</v>
      </c>
      <c r="C3217" t="s">
        <v>40</v>
      </c>
      <c r="D3217">
        <v>3.9286859999999999</v>
      </c>
      <c r="E3217">
        <v>0.48543370000000002</v>
      </c>
      <c r="F3217" t="s">
        <v>48</v>
      </c>
      <c r="G3217">
        <v>-435.9058</v>
      </c>
      <c r="H3217" s="1">
        <v>4.9575649999999999E-6</v>
      </c>
      <c r="I3217">
        <v>213.22540000000001</v>
      </c>
      <c r="J3217">
        <v>-450.36130000000003</v>
      </c>
      <c r="K3217">
        <v>1.108636</v>
      </c>
      <c r="L3217">
        <v>213.81890000000001</v>
      </c>
      <c r="M3217">
        <v>0.99652059999999998</v>
      </c>
      <c r="N3217">
        <v>0</v>
      </c>
      <c r="O3217">
        <v>-8.3348630000000007E-2</v>
      </c>
      <c r="P3217">
        <v>0.98287380000000002</v>
      </c>
      <c r="Q3217">
        <v>0.1565898</v>
      </c>
      <c r="R3217">
        <v>-9.7155679999999994E-2</v>
      </c>
      <c r="S3217">
        <v>3.0754090000000001</v>
      </c>
      <c r="T3217">
        <v>-0.23090659999999999</v>
      </c>
      <c r="U3217">
        <v>-0.12896730000000001</v>
      </c>
      <c r="V3217">
        <v>1.482588E-2</v>
      </c>
      <c r="W3217">
        <v>0.15636</v>
      </c>
      <c r="X3217">
        <v>0.98758889999999999</v>
      </c>
      <c r="Y3217">
        <v>-4.1173889999999998E-2</v>
      </c>
      <c r="Z3217">
        <v>7.7811009999999899E-3</v>
      </c>
      <c r="AA3217">
        <v>0.9991217</v>
      </c>
      <c r="AB3217">
        <v>29</v>
      </c>
      <c r="AC3217">
        <v>14.455500000000001</v>
      </c>
      <c r="AD3217">
        <v>-1.1086310424350001</v>
      </c>
      <c r="AE3217">
        <v>-0.59350000000000502</v>
      </c>
      <c r="AF3217">
        <v>-0.60983020955718004</v>
      </c>
      <c r="AG3217">
        <v>-1.1086310424350001</v>
      </c>
      <c r="AH3217">
        <v>14.3702883219288</v>
      </c>
      <c r="AI3217">
        <v>94.407533615704395</v>
      </c>
      <c r="AJ3217">
        <v>92.429996135724295</v>
      </c>
      <c r="AK3217">
        <v>14.4258844487297</v>
      </c>
      <c r="AL3217">
        <v>81.004320105574195</v>
      </c>
      <c r="AM3217">
        <v>89.139929026125998</v>
      </c>
      <c r="AN3217">
        <v>1.0000000458604901</v>
      </c>
    </row>
    <row r="3218" spans="1:40" x14ac:dyDescent="0.25">
      <c r="A3218" t="str">
        <f>"20190312172432284"</f>
        <v>20190312172432284</v>
      </c>
      <c r="B3218" t="str">
        <f>"1552382672273150"</f>
        <v>1552382672273150</v>
      </c>
      <c r="C3218" t="s">
        <v>40</v>
      </c>
      <c r="D3218">
        <v>3.9086159999999999</v>
      </c>
      <c r="E3218">
        <v>0.48543510000000001</v>
      </c>
      <c r="F3218" t="s">
        <v>48</v>
      </c>
      <c r="G3218">
        <v>-435.40039999999999</v>
      </c>
      <c r="H3218" s="1">
        <v>4.7351599999999997E-6</v>
      </c>
      <c r="I3218">
        <v>213.2055</v>
      </c>
      <c r="J3218">
        <v>-450.06729999999999</v>
      </c>
      <c r="K3218">
        <v>1.1087750000000001</v>
      </c>
      <c r="L3218">
        <v>213.79470000000001</v>
      </c>
      <c r="M3218">
        <v>0.99656449999999996</v>
      </c>
      <c r="N3218">
        <v>0</v>
      </c>
      <c r="O3218">
        <v>-8.2820640000000001E-2</v>
      </c>
      <c r="P3218">
        <v>0.98246900000000004</v>
      </c>
      <c r="Q3218">
        <v>0.15925980000000001</v>
      </c>
      <c r="R3218">
        <v>-9.6908170000000002E-2</v>
      </c>
      <c r="S3218">
        <v>3.076111</v>
      </c>
      <c r="T3218">
        <v>-0.2279447</v>
      </c>
      <c r="U3218">
        <v>-0.1261139</v>
      </c>
      <c r="V3218">
        <v>1.5082750000000001E-2</v>
      </c>
      <c r="W3218">
        <v>0.15913150000000001</v>
      </c>
      <c r="X3218">
        <v>0.98714219999999997</v>
      </c>
      <c r="Y3218">
        <v>-4.158858E-2</v>
      </c>
      <c r="Z3218">
        <v>7.6564440000000001E-3</v>
      </c>
      <c r="AA3218">
        <v>0.99910549999999998</v>
      </c>
      <c r="AB3218">
        <v>30</v>
      </c>
      <c r="AC3218">
        <v>14.666899999999901</v>
      </c>
      <c r="AD3218">
        <v>-1.10877026484</v>
      </c>
      <c r="AE3218">
        <v>-0.58920000000000505</v>
      </c>
      <c r="AF3218">
        <v>-0.62398596807776596</v>
      </c>
      <c r="AG3218">
        <v>-1.10877026484</v>
      </c>
      <c r="AH3218">
        <v>14.5821087278213</v>
      </c>
      <c r="AI3218">
        <v>94.344234585833803</v>
      </c>
      <c r="AJ3218">
        <v>92.4502604888484</v>
      </c>
      <c r="AK3218">
        <v>14.637507470145099</v>
      </c>
      <c r="AL3218">
        <v>80.843511233026106</v>
      </c>
      <c r="AM3218">
        <v>89.124634040339899</v>
      </c>
      <c r="AN3218">
        <v>1.0000000233303199</v>
      </c>
    </row>
    <row r="3219" spans="1:40" x14ac:dyDescent="0.25">
      <c r="A3219" t="str">
        <f>"20190312172432305"</f>
        <v>20190312172432305</v>
      </c>
      <c r="B3219" t="str">
        <f>"1552382672293650"</f>
        <v>1552382672293650</v>
      </c>
      <c r="C3219" t="s">
        <v>40</v>
      </c>
      <c r="D3219">
        <v>3.8656060000000001</v>
      </c>
      <c r="E3219">
        <v>0.48541119999999999</v>
      </c>
      <c r="F3219" t="s">
        <v>48</v>
      </c>
      <c r="G3219">
        <v>-434.53440000000001</v>
      </c>
      <c r="H3219" s="1">
        <v>4.354194E-6</v>
      </c>
      <c r="I3219">
        <v>213.1704</v>
      </c>
      <c r="J3219">
        <v>-449.78919999999999</v>
      </c>
      <c r="K3219">
        <v>1.1089169999999999</v>
      </c>
      <c r="L3219">
        <v>213.7722</v>
      </c>
      <c r="M3219">
        <v>0.996618</v>
      </c>
      <c r="N3219">
        <v>0</v>
      </c>
      <c r="O3219">
        <v>-8.2175600000000001E-2</v>
      </c>
      <c r="P3219">
        <v>0.98242379999999996</v>
      </c>
      <c r="Q3219">
        <v>0.1600164</v>
      </c>
      <c r="R3219">
        <v>-9.6118700000000001E-2</v>
      </c>
      <c r="S3219">
        <v>3.0769350000000002</v>
      </c>
      <c r="T3219">
        <v>-0.21963759999999999</v>
      </c>
      <c r="U3219">
        <v>-0.1236725</v>
      </c>
      <c r="V3219">
        <v>1.4888210000000001E-2</v>
      </c>
      <c r="W3219">
        <v>0.15998490000000001</v>
      </c>
      <c r="X3219">
        <v>0.98700719999999997</v>
      </c>
      <c r="Y3219">
        <v>-4.1769899999999999E-2</v>
      </c>
      <c r="Z3219">
        <v>7.3369849999999999E-3</v>
      </c>
      <c r="AA3219">
        <v>0.99910030000000005</v>
      </c>
      <c r="AB3219">
        <v>30</v>
      </c>
      <c r="AC3219">
        <v>15.2547999999999</v>
      </c>
      <c r="AD3219">
        <v>-1.1089126458059999</v>
      </c>
      <c r="AE3219">
        <v>-0.601799999999997</v>
      </c>
      <c r="AF3219">
        <v>-0.65037614686039003</v>
      </c>
      <c r="AG3219">
        <v>-1.1089126458059999</v>
      </c>
      <c r="AH3219">
        <v>15.1726085486046</v>
      </c>
      <c r="AI3219">
        <v>94.176293434795099</v>
      </c>
      <c r="AJ3219">
        <v>92.454489629614201</v>
      </c>
      <c r="AK3219">
        <v>15.226973650651001</v>
      </c>
      <c r="AL3219">
        <v>80.793980420379299</v>
      </c>
      <c r="AM3219">
        <v>89.135804775555798</v>
      </c>
      <c r="AN3219">
        <v>1.00000001993842</v>
      </c>
    </row>
    <row r="3220" spans="1:40" x14ac:dyDescent="0.25">
      <c r="A3220" t="str">
        <f>"20190312172432329"</f>
        <v>20190312172432329</v>
      </c>
      <c r="B3220" t="str">
        <f>"1552382672323902"</f>
        <v>1552382672323902</v>
      </c>
      <c r="C3220" t="s">
        <v>40</v>
      </c>
      <c r="D3220">
        <v>3.991028</v>
      </c>
      <c r="E3220">
        <v>0.48553109999999999</v>
      </c>
      <c r="F3220" t="s">
        <v>48</v>
      </c>
      <c r="G3220">
        <v>-434.07459999999998</v>
      </c>
      <c r="H3220" s="1">
        <v>4.1515699999999998E-6</v>
      </c>
      <c r="I3220">
        <v>213.15620000000001</v>
      </c>
      <c r="J3220">
        <v>-449.4699</v>
      </c>
      <c r="K3220">
        <v>1.1090739999999999</v>
      </c>
      <c r="L3220">
        <v>213.7467</v>
      </c>
      <c r="M3220">
        <v>0.99669540000000001</v>
      </c>
      <c r="N3220">
        <v>0</v>
      </c>
      <c r="O3220">
        <v>-8.1229270000000006E-2</v>
      </c>
      <c r="P3220">
        <v>0.98277519999999996</v>
      </c>
      <c r="Q3220">
        <v>0.1591872</v>
      </c>
      <c r="R3220">
        <v>-9.3874780000000005E-2</v>
      </c>
      <c r="S3220">
        <v>3.0772089999999999</v>
      </c>
      <c r="T3220">
        <v>-0.21714559999999999</v>
      </c>
      <c r="U3220">
        <v>-0.120620699999999</v>
      </c>
      <c r="V3220">
        <v>1.3500699999999999E-2</v>
      </c>
      <c r="W3220">
        <v>0.15926660000000001</v>
      </c>
      <c r="X3220">
        <v>0.98714329999999995</v>
      </c>
      <c r="Y3220">
        <v>-4.182342E-2</v>
      </c>
      <c r="Z3220">
        <v>7.1889390000000001E-3</v>
      </c>
      <c r="AA3220">
        <v>0.99909910000000002</v>
      </c>
      <c r="AB3220">
        <v>30</v>
      </c>
      <c r="AC3220">
        <v>15.395300000000001</v>
      </c>
      <c r="AD3220">
        <v>-1.1090698484299999</v>
      </c>
      <c r="AE3220">
        <v>-0.59049999999999103</v>
      </c>
      <c r="AF3220">
        <v>-0.65858753019577299</v>
      </c>
      <c r="AG3220">
        <v>-1.1090698484299999</v>
      </c>
      <c r="AH3220">
        <v>15.3130380414778</v>
      </c>
      <c r="AI3220">
        <v>94.138687340937594</v>
      </c>
      <c r="AJ3220">
        <v>92.462675645558605</v>
      </c>
      <c r="AK3220">
        <v>15.3672674058654</v>
      </c>
      <c r="AL3220">
        <v>80.835670424430504</v>
      </c>
      <c r="AM3220">
        <v>89.216441111731996</v>
      </c>
      <c r="AN3220">
        <v>1.00000000675547</v>
      </c>
    </row>
    <row r="3221" spans="1:40" x14ac:dyDescent="0.25">
      <c r="A3221" t="str">
        <f>"20190312172432351"</f>
        <v>20190312172432351</v>
      </c>
      <c r="B3221" t="str">
        <f>"1552382672343423"</f>
        <v>1552382672343423</v>
      </c>
      <c r="C3221" t="s">
        <v>40</v>
      </c>
      <c r="D3221">
        <v>3.9152770000000001</v>
      </c>
      <c r="E3221">
        <v>0.485599</v>
      </c>
      <c r="F3221" t="s">
        <v>48</v>
      </c>
      <c r="G3221">
        <v>-434.11610000000002</v>
      </c>
      <c r="H3221" s="1">
        <v>4.1687889999999997E-6</v>
      </c>
      <c r="I3221">
        <v>213.16929999999999</v>
      </c>
      <c r="J3221">
        <v>-449.16300000000001</v>
      </c>
      <c r="K3221">
        <v>1.109248</v>
      </c>
      <c r="L3221">
        <v>213.7226</v>
      </c>
      <c r="M3221">
        <v>0.99678730000000004</v>
      </c>
      <c r="N3221">
        <v>0</v>
      </c>
      <c r="O3221">
        <v>-8.0094299999999993E-2</v>
      </c>
      <c r="P3221">
        <v>0.98304910000000001</v>
      </c>
      <c r="Q3221">
        <v>0.15846109999999999</v>
      </c>
      <c r="R3221">
        <v>-9.2221719999999993E-2</v>
      </c>
      <c r="S3221">
        <v>3.0775450000000002</v>
      </c>
      <c r="T3221">
        <v>-0.22230330000000001</v>
      </c>
      <c r="U3221">
        <v>-0.115722699999999</v>
      </c>
      <c r="V3221">
        <v>1.289156E-2</v>
      </c>
      <c r="W3221">
        <v>0.15864990000000001</v>
      </c>
      <c r="X3221">
        <v>0.98725070000000004</v>
      </c>
      <c r="Y3221">
        <v>-4.2264969999999999E-2</v>
      </c>
      <c r="Z3221">
        <v>7.2931069999999897E-3</v>
      </c>
      <c r="AA3221">
        <v>0.99907979999999996</v>
      </c>
      <c r="AB3221">
        <v>30</v>
      </c>
      <c r="AC3221">
        <v>15.0468999999999</v>
      </c>
      <c r="AD3221">
        <v>-1.109243831211</v>
      </c>
      <c r="AE3221">
        <v>-0.55330000000000701</v>
      </c>
      <c r="AF3221">
        <v>-0.65012019312356095</v>
      </c>
      <c r="AG3221">
        <v>-1.109243831211</v>
      </c>
      <c r="AH3221">
        <v>14.9616753609392</v>
      </c>
      <c r="AI3221">
        <v>94.236112492523404</v>
      </c>
      <c r="AJ3221">
        <v>92.488072050549306</v>
      </c>
      <c r="AK3221">
        <v>15.0168174973502</v>
      </c>
      <c r="AL3221">
        <v>80.871459387953394</v>
      </c>
      <c r="AM3221">
        <v>89.251871888613493</v>
      </c>
      <c r="AN3221">
        <v>0.999999963869866</v>
      </c>
    </row>
    <row r="3222" spans="1:40" x14ac:dyDescent="0.25">
      <c r="A3222" t="str">
        <f>"20190312172432373"</f>
        <v>20190312172432373</v>
      </c>
      <c r="B3222" t="str">
        <f>"1552382672363919"</f>
        <v>1552382672363919</v>
      </c>
      <c r="C3222" t="s">
        <v>40</v>
      </c>
      <c r="D3222">
        <v>3.9278729999999999</v>
      </c>
      <c r="E3222">
        <v>0.48568450000000002</v>
      </c>
      <c r="F3222" t="s">
        <v>48</v>
      </c>
      <c r="G3222">
        <v>-434.04930000000002</v>
      </c>
      <c r="H3222" s="1">
        <v>4.1386170000000003E-6</v>
      </c>
      <c r="I3222">
        <v>213.17609999999999</v>
      </c>
      <c r="J3222">
        <v>-448.8553</v>
      </c>
      <c r="K3222">
        <v>1.1094459999999999</v>
      </c>
      <c r="L3222">
        <v>213.69909999999999</v>
      </c>
      <c r="M3222">
        <v>0.99689729999999999</v>
      </c>
      <c r="N3222">
        <v>0</v>
      </c>
      <c r="O3222">
        <v>-7.8713030000000003E-2</v>
      </c>
      <c r="P3222">
        <v>0.98313930000000005</v>
      </c>
      <c r="Q3222">
        <v>0.1587037</v>
      </c>
      <c r="R3222">
        <v>-9.0833220000000006E-2</v>
      </c>
      <c r="S3222">
        <v>3.0776979999999998</v>
      </c>
      <c r="T3222">
        <v>-0.22588359999999999</v>
      </c>
      <c r="U3222">
        <v>-0.1112976</v>
      </c>
      <c r="V3222">
        <v>1.279461E-2</v>
      </c>
      <c r="W3222">
        <v>0.15900529999999999</v>
      </c>
      <c r="X3222">
        <v>0.98719480000000004</v>
      </c>
      <c r="Y3222">
        <v>-4.2310229999999997E-2</v>
      </c>
      <c r="Z3222">
        <v>7.3109330000000004E-3</v>
      </c>
      <c r="AA3222">
        <v>0.99907780000000002</v>
      </c>
      <c r="AB3222">
        <v>31</v>
      </c>
      <c r="AC3222">
        <v>14.8059999999999</v>
      </c>
      <c r="AD3222">
        <v>-1.1094418613829999</v>
      </c>
      <c r="AE3222">
        <v>-0.52299999999999602</v>
      </c>
      <c r="AF3222">
        <v>-0.64045629763695699</v>
      </c>
      <c r="AG3222">
        <v>-1.1094418613829999</v>
      </c>
      <c r="AH3222">
        <v>14.718689199142901</v>
      </c>
      <c r="AI3222">
        <v>94.306538741867797</v>
      </c>
      <c r="AJ3222">
        <v>92.491547240792002</v>
      </c>
      <c r="AK3222">
        <v>14.7743310255977</v>
      </c>
      <c r="AL3222">
        <v>80.850834815347</v>
      </c>
      <c r="AM3222">
        <v>89.257455457537304</v>
      </c>
      <c r="AN3222">
        <v>0.99999998031008996</v>
      </c>
    </row>
    <row r="3223" spans="1:40" x14ac:dyDescent="0.25">
      <c r="A3223" t="str">
        <f>"20190312172432397"</f>
        <v>20190312172432397</v>
      </c>
      <c r="B3223" t="str">
        <f>"1552382672393200"</f>
        <v>1552382672393200</v>
      </c>
      <c r="C3223" t="s">
        <v>40</v>
      </c>
      <c r="D3223">
        <v>3.8525489999999998</v>
      </c>
      <c r="E3223">
        <v>0.48581530000000001</v>
      </c>
      <c r="F3223" t="s">
        <v>48</v>
      </c>
      <c r="G3223">
        <v>-433.75689999999997</v>
      </c>
      <c r="H3223" s="1">
        <v>4.0090159999999997E-6</v>
      </c>
      <c r="I3223">
        <v>213.17519999999999</v>
      </c>
      <c r="J3223">
        <v>-448.54329999999999</v>
      </c>
      <c r="K3223">
        <v>1.1096649999999999</v>
      </c>
      <c r="L3223">
        <v>213.67590000000001</v>
      </c>
      <c r="M3223">
        <v>0.99702729999999995</v>
      </c>
      <c r="N3223">
        <v>0</v>
      </c>
      <c r="O3223">
        <v>-7.7047470000000007E-2</v>
      </c>
      <c r="P3223">
        <v>0.98334290000000002</v>
      </c>
      <c r="Q3223">
        <v>0.15867899999999999</v>
      </c>
      <c r="R3223">
        <v>-8.8643810000000003E-2</v>
      </c>
      <c r="S3223">
        <v>3.0780639999999999</v>
      </c>
      <c r="T3223">
        <v>-0.2261783</v>
      </c>
      <c r="U3223">
        <v>-0.1067963</v>
      </c>
      <c r="V3223">
        <v>1.2163220000000001E-2</v>
      </c>
      <c r="W3223">
        <v>0.1590966</v>
      </c>
      <c r="X3223">
        <v>0.98718810000000001</v>
      </c>
      <c r="Y3223">
        <v>-4.210883E-2</v>
      </c>
      <c r="Z3223">
        <v>7.1906399999999999E-3</v>
      </c>
      <c r="AA3223">
        <v>0.99908719999999995</v>
      </c>
      <c r="AB3223">
        <v>31</v>
      </c>
      <c r="AC3223">
        <v>14.7864</v>
      </c>
      <c r="AD3223">
        <v>-1.1096609909839901</v>
      </c>
      <c r="AE3223">
        <v>-0.50070000000002302</v>
      </c>
      <c r="AF3223">
        <v>-0.636462825285801</v>
      </c>
      <c r="AG3223">
        <v>-1.1096609909839901</v>
      </c>
      <c r="AH3223">
        <v>14.698339069482699</v>
      </c>
      <c r="AI3223">
        <v>94.3133666733209</v>
      </c>
      <c r="AJ3223">
        <v>92.479454791441</v>
      </c>
      <c r="AK3223">
        <v>14.7539013092932</v>
      </c>
      <c r="AL3223">
        <v>80.845536521493102</v>
      </c>
      <c r="AM3223">
        <v>89.294090042993105</v>
      </c>
      <c r="AN3223">
        <v>1.00000000841696</v>
      </c>
    </row>
    <row r="3224" spans="1:40" x14ac:dyDescent="0.25">
      <c r="A3224" t="str">
        <f>"20190312172432420"</f>
        <v>20190312172432420</v>
      </c>
      <c r="B3224" t="str">
        <f>"1552382672413695"</f>
        <v>1552382672413695</v>
      </c>
      <c r="C3224" t="s">
        <v>40</v>
      </c>
      <c r="D3224">
        <v>3.8819319999999999</v>
      </c>
      <c r="E3224">
        <v>0.48592990000000003</v>
      </c>
      <c r="F3224" t="s">
        <v>48</v>
      </c>
      <c r="G3224">
        <v>-433.55939999999998</v>
      </c>
      <c r="H3224" s="1">
        <v>3.9206350000000001E-6</v>
      </c>
      <c r="I3224">
        <v>213.18430000000001</v>
      </c>
      <c r="J3224">
        <v>-448.21719999999999</v>
      </c>
      <c r="K3224">
        <v>1.1099139999999901</v>
      </c>
      <c r="L3224">
        <v>213.6524</v>
      </c>
      <c r="M3224">
        <v>0.99718180000000001</v>
      </c>
      <c r="N3224">
        <v>0</v>
      </c>
      <c r="O3224">
        <v>-7.5020400000000001E-2</v>
      </c>
      <c r="P3224">
        <v>0.98374790000000001</v>
      </c>
      <c r="Q3224">
        <v>0.1578175</v>
      </c>
      <c r="R3224">
        <v>-8.5637569999999996E-2</v>
      </c>
      <c r="S3224">
        <v>3.0784910000000001</v>
      </c>
      <c r="T3224">
        <v>-0.22798399999999999</v>
      </c>
      <c r="U3224">
        <v>-0.10098269999999999</v>
      </c>
      <c r="V3224">
        <v>1.105299E-2</v>
      </c>
      <c r="W3224">
        <v>0.15835650000000001</v>
      </c>
      <c r="X3224">
        <v>0.98732010000000003</v>
      </c>
      <c r="Y3224">
        <v>-4.1967919999999999E-2</v>
      </c>
      <c r="Z3224">
        <v>7.0925559999999999E-3</v>
      </c>
      <c r="AA3224">
        <v>0.99909380000000003</v>
      </c>
      <c r="AB3224">
        <v>31</v>
      </c>
      <c r="AC3224">
        <v>14.6578</v>
      </c>
      <c r="AD3224">
        <v>-1.1099100793650001</v>
      </c>
      <c r="AE3224">
        <v>-0.46809999999999202</v>
      </c>
      <c r="AF3224">
        <v>-0.62924906945790804</v>
      </c>
      <c r="AG3224">
        <v>-1.1099100793650001</v>
      </c>
      <c r="AH3224">
        <v>14.568166369588001</v>
      </c>
      <c r="AI3224">
        <v>94.352754375889205</v>
      </c>
      <c r="AJ3224">
        <v>92.473263887046002</v>
      </c>
      <c r="AK3224">
        <v>14.623929914618801</v>
      </c>
      <c r="AL3224">
        <v>80.888485211101695</v>
      </c>
      <c r="AM3224">
        <v>89.358603938120098</v>
      </c>
      <c r="AN3224">
        <v>0.99999996477209896</v>
      </c>
    </row>
    <row r="3225" spans="1:40" x14ac:dyDescent="0.25">
      <c r="A3225" t="str">
        <f>"20190312172432441"</f>
        <v>20190312172432441</v>
      </c>
      <c r="B3225" t="str">
        <f>"1552382672433215"</f>
        <v>1552382672433215</v>
      </c>
      <c r="C3225" t="s">
        <v>40</v>
      </c>
      <c r="D3225">
        <v>4.020562</v>
      </c>
      <c r="E3225">
        <v>0.48598380000000002</v>
      </c>
      <c r="F3225" t="s">
        <v>48</v>
      </c>
      <c r="G3225">
        <v>-433.49090000000001</v>
      </c>
      <c r="H3225" s="1">
        <v>3.8884809999999998E-6</v>
      </c>
      <c r="I3225">
        <v>213.2045</v>
      </c>
      <c r="J3225">
        <v>-447.928</v>
      </c>
      <c r="K3225">
        <v>1.1101379999999901</v>
      </c>
      <c r="L3225">
        <v>213.63239999999999</v>
      </c>
      <c r="M3225">
        <v>0.9973339</v>
      </c>
      <c r="N3225">
        <v>0</v>
      </c>
      <c r="O3225">
        <v>-7.2972010000000004E-2</v>
      </c>
      <c r="P3225">
        <v>0.98402769999999995</v>
      </c>
      <c r="Q3225">
        <v>0.15769069999999999</v>
      </c>
      <c r="R3225">
        <v>-8.260468E-2</v>
      </c>
      <c r="S3225">
        <v>3.0786129999999998</v>
      </c>
      <c r="T3225">
        <v>-0.23203289999999999</v>
      </c>
      <c r="U3225">
        <v>-9.3643190000000001E-2</v>
      </c>
      <c r="V3225">
        <v>9.9541530000000003E-3</v>
      </c>
      <c r="W3225">
        <v>0.15833630000000001</v>
      </c>
      <c r="X3225">
        <v>0.98733510000000002</v>
      </c>
      <c r="Y3225">
        <v>-4.2289920000000002E-2</v>
      </c>
      <c r="Z3225">
        <v>7.0766639999999999E-3</v>
      </c>
      <c r="AA3225">
        <v>0.99908030000000003</v>
      </c>
      <c r="AB3225">
        <v>31</v>
      </c>
      <c r="AC3225">
        <v>14.437099999999999</v>
      </c>
      <c r="AD3225">
        <v>-1.11013411151899</v>
      </c>
      <c r="AE3225">
        <v>-0.42789999999999401</v>
      </c>
      <c r="AF3225">
        <v>-0.62306428326115004</v>
      </c>
      <c r="AG3225">
        <v>-1.11013411151899</v>
      </c>
      <c r="AH3225">
        <v>14.345090481216801</v>
      </c>
      <c r="AI3225">
        <v>94.421019319898605</v>
      </c>
      <c r="AJ3225">
        <v>92.487020239201499</v>
      </c>
      <c r="AK3225">
        <v>14.4014661670585</v>
      </c>
      <c r="AL3225">
        <v>80.889658013856206</v>
      </c>
      <c r="AM3225">
        <v>89.422372775733393</v>
      </c>
      <c r="AN3225">
        <v>1.00000003437582</v>
      </c>
    </row>
    <row r="3226" spans="1:40" x14ac:dyDescent="0.25">
      <c r="A3226" t="str">
        <f>"20190312172432463"</f>
        <v>20190312172432463</v>
      </c>
      <c r="B3226" t="str">
        <f>"1552382672453711"</f>
        <v>1552382672453711</v>
      </c>
      <c r="C3226" t="s">
        <v>40</v>
      </c>
      <c r="D3226">
        <v>3.9021430000000001</v>
      </c>
      <c r="E3226">
        <v>0.48607640000000002</v>
      </c>
      <c r="F3226" t="s">
        <v>48</v>
      </c>
      <c r="G3226">
        <v>-433.32150000000001</v>
      </c>
      <c r="H3226" s="1">
        <v>3.8113759999999998E-6</v>
      </c>
      <c r="I3226">
        <v>213.22710000000001</v>
      </c>
      <c r="J3226">
        <v>-447.6114</v>
      </c>
      <c r="K3226">
        <v>1.110374</v>
      </c>
      <c r="L3226">
        <v>213.61150000000001</v>
      </c>
      <c r="M3226">
        <v>0.99751350000000005</v>
      </c>
      <c r="N3226">
        <v>0</v>
      </c>
      <c r="O3226">
        <v>-7.0473259999999996E-2</v>
      </c>
      <c r="P3226">
        <v>0.98409190000000002</v>
      </c>
      <c r="Q3226">
        <v>0.15876279999999901</v>
      </c>
      <c r="R3226">
        <v>-7.9736080000000001E-2</v>
      </c>
      <c r="S3226">
        <v>3.0790410000000001</v>
      </c>
      <c r="T3226">
        <v>-0.234015</v>
      </c>
      <c r="U3226">
        <v>-8.5449220000000006E-2</v>
      </c>
      <c r="V3226">
        <v>9.4695360000000006E-3</v>
      </c>
      <c r="W3226">
        <v>0.15952829999999901</v>
      </c>
      <c r="X3226">
        <v>0.98714789999999997</v>
      </c>
      <c r="Y3226">
        <v>-4.2448899999999998E-2</v>
      </c>
      <c r="Z3226">
        <v>6.9532569999999896E-3</v>
      </c>
      <c r="AA3226">
        <v>0.99907449999999998</v>
      </c>
      <c r="AB3226">
        <v>31</v>
      </c>
      <c r="AC3226">
        <v>14.2898999999999</v>
      </c>
      <c r="AD3226">
        <v>-1.1103701886240001</v>
      </c>
      <c r="AE3226">
        <v>-0.38439999999999902</v>
      </c>
      <c r="AF3226">
        <v>-0.61987181106045597</v>
      </c>
      <c r="AG3226">
        <v>-1.1103701886240001</v>
      </c>
      <c r="AH3226">
        <v>14.195811297670399</v>
      </c>
      <c r="AI3226">
        <v>94.468223617704396</v>
      </c>
      <c r="AJ3226">
        <v>92.500279187753094</v>
      </c>
      <c r="AK3226">
        <v>14.252656644183901</v>
      </c>
      <c r="AL3226">
        <v>80.820481526229798</v>
      </c>
      <c r="AM3226">
        <v>89.450388533475902</v>
      </c>
      <c r="AN3226">
        <v>0.99999996354367704</v>
      </c>
    </row>
    <row r="3227" spans="1:40" x14ac:dyDescent="0.25">
      <c r="A3227" t="str">
        <f>"20190312172432484"</f>
        <v>20190312172432484</v>
      </c>
      <c r="B3227" t="str">
        <f>"1552382672473231"</f>
        <v>1552382672473231</v>
      </c>
      <c r="C3227" t="s">
        <v>40</v>
      </c>
      <c r="D3227">
        <v>3.8937029999999999</v>
      </c>
      <c r="E3227">
        <v>0.48612369999999999</v>
      </c>
      <c r="F3227" t="s">
        <v>48</v>
      </c>
      <c r="G3227">
        <v>-432.85509999999999</v>
      </c>
      <c r="H3227" s="1">
        <v>3.60329E-6</v>
      </c>
      <c r="I3227">
        <v>213.2415</v>
      </c>
      <c r="J3227">
        <v>-447.30290000000002</v>
      </c>
      <c r="K3227">
        <v>1.1105940000000001</v>
      </c>
      <c r="L3227">
        <v>213.59209999999999</v>
      </c>
      <c r="M3227">
        <v>0.9976971</v>
      </c>
      <c r="N3227">
        <v>0</v>
      </c>
      <c r="O3227">
        <v>-6.7822149999999998E-2</v>
      </c>
      <c r="P3227">
        <v>0.98404100000000005</v>
      </c>
      <c r="Q3227">
        <v>0.16027359999999999</v>
      </c>
      <c r="R3227">
        <v>-7.7303380000000005E-2</v>
      </c>
      <c r="S3227">
        <v>3.0796510000000001</v>
      </c>
      <c r="T3227">
        <v>-0.23173450000000001</v>
      </c>
      <c r="U3227">
        <v>-7.7224730000000005E-2</v>
      </c>
      <c r="V3227">
        <v>9.5821640000000007E-3</v>
      </c>
      <c r="W3227">
        <v>0.16115589999999999</v>
      </c>
      <c r="X3227">
        <v>0.98688240000000005</v>
      </c>
      <c r="Y3227">
        <v>-4.2479379999999997E-2</v>
      </c>
      <c r="Z3227">
        <v>6.6871099999999996E-3</v>
      </c>
      <c r="AA3227">
        <v>0.99907489999999999</v>
      </c>
      <c r="AB3227">
        <v>32</v>
      </c>
      <c r="AC3227">
        <v>14.447800000000001</v>
      </c>
      <c r="AD3227">
        <v>-1.1105903967099999</v>
      </c>
      <c r="AE3227">
        <v>-0.35059999999998498</v>
      </c>
      <c r="AF3227">
        <v>-0.62638938636481301</v>
      </c>
      <c r="AG3227">
        <v>-1.1105903967099999</v>
      </c>
      <c r="AH3227">
        <v>14.353547993830899</v>
      </c>
      <c r="AI3227">
        <v>94.4201940827692</v>
      </c>
      <c r="AJ3227">
        <v>92.498804540621407</v>
      </c>
      <c r="AK3227">
        <v>14.410069906278199</v>
      </c>
      <c r="AL3227">
        <v>80.726004446003998</v>
      </c>
      <c r="AM3227">
        <v>89.443702406783899</v>
      </c>
      <c r="AN3227">
        <v>0.99999995670074504</v>
      </c>
    </row>
    <row r="3228" spans="1:40" x14ac:dyDescent="0.25">
      <c r="A3228" t="str">
        <f>"20190312172432507"</f>
        <v>20190312172432507</v>
      </c>
      <c r="B3228" t="str">
        <f>"1552382672503487"</f>
        <v>1552382672503487</v>
      </c>
      <c r="C3228" t="s">
        <v>40</v>
      </c>
      <c r="D3228">
        <v>3.9233500000000001</v>
      </c>
      <c r="E3228">
        <v>0.48621419999999999</v>
      </c>
      <c r="F3228" t="s">
        <v>48</v>
      </c>
      <c r="G3228">
        <v>-432.25659999999999</v>
      </c>
      <c r="H3228" s="1">
        <v>3.3370800000000001E-6</v>
      </c>
      <c r="I3228">
        <v>213.2508</v>
      </c>
      <c r="J3228">
        <v>-446.99689999999998</v>
      </c>
      <c r="K3228">
        <v>1.1107849999999999</v>
      </c>
      <c r="L3228">
        <v>213.57380000000001</v>
      </c>
      <c r="M3228">
        <v>0.99788299999999996</v>
      </c>
      <c r="N3228">
        <v>0</v>
      </c>
      <c r="O3228">
        <v>-6.5030290000000004E-2</v>
      </c>
      <c r="P3228">
        <v>0.98407960000000005</v>
      </c>
      <c r="Q3228">
        <v>0.16128329999999999</v>
      </c>
      <c r="R3228">
        <v>-7.4669200000000005E-2</v>
      </c>
      <c r="S3228">
        <v>3.080139</v>
      </c>
      <c r="T3228">
        <v>-0.2273501</v>
      </c>
      <c r="U3228">
        <v>-6.9870000000000002E-2</v>
      </c>
      <c r="V3228">
        <v>9.6378149999999992E-3</v>
      </c>
      <c r="W3228">
        <v>0.1622786</v>
      </c>
      <c r="X3228">
        <v>0.98669790000000002</v>
      </c>
      <c r="Y3228">
        <v>-4.2092419999999998E-2</v>
      </c>
      <c r="Z3228">
        <v>6.3405819999999896E-3</v>
      </c>
      <c r="AA3228">
        <v>0.99909360000000003</v>
      </c>
      <c r="AB3228">
        <v>32</v>
      </c>
      <c r="AC3228">
        <v>14.7402999999999</v>
      </c>
      <c r="AD3228">
        <v>-1.11078166292</v>
      </c>
      <c r="AE3228">
        <v>-0.323000000000007</v>
      </c>
      <c r="AF3228">
        <v>-0.63265903694801295</v>
      </c>
      <c r="AG3228">
        <v>-1.11078166292</v>
      </c>
      <c r="AH3228">
        <v>14.6469688131276</v>
      </c>
      <c r="AI3228">
        <v>94.332812080629196</v>
      </c>
      <c r="AJ3228">
        <v>92.473288171812698</v>
      </c>
      <c r="AK3228">
        <v>14.702645638538799</v>
      </c>
      <c r="AL3228">
        <v>80.660820761060805</v>
      </c>
      <c r="AM3228">
        <v>89.440367145359005</v>
      </c>
      <c r="AN3228">
        <v>0.99999998868017204</v>
      </c>
    </row>
    <row r="3229" spans="1:40" x14ac:dyDescent="0.25">
      <c r="A3229" t="str">
        <f>"20190312172432528"</f>
        <v>20190312172432528</v>
      </c>
      <c r="B3229" t="str">
        <f>"1552382672523006"</f>
        <v>1552382672523006</v>
      </c>
      <c r="C3229" t="s">
        <v>40</v>
      </c>
      <c r="D3229">
        <v>3.9180609999999998</v>
      </c>
      <c r="E3229">
        <v>0.48635299999999998</v>
      </c>
      <c r="F3229" t="s">
        <v>48</v>
      </c>
      <c r="G3229">
        <v>-431.85770000000002</v>
      </c>
      <c r="H3229" s="1">
        <v>3.158734E-6</v>
      </c>
      <c r="I3229">
        <v>213.26730000000001</v>
      </c>
      <c r="J3229">
        <v>-446.68009999999998</v>
      </c>
      <c r="K3229">
        <v>1.1109659999999999</v>
      </c>
      <c r="L3229">
        <v>213.55590000000001</v>
      </c>
      <c r="M3229">
        <v>0.99807599999999996</v>
      </c>
      <c r="N3229">
        <v>0</v>
      </c>
      <c r="O3229">
        <v>-6.1993619999999999E-2</v>
      </c>
      <c r="P3229">
        <v>0.98426970000000003</v>
      </c>
      <c r="Q3229">
        <v>0.161790299999999</v>
      </c>
      <c r="R3229">
        <v>-7.0972320000000005E-2</v>
      </c>
      <c r="S3229">
        <v>3.0808110000000002</v>
      </c>
      <c r="T3229">
        <v>-0.22604199999999999</v>
      </c>
      <c r="U3229">
        <v>-6.2377929999999998E-2</v>
      </c>
      <c r="V3229">
        <v>8.8713630000000002E-3</v>
      </c>
      <c r="W3229">
        <v>0.16291</v>
      </c>
      <c r="X3229">
        <v>0.98660110000000001</v>
      </c>
      <c r="Y3229">
        <v>-4.1498960000000001E-2</v>
      </c>
      <c r="Z3229">
        <v>6.0592750000000003E-3</v>
      </c>
      <c r="AA3229">
        <v>0.99912020000000001</v>
      </c>
      <c r="AB3229">
        <v>32</v>
      </c>
      <c r="AC3229">
        <v>14.822399999999901</v>
      </c>
      <c r="AD3229">
        <v>-1.110962841266</v>
      </c>
      <c r="AE3229">
        <v>-0.28860000000000202</v>
      </c>
      <c r="AF3229">
        <v>-0.62732701549634995</v>
      </c>
      <c r="AG3229">
        <v>-1.110962841266</v>
      </c>
      <c r="AH3229">
        <v>14.7290683375202</v>
      </c>
      <c r="AI3229">
        <v>94.309563223854298</v>
      </c>
      <c r="AJ3229">
        <v>92.438815511430903</v>
      </c>
      <c r="AK3229">
        <v>14.7842223911299</v>
      </c>
      <c r="AL3229">
        <v>80.624156889983396</v>
      </c>
      <c r="AM3229">
        <v>89.484819183678795</v>
      </c>
      <c r="AN3229">
        <v>1.0000000498513399</v>
      </c>
    </row>
    <row r="3230" spans="1:40" x14ac:dyDescent="0.25">
      <c r="A3230" t="str">
        <f>"20190312172432563"</f>
        <v>20190312172432563</v>
      </c>
      <c r="B3230" t="str">
        <f>"1552382672553263"</f>
        <v>1552382672553263</v>
      </c>
      <c r="C3230" t="s">
        <v>40</v>
      </c>
      <c r="D3230">
        <v>3.907041</v>
      </c>
      <c r="E3230">
        <v>0.48655150000000003</v>
      </c>
      <c r="F3230" t="s">
        <v>48</v>
      </c>
      <c r="G3230">
        <v>-431.5025</v>
      </c>
      <c r="H3230" s="1">
        <v>2.9989799999999999E-6</v>
      </c>
      <c r="I3230">
        <v>213.29300000000001</v>
      </c>
      <c r="J3230">
        <v>-446.17579999999998</v>
      </c>
      <c r="K3230">
        <v>1.111291</v>
      </c>
      <c r="L3230">
        <v>213.52959999999999</v>
      </c>
      <c r="M3230">
        <v>0.99837620000000005</v>
      </c>
      <c r="N3230">
        <v>0</v>
      </c>
      <c r="O3230">
        <v>-5.6945950000000002E-2</v>
      </c>
      <c r="P3230">
        <v>0.98435300000000003</v>
      </c>
      <c r="Q3230">
        <v>0.1628927</v>
      </c>
      <c r="R3230">
        <v>-6.7192760000000004E-2</v>
      </c>
      <c r="S3230">
        <v>3.081207</v>
      </c>
      <c r="T3230">
        <v>-0.22553780000000001</v>
      </c>
      <c r="U3230">
        <v>-5.3375239999999997E-2</v>
      </c>
      <c r="V3230">
        <v>9.9734179999999995E-3</v>
      </c>
      <c r="W3230">
        <v>0.16440360000000001</v>
      </c>
      <c r="X3230">
        <v>0.98634270000000002</v>
      </c>
      <c r="Y3230">
        <v>-3.938788E-2</v>
      </c>
      <c r="Z3230">
        <v>5.5997629999999998E-3</v>
      </c>
      <c r="AA3230">
        <v>0.99920830000000005</v>
      </c>
      <c r="AB3230">
        <v>32</v>
      </c>
      <c r="AC3230">
        <v>14.6732999999999</v>
      </c>
      <c r="AD3230">
        <v>-1.1112880010199999</v>
      </c>
      <c r="AE3230">
        <v>-0.23659999999998099</v>
      </c>
      <c r="AF3230">
        <v>-0.59595243095273698</v>
      </c>
      <c r="AG3230">
        <v>-1.1112880010199999</v>
      </c>
      <c r="AH3230">
        <v>14.5793592092139</v>
      </c>
      <c r="AI3230">
        <v>94.355226219291495</v>
      </c>
      <c r="AJ3230">
        <v>92.340744876415698</v>
      </c>
      <c r="AK3230">
        <v>14.633790871556799</v>
      </c>
      <c r="AL3230">
        <v>80.537409546154294</v>
      </c>
      <c r="AM3230">
        <v>89.420672667926894</v>
      </c>
      <c r="AN3230">
        <v>0.99999996730142504</v>
      </c>
    </row>
    <row r="3231" spans="1:40" x14ac:dyDescent="0.25">
      <c r="A3231" t="str">
        <f>"20190312172432586"</f>
        <v>20190312172432586</v>
      </c>
      <c r="B3231" t="str">
        <f>"1552382672583519"</f>
        <v>1552382672583519</v>
      </c>
      <c r="C3231" t="s">
        <v>40</v>
      </c>
      <c r="D3231">
        <v>3.908245</v>
      </c>
      <c r="E3231">
        <v>0.47796379999999999</v>
      </c>
      <c r="F3231" t="s">
        <v>48</v>
      </c>
      <c r="G3231">
        <v>-430.80720000000002</v>
      </c>
      <c r="H3231" s="1">
        <v>2.688057E-6</v>
      </c>
      <c r="I3231">
        <v>213.32239999999999</v>
      </c>
      <c r="J3231">
        <v>-445.86160000000001</v>
      </c>
      <c r="K3231">
        <v>1.111545</v>
      </c>
      <c r="L3231">
        <v>213.51480000000001</v>
      </c>
      <c r="M3231">
        <v>0.99855550000000004</v>
      </c>
      <c r="N3231">
        <v>0</v>
      </c>
      <c r="O3231">
        <v>-5.3695859999999998E-2</v>
      </c>
      <c r="P3231">
        <v>0.98472890000000002</v>
      </c>
      <c r="Q3231">
        <v>0.1615444</v>
      </c>
      <c r="R3231">
        <v>-6.490456E-2</v>
      </c>
      <c r="S3231">
        <v>3.0817260000000002</v>
      </c>
      <c r="T3231">
        <v>-0.2228357</v>
      </c>
      <c r="U3231">
        <v>-4.1549679999999999E-2</v>
      </c>
      <c r="V3231">
        <v>1.082203E-2</v>
      </c>
      <c r="W3231">
        <v>0.16353809999999999</v>
      </c>
      <c r="X3231">
        <v>0.98647770000000001</v>
      </c>
      <c r="Y3231">
        <v>-3.9984749999999999E-2</v>
      </c>
      <c r="Z3231">
        <v>5.3193700000000003E-3</v>
      </c>
      <c r="AA3231">
        <v>0.99918620000000002</v>
      </c>
      <c r="AB3231">
        <v>32</v>
      </c>
      <c r="AC3231">
        <v>15.0543999999999</v>
      </c>
      <c r="AD3231">
        <v>-1.1115423119429999</v>
      </c>
      <c r="AE3231">
        <v>-0.19240000000002</v>
      </c>
      <c r="AF3231">
        <v>-0.612897273103024</v>
      </c>
      <c r="AG3231">
        <v>-1.1115423119429999</v>
      </c>
      <c r="AH3231">
        <v>14.9614617978903</v>
      </c>
      <c r="AI3231">
        <v>94.245361783110894</v>
      </c>
      <c r="AJ3231">
        <v>92.345813789131</v>
      </c>
      <c r="AK3231">
        <v>15.015209239579301</v>
      </c>
      <c r="AL3231">
        <v>80.587680126579301</v>
      </c>
      <c r="AM3231">
        <v>89.371469043713901</v>
      </c>
      <c r="AN3231">
        <v>1.0000000395410999</v>
      </c>
    </row>
    <row r="3232" spans="1:40" x14ac:dyDescent="0.25">
      <c r="A3232" t="str">
        <f>"20190312172432608"</f>
        <v>20190312172432608</v>
      </c>
      <c r="B3232" t="str">
        <f>"1552382672603039"</f>
        <v>1552382672603039</v>
      </c>
      <c r="C3232" t="s">
        <v>40</v>
      </c>
      <c r="D3232">
        <v>3.9115229999999999</v>
      </c>
      <c r="E3232">
        <v>0.47865679999999999</v>
      </c>
      <c r="F3232" t="s">
        <v>48</v>
      </c>
      <c r="G3232">
        <v>-429.92059999999998</v>
      </c>
      <c r="H3232" s="1">
        <v>2.2856909999999999E-6</v>
      </c>
      <c r="I3232">
        <v>213.69159999999999</v>
      </c>
      <c r="J3232">
        <v>-445.52690000000001</v>
      </c>
      <c r="K3232">
        <v>1.1118539999999999</v>
      </c>
      <c r="L3232">
        <v>213.50040000000001</v>
      </c>
      <c r="M3232">
        <v>0.99873730000000005</v>
      </c>
      <c r="N3232">
        <v>0</v>
      </c>
      <c r="O3232">
        <v>-5.0163699999999901E-2</v>
      </c>
      <c r="P3232">
        <v>0.98530609999999996</v>
      </c>
      <c r="Q3232">
        <v>0.1593019</v>
      </c>
      <c r="R3232">
        <v>-6.160388E-2</v>
      </c>
      <c r="S3232">
        <v>3.0840450000000001</v>
      </c>
      <c r="T3232">
        <v>-0.21504680000000001</v>
      </c>
      <c r="U3232">
        <v>3.4194950000000002E-2</v>
      </c>
      <c r="V3232">
        <v>1.093644E-2</v>
      </c>
      <c r="W3232">
        <v>0.16206129999999999</v>
      </c>
      <c r="X3232">
        <v>0.98672009999999999</v>
      </c>
      <c r="Y3232">
        <v>-6.0964099999999903E-2</v>
      </c>
      <c r="Z3232">
        <v>5.6154949999999999E-3</v>
      </c>
      <c r="AA3232">
        <v>0.99812420000000002</v>
      </c>
      <c r="AB3232">
        <v>32</v>
      </c>
      <c r="AC3232">
        <v>15.606299999999999</v>
      </c>
      <c r="AD3232">
        <v>-1.1118517143089901</v>
      </c>
      <c r="AE3232">
        <v>0.19119999999998</v>
      </c>
      <c r="AF3232">
        <v>-0.96891477174859597</v>
      </c>
      <c r="AG3232">
        <v>-1.1118517143089901</v>
      </c>
      <c r="AH3232">
        <v>15.4984072509641</v>
      </c>
      <c r="AI3232">
        <v>94.095386481952701</v>
      </c>
      <c r="AJ3232">
        <v>93.577307726289305</v>
      </c>
      <c r="AK3232">
        <v>15.568417947442899</v>
      </c>
      <c r="AL3232">
        <v>80.673438383347701</v>
      </c>
      <c r="AM3232">
        <v>89.364980810978494</v>
      </c>
      <c r="AN3232">
        <v>1.00000001321078</v>
      </c>
    </row>
    <row r="3233" spans="1:40" x14ac:dyDescent="0.25">
      <c r="A3233" t="str">
        <f>"20190312172432632"</f>
        <v>20190312172432632</v>
      </c>
      <c r="B3233" t="str">
        <f>"1552382672623535"</f>
        <v>1552382672623535</v>
      </c>
      <c r="C3233" t="s">
        <v>40</v>
      </c>
      <c r="D3233">
        <v>3.8723079999999999</v>
      </c>
      <c r="E3233">
        <v>0.47921229999999998</v>
      </c>
      <c r="F3233" t="s">
        <v>48</v>
      </c>
      <c r="G3233">
        <v>-430.267</v>
      </c>
      <c r="H3233" s="1">
        <v>2.416335E-6</v>
      </c>
      <c r="I3233">
        <v>213.69049999999999</v>
      </c>
      <c r="J3233">
        <v>-445.20100000000002</v>
      </c>
      <c r="K3233">
        <v>1.1121289999999999</v>
      </c>
      <c r="L3233">
        <v>213.48769999999999</v>
      </c>
      <c r="M3233">
        <v>0.99890789999999996</v>
      </c>
      <c r="N3233">
        <v>0</v>
      </c>
      <c r="O3233">
        <v>-4.6588169999999998E-2</v>
      </c>
      <c r="P3233">
        <v>0.98569169999999995</v>
      </c>
      <c r="Q3233">
        <v>0.15824279999999999</v>
      </c>
      <c r="R3233">
        <v>-5.8059479999999997E-2</v>
      </c>
      <c r="S3233">
        <v>3.083466</v>
      </c>
      <c r="T3233">
        <v>-0.22466430000000001</v>
      </c>
      <c r="U3233">
        <v>3.8406370000000002E-2</v>
      </c>
      <c r="V3233">
        <v>1.086346E-2</v>
      </c>
      <c r="W3233">
        <v>0.16182829999999901</v>
      </c>
      <c r="X3233">
        <v>0.9867591</v>
      </c>
      <c r="Y3233">
        <v>-5.8746800000000002E-2</v>
      </c>
      <c r="Z3233">
        <v>5.5264399999999997E-3</v>
      </c>
      <c r="AA3233">
        <v>0.99825759999999997</v>
      </c>
      <c r="AB3233">
        <v>32</v>
      </c>
      <c r="AC3233">
        <v>14.9339999999999</v>
      </c>
      <c r="AD3233">
        <v>-1.1121265836650001</v>
      </c>
      <c r="AE3233">
        <v>0.20279999999999601</v>
      </c>
      <c r="AF3233">
        <v>-0.89337839726025303</v>
      </c>
      <c r="AG3233">
        <v>-1.1121265836650001</v>
      </c>
      <c r="AH3233">
        <v>14.8261299784884</v>
      </c>
      <c r="AI3233">
        <v>94.282056592299796</v>
      </c>
      <c r="AJ3233">
        <v>93.448303422395597</v>
      </c>
      <c r="AK3233">
        <v>14.8945990425328</v>
      </c>
      <c r="AL3233">
        <v>80.686966448343597</v>
      </c>
      <c r="AM3233">
        <v>89.3692429450238</v>
      </c>
      <c r="AN3233">
        <v>0.999999967438435</v>
      </c>
    </row>
    <row r="3234" spans="1:40" x14ac:dyDescent="0.25">
      <c r="A3234" t="str">
        <f>"20190312172432652"</f>
        <v>20190312172432652</v>
      </c>
      <c r="B3234" t="str">
        <f>"1552382672643055"</f>
        <v>1552382672643055</v>
      </c>
      <c r="C3234" t="s">
        <v>40</v>
      </c>
      <c r="D3234">
        <v>3.9048500000000002</v>
      </c>
      <c r="E3234">
        <v>0.4796087</v>
      </c>
      <c r="F3234" t="s">
        <v>48</v>
      </c>
      <c r="G3234">
        <v>-430.15039999999999</v>
      </c>
      <c r="H3234" s="1">
        <v>2.3632789999999999E-6</v>
      </c>
      <c r="I3234">
        <v>213.70599999999999</v>
      </c>
      <c r="J3234">
        <v>-444.88810000000001</v>
      </c>
      <c r="K3234">
        <v>1.112336</v>
      </c>
      <c r="L3234">
        <v>213.47669999999999</v>
      </c>
      <c r="M3234">
        <v>0.99906660000000003</v>
      </c>
      <c r="N3234">
        <v>0</v>
      </c>
      <c r="O3234">
        <v>-4.2988819999999997E-2</v>
      </c>
      <c r="P3234">
        <v>0.9857764</v>
      </c>
      <c r="Q3234">
        <v>0.1585828</v>
      </c>
      <c r="R3234">
        <v>-5.5649400000000002E-2</v>
      </c>
      <c r="S3234">
        <v>3.0827640000000001</v>
      </c>
      <c r="T3234">
        <v>-0.22779350000000001</v>
      </c>
      <c r="U3234">
        <v>4.4723510000000001E-2</v>
      </c>
      <c r="V3234">
        <v>1.1959539999999999E-2</v>
      </c>
      <c r="W3234">
        <v>0.1628809</v>
      </c>
      <c r="X3234">
        <v>0.98657329999999999</v>
      </c>
      <c r="Y3234">
        <v>-5.7204270000000002E-2</v>
      </c>
      <c r="Z3234">
        <v>5.282106E-3</v>
      </c>
      <c r="AA3234">
        <v>0.99834849999999997</v>
      </c>
      <c r="AB3234">
        <v>32</v>
      </c>
      <c r="AC3234">
        <v>14.7377</v>
      </c>
      <c r="AD3234">
        <v>-1.1123336367209999</v>
      </c>
      <c r="AE3234">
        <v>0.22929999999999401</v>
      </c>
      <c r="AF3234">
        <v>-0.85776491567384705</v>
      </c>
      <c r="AG3234">
        <v>-1.1123336367209999</v>
      </c>
      <c r="AH3234">
        <v>14.6308929020857</v>
      </c>
      <c r="AI3234">
        <v>94.340202453031296</v>
      </c>
      <c r="AJ3234">
        <v>93.355237330171207</v>
      </c>
      <c r="AK3234">
        <v>14.698165663858999</v>
      </c>
      <c r="AL3234">
        <v>80.625846743398299</v>
      </c>
      <c r="AM3234">
        <v>89.305477246424005</v>
      </c>
      <c r="AN3234">
        <v>1.00000004722735</v>
      </c>
    </row>
    <row r="3235" spans="1:40" x14ac:dyDescent="0.25">
      <c r="A3235" t="str">
        <f>"20190312172432675"</f>
        <v>20190312172432675</v>
      </c>
      <c r="B3235" t="str">
        <f>"1552382672663554"</f>
        <v>1552382672663554</v>
      </c>
      <c r="C3235" t="s">
        <v>40</v>
      </c>
      <c r="D3235">
        <v>3.908118</v>
      </c>
      <c r="E3235">
        <v>0.48004350000000001</v>
      </c>
      <c r="F3235" t="s">
        <v>48</v>
      </c>
      <c r="G3235">
        <v>-429.67099999999999</v>
      </c>
      <c r="H3235" s="1">
        <v>2.327158E-6</v>
      </c>
      <c r="I3235">
        <v>213.72380000000001</v>
      </c>
      <c r="J3235">
        <v>-444.56900000000002</v>
      </c>
      <c r="K3235">
        <v>1.1125240000000001</v>
      </c>
      <c r="L3235">
        <v>213.4667</v>
      </c>
      <c r="M3235">
        <v>0.99921919999999997</v>
      </c>
      <c r="N3235">
        <v>0</v>
      </c>
      <c r="O3235">
        <v>-3.919164E-2</v>
      </c>
      <c r="P3235">
        <v>0.9861259</v>
      </c>
      <c r="Q3235">
        <v>0.15743960000000001</v>
      </c>
      <c r="R3235">
        <v>-5.2619939999999997E-2</v>
      </c>
      <c r="S3235">
        <v>3.0823670000000001</v>
      </c>
      <c r="T3235">
        <v>-0.22531319999999999</v>
      </c>
      <c r="U3235">
        <v>5.0048830000000002E-2</v>
      </c>
      <c r="V3235">
        <v>1.263909E-2</v>
      </c>
      <c r="W3235">
        <v>0.16249559999999999</v>
      </c>
      <c r="X3235">
        <v>0.98662839999999996</v>
      </c>
      <c r="Y3235">
        <v>-5.5157829999999998E-2</v>
      </c>
      <c r="Z3235">
        <v>4.8736489999999999E-3</v>
      </c>
      <c r="AA3235">
        <v>0.99846579999999996</v>
      </c>
      <c r="AB3235">
        <v>32</v>
      </c>
      <c r="AC3235">
        <v>14.898</v>
      </c>
      <c r="AD3235">
        <v>-1.112521672842</v>
      </c>
      <c r="AE3235">
        <v>0.25710000000000799</v>
      </c>
      <c r="AF3235">
        <v>-0.83612556270330995</v>
      </c>
      <c r="AG3235">
        <v>-1.112521672842</v>
      </c>
      <c r="AH3235">
        <v>14.794003402990301</v>
      </c>
      <c r="AI3235">
        <v>94.293770231988105</v>
      </c>
      <c r="AJ3235">
        <v>93.234794085006797</v>
      </c>
      <c r="AK3235">
        <v>14.859318528009201</v>
      </c>
      <c r="AL3235">
        <v>80.648221224294105</v>
      </c>
      <c r="AM3235">
        <v>89.266059131851506</v>
      </c>
      <c r="AN3235">
        <v>1.0000000831509701</v>
      </c>
    </row>
    <row r="3236" spans="1:40" x14ac:dyDescent="0.25">
      <c r="A3236" t="str">
        <f>"20190312172432696"</f>
        <v>20190312172432696</v>
      </c>
      <c r="B3236" t="str">
        <f>"1552382672693806"</f>
        <v>1552382672693806</v>
      </c>
      <c r="C3236" t="s">
        <v>40</v>
      </c>
      <c r="D3236">
        <v>3.8614850000000001</v>
      </c>
      <c r="E3236">
        <v>0.48037200000000002</v>
      </c>
      <c r="F3236" t="s">
        <v>48</v>
      </c>
      <c r="G3236">
        <v>-429.57569999999998</v>
      </c>
      <c r="H3236" s="1">
        <v>2.3419879999999999E-6</v>
      </c>
      <c r="I3236">
        <v>213.74760000000001</v>
      </c>
      <c r="J3236">
        <v>-444.25740000000002</v>
      </c>
      <c r="K3236">
        <v>1.1126879999999999</v>
      </c>
      <c r="L3236">
        <v>213.45830000000001</v>
      </c>
      <c r="M3236">
        <v>0.9993573</v>
      </c>
      <c r="N3236">
        <v>0</v>
      </c>
      <c r="O3236">
        <v>-3.5377489999999998E-2</v>
      </c>
      <c r="P3236">
        <v>0.98658789999999996</v>
      </c>
      <c r="Q3236">
        <v>0.15568080000000001</v>
      </c>
      <c r="R3236">
        <v>-4.9071040000000003E-2</v>
      </c>
      <c r="S3236">
        <v>3.0818180000000002</v>
      </c>
      <c r="T3236">
        <v>-0.2286745</v>
      </c>
      <c r="U3236">
        <v>5.7723999999999998E-2</v>
      </c>
      <c r="V3236">
        <v>1.2827699999999999E-2</v>
      </c>
      <c r="W3236">
        <v>0.16149469999999999</v>
      </c>
      <c r="X3236">
        <v>0.98679019999999995</v>
      </c>
      <c r="Y3236">
        <v>-5.3842170000000002E-2</v>
      </c>
      <c r="Z3236">
        <v>4.6157300000000002E-3</v>
      </c>
      <c r="AA3236">
        <v>0.99853879999999995</v>
      </c>
      <c r="AB3236">
        <v>32</v>
      </c>
      <c r="AC3236">
        <v>14.681699999999999</v>
      </c>
      <c r="AD3236">
        <v>-1.1126856580119999</v>
      </c>
      <c r="AE3236">
        <v>0.289299999999997</v>
      </c>
      <c r="AF3236">
        <v>-0.80391362026419699</v>
      </c>
      <c r="AG3236">
        <v>-1.1126856580119999</v>
      </c>
      <c r="AH3236">
        <v>14.578571825856701</v>
      </c>
      <c r="AI3236">
        <v>94.357949702739504</v>
      </c>
      <c r="AJ3236">
        <v>93.156293750293898</v>
      </c>
      <c r="AK3236">
        <v>14.643056476161499</v>
      </c>
      <c r="AL3236">
        <v>80.706335334598705</v>
      </c>
      <c r="AM3236">
        <v>89.255230062813595</v>
      </c>
      <c r="AN3236">
        <v>0.999999993415709</v>
      </c>
    </row>
    <row r="3237" spans="1:40" x14ac:dyDescent="0.25">
      <c r="A3237" t="str">
        <f>"20190312172432719"</f>
        <v>20190312172432719</v>
      </c>
      <c r="B3237" t="str">
        <f>"1552382672713327"</f>
        <v>1552382672713327</v>
      </c>
      <c r="C3237" t="s">
        <v>40</v>
      </c>
      <c r="D3237">
        <v>3.9132229999999999</v>
      </c>
      <c r="E3237">
        <v>0.48068539999999998</v>
      </c>
      <c r="F3237" t="s">
        <v>48</v>
      </c>
      <c r="G3237">
        <v>-429.71510000000001</v>
      </c>
      <c r="H3237" s="1">
        <v>2.3153140000000001E-6</v>
      </c>
      <c r="I3237">
        <v>213.7697</v>
      </c>
      <c r="J3237">
        <v>-443.93689999999998</v>
      </c>
      <c r="K3237">
        <v>1.1128370000000001</v>
      </c>
      <c r="L3237">
        <v>213.45079999999999</v>
      </c>
      <c r="M3237">
        <v>0.99948630000000005</v>
      </c>
      <c r="N3237">
        <v>0</v>
      </c>
      <c r="O3237">
        <v>-3.1379820000000003E-2</v>
      </c>
      <c r="P3237">
        <v>0.98685540000000005</v>
      </c>
      <c r="Q3237">
        <v>0.15523000000000001</v>
      </c>
      <c r="R3237">
        <v>-4.494658E-2</v>
      </c>
      <c r="S3237">
        <v>3.081299</v>
      </c>
      <c r="T3237">
        <v>-0.235762</v>
      </c>
      <c r="U3237">
        <v>6.5994259999999999E-2</v>
      </c>
      <c r="V3237">
        <v>1.2623479999999999E-2</v>
      </c>
      <c r="W3237">
        <v>0.1617808</v>
      </c>
      <c r="X3237">
        <v>0.98674600000000001</v>
      </c>
      <c r="Y3237">
        <v>-5.253033E-2</v>
      </c>
      <c r="Z3237">
        <v>4.4036559999999997E-3</v>
      </c>
      <c r="AA3237">
        <v>0.99860959999999999</v>
      </c>
      <c r="AB3237">
        <v>32</v>
      </c>
      <c r="AC3237">
        <v>14.221799999999901</v>
      </c>
      <c r="AD3237">
        <v>-1.112834684686</v>
      </c>
      <c r="AE3237">
        <v>0.31890000000001301</v>
      </c>
      <c r="AF3237">
        <v>-0.76037662362345004</v>
      </c>
      <c r="AG3237">
        <v>-1.112834684686</v>
      </c>
      <c r="AH3237">
        <v>14.118387648120301</v>
      </c>
      <c r="AI3237">
        <v>94.500334919785402</v>
      </c>
      <c r="AJ3237">
        <v>93.082811068480495</v>
      </c>
      <c r="AK3237">
        <v>14.182575345394399</v>
      </c>
      <c r="AL3237">
        <v>80.689724870516599</v>
      </c>
      <c r="AM3237">
        <v>89.267052845117504</v>
      </c>
      <c r="AN3237">
        <v>1.0000000240059701</v>
      </c>
    </row>
    <row r="3238" spans="1:40" x14ac:dyDescent="0.25">
      <c r="A3238" t="str">
        <f>"20190312172432742"</f>
        <v>20190312172432742</v>
      </c>
      <c r="B3238" t="str">
        <f>"1552382672733824"</f>
        <v>1552382672733824</v>
      </c>
      <c r="C3238" t="s">
        <v>40</v>
      </c>
      <c r="D3238">
        <v>3.9375339999999999</v>
      </c>
      <c r="E3238">
        <v>0.48099750000000002</v>
      </c>
      <c r="F3238" t="s">
        <v>48</v>
      </c>
      <c r="G3238">
        <v>-429.51639999999998</v>
      </c>
      <c r="H3238" s="1">
        <v>2.3473660000000001E-6</v>
      </c>
      <c r="I3238">
        <v>213.80619999999999</v>
      </c>
      <c r="J3238">
        <v>-443.59879999999998</v>
      </c>
      <c r="K3238">
        <v>1.112959</v>
      </c>
      <c r="L3238">
        <v>213.4444</v>
      </c>
      <c r="M3238">
        <v>0.99960550000000004</v>
      </c>
      <c r="N3238">
        <v>0</v>
      </c>
      <c r="O3238">
        <v>-2.7137729999999999E-2</v>
      </c>
      <c r="P3238">
        <v>0.98688889999999996</v>
      </c>
      <c r="Q3238">
        <v>0.15616050000000001</v>
      </c>
      <c r="R3238">
        <v>-4.0796249999999999E-2</v>
      </c>
      <c r="S3238">
        <v>3.0807799999999999</v>
      </c>
      <c r="T3238">
        <v>-0.2377455</v>
      </c>
      <c r="U3238">
        <v>7.5927729999999999E-2</v>
      </c>
      <c r="V3238">
        <v>1.263126E-2</v>
      </c>
      <c r="W3238">
        <v>0.1634177</v>
      </c>
      <c r="X3238">
        <v>0.98647609999999997</v>
      </c>
      <c r="Y3238">
        <v>-5.1525500000000002E-2</v>
      </c>
      <c r="Z3238">
        <v>4.0757199999999997E-3</v>
      </c>
      <c r="AA3238">
        <v>0.99866339999999998</v>
      </c>
      <c r="AB3238">
        <v>32</v>
      </c>
      <c r="AC3238">
        <v>14.0824</v>
      </c>
      <c r="AD3238">
        <v>-1.112956652634</v>
      </c>
      <c r="AE3238">
        <v>0.36179999999998802</v>
      </c>
      <c r="AF3238">
        <v>-0.73922694499775399</v>
      </c>
      <c r="AG3238">
        <v>-1.112956652634</v>
      </c>
      <c r="AH3238">
        <v>13.980132007754801</v>
      </c>
      <c r="AI3238">
        <v>94.545387282352294</v>
      </c>
      <c r="AJ3238">
        <v>93.0268080458642</v>
      </c>
      <c r="AK3238">
        <v>14.0438320960165</v>
      </c>
      <c r="AL3238">
        <v>80.594672181860702</v>
      </c>
      <c r="AM3238">
        <v>89.266400534347</v>
      </c>
      <c r="AN3238">
        <v>0.99999999463684297</v>
      </c>
    </row>
    <row r="3239" spans="1:40" x14ac:dyDescent="0.25">
      <c r="A3239" t="str">
        <f>"20190312172432765"</f>
        <v>20190312172432765</v>
      </c>
      <c r="B3239" t="str">
        <f>"1552382672753343"</f>
        <v>1552382672753343</v>
      </c>
      <c r="C3239" t="s">
        <v>40</v>
      </c>
      <c r="D3239">
        <v>3.9071359999999999</v>
      </c>
      <c r="E3239">
        <v>0.48127969999999998</v>
      </c>
      <c r="F3239" t="s">
        <v>48</v>
      </c>
      <c r="G3239">
        <v>-428.9873</v>
      </c>
      <c r="H3239" s="1">
        <v>2.4366600000000001E-6</v>
      </c>
      <c r="I3239">
        <v>213.85839999999999</v>
      </c>
      <c r="J3239">
        <v>-443.2747</v>
      </c>
      <c r="K3239">
        <v>1.1130500000000001</v>
      </c>
      <c r="L3239">
        <v>213.43969999999999</v>
      </c>
      <c r="M3239">
        <v>0.99970289999999995</v>
      </c>
      <c r="N3239">
        <v>0</v>
      </c>
      <c r="O3239">
        <v>-2.3079559999999999E-2</v>
      </c>
      <c r="P3239">
        <v>0.98703379999999996</v>
      </c>
      <c r="Q3239">
        <v>0.1562799</v>
      </c>
      <c r="R3239">
        <v>-3.662087E-2</v>
      </c>
      <c r="S3239">
        <v>3.080597</v>
      </c>
      <c r="T3239">
        <v>-0.23464969999999999</v>
      </c>
      <c r="U3239">
        <v>8.7295529999999996E-2</v>
      </c>
      <c r="V3239">
        <v>1.2440649999999999E-2</v>
      </c>
      <c r="W3239">
        <v>0.1641406</v>
      </c>
      <c r="X3239">
        <v>0.98635850000000003</v>
      </c>
      <c r="Y3239">
        <v>-5.117435E-2</v>
      </c>
      <c r="Z3239">
        <v>3.7009339999999999E-3</v>
      </c>
      <c r="AA3239">
        <v>0.99868290000000004</v>
      </c>
      <c r="AB3239">
        <v>32</v>
      </c>
      <c r="AC3239">
        <v>14.2873999999999</v>
      </c>
      <c r="AD3239">
        <v>-1.1130475633399901</v>
      </c>
      <c r="AE3239">
        <v>0.41870000000000102</v>
      </c>
      <c r="AF3239">
        <v>-0.743834999927383</v>
      </c>
      <c r="AG3239">
        <v>-1.1130475633399901</v>
      </c>
      <c r="AH3239">
        <v>14.1878971093339</v>
      </c>
      <c r="AI3239">
        <v>94.479567959490694</v>
      </c>
      <c r="AJ3239">
        <v>93.001122888081696</v>
      </c>
      <c r="AK3239">
        <v>14.250915401139</v>
      </c>
      <c r="AL3239">
        <v>80.552686161329106</v>
      </c>
      <c r="AM3239">
        <v>89.277383481070601</v>
      </c>
      <c r="AN3239">
        <v>0.99999999843151599</v>
      </c>
    </row>
    <row r="3240" spans="1:40" x14ac:dyDescent="0.25">
      <c r="A3240" t="str">
        <f>"20190312172432785"</f>
        <v>20190312172432785</v>
      </c>
      <c r="B3240" t="str">
        <f>"1552382672773052"</f>
        <v>1552382672773052</v>
      </c>
      <c r="C3240" t="s">
        <v>40</v>
      </c>
      <c r="D3240">
        <v>3.9109630000000002</v>
      </c>
      <c r="E3240">
        <v>0.48147899999999999</v>
      </c>
      <c r="F3240" t="s">
        <v>48</v>
      </c>
      <c r="G3240">
        <v>-428.60210000000001</v>
      </c>
      <c r="H3240" s="1">
        <v>2.5006490000000001E-6</v>
      </c>
      <c r="I3240">
        <v>213.90819999999999</v>
      </c>
      <c r="J3240">
        <v>-442.97370000000001</v>
      </c>
      <c r="K3240">
        <v>1.113105</v>
      </c>
      <c r="L3240">
        <v>213.4365</v>
      </c>
      <c r="M3240">
        <v>0.99977850000000001</v>
      </c>
      <c r="N3240">
        <v>0</v>
      </c>
      <c r="O3240">
        <v>-1.9316110000000001E-2</v>
      </c>
      <c r="P3240">
        <v>0.98719849999999998</v>
      </c>
      <c r="Q3240">
        <v>0.1561814</v>
      </c>
      <c r="R3240">
        <v>-3.2353590000000002E-2</v>
      </c>
      <c r="S3240">
        <v>3.0800480000000001</v>
      </c>
      <c r="T3240">
        <v>-0.23364840000000001</v>
      </c>
      <c r="U3240">
        <v>9.8342899999999997E-2</v>
      </c>
      <c r="V3240">
        <v>1.187468E-2</v>
      </c>
      <c r="W3240">
        <v>0.1645442</v>
      </c>
      <c r="X3240">
        <v>0.98629820000000001</v>
      </c>
      <c r="Y3240">
        <v>-5.1011859999999999E-2</v>
      </c>
      <c r="Z3240">
        <v>3.3944980000000001E-3</v>
      </c>
      <c r="AA3240">
        <v>0.99869229999999998</v>
      </c>
      <c r="AB3240">
        <v>32</v>
      </c>
      <c r="AC3240">
        <v>14.371600000000001</v>
      </c>
      <c r="AD3240">
        <v>-1.1131024993509999</v>
      </c>
      <c r="AE3240">
        <v>0.47169999999999801</v>
      </c>
      <c r="AF3240">
        <v>-0.744762260006544</v>
      </c>
      <c r="AG3240">
        <v>-1.1131024993509999</v>
      </c>
      <c r="AH3240">
        <v>14.274271221945201</v>
      </c>
      <c r="AI3240">
        <v>94.4528485034634</v>
      </c>
      <c r="AJ3240">
        <v>92.986707741956906</v>
      </c>
      <c r="AK3240">
        <v>14.336962262475501</v>
      </c>
      <c r="AL3240">
        <v>80.529242567385396</v>
      </c>
      <c r="AM3240">
        <v>89.310212493471298</v>
      </c>
      <c r="AN3240">
        <v>0.99999997055098999</v>
      </c>
    </row>
    <row r="3241" spans="1:40" x14ac:dyDescent="0.25">
      <c r="A3241" t="str">
        <f>"20190312172432810"</f>
        <v>20190312172432810</v>
      </c>
      <c r="B3241" t="str">
        <f>"1552382672803309"</f>
        <v>1552382672803309</v>
      </c>
      <c r="C3241" t="s">
        <v>40</v>
      </c>
      <c r="D3241">
        <v>3.916579</v>
      </c>
      <c r="E3241">
        <v>0.4856896</v>
      </c>
      <c r="F3241" t="s">
        <v>48</v>
      </c>
      <c r="G3241">
        <v>-428.25880000000001</v>
      </c>
      <c r="H3241" s="1">
        <v>2.5570479999999999E-6</v>
      </c>
      <c r="I3241">
        <v>213.95959999999999</v>
      </c>
      <c r="J3241">
        <v>-442.6311</v>
      </c>
      <c r="K3241">
        <v>1.113151</v>
      </c>
      <c r="L3241">
        <v>213.43430000000001</v>
      </c>
      <c r="M3241">
        <v>0.9998475</v>
      </c>
      <c r="N3241">
        <v>0</v>
      </c>
      <c r="O3241">
        <v>-1.503492E-2</v>
      </c>
      <c r="P3241">
        <v>0.98747529999999994</v>
      </c>
      <c r="Q3241">
        <v>0.1553127</v>
      </c>
      <c r="R3241">
        <v>-2.7763329999999999E-2</v>
      </c>
      <c r="S3241">
        <v>3.0793460000000001</v>
      </c>
      <c r="T3241">
        <v>-0.23293520000000001</v>
      </c>
      <c r="U3241">
        <v>0.1094666</v>
      </c>
      <c r="V3241">
        <v>1.150637E-2</v>
      </c>
      <c r="W3241">
        <v>0.16418479999999999</v>
      </c>
      <c r="X3241">
        <v>0.98636250000000003</v>
      </c>
      <c r="Y3241">
        <v>-5.0361580000000003E-2</v>
      </c>
      <c r="Z3241">
        <v>3.0368859999999999E-3</v>
      </c>
      <c r="AA3241">
        <v>0.99872640000000001</v>
      </c>
      <c r="AB3241">
        <v>32</v>
      </c>
      <c r="AC3241">
        <v>14.3722999999999</v>
      </c>
      <c r="AD3241">
        <v>-1.113148442952</v>
      </c>
      <c r="AE3241">
        <v>0.525299999999987</v>
      </c>
      <c r="AF3241">
        <v>-0.73692089493343005</v>
      </c>
      <c r="AG3241">
        <v>-1.113148442952</v>
      </c>
      <c r="AH3241">
        <v>14.27724723253</v>
      </c>
      <c r="AI3241">
        <v>94.452235621507597</v>
      </c>
      <c r="AJ3241">
        <v>92.954702759169706</v>
      </c>
      <c r="AK3241">
        <v>14.3395237159475</v>
      </c>
      <c r="AL3241">
        <v>80.550118999328305</v>
      </c>
      <c r="AM3241">
        <v>89.331648824855094</v>
      </c>
      <c r="AN3241">
        <v>1.00000001325393</v>
      </c>
    </row>
    <row r="3242" spans="1:40" x14ac:dyDescent="0.25">
      <c r="A3242" t="str">
        <f>"20190312172432832"</f>
        <v>20190312172432832</v>
      </c>
      <c r="B3242" t="str">
        <f>"1552382672823804"</f>
        <v>1552382672823804</v>
      </c>
      <c r="C3242" t="s">
        <v>40</v>
      </c>
      <c r="D3242">
        <v>3.9260440000000001</v>
      </c>
      <c r="E3242">
        <v>0.48634640000000001</v>
      </c>
      <c r="F3242" t="s">
        <v>48</v>
      </c>
      <c r="G3242">
        <v>-428.14929999999998</v>
      </c>
      <c r="H3242" s="1">
        <v>2.585668E-6</v>
      </c>
      <c r="I3242">
        <v>213.8544</v>
      </c>
      <c r="J3242">
        <v>-442.29140000000001</v>
      </c>
      <c r="K3242">
        <v>1.1131719999999901</v>
      </c>
      <c r="L3242">
        <v>213.43350000000001</v>
      </c>
      <c r="M3242">
        <v>0.99989839999999997</v>
      </c>
      <c r="N3242">
        <v>0</v>
      </c>
      <c r="O3242">
        <v>-1.0790340000000001E-2</v>
      </c>
      <c r="P3242">
        <v>0.9877418</v>
      </c>
      <c r="Q3242">
        <v>0.15441170000000001</v>
      </c>
      <c r="R3242">
        <v>-2.2879920000000002E-2</v>
      </c>
      <c r="S3242">
        <v>3.0777589999999999</v>
      </c>
      <c r="T3242">
        <v>-0.236572</v>
      </c>
      <c r="U3242">
        <v>8.9279170000000005E-2</v>
      </c>
      <c r="V3242">
        <v>1.0815730000000001E-2</v>
      </c>
      <c r="W3242">
        <v>0.1637257</v>
      </c>
      <c r="X3242">
        <v>0.98644659999999995</v>
      </c>
      <c r="Y3242">
        <v>-3.9631619999999999E-2</v>
      </c>
      <c r="Z3242">
        <v>2.3486420000000002E-3</v>
      </c>
      <c r="AA3242">
        <v>0.99921159999999998</v>
      </c>
      <c r="AB3242">
        <v>32</v>
      </c>
      <c r="AC3242">
        <v>14.142099999999999</v>
      </c>
      <c r="AD3242">
        <v>-1.1131694143319999</v>
      </c>
      <c r="AE3242">
        <v>0.42089999999998801</v>
      </c>
      <c r="AF3242">
        <v>-0.56995201965403997</v>
      </c>
      <c r="AG3242">
        <v>-1.1131694143319999</v>
      </c>
      <c r="AH3242">
        <v>14.049762814007</v>
      </c>
      <c r="AI3242">
        <v>94.526401147104394</v>
      </c>
      <c r="AJ3242">
        <v>92.323024946349193</v>
      </c>
      <c r="AK3242">
        <v>14.1053119986609</v>
      </c>
      <c r="AL3242">
        <v>80.576784109362293</v>
      </c>
      <c r="AM3242">
        <v>89.371815108318401</v>
      </c>
      <c r="AN3242">
        <v>0.99999998975374105</v>
      </c>
    </row>
    <row r="3243" spans="1:40" x14ac:dyDescent="0.25">
      <c r="A3243" t="str">
        <f>"20190312172432854"</f>
        <v>20190312172432854</v>
      </c>
      <c r="B3243" t="str">
        <f>"1552382672843324"</f>
        <v>1552382672843324</v>
      </c>
      <c r="C3243" t="s">
        <v>40</v>
      </c>
      <c r="D3243">
        <v>3.9324759999999999</v>
      </c>
      <c r="E3243">
        <v>0.4864967</v>
      </c>
      <c r="F3243" t="s">
        <v>48</v>
      </c>
      <c r="G3243">
        <v>-428.15449999999998</v>
      </c>
      <c r="H3243" s="1">
        <v>2.5820649999999999E-6</v>
      </c>
      <c r="I3243">
        <v>213.88489999999999</v>
      </c>
      <c r="J3243">
        <v>-441.98110000000003</v>
      </c>
      <c r="K3243">
        <v>1.113178</v>
      </c>
      <c r="L3243">
        <v>213.4341</v>
      </c>
      <c r="M3243">
        <v>0.99992899999999996</v>
      </c>
      <c r="N3243">
        <v>0</v>
      </c>
      <c r="O3243">
        <v>-6.9214560000000003E-3</v>
      </c>
      <c r="P3243">
        <v>0.98796649999999997</v>
      </c>
      <c r="Q3243">
        <v>0.15349450000000001</v>
      </c>
      <c r="R3243">
        <v>-1.901541E-2</v>
      </c>
      <c r="S3243">
        <v>3.077423</v>
      </c>
      <c r="T3243">
        <v>-0.24232409999999999</v>
      </c>
      <c r="U3243">
        <v>9.8251340000000006E-2</v>
      </c>
      <c r="V3243">
        <v>1.077884E-2</v>
      </c>
      <c r="W3243">
        <v>0.1631678</v>
      </c>
      <c r="X3243">
        <v>0.98653939999999996</v>
      </c>
      <c r="Y3243">
        <v>-3.8686690000000003E-2</v>
      </c>
      <c r="Z3243">
        <v>2.0644750000000001E-3</v>
      </c>
      <c r="AA3243">
        <v>0.99924930000000001</v>
      </c>
      <c r="AB3243">
        <v>32</v>
      </c>
      <c r="AC3243">
        <v>13.826599999999999</v>
      </c>
      <c r="AD3243">
        <v>-1.113175417935</v>
      </c>
      <c r="AE3243">
        <v>0.45079999999998599</v>
      </c>
      <c r="AF3243">
        <v>-0.54297816172175695</v>
      </c>
      <c r="AG3243">
        <v>-1.113175417935</v>
      </c>
      <c r="AH3243">
        <v>13.7342203333931</v>
      </c>
      <c r="AI3243">
        <v>94.630162819633995</v>
      </c>
      <c r="AJ3243">
        <v>92.263991915934398</v>
      </c>
      <c r="AK3243">
        <v>13.7899526091061</v>
      </c>
      <c r="AL3243">
        <v>80.609184782884</v>
      </c>
      <c r="AM3243">
        <v>89.3740164183139</v>
      </c>
      <c r="AN3243">
        <v>0.99999995105047101</v>
      </c>
    </row>
    <row r="3244" spans="1:40" x14ac:dyDescent="0.25">
      <c r="A3244" t="str">
        <f>"20190312172432875"</f>
        <v>20190312172432875</v>
      </c>
      <c r="B3244" t="str">
        <f>"1552382672863824"</f>
        <v>1552382672863824</v>
      </c>
      <c r="C3244" t="s">
        <v>40</v>
      </c>
      <c r="D3244">
        <v>3.9264890000000001</v>
      </c>
      <c r="E3244">
        <v>0.48673749999999999</v>
      </c>
      <c r="F3244" t="s">
        <v>48</v>
      </c>
      <c r="G3244">
        <v>-428.25040000000001</v>
      </c>
      <c r="H3244" s="1">
        <v>2.5619360000000001E-6</v>
      </c>
      <c r="I3244">
        <v>213.92070000000001</v>
      </c>
      <c r="J3244">
        <v>-441.67930000000001</v>
      </c>
      <c r="K3244">
        <v>1.1131850000000001</v>
      </c>
      <c r="L3244">
        <v>213.4358</v>
      </c>
      <c r="M3244">
        <v>0.99994499999999997</v>
      </c>
      <c r="N3244">
        <v>0</v>
      </c>
      <c r="O3244">
        <v>-3.1774479999999998E-3</v>
      </c>
      <c r="P3244">
        <v>0.98811570000000004</v>
      </c>
      <c r="Q3244">
        <v>0.15299160000000001</v>
      </c>
      <c r="R3244">
        <v>-1.487696E-2</v>
      </c>
      <c r="S3244">
        <v>3.077423</v>
      </c>
      <c r="T3244">
        <v>-0.24949279999999999</v>
      </c>
      <c r="U3244">
        <v>0.1090546</v>
      </c>
      <c r="V3244">
        <v>1.0346269999999999E-2</v>
      </c>
      <c r="W3244">
        <v>0.1629679</v>
      </c>
      <c r="X3244">
        <v>0.98657720000000004</v>
      </c>
      <c r="Y3244">
        <v>-3.8453759999999997E-2</v>
      </c>
      <c r="Z3244">
        <v>1.812838E-3</v>
      </c>
      <c r="AA3244">
        <v>0.9992588</v>
      </c>
      <c r="AB3244">
        <v>32</v>
      </c>
      <c r="AC3244">
        <v>13.428900000000001</v>
      </c>
      <c r="AD3244">
        <v>-1.1131824380640001</v>
      </c>
      <c r="AE3244">
        <v>0.48490000000000999</v>
      </c>
      <c r="AF3244">
        <v>-0.52397351704671802</v>
      </c>
      <c r="AG3244">
        <v>-1.1131824380640001</v>
      </c>
      <c r="AH3244">
        <v>13.3357738797806</v>
      </c>
      <c r="AI3244">
        <v>94.767949790638099</v>
      </c>
      <c r="AJ3244">
        <v>92.250040899913699</v>
      </c>
      <c r="AK3244">
        <v>13.392407862651799</v>
      </c>
      <c r="AL3244">
        <v>80.620794784048201</v>
      </c>
      <c r="AM3244">
        <v>89.399159158969695</v>
      </c>
      <c r="AN3244">
        <v>1.00000007664657</v>
      </c>
    </row>
    <row r="3245" spans="1:40" x14ac:dyDescent="0.25">
      <c r="A3245" t="str">
        <f>"20190312172432899"</f>
        <v>20190312172432899</v>
      </c>
      <c r="B3245" t="str">
        <f>"1552382672893834"</f>
        <v>1552382672893834</v>
      </c>
      <c r="C3245" t="s">
        <v>40</v>
      </c>
      <c r="D3245">
        <v>3.9467639999999999</v>
      </c>
      <c r="E3245">
        <v>0.48726770000000003</v>
      </c>
      <c r="F3245" t="s">
        <v>48</v>
      </c>
      <c r="G3245">
        <v>-427.92259999999999</v>
      </c>
      <c r="H3245" s="1">
        <v>2.616159E-6</v>
      </c>
      <c r="I3245">
        <v>213.96549999999999</v>
      </c>
      <c r="J3245">
        <v>-441.351</v>
      </c>
      <c r="K3245">
        <v>1.1131719999999901</v>
      </c>
      <c r="L3245">
        <v>213.43889999999999</v>
      </c>
      <c r="M3245">
        <v>0.99994669999999997</v>
      </c>
      <c r="N3245">
        <v>0</v>
      </c>
      <c r="O3245">
        <v>8.5489059999999996E-4</v>
      </c>
      <c r="P3245">
        <v>0.98822279999999996</v>
      </c>
      <c r="Q3245">
        <v>0.15267910000000001</v>
      </c>
      <c r="R3245">
        <v>-1.0248989999999999E-2</v>
      </c>
      <c r="S3245">
        <v>3.0763850000000001</v>
      </c>
      <c r="T3245">
        <v>-0.24893960000000001</v>
      </c>
      <c r="U3245">
        <v>0.118454</v>
      </c>
      <c r="V3245">
        <v>9.7147929999999993E-3</v>
      </c>
      <c r="W3245">
        <v>0.16294249999999999</v>
      </c>
      <c r="X3245">
        <v>0.98658780000000001</v>
      </c>
      <c r="Y3245">
        <v>-3.7501850000000003E-2</v>
      </c>
      <c r="Z3245">
        <v>1.44524E-3</v>
      </c>
      <c r="AA3245">
        <v>0.9992955</v>
      </c>
      <c r="AB3245">
        <v>32</v>
      </c>
      <c r="AC3245">
        <v>13.4284</v>
      </c>
      <c r="AD3245">
        <v>-1.11316938384099</v>
      </c>
      <c r="AE3245">
        <v>0.52660000000000196</v>
      </c>
      <c r="AF3245">
        <v>-0.511609081948039</v>
      </c>
      <c r="AG3245">
        <v>-1.11316938384099</v>
      </c>
      <c r="AH3245">
        <v>13.3373338124523</v>
      </c>
      <c r="AI3245">
        <v>94.767510443895006</v>
      </c>
      <c r="AJ3245">
        <v>92.196741636939095</v>
      </c>
      <c r="AK3245">
        <v>13.3934821146196</v>
      </c>
      <c r="AL3245">
        <v>80.622269667620301</v>
      </c>
      <c r="AM3245">
        <v>89.435834652713893</v>
      </c>
      <c r="AN3245">
        <v>1.0000000613090501</v>
      </c>
    </row>
    <row r="3246" spans="1:40" x14ac:dyDescent="0.25">
      <c r="A3246" t="str">
        <f>"20190312172432920"</f>
        <v>20190312172432920</v>
      </c>
      <c r="B3246" t="str">
        <f>"1552382672913353"</f>
        <v>1552382672913353</v>
      </c>
      <c r="C3246" t="s">
        <v>40</v>
      </c>
      <c r="D3246">
        <v>4.0152479999999997</v>
      </c>
      <c r="E3246">
        <v>0.48757230000000001</v>
      </c>
      <c r="F3246" t="s">
        <v>48</v>
      </c>
      <c r="G3246">
        <v>-427.77550000000002</v>
      </c>
      <c r="H3246" s="1">
        <v>2.6393179999999999E-6</v>
      </c>
      <c r="I3246">
        <v>213.999</v>
      </c>
      <c r="J3246">
        <v>-441.03309999999999</v>
      </c>
      <c r="K3246">
        <v>1.1131420000000001</v>
      </c>
      <c r="L3246">
        <v>213.44300000000001</v>
      </c>
      <c r="M3246">
        <v>0.99993339999999997</v>
      </c>
      <c r="N3246">
        <v>0</v>
      </c>
      <c r="O3246">
        <v>4.6958210000000002E-3</v>
      </c>
      <c r="P3246">
        <v>0.98825280000000004</v>
      </c>
      <c r="Q3246">
        <v>0.15270449999999999</v>
      </c>
      <c r="R3246">
        <v>-6.1549689999999997E-3</v>
      </c>
      <c r="S3246">
        <v>3.0760190000000001</v>
      </c>
      <c r="T3246">
        <v>-0.25223000000000001</v>
      </c>
      <c r="U3246">
        <v>0.1269073</v>
      </c>
      <c r="V3246">
        <v>9.433215E-3</v>
      </c>
      <c r="W3246">
        <v>0.1632102</v>
      </c>
      <c r="X3246">
        <v>0.98654620000000004</v>
      </c>
      <c r="Y3246">
        <v>-3.6423089999999998E-2</v>
      </c>
      <c r="Z3246">
        <v>1.1059380000000001E-3</v>
      </c>
      <c r="AA3246">
        <v>0.9993358</v>
      </c>
      <c r="AB3246">
        <v>32</v>
      </c>
      <c r="AC3246">
        <v>13.257599999999901</v>
      </c>
      <c r="AD3246">
        <v>-1.1131393606819999</v>
      </c>
      <c r="AE3246">
        <v>0.55600000000004002</v>
      </c>
      <c r="AF3246">
        <v>-0.49028481127267798</v>
      </c>
      <c r="AG3246">
        <v>-1.1131393606819999</v>
      </c>
      <c r="AH3246">
        <v>13.167401873404801</v>
      </c>
      <c r="AI3246">
        <v>94.828822815188403</v>
      </c>
      <c r="AJ3246">
        <v>92.132408455143604</v>
      </c>
      <c r="AK3246">
        <v>13.2234613671387</v>
      </c>
      <c r="AL3246">
        <v>80.606722706287698</v>
      </c>
      <c r="AM3246">
        <v>89.452162569105894</v>
      </c>
      <c r="AN3246">
        <v>0.99999997983185795</v>
      </c>
    </row>
    <row r="3247" spans="1:40" x14ac:dyDescent="0.25">
      <c r="A3247" t="str">
        <f>"20190312172432943"</f>
        <v>20190312172432943</v>
      </c>
      <c r="B3247" t="str">
        <f>"1552382672933849"</f>
        <v>1552382672933849</v>
      </c>
      <c r="C3247" t="s">
        <v>40</v>
      </c>
      <c r="D3247">
        <v>3.9675099999999999</v>
      </c>
      <c r="E3247">
        <v>0.48818070000000002</v>
      </c>
      <c r="F3247" t="s">
        <v>48</v>
      </c>
      <c r="G3247">
        <v>-427.57499999999999</v>
      </c>
      <c r="H3247" s="1">
        <v>2.6714189999999998E-6</v>
      </c>
      <c r="I3247">
        <v>214.03870000000001</v>
      </c>
      <c r="J3247">
        <v>-440.69569999999999</v>
      </c>
      <c r="K3247">
        <v>1.1130549999999999</v>
      </c>
      <c r="L3247">
        <v>213.4487</v>
      </c>
      <c r="M3247">
        <v>0.9999053</v>
      </c>
      <c r="N3247">
        <v>0</v>
      </c>
      <c r="O3247">
        <v>8.6613790000000003E-3</v>
      </c>
      <c r="P3247">
        <v>0.98824029999999996</v>
      </c>
      <c r="Q3247">
        <v>0.15290300000000001</v>
      </c>
      <c r="R3247">
        <v>-1.471085E-3</v>
      </c>
      <c r="S3247">
        <v>3.075806</v>
      </c>
      <c r="T3247">
        <v>-0.2544051</v>
      </c>
      <c r="U3247">
        <v>0.13612369999999999</v>
      </c>
      <c r="V3247">
        <v>8.6994299999999993E-3</v>
      </c>
      <c r="W3247">
        <v>0.16354279999999999</v>
      </c>
      <c r="X3247">
        <v>0.98649790000000004</v>
      </c>
      <c r="Y3247">
        <v>-3.5466579999999998E-2</v>
      </c>
      <c r="Z3247">
        <v>7.4870969999999998E-4</v>
      </c>
      <c r="AA3247">
        <v>0.9993706</v>
      </c>
      <c r="AB3247">
        <v>32</v>
      </c>
      <c r="AC3247">
        <v>13.120699999999999</v>
      </c>
      <c r="AD3247">
        <v>-1.1130523285809999</v>
      </c>
      <c r="AE3247">
        <v>0.59000000000000297</v>
      </c>
      <c r="AF3247">
        <v>-0.47293146095066502</v>
      </c>
      <c r="AG3247">
        <v>-1.1130523285809999</v>
      </c>
      <c r="AH3247">
        <v>13.031725622778101</v>
      </c>
      <c r="AI3247">
        <v>94.878643993931107</v>
      </c>
      <c r="AJ3247">
        <v>92.078396302091093</v>
      </c>
      <c r="AK3247">
        <v>13.0877202888925</v>
      </c>
      <c r="AL3247">
        <v>80.587406948333296</v>
      </c>
      <c r="AM3247">
        <v>89.494750365703496</v>
      </c>
      <c r="AN3247">
        <v>1.00000001710928</v>
      </c>
    </row>
    <row r="3248" spans="1:40" x14ac:dyDescent="0.25">
      <c r="A3248" t="str">
        <f>"20190312172432966"</f>
        <v>20190312172432966</v>
      </c>
      <c r="B3248" t="str">
        <f>"1552382672953370"</f>
        <v>1552382672953370</v>
      </c>
      <c r="C3248" t="s">
        <v>40</v>
      </c>
      <c r="D3248">
        <v>4.019031</v>
      </c>
      <c r="E3248">
        <v>0.48867109999999903</v>
      </c>
      <c r="F3248" t="s">
        <v>48</v>
      </c>
      <c r="G3248">
        <v>-427.19729999999998</v>
      </c>
      <c r="H3248" s="1">
        <v>2.7344239999999998E-6</v>
      </c>
      <c r="I3248">
        <v>214.08439999999999</v>
      </c>
      <c r="J3248">
        <v>-440.3657</v>
      </c>
      <c r="K3248">
        <v>1.112573</v>
      </c>
      <c r="L3248">
        <v>213.45529999999999</v>
      </c>
      <c r="M3248">
        <v>0.99987579999999998</v>
      </c>
      <c r="N3248">
        <v>0</v>
      </c>
      <c r="O3248">
        <v>1.236786E-2</v>
      </c>
      <c r="P3248">
        <v>0.98805419999999999</v>
      </c>
      <c r="Q3248">
        <v>0.15408749999999999</v>
      </c>
      <c r="R3248">
        <v>2.5270370000000002E-3</v>
      </c>
      <c r="S3248">
        <v>3.0751339999999998</v>
      </c>
      <c r="T3248">
        <v>-0.2535694</v>
      </c>
      <c r="U3248">
        <v>0.14482120000000001</v>
      </c>
      <c r="V3248">
        <v>8.4405490000000003E-3</v>
      </c>
      <c r="W3248">
        <v>0.16380339999999999</v>
      </c>
      <c r="X3248">
        <v>0.98645689999999997</v>
      </c>
      <c r="Y3248">
        <v>-3.4608460000000001E-2</v>
      </c>
      <c r="Z3248">
        <v>4.0617499999999999E-4</v>
      </c>
      <c r="AA3248">
        <v>0.99940090000000004</v>
      </c>
      <c r="AB3248">
        <v>32</v>
      </c>
      <c r="AC3248">
        <v>13.1684</v>
      </c>
      <c r="AD3248">
        <v>-1.1125702655759999</v>
      </c>
      <c r="AE3248">
        <v>0.629099999999994</v>
      </c>
      <c r="AF3248">
        <v>-0.46288255462655498</v>
      </c>
      <c r="AG3248">
        <v>-1.1125702655759999</v>
      </c>
      <c r="AH3248">
        <v>13.082004353673</v>
      </c>
      <c r="AI3248">
        <v>94.858045905367504</v>
      </c>
      <c r="AJ3248">
        <v>92.026459897114293</v>
      </c>
      <c r="AK3248">
        <v>13.137385994357601</v>
      </c>
      <c r="AL3248">
        <v>80.572271457758205</v>
      </c>
      <c r="AM3248">
        <v>89.509764660830399</v>
      </c>
      <c r="AN3248">
        <v>1.0000000061382901</v>
      </c>
    </row>
    <row r="3249" spans="1:40" x14ac:dyDescent="0.25">
      <c r="A3249" t="str">
        <f>"20190312172432989"</f>
        <v>20190312172432989</v>
      </c>
      <c r="B3249" t="str">
        <f>"1552382672983156"</f>
        <v>1552382672983156</v>
      </c>
      <c r="C3249" t="s">
        <v>40</v>
      </c>
      <c r="D3249">
        <v>3.9584260000000002</v>
      </c>
      <c r="E3249">
        <v>0.48951270000000002</v>
      </c>
      <c r="F3249" t="s">
        <v>48</v>
      </c>
      <c r="G3249">
        <v>-426.72919999999999</v>
      </c>
      <c r="H3249" s="1">
        <v>2.8135790000000001E-6</v>
      </c>
      <c r="I3249">
        <v>214.12880000000001</v>
      </c>
      <c r="J3249">
        <v>-440.03590000000003</v>
      </c>
      <c r="K3249">
        <v>1.11206</v>
      </c>
      <c r="L3249">
        <v>213.46260000000001</v>
      </c>
      <c r="M3249">
        <v>0.99983759999999999</v>
      </c>
      <c r="N3249">
        <v>0</v>
      </c>
      <c r="O3249">
        <v>1.5851049999999998E-2</v>
      </c>
      <c r="P3249">
        <v>0.98793149999999996</v>
      </c>
      <c r="Q3249">
        <v>0.15477399999999999</v>
      </c>
      <c r="R3249">
        <v>6.0596080000000002E-3</v>
      </c>
      <c r="S3249">
        <v>3.0749819999999999</v>
      </c>
      <c r="T3249">
        <v>-0.2508804</v>
      </c>
      <c r="U3249">
        <v>0.15188599999999999</v>
      </c>
      <c r="V3249">
        <v>8.4378600000000002E-3</v>
      </c>
      <c r="W3249">
        <v>0.16331229999999999</v>
      </c>
      <c r="X3249">
        <v>0.98653840000000004</v>
      </c>
      <c r="Y3249">
        <v>-3.343716E-2</v>
      </c>
      <c r="Z3249" s="1">
        <v>7.0738369999999998E-5</v>
      </c>
      <c r="AA3249">
        <v>0.99944080000000002</v>
      </c>
      <c r="AB3249">
        <v>33</v>
      </c>
      <c r="AC3249">
        <v>13.306699999999999</v>
      </c>
      <c r="AD3249">
        <v>-1.112057186421</v>
      </c>
      <c r="AE3249">
        <v>0.66620000000000301</v>
      </c>
      <c r="AF3249">
        <v>-0.45203419361318797</v>
      </c>
      <c r="AG3249">
        <v>-1.112057186421</v>
      </c>
      <c r="AH3249">
        <v>13.223464694905701</v>
      </c>
      <c r="AI3249">
        <v>94.804313905894105</v>
      </c>
      <c r="AJ3249">
        <v>91.957850737161095</v>
      </c>
      <c r="AK3249">
        <v>13.277839607235901</v>
      </c>
      <c r="AL3249">
        <v>80.600794008733303</v>
      </c>
      <c r="AM3249">
        <v>89.5099613174513</v>
      </c>
      <c r="AN3249">
        <v>1.0000000597436101</v>
      </c>
    </row>
    <row r="3250" spans="1:40" x14ac:dyDescent="0.25">
      <c r="A3250" t="str">
        <f>"20190312172433012"</f>
        <v>20190312172433012</v>
      </c>
      <c r="B3250" t="str">
        <f>"1552382673003652"</f>
        <v>1552382673003652</v>
      </c>
      <c r="C3250" t="s">
        <v>40</v>
      </c>
      <c r="D3250">
        <v>3.926132</v>
      </c>
      <c r="E3250">
        <v>0.49702049999999998</v>
      </c>
      <c r="F3250" t="s">
        <v>48</v>
      </c>
      <c r="G3250">
        <v>-426.33879999999999</v>
      </c>
      <c r="H3250" s="1">
        <v>2.880752E-6</v>
      </c>
      <c r="I3250">
        <v>214.1524</v>
      </c>
      <c r="J3250">
        <v>-439.68970000000002</v>
      </c>
      <c r="K3250">
        <v>1.1115729999999999</v>
      </c>
      <c r="L3250">
        <v>213.471</v>
      </c>
      <c r="M3250">
        <v>0.99978619999999996</v>
      </c>
      <c r="N3250">
        <v>0</v>
      </c>
      <c r="O3250">
        <v>1.9342350000000001E-2</v>
      </c>
      <c r="P3250">
        <v>0.98771379999999998</v>
      </c>
      <c r="Q3250">
        <v>0.15601129999999999</v>
      </c>
      <c r="R3250">
        <v>9.0529909999999998E-3</v>
      </c>
      <c r="S3250">
        <v>3.0747990000000001</v>
      </c>
      <c r="T3250">
        <v>-0.249642</v>
      </c>
      <c r="U3250">
        <v>0.15486150000000001</v>
      </c>
      <c r="V3250">
        <v>8.9796029999999992E-3</v>
      </c>
      <c r="W3250">
        <v>0.16330810000000001</v>
      </c>
      <c r="X3250">
        <v>0.98653420000000003</v>
      </c>
      <c r="Y3250">
        <v>-3.093516E-2</v>
      </c>
      <c r="Z3250">
        <v>-3.1365499999999998E-4</v>
      </c>
      <c r="AA3250">
        <v>0.99952129999999995</v>
      </c>
      <c r="AB3250">
        <v>33</v>
      </c>
      <c r="AC3250">
        <v>13.350899999999999</v>
      </c>
      <c r="AD3250">
        <v>-1.1115701192480001</v>
      </c>
      <c r="AE3250">
        <v>0.68140000000002399</v>
      </c>
      <c r="AF3250">
        <v>-0.42012314919792698</v>
      </c>
      <c r="AG3250">
        <v>-1.1115701192480001</v>
      </c>
      <c r="AH3250">
        <v>13.269836133263199</v>
      </c>
      <c r="AI3250">
        <v>94.785911669029801</v>
      </c>
      <c r="AJ3250">
        <v>91.813379249713805</v>
      </c>
      <c r="AK3250">
        <v>13.322936710581301</v>
      </c>
      <c r="AL3250">
        <v>80.601036868515806</v>
      </c>
      <c r="AM3250">
        <v>89.478498418199095</v>
      </c>
      <c r="AN3250">
        <v>0.99999994828264205</v>
      </c>
    </row>
    <row r="3251" spans="1:40" x14ac:dyDescent="0.25">
      <c r="A3251" t="str">
        <f>"20190312172433033"</f>
        <v>20190312172433033</v>
      </c>
      <c r="B3251" t="str">
        <f>"1552382673023171"</f>
        <v>1552382673023171</v>
      </c>
      <c r="C3251" t="s">
        <v>40</v>
      </c>
      <c r="D3251">
        <v>3.9386580000000002</v>
      </c>
      <c r="E3251">
        <v>0.4977916</v>
      </c>
      <c r="F3251" t="s">
        <v>41</v>
      </c>
      <c r="G3251">
        <v>-438.80739999999997</v>
      </c>
      <c r="H3251">
        <v>1.042333</v>
      </c>
      <c r="I3251">
        <v>213.50040000000001</v>
      </c>
      <c r="J3251">
        <v>-439.36470000000003</v>
      </c>
      <c r="K3251">
        <v>1.111226</v>
      </c>
      <c r="L3251">
        <v>213.4795</v>
      </c>
      <c r="M3251">
        <v>0.9997296</v>
      </c>
      <c r="N3251">
        <v>0</v>
      </c>
      <c r="O3251">
        <v>2.2417659999999999E-2</v>
      </c>
      <c r="P3251">
        <v>0.98759669999999999</v>
      </c>
      <c r="Q3251">
        <v>0.15658820000000001</v>
      </c>
      <c r="R3251">
        <v>1.152331E-2</v>
      </c>
      <c r="S3251">
        <v>3.0744319999999998</v>
      </c>
      <c r="T3251">
        <v>-0.2413797</v>
      </c>
      <c r="U3251">
        <v>0.1028748</v>
      </c>
      <c r="V3251">
        <v>9.6103460000000005E-3</v>
      </c>
      <c r="W3251">
        <v>0.1627506</v>
      </c>
      <c r="X3251">
        <v>0.98662039999999995</v>
      </c>
      <c r="Y3251">
        <v>-1.10636E-2</v>
      </c>
      <c r="Z3251">
        <v>-1.323096E-3</v>
      </c>
      <c r="AA3251">
        <v>0.99993790000000005</v>
      </c>
      <c r="AB3251">
        <v>33</v>
      </c>
      <c r="AC3251">
        <v>0.55730000000005397</v>
      </c>
      <c r="AD3251">
        <v>-6.8892999999999996E-2</v>
      </c>
      <c r="AE3251">
        <v>2.09000000000116E-2</v>
      </c>
      <c r="AF3251">
        <v>-8.2748704643752398E-3</v>
      </c>
      <c r="AG3251">
        <v>-6.8892999999999996E-2</v>
      </c>
      <c r="AH3251">
        <v>0.54924683342272995</v>
      </c>
      <c r="AI3251">
        <v>97.148569952479505</v>
      </c>
      <c r="AJ3251">
        <v>90.863144324436306</v>
      </c>
      <c r="AK3251">
        <v>0.55361250252780503</v>
      </c>
      <c r="AL3251">
        <v>80.633412572211299</v>
      </c>
      <c r="AM3251">
        <v>89.441918237590897</v>
      </c>
      <c r="AN3251">
        <v>0.99999996512337896</v>
      </c>
    </row>
    <row r="3252" spans="1:40" x14ac:dyDescent="0.25">
      <c r="A3252" t="str">
        <f>"20190312172433060"</f>
        <v>20190312172433060</v>
      </c>
      <c r="B3252" t="str">
        <f>"1552382673053427"</f>
        <v>1552382673053427</v>
      </c>
      <c r="C3252" t="s">
        <v>40</v>
      </c>
      <c r="D3252">
        <v>3.906873</v>
      </c>
      <c r="E3252">
        <v>0.49786809999999998</v>
      </c>
      <c r="F3252" t="s">
        <v>41</v>
      </c>
      <c r="G3252">
        <v>-438.50420000000003</v>
      </c>
      <c r="H3252">
        <v>1.0441370000000001</v>
      </c>
      <c r="I3252">
        <v>213.50810000000001</v>
      </c>
      <c r="J3252">
        <v>-438.97719999999998</v>
      </c>
      <c r="K3252">
        <v>1.1109329999999999</v>
      </c>
      <c r="L3252">
        <v>213.4907</v>
      </c>
      <c r="M3252">
        <v>0.99965619999999999</v>
      </c>
      <c r="N3252">
        <v>0</v>
      </c>
      <c r="O3252">
        <v>2.5763000000000001E-2</v>
      </c>
      <c r="P3252">
        <v>0.98738190000000003</v>
      </c>
      <c r="Q3252">
        <v>0.1577287</v>
      </c>
      <c r="R3252">
        <v>1.410343E-2</v>
      </c>
      <c r="S3252">
        <v>3.074554</v>
      </c>
      <c r="T3252">
        <v>-0.2399386</v>
      </c>
      <c r="U3252">
        <v>0.1030731</v>
      </c>
      <c r="V3252">
        <v>1.037447E-2</v>
      </c>
      <c r="W3252">
        <v>0.16260849999999999</v>
      </c>
      <c r="X3252">
        <v>0.98663610000000002</v>
      </c>
      <c r="Y3252">
        <v>-7.800314E-3</v>
      </c>
      <c r="Z3252">
        <v>-1.7027539999999999E-3</v>
      </c>
      <c r="AA3252">
        <v>0.99996810000000003</v>
      </c>
      <c r="AB3252">
        <v>34</v>
      </c>
      <c r="AC3252">
        <v>0.47299999999995601</v>
      </c>
      <c r="AD3252">
        <v>-6.67959999999998E-2</v>
      </c>
      <c r="AE3252">
        <v>1.7400000000009099E-2</v>
      </c>
      <c r="AF3252">
        <v>-5.1064825483093804E-3</v>
      </c>
      <c r="AG3252">
        <v>-6.67959999999998E-2</v>
      </c>
      <c r="AH3252">
        <v>0.464049499004966</v>
      </c>
      <c r="AI3252">
        <v>98.190492741017493</v>
      </c>
      <c r="AJ3252">
        <v>90.630467417755</v>
      </c>
      <c r="AK3252">
        <v>0.46886002101562901</v>
      </c>
      <c r="AL3252">
        <v>80.6416643058906</v>
      </c>
      <c r="AM3252">
        <v>89.397557579713407</v>
      </c>
      <c r="AN3252">
        <v>0.99999997386161998</v>
      </c>
    </row>
    <row r="3253" spans="1:40" x14ac:dyDescent="0.25">
      <c r="A3253" t="str">
        <f>"20190312172433235"</f>
        <v>20190312172433235</v>
      </c>
      <c r="B3253" t="str">
        <f>"1552382673223291"</f>
        <v>1552382673223291</v>
      </c>
      <c r="C3253" t="s">
        <v>40</v>
      </c>
      <c r="D3253">
        <v>3.9124210000000001</v>
      </c>
      <c r="E3253">
        <v>0.51841459999999995</v>
      </c>
      <c r="F3253" t="s">
        <v>48</v>
      </c>
      <c r="G3253">
        <v>-423.93020000000001</v>
      </c>
      <c r="H3253" s="1">
        <v>3.3191269999999998E-6</v>
      </c>
      <c r="I3253">
        <v>214.02529999999999</v>
      </c>
      <c r="J3253">
        <v>-436.22519999999997</v>
      </c>
      <c r="K3253">
        <v>1.109791</v>
      </c>
      <c r="L3253">
        <v>213.5933</v>
      </c>
      <c r="M3253">
        <v>0.9992489</v>
      </c>
      <c r="N3253">
        <v>0</v>
      </c>
      <c r="O3253">
        <v>3.8728100000000001E-2</v>
      </c>
      <c r="P3253">
        <v>0.98715509999999995</v>
      </c>
      <c r="Q3253">
        <v>0.159026</v>
      </c>
      <c r="R3253">
        <v>1.534957E-2</v>
      </c>
      <c r="S3253">
        <v>3.0729980000000001</v>
      </c>
      <c r="T3253">
        <v>-0.2268809</v>
      </c>
      <c r="U3253">
        <v>0.1091766</v>
      </c>
      <c r="V3253">
        <v>2.2408419999999998E-2</v>
      </c>
      <c r="W3253">
        <v>0.1604476</v>
      </c>
      <c r="X3253">
        <v>0.9867899</v>
      </c>
      <c r="Y3253">
        <v>3.1113769999999998E-3</v>
      </c>
      <c r="Z3253">
        <v>-2.9681730000000002E-3</v>
      </c>
      <c r="AA3253">
        <v>0.99999079999999996</v>
      </c>
      <c r="AB3253">
        <v>36</v>
      </c>
      <c r="AC3253">
        <v>12.2949999999999</v>
      </c>
      <c r="AD3253">
        <v>-1.1097876808730001</v>
      </c>
      <c r="AE3253">
        <v>0.431999999999988</v>
      </c>
      <c r="AF3253">
        <v>4.4127420576741197E-2</v>
      </c>
      <c r="AG3253">
        <v>-1.1097876808730001</v>
      </c>
      <c r="AH3253">
        <v>12.203204017521299</v>
      </c>
      <c r="AI3253">
        <v>95.1962833781174</v>
      </c>
      <c r="AJ3253">
        <v>89.792816383602002</v>
      </c>
      <c r="AK3253">
        <v>12.253642895854</v>
      </c>
      <c r="AL3253">
        <v>80.767121952575195</v>
      </c>
      <c r="AM3253">
        <v>88.699128083627798</v>
      </c>
      <c r="AN3253">
        <v>0.99999993818733102</v>
      </c>
    </row>
    <row r="3254" spans="1:40" x14ac:dyDescent="0.25">
      <c r="A3254" t="str">
        <f>"20190312172433256"</f>
        <v>20190312172433256</v>
      </c>
      <c r="B3254" t="str">
        <f>"1552382673253548"</f>
        <v>1552382673253548</v>
      </c>
      <c r="C3254" t="s">
        <v>40</v>
      </c>
      <c r="D3254">
        <v>3.9530069999999999</v>
      </c>
      <c r="E3254">
        <v>0.54827559999999997</v>
      </c>
      <c r="F3254" t="s">
        <v>41</v>
      </c>
      <c r="G3254">
        <v>-435.42939999999999</v>
      </c>
      <c r="H3254">
        <v>0.94615539999999998</v>
      </c>
      <c r="I3254">
        <v>213.5865</v>
      </c>
      <c r="J3254">
        <v>-435.87849999999997</v>
      </c>
      <c r="K3254">
        <v>1.109626</v>
      </c>
      <c r="L3254">
        <v>213.60749999999999</v>
      </c>
      <c r="M3254">
        <v>0.99922149999999998</v>
      </c>
      <c r="N3254">
        <v>0</v>
      </c>
      <c r="O3254">
        <v>3.9425059999999998E-2</v>
      </c>
      <c r="P3254">
        <v>0.987209</v>
      </c>
      <c r="Q3254">
        <v>0.1588243</v>
      </c>
      <c r="R3254">
        <v>1.390856E-2</v>
      </c>
      <c r="S3254">
        <v>3.1435550000000001</v>
      </c>
      <c r="T3254">
        <v>-0.6464512</v>
      </c>
      <c r="U3254">
        <v>-2.6290890000000001E-2</v>
      </c>
      <c r="V3254">
        <v>2.4629649999999999E-2</v>
      </c>
      <c r="W3254">
        <v>0.1603685</v>
      </c>
      <c r="X3254">
        <v>0.98674989999999996</v>
      </c>
      <c r="Y3254">
        <v>4.5993220000000001E-2</v>
      </c>
      <c r="Z3254">
        <v>-1.270223E-2</v>
      </c>
      <c r="AA3254">
        <v>0.998861</v>
      </c>
      <c r="AB3254">
        <v>36</v>
      </c>
      <c r="AC3254">
        <v>0.44909999999998701</v>
      </c>
      <c r="AD3254">
        <v>-0.16347059999999999</v>
      </c>
      <c r="AE3254">
        <v>-2.0999999999986502E-2</v>
      </c>
      <c r="AF3254">
        <v>3.4171832300927601E-2</v>
      </c>
      <c r="AG3254">
        <v>-0.16347059999999999</v>
      </c>
      <c r="AH3254">
        <v>0.39562031582836299</v>
      </c>
      <c r="AI3254">
        <v>112.375392932769</v>
      </c>
      <c r="AJ3254">
        <v>85.063311290925697</v>
      </c>
      <c r="AK3254">
        <v>0.42942494743935899</v>
      </c>
      <c r="AL3254">
        <v>80.771714270410797</v>
      </c>
      <c r="AM3254">
        <v>88.570172602234905</v>
      </c>
      <c r="AN3254">
        <v>1.00000002030069</v>
      </c>
    </row>
    <row r="3255" spans="1:40" x14ac:dyDescent="0.25">
      <c r="A3255" t="str">
        <f>"20190312172433277"</f>
        <v>20190312172433277</v>
      </c>
      <c r="B3255" t="str">
        <f>"1552382673273067"</f>
        <v>1552382673273067</v>
      </c>
      <c r="C3255" t="s">
        <v>40</v>
      </c>
      <c r="D3255">
        <v>4.0105329999999997</v>
      </c>
      <c r="E3255">
        <v>0.55440239999999996</v>
      </c>
      <c r="F3255" t="s">
        <v>41</v>
      </c>
      <c r="G3255">
        <v>-435.10109999999997</v>
      </c>
      <c r="H3255">
        <v>0.9537023</v>
      </c>
      <c r="I3255">
        <v>213.5403</v>
      </c>
      <c r="J3255">
        <v>-435.52719999999999</v>
      </c>
      <c r="K3255">
        <v>1.109464</v>
      </c>
      <c r="L3255">
        <v>213.62200000000001</v>
      </c>
      <c r="M3255">
        <v>0.99920059999999999</v>
      </c>
      <c r="N3255">
        <v>0</v>
      </c>
      <c r="O3255">
        <v>3.9943029999999997E-2</v>
      </c>
      <c r="P3255">
        <v>0.9872147</v>
      </c>
      <c r="Q3255">
        <v>0.15891179999999999</v>
      </c>
      <c r="R3255">
        <v>1.242032E-2</v>
      </c>
      <c r="S3255">
        <v>3.1441650000000001</v>
      </c>
      <c r="T3255">
        <v>-0.63073169999999901</v>
      </c>
      <c r="U3255">
        <v>-0.2715149</v>
      </c>
      <c r="V3255">
        <v>2.6714970000000001E-2</v>
      </c>
      <c r="W3255">
        <v>0.16062079999999901</v>
      </c>
      <c r="X3255">
        <v>0.98665460000000005</v>
      </c>
      <c r="Y3255">
        <v>0.1225454</v>
      </c>
      <c r="Z3255">
        <v>-2.0069549999999999E-2</v>
      </c>
      <c r="AA3255">
        <v>0.99226000000000003</v>
      </c>
      <c r="AB3255">
        <v>36</v>
      </c>
      <c r="AC3255">
        <v>0.42610000000001902</v>
      </c>
      <c r="AD3255">
        <v>-0.155761699999999</v>
      </c>
      <c r="AE3255">
        <v>-8.1700000000012096E-2</v>
      </c>
      <c r="AF3255">
        <v>8.7390771775746598E-2</v>
      </c>
      <c r="AG3255">
        <v>-0.155761699999999</v>
      </c>
      <c r="AH3255">
        <v>0.374258511178859</v>
      </c>
      <c r="AI3255">
        <v>112.06198478076099</v>
      </c>
      <c r="AJ3255">
        <v>76.856717179454606</v>
      </c>
      <c r="AK3255">
        <v>0.41469059233152</v>
      </c>
      <c r="AL3255">
        <v>80.757068644517503</v>
      </c>
      <c r="AM3255">
        <v>88.449020416534594</v>
      </c>
      <c r="AN3255">
        <v>1.00000001535795</v>
      </c>
    </row>
    <row r="3256" spans="1:40" x14ac:dyDescent="0.25">
      <c r="A3256" t="str">
        <f>"20190312172433299"</f>
        <v>20190312172433299</v>
      </c>
      <c r="B3256" t="str">
        <f>"1552382673293564"</f>
        <v>1552382673293564</v>
      </c>
      <c r="C3256" t="s">
        <v>40</v>
      </c>
      <c r="D3256">
        <v>3.8677069999999998</v>
      </c>
      <c r="E3256">
        <v>0.55856309999999998</v>
      </c>
      <c r="F3256" t="s">
        <v>41</v>
      </c>
      <c r="G3256">
        <v>-434.77330000000001</v>
      </c>
      <c r="H3256">
        <v>0.96103070000000002</v>
      </c>
      <c r="I3256">
        <v>213.54339999999999</v>
      </c>
      <c r="J3256">
        <v>-435.16989999999998</v>
      </c>
      <c r="K3256">
        <v>1.1093139999999999</v>
      </c>
      <c r="L3256">
        <v>213.63669999999999</v>
      </c>
      <c r="M3256">
        <v>0.99918649999999998</v>
      </c>
      <c r="N3256">
        <v>0</v>
      </c>
      <c r="O3256">
        <v>4.0284739999999999E-2</v>
      </c>
      <c r="P3256">
        <v>0.98725010000000002</v>
      </c>
      <c r="Q3256">
        <v>0.1587905</v>
      </c>
      <c r="R3256">
        <v>1.1103699999999999E-2</v>
      </c>
      <c r="S3256">
        <v>3.1426090000000002</v>
      </c>
      <c r="T3256">
        <v>-0.61893319999999996</v>
      </c>
      <c r="U3256">
        <v>-0.32592769999999999</v>
      </c>
      <c r="V3256">
        <v>2.844872E-2</v>
      </c>
      <c r="W3256">
        <v>0.1606918</v>
      </c>
      <c r="X3256">
        <v>0.98659459999999999</v>
      </c>
      <c r="Y3256">
        <v>0.1397206</v>
      </c>
      <c r="Z3256">
        <v>-2.1433150000000002E-2</v>
      </c>
      <c r="AA3256">
        <v>0.98995900000000003</v>
      </c>
      <c r="AB3256">
        <v>36</v>
      </c>
      <c r="AC3256">
        <v>0.39659999999997803</v>
      </c>
      <c r="AD3256">
        <v>-0.14828329999999901</v>
      </c>
      <c r="AE3256">
        <v>-9.3299999999999203E-2</v>
      </c>
      <c r="AF3256">
        <v>9.6428298359076903E-2</v>
      </c>
      <c r="AG3256">
        <v>-0.14828329999999901</v>
      </c>
      <c r="AH3256">
        <v>0.34660772432654902</v>
      </c>
      <c r="AI3256">
        <v>112.399496787689</v>
      </c>
      <c r="AJ3256">
        <v>74.453121439696204</v>
      </c>
      <c r="AK3256">
        <v>0.38913142811413498</v>
      </c>
      <c r="AL3256">
        <v>80.752947379033301</v>
      </c>
      <c r="AM3256">
        <v>88.348318499521298</v>
      </c>
      <c r="AN3256">
        <v>1.0000000445030099</v>
      </c>
    </row>
    <row r="3257" spans="1:40" x14ac:dyDescent="0.25">
      <c r="A3257" t="str">
        <f>"20190312172433322"</f>
        <v>20190312172433322</v>
      </c>
      <c r="B3257" t="str">
        <f>"1552382673313083"</f>
        <v>1552382673313083</v>
      </c>
      <c r="C3257" t="s">
        <v>40</v>
      </c>
      <c r="D3257">
        <v>3.8733399999999998</v>
      </c>
      <c r="E3257">
        <v>0.56232320000000002</v>
      </c>
      <c r="F3257" t="s">
        <v>41</v>
      </c>
      <c r="G3257">
        <v>-434.44529999999997</v>
      </c>
      <c r="H3257">
        <v>0.96713300000000002</v>
      </c>
      <c r="I3257">
        <v>213.55279999999999</v>
      </c>
      <c r="J3257">
        <v>-434.78960000000001</v>
      </c>
      <c r="K3257">
        <v>1.1091599999999999</v>
      </c>
      <c r="L3257">
        <v>213.65219999999999</v>
      </c>
      <c r="M3257">
        <v>0.99917979999999995</v>
      </c>
      <c r="N3257">
        <v>0</v>
      </c>
      <c r="O3257">
        <v>4.0439820000000001E-2</v>
      </c>
      <c r="P3257">
        <v>0.98735269999999997</v>
      </c>
      <c r="Q3257">
        <v>0.15823980000000001</v>
      </c>
      <c r="R3257">
        <v>9.7602350000000008E-3</v>
      </c>
      <c r="S3257">
        <v>3.1419980000000001</v>
      </c>
      <c r="T3257">
        <v>-0.61648849999999999</v>
      </c>
      <c r="U3257">
        <v>-0.36323549999999999</v>
      </c>
      <c r="V3257">
        <v>3.00238E-2</v>
      </c>
      <c r="W3257">
        <v>0.1603647</v>
      </c>
      <c r="X3257">
        <v>0.98660110000000001</v>
      </c>
      <c r="Y3257">
        <v>0.15130779999999999</v>
      </c>
      <c r="Z3257">
        <v>-2.2493639999999999E-2</v>
      </c>
      <c r="AA3257">
        <v>0.98823079999999996</v>
      </c>
      <c r="AB3257">
        <v>36</v>
      </c>
      <c r="AC3257">
        <v>0.34430000000003202</v>
      </c>
      <c r="AD3257">
        <v>-0.14202699999999999</v>
      </c>
      <c r="AE3257">
        <v>-9.9400000000002806E-2</v>
      </c>
      <c r="AF3257">
        <v>9.7869555050432405E-2</v>
      </c>
      <c r="AG3257">
        <v>-0.14202699999999999</v>
      </c>
      <c r="AH3257">
        <v>0.29384389780921999</v>
      </c>
      <c r="AI3257">
        <v>114.635000110547</v>
      </c>
      <c r="AJ3257">
        <v>71.578812481001606</v>
      </c>
      <c r="AK3257">
        <v>0.34072621679947801</v>
      </c>
      <c r="AL3257">
        <v>80.771934642050297</v>
      </c>
      <c r="AM3257">
        <v>88.256938600033195</v>
      </c>
      <c r="AN3257">
        <v>0.99999999804687001</v>
      </c>
    </row>
    <row r="3258" spans="1:40" x14ac:dyDescent="0.25">
      <c r="A3258" t="str">
        <f>"20190312172433345"</f>
        <v>20190312172433345</v>
      </c>
      <c r="B3258" t="str">
        <f>"1552382673333583"</f>
        <v>1552382673333583</v>
      </c>
      <c r="C3258" t="s">
        <v>40</v>
      </c>
      <c r="D3258">
        <v>3.877383</v>
      </c>
      <c r="E3258">
        <v>0.56508150000000001</v>
      </c>
      <c r="F3258" t="s">
        <v>41</v>
      </c>
      <c r="G3258">
        <v>-433.81</v>
      </c>
      <c r="H3258">
        <v>0.91654369999999996</v>
      </c>
      <c r="I3258">
        <v>213.5283</v>
      </c>
      <c r="J3258">
        <v>-434.42540000000002</v>
      </c>
      <c r="K3258">
        <v>1.1090199999999999</v>
      </c>
      <c r="L3258">
        <v>213.667</v>
      </c>
      <c r="M3258">
        <v>0.99918099999999999</v>
      </c>
      <c r="N3258">
        <v>0</v>
      </c>
      <c r="O3258">
        <v>4.0395220000000003E-2</v>
      </c>
      <c r="P3258">
        <v>0.98750260000000001</v>
      </c>
      <c r="Q3258">
        <v>0.15738540000000001</v>
      </c>
      <c r="R3258">
        <v>8.2665369999999991E-3</v>
      </c>
      <c r="S3258">
        <v>3.1413880000000001</v>
      </c>
      <c r="T3258">
        <v>-0.61762869999999903</v>
      </c>
      <c r="U3258">
        <v>-0.39741520000000002</v>
      </c>
      <c r="V3258">
        <v>3.1543059999999998E-2</v>
      </c>
      <c r="W3258">
        <v>0.1597317</v>
      </c>
      <c r="X3258">
        <v>0.98665639999999999</v>
      </c>
      <c r="Y3258">
        <v>0.161669799999999</v>
      </c>
      <c r="Z3258">
        <v>-2.352133E-2</v>
      </c>
      <c r="AA3258">
        <v>0.98656460000000001</v>
      </c>
      <c r="AB3258">
        <v>36</v>
      </c>
      <c r="AC3258">
        <v>0.61540000000002204</v>
      </c>
      <c r="AD3258">
        <v>-0.19247629999999999</v>
      </c>
      <c r="AE3258">
        <v>-0.13869999999999999</v>
      </c>
      <c r="AF3258">
        <v>0.149526123266703</v>
      </c>
      <c r="AG3258">
        <v>-0.19247629999999999</v>
      </c>
      <c r="AH3258">
        <v>0.55740400984398797</v>
      </c>
      <c r="AI3258">
        <v>108.444411881386</v>
      </c>
      <c r="AJ3258">
        <v>74.983681233949198</v>
      </c>
      <c r="AK3258">
        <v>0.60836207787058505</v>
      </c>
      <c r="AL3258">
        <v>80.8086766709324</v>
      </c>
      <c r="AM3258">
        <v>88.168897630947896</v>
      </c>
      <c r="AN3258">
        <v>1.00000001614</v>
      </c>
    </row>
    <row r="3259" spans="1:40" x14ac:dyDescent="0.25">
      <c r="A3259" t="str">
        <f>"20190312172433365"</f>
        <v>20190312172433365</v>
      </c>
      <c r="B3259" t="str">
        <f>"1552382673363836"</f>
        <v>1552382673363836</v>
      </c>
      <c r="C3259" t="s">
        <v>40</v>
      </c>
      <c r="D3259">
        <v>4.3720879999999998</v>
      </c>
      <c r="E3259">
        <v>0.5671387</v>
      </c>
      <c r="F3259" t="s">
        <v>41</v>
      </c>
      <c r="G3259">
        <v>-433.47890000000001</v>
      </c>
      <c r="H3259">
        <v>0.9222612</v>
      </c>
      <c r="I3259">
        <v>213.5385</v>
      </c>
      <c r="J3259">
        <v>-434.09190000000001</v>
      </c>
      <c r="K3259">
        <v>1.1089039999999999</v>
      </c>
      <c r="L3259">
        <v>213.68039999999999</v>
      </c>
      <c r="M3259">
        <v>0.99918720000000005</v>
      </c>
      <c r="N3259">
        <v>0</v>
      </c>
      <c r="O3259">
        <v>4.0228529999999998E-2</v>
      </c>
      <c r="P3259">
        <v>0.98775610000000003</v>
      </c>
      <c r="Q3259">
        <v>0.15587719999999999</v>
      </c>
      <c r="R3259">
        <v>6.3533900000000004E-3</v>
      </c>
      <c r="S3259">
        <v>3.14032</v>
      </c>
      <c r="T3259">
        <v>-0.6195927</v>
      </c>
      <c r="U3259">
        <v>-0.42518620000000001</v>
      </c>
      <c r="V3259">
        <v>3.3351909999999999E-2</v>
      </c>
      <c r="W3259">
        <v>0.15842479999999901</v>
      </c>
      <c r="X3259">
        <v>0.98680760000000001</v>
      </c>
      <c r="Y3259">
        <v>0.16994319999999999</v>
      </c>
      <c r="Z3259">
        <v>-2.4362140000000001E-2</v>
      </c>
      <c r="AA3259">
        <v>0.98515269999999999</v>
      </c>
      <c r="AB3259">
        <v>37</v>
      </c>
      <c r="AC3259">
        <v>0.61299999999999899</v>
      </c>
      <c r="AD3259">
        <v>-0.1866428</v>
      </c>
      <c r="AE3259">
        <v>-0.141899999999992</v>
      </c>
      <c r="AF3259">
        <v>0.152984260380819</v>
      </c>
      <c r="AG3259">
        <v>-0.1866428</v>
      </c>
      <c r="AH3259">
        <v>0.55772156601712297</v>
      </c>
      <c r="AI3259">
        <v>107.886501667087</v>
      </c>
      <c r="AJ3259">
        <v>74.660924642554406</v>
      </c>
      <c r="AK3259">
        <v>0.60769487731648497</v>
      </c>
      <c r="AL3259">
        <v>80.884522232256003</v>
      </c>
      <c r="AM3259">
        <v>88.064266458645704</v>
      </c>
      <c r="AN3259">
        <v>1.00000000328672</v>
      </c>
    </row>
    <row r="3260" spans="1:40" x14ac:dyDescent="0.25">
      <c r="A3260" t="str">
        <f>"20190312172433389"</f>
        <v>20190312172433389</v>
      </c>
      <c r="B3260" t="str">
        <f>"1552382673383862"</f>
        <v>1552382673383862</v>
      </c>
      <c r="C3260" t="s">
        <v>40</v>
      </c>
      <c r="D3260">
        <v>3.842924</v>
      </c>
      <c r="E3260">
        <v>0.56788319999999903</v>
      </c>
      <c r="F3260" t="s">
        <v>41</v>
      </c>
      <c r="G3260">
        <v>-433.14839999999998</v>
      </c>
      <c r="H3260">
        <v>0.92288599999999998</v>
      </c>
      <c r="I3260">
        <v>213.54570000000001</v>
      </c>
      <c r="J3260">
        <v>-433.69229999999999</v>
      </c>
      <c r="K3260">
        <v>1.108773</v>
      </c>
      <c r="L3260">
        <v>213.6962</v>
      </c>
      <c r="M3260">
        <v>0.99920070000000005</v>
      </c>
      <c r="N3260">
        <v>0</v>
      </c>
      <c r="O3260">
        <v>3.987653E-2</v>
      </c>
      <c r="P3260">
        <v>0.98791669999999998</v>
      </c>
      <c r="Q3260">
        <v>0.15493879999999999</v>
      </c>
      <c r="R3260">
        <v>3.848649E-3</v>
      </c>
      <c r="S3260">
        <v>3.1377259999999998</v>
      </c>
      <c r="T3260">
        <v>-0.61860000000000004</v>
      </c>
      <c r="U3260">
        <v>-0.44813540000000002</v>
      </c>
      <c r="V3260">
        <v>3.5568830000000003E-2</v>
      </c>
      <c r="W3260">
        <v>0.1577228</v>
      </c>
      <c r="X3260">
        <v>0.98684260000000001</v>
      </c>
      <c r="Y3260">
        <v>0.1766596</v>
      </c>
      <c r="Z3260">
        <v>-2.4915900000000001E-2</v>
      </c>
      <c r="AA3260">
        <v>0.98395659999999896</v>
      </c>
      <c r="AB3260">
        <v>37</v>
      </c>
      <c r="AC3260">
        <v>0.54390000000000704</v>
      </c>
      <c r="AD3260">
        <v>-0.185886999999999</v>
      </c>
      <c r="AE3260">
        <v>-0.150499999999993</v>
      </c>
      <c r="AF3260">
        <v>0.155227448357353</v>
      </c>
      <c r="AG3260">
        <v>-0.185886999999999</v>
      </c>
      <c r="AH3260">
        <v>0.48485990565710901</v>
      </c>
      <c r="AI3260">
        <v>110.058519931056</v>
      </c>
      <c r="AJ3260">
        <v>72.247580942922696</v>
      </c>
      <c r="AK3260">
        <v>0.54197662828424198</v>
      </c>
      <c r="AL3260">
        <v>80.925255701305602</v>
      </c>
      <c r="AM3260">
        <v>87.935778178590596</v>
      </c>
      <c r="AN3260">
        <v>0.999999970241084</v>
      </c>
    </row>
    <row r="3261" spans="1:40" x14ac:dyDescent="0.25">
      <c r="A3261" t="str">
        <f>"20190312172433412"</f>
        <v>20190312172433412</v>
      </c>
      <c r="B3261" t="str">
        <f>"1552382673403382"</f>
        <v>1552382673403382</v>
      </c>
      <c r="C3261" t="s">
        <v>40</v>
      </c>
      <c r="D3261">
        <v>3.885453</v>
      </c>
      <c r="E3261">
        <v>0.5686563</v>
      </c>
      <c r="F3261" t="s">
        <v>41</v>
      </c>
      <c r="G3261">
        <v>-432.81310000000002</v>
      </c>
      <c r="H3261">
        <v>0.93534360000000005</v>
      </c>
      <c r="I3261">
        <v>213.56610000000001</v>
      </c>
      <c r="J3261">
        <v>-433.31869999999998</v>
      </c>
      <c r="K3261">
        <v>1.108646</v>
      </c>
      <c r="L3261">
        <v>213.7107</v>
      </c>
      <c r="M3261">
        <v>0.99921819999999895</v>
      </c>
      <c r="N3261">
        <v>0</v>
      </c>
      <c r="O3261">
        <v>3.9416510000000002E-2</v>
      </c>
      <c r="P3261">
        <v>0.98812339999999999</v>
      </c>
      <c r="Q3261">
        <v>0.15365780000000001</v>
      </c>
      <c r="R3261">
        <v>1.3053170000000001E-3</v>
      </c>
      <c r="S3261">
        <v>3.1354679999999999</v>
      </c>
      <c r="T3261">
        <v>-0.61853530000000001</v>
      </c>
      <c r="U3261">
        <v>-0.46278380000000002</v>
      </c>
      <c r="V3261">
        <v>3.7712309999999999E-2</v>
      </c>
      <c r="W3261">
        <v>0.15665899999999999</v>
      </c>
      <c r="X3261">
        <v>0.98693249999999999</v>
      </c>
      <c r="Y3261">
        <v>0.18073629999999999</v>
      </c>
      <c r="Z3261">
        <v>-2.5229560000000002E-2</v>
      </c>
      <c r="AA3261">
        <v>0.98320790000000002</v>
      </c>
      <c r="AB3261">
        <v>37</v>
      </c>
      <c r="AC3261">
        <v>0.50559999999995797</v>
      </c>
      <c r="AD3261">
        <v>-0.1733024</v>
      </c>
      <c r="AE3261">
        <v>-0.14459999999999601</v>
      </c>
      <c r="AF3261">
        <v>0.148309528857481</v>
      </c>
      <c r="AG3261">
        <v>-0.1733024</v>
      </c>
      <c r="AH3261">
        <v>0.45057289219919699</v>
      </c>
      <c r="AI3261">
        <v>110.069477001734</v>
      </c>
      <c r="AJ3261">
        <v>71.780642699458795</v>
      </c>
      <c r="AK3261">
        <v>0.50502016730070998</v>
      </c>
      <c r="AL3261">
        <v>80.986974588791497</v>
      </c>
      <c r="AM3261">
        <v>87.811698917816102</v>
      </c>
      <c r="AN3261">
        <v>1.0000000100813899</v>
      </c>
    </row>
    <row r="3262" spans="1:40" x14ac:dyDescent="0.25">
      <c r="A3262" t="str">
        <f>"20190312172433437"</f>
        <v>20190312172433437</v>
      </c>
      <c r="B3262" t="str">
        <f>"1552382673433637"</f>
        <v>1552382673433637</v>
      </c>
      <c r="C3262" t="s">
        <v>40</v>
      </c>
      <c r="D3262">
        <v>4.0662180000000001</v>
      </c>
      <c r="E3262">
        <v>0.56869539999999996</v>
      </c>
      <c r="F3262" t="s">
        <v>41</v>
      </c>
      <c r="G3262">
        <v>-432.47899999999998</v>
      </c>
      <c r="H3262">
        <v>0.9413087</v>
      </c>
      <c r="I3262">
        <v>213.583</v>
      </c>
      <c r="J3262">
        <v>-432.9203</v>
      </c>
      <c r="K3262">
        <v>1.1085259999999999</v>
      </c>
      <c r="L3262">
        <v>213.726</v>
      </c>
      <c r="M3262">
        <v>0.99924179999999996</v>
      </c>
      <c r="N3262">
        <v>0</v>
      </c>
      <c r="O3262">
        <v>3.8797869999999998E-2</v>
      </c>
      <c r="P3262">
        <v>0.98824809999999996</v>
      </c>
      <c r="Q3262">
        <v>0.15285109999999999</v>
      </c>
      <c r="R3262">
        <v>-1.5005179999999999E-3</v>
      </c>
      <c r="S3262">
        <v>3.1338200000000001</v>
      </c>
      <c r="T3262">
        <v>-0.62452379999999996</v>
      </c>
      <c r="U3262">
        <v>-0.47653200000000001</v>
      </c>
      <c r="V3262">
        <v>3.9960040000000002E-2</v>
      </c>
      <c r="W3262">
        <v>0.15607969999999999</v>
      </c>
      <c r="X3262">
        <v>0.98693580000000003</v>
      </c>
      <c r="Y3262">
        <v>0.18428230000000001</v>
      </c>
      <c r="Z3262">
        <v>-2.5700810000000001E-2</v>
      </c>
      <c r="AA3262">
        <v>0.98253729999999995</v>
      </c>
      <c r="AB3262">
        <v>37</v>
      </c>
      <c r="AC3262">
        <v>0.44129999999995501</v>
      </c>
      <c r="AD3262">
        <v>-0.16721730000000001</v>
      </c>
      <c r="AE3262">
        <v>-0.14299999999999999</v>
      </c>
      <c r="AF3262">
        <v>0.141613209519558</v>
      </c>
      <c r="AG3262">
        <v>-0.16721730000000001</v>
      </c>
      <c r="AH3262">
        <v>0.38534877193244399</v>
      </c>
      <c r="AI3262">
        <v>112.161299238198</v>
      </c>
      <c r="AJ3262">
        <v>69.821942716969701</v>
      </c>
      <c r="AK3262">
        <v>0.44329403623279501</v>
      </c>
      <c r="AL3262">
        <v>81.020579105078696</v>
      </c>
      <c r="AM3262">
        <v>87.681417835286496</v>
      </c>
      <c r="AN3262">
        <v>0.99999997543526498</v>
      </c>
    </row>
    <row r="3263" spans="1:40" x14ac:dyDescent="0.25">
      <c r="A3263" t="str">
        <f>"20190312172433458"</f>
        <v>20190312172433458</v>
      </c>
      <c r="B3263" t="str">
        <f>"1552382673453158"</f>
        <v>1552382673453158</v>
      </c>
      <c r="C3263" t="s">
        <v>40</v>
      </c>
      <c r="D3263">
        <v>3.880493</v>
      </c>
      <c r="E3263">
        <v>0.56848759999999998</v>
      </c>
      <c r="F3263" t="s">
        <v>41</v>
      </c>
      <c r="G3263">
        <v>-432.14249999999998</v>
      </c>
      <c r="H3263">
        <v>0.95065920000000004</v>
      </c>
      <c r="I3263">
        <v>213.6054</v>
      </c>
      <c r="J3263">
        <v>-432.5659</v>
      </c>
      <c r="K3263">
        <v>1.1084160000000001</v>
      </c>
      <c r="L3263">
        <v>213.73929999999999</v>
      </c>
      <c r="M3263">
        <v>0.99926610000000005</v>
      </c>
      <c r="N3263">
        <v>0</v>
      </c>
      <c r="O3263">
        <v>3.8141969999999997E-2</v>
      </c>
      <c r="P3263">
        <v>0.98839529999999998</v>
      </c>
      <c r="Q3263">
        <v>0.15185870000000001</v>
      </c>
      <c r="R3263">
        <v>-3.7072250000000002E-3</v>
      </c>
      <c r="S3263">
        <v>3.1333310000000001</v>
      </c>
      <c r="T3263">
        <v>-0.6359127</v>
      </c>
      <c r="U3263">
        <v>-0.48475649999999998</v>
      </c>
      <c r="V3263">
        <v>4.1565940000000003E-2</v>
      </c>
      <c r="W3263">
        <v>0.15528929999999999</v>
      </c>
      <c r="X3263">
        <v>0.98699409999999999</v>
      </c>
      <c r="Y3263">
        <v>0.186003</v>
      </c>
      <c r="Z3263">
        <v>-2.6200109999999999E-2</v>
      </c>
      <c r="AA3263">
        <v>0.98219979999999996</v>
      </c>
      <c r="AB3263">
        <v>37</v>
      </c>
      <c r="AC3263">
        <v>0.42340000000001499</v>
      </c>
      <c r="AD3263">
        <v>-0.1577568</v>
      </c>
      <c r="AE3263">
        <v>-0.13389999999998201</v>
      </c>
      <c r="AF3263">
        <v>0.13314803387083399</v>
      </c>
      <c r="AG3263">
        <v>-0.1577568</v>
      </c>
      <c r="AH3263">
        <v>0.371144399849068</v>
      </c>
      <c r="AI3263">
        <v>111.805760249371</v>
      </c>
      <c r="AJ3263">
        <v>70.264554295298197</v>
      </c>
      <c r="AK3263">
        <v>0.42469256222499802</v>
      </c>
      <c r="AL3263">
        <v>81.066424229115597</v>
      </c>
      <c r="AM3263">
        <v>87.588489650741096</v>
      </c>
      <c r="AN3263">
        <v>0.99999992374868796</v>
      </c>
    </row>
    <row r="3264" spans="1:40" x14ac:dyDescent="0.25">
      <c r="A3264" t="str">
        <f>"20190312172433478"</f>
        <v>20190312172433478</v>
      </c>
      <c r="B3264" t="str">
        <f>"1552382673473654"</f>
        <v>1552382673473654</v>
      </c>
      <c r="C3264" t="s">
        <v>40</v>
      </c>
      <c r="D3264">
        <v>3.8559600000000001</v>
      </c>
      <c r="E3264">
        <v>0.56864079999999995</v>
      </c>
      <c r="F3264" t="s">
        <v>41</v>
      </c>
      <c r="G3264">
        <v>-431.80779999999999</v>
      </c>
      <c r="H3264">
        <v>0.95290180000000002</v>
      </c>
      <c r="I3264">
        <v>213.62049999999999</v>
      </c>
      <c r="J3264">
        <v>-432.21370000000002</v>
      </c>
      <c r="K3264">
        <v>1.108306</v>
      </c>
      <c r="L3264">
        <v>213.75219999999999</v>
      </c>
      <c r="M3264">
        <v>0.9992934</v>
      </c>
      <c r="N3264">
        <v>0</v>
      </c>
      <c r="O3264">
        <v>3.739696E-2</v>
      </c>
      <c r="P3264">
        <v>0.98856160000000004</v>
      </c>
      <c r="Q3264">
        <v>0.1507251</v>
      </c>
      <c r="R3264">
        <v>-5.2842719999999996E-3</v>
      </c>
      <c r="S3264">
        <v>3.1320800000000002</v>
      </c>
      <c r="T3264">
        <v>-0.6425303</v>
      </c>
      <c r="U3264">
        <v>-0.49031069999999999</v>
      </c>
      <c r="V3264">
        <v>4.2453339999999999E-2</v>
      </c>
      <c r="W3264">
        <v>0.15435940000000001</v>
      </c>
      <c r="X3264">
        <v>0.98710229999999999</v>
      </c>
      <c r="Y3264">
        <v>0.1869326</v>
      </c>
      <c r="Z3264">
        <v>-2.641746E-2</v>
      </c>
      <c r="AA3264">
        <v>0.98201749999999999</v>
      </c>
      <c r="AB3264">
        <v>37</v>
      </c>
      <c r="AC3264">
        <v>0.40590000000003101</v>
      </c>
      <c r="AD3264">
        <v>-0.15540419999999999</v>
      </c>
      <c r="AE3264">
        <v>-0.13169999999999499</v>
      </c>
      <c r="AF3264">
        <v>0.12959961837776299</v>
      </c>
      <c r="AG3264">
        <v>-0.15540419999999999</v>
      </c>
      <c r="AH3264">
        <v>0.35377272757767603</v>
      </c>
      <c r="AI3264">
        <v>112.414717847212</v>
      </c>
      <c r="AJ3264">
        <v>69.880408515545696</v>
      </c>
      <c r="AK3264">
        <v>0.40755572531747097</v>
      </c>
      <c r="AL3264">
        <v>81.120354819674006</v>
      </c>
      <c r="AM3264">
        <v>87.537338184735404</v>
      </c>
      <c r="AN3264">
        <v>1.0000000305554</v>
      </c>
    </row>
    <row r="3265" spans="1:40" x14ac:dyDescent="0.25">
      <c r="A3265" t="str">
        <f>"20190312172433500"</f>
        <v>20190312172433500</v>
      </c>
      <c r="B3265" t="str">
        <f>"1552382673493173"</f>
        <v>1552382673493173</v>
      </c>
      <c r="C3265" t="s">
        <v>40</v>
      </c>
      <c r="D3265">
        <v>4.1173690000000001</v>
      </c>
      <c r="E3265">
        <v>0.56859649999999995</v>
      </c>
      <c r="F3265" t="s">
        <v>41</v>
      </c>
      <c r="G3265">
        <v>-431.47239999999999</v>
      </c>
      <c r="H3265">
        <v>0.95385690000000001</v>
      </c>
      <c r="I3265">
        <v>213.63409999999999</v>
      </c>
      <c r="J3265">
        <v>-431.83909999999997</v>
      </c>
      <c r="K3265">
        <v>1.1081989999999999</v>
      </c>
      <c r="L3265">
        <v>213.7655</v>
      </c>
      <c r="M3265">
        <v>0.99932549999999998</v>
      </c>
      <c r="N3265">
        <v>0</v>
      </c>
      <c r="O3265">
        <v>3.650697E-2</v>
      </c>
      <c r="P3265">
        <v>0.98859549999999996</v>
      </c>
      <c r="Q3265">
        <v>0.150427799999999</v>
      </c>
      <c r="R3265">
        <v>-7.0853060000000004E-3</v>
      </c>
      <c r="S3265">
        <v>3.1315309999999998</v>
      </c>
      <c r="T3265">
        <v>-0.65253709999999998</v>
      </c>
      <c r="U3265">
        <v>-0.49749759999999998</v>
      </c>
      <c r="V3265">
        <v>4.3419550000000001E-2</v>
      </c>
      <c r="W3265">
        <v>0.15428310000000001</v>
      </c>
      <c r="X3265">
        <v>0.98707219999999996</v>
      </c>
      <c r="Y3265">
        <v>0.18813569999999999</v>
      </c>
      <c r="Z3265">
        <v>-2.6761199999999999E-2</v>
      </c>
      <c r="AA3265">
        <v>0.98177840000000005</v>
      </c>
      <c r="AB3265">
        <v>37</v>
      </c>
      <c r="AC3265">
        <v>0.36669999999997999</v>
      </c>
      <c r="AD3265">
        <v>-0.15434210000000001</v>
      </c>
      <c r="AE3265">
        <v>-0.13140000000001301</v>
      </c>
      <c r="AF3265">
        <v>0.12506512561507399</v>
      </c>
      <c r="AG3265">
        <v>-0.15434210000000001</v>
      </c>
      <c r="AH3265">
        <v>0.312584553296059</v>
      </c>
      <c r="AI3265">
        <v>114.62813510238701</v>
      </c>
      <c r="AJ3265">
        <v>68.193644149541001</v>
      </c>
      <c r="AK3265">
        <v>0.37036721296143599</v>
      </c>
      <c r="AL3265">
        <v>81.124779488169494</v>
      </c>
      <c r="AM3265">
        <v>87.481284296507596</v>
      </c>
      <c r="AN3265">
        <v>1.00000003014032</v>
      </c>
    </row>
    <row r="3266" spans="1:40" x14ac:dyDescent="0.25">
      <c r="A3266" t="str">
        <f>"20190312172433523"</f>
        <v>20190312172433523</v>
      </c>
      <c r="B3266" t="str">
        <f>"1552382673513673"</f>
        <v>1552382673513673</v>
      </c>
      <c r="C3266" t="s">
        <v>40</v>
      </c>
      <c r="D3266">
        <v>4.035215</v>
      </c>
      <c r="E3266">
        <v>0.56879820000000003</v>
      </c>
      <c r="F3266" t="s">
        <v>41</v>
      </c>
      <c r="G3266">
        <v>-431.13400000000001</v>
      </c>
      <c r="H3266">
        <v>0.96025850000000001</v>
      </c>
      <c r="I3266">
        <v>213.65180000000001</v>
      </c>
      <c r="J3266">
        <v>-431.45530000000002</v>
      </c>
      <c r="K3266">
        <v>1.1080970000000001</v>
      </c>
      <c r="L3266">
        <v>213.77869999999999</v>
      </c>
      <c r="M3266">
        <v>0.99936150000000001</v>
      </c>
      <c r="N3266">
        <v>0</v>
      </c>
      <c r="O3266">
        <v>3.548159E-2</v>
      </c>
      <c r="P3266">
        <v>0.98864149999999995</v>
      </c>
      <c r="Q3266">
        <v>0.15001239999999999</v>
      </c>
      <c r="R3266">
        <v>-9.1790099999999996E-3</v>
      </c>
      <c r="S3266">
        <v>3.1309200000000001</v>
      </c>
      <c r="T3266">
        <v>-0.65678259999999999</v>
      </c>
      <c r="U3266">
        <v>-0.50376889999999996</v>
      </c>
      <c r="V3266">
        <v>4.4545069999999999E-2</v>
      </c>
      <c r="W3266">
        <v>0.15410499999999999</v>
      </c>
      <c r="X3266">
        <v>0.98704979999999998</v>
      </c>
      <c r="Y3266">
        <v>0.1890184</v>
      </c>
      <c r="Z3266">
        <v>-2.6812079999999999E-2</v>
      </c>
      <c r="AA3266">
        <v>0.98160740000000002</v>
      </c>
      <c r="AB3266">
        <v>37</v>
      </c>
      <c r="AC3266">
        <v>0.32130000000000702</v>
      </c>
      <c r="AD3266">
        <v>-0.14783849999999901</v>
      </c>
      <c r="AE3266">
        <v>-0.126899999999977</v>
      </c>
      <c r="AF3266">
        <v>0.116824430420283</v>
      </c>
      <c r="AG3266">
        <v>-0.14783849999999901</v>
      </c>
      <c r="AH3266">
        <v>0.267587319278002</v>
      </c>
      <c r="AI3266">
        <v>116.85469290953201</v>
      </c>
      <c r="AJ3266">
        <v>66.414672466886898</v>
      </c>
      <c r="AK3266">
        <v>0.32727227664997999</v>
      </c>
      <c r="AL3266">
        <v>81.135106763770096</v>
      </c>
      <c r="AM3266">
        <v>87.416023053601407</v>
      </c>
      <c r="AN3266">
        <v>0.99999996098317101</v>
      </c>
    </row>
    <row r="3267" spans="1:40" x14ac:dyDescent="0.25">
      <c r="A3267" t="str">
        <f>"20190312172433546"</f>
        <v>20190312172433546</v>
      </c>
      <c r="B3267" t="str">
        <f>"1552382673542949"</f>
        <v>1552382673542949</v>
      </c>
      <c r="C3267" t="s">
        <v>40</v>
      </c>
      <c r="D3267">
        <v>4.1993729999999996</v>
      </c>
      <c r="E3267">
        <v>0.56737550000000003</v>
      </c>
      <c r="F3267" t="s">
        <v>41</v>
      </c>
      <c r="G3267">
        <v>-430.48059999999998</v>
      </c>
      <c r="H3267">
        <v>0.90139849999999999</v>
      </c>
      <c r="I3267">
        <v>213.61920000000001</v>
      </c>
      <c r="J3267">
        <v>-431.06060000000002</v>
      </c>
      <c r="K3267">
        <v>1.1080030000000001</v>
      </c>
      <c r="L3267">
        <v>213.79179999999999</v>
      </c>
      <c r="M3267">
        <v>0.99940110000000004</v>
      </c>
      <c r="N3267">
        <v>0</v>
      </c>
      <c r="O3267">
        <v>3.4314770000000001E-2</v>
      </c>
      <c r="P3267">
        <v>0.98862249999999996</v>
      </c>
      <c r="Q3267">
        <v>0.15004419999999999</v>
      </c>
      <c r="R3267">
        <v>-1.061372E-2</v>
      </c>
      <c r="S3267">
        <v>3.1304319999999999</v>
      </c>
      <c r="T3267">
        <v>-0.66379960000000005</v>
      </c>
      <c r="U3267">
        <v>-0.51203920000000003</v>
      </c>
      <c r="V3267">
        <v>4.4871429999999997E-2</v>
      </c>
      <c r="W3267">
        <v>0.15439520000000001</v>
      </c>
      <c r="X3267">
        <v>0.98698969999999997</v>
      </c>
      <c r="Y3267">
        <v>0.1903204</v>
      </c>
      <c r="Z3267">
        <v>-2.6983409999999999E-2</v>
      </c>
      <c r="AA3267">
        <v>0.98135110000000003</v>
      </c>
      <c r="AB3267">
        <v>38</v>
      </c>
      <c r="AC3267">
        <v>0.58000000000004004</v>
      </c>
      <c r="AD3267">
        <v>-0.2066045</v>
      </c>
      <c r="AE3267">
        <v>-0.17259999999998801</v>
      </c>
      <c r="AF3267">
        <v>0.17231502809770299</v>
      </c>
      <c r="AG3267">
        <v>-0.2066045</v>
      </c>
      <c r="AH3267">
        <v>0.51383938788099204</v>
      </c>
      <c r="AI3267">
        <v>110.867620320304</v>
      </c>
      <c r="AJ3267">
        <v>71.461223626682397</v>
      </c>
      <c r="AK3267">
        <v>0.58000759035246696</v>
      </c>
      <c r="AL3267">
        <v>81.118278428523993</v>
      </c>
      <c r="AM3267">
        <v>87.396959179416797</v>
      </c>
      <c r="AN3267">
        <v>0.99999999545968699</v>
      </c>
    </row>
    <row r="3268" spans="1:40" x14ac:dyDescent="0.25">
      <c r="A3268" t="str">
        <f>"20190312172433567"</f>
        <v>20190312172433567</v>
      </c>
      <c r="B3268" t="str">
        <f>"1552382673563446"</f>
        <v>1552382673563446</v>
      </c>
      <c r="C3268" t="s">
        <v>40</v>
      </c>
      <c r="D3268">
        <v>4.0471259999999996</v>
      </c>
      <c r="E3268">
        <v>0.56842309999999996</v>
      </c>
      <c r="F3268" t="s">
        <v>41</v>
      </c>
      <c r="G3268">
        <v>-430.15899999999999</v>
      </c>
      <c r="H3268">
        <v>0.86548700000000001</v>
      </c>
      <c r="I3268">
        <v>213.6498</v>
      </c>
      <c r="J3268">
        <v>-430.71300000000002</v>
      </c>
      <c r="K3268">
        <v>1.107926</v>
      </c>
      <c r="L3268">
        <v>213.80289999999999</v>
      </c>
      <c r="M3268">
        <v>0.99943729999999997</v>
      </c>
      <c r="N3268">
        <v>0</v>
      </c>
      <c r="O3268">
        <v>3.3208410000000001E-2</v>
      </c>
      <c r="P3268">
        <v>0.98867400000000005</v>
      </c>
      <c r="Q3268">
        <v>0.14956759999999999</v>
      </c>
      <c r="R3268">
        <v>-1.23917E-2</v>
      </c>
      <c r="S3268">
        <v>3.1580810000000001</v>
      </c>
      <c r="T3268">
        <v>-0.84938619999999898</v>
      </c>
      <c r="U3268">
        <v>-0.49565120000000001</v>
      </c>
      <c r="V3268">
        <v>4.5594299999999997E-2</v>
      </c>
      <c r="W3268">
        <v>0.1541469</v>
      </c>
      <c r="X3268">
        <v>0.98699539999999997</v>
      </c>
      <c r="Y3268">
        <v>0.18035119999999999</v>
      </c>
      <c r="Z3268">
        <v>-3.2421659999999998E-2</v>
      </c>
      <c r="AA3268">
        <v>0.98306780000000005</v>
      </c>
      <c r="AB3268">
        <v>38</v>
      </c>
      <c r="AC3268">
        <v>0.55400000000003002</v>
      </c>
      <c r="AD3268">
        <v>-0.24243899999999899</v>
      </c>
      <c r="AE3268">
        <v>-0.15309999999999399</v>
      </c>
      <c r="AF3268">
        <v>0.14552202905381201</v>
      </c>
      <c r="AG3268">
        <v>-0.24243899999999899</v>
      </c>
      <c r="AH3268">
        <v>0.46574508750287302</v>
      </c>
      <c r="AI3268">
        <v>116.420584778738</v>
      </c>
      <c r="AJ3268">
        <v>72.648587953320202</v>
      </c>
      <c r="AK3268">
        <v>0.54485944627398897</v>
      </c>
      <c r="AL3268">
        <v>81.132677505849301</v>
      </c>
      <c r="AM3268">
        <v>87.355099029495506</v>
      </c>
      <c r="AN3268">
        <v>1.00000001329663</v>
      </c>
    </row>
    <row r="3269" spans="1:40" x14ac:dyDescent="0.25">
      <c r="A3269" t="str">
        <f>"20190312172433601"</f>
        <v>20190312172433601</v>
      </c>
      <c r="B3269" t="str">
        <f>"1552382673593703"</f>
        <v>1552382673593703</v>
      </c>
      <c r="C3269" t="s">
        <v>40</v>
      </c>
      <c r="D3269">
        <v>4.0376519999999996</v>
      </c>
      <c r="E3269">
        <v>0.56869449999999999</v>
      </c>
      <c r="F3269" t="s">
        <v>41</v>
      </c>
      <c r="G3269">
        <v>-429.81529999999998</v>
      </c>
      <c r="H3269">
        <v>0.87521409999999999</v>
      </c>
      <c r="I3269">
        <v>213.65639999999999</v>
      </c>
      <c r="J3269">
        <v>-430.13099999999997</v>
      </c>
      <c r="K3269">
        <v>1.107796</v>
      </c>
      <c r="L3269">
        <v>213.82040000000001</v>
      </c>
      <c r="M3269">
        <v>0.99950050000000001</v>
      </c>
      <c r="N3269">
        <v>0</v>
      </c>
      <c r="O3269">
        <v>3.117762E-2</v>
      </c>
      <c r="P3269">
        <v>0.98865740000000002</v>
      </c>
      <c r="Q3269">
        <v>0.14949479999999901</v>
      </c>
      <c r="R3269">
        <v>-1.4415229999999999E-2</v>
      </c>
      <c r="S3269">
        <v>3.1515499999999999</v>
      </c>
      <c r="T3269">
        <v>-0.81694279999999997</v>
      </c>
      <c r="U3269">
        <v>-0.51406859999999999</v>
      </c>
      <c r="V3269">
        <v>4.5673180000000001E-2</v>
      </c>
      <c r="W3269">
        <v>0.1544565</v>
      </c>
      <c r="X3269">
        <v>0.98694340000000003</v>
      </c>
      <c r="Y3269">
        <v>0.1847192</v>
      </c>
      <c r="Z3269">
        <v>-3.1309610000000002E-2</v>
      </c>
      <c r="AA3269">
        <v>0.98229250000000001</v>
      </c>
      <c r="AB3269">
        <v>38</v>
      </c>
      <c r="AC3269">
        <v>0.31569999999999199</v>
      </c>
      <c r="AD3269">
        <v>-0.23258190000000001</v>
      </c>
      <c r="AE3269">
        <v>-0.16400000000001499</v>
      </c>
      <c r="AF3269">
        <v>0.121733013472475</v>
      </c>
      <c r="AG3269">
        <v>-0.23258190000000001</v>
      </c>
      <c r="AH3269">
        <v>0.21747981714898701</v>
      </c>
      <c r="AI3269">
        <v>133.02085481560201</v>
      </c>
      <c r="AJ3269">
        <v>60.762342794368898</v>
      </c>
      <c r="AK3269">
        <v>0.34089696044971801</v>
      </c>
      <c r="AL3269">
        <v>81.114724152860603</v>
      </c>
      <c r="AM3269">
        <v>87.350390361293705</v>
      </c>
      <c r="AN3269">
        <v>1.0000000622835501</v>
      </c>
    </row>
    <row r="3270" spans="1:40" x14ac:dyDescent="0.25">
      <c r="A3270" t="str">
        <f>"20190312172433624"</f>
        <v>20190312172433624</v>
      </c>
      <c r="B3270" t="str">
        <f>"1552382673613222"</f>
        <v>1552382673613222</v>
      </c>
      <c r="C3270" t="s">
        <v>40</v>
      </c>
      <c r="D3270">
        <v>3.9000460000000001</v>
      </c>
      <c r="E3270">
        <v>0.56850559999999895</v>
      </c>
      <c r="F3270" t="s">
        <v>41</v>
      </c>
      <c r="G3270">
        <v>-429.1397</v>
      </c>
      <c r="H3270">
        <v>0.85909650000000004</v>
      </c>
      <c r="I3270">
        <v>213.65430000000001</v>
      </c>
      <c r="J3270">
        <v>-429.73469999999998</v>
      </c>
      <c r="K3270">
        <v>1.107707</v>
      </c>
      <c r="L3270">
        <v>213.83150000000001</v>
      </c>
      <c r="M3270">
        <v>0.99954589999999999</v>
      </c>
      <c r="N3270">
        <v>0</v>
      </c>
      <c r="O3270">
        <v>2.964087E-2</v>
      </c>
      <c r="P3270">
        <v>0.98859660000000005</v>
      </c>
      <c r="Q3270">
        <v>0.1497067</v>
      </c>
      <c r="R3270">
        <v>-1.627234E-2</v>
      </c>
      <c r="S3270">
        <v>3.1460880000000002</v>
      </c>
      <c r="T3270">
        <v>-0.78929130000000003</v>
      </c>
      <c r="U3270">
        <v>-0.52693179999999995</v>
      </c>
      <c r="V3270">
        <v>4.6055069999999997E-2</v>
      </c>
      <c r="W3270">
        <v>0.1549285</v>
      </c>
      <c r="X3270">
        <v>0.98685160000000005</v>
      </c>
      <c r="Y3270">
        <v>0.18778359999999999</v>
      </c>
      <c r="Z3270">
        <v>-3.0320969999999999E-2</v>
      </c>
      <c r="AA3270">
        <v>0.98174229999999996</v>
      </c>
      <c r="AB3270">
        <v>38</v>
      </c>
      <c r="AC3270">
        <v>0.59499999999997</v>
      </c>
      <c r="AD3270">
        <v>-0.24861050000000001</v>
      </c>
      <c r="AE3270">
        <v>-0.177199999999999</v>
      </c>
      <c r="AF3270">
        <v>0.167843184789432</v>
      </c>
      <c r="AG3270">
        <v>-0.24861050000000001</v>
      </c>
      <c r="AH3270">
        <v>0.50801951117872002</v>
      </c>
      <c r="AI3270">
        <v>114.922787376111</v>
      </c>
      <c r="AJ3270">
        <v>71.717101954455799</v>
      </c>
      <c r="AK3270">
        <v>0.58996808314414395</v>
      </c>
      <c r="AL3270">
        <v>81.087350442653502</v>
      </c>
      <c r="AM3270">
        <v>87.328019811093398</v>
      </c>
      <c r="AN3270">
        <v>0.99999999500375703</v>
      </c>
    </row>
    <row r="3271" spans="1:40" x14ac:dyDescent="0.25">
      <c r="A3271" t="str">
        <f>"20190312172433647"</f>
        <v>20190312172433647</v>
      </c>
      <c r="B3271" t="str">
        <f>"1552382673643478"</f>
        <v>1552382673643478</v>
      </c>
      <c r="C3271" t="s">
        <v>40</v>
      </c>
      <c r="D3271">
        <v>4.0600880000000004</v>
      </c>
      <c r="E3271">
        <v>0.56882829999999995</v>
      </c>
      <c r="F3271" t="s">
        <v>41</v>
      </c>
      <c r="G3271">
        <v>-428.79300000000001</v>
      </c>
      <c r="H3271">
        <v>0.87344409999999895</v>
      </c>
      <c r="I3271">
        <v>213.67189999999999</v>
      </c>
      <c r="J3271">
        <v>-429.35599999999999</v>
      </c>
      <c r="K3271">
        <v>1.1076189999999999</v>
      </c>
      <c r="L3271">
        <v>213.84139999999999</v>
      </c>
      <c r="M3271">
        <v>0.99958939999999996</v>
      </c>
      <c r="N3271">
        <v>0</v>
      </c>
      <c r="O3271">
        <v>2.8081559999999998E-2</v>
      </c>
      <c r="P3271">
        <v>0.9885275</v>
      </c>
      <c r="Q3271">
        <v>0.1499896</v>
      </c>
      <c r="R3271">
        <v>-1.779592E-2</v>
      </c>
      <c r="S3271">
        <v>3.1443180000000002</v>
      </c>
      <c r="T3271">
        <v>-0.78204609999999997</v>
      </c>
      <c r="U3271">
        <v>-0.53176880000000004</v>
      </c>
      <c r="V3271">
        <v>4.6078319999999999E-2</v>
      </c>
      <c r="W3271">
        <v>0.1554537</v>
      </c>
      <c r="X3271">
        <v>0.98676790000000003</v>
      </c>
      <c r="Y3271">
        <v>0.18796650000000001</v>
      </c>
      <c r="Z3271">
        <v>-2.9705829999999999E-2</v>
      </c>
      <c r="AA3271">
        <v>0.98172610000000005</v>
      </c>
      <c r="AB3271">
        <v>38</v>
      </c>
      <c r="AC3271">
        <v>0.56299999999998795</v>
      </c>
      <c r="AD3271">
        <v>-0.23417489999999999</v>
      </c>
      <c r="AE3271">
        <v>-0.16949999999999901</v>
      </c>
      <c r="AF3271">
        <v>0.159881504377824</v>
      </c>
      <c r="AG3271">
        <v>-0.23417489999999999</v>
      </c>
      <c r="AH3271">
        <v>0.48161933028016701</v>
      </c>
      <c r="AI3271">
        <v>114.771505241207</v>
      </c>
      <c r="AJ3271">
        <v>71.635560210497204</v>
      </c>
      <c r="AK3271">
        <v>0.55888921847862005</v>
      </c>
      <c r="AL3271">
        <v>81.056889482673597</v>
      </c>
      <c r="AM3271">
        <v>87.326446441623702</v>
      </c>
      <c r="AN3271">
        <v>0.99999997644406102</v>
      </c>
    </row>
    <row r="3272" spans="1:40" x14ac:dyDescent="0.25">
      <c r="A3272" t="str">
        <f>"20190312172433667"</f>
        <v>20190312172433667</v>
      </c>
      <c r="B3272" t="str">
        <f>"1552382673662999"</f>
        <v>1552382673662999</v>
      </c>
      <c r="C3272" t="s">
        <v>40</v>
      </c>
      <c r="D3272">
        <v>3.9227609999999999</v>
      </c>
      <c r="E3272">
        <v>0.56873969999999996</v>
      </c>
      <c r="F3272" t="s">
        <v>41</v>
      </c>
      <c r="G3272">
        <v>-428.44740000000002</v>
      </c>
      <c r="H3272">
        <v>0.88311859999999998</v>
      </c>
      <c r="I3272">
        <v>213.68520000000001</v>
      </c>
      <c r="J3272">
        <v>-429.00310000000002</v>
      </c>
      <c r="K3272">
        <v>1.1075429999999999</v>
      </c>
      <c r="L3272">
        <v>213.8501</v>
      </c>
      <c r="M3272">
        <v>0.99963020000000002</v>
      </c>
      <c r="N3272">
        <v>0</v>
      </c>
      <c r="O3272">
        <v>2.6540979999999999E-2</v>
      </c>
      <c r="P3272">
        <v>0.98836740000000001</v>
      </c>
      <c r="Q3272">
        <v>0.1507715</v>
      </c>
      <c r="R3272">
        <v>-1.9948219999999999E-2</v>
      </c>
      <c r="S3272">
        <v>3.142944</v>
      </c>
      <c r="T3272">
        <v>-0.77652500000000002</v>
      </c>
      <c r="U3272">
        <v>-0.53964230000000002</v>
      </c>
      <c r="V3272">
        <v>4.6745839999999997E-2</v>
      </c>
      <c r="W3272">
        <v>0.1564509</v>
      </c>
      <c r="X3272">
        <v>0.98657890000000004</v>
      </c>
      <c r="Y3272">
        <v>0.1890165</v>
      </c>
      <c r="Z3272">
        <v>-2.926283E-2</v>
      </c>
      <c r="AA3272">
        <v>0.98153780000000002</v>
      </c>
      <c r="AB3272">
        <v>38</v>
      </c>
      <c r="AC3272">
        <v>0.55570000000000097</v>
      </c>
      <c r="AD3272">
        <v>-0.2244244</v>
      </c>
      <c r="AE3272">
        <v>-0.164899999999988</v>
      </c>
      <c r="AF3272">
        <v>0.15617936080583</v>
      </c>
      <c r="AG3272">
        <v>-0.2244244</v>
      </c>
      <c r="AH3272">
        <v>0.47928211212834598</v>
      </c>
      <c r="AI3272">
        <v>113.999105488811</v>
      </c>
      <c r="AJ3272">
        <v>71.951229540867502</v>
      </c>
      <c r="AK3272">
        <v>0.55178768295720904</v>
      </c>
      <c r="AL3272">
        <v>80.999046532627602</v>
      </c>
      <c r="AM3272">
        <v>87.287254248717403</v>
      </c>
      <c r="AN3272">
        <v>0.99999999179666199</v>
      </c>
    </row>
    <row r="3273" spans="1:40" x14ac:dyDescent="0.25">
      <c r="A3273" t="str">
        <f>"20190312172433692"</f>
        <v>20190312172433692</v>
      </c>
      <c r="B3273" t="str">
        <f>"1552382673683496"</f>
        <v>1552382673683496</v>
      </c>
      <c r="C3273" t="s">
        <v>40</v>
      </c>
      <c r="D3273">
        <v>4.2288730000000001</v>
      </c>
      <c r="E3273">
        <v>0.56841900000000001</v>
      </c>
      <c r="F3273" t="s">
        <v>41</v>
      </c>
      <c r="G3273">
        <v>-428.10300000000001</v>
      </c>
      <c r="H3273">
        <v>0.8870846</v>
      </c>
      <c r="I3273">
        <v>213.6935</v>
      </c>
      <c r="J3273">
        <v>-428.58949999999999</v>
      </c>
      <c r="K3273">
        <v>1.107448</v>
      </c>
      <c r="L3273">
        <v>213.8595</v>
      </c>
      <c r="M3273">
        <v>0.9996775</v>
      </c>
      <c r="N3273">
        <v>0</v>
      </c>
      <c r="O3273">
        <v>2.463137E-2</v>
      </c>
      <c r="P3273">
        <v>0.98834750000000005</v>
      </c>
      <c r="Q3273">
        <v>0.15054809999999999</v>
      </c>
      <c r="R3273">
        <v>-2.247116E-2</v>
      </c>
      <c r="S3273">
        <v>3.1416629999999999</v>
      </c>
      <c r="T3273">
        <v>-0.76945520000000001</v>
      </c>
      <c r="U3273">
        <v>-0.54577640000000005</v>
      </c>
      <c r="V3273">
        <v>4.7425299999999997E-2</v>
      </c>
      <c r="W3273">
        <v>0.1564701</v>
      </c>
      <c r="X3273">
        <v>0.98654339999999996</v>
      </c>
      <c r="Y3273">
        <v>0.18923010000000001</v>
      </c>
      <c r="Z3273">
        <v>-2.8578329999999999E-2</v>
      </c>
      <c r="AA3273">
        <v>0.98151679999999997</v>
      </c>
      <c r="AB3273">
        <v>38</v>
      </c>
      <c r="AC3273">
        <v>0.48649999999997801</v>
      </c>
      <c r="AD3273">
        <v>-0.22036339999999999</v>
      </c>
      <c r="AE3273">
        <v>-0.16599999999999601</v>
      </c>
      <c r="AF3273">
        <v>0.15031000571011999</v>
      </c>
      <c r="AG3273">
        <v>-0.22036339999999999</v>
      </c>
      <c r="AH3273">
        <v>0.40739503285055001</v>
      </c>
      <c r="AI3273">
        <v>116.906422319963</v>
      </c>
      <c r="AJ3273">
        <v>69.748261593313302</v>
      </c>
      <c r="AK3273">
        <v>0.48695363092129901</v>
      </c>
      <c r="AL3273">
        <v>80.997932499309997</v>
      </c>
      <c r="AM3273">
        <v>87.247785262201404</v>
      </c>
      <c r="AN3273">
        <v>0.99999996567882898</v>
      </c>
    </row>
    <row r="3274" spans="1:40" x14ac:dyDescent="0.25">
      <c r="A3274" t="str">
        <f>"20190312172433713"</f>
        <v>20190312172433713</v>
      </c>
      <c r="B3274" t="str">
        <f>"1552382673703014"</f>
        <v>1552382673703014</v>
      </c>
      <c r="C3274" t="s">
        <v>40</v>
      </c>
      <c r="D3274">
        <v>4.0765770000000003</v>
      </c>
      <c r="E3274">
        <v>0.56814439999999999</v>
      </c>
      <c r="F3274" t="s">
        <v>41</v>
      </c>
      <c r="G3274">
        <v>-427.75389999999999</v>
      </c>
      <c r="H3274">
        <v>0.90334519999999996</v>
      </c>
      <c r="I3274">
        <v>213.71299999999999</v>
      </c>
      <c r="J3274">
        <v>-428.21609999999998</v>
      </c>
      <c r="K3274">
        <v>1.107369</v>
      </c>
      <c r="L3274">
        <v>213.8672</v>
      </c>
      <c r="M3274">
        <v>0.99971889999999997</v>
      </c>
      <c r="N3274">
        <v>0</v>
      </c>
      <c r="O3274">
        <v>2.2829180000000001E-2</v>
      </c>
      <c r="P3274">
        <v>0.9884385</v>
      </c>
      <c r="Q3274">
        <v>0.14962619999999999</v>
      </c>
      <c r="R3274">
        <v>-2.453203E-2</v>
      </c>
      <c r="S3274">
        <v>3.1397089999999999</v>
      </c>
      <c r="T3274">
        <v>-0.76686069999999995</v>
      </c>
      <c r="U3274">
        <v>-0.5505371</v>
      </c>
      <c r="V3274">
        <v>4.7741390000000002E-2</v>
      </c>
      <c r="W3274">
        <v>0.15575799999999901</v>
      </c>
      <c r="X3274">
        <v>0.98664090000000004</v>
      </c>
      <c r="Y3274">
        <v>0.1891004</v>
      </c>
      <c r="Z3274">
        <v>-2.8051630000000001E-2</v>
      </c>
      <c r="AA3274">
        <v>0.98155700000000001</v>
      </c>
      <c r="AB3274">
        <v>38</v>
      </c>
      <c r="AC3274">
        <v>0.462199999999995</v>
      </c>
      <c r="AD3274">
        <v>-0.20402380000000001</v>
      </c>
      <c r="AE3274">
        <v>-0.154200000000003</v>
      </c>
      <c r="AF3274">
        <v>0.14014017008750199</v>
      </c>
      <c r="AG3274">
        <v>-0.20402380000000001</v>
      </c>
      <c r="AH3274">
        <v>0.39015185436523703</v>
      </c>
      <c r="AI3274">
        <v>116.204042279216</v>
      </c>
      <c r="AJ3274">
        <v>70.242020787413594</v>
      </c>
      <c r="AK3274">
        <v>0.46204269034714401</v>
      </c>
      <c r="AL3274">
        <v>81.039239870405396</v>
      </c>
      <c r="AM3274">
        <v>87.229743572903004</v>
      </c>
      <c r="AN3274">
        <v>1.0000000302179699</v>
      </c>
    </row>
    <row r="3275" spans="1:40" x14ac:dyDescent="0.25">
      <c r="A3275" t="str">
        <f>"20190312172433734"</f>
        <v>20190312172433734</v>
      </c>
      <c r="B3275" t="str">
        <f>"1552382673723510"</f>
        <v>1552382673723510</v>
      </c>
      <c r="C3275" t="s">
        <v>40</v>
      </c>
      <c r="D3275">
        <v>4.0068039999999998</v>
      </c>
      <c r="E3275">
        <v>0.56815369999999998</v>
      </c>
      <c r="F3275" t="s">
        <v>41</v>
      </c>
      <c r="G3275">
        <v>-427.40800000000002</v>
      </c>
      <c r="H3275">
        <v>0.90866769999999997</v>
      </c>
      <c r="I3275">
        <v>213.72399999999999</v>
      </c>
      <c r="J3275">
        <v>-427.85270000000003</v>
      </c>
      <c r="K3275">
        <v>1.107299</v>
      </c>
      <c r="L3275">
        <v>213.874</v>
      </c>
      <c r="M3275">
        <v>0.99975720000000001</v>
      </c>
      <c r="N3275">
        <v>0</v>
      </c>
      <c r="O3275">
        <v>2.1021249999999998E-2</v>
      </c>
      <c r="P3275">
        <v>0.98846389999999995</v>
      </c>
      <c r="Q3275">
        <v>0.14916479999999999</v>
      </c>
      <c r="R3275">
        <v>-2.6260909999999998E-2</v>
      </c>
      <c r="S3275">
        <v>3.1381839999999999</v>
      </c>
      <c r="T3275">
        <v>-0.77148490000000003</v>
      </c>
      <c r="U3275">
        <v>-0.55464169999999902</v>
      </c>
      <c r="V3275">
        <v>4.7713619999999998E-2</v>
      </c>
      <c r="W3275">
        <v>0.15548909999999999</v>
      </c>
      <c r="X3275">
        <v>0.98668460000000002</v>
      </c>
      <c r="Y3275">
        <v>0.1886429</v>
      </c>
      <c r="Z3275">
        <v>-2.773606E-2</v>
      </c>
      <c r="AA3275">
        <v>0.98165400000000003</v>
      </c>
      <c r="AB3275">
        <v>38</v>
      </c>
      <c r="AC3275">
        <v>0.44470000000001098</v>
      </c>
      <c r="AD3275">
        <v>-0.19863130000000001</v>
      </c>
      <c r="AE3275">
        <v>-0.15000000000000499</v>
      </c>
      <c r="AF3275">
        <v>0.135112732010221</v>
      </c>
      <c r="AG3275">
        <v>-0.19863130000000001</v>
      </c>
      <c r="AH3275">
        <v>0.37438553737032498</v>
      </c>
      <c r="AI3275">
        <v>116.521418505618</v>
      </c>
      <c r="AJ3275">
        <v>70.155894131248999</v>
      </c>
      <c r="AK3275">
        <v>0.44483072542600199</v>
      </c>
      <c r="AL3275">
        <v>81.054836230779998</v>
      </c>
      <c r="AM3275">
        <v>87.231474887287703</v>
      </c>
      <c r="AN3275">
        <v>0.99999997481473601</v>
      </c>
    </row>
    <row r="3276" spans="1:40" x14ac:dyDescent="0.25">
      <c r="A3276" t="str">
        <f>"20190312172433757"</f>
        <v>20190312172433757</v>
      </c>
      <c r="B3276" t="str">
        <f>"1552382673753766"</f>
        <v>1552382673753766</v>
      </c>
      <c r="C3276" t="s">
        <v>40</v>
      </c>
      <c r="D3276">
        <v>4.015771</v>
      </c>
      <c r="E3276">
        <v>0.56802410000000003</v>
      </c>
      <c r="F3276" t="s">
        <v>41</v>
      </c>
      <c r="G3276">
        <v>-427.06180000000001</v>
      </c>
      <c r="H3276">
        <v>0.91282030000000003</v>
      </c>
      <c r="I3276">
        <v>213.73259999999999</v>
      </c>
      <c r="J3276">
        <v>-427.46350000000001</v>
      </c>
      <c r="K3276">
        <v>1.1072470000000001</v>
      </c>
      <c r="L3276">
        <v>213.88059999999999</v>
      </c>
      <c r="M3276">
        <v>0.99979549999999995</v>
      </c>
      <c r="N3276">
        <v>0</v>
      </c>
      <c r="O3276">
        <v>1.9042650000000001E-2</v>
      </c>
      <c r="P3276">
        <v>0.98840600000000001</v>
      </c>
      <c r="Q3276">
        <v>0.14922360000000001</v>
      </c>
      <c r="R3276">
        <v>-2.8033579999999999E-2</v>
      </c>
      <c r="S3276">
        <v>3.136536</v>
      </c>
      <c r="T3276">
        <v>-0.77125140000000003</v>
      </c>
      <c r="U3276">
        <v>-0.56053160000000002</v>
      </c>
      <c r="V3276">
        <v>4.7558009999999998E-2</v>
      </c>
      <c r="W3276">
        <v>0.15574579999999999</v>
      </c>
      <c r="X3276">
        <v>0.98665170000000002</v>
      </c>
      <c r="Y3276">
        <v>0.18863479999999999</v>
      </c>
      <c r="Z3276">
        <v>-2.7260449999999999E-2</v>
      </c>
      <c r="AA3276">
        <v>0.98166889999999996</v>
      </c>
      <c r="AB3276">
        <v>38</v>
      </c>
      <c r="AC3276">
        <v>0.401700000000005</v>
      </c>
      <c r="AD3276">
        <v>-0.19442669999999901</v>
      </c>
      <c r="AE3276">
        <v>-0.147999999999996</v>
      </c>
      <c r="AF3276">
        <v>0.129011977953333</v>
      </c>
      <c r="AG3276">
        <v>-0.19442669999999901</v>
      </c>
      <c r="AH3276">
        <v>0.33061427224634299</v>
      </c>
      <c r="AI3276">
        <v>118.715872698052</v>
      </c>
      <c r="AJ3276">
        <v>68.683324878012201</v>
      </c>
      <c r="AK3276">
        <v>0.40466236437467201</v>
      </c>
      <c r="AL3276">
        <v>81.039947673879496</v>
      </c>
      <c r="AM3276">
        <v>87.240398116445306</v>
      </c>
      <c r="AN3276">
        <v>1.0000000478228399</v>
      </c>
    </row>
    <row r="3277" spans="1:40" x14ac:dyDescent="0.25">
      <c r="A3277" t="str">
        <f>"20190312172433780"</f>
        <v>20190312172433780</v>
      </c>
      <c r="B3277" t="str">
        <f>"1552382673773286"</f>
        <v>1552382673773286</v>
      </c>
      <c r="C3277" t="s">
        <v>40</v>
      </c>
      <c r="D3277">
        <v>4.10778</v>
      </c>
      <c r="E3277">
        <v>0.56768629999999998</v>
      </c>
      <c r="F3277" t="s">
        <v>41</v>
      </c>
      <c r="G3277">
        <v>-426.71280000000002</v>
      </c>
      <c r="H3277">
        <v>0.92306089999999996</v>
      </c>
      <c r="I3277">
        <v>213.745</v>
      </c>
      <c r="J3277">
        <v>-427.06330000000003</v>
      </c>
      <c r="K3277">
        <v>1.1072090000000001</v>
      </c>
      <c r="L3277">
        <v>213.88650000000001</v>
      </c>
      <c r="M3277">
        <v>0.99983129999999998</v>
      </c>
      <c r="N3277">
        <v>0</v>
      </c>
      <c r="O3277">
        <v>1.6977349999999999E-2</v>
      </c>
      <c r="P3277">
        <v>0.98842669999999999</v>
      </c>
      <c r="Q3277">
        <v>0.14881320000000001</v>
      </c>
      <c r="R3277">
        <v>-2.9455220000000001E-2</v>
      </c>
      <c r="S3277">
        <v>3.1353149999999999</v>
      </c>
      <c r="T3277">
        <v>-0.76927159999999895</v>
      </c>
      <c r="U3277">
        <v>-0.56561280000000003</v>
      </c>
      <c r="V3277">
        <v>4.69597E-2</v>
      </c>
      <c r="W3277">
        <v>0.15553339999999999</v>
      </c>
      <c r="X3277">
        <v>0.98671379999999997</v>
      </c>
      <c r="Y3277">
        <v>0.18831310000000001</v>
      </c>
      <c r="Z3277">
        <v>-2.6664449999999999E-2</v>
      </c>
      <c r="AA3277">
        <v>0.98174700000000004</v>
      </c>
      <c r="AB3277">
        <v>38</v>
      </c>
      <c r="AC3277">
        <v>0.35050000000001003</v>
      </c>
      <c r="AD3277">
        <v>-0.18414810000000001</v>
      </c>
      <c r="AE3277">
        <v>-0.14150000000000701</v>
      </c>
      <c r="AF3277">
        <v>0.11915022728671799</v>
      </c>
      <c r="AG3277">
        <v>-0.18414810000000001</v>
      </c>
      <c r="AH3277">
        <v>0.28128472093555701</v>
      </c>
      <c r="AI3277">
        <v>121.082248660763</v>
      </c>
      <c r="AJ3277">
        <v>67.042826315763605</v>
      </c>
      <c r="AK3277">
        <v>0.35669089367109003</v>
      </c>
      <c r="AL3277">
        <v>81.052266882570194</v>
      </c>
      <c r="AM3277">
        <v>87.275234241269501</v>
      </c>
      <c r="AN3277">
        <v>0.99999998752504404</v>
      </c>
    </row>
    <row r="3278" spans="1:40" x14ac:dyDescent="0.25">
      <c r="A3278" t="str">
        <f>"20190312172433802"</f>
        <v>20190312172433802</v>
      </c>
      <c r="B3278" t="str">
        <f>"1552382673793782"</f>
        <v>1552382673793782</v>
      </c>
      <c r="C3278" t="s">
        <v>40</v>
      </c>
      <c r="D3278">
        <v>3.9871720000000002</v>
      </c>
      <c r="E3278">
        <v>0.56758790000000003</v>
      </c>
      <c r="F3278" t="s">
        <v>41</v>
      </c>
      <c r="G3278">
        <v>-426.36290000000002</v>
      </c>
      <c r="H3278">
        <v>0.93360920000000003</v>
      </c>
      <c r="I3278">
        <v>213.75980000000001</v>
      </c>
      <c r="J3278">
        <v>-426.67579999999998</v>
      </c>
      <c r="K3278">
        <v>1.1071850000000001</v>
      </c>
      <c r="L3278">
        <v>213.89150000000001</v>
      </c>
      <c r="M3278">
        <v>0.99986229999999998</v>
      </c>
      <c r="N3278">
        <v>0</v>
      </c>
      <c r="O3278">
        <v>1.495749E-2</v>
      </c>
      <c r="P3278">
        <v>0.98828570000000004</v>
      </c>
      <c r="Q3278">
        <v>0.14958579999999999</v>
      </c>
      <c r="R3278">
        <v>-3.0263140000000001E-2</v>
      </c>
      <c r="S3278">
        <v>3.1351930000000001</v>
      </c>
      <c r="T3278">
        <v>-0.77700349999999996</v>
      </c>
      <c r="U3278">
        <v>-0.56755069999999996</v>
      </c>
      <c r="V3278">
        <v>4.5790709999999998E-2</v>
      </c>
      <c r="W3278">
        <v>0.1564885</v>
      </c>
      <c r="X3278">
        <v>0.98661770000000004</v>
      </c>
      <c r="Y3278">
        <v>0.1869092</v>
      </c>
      <c r="Z3278">
        <v>-2.626473E-2</v>
      </c>
      <c r="AA3278">
        <v>0.98202599999999995</v>
      </c>
      <c r="AB3278">
        <v>39</v>
      </c>
      <c r="AC3278">
        <v>0.31289999999995599</v>
      </c>
      <c r="AD3278">
        <v>-0.1735758</v>
      </c>
      <c r="AE3278">
        <v>-0.13169999999999499</v>
      </c>
      <c r="AF3278">
        <v>0.108105147343362</v>
      </c>
      <c r="AG3278">
        <v>-0.1735758</v>
      </c>
      <c r="AH3278">
        <v>0.246465075364417</v>
      </c>
      <c r="AI3278">
        <v>122.81991002162999</v>
      </c>
      <c r="AJ3278">
        <v>66.316658645303207</v>
      </c>
      <c r="AK3278">
        <v>0.32025039360187801</v>
      </c>
      <c r="AL3278">
        <v>80.996865082346204</v>
      </c>
      <c r="AM3278">
        <v>87.342706246907198</v>
      </c>
      <c r="AN3278">
        <v>0.99999996285392101</v>
      </c>
    </row>
    <row r="3279" spans="1:40" x14ac:dyDescent="0.25">
      <c r="A3279" t="str">
        <f>"20190312172433825"</f>
        <v>20190312172433825</v>
      </c>
      <c r="B3279" t="str">
        <f>"1552382673813305"</f>
        <v>1552382673813305</v>
      </c>
      <c r="C3279" t="s">
        <v>40</v>
      </c>
      <c r="D3279">
        <v>3.9774289999999999</v>
      </c>
      <c r="E3279">
        <v>0.5673996</v>
      </c>
      <c r="F3279" t="s">
        <v>41</v>
      </c>
      <c r="G3279">
        <v>-425.69499999999999</v>
      </c>
      <c r="H3279">
        <v>0.86541440000000003</v>
      </c>
      <c r="I3279">
        <v>213.71270000000001</v>
      </c>
      <c r="J3279">
        <v>-426.2878</v>
      </c>
      <c r="K3279">
        <v>1.107175</v>
      </c>
      <c r="L3279">
        <v>213.8956</v>
      </c>
      <c r="M3279">
        <v>0.99988940000000004</v>
      </c>
      <c r="N3279">
        <v>0</v>
      </c>
      <c r="O3279">
        <v>1.292598E-2</v>
      </c>
      <c r="P3279">
        <v>0.98800730000000003</v>
      </c>
      <c r="Q3279">
        <v>0.15108559999999999</v>
      </c>
      <c r="R3279">
        <v>-3.1865039999999997E-2</v>
      </c>
      <c r="S3279">
        <v>3.13504</v>
      </c>
      <c r="T3279">
        <v>-0.77281269999999902</v>
      </c>
      <c r="U3279">
        <v>-0.57099909999999998</v>
      </c>
      <c r="V3279">
        <v>4.5403680000000002E-2</v>
      </c>
      <c r="W3279">
        <v>0.15815360000000001</v>
      </c>
      <c r="X3279">
        <v>0.98637010000000003</v>
      </c>
      <c r="Y3279">
        <v>0.1861157</v>
      </c>
      <c r="Z3279">
        <v>-2.5540460000000001E-2</v>
      </c>
      <c r="AA3279">
        <v>0.98219579999999995</v>
      </c>
      <c r="AB3279">
        <v>39</v>
      </c>
      <c r="AC3279">
        <v>0.59280000000001098</v>
      </c>
      <c r="AD3279">
        <v>-0.24176059999999999</v>
      </c>
      <c r="AE3279">
        <v>-0.18289999999998899</v>
      </c>
      <c r="AF3279">
        <v>0.16542486546588001</v>
      </c>
      <c r="AG3279">
        <v>-0.24176059999999999</v>
      </c>
      <c r="AH3279">
        <v>0.51254722569710598</v>
      </c>
      <c r="AI3279">
        <v>114.17454676102</v>
      </c>
      <c r="AJ3279">
        <v>72.112489920838001</v>
      </c>
      <c r="AK3279">
        <v>0.59035432783758302</v>
      </c>
      <c r="AL3279">
        <v>80.900259352767804</v>
      </c>
      <c r="AM3279">
        <v>87.364473833250003</v>
      </c>
      <c r="AN3279">
        <v>1.0000000147622501</v>
      </c>
    </row>
    <row r="3280" spans="1:40" x14ac:dyDescent="0.25">
      <c r="A3280" t="str">
        <f>"20190312172433848"</f>
        <v>20190312172433848</v>
      </c>
      <c r="B3280" t="str">
        <f>"1552382673843558"</f>
        <v>1552382673843558</v>
      </c>
      <c r="C3280" t="s">
        <v>40</v>
      </c>
      <c r="D3280">
        <v>4.02928</v>
      </c>
      <c r="E3280">
        <v>0.56730259999999999</v>
      </c>
      <c r="F3280" t="s">
        <v>41</v>
      </c>
      <c r="G3280">
        <v>-425.34370000000001</v>
      </c>
      <c r="H3280">
        <v>0.87609389999999998</v>
      </c>
      <c r="I3280">
        <v>213.72229999999999</v>
      </c>
      <c r="J3280">
        <v>-425.88740000000001</v>
      </c>
      <c r="K3280">
        <v>1.1071690000000001</v>
      </c>
      <c r="L3280">
        <v>213.899</v>
      </c>
      <c r="M3280">
        <v>0.99991289999999999</v>
      </c>
      <c r="N3280">
        <v>0</v>
      </c>
      <c r="O3280">
        <v>1.08281E-2</v>
      </c>
      <c r="P3280">
        <v>0.9876144</v>
      </c>
      <c r="Q3280">
        <v>0.1532665</v>
      </c>
      <c r="R3280">
        <v>-3.3575050000000002E-2</v>
      </c>
      <c r="S3280">
        <v>3.1352540000000002</v>
      </c>
      <c r="T3280">
        <v>-0.76741230000000005</v>
      </c>
      <c r="U3280">
        <v>-0.57472230000000002</v>
      </c>
      <c r="V3280">
        <v>4.5061219999999999E-2</v>
      </c>
      <c r="W3280">
        <v>0.16049089999999999</v>
      </c>
      <c r="X3280">
        <v>0.9860082</v>
      </c>
      <c r="Y3280">
        <v>0.18533769999999999</v>
      </c>
      <c r="Z3280">
        <v>-2.476741E-2</v>
      </c>
      <c r="AA3280">
        <v>0.98236270000000003</v>
      </c>
      <c r="AB3280">
        <v>39</v>
      </c>
      <c r="AC3280">
        <v>0.54370000000000096</v>
      </c>
      <c r="AD3280">
        <v>-0.23107510000000001</v>
      </c>
      <c r="AE3280">
        <v>-0.17670000000000999</v>
      </c>
      <c r="AF3280">
        <v>0.15693763404747799</v>
      </c>
      <c r="AG3280">
        <v>-0.23107510000000001</v>
      </c>
      <c r="AH3280">
        <v>0.46567577707274099</v>
      </c>
      <c r="AI3280">
        <v>115.184277658792</v>
      </c>
      <c r="AJ3280">
        <v>71.375642458283394</v>
      </c>
      <c r="AK3280">
        <v>0.54302767164549903</v>
      </c>
      <c r="AL3280">
        <v>80.764609108981006</v>
      </c>
      <c r="AM3280">
        <v>87.383366024294702</v>
      </c>
      <c r="AN3280">
        <v>1.00000000649896</v>
      </c>
    </row>
    <row r="3281" spans="1:40" x14ac:dyDescent="0.25">
      <c r="A3281" t="str">
        <f>"20190312172433868"</f>
        <v>20190312172433868</v>
      </c>
      <c r="B3281" t="str">
        <f>"1552382673863078"</f>
        <v>1552382673863078</v>
      </c>
      <c r="C3281" t="s">
        <v>40</v>
      </c>
      <c r="D3281">
        <v>4.0020989999999896</v>
      </c>
      <c r="E3281">
        <v>0.56745699999999999</v>
      </c>
      <c r="F3281" t="s">
        <v>41</v>
      </c>
      <c r="G3281">
        <v>-424.99029999999999</v>
      </c>
      <c r="H3281">
        <v>0.89033390000000001</v>
      </c>
      <c r="I3281">
        <v>213.7328</v>
      </c>
      <c r="J3281">
        <v>-425.52010000000001</v>
      </c>
      <c r="K3281">
        <v>1.1071709999999999</v>
      </c>
      <c r="L3281">
        <v>213.9014</v>
      </c>
      <c r="M3281">
        <v>0.99993069999999895</v>
      </c>
      <c r="N3281">
        <v>0</v>
      </c>
      <c r="O3281">
        <v>8.9043969999999997E-3</v>
      </c>
      <c r="P3281">
        <v>0.98720300000000005</v>
      </c>
      <c r="Q3281">
        <v>0.15549180000000001</v>
      </c>
      <c r="R3281">
        <v>-3.5391150000000003E-2</v>
      </c>
      <c r="S3281">
        <v>3.1354679999999999</v>
      </c>
      <c r="T3281">
        <v>-0.75785639999999999</v>
      </c>
      <c r="U3281">
        <v>-0.58106990000000003</v>
      </c>
      <c r="V3281">
        <v>4.4996069999999999E-2</v>
      </c>
      <c r="W3281">
        <v>0.16285079999999999</v>
      </c>
      <c r="X3281">
        <v>0.9856241</v>
      </c>
      <c r="Y3281">
        <v>0.18554899999999999</v>
      </c>
      <c r="Z3281">
        <v>-2.4031750000000001E-2</v>
      </c>
      <c r="AA3281">
        <v>0.98234109999999997</v>
      </c>
      <c r="AB3281">
        <v>39</v>
      </c>
      <c r="AC3281">
        <v>0.52980000000002203</v>
      </c>
      <c r="AD3281">
        <v>-0.21683709999999901</v>
      </c>
      <c r="AE3281">
        <v>-0.168599999999997</v>
      </c>
      <c r="AF3281">
        <v>0.15042964023559199</v>
      </c>
      <c r="AG3281">
        <v>-0.21683709999999901</v>
      </c>
      <c r="AH3281">
        <v>0.45853187304454901</v>
      </c>
      <c r="AI3281">
        <v>114.195890654853</v>
      </c>
      <c r="AJ3281">
        <v>71.836991291743004</v>
      </c>
      <c r="AK3281">
        <v>0.52905470718590397</v>
      </c>
      <c r="AL3281">
        <v>80.627593745431398</v>
      </c>
      <c r="AM3281">
        <v>87.386127111258006</v>
      </c>
      <c r="AN3281">
        <v>0.99999994793844604</v>
      </c>
    </row>
    <row r="3282" spans="1:40" x14ac:dyDescent="0.25">
      <c r="A3282" t="str">
        <f>"20190312172433892"</f>
        <v>20190312172433892</v>
      </c>
      <c r="B3282" t="str">
        <f>"1552382673883574"</f>
        <v>1552382673883574</v>
      </c>
      <c r="C3282" t="s">
        <v>40</v>
      </c>
      <c r="D3282">
        <v>4.0662180000000001</v>
      </c>
      <c r="E3282">
        <v>0.56750129999999999</v>
      </c>
      <c r="F3282" t="s">
        <v>41</v>
      </c>
      <c r="G3282">
        <v>-424.63940000000002</v>
      </c>
      <c r="H3282">
        <v>0.89637319999999998</v>
      </c>
      <c r="I3282">
        <v>213.73560000000001</v>
      </c>
      <c r="J3282">
        <v>-425.10899999999998</v>
      </c>
      <c r="K3282">
        <v>1.1071709999999999</v>
      </c>
      <c r="L3282">
        <v>213.9033</v>
      </c>
      <c r="M3282">
        <v>0.99994649999999996</v>
      </c>
      <c r="N3282">
        <v>0</v>
      </c>
      <c r="O3282">
        <v>6.7532950000000003E-3</v>
      </c>
      <c r="P3282">
        <v>0.98685009999999995</v>
      </c>
      <c r="Q3282">
        <v>0.15717490000000001</v>
      </c>
      <c r="R3282">
        <v>-3.7722730000000003E-2</v>
      </c>
      <c r="S3282">
        <v>3.1359560000000002</v>
      </c>
      <c r="T3282">
        <v>-0.75047519999999901</v>
      </c>
      <c r="U3282">
        <v>-0.58872990000000003</v>
      </c>
      <c r="V3282">
        <v>4.522139E-2</v>
      </c>
      <c r="W3282">
        <v>0.16467679999999901</v>
      </c>
      <c r="X3282">
        <v>0.98531040000000003</v>
      </c>
      <c r="Y3282">
        <v>0.18588689999999999</v>
      </c>
      <c r="Z3282">
        <v>-2.3331330000000001E-2</v>
      </c>
      <c r="AA3282">
        <v>0.98229409999999895</v>
      </c>
      <c r="AB3282">
        <v>39</v>
      </c>
      <c r="AC3282">
        <v>0.46960000000001401</v>
      </c>
      <c r="AD3282">
        <v>-0.21079779999999901</v>
      </c>
      <c r="AE3282">
        <v>-0.16769999999999599</v>
      </c>
      <c r="AF3282">
        <v>0.144961579178157</v>
      </c>
      <c r="AG3282">
        <v>-0.21079779999999901</v>
      </c>
      <c r="AH3282">
        <v>0.39743180725592098</v>
      </c>
      <c r="AI3282">
        <v>116.48655149285</v>
      </c>
      <c r="AJ3282">
        <v>69.960771661402603</v>
      </c>
      <c r="AK3282">
        <v>0.47265379861096302</v>
      </c>
      <c r="AL3282">
        <v>80.521540389173893</v>
      </c>
      <c r="AM3282">
        <v>87.372221120196301</v>
      </c>
      <c r="AN3282">
        <v>1.0000000034599601</v>
      </c>
    </row>
    <row r="3283" spans="1:40" x14ac:dyDescent="0.25">
      <c r="A3283" t="str">
        <f>"20190312172433914"</f>
        <v>20190312172433914</v>
      </c>
      <c r="B3283" t="str">
        <f>"1552382673903094"</f>
        <v>1552382673903094</v>
      </c>
      <c r="C3283" t="s">
        <v>40</v>
      </c>
      <c r="D3283">
        <v>4.0209489999999999</v>
      </c>
      <c r="E3283">
        <v>0.52918569999999998</v>
      </c>
      <c r="F3283" t="s">
        <v>41</v>
      </c>
      <c r="G3283">
        <v>-424.28480000000002</v>
      </c>
      <c r="H3283">
        <v>0.91131890000000004</v>
      </c>
      <c r="I3283">
        <v>213.74600000000001</v>
      </c>
      <c r="J3283">
        <v>-424.72390000000001</v>
      </c>
      <c r="K3283">
        <v>1.1071690000000001</v>
      </c>
      <c r="L3283">
        <v>213.90430000000001</v>
      </c>
      <c r="M3283">
        <v>0.99995710000000004</v>
      </c>
      <c r="N3283">
        <v>0</v>
      </c>
      <c r="O3283">
        <v>4.7393169999999998E-3</v>
      </c>
      <c r="P3283">
        <v>0.98663749999999995</v>
      </c>
      <c r="Q3283">
        <v>0.1580339</v>
      </c>
      <c r="R3283">
        <v>-3.9650169999999998E-2</v>
      </c>
      <c r="S3283">
        <v>3.1358030000000001</v>
      </c>
      <c r="T3283">
        <v>-0.74504729999999997</v>
      </c>
      <c r="U3283">
        <v>-0.59779359999999904</v>
      </c>
      <c r="V3283">
        <v>4.5173720000000001E-2</v>
      </c>
      <c r="W3283">
        <v>0.1656668</v>
      </c>
      <c r="X3283">
        <v>0.98514659999999998</v>
      </c>
      <c r="Y3283">
        <v>0.1867682</v>
      </c>
      <c r="Z3283">
        <v>-2.2796569999999999E-2</v>
      </c>
      <c r="AA3283">
        <v>0.98213950000000005</v>
      </c>
      <c r="AB3283">
        <v>39</v>
      </c>
      <c r="AC3283">
        <v>0.43909999999999599</v>
      </c>
      <c r="AD3283">
        <v>-0.1958501</v>
      </c>
      <c r="AE3283">
        <v>-0.158300000000025</v>
      </c>
      <c r="AF3283">
        <v>0.13637029663887401</v>
      </c>
      <c r="AG3283">
        <v>-0.1958501</v>
      </c>
      <c r="AH3283">
        <v>0.37272393402684501</v>
      </c>
      <c r="AI3283">
        <v>116.264705941546</v>
      </c>
      <c r="AJ3283">
        <v>69.903700245628102</v>
      </c>
      <c r="AK3283">
        <v>0.442580219250514</v>
      </c>
      <c r="AL3283">
        <v>80.464027472697694</v>
      </c>
      <c r="AM3283">
        <v>87.374551459807506</v>
      </c>
      <c r="AN3283">
        <v>0.99999998854621897</v>
      </c>
    </row>
    <row r="3284" spans="1:40" x14ac:dyDescent="0.25">
      <c r="A3284" t="str">
        <f>"20190312172434049"</f>
        <v>20190312172434049</v>
      </c>
      <c r="B3284" t="str">
        <f>"1552382674043640"</f>
        <v>1552382674043640</v>
      </c>
      <c r="C3284" t="s">
        <v>40</v>
      </c>
      <c r="D3284">
        <v>4.494243</v>
      </c>
      <c r="E3284">
        <v>0.49141020000000002</v>
      </c>
      <c r="F3284" t="s">
        <v>41</v>
      </c>
      <c r="G3284">
        <v>-421.7996</v>
      </c>
      <c r="H3284">
        <v>0.97559189999999996</v>
      </c>
      <c r="I3284">
        <v>213.8844</v>
      </c>
      <c r="J3284">
        <v>-422.36270000000002</v>
      </c>
      <c r="K3284">
        <v>1.107208</v>
      </c>
      <c r="L3284">
        <v>213.89330000000001</v>
      </c>
      <c r="M3284">
        <v>0.99993469999999995</v>
      </c>
      <c r="N3284">
        <v>0</v>
      </c>
      <c r="O3284">
        <v>-7.47322E-3</v>
      </c>
      <c r="P3284">
        <v>0.98648100000000005</v>
      </c>
      <c r="Q3284">
        <v>0.1570694</v>
      </c>
      <c r="R3284">
        <v>-4.6745040000000002E-2</v>
      </c>
      <c r="S3284">
        <v>3.1057429999999999</v>
      </c>
      <c r="T3284">
        <v>-0.42162899999999998</v>
      </c>
      <c r="U3284">
        <v>-4.0206909999999998E-2</v>
      </c>
      <c r="V3284">
        <v>4.0233390000000001E-2</v>
      </c>
      <c r="W3284">
        <v>0.16540629999999901</v>
      </c>
      <c r="X3284">
        <v>0.98540450000000002</v>
      </c>
      <c r="Y3284">
        <v>5.4898580000000002E-3</v>
      </c>
      <c r="Z3284">
        <v>6.38964E-4</v>
      </c>
      <c r="AA3284">
        <v>0.99998469999999995</v>
      </c>
      <c r="AB3284">
        <v>39</v>
      </c>
      <c r="AC3284">
        <v>0.56310000000001903</v>
      </c>
      <c r="AD3284">
        <v>-0.13161610000000001</v>
      </c>
      <c r="AE3284">
        <v>-8.9000000000112305E-3</v>
      </c>
      <c r="AF3284">
        <v>4.4484566631623496E-3</v>
      </c>
      <c r="AG3284">
        <v>-0.13161610000000001</v>
      </c>
      <c r="AH3284">
        <v>0.53398539227988495</v>
      </c>
      <c r="AI3284">
        <v>103.84574465786901</v>
      </c>
      <c r="AJ3284">
        <v>89.522698748136904</v>
      </c>
      <c r="AK3284">
        <v>0.54998453224995003</v>
      </c>
      <c r="AL3284">
        <v>80.479161924415905</v>
      </c>
      <c r="AM3284">
        <v>87.661951237064102</v>
      </c>
      <c r="AN3284">
        <v>0.99999999918541604</v>
      </c>
    </row>
    <row r="3285" spans="1:40" x14ac:dyDescent="0.25">
      <c r="A3285" t="str">
        <f>"20190312172434071"</f>
        <v>20190312172434071</v>
      </c>
      <c r="B3285" t="str">
        <f>"1552382674063159"</f>
        <v>1552382674063159</v>
      </c>
      <c r="C3285" t="s">
        <v>40</v>
      </c>
      <c r="D3285">
        <v>3.9227539999999999</v>
      </c>
      <c r="E3285">
        <v>0.48834050000000001</v>
      </c>
      <c r="F3285" t="s">
        <v>41</v>
      </c>
      <c r="G3285">
        <v>-421.43790000000001</v>
      </c>
      <c r="H3285">
        <v>0.99385959999999995</v>
      </c>
      <c r="I3285">
        <v>213.88140000000001</v>
      </c>
      <c r="J3285">
        <v>-421.96269999999998</v>
      </c>
      <c r="K3285">
        <v>1.1072280000000001</v>
      </c>
      <c r="L3285">
        <v>213.8886</v>
      </c>
      <c r="M3285">
        <v>0.99991660000000004</v>
      </c>
      <c r="N3285">
        <v>0</v>
      </c>
      <c r="O3285">
        <v>-9.4948010000000006E-3</v>
      </c>
      <c r="P3285">
        <v>0.98625890000000005</v>
      </c>
      <c r="Q3285">
        <v>0.15780749999999999</v>
      </c>
      <c r="R3285">
        <v>-4.8890919999999997E-2</v>
      </c>
      <c r="S3285">
        <v>3.0997309999999998</v>
      </c>
      <c r="T3285">
        <v>-0.37986760000000003</v>
      </c>
      <c r="U3285">
        <v>-3.8650509999999999E-2</v>
      </c>
      <c r="V3285">
        <v>4.0387779999999998E-2</v>
      </c>
      <c r="W3285">
        <v>0.166235299999999</v>
      </c>
      <c r="X3285">
        <v>0.98525870000000004</v>
      </c>
      <c r="Y3285">
        <v>3.0214500000000002E-3</v>
      </c>
      <c r="Z3285">
        <v>9.7476750000000003E-4</v>
      </c>
      <c r="AA3285">
        <v>0.99999490000000002</v>
      </c>
      <c r="AB3285">
        <v>39</v>
      </c>
      <c r="AC3285">
        <v>0.52479999999996996</v>
      </c>
      <c r="AD3285">
        <v>-0.11336839999999999</v>
      </c>
      <c r="AE3285">
        <v>-7.1999999999832198E-3</v>
      </c>
      <c r="AF3285">
        <v>2.1178030550857299E-3</v>
      </c>
      <c r="AG3285">
        <v>-0.11336839999999999</v>
      </c>
      <c r="AH3285">
        <v>0.50144873042612803</v>
      </c>
      <c r="AI3285">
        <v>102.73925237361</v>
      </c>
      <c r="AJ3285">
        <v>89.758020216038901</v>
      </c>
      <c r="AK3285">
        <v>0.51410865432738595</v>
      </c>
      <c r="AL3285">
        <v>80.430997187633906</v>
      </c>
      <c r="AM3285">
        <v>87.652642390737995</v>
      </c>
      <c r="AN3285">
        <v>1.00000002683255</v>
      </c>
    </row>
    <row r="3286" spans="1:40" x14ac:dyDescent="0.25">
      <c r="A3286" t="str">
        <f>"20190312172434093"</f>
        <v>20190312172434093</v>
      </c>
      <c r="B3286" t="str">
        <f>"1552382674083657"</f>
        <v>1552382674083657</v>
      </c>
      <c r="C3286" t="s">
        <v>40</v>
      </c>
      <c r="D3286">
        <v>3.9116149999999998</v>
      </c>
      <c r="E3286">
        <v>0.48978139999999998</v>
      </c>
      <c r="F3286" t="s">
        <v>47</v>
      </c>
      <c r="G3286">
        <v>-382.17009999999999</v>
      </c>
      <c r="H3286" s="1">
        <v>-3.3219810000000001E-7</v>
      </c>
      <c r="I3286">
        <v>213.47720000000001</v>
      </c>
      <c r="J3286">
        <v>-421.5804</v>
      </c>
      <c r="K3286">
        <v>1.107253</v>
      </c>
      <c r="L3286">
        <v>213.88339999999999</v>
      </c>
      <c r="M3286">
        <v>0.99989589999999995</v>
      </c>
      <c r="N3286">
        <v>0</v>
      </c>
      <c r="O3286">
        <v>-1.139796E-2</v>
      </c>
      <c r="P3286">
        <v>0.98611280000000001</v>
      </c>
      <c r="Q3286">
        <v>0.15810370000000001</v>
      </c>
      <c r="R3286">
        <v>-5.0840150000000001E-2</v>
      </c>
      <c r="S3286">
        <v>3.053833</v>
      </c>
      <c r="T3286">
        <v>-8.4972740000000005E-2</v>
      </c>
      <c r="U3286">
        <v>-3.1570429999999997E-2</v>
      </c>
      <c r="V3286">
        <v>4.0456869999999999E-2</v>
      </c>
      <c r="W3286">
        <v>0.16661619999999999</v>
      </c>
      <c r="X3286">
        <v>0.9851915</v>
      </c>
      <c r="Y3286">
        <v>-1.056226E-3</v>
      </c>
      <c r="Z3286">
        <v>3.3177180000000002E-4</v>
      </c>
      <c r="AA3286">
        <v>0.99999939999999998</v>
      </c>
      <c r="AB3286">
        <v>39</v>
      </c>
      <c r="AC3286">
        <v>39.410299999999999</v>
      </c>
      <c r="AD3286">
        <v>-1.1072533321981</v>
      </c>
      <c r="AE3286">
        <v>-0.40619999999998402</v>
      </c>
      <c r="AF3286">
        <v>-4.3007048581727901E-2</v>
      </c>
      <c r="AG3286">
        <v>-1.1072533321981</v>
      </c>
      <c r="AH3286">
        <v>39.381287116670499</v>
      </c>
      <c r="AI3286">
        <v>91.610516069755406</v>
      </c>
      <c r="AJ3286">
        <v>90.062570869920194</v>
      </c>
      <c r="AK3286">
        <v>39.396873410380302</v>
      </c>
      <c r="AL3286">
        <v>80.408864343312501</v>
      </c>
      <c r="AM3286">
        <v>87.648471142301702</v>
      </c>
      <c r="AN3286">
        <v>1.0000000040524399</v>
      </c>
    </row>
    <row r="3287" spans="1:40" x14ac:dyDescent="0.25">
      <c r="A3287" t="str">
        <f>"20190312172434115"</f>
        <v>20190312172434115</v>
      </c>
      <c r="B3287" t="str">
        <f>"1552382674103174"</f>
        <v>1552382674103174</v>
      </c>
      <c r="C3287" t="s">
        <v>40</v>
      </c>
      <c r="D3287">
        <v>4.0152080000000003</v>
      </c>
      <c r="E3287">
        <v>0.4902319</v>
      </c>
      <c r="F3287" t="s">
        <v>47</v>
      </c>
      <c r="G3287">
        <v>-394.65660000000003</v>
      </c>
      <c r="H3287" s="1">
        <v>9.4123239999999999E-7</v>
      </c>
      <c r="I3287">
        <v>213.46289999999999</v>
      </c>
      <c r="J3287">
        <v>-421.1866</v>
      </c>
      <c r="K3287">
        <v>1.107286</v>
      </c>
      <c r="L3287">
        <v>213.87729999999999</v>
      </c>
      <c r="M3287">
        <v>0.99987170000000003</v>
      </c>
      <c r="N3287">
        <v>0</v>
      </c>
      <c r="O3287">
        <v>-1.331427E-2</v>
      </c>
      <c r="P3287">
        <v>0.98606320000000003</v>
      </c>
      <c r="Q3287">
        <v>0.15773879999999901</v>
      </c>
      <c r="R3287">
        <v>-5.2896390000000001E-2</v>
      </c>
      <c r="S3287">
        <v>3.0599980000000002</v>
      </c>
      <c r="T3287">
        <v>-0.12584380000000001</v>
      </c>
      <c r="U3287">
        <v>-4.7790529999999998E-2</v>
      </c>
      <c r="V3287">
        <v>4.0611250000000002E-2</v>
      </c>
      <c r="W3287">
        <v>0.16633829999999999</v>
      </c>
      <c r="X3287">
        <v>0.98523210000000006</v>
      </c>
      <c r="Y3287">
        <v>2.3106649999999999E-3</v>
      </c>
      <c r="Z3287">
        <v>4.9979539999999995E-4</v>
      </c>
      <c r="AA3287">
        <v>0.99999720000000003</v>
      </c>
      <c r="AB3287">
        <v>39</v>
      </c>
      <c r="AC3287">
        <v>26.529999999999902</v>
      </c>
      <c r="AD3287">
        <v>-1.1072850587676</v>
      </c>
      <c r="AE3287">
        <v>-0.41439999999999999</v>
      </c>
      <c r="AF3287">
        <v>6.1015411325576203E-2</v>
      </c>
      <c r="AG3287">
        <v>-1.1072850587676</v>
      </c>
      <c r="AH3287">
        <v>26.487037114610299</v>
      </c>
      <c r="AI3287">
        <v>92.393837883751601</v>
      </c>
      <c r="AJ3287">
        <v>89.868013951302501</v>
      </c>
      <c r="AK3287">
        <v>26.510242137568898</v>
      </c>
      <c r="AL3287">
        <v>80.425012113162893</v>
      </c>
      <c r="AM3287">
        <v>87.639605200028498</v>
      </c>
      <c r="AN3287">
        <v>0.99999999727193101</v>
      </c>
    </row>
    <row r="3288" spans="1:40" x14ac:dyDescent="0.25">
      <c r="A3288" t="str">
        <f>"20190312172434137"</f>
        <v>20190312172434137</v>
      </c>
      <c r="B3288" t="str">
        <f>"1552382674133430"</f>
        <v>1552382674133430</v>
      </c>
      <c r="C3288" t="s">
        <v>40</v>
      </c>
      <c r="D3288">
        <v>4.022081</v>
      </c>
      <c r="E3288">
        <v>0.49069679999999999</v>
      </c>
      <c r="F3288" t="s">
        <v>47</v>
      </c>
      <c r="G3288">
        <v>-397.46859999999998</v>
      </c>
      <c r="H3288" s="1">
        <v>2.4376050000000001E-6</v>
      </c>
      <c r="I3288">
        <v>213.43629999999999</v>
      </c>
      <c r="J3288">
        <v>-420.80810000000002</v>
      </c>
      <c r="K3288">
        <v>1.107324</v>
      </c>
      <c r="L3288">
        <v>213.87090000000001</v>
      </c>
      <c r="M3288">
        <v>0.9998456</v>
      </c>
      <c r="N3288">
        <v>0</v>
      </c>
      <c r="O3288">
        <v>-1.509682E-2</v>
      </c>
      <c r="P3288">
        <v>0.98591700000000004</v>
      </c>
      <c r="Q3288">
        <v>0.15789039999999999</v>
      </c>
      <c r="R3288">
        <v>-5.512301E-2</v>
      </c>
      <c r="S3288">
        <v>3.0622250000000002</v>
      </c>
      <c r="T3288">
        <v>-0.14296110000000001</v>
      </c>
      <c r="U3288">
        <v>-5.6945799999999998E-2</v>
      </c>
      <c r="V3288">
        <v>4.1066470000000001E-2</v>
      </c>
      <c r="W3288">
        <v>0.166571</v>
      </c>
      <c r="X3288">
        <v>0.98517390000000005</v>
      </c>
      <c r="Y3288">
        <v>3.5086750000000002E-3</v>
      </c>
      <c r="Z3288">
        <v>6.2248999999999996E-4</v>
      </c>
      <c r="AA3288">
        <v>0.99999360000000004</v>
      </c>
      <c r="AB3288">
        <v>39</v>
      </c>
      <c r="AC3288">
        <v>23.339500000000001</v>
      </c>
      <c r="AD3288">
        <v>-1.1073215623949999</v>
      </c>
      <c r="AE3288">
        <v>-0.43460000000001697</v>
      </c>
      <c r="AF3288">
        <v>8.1999478085136801E-2</v>
      </c>
      <c r="AG3288">
        <v>-1.1073215623949999</v>
      </c>
      <c r="AH3288">
        <v>23.290992761820199</v>
      </c>
      <c r="AI3288">
        <v>92.7219416144832</v>
      </c>
      <c r="AJ3288">
        <v>89.798282338015198</v>
      </c>
      <c r="AK3288">
        <v>23.317444731104501</v>
      </c>
      <c r="AL3288">
        <v>80.411490613191404</v>
      </c>
      <c r="AM3288">
        <v>87.613036630330797</v>
      </c>
      <c r="AN3288">
        <v>0.99999998312023497</v>
      </c>
    </row>
    <row r="3289" spans="1:40" x14ac:dyDescent="0.25">
      <c r="A3289" t="str">
        <f>"20190312172434160"</f>
        <v>20190312172434160</v>
      </c>
      <c r="B3289" t="str">
        <f>"1552382674153926"</f>
        <v>1552382674153926</v>
      </c>
      <c r="C3289" t="s">
        <v>40</v>
      </c>
      <c r="D3289">
        <v>4.1013669999999998</v>
      </c>
      <c r="E3289">
        <v>0.49042760000000002</v>
      </c>
      <c r="F3289" t="s">
        <v>47</v>
      </c>
      <c r="G3289">
        <v>-399.57159999999999</v>
      </c>
      <c r="H3289" s="1">
        <v>3.5567580000000001E-6</v>
      </c>
      <c r="I3289">
        <v>213.41079999999999</v>
      </c>
      <c r="J3289">
        <v>-420.39179999999999</v>
      </c>
      <c r="K3289">
        <v>1.1073900000000001</v>
      </c>
      <c r="L3289">
        <v>213.8631</v>
      </c>
      <c r="M3289">
        <v>0.9998146</v>
      </c>
      <c r="N3289">
        <v>0</v>
      </c>
      <c r="O3289">
        <v>-1.697657E-2</v>
      </c>
      <c r="P3289">
        <v>0.98594879999999996</v>
      </c>
      <c r="Q3289">
        <v>0.1572799</v>
      </c>
      <c r="R3289">
        <v>-5.6287429999999999E-2</v>
      </c>
      <c r="S3289">
        <v>3.0647280000000001</v>
      </c>
      <c r="T3289">
        <v>-0.15980220000000001</v>
      </c>
      <c r="U3289">
        <v>-6.6390989999999997E-2</v>
      </c>
      <c r="V3289">
        <v>4.0349210000000003E-2</v>
      </c>
      <c r="W3289">
        <v>0.1660566</v>
      </c>
      <c r="X3289">
        <v>0.98529040000000001</v>
      </c>
      <c r="Y3289">
        <v>4.6981080000000003E-3</v>
      </c>
      <c r="Z3289">
        <v>7.6207079999999995E-4</v>
      </c>
      <c r="AA3289">
        <v>0.99998869999999895</v>
      </c>
      <c r="AB3289">
        <v>40</v>
      </c>
      <c r="AC3289">
        <v>20.8202</v>
      </c>
      <c r="AD3289">
        <v>-1.107386443242</v>
      </c>
      <c r="AE3289">
        <v>-0.45230000000000797</v>
      </c>
      <c r="AF3289">
        <v>9.8486154914343094E-2</v>
      </c>
      <c r="AG3289">
        <v>-1.107386443242</v>
      </c>
      <c r="AH3289">
        <v>20.766158958537201</v>
      </c>
      <c r="AI3289">
        <v>93.052457475948003</v>
      </c>
      <c r="AJ3289">
        <v>89.728269502238106</v>
      </c>
      <c r="AK3289">
        <v>20.7958977240373</v>
      </c>
      <c r="AL3289">
        <v>80.441380119678797</v>
      </c>
      <c r="AM3289">
        <v>87.654956959945594</v>
      </c>
      <c r="AN3289">
        <v>1.0000000127416699</v>
      </c>
    </row>
    <row r="3290" spans="1:40" x14ac:dyDescent="0.25">
      <c r="A3290" t="str">
        <f>"20190312172434183"</f>
        <v>20190312172434183</v>
      </c>
      <c r="B3290" t="str">
        <f>"1552382674173446"</f>
        <v>1552382674173446</v>
      </c>
      <c r="C3290" t="s">
        <v>40</v>
      </c>
      <c r="D3290">
        <v>4.1131440000000001</v>
      </c>
      <c r="E3290">
        <v>0.4904289</v>
      </c>
      <c r="F3290" t="s">
        <v>48</v>
      </c>
      <c r="G3290">
        <v>-400.40350000000001</v>
      </c>
      <c r="H3290" s="1">
        <v>8.4704299999999998E-6</v>
      </c>
      <c r="I3290">
        <v>213.4205</v>
      </c>
      <c r="J3290">
        <v>-419.99889999999999</v>
      </c>
      <c r="K3290">
        <v>1.1074649999999999</v>
      </c>
      <c r="L3290">
        <v>213.85499999999999</v>
      </c>
      <c r="M3290">
        <v>0.99978409999999995</v>
      </c>
      <c r="N3290">
        <v>0</v>
      </c>
      <c r="O3290">
        <v>-1.864625E-2</v>
      </c>
      <c r="P3290">
        <v>0.98596609999999996</v>
      </c>
      <c r="Q3290">
        <v>0.15686700000000001</v>
      </c>
      <c r="R3290">
        <v>-5.7129220000000001E-2</v>
      </c>
      <c r="S3290">
        <v>3.0660099999999999</v>
      </c>
      <c r="T3290">
        <v>-0.16986080000000001</v>
      </c>
      <c r="U3290">
        <v>-6.7886349999999998E-2</v>
      </c>
      <c r="V3290">
        <v>3.9511949999999997E-2</v>
      </c>
      <c r="W3290">
        <v>0.16573689999999999</v>
      </c>
      <c r="X3290">
        <v>0.98537810000000003</v>
      </c>
      <c r="Y3290">
        <v>3.5130539999999998E-3</v>
      </c>
      <c r="Z3290">
        <v>9.3482630000000003E-4</v>
      </c>
      <c r="AA3290">
        <v>0.99999340000000003</v>
      </c>
      <c r="AB3290">
        <v>40</v>
      </c>
      <c r="AC3290">
        <v>19.595399999999898</v>
      </c>
      <c r="AD3290">
        <v>-1.1074565295699901</v>
      </c>
      <c r="AE3290">
        <v>-0.43449999999998501</v>
      </c>
      <c r="AF3290">
        <v>6.8808693771028898E-2</v>
      </c>
      <c r="AG3290">
        <v>-1.1074565295699901</v>
      </c>
      <c r="AH3290">
        <v>19.537720785237401</v>
      </c>
      <c r="AI3290">
        <v>93.2442047554906</v>
      </c>
      <c r="AJ3290">
        <v>89.798214362335401</v>
      </c>
      <c r="AK3290">
        <v>19.569203562820999</v>
      </c>
      <c r="AL3290">
        <v>80.459954433649003</v>
      </c>
      <c r="AM3290">
        <v>87.703768930042799</v>
      </c>
      <c r="AN3290">
        <v>0.99999995708700995</v>
      </c>
    </row>
    <row r="3291" spans="1:40" x14ac:dyDescent="0.25">
      <c r="A3291" t="str">
        <f>"20190312172434205"</f>
        <v>20190312172434205</v>
      </c>
      <c r="B3291" t="str">
        <f>"1552382674193942"</f>
        <v>1552382674193942</v>
      </c>
      <c r="C3291" t="s">
        <v>40</v>
      </c>
      <c r="D3291">
        <v>4.078614</v>
      </c>
      <c r="E3291">
        <v>0.49055189999999999</v>
      </c>
      <c r="F3291" t="s">
        <v>48</v>
      </c>
      <c r="G3291">
        <v>-400.67450000000002</v>
      </c>
      <c r="H3291" s="1">
        <v>8.3525580000000004E-6</v>
      </c>
      <c r="I3291">
        <v>213.4093</v>
      </c>
      <c r="J3291">
        <v>-419.59179999999998</v>
      </c>
      <c r="K3291">
        <v>1.1075699999999999</v>
      </c>
      <c r="L3291">
        <v>213.846</v>
      </c>
      <c r="M3291">
        <v>0.99975199999999997</v>
      </c>
      <c r="N3291">
        <v>0</v>
      </c>
      <c r="O3291">
        <v>-2.0258080000000001E-2</v>
      </c>
      <c r="P3291">
        <v>0.98602179999999995</v>
      </c>
      <c r="Q3291">
        <v>0.15641620000000001</v>
      </c>
      <c r="R3291">
        <v>-5.7407569999999998E-2</v>
      </c>
      <c r="S3291">
        <v>3.0665279999999999</v>
      </c>
      <c r="T3291">
        <v>-0.17573849999999999</v>
      </c>
      <c r="U3291">
        <v>-7.0724490000000001E-2</v>
      </c>
      <c r="V3291">
        <v>3.8160720000000002E-2</v>
      </c>
      <c r="W3291">
        <v>0.16538369999999999</v>
      </c>
      <c r="X3291">
        <v>0.98549070000000005</v>
      </c>
      <c r="Y3291">
        <v>2.8275259999999999E-3</v>
      </c>
      <c r="Z3291">
        <v>1.0788359999999999E-3</v>
      </c>
      <c r="AA3291">
        <v>0.99999539999999998</v>
      </c>
      <c r="AB3291">
        <v>40</v>
      </c>
      <c r="AC3291">
        <v>18.917299999999901</v>
      </c>
      <c r="AD3291">
        <v>-1.107561647442</v>
      </c>
      <c r="AE3291">
        <v>-0.436699999999973</v>
      </c>
      <c r="AF3291">
        <v>5.3183597857248098E-2</v>
      </c>
      <c r="AG3291">
        <v>-1.107561647442</v>
      </c>
      <c r="AH3291">
        <v>18.857658461358199</v>
      </c>
      <c r="AI3291">
        <v>93.3612624658507</v>
      </c>
      <c r="AJ3291">
        <v>89.838411135518299</v>
      </c>
      <c r="AK3291">
        <v>18.8902303835395</v>
      </c>
      <c r="AL3291">
        <v>80.480474556645305</v>
      </c>
      <c r="AM3291">
        <v>87.782468806731401</v>
      </c>
      <c r="AN3291">
        <v>0.99999996428154803</v>
      </c>
    </row>
    <row r="3292" spans="1:40" x14ac:dyDescent="0.25">
      <c r="A3292" t="str">
        <f>"20190312172434227"</f>
        <v>20190312172434227</v>
      </c>
      <c r="B3292" t="str">
        <f>"1552382674223222"</f>
        <v>1552382674223222</v>
      </c>
      <c r="C3292" t="s">
        <v>40</v>
      </c>
      <c r="D3292">
        <v>4.0275670000000003</v>
      </c>
      <c r="E3292">
        <v>0.49079780000000001</v>
      </c>
      <c r="F3292" t="s">
        <v>48</v>
      </c>
      <c r="G3292">
        <v>-401.2457</v>
      </c>
      <c r="H3292" s="1">
        <v>8.0992999999999904E-6</v>
      </c>
      <c r="I3292">
        <v>213.40899999999999</v>
      </c>
      <c r="J3292">
        <v>-419.21800000000002</v>
      </c>
      <c r="K3292">
        <v>1.1076629999999901</v>
      </c>
      <c r="L3292">
        <v>213.8374</v>
      </c>
      <c r="M3292">
        <v>0.99972209999999995</v>
      </c>
      <c r="N3292">
        <v>0</v>
      </c>
      <c r="O3292">
        <v>-2.165075E-2</v>
      </c>
      <c r="P3292">
        <v>0.98608830000000003</v>
      </c>
      <c r="Q3292">
        <v>0.15624250000000001</v>
      </c>
      <c r="R3292">
        <v>-5.6728380000000002E-2</v>
      </c>
      <c r="S3292">
        <v>3.0676570000000001</v>
      </c>
      <c r="T3292">
        <v>-0.1851959</v>
      </c>
      <c r="U3292">
        <v>-7.3074340000000002E-2</v>
      </c>
      <c r="V3292">
        <v>3.6072300000000002E-2</v>
      </c>
      <c r="W3292">
        <v>0.16529859999999999</v>
      </c>
      <c r="X3292">
        <v>0.98558369999999995</v>
      </c>
      <c r="Y3292">
        <v>2.198396E-3</v>
      </c>
      <c r="Z3292">
        <v>1.2392989999999999E-3</v>
      </c>
      <c r="AA3292">
        <v>0.99999680000000002</v>
      </c>
      <c r="AB3292">
        <v>40</v>
      </c>
      <c r="AC3292">
        <v>17.972300000000001</v>
      </c>
      <c r="AD3292">
        <v>-1.1076549006999901</v>
      </c>
      <c r="AE3292">
        <v>-0.42839999999998202</v>
      </c>
      <c r="AF3292">
        <v>3.9020744122420202E-2</v>
      </c>
      <c r="AG3292">
        <v>-1.1076549006999901</v>
      </c>
      <c r="AH3292">
        <v>17.909373940373801</v>
      </c>
      <c r="AI3292">
        <v>93.539100064593299</v>
      </c>
      <c r="AJ3292">
        <v>89.875164792394301</v>
      </c>
      <c r="AK3292">
        <v>17.9436366696848</v>
      </c>
      <c r="AL3292">
        <v>80.485419141631397</v>
      </c>
      <c r="AM3292">
        <v>87.903913763707806</v>
      </c>
      <c r="AN3292">
        <v>1.0000000338474599</v>
      </c>
    </row>
    <row r="3293" spans="1:40" x14ac:dyDescent="0.25">
      <c r="A3293" t="str">
        <f>"20190312172434250"</f>
        <v>20190312172434250</v>
      </c>
      <c r="B3293" t="str">
        <f>"1552382674243718"</f>
        <v>1552382674243718</v>
      </c>
      <c r="C3293" t="s">
        <v>40</v>
      </c>
      <c r="D3293">
        <v>4.0550730000000001</v>
      </c>
      <c r="E3293">
        <v>0.49101220000000001</v>
      </c>
      <c r="F3293" t="s">
        <v>48</v>
      </c>
      <c r="G3293">
        <v>-401.28250000000003</v>
      </c>
      <c r="H3293" s="1">
        <v>8.0832560000000007E-6</v>
      </c>
      <c r="I3293">
        <v>213.40780000000001</v>
      </c>
      <c r="J3293">
        <v>-418.79250000000002</v>
      </c>
      <c r="K3293">
        <v>1.1077699999999999</v>
      </c>
      <c r="L3293">
        <v>213.82689999999999</v>
      </c>
      <c r="M3293">
        <v>0.99968829999999997</v>
      </c>
      <c r="N3293">
        <v>0</v>
      </c>
      <c r="O3293">
        <v>-2.3125070000000001E-2</v>
      </c>
      <c r="P3293">
        <v>0.9860643</v>
      </c>
      <c r="Q3293">
        <v>0.15646350000000001</v>
      </c>
      <c r="R3293">
        <v>-5.6540630000000001E-2</v>
      </c>
      <c r="S3293">
        <v>3.0681150000000001</v>
      </c>
      <c r="T3293">
        <v>-0.1894788</v>
      </c>
      <c r="U3293">
        <v>-7.3486330000000002E-2</v>
      </c>
      <c r="V3293">
        <v>3.4393569999999998E-2</v>
      </c>
      <c r="W3293">
        <v>0.1656146</v>
      </c>
      <c r="X3293">
        <v>0.98559059999999998</v>
      </c>
      <c r="Y3293">
        <v>8.6127090000000001E-4</v>
      </c>
      <c r="Z3293">
        <v>1.3998839999999999E-3</v>
      </c>
      <c r="AA3293">
        <v>0.99999859999999896</v>
      </c>
      <c r="AB3293">
        <v>40</v>
      </c>
      <c r="AC3293">
        <v>17.509999999999899</v>
      </c>
      <c r="AD3293">
        <v>-1.107761916744</v>
      </c>
      <c r="AE3293">
        <v>-0.41909999999998598</v>
      </c>
      <c r="AF3293">
        <v>1.39940351275567E-2</v>
      </c>
      <c r="AG3293">
        <v>-1.107761916744</v>
      </c>
      <c r="AH3293">
        <v>17.445226393997402</v>
      </c>
      <c r="AI3293">
        <v>93.633369897921398</v>
      </c>
      <c r="AJ3293">
        <v>89.954039061398205</v>
      </c>
      <c r="AK3293">
        <v>17.4803677374084</v>
      </c>
      <c r="AL3293">
        <v>80.467060047843404</v>
      </c>
      <c r="AM3293">
        <v>88.001394210404996</v>
      </c>
      <c r="AN3293">
        <v>0.99999997209943203</v>
      </c>
    </row>
    <row r="3294" spans="1:40" x14ac:dyDescent="0.25">
      <c r="A3294" t="str">
        <f>"20190312172434272"</f>
        <v>20190312172434272</v>
      </c>
      <c r="B3294" t="str">
        <f>"1552382674263240"</f>
        <v>1552382674263240</v>
      </c>
      <c r="C3294" t="s">
        <v>40</v>
      </c>
      <c r="D3294">
        <v>4.1099699999999997</v>
      </c>
      <c r="E3294">
        <v>0.49108889999999999</v>
      </c>
      <c r="F3294" t="s">
        <v>48</v>
      </c>
      <c r="G3294">
        <v>-400.95639999999997</v>
      </c>
      <c r="H3294" s="1">
        <v>8.2318169999999995E-6</v>
      </c>
      <c r="I3294">
        <v>213.3886</v>
      </c>
      <c r="J3294">
        <v>-418.39100000000002</v>
      </c>
      <c r="K3294">
        <v>1.1078790000000001</v>
      </c>
      <c r="L3294">
        <v>213.81649999999999</v>
      </c>
      <c r="M3294">
        <v>0.99965700000000002</v>
      </c>
      <c r="N3294">
        <v>0</v>
      </c>
      <c r="O3294">
        <v>-2.4407160000000001E-2</v>
      </c>
      <c r="P3294">
        <v>0.985954</v>
      </c>
      <c r="Q3294">
        <v>0.1573898</v>
      </c>
      <c r="R3294">
        <v>-5.5886810000000002E-2</v>
      </c>
      <c r="S3294">
        <v>3.068298</v>
      </c>
      <c r="T3294">
        <v>-0.19056480000000001</v>
      </c>
      <c r="U3294">
        <v>-7.5393680000000005E-2</v>
      </c>
      <c r="V3294">
        <v>3.2444760000000003E-2</v>
      </c>
      <c r="W3294">
        <v>0.16663310000000001</v>
      </c>
      <c r="X3294">
        <v>0.98548500000000006</v>
      </c>
      <c r="Y3294">
        <v>2.0279179999999999E-4</v>
      </c>
      <c r="Z3294">
        <v>1.507736E-3</v>
      </c>
      <c r="AA3294">
        <v>0.99999890000000002</v>
      </c>
      <c r="AB3294">
        <v>40</v>
      </c>
      <c r="AC3294">
        <v>17.4345999999999</v>
      </c>
      <c r="AD3294">
        <v>-1.107870768183</v>
      </c>
      <c r="AE3294">
        <v>-0.42789999999999401</v>
      </c>
      <c r="AF3294">
        <v>2.2153190258915002E-3</v>
      </c>
      <c r="AG3294">
        <v>-1.107870768183</v>
      </c>
      <c r="AH3294">
        <v>17.369755177411101</v>
      </c>
      <c r="AI3294">
        <v>93.649472991793203</v>
      </c>
      <c r="AJ3294">
        <v>89.992692560806105</v>
      </c>
      <c r="AK3294">
        <v>17.4050503437891</v>
      </c>
      <c r="AL3294">
        <v>80.407881975401395</v>
      </c>
      <c r="AM3294">
        <v>88.114353222919505</v>
      </c>
      <c r="AN3294">
        <v>0.99999996884603304</v>
      </c>
    </row>
    <row r="3295" spans="1:40" x14ac:dyDescent="0.25">
      <c r="A3295" t="str">
        <f>"20190312172434294"</f>
        <v>20190312172434294</v>
      </c>
      <c r="B3295" t="str">
        <f>"1552382674283734"</f>
        <v>1552382674283734</v>
      </c>
      <c r="C3295" t="s">
        <v>40</v>
      </c>
      <c r="D3295">
        <v>4.1766160000000001</v>
      </c>
      <c r="E3295">
        <v>0.49100120000000003</v>
      </c>
      <c r="F3295" t="s">
        <v>48</v>
      </c>
      <c r="G3295">
        <v>-400.39580000000001</v>
      </c>
      <c r="H3295" s="1">
        <v>8.4823000000000001E-6</v>
      </c>
      <c r="I3295">
        <v>213.37960000000001</v>
      </c>
      <c r="J3295">
        <v>-418.01010000000002</v>
      </c>
      <c r="K3295">
        <v>1.1079859999999999</v>
      </c>
      <c r="L3295">
        <v>213.80629999999999</v>
      </c>
      <c r="M3295">
        <v>0.99962819999999997</v>
      </c>
      <c r="N3295">
        <v>0</v>
      </c>
      <c r="O3295">
        <v>-2.5526340000000002E-2</v>
      </c>
      <c r="P3295">
        <v>0.9858152</v>
      </c>
      <c r="Q3295">
        <v>0.1583319</v>
      </c>
      <c r="R3295">
        <v>-5.5675639999999998E-2</v>
      </c>
      <c r="S3295">
        <v>3.0686339999999999</v>
      </c>
      <c r="T3295">
        <v>-0.18891939999999999</v>
      </c>
      <c r="U3295">
        <v>-7.4508669999999999E-2</v>
      </c>
      <c r="V3295">
        <v>3.1100929999999999E-2</v>
      </c>
      <c r="W3295">
        <v>0.16766220000000001</v>
      </c>
      <c r="X3295">
        <v>0.98535379999999995</v>
      </c>
      <c r="Y3295">
        <v>-1.2037619999999999E-3</v>
      </c>
      <c r="Z3295">
        <v>1.6066400000000001E-3</v>
      </c>
      <c r="AA3295">
        <v>0.99999800000000005</v>
      </c>
      <c r="AB3295">
        <v>40</v>
      </c>
      <c r="AC3295">
        <v>17.6143</v>
      </c>
      <c r="AD3295">
        <v>-1.1079775177</v>
      </c>
      <c r="AE3295">
        <v>-0.42669999999998198</v>
      </c>
      <c r="AF3295">
        <v>-2.29973783417208E-2</v>
      </c>
      <c r="AG3295">
        <v>-1.1079775177</v>
      </c>
      <c r="AH3295">
        <v>17.550053191480799</v>
      </c>
      <c r="AI3295">
        <v>93.612424473837606</v>
      </c>
      <c r="AJ3295">
        <v>90.075079656470706</v>
      </c>
      <c r="AK3295">
        <v>17.585008105853898</v>
      </c>
      <c r="AL3295">
        <v>80.348077813977099</v>
      </c>
      <c r="AM3295">
        <v>88.192161401352195</v>
      </c>
      <c r="AN3295">
        <v>0.99999999616507196</v>
      </c>
    </row>
    <row r="3296" spans="1:40" x14ac:dyDescent="0.25">
      <c r="A3296" t="str">
        <f>"20190312172434315"</f>
        <v>20190312172434315</v>
      </c>
      <c r="B3296" t="str">
        <f>"1552382674313991"</f>
        <v>1552382674313991</v>
      </c>
      <c r="C3296" t="s">
        <v>40</v>
      </c>
      <c r="D3296">
        <v>4.0458530000000001</v>
      </c>
      <c r="E3296">
        <v>0.49108960000000002</v>
      </c>
      <c r="F3296" t="s">
        <v>47</v>
      </c>
      <c r="G3296">
        <v>-399.77190000000002</v>
      </c>
      <c r="H3296" s="1">
        <v>3.663349E-6</v>
      </c>
      <c r="I3296">
        <v>213.3707</v>
      </c>
      <c r="J3296">
        <v>-417.62009999999998</v>
      </c>
      <c r="K3296">
        <v>1.1080970000000001</v>
      </c>
      <c r="L3296">
        <v>213.7954</v>
      </c>
      <c r="M3296">
        <v>0.99960009999999999</v>
      </c>
      <c r="N3296">
        <v>0</v>
      </c>
      <c r="O3296">
        <v>-2.6577050000000001E-2</v>
      </c>
      <c r="P3296">
        <v>0.9855486</v>
      </c>
      <c r="Q3296">
        <v>0.1599429</v>
      </c>
      <c r="R3296">
        <v>-5.5786349999999998E-2</v>
      </c>
      <c r="S3296">
        <v>3.069</v>
      </c>
      <c r="T3296">
        <v>-0.18644379999999999</v>
      </c>
      <c r="U3296">
        <v>-7.3303220000000002E-2</v>
      </c>
      <c r="V3296">
        <v>3.0150159999999999E-2</v>
      </c>
      <c r="W3296">
        <v>0.1693627</v>
      </c>
      <c r="X3296">
        <v>0.98509250000000004</v>
      </c>
      <c r="Y3296">
        <v>-2.6470809999999999E-3</v>
      </c>
      <c r="Z3296">
        <v>1.6929829999999999E-3</v>
      </c>
      <c r="AA3296">
        <v>0.99999510000000003</v>
      </c>
      <c r="AB3296">
        <v>40</v>
      </c>
      <c r="AC3296">
        <v>17.848199999999899</v>
      </c>
      <c r="AD3296">
        <v>-1.108093336651</v>
      </c>
      <c r="AE3296">
        <v>-0.42470000000000102</v>
      </c>
      <c r="AF3296">
        <v>-4.96334636565645E-2</v>
      </c>
      <c r="AG3296">
        <v>-1.108093336651</v>
      </c>
      <c r="AH3296">
        <v>17.7846710944726</v>
      </c>
      <c r="AI3296">
        <v>93.565253459495693</v>
      </c>
      <c r="AJ3296">
        <v>90.159900657822405</v>
      </c>
      <c r="AK3296">
        <v>17.819227263324699</v>
      </c>
      <c r="AL3296">
        <v>80.249232784538904</v>
      </c>
      <c r="AM3296">
        <v>88.246928267075802</v>
      </c>
      <c r="AN3296">
        <v>0.99999999492778202</v>
      </c>
    </row>
    <row r="3297" spans="1:40" x14ac:dyDescent="0.25">
      <c r="A3297" t="str">
        <f>"20190312172434338"</f>
        <v>20190312172434338</v>
      </c>
      <c r="B3297" t="str">
        <f>"1552382674333511"</f>
        <v>1552382674333511</v>
      </c>
      <c r="C3297" t="s">
        <v>40</v>
      </c>
      <c r="D3297">
        <v>4.0649629999999997</v>
      </c>
      <c r="E3297">
        <v>0.49114390000000002</v>
      </c>
      <c r="F3297" t="s">
        <v>47</v>
      </c>
      <c r="G3297">
        <v>-399.0899</v>
      </c>
      <c r="H3297" s="1">
        <v>3.3003929999999998E-6</v>
      </c>
      <c r="I3297">
        <v>213.34739999999999</v>
      </c>
      <c r="J3297">
        <v>-417.22919999999999</v>
      </c>
      <c r="K3297">
        <v>1.108212</v>
      </c>
      <c r="L3297">
        <v>213.7842</v>
      </c>
      <c r="M3297">
        <v>0.9995735</v>
      </c>
      <c r="N3297">
        <v>0</v>
      </c>
      <c r="O3297">
        <v>-2.753295E-2</v>
      </c>
      <c r="P3297">
        <v>0.98528579999999999</v>
      </c>
      <c r="Q3297">
        <v>0.16137850000000001</v>
      </c>
      <c r="R3297">
        <v>-5.6293089999999997E-2</v>
      </c>
      <c r="S3297">
        <v>3.06955</v>
      </c>
      <c r="T3297">
        <v>-0.18355669999999999</v>
      </c>
      <c r="U3297">
        <v>-7.421875E-2</v>
      </c>
      <c r="V3297">
        <v>2.968558E-2</v>
      </c>
      <c r="W3297">
        <v>0.1708894</v>
      </c>
      <c r="X3297">
        <v>0.98484289999999997</v>
      </c>
      <c r="Y3297">
        <v>-3.3083549999999998E-3</v>
      </c>
      <c r="Z3297">
        <v>1.743341E-3</v>
      </c>
      <c r="AA3297">
        <v>0.99999300000000002</v>
      </c>
      <c r="AB3297">
        <v>40</v>
      </c>
      <c r="AC3297">
        <v>18.139299999999899</v>
      </c>
      <c r="AD3297">
        <v>-1.108208699607</v>
      </c>
      <c r="AE3297">
        <v>-0.43680000000000502</v>
      </c>
      <c r="AF3297">
        <v>-6.2584249798616098E-2</v>
      </c>
      <c r="AG3297">
        <v>-1.108208699607</v>
      </c>
      <c r="AH3297">
        <v>18.077015929163</v>
      </c>
      <c r="AI3297">
        <v>93.508097597690494</v>
      </c>
      <c r="AJ3297">
        <v>90.198362332865699</v>
      </c>
      <c r="AK3297">
        <v>18.111061487760001</v>
      </c>
      <c r="AL3297">
        <v>80.160465126329399</v>
      </c>
      <c r="AM3297">
        <v>88.2734874646832</v>
      </c>
      <c r="AN3297">
        <v>0.99999997918635297</v>
      </c>
    </row>
    <row r="3298" spans="1:40" x14ac:dyDescent="0.25">
      <c r="A3298" t="str">
        <f>"20190312172434360"</f>
        <v>20190312172434360</v>
      </c>
      <c r="B3298" t="str">
        <f>"1552382674353030"</f>
        <v>1552382674353030</v>
      </c>
      <c r="C3298" t="s">
        <v>40</v>
      </c>
      <c r="D3298">
        <v>4.1794200000000004</v>
      </c>
      <c r="E3298">
        <v>0.49122919999999998</v>
      </c>
      <c r="F3298" t="s">
        <v>47</v>
      </c>
      <c r="G3298">
        <v>-398.3141</v>
      </c>
      <c r="H3298" s="1">
        <v>2.8875840000000001E-6</v>
      </c>
      <c r="I3298">
        <v>213.31950000000001</v>
      </c>
      <c r="J3298">
        <v>-416.8159</v>
      </c>
      <c r="K3298">
        <v>1.1083320000000001</v>
      </c>
      <c r="L3298">
        <v>213.77199999999999</v>
      </c>
      <c r="M3298">
        <v>0.99954759999999998</v>
      </c>
      <c r="N3298">
        <v>0</v>
      </c>
      <c r="O3298">
        <v>-2.8427040000000001E-2</v>
      </c>
      <c r="P3298">
        <v>0.98529049999999996</v>
      </c>
      <c r="Q3298">
        <v>0.1612806</v>
      </c>
      <c r="R3298">
        <v>-5.6494019999999999E-2</v>
      </c>
      <c r="S3298">
        <v>3.0699770000000002</v>
      </c>
      <c r="T3298">
        <v>-0.17986549999999901</v>
      </c>
      <c r="U3298">
        <v>-7.5424190000000002E-2</v>
      </c>
      <c r="V3298">
        <v>2.8957460000000001E-2</v>
      </c>
      <c r="W3298">
        <v>0.17089460000000001</v>
      </c>
      <c r="X3298">
        <v>0.98486370000000001</v>
      </c>
      <c r="Y3298">
        <v>-3.8136089999999999E-3</v>
      </c>
      <c r="Z3298">
        <v>1.77519299999999E-3</v>
      </c>
      <c r="AA3298">
        <v>0.99999119999999997</v>
      </c>
      <c r="AB3298">
        <v>40</v>
      </c>
      <c r="AC3298">
        <v>18.501799999999999</v>
      </c>
      <c r="AD3298">
        <v>-1.108329112416</v>
      </c>
      <c r="AE3298">
        <v>-0.452500000000014</v>
      </c>
      <c r="AF3298">
        <v>-7.3396450157534002E-2</v>
      </c>
      <c r="AG3298">
        <v>-1.108329112416</v>
      </c>
      <c r="AH3298">
        <v>18.441050375529201</v>
      </c>
      <c r="AI3298">
        <v>93.439380238295996</v>
      </c>
      <c r="AJ3298">
        <v>90.228039321764001</v>
      </c>
      <c r="AK3298">
        <v>18.4744721010678</v>
      </c>
      <c r="AL3298">
        <v>80.160162978621898</v>
      </c>
      <c r="AM3298">
        <v>88.315845757834495</v>
      </c>
      <c r="AN3298">
        <v>1.0000000031882501</v>
      </c>
    </row>
    <row r="3299" spans="1:40" x14ac:dyDescent="0.25">
      <c r="A3299" t="str">
        <f>"20190312172434384"</f>
        <v>20190312172434384</v>
      </c>
      <c r="B3299" t="str">
        <f>"1552382674373526"</f>
        <v>1552382674373526</v>
      </c>
      <c r="C3299" t="s">
        <v>40</v>
      </c>
      <c r="D3299">
        <v>4.0311059999999896</v>
      </c>
      <c r="E3299">
        <v>0.49131530000000001</v>
      </c>
      <c r="F3299" t="s">
        <v>47</v>
      </c>
      <c r="G3299">
        <v>-397.93</v>
      </c>
      <c r="H3299" s="1">
        <v>2.6831409999999998E-6</v>
      </c>
      <c r="I3299">
        <v>213.29939999999999</v>
      </c>
      <c r="J3299">
        <v>-416.40559999999999</v>
      </c>
      <c r="K3299">
        <v>1.1084670000000001</v>
      </c>
      <c r="L3299">
        <v>213.75970000000001</v>
      </c>
      <c r="M3299">
        <v>0.99952569999999996</v>
      </c>
      <c r="N3299">
        <v>0</v>
      </c>
      <c r="O3299">
        <v>-2.9154449999999998E-2</v>
      </c>
      <c r="P3299">
        <v>0.98558690000000004</v>
      </c>
      <c r="Q3299">
        <v>0.1594846</v>
      </c>
      <c r="R3299">
        <v>-5.6421150000000003E-2</v>
      </c>
      <c r="S3299">
        <v>3.0699160000000001</v>
      </c>
      <c r="T3299">
        <v>-0.18015970000000001</v>
      </c>
      <c r="U3299">
        <v>-7.6827999999999994E-2</v>
      </c>
      <c r="V3299">
        <v>2.8099510000000001E-2</v>
      </c>
      <c r="W3299">
        <v>0.16920950000000001</v>
      </c>
      <c r="X3299">
        <v>0.98517940000000004</v>
      </c>
      <c r="Y3299">
        <v>-4.082001E-3</v>
      </c>
      <c r="Z3299">
        <v>1.82861E-3</v>
      </c>
      <c r="AA3299">
        <v>0.99999000000000005</v>
      </c>
      <c r="AB3299">
        <v>40</v>
      </c>
      <c r="AC3299">
        <v>18.475599999999901</v>
      </c>
      <c r="AD3299">
        <v>-1.108464316859</v>
      </c>
      <c r="AE3299">
        <v>-0.46030000000001697</v>
      </c>
      <c r="AF3299">
        <v>-7.8286521858143998E-2</v>
      </c>
      <c r="AG3299">
        <v>-1.108464316859</v>
      </c>
      <c r="AH3299">
        <v>18.414922020227099</v>
      </c>
      <c r="AI3299">
        <v>93.444663842244594</v>
      </c>
      <c r="AJ3299">
        <v>90.243577478540402</v>
      </c>
      <c r="AK3299">
        <v>18.448419307146601</v>
      </c>
      <c r="AL3299">
        <v>80.258138539219999</v>
      </c>
      <c r="AM3299">
        <v>88.366239733383296</v>
      </c>
      <c r="AN3299">
        <v>0.99999994376842305</v>
      </c>
    </row>
    <row r="3300" spans="1:40" x14ac:dyDescent="0.25">
      <c r="A3300" t="str">
        <f>"20190312172434405"</f>
        <v>20190312172434405</v>
      </c>
      <c r="B3300" t="str">
        <f>"1552382674394022"</f>
        <v>1552382674394022</v>
      </c>
      <c r="C3300" t="s">
        <v>40</v>
      </c>
      <c r="D3300">
        <v>4.1587269999999998</v>
      </c>
      <c r="E3300">
        <v>0.4912938</v>
      </c>
      <c r="F3300" t="s">
        <v>47</v>
      </c>
      <c r="G3300">
        <v>-398.1891</v>
      </c>
      <c r="H3300" s="1">
        <v>2.8210260000000001E-6</v>
      </c>
      <c r="I3300">
        <v>213.3022</v>
      </c>
      <c r="J3300">
        <v>-416.0247</v>
      </c>
      <c r="K3300">
        <v>1.1086119999999999</v>
      </c>
      <c r="L3300">
        <v>213.74809999999999</v>
      </c>
      <c r="M3300">
        <v>0.99950919999999999</v>
      </c>
      <c r="N3300">
        <v>0</v>
      </c>
      <c r="O3300">
        <v>-2.9679649999999998E-2</v>
      </c>
      <c r="P3300">
        <v>0.98574240000000002</v>
      </c>
      <c r="Q3300">
        <v>0.15838039999999901</v>
      </c>
      <c r="R3300">
        <v>-5.6812460000000002E-2</v>
      </c>
      <c r="S3300">
        <v>3.0696409999999998</v>
      </c>
      <c r="T3300">
        <v>-0.1867856</v>
      </c>
      <c r="U3300">
        <v>-7.7087399999999903E-2</v>
      </c>
      <c r="V3300">
        <v>2.790753E-2</v>
      </c>
      <c r="W3300">
        <v>0.16820750000000001</v>
      </c>
      <c r="X3300">
        <v>0.98535649999999997</v>
      </c>
      <c r="Y3300">
        <v>-4.5147429999999999E-3</v>
      </c>
      <c r="Z3300">
        <v>1.9409690000000001E-3</v>
      </c>
      <c r="AA3300">
        <v>0.99998790000000004</v>
      </c>
      <c r="AB3300">
        <v>40</v>
      </c>
      <c r="AC3300">
        <v>17.835599999999999</v>
      </c>
      <c r="AD3300">
        <v>-1.108609178974</v>
      </c>
      <c r="AE3300">
        <v>-0.44589999999999402</v>
      </c>
      <c r="AF3300">
        <v>-8.33555736892726E-2</v>
      </c>
      <c r="AG3300">
        <v>-1.108609178974</v>
      </c>
      <c r="AH3300">
        <v>17.772356075367298</v>
      </c>
      <c r="AI3300">
        <v>93.569348822674996</v>
      </c>
      <c r="AJ3300">
        <v>90.268725628248902</v>
      </c>
      <c r="AK3300">
        <v>17.807094174317601</v>
      </c>
      <c r="AL3300">
        <v>80.316384478408395</v>
      </c>
      <c r="AM3300">
        <v>88.377687314929403</v>
      </c>
      <c r="AN3300">
        <v>1.0000000126896</v>
      </c>
    </row>
    <row r="3301" spans="1:40" x14ac:dyDescent="0.25">
      <c r="A3301" t="str">
        <f>"20190312172434427"</f>
        <v>20190312172434427</v>
      </c>
      <c r="B3301" t="str">
        <f>"1552382674423304"</f>
        <v>1552382674423304</v>
      </c>
      <c r="C3301" t="s">
        <v>40</v>
      </c>
      <c r="D3301">
        <v>4.0563710000000004</v>
      </c>
      <c r="E3301">
        <v>0.4913865</v>
      </c>
      <c r="F3301" t="s">
        <v>47</v>
      </c>
      <c r="G3301">
        <v>-398.22820000000002</v>
      </c>
      <c r="H3301" s="1">
        <v>2.8418550000000001E-6</v>
      </c>
      <c r="I3301">
        <v>213.2979</v>
      </c>
      <c r="J3301">
        <v>-415.63709999999998</v>
      </c>
      <c r="K3301">
        <v>1.108757</v>
      </c>
      <c r="L3301">
        <v>213.7362</v>
      </c>
      <c r="M3301">
        <v>0.99949619999999995</v>
      </c>
      <c r="N3301">
        <v>0</v>
      </c>
      <c r="O3301">
        <v>-3.008096E-2</v>
      </c>
      <c r="P3301">
        <v>0.98592259999999998</v>
      </c>
      <c r="Q3301">
        <v>0.15706719999999999</v>
      </c>
      <c r="R3301">
        <v>-5.7326879999999997E-2</v>
      </c>
      <c r="S3301">
        <v>3.0696720000000002</v>
      </c>
      <c r="T3301">
        <v>-0.19122159999999999</v>
      </c>
      <c r="U3301">
        <v>-7.7651979999999995E-2</v>
      </c>
      <c r="V3301">
        <v>2.7958050000000002E-2</v>
      </c>
      <c r="W3301">
        <v>0.16699700000000001</v>
      </c>
      <c r="X3301">
        <v>0.98556100000000002</v>
      </c>
      <c r="Y3301">
        <v>-4.7284939999999998E-3</v>
      </c>
      <c r="Z3301">
        <v>2.0185630000000001E-3</v>
      </c>
      <c r="AA3301">
        <v>0.99998679999999995</v>
      </c>
      <c r="AB3301">
        <v>40</v>
      </c>
      <c r="AC3301">
        <v>17.4088999999999</v>
      </c>
      <c r="AD3301">
        <v>-1.108754158145</v>
      </c>
      <c r="AE3301">
        <v>-0.43829999999999802</v>
      </c>
      <c r="AF3301">
        <v>-8.5256023327068997E-2</v>
      </c>
      <c r="AG3301">
        <v>-1.108754158145</v>
      </c>
      <c r="AH3301">
        <v>17.343899090423601</v>
      </c>
      <c r="AI3301">
        <v>93.657761227433497</v>
      </c>
      <c r="AJ3301">
        <v>90.281642031321496</v>
      </c>
      <c r="AK3301">
        <v>17.379512076911499</v>
      </c>
      <c r="AL3301">
        <v>80.386736702556803</v>
      </c>
      <c r="AM3301">
        <v>88.375089125869394</v>
      </c>
      <c r="AN3301">
        <v>1.0000000676448899</v>
      </c>
    </row>
    <row r="3302" spans="1:40" x14ac:dyDescent="0.25">
      <c r="A3302" t="str">
        <f>"20190312172434451"</f>
        <v>20190312172434451</v>
      </c>
      <c r="B3302" t="str">
        <f>"1552382674443799"</f>
        <v>1552382674443799</v>
      </c>
      <c r="C3302" t="s">
        <v>40</v>
      </c>
      <c r="D3302">
        <v>4.1607690000000002</v>
      </c>
      <c r="E3302">
        <v>0.49136920000000001</v>
      </c>
      <c r="F3302" t="s">
        <v>47</v>
      </c>
      <c r="G3302">
        <v>-398.3304</v>
      </c>
      <c r="H3302" s="1">
        <v>2.8962549999999999E-6</v>
      </c>
      <c r="I3302">
        <v>213.28960000000001</v>
      </c>
      <c r="J3302">
        <v>-415.1995</v>
      </c>
      <c r="K3302">
        <v>1.1089290000000001</v>
      </c>
      <c r="L3302">
        <v>213.72280000000001</v>
      </c>
      <c r="M3302">
        <v>0.99948650000000006</v>
      </c>
      <c r="N3302">
        <v>0</v>
      </c>
      <c r="O3302">
        <v>-3.037364E-2</v>
      </c>
      <c r="P3302">
        <v>0.9861183</v>
      </c>
      <c r="Q3302">
        <v>0.15592719999999999</v>
      </c>
      <c r="R3302">
        <v>-5.7078780000000003E-2</v>
      </c>
      <c r="S3302">
        <v>3.0694889999999999</v>
      </c>
      <c r="T3302">
        <v>-0.19664780000000001</v>
      </c>
      <c r="U3302">
        <v>-7.920837E-2</v>
      </c>
      <c r="V3302">
        <v>2.7347529999999998E-2</v>
      </c>
      <c r="W3302">
        <v>0.1659725</v>
      </c>
      <c r="X3302">
        <v>0.98575109999999999</v>
      </c>
      <c r="Y3302">
        <v>-4.5090959999999998E-3</v>
      </c>
      <c r="Z3302">
        <v>2.0875350000000002E-3</v>
      </c>
      <c r="AA3302">
        <v>0.99998770000000003</v>
      </c>
      <c r="AB3302">
        <v>40</v>
      </c>
      <c r="AC3302">
        <v>16.8691</v>
      </c>
      <c r="AD3302">
        <v>-1.108926103745</v>
      </c>
      <c r="AE3302">
        <v>-0.43319999999999897</v>
      </c>
      <c r="AF3302">
        <v>-7.9061127669262002E-2</v>
      </c>
      <c r="AG3302">
        <v>-1.108926103745</v>
      </c>
      <c r="AH3302">
        <v>16.8019151473143</v>
      </c>
      <c r="AI3302">
        <v>93.776002297824903</v>
      </c>
      <c r="AJ3302">
        <v>90.269602332050596</v>
      </c>
      <c r="AK3302">
        <v>16.838655539651199</v>
      </c>
      <c r="AL3302">
        <v>80.446266327072394</v>
      </c>
      <c r="AM3302">
        <v>88.410860267691803</v>
      </c>
      <c r="AN3302">
        <v>0.99999999465227996</v>
      </c>
    </row>
    <row r="3303" spans="1:40" x14ac:dyDescent="0.25">
      <c r="A3303" t="str">
        <f>"20190312172434474"</f>
        <v>20190312172434474</v>
      </c>
      <c r="B3303" t="str">
        <f>"1552382674463319"</f>
        <v>1552382674463319</v>
      </c>
      <c r="C3303" t="s">
        <v>40</v>
      </c>
      <c r="D3303">
        <v>4.1421239999999999</v>
      </c>
      <c r="E3303">
        <v>0.4913439</v>
      </c>
      <c r="F3303" t="s">
        <v>47</v>
      </c>
      <c r="G3303">
        <v>-398.2552</v>
      </c>
      <c r="H3303" s="1">
        <v>2.8562490000000002E-6</v>
      </c>
      <c r="I3303">
        <v>213.28970000000001</v>
      </c>
      <c r="J3303">
        <v>-414.79289999999997</v>
      </c>
      <c r="K3303">
        <v>1.109102</v>
      </c>
      <c r="L3303">
        <v>213.71029999999999</v>
      </c>
      <c r="M3303">
        <v>0.99948230000000005</v>
      </c>
      <c r="N3303">
        <v>0</v>
      </c>
      <c r="O3303">
        <v>-3.0475829999999999E-2</v>
      </c>
      <c r="P3303">
        <v>0.98627640000000005</v>
      </c>
      <c r="Q3303">
        <v>0.15527050000000001</v>
      </c>
      <c r="R3303">
        <v>-5.6125540000000002E-2</v>
      </c>
      <c r="S3303">
        <v>3.069458</v>
      </c>
      <c r="T3303">
        <v>-0.20088259999999999</v>
      </c>
      <c r="U3303">
        <v>-7.846069E-2</v>
      </c>
      <c r="V3303">
        <v>2.622584E-2</v>
      </c>
      <c r="W3303">
        <v>0.1654246</v>
      </c>
      <c r="X3303">
        <v>0.98587369999999996</v>
      </c>
      <c r="Y3303">
        <v>-4.8504780000000001E-3</v>
      </c>
      <c r="Z3303">
        <v>2.1502600000000002E-3</v>
      </c>
      <c r="AA3303">
        <v>0.99998589999999998</v>
      </c>
      <c r="AB3303">
        <v>40</v>
      </c>
      <c r="AC3303">
        <v>16.537699999999901</v>
      </c>
      <c r="AD3303">
        <v>-1.109099143751</v>
      </c>
      <c r="AE3303">
        <v>-0.42059999999997899</v>
      </c>
      <c r="AF3303">
        <v>-8.32481422185639E-2</v>
      </c>
      <c r="AG3303">
        <v>-1.109099143751</v>
      </c>
      <c r="AH3303">
        <v>16.468812400117599</v>
      </c>
      <c r="AI3303">
        <v>93.852741826353807</v>
      </c>
      <c r="AJ3303">
        <v>90.2896217687411</v>
      </c>
      <c r="AK3303">
        <v>16.506326454851099</v>
      </c>
      <c r="AL3303">
        <v>80.478098991152905</v>
      </c>
      <c r="AM3303">
        <v>88.4761986722187</v>
      </c>
      <c r="AN3303">
        <v>1.0000000226602701</v>
      </c>
    </row>
    <row r="3304" spans="1:40" x14ac:dyDescent="0.25">
      <c r="A3304" t="str">
        <f>"20190312172434495"</f>
        <v>20190312172434495</v>
      </c>
      <c r="B3304" t="str">
        <f>"1552382674483818"</f>
        <v>1552382674483818</v>
      </c>
      <c r="C3304" t="s">
        <v>40</v>
      </c>
      <c r="D3304">
        <v>4.0386620000000004</v>
      </c>
      <c r="E3304">
        <v>0.49130030000000002</v>
      </c>
      <c r="F3304" t="s">
        <v>47</v>
      </c>
      <c r="G3304">
        <v>-398.07470000000001</v>
      </c>
      <c r="H3304" s="1">
        <v>2.7601590000000002E-6</v>
      </c>
      <c r="I3304">
        <v>213.29470000000001</v>
      </c>
      <c r="J3304">
        <v>-414.4171</v>
      </c>
      <c r="K3304">
        <v>1.109273</v>
      </c>
      <c r="L3304">
        <v>213.69890000000001</v>
      </c>
      <c r="M3304">
        <v>0.99948349999999997</v>
      </c>
      <c r="N3304">
        <v>0</v>
      </c>
      <c r="O3304">
        <v>-3.0403889999999999E-2</v>
      </c>
      <c r="P3304">
        <v>0.98620390000000002</v>
      </c>
      <c r="Q3304">
        <v>0.15600349999999999</v>
      </c>
      <c r="R3304">
        <v>-5.5362460000000002E-2</v>
      </c>
      <c r="S3304">
        <v>3.0694270000000001</v>
      </c>
      <c r="T3304">
        <v>-0.20362769999999999</v>
      </c>
      <c r="U3304">
        <v>-7.6309199999999994E-2</v>
      </c>
      <c r="V3304">
        <v>2.547495E-2</v>
      </c>
      <c r="W3304">
        <v>0.16625690000000001</v>
      </c>
      <c r="X3304">
        <v>0.9857534</v>
      </c>
      <c r="Y3304">
        <v>-5.475466E-3</v>
      </c>
      <c r="Z3304">
        <v>2.1955690000000001E-3</v>
      </c>
      <c r="AA3304">
        <v>0.99998260000000005</v>
      </c>
      <c r="AB3304">
        <v>40</v>
      </c>
      <c r="AC3304">
        <v>16.342399999999898</v>
      </c>
      <c r="AD3304">
        <v>-1.1092702398409999</v>
      </c>
      <c r="AE3304">
        <v>-0.404200000000003</v>
      </c>
      <c r="AF3304">
        <v>-9.2460602943372494E-2</v>
      </c>
      <c r="AG3304">
        <v>-1.1092702398409999</v>
      </c>
      <c r="AH3304">
        <v>16.272209401320701</v>
      </c>
      <c r="AI3304">
        <v>93.899734990855094</v>
      </c>
      <c r="AJ3304">
        <v>90.325557837705801</v>
      </c>
      <c r="AK3304">
        <v>16.310236915156199</v>
      </c>
      <c r="AL3304">
        <v>80.429742335874593</v>
      </c>
      <c r="AM3304">
        <v>88.519627416738302</v>
      </c>
      <c r="AN3304">
        <v>1.00000004774333</v>
      </c>
    </row>
    <row r="3305" spans="1:40" x14ac:dyDescent="0.25">
      <c r="A3305" t="str">
        <f>"20190312172434516"</f>
        <v>20190312172434516</v>
      </c>
      <c r="B3305" t="str">
        <f>"1552382674513095"</f>
        <v>1552382674513095</v>
      </c>
      <c r="C3305" t="s">
        <v>40</v>
      </c>
      <c r="D3305">
        <v>4.1765309999999998</v>
      </c>
      <c r="E3305">
        <v>0.49126740000000002</v>
      </c>
      <c r="F3305" t="s">
        <v>47</v>
      </c>
      <c r="G3305">
        <v>-397.55399999999997</v>
      </c>
      <c r="H3305" s="1">
        <v>2.4830549999999998E-6</v>
      </c>
      <c r="I3305">
        <v>213.29249999999999</v>
      </c>
      <c r="J3305">
        <v>-414.03399999999999</v>
      </c>
      <c r="K3305">
        <v>1.1094649999999999</v>
      </c>
      <c r="L3305">
        <v>213.68729999999999</v>
      </c>
      <c r="M3305">
        <v>0.99948979999999998</v>
      </c>
      <c r="N3305">
        <v>0</v>
      </c>
      <c r="O3305">
        <v>-3.016338E-2</v>
      </c>
      <c r="P3305">
        <v>0.98609329999999995</v>
      </c>
      <c r="Q3305">
        <v>0.157133299999999</v>
      </c>
      <c r="R3305">
        <v>-5.412426E-2</v>
      </c>
      <c r="S3305">
        <v>3.069763</v>
      </c>
      <c r="T3305">
        <v>-0.201931</v>
      </c>
      <c r="U3305">
        <v>-7.3974609999999996E-2</v>
      </c>
      <c r="V3305">
        <v>2.4410689999999999E-2</v>
      </c>
      <c r="W3305">
        <v>0.1674901</v>
      </c>
      <c r="X3305">
        <v>0.98557150000000004</v>
      </c>
      <c r="Y3305">
        <v>-5.9983359999999999E-3</v>
      </c>
      <c r="Z3305">
        <v>2.1784869999999998E-3</v>
      </c>
      <c r="AA3305">
        <v>0.99997959999999997</v>
      </c>
      <c r="AB3305">
        <v>40</v>
      </c>
      <c r="AC3305">
        <v>16.479999999999901</v>
      </c>
      <c r="AD3305">
        <v>-1.1094625169450001</v>
      </c>
      <c r="AE3305">
        <v>-0.39480000000000298</v>
      </c>
      <c r="AF3305">
        <v>-0.102037392371295</v>
      </c>
      <c r="AG3305">
        <v>-1.1094625169450001</v>
      </c>
      <c r="AH3305">
        <v>16.410078227317499</v>
      </c>
      <c r="AI3305">
        <v>93.867727277492904</v>
      </c>
      <c r="AJ3305">
        <v>90.356258910562005</v>
      </c>
      <c r="AK3305">
        <v>16.4478565817139</v>
      </c>
      <c r="AL3305">
        <v>80.358079877910399</v>
      </c>
      <c r="AM3305">
        <v>88.581185010192797</v>
      </c>
      <c r="AN3305">
        <v>0.99999999849826804</v>
      </c>
    </row>
    <row r="3306" spans="1:40" x14ac:dyDescent="0.25">
      <c r="A3306" t="str">
        <f>"20190312172434539"</f>
        <v>20190312172434539</v>
      </c>
      <c r="B3306" t="str">
        <f>"1552382674533591"</f>
        <v>1552382674533591</v>
      </c>
      <c r="C3306" t="s">
        <v>40</v>
      </c>
      <c r="D3306">
        <v>4.0142790000000002</v>
      </c>
      <c r="E3306">
        <v>0.4913903</v>
      </c>
      <c r="F3306" t="s">
        <v>47</v>
      </c>
      <c r="G3306">
        <v>-396.92239999999998</v>
      </c>
      <c r="H3306" s="1">
        <v>2.1469740000000001E-6</v>
      </c>
      <c r="I3306">
        <v>213.2954</v>
      </c>
      <c r="J3306">
        <v>-413.62150000000003</v>
      </c>
      <c r="K3306">
        <v>1.1096779999999999</v>
      </c>
      <c r="L3306">
        <v>213.67519999999999</v>
      </c>
      <c r="M3306">
        <v>0.99950170000000005</v>
      </c>
      <c r="N3306">
        <v>0</v>
      </c>
      <c r="O3306">
        <v>-2.972998E-2</v>
      </c>
      <c r="P3306">
        <v>0.98593629999999999</v>
      </c>
      <c r="Q3306">
        <v>0.1586466</v>
      </c>
      <c r="R3306">
        <v>-5.2545309999999998E-2</v>
      </c>
      <c r="S3306">
        <v>3.07016</v>
      </c>
      <c r="T3306">
        <v>-0.19905980000000001</v>
      </c>
      <c r="U3306">
        <v>-7.0327760000000003E-2</v>
      </c>
      <c r="V3306">
        <v>2.3189169999999999E-2</v>
      </c>
      <c r="W3306">
        <v>0.16911509999999999</v>
      </c>
      <c r="X3306">
        <v>0.98532350000000002</v>
      </c>
      <c r="Y3306">
        <v>-6.7565639999999996E-3</v>
      </c>
      <c r="Z3306">
        <v>2.1438389999999998E-3</v>
      </c>
      <c r="AA3306">
        <v>0.99997480000000005</v>
      </c>
      <c r="AB3306">
        <v>40</v>
      </c>
      <c r="AC3306">
        <v>16.699100000000001</v>
      </c>
      <c r="AD3306">
        <v>-1.109675853026</v>
      </c>
      <c r="AE3306">
        <v>-0.37979999999998798</v>
      </c>
      <c r="AF3306">
        <v>-0.116346243459872</v>
      </c>
      <c r="AG3306">
        <v>-1.109675853026</v>
      </c>
      <c r="AH3306">
        <v>16.629615149521001</v>
      </c>
      <c r="AI3306">
        <v>93.817531343989103</v>
      </c>
      <c r="AJ3306">
        <v>90.400853530853198</v>
      </c>
      <c r="AK3306">
        <v>16.6670038389728</v>
      </c>
      <c r="AL3306">
        <v>80.263627170079204</v>
      </c>
      <c r="AM3306">
        <v>88.651817040896304</v>
      </c>
      <c r="AN3306">
        <v>1.00000002715277</v>
      </c>
    </row>
    <row r="3307" spans="1:40" x14ac:dyDescent="0.25">
      <c r="A3307" t="str">
        <f>"20190312172434561"</f>
        <v>20190312172434561</v>
      </c>
      <c r="B3307" t="str">
        <f>"1552382674553111"</f>
        <v>1552382674553111</v>
      </c>
      <c r="C3307" t="s">
        <v>40</v>
      </c>
      <c r="D3307">
        <v>4.1669169999999998</v>
      </c>
      <c r="E3307">
        <v>0.49146669999999998</v>
      </c>
      <c r="F3307" t="s">
        <v>47</v>
      </c>
      <c r="G3307">
        <v>-396.10430000000002</v>
      </c>
      <c r="H3307" s="1">
        <v>1.711643E-6</v>
      </c>
      <c r="I3307">
        <v>213.29050000000001</v>
      </c>
      <c r="J3307">
        <v>-413.21960000000001</v>
      </c>
      <c r="K3307">
        <v>1.1098779999999999</v>
      </c>
      <c r="L3307">
        <v>213.66370000000001</v>
      </c>
      <c r="M3307">
        <v>0.99951749999999995</v>
      </c>
      <c r="N3307">
        <v>0</v>
      </c>
      <c r="O3307">
        <v>-2.9152879999999999E-2</v>
      </c>
      <c r="P3307">
        <v>0.98579799999999995</v>
      </c>
      <c r="Q3307">
        <v>0.16007939999999901</v>
      </c>
      <c r="R3307">
        <v>-5.0764579999999997E-2</v>
      </c>
      <c r="S3307">
        <v>3.0704959999999999</v>
      </c>
      <c r="T3307">
        <v>-0.19451019999999999</v>
      </c>
      <c r="U3307">
        <v>-6.7428589999999997E-2</v>
      </c>
      <c r="V3307">
        <v>2.1909850000000002E-2</v>
      </c>
      <c r="W3307">
        <v>0.1706568</v>
      </c>
      <c r="X3307">
        <v>0.98508689999999999</v>
      </c>
      <c r="Y3307">
        <v>-7.1293179999999999E-3</v>
      </c>
      <c r="Z3307">
        <v>2.0700340000000001E-3</v>
      </c>
      <c r="AA3307">
        <v>0.99997250000000004</v>
      </c>
      <c r="AB3307">
        <v>40</v>
      </c>
      <c r="AC3307">
        <v>17.115299999999898</v>
      </c>
      <c r="AD3307">
        <v>-1.1098762883569999</v>
      </c>
      <c r="AE3307">
        <v>-0.37319999999999698</v>
      </c>
      <c r="AF3307">
        <v>-0.12542043108914</v>
      </c>
      <c r="AG3307">
        <v>-1.1098762883569999</v>
      </c>
      <c r="AH3307">
        <v>17.047253071948798</v>
      </c>
      <c r="AI3307">
        <v>93.724933941487507</v>
      </c>
      <c r="AJ3307">
        <v>90.421530183341801</v>
      </c>
      <c r="AK3307">
        <v>17.083804990664699</v>
      </c>
      <c r="AL3307">
        <v>80.173990946549395</v>
      </c>
      <c r="AM3307">
        <v>88.725863681561606</v>
      </c>
      <c r="AN3307">
        <v>0.999999992732436</v>
      </c>
    </row>
    <row r="3308" spans="1:40" x14ac:dyDescent="0.25">
      <c r="A3308" t="str">
        <f>"20190312172434583"</f>
        <v>20190312172434583</v>
      </c>
      <c r="B3308" t="str">
        <f>"1552382674573610"</f>
        <v>1552382674573610</v>
      </c>
      <c r="C3308" t="s">
        <v>40</v>
      </c>
      <c r="D3308">
        <v>4.07247</v>
      </c>
      <c r="E3308">
        <v>0.49145480000000002</v>
      </c>
      <c r="F3308" t="s">
        <v>47</v>
      </c>
      <c r="G3308">
        <v>-395.24900000000002</v>
      </c>
      <c r="H3308" s="1">
        <v>1.2564459999999999E-6</v>
      </c>
      <c r="I3308">
        <v>213.2919</v>
      </c>
      <c r="J3308">
        <v>-412.82859999999999</v>
      </c>
      <c r="K3308">
        <v>1.1100540000000001</v>
      </c>
      <c r="L3308">
        <v>213.65280000000001</v>
      </c>
      <c r="M3308">
        <v>0.99953599999999998</v>
      </c>
      <c r="N3308">
        <v>0</v>
      </c>
      <c r="O3308">
        <v>-2.8474849999999999E-2</v>
      </c>
      <c r="P3308">
        <v>0.98578880000000002</v>
      </c>
      <c r="Q3308">
        <v>0.16071250000000001</v>
      </c>
      <c r="R3308">
        <v>-4.8909359999999999E-2</v>
      </c>
      <c r="S3308">
        <v>3.0707089999999999</v>
      </c>
      <c r="T3308">
        <v>-0.1896487</v>
      </c>
      <c r="U3308">
        <v>-6.3522339999999997E-2</v>
      </c>
      <c r="V3308">
        <v>2.0659219999999999E-2</v>
      </c>
      <c r="W3308">
        <v>0.17139769999999999</v>
      </c>
      <c r="X3308">
        <v>0.98498529999999995</v>
      </c>
      <c r="Y3308">
        <v>-7.7277669999999904E-3</v>
      </c>
      <c r="Z3308">
        <v>1.9949400000000002E-3</v>
      </c>
      <c r="AA3308">
        <v>0.99996819999999997</v>
      </c>
      <c r="AB3308">
        <v>40</v>
      </c>
      <c r="AC3308">
        <v>17.5795999999999</v>
      </c>
      <c r="AD3308">
        <v>-1.110052743554</v>
      </c>
      <c r="AE3308">
        <v>-0.36090000000001499</v>
      </c>
      <c r="AF3308">
        <v>-0.13929693764295101</v>
      </c>
      <c r="AG3308">
        <v>-1.110052743554</v>
      </c>
      <c r="AH3308">
        <v>17.512949562033</v>
      </c>
      <c r="AI3308">
        <v>93.626708495408494</v>
      </c>
      <c r="AJ3308">
        <v>90.455717541759498</v>
      </c>
      <c r="AK3308">
        <v>17.548647329427499</v>
      </c>
      <c r="AL3308">
        <v>80.1309058498545</v>
      </c>
      <c r="AM3308">
        <v>88.798446447632799</v>
      </c>
      <c r="AN3308">
        <v>1.0000000080761899</v>
      </c>
    </row>
    <row r="3309" spans="1:40" x14ac:dyDescent="0.25">
      <c r="A3309" t="str">
        <f>"20190312172434605"</f>
        <v>20190312172434605</v>
      </c>
      <c r="B3309" t="str">
        <f>"1552382674593126"</f>
        <v>1552382674593126</v>
      </c>
      <c r="C3309" t="s">
        <v>40</v>
      </c>
      <c r="D3309">
        <v>4.1491490000000004</v>
      </c>
      <c r="E3309">
        <v>0.49149480000000001</v>
      </c>
      <c r="F3309" t="s">
        <v>47</v>
      </c>
      <c r="G3309">
        <v>-394.75069999999999</v>
      </c>
      <c r="H3309" s="1">
        <v>9.9128679999999991E-7</v>
      </c>
      <c r="I3309">
        <v>213.3074</v>
      </c>
      <c r="J3309">
        <v>-412.42959999999999</v>
      </c>
      <c r="K3309">
        <v>1.110209</v>
      </c>
      <c r="L3309">
        <v>213.6421</v>
      </c>
      <c r="M3309">
        <v>0.99955680000000002</v>
      </c>
      <c r="N3309">
        <v>0</v>
      </c>
      <c r="O3309">
        <v>-2.7696410000000001E-2</v>
      </c>
      <c r="P3309">
        <v>0.98584680000000002</v>
      </c>
      <c r="Q3309">
        <v>0.1610782</v>
      </c>
      <c r="R3309">
        <v>-4.647913E-2</v>
      </c>
      <c r="S3309">
        <v>3.071075</v>
      </c>
      <c r="T3309">
        <v>-0.18857560000000001</v>
      </c>
      <c r="U3309">
        <v>-5.867004E-2</v>
      </c>
      <c r="V3309">
        <v>1.8940579999999999E-2</v>
      </c>
      <c r="W3309">
        <v>0.17186699999999999</v>
      </c>
      <c r="X3309">
        <v>0.98493810000000004</v>
      </c>
      <c r="Y3309">
        <v>-8.5315519999999995E-3</v>
      </c>
      <c r="Z3309">
        <v>1.9604000000000002E-3</v>
      </c>
      <c r="AA3309">
        <v>0.99996169999999995</v>
      </c>
      <c r="AB3309">
        <v>40</v>
      </c>
      <c r="AC3309">
        <v>17.678899999999999</v>
      </c>
      <c r="AD3309">
        <v>-1.1102080087132</v>
      </c>
      <c r="AE3309">
        <v>-0.334699999999998</v>
      </c>
      <c r="AF3309">
        <v>-0.15449060083451999</v>
      </c>
      <c r="AG3309">
        <v>-1.1102080087132</v>
      </c>
      <c r="AH3309">
        <v>17.611957279382899</v>
      </c>
      <c r="AI3309">
        <v>93.606852971544797</v>
      </c>
      <c r="AJ3309">
        <v>90.502580845364605</v>
      </c>
      <c r="AK3309">
        <v>17.647591007816501</v>
      </c>
      <c r="AL3309">
        <v>80.103612207496795</v>
      </c>
      <c r="AM3309">
        <v>88.898325129480398</v>
      </c>
      <c r="AN3309">
        <v>1.00000003604567</v>
      </c>
    </row>
    <row r="3310" spans="1:40" x14ac:dyDescent="0.25">
      <c r="A3310" t="str">
        <f>"20190312172434630"</f>
        <v>20190312172434630</v>
      </c>
      <c r="B3310" t="str">
        <f>"1552382674623383"</f>
        <v>1552382674623383</v>
      </c>
      <c r="C3310" t="s">
        <v>40</v>
      </c>
      <c r="D3310">
        <v>4.088069</v>
      </c>
      <c r="E3310">
        <v>0.49153469999999999</v>
      </c>
      <c r="F3310" t="s">
        <v>47</v>
      </c>
      <c r="G3310">
        <v>-394.32</v>
      </c>
      <c r="H3310" s="1">
        <v>7.6211399999999899E-7</v>
      </c>
      <c r="I3310">
        <v>213.328</v>
      </c>
      <c r="J3310">
        <v>-411.99419999999998</v>
      </c>
      <c r="K3310">
        <v>1.1103339999999999</v>
      </c>
      <c r="L3310">
        <v>213.6309</v>
      </c>
      <c r="M3310">
        <v>0.99958089999999999</v>
      </c>
      <c r="N3310">
        <v>0</v>
      </c>
      <c r="O3310">
        <v>-2.6769379999999999E-2</v>
      </c>
      <c r="P3310">
        <v>0.98594110000000001</v>
      </c>
      <c r="Q3310">
        <v>0.16123599999999999</v>
      </c>
      <c r="R3310">
        <v>-4.3857510000000002E-2</v>
      </c>
      <c r="S3310">
        <v>3.0713499999999998</v>
      </c>
      <c r="T3310">
        <v>-0.18828900000000001</v>
      </c>
      <c r="U3310">
        <v>-5.3283690000000002E-2</v>
      </c>
      <c r="V3310">
        <v>1.7185140000000002E-2</v>
      </c>
      <c r="W3310">
        <v>0.1721338</v>
      </c>
      <c r="X3310">
        <v>0.98492369999999996</v>
      </c>
      <c r="Y3310">
        <v>-9.3593860000000008E-3</v>
      </c>
      <c r="Z3310">
        <v>1.9258890000000001E-3</v>
      </c>
      <c r="AA3310">
        <v>0.99995429999999996</v>
      </c>
      <c r="AB3310">
        <v>40</v>
      </c>
      <c r="AC3310">
        <v>17.6741999999999</v>
      </c>
      <c r="AD3310">
        <v>-1.110333237886</v>
      </c>
      <c r="AE3310">
        <v>-0.30289999999999301</v>
      </c>
      <c r="AF3310">
        <v>-0.16969513652715101</v>
      </c>
      <c r="AG3310">
        <v>-1.110333237886</v>
      </c>
      <c r="AH3310">
        <v>17.6065082810684</v>
      </c>
      <c r="AI3310">
        <v>93.608343500640402</v>
      </c>
      <c r="AJ3310">
        <v>90.552211371017705</v>
      </c>
      <c r="AK3310">
        <v>17.642300592322101</v>
      </c>
      <c r="AL3310">
        <v>80.088094415075105</v>
      </c>
      <c r="AM3310">
        <v>89.000393543277298</v>
      </c>
      <c r="AN3310">
        <v>1.00000003448047</v>
      </c>
    </row>
    <row r="3311" spans="1:40" x14ac:dyDescent="0.25">
      <c r="A3311" t="str">
        <f>"20190312172434651"</f>
        <v>20190312172434651</v>
      </c>
      <c r="B3311" t="str">
        <f>"1552382674643880"</f>
        <v>1552382674643880</v>
      </c>
      <c r="C3311" t="s">
        <v>40</v>
      </c>
      <c r="D3311">
        <v>4.159224</v>
      </c>
      <c r="E3311">
        <v>0.4915698</v>
      </c>
      <c r="F3311" t="s">
        <v>47</v>
      </c>
      <c r="G3311">
        <v>-393.94240000000002</v>
      </c>
      <c r="H3311" s="1">
        <v>5.6118059999999995E-7</v>
      </c>
      <c r="I3311">
        <v>213.35589999999999</v>
      </c>
      <c r="J3311">
        <v>-411.60399999999998</v>
      </c>
      <c r="K3311">
        <v>1.11042</v>
      </c>
      <c r="L3311">
        <v>213.62119999999999</v>
      </c>
      <c r="M3311">
        <v>0.99960289999999996</v>
      </c>
      <c r="N3311">
        <v>0</v>
      </c>
      <c r="O3311">
        <v>-2.5891359999999999E-2</v>
      </c>
      <c r="P3311">
        <v>0.98602900000000004</v>
      </c>
      <c r="Q3311">
        <v>0.1612526</v>
      </c>
      <c r="R3311">
        <v>-4.176825E-2</v>
      </c>
      <c r="S3311">
        <v>3.0715940000000002</v>
      </c>
      <c r="T3311">
        <v>-0.18892880000000001</v>
      </c>
      <c r="U3311">
        <v>-4.6783449999999997E-2</v>
      </c>
      <c r="V3311">
        <v>1.592901E-2</v>
      </c>
      <c r="W3311">
        <v>0.1722465</v>
      </c>
      <c r="X3311">
        <v>0.9849251</v>
      </c>
      <c r="Y3311">
        <v>-1.0596899999999999E-2</v>
      </c>
      <c r="Z3311">
        <v>1.9163990000000001E-3</v>
      </c>
      <c r="AA3311">
        <v>0.999942</v>
      </c>
      <c r="AB3311">
        <v>40</v>
      </c>
      <c r="AC3311">
        <v>17.6616</v>
      </c>
      <c r="AD3311">
        <v>-1.1104194388194</v>
      </c>
      <c r="AE3311">
        <v>-0.26529999999999598</v>
      </c>
      <c r="AF3311">
        <v>-0.19134388474964301</v>
      </c>
      <c r="AG3311">
        <v>-1.1104194388194</v>
      </c>
      <c r="AH3311">
        <v>17.593020367306298</v>
      </c>
      <c r="AI3311">
        <v>93.611336443588002</v>
      </c>
      <c r="AJ3311">
        <v>90.623131477961195</v>
      </c>
      <c r="AK3311">
        <v>17.629067174890299</v>
      </c>
      <c r="AL3311">
        <v>80.081539140165106</v>
      </c>
      <c r="AM3311">
        <v>89.073446818326502</v>
      </c>
      <c r="AN3311">
        <v>1.0000000213659099</v>
      </c>
    </row>
    <row r="3312" spans="1:40" x14ac:dyDescent="0.25">
      <c r="A3312" t="str">
        <f>"20190312172434675"</f>
        <v>20190312172434675</v>
      </c>
      <c r="B3312" t="str">
        <f>"1552382674663398"</f>
        <v>1552382674663398</v>
      </c>
      <c r="C3312" t="s">
        <v>40</v>
      </c>
      <c r="D3312">
        <v>4.0614429999999997</v>
      </c>
      <c r="E3312">
        <v>0.49156470000000002</v>
      </c>
      <c r="F3312" t="s">
        <v>47</v>
      </c>
      <c r="G3312">
        <v>-393.60610000000003</v>
      </c>
      <c r="H3312" s="1">
        <v>3.8219359999999999E-7</v>
      </c>
      <c r="I3312">
        <v>213.37950000000001</v>
      </c>
      <c r="J3312">
        <v>-411.1986</v>
      </c>
      <c r="K3312">
        <v>1.110495</v>
      </c>
      <c r="L3312">
        <v>213.6114</v>
      </c>
      <c r="M3312">
        <v>0.99962580000000001</v>
      </c>
      <c r="N3312">
        <v>0</v>
      </c>
      <c r="O3312">
        <v>-2.4950710000000001E-2</v>
      </c>
      <c r="P3312">
        <v>0.98614139999999995</v>
      </c>
      <c r="Q3312">
        <v>0.16119739999999999</v>
      </c>
      <c r="R3312">
        <v>-3.9252000000000002E-2</v>
      </c>
      <c r="S3312">
        <v>3.071777</v>
      </c>
      <c r="T3312">
        <v>-0.18951989999999999</v>
      </c>
      <c r="U3312">
        <v>-4.1244509999999998E-2</v>
      </c>
      <c r="V3312">
        <v>1.431339E-2</v>
      </c>
      <c r="W3312">
        <v>0.172293</v>
      </c>
      <c r="X3312">
        <v>0.98494170000000003</v>
      </c>
      <c r="Y3312">
        <v>-1.145929E-2</v>
      </c>
      <c r="Z3312">
        <v>1.8909199999999999E-3</v>
      </c>
      <c r="AA3312">
        <v>0.9999325</v>
      </c>
      <c r="AB3312">
        <v>40</v>
      </c>
      <c r="AC3312">
        <v>17.592499999999902</v>
      </c>
      <c r="AD3312">
        <v>-1.1104946178063999</v>
      </c>
      <c r="AE3312">
        <v>-0.231899999999996</v>
      </c>
      <c r="AF3312">
        <v>-0.20632320492721801</v>
      </c>
      <c r="AG3312">
        <v>-1.1104946178063999</v>
      </c>
      <c r="AH3312">
        <v>17.522999991776501</v>
      </c>
      <c r="AI3312">
        <v>93.625936644013905</v>
      </c>
      <c r="AJ3312">
        <v>90.674593540609195</v>
      </c>
      <c r="AK3312">
        <v>17.559364916558501</v>
      </c>
      <c r="AL3312">
        <v>80.078833752611004</v>
      </c>
      <c r="AM3312">
        <v>89.167423702333494</v>
      </c>
      <c r="AN3312">
        <v>0.99999995169058897</v>
      </c>
    </row>
    <row r="3313" spans="1:40" x14ac:dyDescent="0.25">
      <c r="A3313" t="str">
        <f>"20190312172434696"</f>
        <v>20190312172434696</v>
      </c>
      <c r="B3313" t="str">
        <f>"1552382674693655"</f>
        <v>1552382674693655</v>
      </c>
      <c r="C3313" t="s">
        <v>40</v>
      </c>
      <c r="D3313">
        <v>4.059018</v>
      </c>
      <c r="E3313">
        <v>0.48318450000000002</v>
      </c>
      <c r="F3313" t="s">
        <v>47</v>
      </c>
      <c r="G3313">
        <v>-393.22089999999997</v>
      </c>
      <c r="H3313" s="1">
        <v>1.77245E-7</v>
      </c>
      <c r="I3313">
        <v>213.41550000000001</v>
      </c>
      <c r="J3313">
        <v>-410.80329999999998</v>
      </c>
      <c r="K3313">
        <v>1.110554</v>
      </c>
      <c r="L3313">
        <v>213.60230000000001</v>
      </c>
      <c r="M3313">
        <v>0.99964730000000002</v>
      </c>
      <c r="N3313">
        <v>0</v>
      </c>
      <c r="O3313">
        <v>-2.4020840000000002E-2</v>
      </c>
      <c r="P3313">
        <v>0.98634619999999995</v>
      </c>
      <c r="Q3313">
        <v>0.16044700000000001</v>
      </c>
      <c r="R3313">
        <v>-3.712041E-2</v>
      </c>
      <c r="S3313">
        <v>3.071777</v>
      </c>
      <c r="T3313">
        <v>-0.18974630000000001</v>
      </c>
      <c r="U3313">
        <v>-3.3477779999999999E-2</v>
      </c>
      <c r="V3313">
        <v>1.3076030000000001E-2</v>
      </c>
      <c r="W3313">
        <v>0.1716481</v>
      </c>
      <c r="X3313">
        <v>0.98507149999999999</v>
      </c>
      <c r="Y3313">
        <v>-1.3055590000000001E-2</v>
      </c>
      <c r="Z3313">
        <v>1.885102E-3</v>
      </c>
      <c r="AA3313">
        <v>0.99991300000000005</v>
      </c>
      <c r="AB3313">
        <v>40</v>
      </c>
      <c r="AC3313">
        <v>17.5824</v>
      </c>
      <c r="AD3313">
        <v>-1.110553822755</v>
      </c>
      <c r="AE3313">
        <v>-0.18680000000000499</v>
      </c>
      <c r="AF3313">
        <v>-0.23468881949475601</v>
      </c>
      <c r="AG3313">
        <v>-1.110553822755</v>
      </c>
      <c r="AH3313">
        <v>17.511956688233699</v>
      </c>
      <c r="AI3313">
        <v>93.628335915519003</v>
      </c>
      <c r="AJ3313">
        <v>90.7678110537462</v>
      </c>
      <c r="AK3313">
        <v>17.548704672590599</v>
      </c>
      <c r="AL3313">
        <v>80.116342654416101</v>
      </c>
      <c r="AM3313">
        <v>89.239489384991401</v>
      </c>
      <c r="AN3313">
        <v>0.99999995645320905</v>
      </c>
    </row>
    <row r="3314" spans="1:40" x14ac:dyDescent="0.25">
      <c r="A3314" t="str">
        <f>"20190312172434718"</f>
        <v>20190312172434718</v>
      </c>
      <c r="B3314" t="str">
        <f>"1552382674713175"</f>
        <v>1552382674713175</v>
      </c>
      <c r="C3314" t="s">
        <v>40</v>
      </c>
      <c r="D3314">
        <v>4.0982099999999999</v>
      </c>
      <c r="E3314">
        <v>0.4836879</v>
      </c>
      <c r="F3314" t="s">
        <v>47</v>
      </c>
      <c r="G3314">
        <v>-388.0428</v>
      </c>
      <c r="H3314" s="1">
        <v>2.7750000000000001E-6</v>
      </c>
      <c r="I3314">
        <v>213.88820000000001</v>
      </c>
      <c r="J3314">
        <v>-410.42079999999999</v>
      </c>
      <c r="K3314">
        <v>1.1106130000000001</v>
      </c>
      <c r="L3314">
        <v>213.59389999999999</v>
      </c>
      <c r="M3314">
        <v>0.99966739999999998</v>
      </c>
      <c r="N3314">
        <v>0</v>
      </c>
      <c r="O3314">
        <v>-2.3119199999999999E-2</v>
      </c>
      <c r="P3314">
        <v>0.98641800000000002</v>
      </c>
      <c r="Q3314">
        <v>0.1603444</v>
      </c>
      <c r="R3314">
        <v>-3.5631900000000001E-2</v>
      </c>
      <c r="S3314">
        <v>3.0673520000000001</v>
      </c>
      <c r="T3314">
        <v>-0.14966460000000001</v>
      </c>
      <c r="U3314">
        <v>3.8528439999999997E-2</v>
      </c>
      <c r="V3314">
        <v>1.245944E-2</v>
      </c>
      <c r="W3314">
        <v>0.17165369999999999</v>
      </c>
      <c r="X3314">
        <v>0.98507860000000003</v>
      </c>
      <c r="Y3314">
        <v>-3.5605489999999997E-2</v>
      </c>
      <c r="Z3314">
        <v>1.9954690000000001E-3</v>
      </c>
      <c r="AA3314">
        <v>0.99936400000000003</v>
      </c>
      <c r="AB3314">
        <v>40</v>
      </c>
      <c r="AC3314">
        <v>22.377999999999901</v>
      </c>
      <c r="AD3314">
        <v>-1.1106102249999901</v>
      </c>
      <c r="AE3314">
        <v>0.29430000000002099</v>
      </c>
      <c r="AF3314">
        <v>-0.80962273926221495</v>
      </c>
      <c r="AG3314">
        <v>-1.1106102249999901</v>
      </c>
      <c r="AH3314">
        <v>22.310270735764899</v>
      </c>
      <c r="AI3314">
        <v>92.847972572284206</v>
      </c>
      <c r="AJ3314">
        <v>92.0783082228686</v>
      </c>
      <c r="AK3314">
        <v>22.352564156152901</v>
      </c>
      <c r="AL3314">
        <v>80.116017790899406</v>
      </c>
      <c r="AM3314">
        <v>89.275351973763307</v>
      </c>
      <c r="AN3314">
        <v>1.0000000392733801</v>
      </c>
    </row>
    <row r="3315" spans="1:40" x14ac:dyDescent="0.25">
      <c r="A3315" t="str">
        <f>"20190312172434739"</f>
        <v>20190312172434739</v>
      </c>
      <c r="B3315" t="str">
        <f>"1552382674733671"</f>
        <v>1552382674733671</v>
      </c>
      <c r="C3315" t="s">
        <v>40</v>
      </c>
      <c r="D3315">
        <v>4.1546589999999997</v>
      </c>
      <c r="E3315">
        <v>0.48414750000000001</v>
      </c>
      <c r="F3315" t="s">
        <v>47</v>
      </c>
      <c r="G3315">
        <v>-388.11219999999997</v>
      </c>
      <c r="H3315" s="1">
        <v>2.8125420000000001E-6</v>
      </c>
      <c r="I3315">
        <v>213.87479999999999</v>
      </c>
      <c r="J3315">
        <v>-410.03440000000001</v>
      </c>
      <c r="K3315">
        <v>1.110668</v>
      </c>
      <c r="L3315">
        <v>213.5857</v>
      </c>
      <c r="M3315">
        <v>0.99968650000000003</v>
      </c>
      <c r="N3315">
        <v>0</v>
      </c>
      <c r="O3315">
        <v>-2.2211209999999999E-2</v>
      </c>
      <c r="P3315">
        <v>0.98643159999999996</v>
      </c>
      <c r="Q3315">
        <v>0.1605279</v>
      </c>
      <c r="R3315">
        <v>-3.4405819999999997E-2</v>
      </c>
      <c r="S3315">
        <v>3.0675349999999999</v>
      </c>
      <c r="T3315">
        <v>-0.152714299999999</v>
      </c>
      <c r="U3315">
        <v>3.8620000000000002E-2</v>
      </c>
      <c r="V3315">
        <v>1.2114140000000001E-2</v>
      </c>
      <c r="W3315">
        <v>0.1719502</v>
      </c>
      <c r="X3315">
        <v>0.9850312</v>
      </c>
      <c r="Y3315">
        <v>-3.4726229999999997E-2</v>
      </c>
      <c r="Z3315">
        <v>1.9689159999999998E-3</v>
      </c>
      <c r="AA3315">
        <v>0.99939489999999997</v>
      </c>
      <c r="AB3315">
        <v>40</v>
      </c>
      <c r="AC3315">
        <v>21.9222</v>
      </c>
      <c r="AD3315">
        <v>-1.110665187458</v>
      </c>
      <c r="AE3315">
        <v>0.28909999999998998</v>
      </c>
      <c r="AF3315">
        <v>-0.77399340981339404</v>
      </c>
      <c r="AG3315">
        <v>-1.110665187458</v>
      </c>
      <c r="AH3315">
        <v>21.854282798952202</v>
      </c>
      <c r="AI3315">
        <v>92.907528769988303</v>
      </c>
      <c r="AJ3315">
        <v>92.028345144427007</v>
      </c>
      <c r="AK3315">
        <v>21.896171346005801</v>
      </c>
      <c r="AL3315">
        <v>80.098773242201403</v>
      </c>
      <c r="AM3315">
        <v>89.295398861713693</v>
      </c>
      <c r="AN3315">
        <v>1.0000000443207</v>
      </c>
    </row>
    <row r="3316" spans="1:40" x14ac:dyDescent="0.25">
      <c r="A3316" t="str">
        <f>"20190312172434763"</f>
        <v>20190312172434763</v>
      </c>
      <c r="B3316" t="str">
        <f>"1552382674753191"</f>
        <v>1552382674753191</v>
      </c>
      <c r="C3316" t="s">
        <v>40</v>
      </c>
      <c r="D3316">
        <v>4.0926970000000003</v>
      </c>
      <c r="E3316">
        <v>0.48480689999999999</v>
      </c>
      <c r="F3316" t="s">
        <v>47</v>
      </c>
      <c r="G3316">
        <v>-387.61399999999998</v>
      </c>
      <c r="H3316" s="1">
        <v>2.547639E-6</v>
      </c>
      <c r="I3316">
        <v>213.86920000000001</v>
      </c>
      <c r="J3316">
        <v>-409.59230000000002</v>
      </c>
      <c r="K3316">
        <v>1.110724</v>
      </c>
      <c r="L3316">
        <v>213.57679999999999</v>
      </c>
      <c r="M3316">
        <v>0.99970760000000003</v>
      </c>
      <c r="N3316">
        <v>0</v>
      </c>
      <c r="O3316">
        <v>-2.1176850000000001E-2</v>
      </c>
      <c r="P3316">
        <v>0.98637379999999997</v>
      </c>
      <c r="Q3316">
        <v>0.16104679999999999</v>
      </c>
      <c r="R3316">
        <v>-3.3633200000000002E-2</v>
      </c>
      <c r="S3316">
        <v>3.0673520000000001</v>
      </c>
      <c r="T3316">
        <v>-0.151950799999999</v>
      </c>
      <c r="U3316">
        <v>3.8787839999999997E-2</v>
      </c>
      <c r="V3316">
        <v>1.2348319999999999E-2</v>
      </c>
      <c r="W3316">
        <v>0.17260210000000001</v>
      </c>
      <c r="X3316">
        <v>0.98491419999999996</v>
      </c>
      <c r="Y3316">
        <v>-3.3750790000000003E-2</v>
      </c>
      <c r="Z3316">
        <v>1.8838539999999999E-3</v>
      </c>
      <c r="AA3316">
        <v>0.99942850000000005</v>
      </c>
      <c r="AB3316">
        <v>40</v>
      </c>
      <c r="AC3316">
        <v>21.978299999999901</v>
      </c>
      <c r="AD3316">
        <v>-1.1107214523610001</v>
      </c>
      <c r="AE3316">
        <v>0.29240000000001398</v>
      </c>
      <c r="AF3316">
        <v>-0.75586714485253903</v>
      </c>
      <c r="AG3316">
        <v>-1.1107214523610001</v>
      </c>
      <c r="AH3316">
        <v>21.911226531711701</v>
      </c>
      <c r="AI3316">
        <v>92.900225073003398</v>
      </c>
      <c r="AJ3316">
        <v>91.975737424272197</v>
      </c>
      <c r="AK3316">
        <v>21.9523776709811</v>
      </c>
      <c r="AL3316">
        <v>80.060854490649405</v>
      </c>
      <c r="AM3316">
        <v>89.281694229717502</v>
      </c>
      <c r="AN3316">
        <v>0.999999973646435</v>
      </c>
    </row>
    <row r="3317" spans="1:40" x14ac:dyDescent="0.25">
      <c r="A3317" t="str">
        <f>"20190312172434785"</f>
        <v>20190312172434785</v>
      </c>
      <c r="B3317" t="str">
        <f>"1552382674773687"</f>
        <v>1552382674773687</v>
      </c>
      <c r="C3317" t="s">
        <v>40</v>
      </c>
      <c r="D3317">
        <v>4.0709869999999997</v>
      </c>
      <c r="E3317">
        <v>0.48539480000000002</v>
      </c>
      <c r="F3317" t="s">
        <v>47</v>
      </c>
      <c r="G3317">
        <v>-386.68209999999999</v>
      </c>
      <c r="H3317" s="1">
        <v>2.0529459999999999E-6</v>
      </c>
      <c r="I3317">
        <v>213.8416</v>
      </c>
      <c r="J3317">
        <v>-409.20400000000001</v>
      </c>
      <c r="K3317">
        <v>1.1107629999999999</v>
      </c>
      <c r="L3317">
        <v>213.5694</v>
      </c>
      <c r="M3317">
        <v>0.99972490000000003</v>
      </c>
      <c r="N3317">
        <v>0</v>
      </c>
      <c r="O3317">
        <v>-2.026903E-2</v>
      </c>
      <c r="P3317">
        <v>0.98632169999999997</v>
      </c>
      <c r="Q3317">
        <v>0.1614729</v>
      </c>
      <c r="R3317">
        <v>-3.3107350000000001E-2</v>
      </c>
      <c r="S3317">
        <v>3.066986</v>
      </c>
      <c r="T3317">
        <v>-0.14869180000000001</v>
      </c>
      <c r="U3317">
        <v>3.5446169999999999E-2</v>
      </c>
      <c r="V3317">
        <v>1.270903E-2</v>
      </c>
      <c r="W3317">
        <v>0.17314499999999999</v>
      </c>
      <c r="X3317">
        <v>0.98481430000000003</v>
      </c>
      <c r="Y3317">
        <v>-3.1762159999999998E-2</v>
      </c>
      <c r="Z3317">
        <v>1.75156799999999E-3</v>
      </c>
      <c r="AA3317">
        <v>0.99949390000000005</v>
      </c>
      <c r="AB3317">
        <v>40</v>
      </c>
      <c r="AC3317">
        <v>22.521899999999999</v>
      </c>
      <c r="AD3317">
        <v>-1.1107609470540001</v>
      </c>
      <c r="AE3317">
        <v>0.272199999999998</v>
      </c>
      <c r="AF3317">
        <v>-0.72690508494823203</v>
      </c>
      <c r="AG3317">
        <v>-1.1107609470540001</v>
      </c>
      <c r="AH3317">
        <v>22.457138606682399</v>
      </c>
      <c r="AI3317">
        <v>92.830140602744194</v>
      </c>
      <c r="AJ3317">
        <v>91.853934196182706</v>
      </c>
      <c r="AK3317">
        <v>22.496338708415902</v>
      </c>
      <c r="AL3317">
        <v>80.029272964602598</v>
      </c>
      <c r="AM3317">
        <v>89.260638922873596</v>
      </c>
      <c r="AN3317">
        <v>0.99999995797651398</v>
      </c>
    </row>
    <row r="3318" spans="1:40" x14ac:dyDescent="0.25">
      <c r="A3318" t="str">
        <f>"20190312172434807"</f>
        <v>20190312172434807</v>
      </c>
      <c r="B3318" t="str">
        <f>"1552382674803249"</f>
        <v>1552382674803249</v>
      </c>
      <c r="C3318" t="s">
        <v>40</v>
      </c>
      <c r="D3318">
        <v>4.0678530000000004</v>
      </c>
      <c r="E3318">
        <v>0.48609449999999998</v>
      </c>
      <c r="F3318" t="s">
        <v>47</v>
      </c>
      <c r="G3318">
        <v>-385.89940000000001</v>
      </c>
      <c r="H3318" s="1">
        <v>1.637622E-6</v>
      </c>
      <c r="I3318">
        <v>213.81530000000001</v>
      </c>
      <c r="J3318">
        <v>-408.81889999999999</v>
      </c>
      <c r="K3318">
        <v>1.1107959999999999</v>
      </c>
      <c r="L3318">
        <v>213.5624</v>
      </c>
      <c r="M3318">
        <v>0.9997414</v>
      </c>
      <c r="N3318">
        <v>0</v>
      </c>
      <c r="O3318">
        <v>-1.9368159999999999E-2</v>
      </c>
      <c r="P3318">
        <v>0.98627699999999996</v>
      </c>
      <c r="Q3318">
        <v>0.16188239999999901</v>
      </c>
      <c r="R3318">
        <v>-3.2431439999999999E-2</v>
      </c>
      <c r="S3318">
        <v>3.0666500000000001</v>
      </c>
      <c r="T3318">
        <v>-0.1461655</v>
      </c>
      <c r="U3318">
        <v>3.2363889999999999E-2</v>
      </c>
      <c r="V3318">
        <v>1.291497E-2</v>
      </c>
      <c r="W3318">
        <v>0.17366489999999901</v>
      </c>
      <c r="X3318">
        <v>0.98472009999999999</v>
      </c>
      <c r="Y3318">
        <v>-2.9863500000000001E-2</v>
      </c>
      <c r="Z3318">
        <v>1.633907E-3</v>
      </c>
      <c r="AA3318">
        <v>0.99955269999999996</v>
      </c>
      <c r="AB3318">
        <v>40</v>
      </c>
      <c r="AC3318">
        <v>22.9194999999999</v>
      </c>
      <c r="AD3318">
        <v>-1.1107943623780001</v>
      </c>
      <c r="AE3318">
        <v>0.252900000000011</v>
      </c>
      <c r="AF3318">
        <v>-0.69515998541271595</v>
      </c>
      <c r="AG3318">
        <v>-1.1107943623780001</v>
      </c>
      <c r="AH3318">
        <v>22.8566211269865</v>
      </c>
      <c r="AI3318">
        <v>92.781008132209095</v>
      </c>
      <c r="AJ3318">
        <v>91.742053600163899</v>
      </c>
      <c r="AK3318">
        <v>22.894152984188199</v>
      </c>
      <c r="AL3318">
        <v>79.999026943739906</v>
      </c>
      <c r="AM3318">
        <v>89.248587644770694</v>
      </c>
      <c r="AN3318">
        <v>0.99999998464305995</v>
      </c>
    </row>
    <row r="3319" spans="1:40" x14ac:dyDescent="0.25">
      <c r="A3319" t="str">
        <f>"20190312172434829"</f>
        <v>20190312172434829</v>
      </c>
      <c r="B3319" t="str">
        <f>"1552382674823745"</f>
        <v>1552382674823745</v>
      </c>
      <c r="C3319" t="s">
        <v>40</v>
      </c>
      <c r="D3319">
        <v>4.0982399999999997</v>
      </c>
      <c r="E3319">
        <v>0.48639179999999999</v>
      </c>
      <c r="F3319" t="s">
        <v>47</v>
      </c>
      <c r="G3319">
        <v>-385.17189999999999</v>
      </c>
      <c r="H3319" s="1">
        <v>1.2519010000000001E-6</v>
      </c>
      <c r="I3319">
        <v>213.78280000000001</v>
      </c>
      <c r="J3319">
        <v>-408.40980000000002</v>
      </c>
      <c r="K3319">
        <v>1.110822</v>
      </c>
      <c r="L3319">
        <v>213.55529999999999</v>
      </c>
      <c r="M3319">
        <v>0.99975829999999999</v>
      </c>
      <c r="N3319">
        <v>0</v>
      </c>
      <c r="O3319">
        <v>-1.840785E-2</v>
      </c>
      <c r="P3319">
        <v>0.98632719999999896</v>
      </c>
      <c r="Q3319">
        <v>0.16179779999999999</v>
      </c>
      <c r="R3319">
        <v>-3.1308620000000002E-2</v>
      </c>
      <c r="S3319">
        <v>3.0663149999999999</v>
      </c>
      <c r="T3319">
        <v>-0.14403740000000001</v>
      </c>
      <c r="U3319">
        <v>2.8579710000000001E-2</v>
      </c>
      <c r="V3319">
        <v>1.2733370000000001E-2</v>
      </c>
      <c r="W3319">
        <v>0.1736888</v>
      </c>
      <c r="X3319">
        <v>0.98471830000000005</v>
      </c>
      <c r="Y3319">
        <v>-2.7676119999999998E-2</v>
      </c>
      <c r="Z3319">
        <v>1.5139000000000001E-3</v>
      </c>
      <c r="AA3319">
        <v>0.99961580000000005</v>
      </c>
      <c r="AB3319">
        <v>40</v>
      </c>
      <c r="AC3319">
        <v>23.2379</v>
      </c>
      <c r="AD3319">
        <v>-1.110820748099</v>
      </c>
      <c r="AE3319">
        <v>0.22750000000001999</v>
      </c>
      <c r="AF3319">
        <v>-0.65375840969611299</v>
      </c>
      <c r="AG3319">
        <v>-1.110820748099</v>
      </c>
      <c r="AH3319">
        <v>23.1768190079131</v>
      </c>
      <c r="AI3319">
        <v>92.742888378902293</v>
      </c>
      <c r="AJ3319">
        <v>91.615738032634894</v>
      </c>
      <c r="AK3319">
        <v>23.2126315207522</v>
      </c>
      <c r="AL3319">
        <v>79.997636943061394</v>
      </c>
      <c r="AM3319">
        <v>89.259150865474098</v>
      </c>
      <c r="AN3319">
        <v>1.0000000341559401</v>
      </c>
    </row>
    <row r="3320" spans="1:40" x14ac:dyDescent="0.25">
      <c r="A3320" t="str">
        <f>"20190312172434853"</f>
        <v>20190312172434853</v>
      </c>
      <c r="B3320" t="str">
        <f>"1552382674843267"</f>
        <v>1552382674843267</v>
      </c>
      <c r="C3320" t="s">
        <v>40</v>
      </c>
      <c r="D3320">
        <v>4.0262719999999996</v>
      </c>
      <c r="E3320">
        <v>0.48670750000000002</v>
      </c>
      <c r="F3320" t="s">
        <v>47</v>
      </c>
      <c r="G3320">
        <v>-384.89960000000002</v>
      </c>
      <c r="H3320" s="1">
        <v>1.106964E-6</v>
      </c>
      <c r="I3320">
        <v>213.7826</v>
      </c>
      <c r="J3320">
        <v>-407.99860000000001</v>
      </c>
      <c r="K3320">
        <v>1.1108420000000001</v>
      </c>
      <c r="L3320">
        <v>213.5487</v>
      </c>
      <c r="M3320">
        <v>0.9997743</v>
      </c>
      <c r="N3320">
        <v>0</v>
      </c>
      <c r="O3320">
        <v>-1.743944E-2</v>
      </c>
      <c r="P3320">
        <v>0.98640890000000003</v>
      </c>
      <c r="Q3320">
        <v>0.1616022</v>
      </c>
      <c r="R3320">
        <v>-2.9700919999999999E-2</v>
      </c>
      <c r="S3320">
        <v>3.0663149999999999</v>
      </c>
      <c r="T3320">
        <v>-0.1448786</v>
      </c>
      <c r="U3320">
        <v>2.964783E-2</v>
      </c>
      <c r="V3320">
        <v>1.2076450000000001E-2</v>
      </c>
      <c r="W3320">
        <v>0.1735921</v>
      </c>
      <c r="X3320">
        <v>0.98474360000000005</v>
      </c>
      <c r="Y3320">
        <v>-2.705722E-2</v>
      </c>
      <c r="Z3320">
        <v>1.4623889999999999E-3</v>
      </c>
      <c r="AA3320">
        <v>0.99963279999999999</v>
      </c>
      <c r="AB3320">
        <v>40</v>
      </c>
      <c r="AC3320">
        <v>23.098999999999901</v>
      </c>
      <c r="AD3320">
        <v>-1.1108408930360001</v>
      </c>
      <c r="AE3320">
        <v>0.23390000000000499</v>
      </c>
      <c r="AF3320">
        <v>-0.63525869738628904</v>
      </c>
      <c r="AG3320">
        <v>-1.1108408930360001</v>
      </c>
      <c r="AH3320">
        <v>23.0381326451121</v>
      </c>
      <c r="AI3320">
        <v>92.759473327166106</v>
      </c>
      <c r="AJ3320">
        <v>91.579486592474396</v>
      </c>
      <c r="AK3320">
        <v>23.0736446378986</v>
      </c>
      <c r="AL3320">
        <v>80.003262641791096</v>
      </c>
      <c r="AM3320">
        <v>89.297385703102805</v>
      </c>
      <c r="AN3320">
        <v>1.0000000077839799</v>
      </c>
    </row>
    <row r="3321" spans="1:40" x14ac:dyDescent="0.25">
      <c r="A3321" t="str">
        <f>"20190312172434876"</f>
        <v>20190312172434876</v>
      </c>
      <c r="B3321" t="str">
        <f>"1552382674863760"</f>
        <v>1552382674863760</v>
      </c>
      <c r="C3321" t="s">
        <v>40</v>
      </c>
      <c r="D3321">
        <v>4.0341519999999997</v>
      </c>
      <c r="E3321">
        <v>0.48698029999999998</v>
      </c>
      <c r="F3321" t="s">
        <v>47</v>
      </c>
      <c r="G3321">
        <v>-384.63380000000001</v>
      </c>
      <c r="H3321" s="1">
        <v>9.65097E-7</v>
      </c>
      <c r="I3321">
        <v>213.792</v>
      </c>
      <c r="J3321">
        <v>-407.57900000000001</v>
      </c>
      <c r="K3321">
        <v>1.110854</v>
      </c>
      <c r="L3321">
        <v>213.54230000000001</v>
      </c>
      <c r="M3321">
        <v>0.99979010000000001</v>
      </c>
      <c r="N3321">
        <v>0</v>
      </c>
      <c r="O3321">
        <v>-1.6447070000000001E-2</v>
      </c>
      <c r="P3321">
        <v>0.9864906</v>
      </c>
      <c r="Q3321">
        <v>0.16131199999999901</v>
      </c>
      <c r="R3321">
        <v>-2.8548810000000001E-2</v>
      </c>
      <c r="S3321">
        <v>3.0662229999999999</v>
      </c>
      <c r="T3321">
        <v>-0.14577809999999999</v>
      </c>
      <c r="U3321">
        <v>3.1936649999999997E-2</v>
      </c>
      <c r="V3321">
        <v>1.189984E-2</v>
      </c>
      <c r="W3321">
        <v>0.1733981</v>
      </c>
      <c r="X3321">
        <v>0.98477990000000004</v>
      </c>
      <c r="Y3321">
        <v>-2.6812200000000001E-2</v>
      </c>
      <c r="Z3321">
        <v>1.418524E-3</v>
      </c>
      <c r="AA3321">
        <v>0.99963950000000001</v>
      </c>
      <c r="AB3321">
        <v>40</v>
      </c>
      <c r="AC3321">
        <v>22.9452</v>
      </c>
      <c r="AD3321">
        <v>-1.1108530349029999</v>
      </c>
      <c r="AE3321">
        <v>0.24969999999999001</v>
      </c>
      <c r="AF3321">
        <v>-0.62560953548089704</v>
      </c>
      <c r="AG3321">
        <v>-1.1108530349029999</v>
      </c>
      <c r="AH3321">
        <v>22.884357664972299</v>
      </c>
      <c r="AI3321">
        <v>92.778035388140793</v>
      </c>
      <c r="AJ3321">
        <v>91.565954390846898</v>
      </c>
      <c r="AK3321">
        <v>22.919843094890801</v>
      </c>
      <c r="AL3321">
        <v>80.0145488996788</v>
      </c>
      <c r="AM3321">
        <v>89.3076854772941</v>
      </c>
      <c r="AN3321">
        <v>0.99999997935982199</v>
      </c>
    </row>
    <row r="3322" spans="1:40" x14ac:dyDescent="0.25">
      <c r="A3322" t="str">
        <f>"20190312172434898"</f>
        <v>20190312172434898</v>
      </c>
      <c r="B3322" t="str">
        <f>"1552382674893547"</f>
        <v>1552382674893547</v>
      </c>
      <c r="C3322" t="s">
        <v>40</v>
      </c>
      <c r="D3322">
        <v>4.030392</v>
      </c>
      <c r="E3322">
        <v>0.48736269999999998</v>
      </c>
      <c r="F3322" t="s">
        <v>47</v>
      </c>
      <c r="G3322">
        <v>-384.47500000000002</v>
      </c>
      <c r="H3322" s="1">
        <v>8.8052149999999898E-7</v>
      </c>
      <c r="I3322">
        <v>213.7944</v>
      </c>
      <c r="J3322">
        <v>-407.18729999999999</v>
      </c>
      <c r="K3322">
        <v>1.110865</v>
      </c>
      <c r="L3322">
        <v>213.5367</v>
      </c>
      <c r="M3322">
        <v>0.99980380000000002</v>
      </c>
      <c r="N3322">
        <v>0</v>
      </c>
      <c r="O3322">
        <v>-1.5515799999999901E-2</v>
      </c>
      <c r="P3322">
        <v>0.98664960000000002</v>
      </c>
      <c r="Q3322">
        <v>0.16057439999999901</v>
      </c>
      <c r="R3322">
        <v>-2.7176970000000002E-2</v>
      </c>
      <c r="S3322">
        <v>3.0661320000000001</v>
      </c>
      <c r="T3322">
        <v>-0.1474212</v>
      </c>
      <c r="U3322">
        <v>3.3462520000000003E-2</v>
      </c>
      <c r="V3322">
        <v>1.1443490000000001E-2</v>
      </c>
      <c r="W3322">
        <v>0.17274300000000001</v>
      </c>
      <c r="X3322">
        <v>0.98490049999999996</v>
      </c>
      <c r="Y3322">
        <v>-2.6379300000000001E-2</v>
      </c>
      <c r="Z3322">
        <v>1.379386E-3</v>
      </c>
      <c r="AA3322">
        <v>0.99965110000000001</v>
      </c>
      <c r="AB3322">
        <v>40</v>
      </c>
      <c r="AC3322">
        <v>22.7122999999999</v>
      </c>
      <c r="AD3322">
        <v>-1.1108641194785001</v>
      </c>
      <c r="AE3322">
        <v>0.25769999999999899</v>
      </c>
      <c r="AF3322">
        <v>-0.60863939013874702</v>
      </c>
      <c r="AG3322">
        <v>-1.1108641194785001</v>
      </c>
      <c r="AH3322">
        <v>22.651386873617199</v>
      </c>
      <c r="AI3322">
        <v>92.806625667585493</v>
      </c>
      <c r="AJ3322">
        <v>91.539158710987806</v>
      </c>
      <c r="AK3322">
        <v>22.6867756258453</v>
      </c>
      <c r="AL3322">
        <v>80.052659133120002</v>
      </c>
      <c r="AM3322">
        <v>89.334314301266105</v>
      </c>
      <c r="AN3322">
        <v>1.0000000462063099</v>
      </c>
    </row>
    <row r="3323" spans="1:40" x14ac:dyDescent="0.25">
      <c r="A3323" t="str">
        <f>"20190312172434918"</f>
        <v>20190312172434918</v>
      </c>
      <c r="B3323" t="str">
        <f>"1552382674914044"</f>
        <v>1552382674914044</v>
      </c>
      <c r="C3323" t="s">
        <v>40</v>
      </c>
      <c r="D3323">
        <v>4.0296240000000001</v>
      </c>
      <c r="E3323">
        <v>0.48753190000000002</v>
      </c>
      <c r="F3323" t="s">
        <v>47</v>
      </c>
      <c r="G3323">
        <v>-384.48649999999998</v>
      </c>
      <c r="H3323" s="1">
        <v>8.8672309999999996E-7</v>
      </c>
      <c r="I3323">
        <v>213.79230000000001</v>
      </c>
      <c r="J3323">
        <v>-406.80869999999999</v>
      </c>
      <c r="K3323">
        <v>1.1108739999999999</v>
      </c>
      <c r="L3323">
        <v>213.5316</v>
      </c>
      <c r="M3323">
        <v>0.99981660000000006</v>
      </c>
      <c r="N3323">
        <v>0</v>
      </c>
      <c r="O3323">
        <v>-1.461253E-2</v>
      </c>
      <c r="P3323">
        <v>0.98676850000000005</v>
      </c>
      <c r="Q3323">
        <v>0.16012989999999999</v>
      </c>
      <c r="R3323">
        <v>-2.543246E-2</v>
      </c>
      <c r="S3323">
        <v>3.0659480000000001</v>
      </c>
      <c r="T3323">
        <v>-0.15003250000000001</v>
      </c>
      <c r="U3323">
        <v>3.4530640000000001E-2</v>
      </c>
      <c r="V3323">
        <v>1.058739E-2</v>
      </c>
      <c r="W3323">
        <v>0.17237239999999901</v>
      </c>
      <c r="X3323">
        <v>0.98497500000000004</v>
      </c>
      <c r="Y3323">
        <v>-2.5825049999999999E-2</v>
      </c>
      <c r="Z3323">
        <v>1.3461440000000001E-3</v>
      </c>
      <c r="AA3323">
        <v>0.99966560000000004</v>
      </c>
      <c r="AB3323">
        <v>40</v>
      </c>
      <c r="AC3323">
        <v>22.322199999999999</v>
      </c>
      <c r="AD3323">
        <v>-1.1108731132769001</v>
      </c>
      <c r="AE3323">
        <v>0.26070000000001398</v>
      </c>
      <c r="AF3323">
        <v>-0.58543129517667403</v>
      </c>
      <c r="AG3323">
        <v>-1.1108731132769001</v>
      </c>
      <c r="AH3323">
        <v>22.2608828800605</v>
      </c>
      <c r="AI3323">
        <v>92.855845492064702</v>
      </c>
      <c r="AJ3323">
        <v>91.506454746678898</v>
      </c>
      <c r="AK3323">
        <v>22.2962704386842</v>
      </c>
      <c r="AL3323">
        <v>80.074216295151302</v>
      </c>
      <c r="AM3323">
        <v>89.3841575651509</v>
      </c>
      <c r="AN3323">
        <v>1.0000000438668799</v>
      </c>
    </row>
    <row r="3324" spans="1:40" x14ac:dyDescent="0.25">
      <c r="A3324" t="str">
        <f>"20190312172434943"</f>
        <v>20190312172434943</v>
      </c>
      <c r="B3324" t="str">
        <f>"1552382674933564"</f>
        <v>1552382674933564</v>
      </c>
      <c r="C3324" t="s">
        <v>40</v>
      </c>
      <c r="D3324">
        <v>4.0080210000000003</v>
      </c>
      <c r="E3324">
        <v>0.48782249999999999</v>
      </c>
      <c r="F3324" t="s">
        <v>47</v>
      </c>
      <c r="G3324">
        <v>-384.29169999999999</v>
      </c>
      <c r="H3324" s="1">
        <v>7.8213790000000005E-7</v>
      </c>
      <c r="I3324">
        <v>213.81270000000001</v>
      </c>
      <c r="J3324">
        <v>-406.38260000000002</v>
      </c>
      <c r="K3324">
        <v>1.110886</v>
      </c>
      <c r="L3324">
        <v>213.52629999999999</v>
      </c>
      <c r="M3324">
        <v>0.99982990000000005</v>
      </c>
      <c r="N3324">
        <v>0</v>
      </c>
      <c r="O3324">
        <v>-1.3592949999999999E-2</v>
      </c>
      <c r="P3324">
        <v>0.98690339999999999</v>
      </c>
      <c r="Q3324">
        <v>0.15950439999999999</v>
      </c>
      <c r="R3324">
        <v>-2.4086730000000001E-2</v>
      </c>
      <c r="S3324">
        <v>3.0657649999999999</v>
      </c>
      <c r="T3324">
        <v>-0.1512491</v>
      </c>
      <c r="U3324">
        <v>3.8269039999999997E-2</v>
      </c>
      <c r="V3324">
        <v>1.024564E-2</v>
      </c>
      <c r="W3324">
        <v>0.17182990000000001</v>
      </c>
      <c r="X3324">
        <v>0.98507330000000004</v>
      </c>
      <c r="Y3324">
        <v>-2.6025349999999999E-2</v>
      </c>
      <c r="Z3324">
        <v>1.3117859999999999E-3</v>
      </c>
      <c r="AA3324">
        <v>0.9996604</v>
      </c>
      <c r="AB3324">
        <v>40</v>
      </c>
      <c r="AC3324">
        <v>22.090900000000001</v>
      </c>
      <c r="AD3324">
        <v>-1.1108852178621</v>
      </c>
      <c r="AE3324">
        <v>0.28640000000001398</v>
      </c>
      <c r="AF3324">
        <v>-0.58519778044867499</v>
      </c>
      <c r="AG3324">
        <v>-1.1108852178621</v>
      </c>
      <c r="AH3324">
        <v>22.029267541585899</v>
      </c>
      <c r="AI3324">
        <v>92.885832468054602</v>
      </c>
      <c r="AJ3324">
        <v>91.521679253346406</v>
      </c>
      <c r="AK3324">
        <v>22.0650209795566</v>
      </c>
      <c r="AL3324">
        <v>80.105769091504598</v>
      </c>
      <c r="AM3324">
        <v>89.404094331152905</v>
      </c>
      <c r="AN3324">
        <v>0.99999994702295303</v>
      </c>
    </row>
    <row r="3325" spans="1:40" x14ac:dyDescent="0.25">
      <c r="A3325" t="str">
        <f>"20190312172434964"</f>
        <v>20190312172434964</v>
      </c>
      <c r="B3325" t="str">
        <f>"1552382674953083"</f>
        <v>1552382674953083</v>
      </c>
      <c r="C3325" t="s">
        <v>40</v>
      </c>
      <c r="D3325">
        <v>4.0179819999999999</v>
      </c>
      <c r="E3325">
        <v>0.4880448</v>
      </c>
      <c r="F3325" t="s">
        <v>47</v>
      </c>
      <c r="G3325">
        <v>-384.12459999999999</v>
      </c>
      <c r="H3325" s="1">
        <v>6.9302999999999995E-7</v>
      </c>
      <c r="I3325">
        <v>213.81800000000001</v>
      </c>
      <c r="J3325">
        <v>-405.9862</v>
      </c>
      <c r="K3325">
        <v>1.1108990000000001</v>
      </c>
      <c r="L3325">
        <v>213.52180000000001</v>
      </c>
      <c r="M3325">
        <v>0.99984150000000005</v>
      </c>
      <c r="N3325">
        <v>0</v>
      </c>
      <c r="O3325">
        <v>-1.2641660000000001E-2</v>
      </c>
      <c r="P3325">
        <v>0.98695809999999995</v>
      </c>
      <c r="Q3325">
        <v>0.15931049999999999</v>
      </c>
      <c r="R3325">
        <v>-2.3107409999999998E-2</v>
      </c>
      <c r="S3325">
        <v>3.0655209999999999</v>
      </c>
      <c r="T3325">
        <v>-0.15299879999999999</v>
      </c>
      <c r="U3325">
        <v>4.0176389999999999E-2</v>
      </c>
      <c r="V3325">
        <v>1.020337E-2</v>
      </c>
      <c r="W3325">
        <v>0.1717101</v>
      </c>
      <c r="X3325">
        <v>0.98509469999999999</v>
      </c>
      <c r="Y3325">
        <v>-2.5697580000000001E-2</v>
      </c>
      <c r="Z3325">
        <v>1.271421E-3</v>
      </c>
      <c r="AA3325">
        <v>0.99966900000000003</v>
      </c>
      <c r="AB3325">
        <v>40</v>
      </c>
      <c r="AC3325">
        <v>21.861599999999999</v>
      </c>
      <c r="AD3325">
        <v>-1.11089830697</v>
      </c>
      <c r="AE3325">
        <v>0.29619999999996999</v>
      </c>
      <c r="AF3325">
        <v>-0.57109057948950204</v>
      </c>
      <c r="AG3325">
        <v>-1.11089830697</v>
      </c>
      <c r="AH3325">
        <v>21.799827518352298</v>
      </c>
      <c r="AI3325">
        <v>92.916215789880795</v>
      </c>
      <c r="AJ3325">
        <v>91.500635620152295</v>
      </c>
      <c r="AK3325">
        <v>21.835583787211299</v>
      </c>
      <c r="AL3325">
        <v>80.112737389724103</v>
      </c>
      <c r="AM3325">
        <v>89.406565548573795</v>
      </c>
      <c r="AN3325">
        <v>1.0000000175847199</v>
      </c>
    </row>
    <row r="3326" spans="1:40" x14ac:dyDescent="0.25">
      <c r="A3326" t="str">
        <f>"20190312172434988"</f>
        <v>20190312172434988</v>
      </c>
      <c r="B3326" t="str">
        <f>"1552382674983847"</f>
        <v>1552382674983847</v>
      </c>
      <c r="C3326" t="s">
        <v>40</v>
      </c>
      <c r="D3326">
        <v>3.9980220000000002</v>
      </c>
      <c r="E3326">
        <v>0.48835269999999997</v>
      </c>
      <c r="F3326" t="s">
        <v>47</v>
      </c>
      <c r="G3326">
        <v>-383.8501</v>
      </c>
      <c r="H3326" s="1">
        <v>5.4676370000000003E-7</v>
      </c>
      <c r="I3326">
        <v>213.82149999999999</v>
      </c>
      <c r="J3326">
        <v>-405.57380000000001</v>
      </c>
      <c r="K3326">
        <v>1.11091299999999</v>
      </c>
      <c r="L3326">
        <v>213.51750000000001</v>
      </c>
      <c r="M3326">
        <v>0.99985259999999998</v>
      </c>
      <c r="N3326">
        <v>0</v>
      </c>
      <c r="O3326">
        <v>-1.165045E-2</v>
      </c>
      <c r="P3326">
        <v>0.98707869999999998</v>
      </c>
      <c r="Q3326">
        <v>0.1587025</v>
      </c>
      <c r="R3326">
        <v>-2.212068E-2</v>
      </c>
      <c r="S3326">
        <v>3.0654300000000001</v>
      </c>
      <c r="T3326">
        <v>-0.15383829999999901</v>
      </c>
      <c r="U3326">
        <v>4.1503909999999998E-2</v>
      </c>
      <c r="V3326">
        <v>1.019424E-2</v>
      </c>
      <c r="W3326">
        <v>0.17117599999999999</v>
      </c>
      <c r="X3326">
        <v>0.9851877</v>
      </c>
      <c r="Y3326">
        <v>-2.5141199999999999E-2</v>
      </c>
      <c r="Z3326">
        <v>1.2147589999999999E-3</v>
      </c>
      <c r="AA3326">
        <v>0.99968319999999999</v>
      </c>
      <c r="AB3326">
        <v>40</v>
      </c>
      <c r="AC3326">
        <v>21.723700000000001</v>
      </c>
      <c r="AD3326">
        <v>-1.11091245323629</v>
      </c>
      <c r="AE3326">
        <v>0.30399999999997301</v>
      </c>
      <c r="AF3326">
        <v>-0.55563759810559199</v>
      </c>
      <c r="AG3326">
        <v>-1.11091245323629</v>
      </c>
      <c r="AH3326">
        <v>21.662045569061199</v>
      </c>
      <c r="AI3326">
        <v>92.934810927073997</v>
      </c>
      <c r="AJ3326">
        <v>91.469330770458001</v>
      </c>
      <c r="AK3326">
        <v>21.697628392413499</v>
      </c>
      <c r="AL3326">
        <v>80.143798536838702</v>
      </c>
      <c r="AM3326">
        <v>89.407152482282399</v>
      </c>
      <c r="AN3326">
        <v>0.999999974868233</v>
      </c>
    </row>
    <row r="3327" spans="1:40" x14ac:dyDescent="0.25">
      <c r="A3327" t="str">
        <f>"20190312172435010"</f>
        <v>20190312172435010</v>
      </c>
      <c r="B3327" t="str">
        <f>"1552382675003367"</f>
        <v>1552382675003367</v>
      </c>
      <c r="C3327" t="s">
        <v>40</v>
      </c>
      <c r="D3327">
        <v>3.9798170000000002</v>
      </c>
      <c r="E3327">
        <v>0.48857250000000002</v>
      </c>
      <c r="F3327" t="s">
        <v>47</v>
      </c>
      <c r="G3327">
        <v>-383.6705</v>
      </c>
      <c r="H3327" s="1">
        <v>4.5124499999999999E-7</v>
      </c>
      <c r="I3327">
        <v>213.8211</v>
      </c>
      <c r="J3327">
        <v>-405.18459999999999</v>
      </c>
      <c r="K3327">
        <v>1.110924</v>
      </c>
      <c r="L3327">
        <v>213.51390000000001</v>
      </c>
      <c r="M3327">
        <v>0.99986209999999998</v>
      </c>
      <c r="N3327">
        <v>0</v>
      </c>
      <c r="O3327">
        <v>-1.071444E-2</v>
      </c>
      <c r="P3327">
        <v>0.98709840000000004</v>
      </c>
      <c r="Q3327">
        <v>0.15869839999999999</v>
      </c>
      <c r="R3327">
        <v>-2.125546E-2</v>
      </c>
      <c r="S3327">
        <v>3.065277</v>
      </c>
      <c r="T3327">
        <v>-0.15546789999999999</v>
      </c>
      <c r="U3327">
        <v>4.2480469999999999E-2</v>
      </c>
      <c r="V3327">
        <v>1.0252290000000001E-2</v>
      </c>
      <c r="W3327">
        <v>0.17124320000000001</v>
      </c>
      <c r="X3327">
        <v>0.98517540000000003</v>
      </c>
      <c r="Y3327">
        <v>-2.4525470000000001E-2</v>
      </c>
      <c r="Z3327">
        <v>1.1646219999999999E-3</v>
      </c>
      <c r="AA3327">
        <v>0.99969850000000005</v>
      </c>
      <c r="AB3327">
        <v>40</v>
      </c>
      <c r="AC3327">
        <v>21.5140999999999</v>
      </c>
      <c r="AD3327">
        <v>-1.110923548755</v>
      </c>
      <c r="AE3327">
        <v>0.30719999999999398</v>
      </c>
      <c r="AF3327">
        <v>-0.536282811350281</v>
      </c>
      <c r="AG3327">
        <v>-1.110923548755</v>
      </c>
      <c r="AH3327">
        <v>21.4523845831032</v>
      </c>
      <c r="AI3327">
        <v>92.963521212884501</v>
      </c>
      <c r="AJ3327">
        <v>91.432024641878797</v>
      </c>
      <c r="AK3327">
        <v>21.487823405042501</v>
      </c>
      <c r="AL3327">
        <v>80.139890368500502</v>
      </c>
      <c r="AM3327">
        <v>89.403769375698104</v>
      </c>
      <c r="AN3327">
        <v>0.99999995588082102</v>
      </c>
    </row>
    <row r="3328" spans="1:40" x14ac:dyDescent="0.25">
      <c r="A3328" t="str">
        <f>"20190312172435043"</f>
        <v>20190312172435043</v>
      </c>
      <c r="B3328" t="str">
        <f>"1552382675033622"</f>
        <v>1552382675033622</v>
      </c>
      <c r="C3328" t="s">
        <v>40</v>
      </c>
      <c r="D3328">
        <v>3.9855670000000001</v>
      </c>
      <c r="E3328">
        <v>0.48890620000000001</v>
      </c>
      <c r="F3328" t="s">
        <v>47</v>
      </c>
      <c r="G3328">
        <v>-383.15230000000003</v>
      </c>
      <c r="H3328" s="1">
        <v>1.75302499999999E-7</v>
      </c>
      <c r="I3328">
        <v>213.8253</v>
      </c>
      <c r="J3328">
        <v>-404.58690000000001</v>
      </c>
      <c r="K3328">
        <v>1.1109359999999999</v>
      </c>
      <c r="L3328">
        <v>213.50890000000001</v>
      </c>
      <c r="M3328">
        <v>0.99987510000000002</v>
      </c>
      <c r="N3328">
        <v>0</v>
      </c>
      <c r="O3328">
        <v>-9.2774190000000003E-3</v>
      </c>
      <c r="P3328">
        <v>0.98713360000000006</v>
      </c>
      <c r="Q3328">
        <v>0.158608</v>
      </c>
      <c r="R3328">
        <v>-2.0274159999999999E-2</v>
      </c>
      <c r="S3328">
        <v>3.0650019999999998</v>
      </c>
      <c r="T3328">
        <v>-0.15454509999999999</v>
      </c>
      <c r="U3328">
        <v>4.3319700000000003E-2</v>
      </c>
      <c r="V3328">
        <v>1.0689570000000001E-2</v>
      </c>
      <c r="W3328">
        <v>0.171268</v>
      </c>
      <c r="X3328">
        <v>0.98516649999999995</v>
      </c>
      <c r="Y3328">
        <v>-2.3367430000000002E-2</v>
      </c>
      <c r="Z3328">
        <v>1.05623E-3</v>
      </c>
      <c r="AA3328">
        <v>0.99972640000000002</v>
      </c>
      <c r="AB3328">
        <v>40</v>
      </c>
      <c r="AC3328">
        <v>21.4345999999999</v>
      </c>
      <c r="AD3328">
        <v>-1.1109358246975001</v>
      </c>
      <c r="AE3328">
        <v>0.31639999999998702</v>
      </c>
      <c r="AF3328">
        <v>-0.51388031365464104</v>
      </c>
      <c r="AG3328">
        <v>-1.1109358246975001</v>
      </c>
      <c r="AH3328">
        <v>21.373340043785099</v>
      </c>
      <c r="AI3328">
        <v>92.974563840429497</v>
      </c>
      <c r="AJ3328">
        <v>91.377300022614804</v>
      </c>
      <c r="AK3328">
        <v>21.4083608903303</v>
      </c>
      <c r="AL3328">
        <v>80.138448702480801</v>
      </c>
      <c r="AM3328">
        <v>89.378335325578703</v>
      </c>
      <c r="AN3328">
        <v>1.0000000137265099</v>
      </c>
    </row>
    <row r="3329" spans="1:40" x14ac:dyDescent="0.25">
      <c r="A3329" t="str">
        <f>"20190312172435066"</f>
        <v>20190312172435066</v>
      </c>
      <c r="B3329" t="str">
        <f>"1552382675063879"</f>
        <v>1552382675063879</v>
      </c>
      <c r="C3329" t="s">
        <v>40</v>
      </c>
      <c r="D3329">
        <v>3.9765480000000002</v>
      </c>
      <c r="E3329">
        <v>0.49334349999999999</v>
      </c>
      <c r="F3329" t="s">
        <v>47</v>
      </c>
      <c r="G3329">
        <v>-382.46</v>
      </c>
      <c r="H3329" s="1">
        <v>-1.93125E-7</v>
      </c>
      <c r="I3329">
        <v>213.8254</v>
      </c>
      <c r="J3329">
        <v>-404.17540000000002</v>
      </c>
      <c r="K3329">
        <v>1.1109450000000001</v>
      </c>
      <c r="L3329">
        <v>213.506</v>
      </c>
      <c r="M3329">
        <v>0.99988259999999995</v>
      </c>
      <c r="N3329">
        <v>0</v>
      </c>
      <c r="O3329">
        <v>-8.2878340000000009E-3</v>
      </c>
      <c r="P3329">
        <v>0.98721159999999997</v>
      </c>
      <c r="Q3329">
        <v>0.15817800000000001</v>
      </c>
      <c r="R3329">
        <v>-1.9832180000000001E-2</v>
      </c>
      <c r="S3329">
        <v>3.0647280000000001</v>
      </c>
      <c r="T3329">
        <v>-0.15387200000000001</v>
      </c>
      <c r="U3329">
        <v>4.3838500000000002E-2</v>
      </c>
      <c r="V3329">
        <v>1.1225209999999999E-2</v>
      </c>
      <c r="W3329">
        <v>0.17091709999999999</v>
      </c>
      <c r="X3329">
        <v>0.98522140000000002</v>
      </c>
      <c r="Y3329">
        <v>-2.2551089999999999E-2</v>
      </c>
      <c r="Z3329">
        <v>9.8159510000000007E-4</v>
      </c>
      <c r="AA3329">
        <v>0.9997452</v>
      </c>
      <c r="AB3329">
        <v>40</v>
      </c>
      <c r="AC3329">
        <v>21.715399999999999</v>
      </c>
      <c r="AD3329">
        <v>-1.1109451931250001</v>
      </c>
      <c r="AE3329">
        <v>0.31940000000002999</v>
      </c>
      <c r="AF3329">
        <v>-0.49807429125625802</v>
      </c>
      <c r="AG3329">
        <v>-1.1109451931250001</v>
      </c>
      <c r="AH3329">
        <v>21.6553409580406</v>
      </c>
      <c r="AI3329">
        <v>92.935993164217805</v>
      </c>
      <c r="AJ3329">
        <v>91.317574462272702</v>
      </c>
      <c r="AK3329">
        <v>21.689538243833798</v>
      </c>
      <c r="AL3329">
        <v>80.158853882998699</v>
      </c>
      <c r="AM3329">
        <v>89.347223548875206</v>
      </c>
      <c r="AN3329">
        <v>0.99999993371495399</v>
      </c>
    </row>
    <row r="3330" spans="1:40" x14ac:dyDescent="0.25">
      <c r="A3330" t="str">
        <f>"20190312172435089"</f>
        <v>20190312172435089</v>
      </c>
      <c r="B3330" t="str">
        <f>"1552382675083907"</f>
        <v>1552382675083907</v>
      </c>
      <c r="C3330" t="s">
        <v>40</v>
      </c>
      <c r="D3330">
        <v>3.9625759999999999</v>
      </c>
      <c r="E3330">
        <v>0.49384729999999999</v>
      </c>
      <c r="F3330" t="s">
        <v>47</v>
      </c>
      <c r="G3330">
        <v>-380.42950000000002</v>
      </c>
      <c r="H3330" s="1">
        <v>-1.2628399999999901E-6</v>
      </c>
      <c r="I3330">
        <v>213.57830000000001</v>
      </c>
      <c r="J3330">
        <v>-403.7672</v>
      </c>
      <c r="K3330">
        <v>1.110957</v>
      </c>
      <c r="L3330">
        <v>213.50360000000001</v>
      </c>
      <c r="M3330">
        <v>0.99988929999999998</v>
      </c>
      <c r="N3330">
        <v>0</v>
      </c>
      <c r="O3330">
        <v>-7.3068200000000003E-3</v>
      </c>
      <c r="P3330">
        <v>0.98726040000000004</v>
      </c>
      <c r="Q3330">
        <v>0.157964299999999</v>
      </c>
      <c r="R3330">
        <v>-1.9080059999999999E-2</v>
      </c>
      <c r="S3330">
        <v>3.0619809999999998</v>
      </c>
      <c r="T3330">
        <v>-0.143254399999999</v>
      </c>
      <c r="U3330">
        <v>9.3231200000000007E-3</v>
      </c>
      <c r="V3330">
        <v>1.1441939999999999E-2</v>
      </c>
      <c r="W3330">
        <v>0.1707794</v>
      </c>
      <c r="X3330">
        <v>0.98524279999999997</v>
      </c>
      <c r="Y3330">
        <v>-1.033281E-2</v>
      </c>
      <c r="Z3330">
        <v>5.8326540000000005E-4</v>
      </c>
      <c r="AA3330">
        <v>0.99994640000000001</v>
      </c>
      <c r="AB3330">
        <v>40</v>
      </c>
      <c r="AC3330">
        <v>23.337699999999899</v>
      </c>
      <c r="AD3330">
        <v>-1.1109582628400001</v>
      </c>
      <c r="AE3330">
        <v>7.4700000000007094E-2</v>
      </c>
      <c r="AF3330">
        <v>-0.24468223521392499</v>
      </c>
      <c r="AG3330">
        <v>-1.1109582628400001</v>
      </c>
      <c r="AH3330">
        <v>23.283768182024701</v>
      </c>
      <c r="AI3330">
        <v>92.731579960336205</v>
      </c>
      <c r="AJ3330">
        <v>90.6020822429535</v>
      </c>
      <c r="AK3330">
        <v>23.311541313526799</v>
      </c>
      <c r="AL3330">
        <v>80.166861385629801</v>
      </c>
      <c r="AM3330">
        <v>89.334635684178807</v>
      </c>
      <c r="AN3330">
        <v>0.99999994820357996</v>
      </c>
    </row>
    <row r="3331" spans="1:40" x14ac:dyDescent="0.25">
      <c r="A3331" t="str">
        <f>"20190312172435112"</f>
        <v>20190312172435112</v>
      </c>
      <c r="B3331" t="str">
        <f>"1552382675103425"</f>
        <v>1552382675103425</v>
      </c>
      <c r="C3331" t="s">
        <v>40</v>
      </c>
      <c r="D3331">
        <v>3.9647260000000002</v>
      </c>
      <c r="E3331">
        <v>0.49432359999999997</v>
      </c>
      <c r="F3331" t="s">
        <v>47</v>
      </c>
      <c r="G3331">
        <v>-379.68770000000001</v>
      </c>
      <c r="H3331" s="1">
        <v>3.6184899999999999E-6</v>
      </c>
      <c r="I3331">
        <v>213.5609</v>
      </c>
      <c r="J3331">
        <v>-403.36959999999999</v>
      </c>
      <c r="K3331">
        <v>1.110968</v>
      </c>
      <c r="L3331">
        <v>213.50149999999999</v>
      </c>
      <c r="M3331">
        <v>0.99989490000000003</v>
      </c>
      <c r="N3331">
        <v>0</v>
      </c>
      <c r="O3331">
        <v>-6.3523829999999996E-3</v>
      </c>
      <c r="P3331">
        <v>0.9872611</v>
      </c>
      <c r="Q3331">
        <v>0.1580848</v>
      </c>
      <c r="R3331">
        <v>-1.8024479999999999E-2</v>
      </c>
      <c r="S3331">
        <v>3.0614620000000001</v>
      </c>
      <c r="T3331">
        <v>-0.1412457</v>
      </c>
      <c r="U3331">
        <v>7.2937009999999997E-3</v>
      </c>
      <c r="V3331">
        <v>1.132856E-2</v>
      </c>
      <c r="W3331">
        <v>0.17097209999999999</v>
      </c>
      <c r="X3331">
        <v>0.98521069999999999</v>
      </c>
      <c r="Y3331">
        <v>-8.7192420000000003E-3</v>
      </c>
      <c r="Z3331">
        <v>4.9397690000000001E-4</v>
      </c>
      <c r="AA3331">
        <v>0.99996189999999996</v>
      </c>
      <c r="AB3331">
        <v>40</v>
      </c>
      <c r="AC3331">
        <v>23.681899999999899</v>
      </c>
      <c r="AD3331">
        <v>-1.1109643815100001</v>
      </c>
      <c r="AE3331">
        <v>5.9400000000010701E-2</v>
      </c>
      <c r="AF3331">
        <v>-0.209387274278862</v>
      </c>
      <c r="AG3331">
        <v>-1.1109643815100001</v>
      </c>
      <c r="AH3331">
        <v>23.629043866317399</v>
      </c>
      <c r="AI3331">
        <v>92.691781996110095</v>
      </c>
      <c r="AJ3331">
        <v>90.507709628908202</v>
      </c>
      <c r="AK3331">
        <v>23.6560731932408</v>
      </c>
      <c r="AL3331">
        <v>80.155655791912807</v>
      </c>
      <c r="AM3331">
        <v>89.341206838737506</v>
      </c>
      <c r="AN3331">
        <v>0.99999995932228603</v>
      </c>
    </row>
    <row r="3332" spans="1:40" x14ac:dyDescent="0.25">
      <c r="A3332" t="str">
        <f>"20190312172435132"</f>
        <v>20190312172435132</v>
      </c>
      <c r="B3332" t="str">
        <f>"1552382675123922"</f>
        <v>1552382675123922</v>
      </c>
      <c r="C3332" t="s">
        <v>40</v>
      </c>
      <c r="D3332">
        <v>3.9159950000000001</v>
      </c>
      <c r="E3332">
        <v>0.49474190000000001</v>
      </c>
      <c r="F3332" t="s">
        <v>47</v>
      </c>
      <c r="G3332">
        <v>-378.69900000000001</v>
      </c>
      <c r="H3332" s="1">
        <v>3.09239E-6</v>
      </c>
      <c r="I3332">
        <v>213.55699999999999</v>
      </c>
      <c r="J3332">
        <v>-402.98039999999997</v>
      </c>
      <c r="K3332">
        <v>1.1109739999999999</v>
      </c>
      <c r="L3332">
        <v>213.4999</v>
      </c>
      <c r="M3332">
        <v>0.99989939999999999</v>
      </c>
      <c r="N3332">
        <v>0</v>
      </c>
      <c r="O3332">
        <v>-5.4204930000000002E-3</v>
      </c>
      <c r="P3332">
        <v>0.98733289999999996</v>
      </c>
      <c r="Q3332">
        <v>0.15773110000000001</v>
      </c>
      <c r="R3332">
        <v>-1.7169130000000001E-2</v>
      </c>
      <c r="S3332">
        <v>3.060883</v>
      </c>
      <c r="T3332">
        <v>-0.1378376</v>
      </c>
      <c r="U3332">
        <v>6.8817139999999997E-3</v>
      </c>
      <c r="V3332">
        <v>1.1394319999999999E-2</v>
      </c>
      <c r="W3332">
        <v>0.17069210000000001</v>
      </c>
      <c r="X3332">
        <v>0.98525850000000004</v>
      </c>
      <c r="Y3332">
        <v>-7.6559319999999998E-3</v>
      </c>
      <c r="Z3332">
        <v>4.162856E-4</v>
      </c>
      <c r="AA3332">
        <v>0.99997060000000004</v>
      </c>
      <c r="AB3332">
        <v>40</v>
      </c>
      <c r="AC3332">
        <v>24.281399999999898</v>
      </c>
      <c r="AD3332">
        <v>-1.1109709076099901</v>
      </c>
      <c r="AE3332">
        <v>5.71000000000196E-2</v>
      </c>
      <c r="AF3332">
        <v>-0.18833336756581601</v>
      </c>
      <c r="AG3332">
        <v>-1.1109709076099901</v>
      </c>
      <c r="AH3332">
        <v>24.230010195082599</v>
      </c>
      <c r="AI3332">
        <v>92.625152618606293</v>
      </c>
      <c r="AJ3332">
        <v>90.445335751651101</v>
      </c>
      <c r="AK3332">
        <v>24.256197555855799</v>
      </c>
      <c r="AL3332">
        <v>80.171938039134403</v>
      </c>
      <c r="AM3332">
        <v>89.337415161758301</v>
      </c>
      <c r="AN3332">
        <v>0.99999996767646004</v>
      </c>
    </row>
    <row r="3333" spans="1:40" x14ac:dyDescent="0.25">
      <c r="A3333" t="str">
        <f>"20190312172435155"</f>
        <v>20190312172435155</v>
      </c>
      <c r="B3333" t="str">
        <f>"1552382675143441"</f>
        <v>1552382675143441</v>
      </c>
      <c r="C3333" t="s">
        <v>40</v>
      </c>
      <c r="D3333">
        <v>3.9049450000000001</v>
      </c>
      <c r="E3333">
        <v>0.49490869999999998</v>
      </c>
      <c r="F3333" t="s">
        <v>47</v>
      </c>
      <c r="G3333">
        <v>-378.1379</v>
      </c>
      <c r="H3333" s="1">
        <v>2.7937839999999998E-6</v>
      </c>
      <c r="I3333">
        <v>213.5472</v>
      </c>
      <c r="J3333">
        <v>-402.59100000000001</v>
      </c>
      <c r="K3333">
        <v>1.110981</v>
      </c>
      <c r="L3333">
        <v>213.49870000000001</v>
      </c>
      <c r="M3333">
        <v>0.99990290000000004</v>
      </c>
      <c r="N3333">
        <v>0</v>
      </c>
      <c r="O3333">
        <v>-4.4911600000000001E-3</v>
      </c>
      <c r="P3333">
        <v>0.98735759999999995</v>
      </c>
      <c r="Q3333">
        <v>0.15769339999999901</v>
      </c>
      <c r="R3333">
        <v>-1.6058119999999999E-2</v>
      </c>
      <c r="S3333">
        <v>3.0605159999999998</v>
      </c>
      <c r="T3333">
        <v>-0.13686789999999999</v>
      </c>
      <c r="U3333">
        <v>5.8288569999999998E-3</v>
      </c>
      <c r="V3333">
        <v>1.120207E-2</v>
      </c>
      <c r="W3333">
        <v>0.17073289999999999</v>
      </c>
      <c r="X3333">
        <v>0.98525370000000001</v>
      </c>
      <c r="Y3333">
        <v>-6.385183E-3</v>
      </c>
      <c r="Z3333">
        <v>3.434666E-4</v>
      </c>
      <c r="AA3333">
        <v>0.99997959999999997</v>
      </c>
      <c r="AB3333">
        <v>40</v>
      </c>
      <c r="AC3333">
        <v>24.453099999999999</v>
      </c>
      <c r="AD3333">
        <v>-1.1109782062160001</v>
      </c>
      <c r="AE3333">
        <v>4.8499999999990002E-2</v>
      </c>
      <c r="AF3333">
        <v>-0.15800570462684599</v>
      </c>
      <c r="AG3333">
        <v>-1.1109782062160001</v>
      </c>
      <c r="AH3333">
        <v>24.4022655321683</v>
      </c>
      <c r="AI3333">
        <v>92.606688507609107</v>
      </c>
      <c r="AJ3333">
        <v>90.370987418577997</v>
      </c>
      <c r="AK3333">
        <v>24.4280535753431</v>
      </c>
      <c r="AL3333">
        <v>80.169566178174307</v>
      </c>
      <c r="AM3333">
        <v>89.348590440946197</v>
      </c>
      <c r="AN3333">
        <v>1.0000000314391899</v>
      </c>
    </row>
    <row r="3334" spans="1:40" x14ac:dyDescent="0.25">
      <c r="A3334" t="str">
        <f>"20190312172435177"</f>
        <v>20190312172435177</v>
      </c>
      <c r="B3334" t="str">
        <f>"1552382675173697"</f>
        <v>1552382675173697</v>
      </c>
      <c r="C3334" t="s">
        <v>40</v>
      </c>
      <c r="D3334">
        <v>3.9190010000000002</v>
      </c>
      <c r="E3334">
        <v>0.49511250000000001</v>
      </c>
      <c r="F3334" t="s">
        <v>47</v>
      </c>
      <c r="G3334">
        <v>-377.81990000000002</v>
      </c>
      <c r="H3334" s="1">
        <v>2.6245520000000002E-6</v>
      </c>
      <c r="I3334">
        <v>213.56399999999999</v>
      </c>
      <c r="J3334">
        <v>-402.18920000000003</v>
      </c>
      <c r="K3334">
        <v>1.110992</v>
      </c>
      <c r="L3334">
        <v>213.49770000000001</v>
      </c>
      <c r="M3334">
        <v>0.99990559999999995</v>
      </c>
      <c r="N3334">
        <v>0</v>
      </c>
      <c r="O3334">
        <v>-3.5352019999999999E-3</v>
      </c>
      <c r="P3334">
        <v>0.98733539999999997</v>
      </c>
      <c r="Q3334">
        <v>0.15792679999999901</v>
      </c>
      <c r="R3334">
        <v>-1.509887E-2</v>
      </c>
      <c r="S3334">
        <v>3.0604550000000001</v>
      </c>
      <c r="T3334">
        <v>-0.13726060000000001</v>
      </c>
      <c r="U3334">
        <v>8.0718990000000004E-3</v>
      </c>
      <c r="V3334">
        <v>1.1187620000000001E-2</v>
      </c>
      <c r="W3334">
        <v>0.17105429999999999</v>
      </c>
      <c r="X3334">
        <v>0.98519809999999997</v>
      </c>
      <c r="Y3334">
        <v>-6.1632090000000002E-3</v>
      </c>
      <c r="Z3334">
        <v>2.9662619999999999E-4</v>
      </c>
      <c r="AA3334">
        <v>0.99998100000000001</v>
      </c>
      <c r="AB3334">
        <v>40</v>
      </c>
      <c r="AC3334">
        <v>24.369299999999999</v>
      </c>
      <c r="AD3334">
        <v>-1.110989375448</v>
      </c>
      <c r="AE3334">
        <v>6.6300000000012405E-2</v>
      </c>
      <c r="AF3334">
        <v>-0.15214136700279399</v>
      </c>
      <c r="AG3334">
        <v>-1.110989375448</v>
      </c>
      <c r="AH3334">
        <v>24.318369831108299</v>
      </c>
      <c r="AI3334">
        <v>92.615698726486201</v>
      </c>
      <c r="AJ3334">
        <v>90.358451020853295</v>
      </c>
      <c r="AK3334">
        <v>24.344209899490899</v>
      </c>
      <c r="AL3334">
        <v>80.150876228219801</v>
      </c>
      <c r="AM3334">
        <v>89.349393936077803</v>
      </c>
      <c r="AN3334">
        <v>1.00000001631668</v>
      </c>
    </row>
    <row r="3335" spans="1:40" x14ac:dyDescent="0.25">
      <c r="A3335" t="str">
        <f>"20190312172435223"</f>
        <v>20190312172435223</v>
      </c>
      <c r="B3335" t="str">
        <f>"1552382675213246"</f>
        <v>1552382675213246</v>
      </c>
      <c r="C3335" t="s">
        <v>40</v>
      </c>
      <c r="D3335">
        <v>3.9267409999999998</v>
      </c>
      <c r="E3335">
        <v>0.49558180000000002</v>
      </c>
      <c r="F3335" t="s">
        <v>47</v>
      </c>
      <c r="G3335">
        <v>-377.13200000000001</v>
      </c>
      <c r="H3335" s="1">
        <v>2.2585250000000001E-6</v>
      </c>
      <c r="I3335">
        <v>213.57329999999999</v>
      </c>
      <c r="J3335">
        <v>-401.40449999999998</v>
      </c>
      <c r="K3335">
        <v>1.111016</v>
      </c>
      <c r="L3335">
        <v>213.49700000000001</v>
      </c>
      <c r="M3335">
        <v>0.99990789999999996</v>
      </c>
      <c r="N3335">
        <v>0</v>
      </c>
      <c r="O3335">
        <v>-1.6775E-3</v>
      </c>
      <c r="P3335">
        <v>0.98746769999999995</v>
      </c>
      <c r="Q3335">
        <v>0.15723879999999901</v>
      </c>
      <c r="R3335">
        <v>-1.355022E-2</v>
      </c>
      <c r="S3335">
        <v>3.060333</v>
      </c>
      <c r="T3335">
        <v>-0.13568959999999999</v>
      </c>
      <c r="U3335">
        <v>9.2315669999999996E-3</v>
      </c>
      <c r="V3335">
        <v>1.147871E-2</v>
      </c>
      <c r="W3335">
        <v>0.17055490000000001</v>
      </c>
      <c r="X3335">
        <v>0.98528130000000003</v>
      </c>
      <c r="Y3335">
        <v>-4.6878960000000004E-3</v>
      </c>
      <c r="Z3335">
        <v>1.782225E-4</v>
      </c>
      <c r="AA3335">
        <v>0.99998900000000002</v>
      </c>
      <c r="AB3335">
        <v>40</v>
      </c>
      <c r="AC3335">
        <v>24.272500000000001</v>
      </c>
      <c r="AD3335">
        <v>-1.1110137414749901</v>
      </c>
      <c r="AE3335">
        <v>7.6299999999974902E-2</v>
      </c>
      <c r="AF3335">
        <v>-0.11677604652139199</v>
      </c>
      <c r="AG3335">
        <v>-1.1110137414749901</v>
      </c>
      <c r="AH3335">
        <v>24.221591089261601</v>
      </c>
      <c r="AI3335">
        <v>92.626213656723493</v>
      </c>
      <c r="AJ3335">
        <v>90.276229697334003</v>
      </c>
      <c r="AK3335">
        <v>24.247339298863</v>
      </c>
      <c r="AL3335">
        <v>80.179916202629101</v>
      </c>
      <c r="AM3335">
        <v>89.332523732395799</v>
      </c>
      <c r="AN3335">
        <v>0.99999998741348195</v>
      </c>
    </row>
    <row r="3336" spans="1:40" x14ac:dyDescent="0.25">
      <c r="A3336" t="str">
        <f>"20190312172435245"</f>
        <v>20190312172435245</v>
      </c>
      <c r="B3336" t="str">
        <f>"1552382675233741"</f>
        <v>1552382675233741</v>
      </c>
      <c r="C3336" t="s">
        <v>40</v>
      </c>
      <c r="D3336">
        <v>3.9334820000000001</v>
      </c>
      <c r="E3336">
        <v>0.49582559999999898</v>
      </c>
      <c r="F3336" t="s">
        <v>47</v>
      </c>
      <c r="G3336">
        <v>-376.6644</v>
      </c>
      <c r="H3336" s="1">
        <v>2.009661E-6</v>
      </c>
      <c r="I3336">
        <v>213.5797</v>
      </c>
      <c r="J3336">
        <v>-400.98910000000001</v>
      </c>
      <c r="K3336">
        <v>1.111027</v>
      </c>
      <c r="L3336">
        <v>213.4973</v>
      </c>
      <c r="M3336">
        <v>0.99990769999999995</v>
      </c>
      <c r="N3336">
        <v>0</v>
      </c>
      <c r="O3336">
        <v>-7.0029089999999999E-4</v>
      </c>
      <c r="P3336">
        <v>0.98753709999999995</v>
      </c>
      <c r="Q3336">
        <v>0.15686839999999999</v>
      </c>
      <c r="R3336">
        <v>-1.2750910000000001E-2</v>
      </c>
      <c r="S3336">
        <v>3.0600890000000001</v>
      </c>
      <c r="T3336">
        <v>-0.13742070000000001</v>
      </c>
      <c r="U3336">
        <v>1.0223390000000001E-2</v>
      </c>
      <c r="V3336">
        <v>1.1647370000000001E-2</v>
      </c>
      <c r="W3336">
        <v>0.1702833</v>
      </c>
      <c r="X3336">
        <v>0.98532629999999999</v>
      </c>
      <c r="Y3336">
        <v>-4.0364390000000002E-3</v>
      </c>
      <c r="Z3336">
        <v>1.220223E-4</v>
      </c>
      <c r="AA3336">
        <v>0.99999179999999999</v>
      </c>
      <c r="AB3336">
        <v>40</v>
      </c>
      <c r="AC3336">
        <v>24.3247</v>
      </c>
      <c r="AD3336">
        <v>-1.1110249903389999</v>
      </c>
      <c r="AE3336">
        <v>8.2400000000006898E-2</v>
      </c>
      <c r="AF3336">
        <v>-9.9228906675428899E-2</v>
      </c>
      <c r="AG3336">
        <v>-1.1110249903389999</v>
      </c>
      <c r="AH3336">
        <v>24.273996875368798</v>
      </c>
      <c r="AI3336">
        <v>92.620586809195302</v>
      </c>
      <c r="AJ3336">
        <v>90.2342163063947</v>
      </c>
      <c r="AK3336">
        <v>24.299612079424101</v>
      </c>
      <c r="AL3336">
        <v>80.195708785607593</v>
      </c>
      <c r="AM3336">
        <v>89.322748146582498</v>
      </c>
      <c r="AN3336">
        <v>0.99999999047924804</v>
      </c>
    </row>
    <row r="3337" spans="1:40" x14ac:dyDescent="0.25">
      <c r="A3337" t="str">
        <f>"20190312172435266"</f>
        <v>20190312172435266</v>
      </c>
      <c r="B3337" t="str">
        <f>"1552382675253261"</f>
        <v>1552382675253261</v>
      </c>
      <c r="C3337" t="s">
        <v>40</v>
      </c>
      <c r="D3337">
        <v>3.9238059999999999</v>
      </c>
      <c r="E3337">
        <v>0.4959886</v>
      </c>
      <c r="F3337" t="s">
        <v>47</v>
      </c>
      <c r="G3337">
        <v>-376.42500000000001</v>
      </c>
      <c r="H3337" s="1">
        <v>1.882272E-6</v>
      </c>
      <c r="I3337">
        <v>213.5796</v>
      </c>
      <c r="J3337">
        <v>-400.60899999999998</v>
      </c>
      <c r="K3337">
        <v>1.1110279999999999</v>
      </c>
      <c r="L3337">
        <v>213.49780000000001</v>
      </c>
      <c r="M3337">
        <v>0.99990670000000004</v>
      </c>
      <c r="N3337">
        <v>0</v>
      </c>
      <c r="O3337">
        <v>1.89388E-4</v>
      </c>
      <c r="P3337">
        <v>0.98751849999999997</v>
      </c>
      <c r="Q3337">
        <v>0.1570559</v>
      </c>
      <c r="R3337">
        <v>-1.1867870000000001E-2</v>
      </c>
      <c r="S3337">
        <v>3.0599669999999999</v>
      </c>
      <c r="T3337">
        <v>-0.1384013</v>
      </c>
      <c r="U3337">
        <v>1.025391E-2</v>
      </c>
      <c r="V3337">
        <v>1.1643850000000001E-2</v>
      </c>
      <c r="W3337">
        <v>0.17055479999999901</v>
      </c>
      <c r="X3337">
        <v>0.98527940000000003</v>
      </c>
      <c r="Y3337">
        <v>-3.1585269999999999E-3</v>
      </c>
      <c r="Z3337" s="1">
        <v>6.2830509999999907E-5</v>
      </c>
      <c r="AA3337">
        <v>0.99999499999999997</v>
      </c>
      <c r="AB3337">
        <v>40</v>
      </c>
      <c r="AC3337">
        <v>24.184000000000001</v>
      </c>
      <c r="AD3337">
        <v>-1.1110261177280001</v>
      </c>
      <c r="AE3337">
        <v>8.1799999999986994E-2</v>
      </c>
      <c r="AF3337">
        <v>-7.7056782786371097E-2</v>
      </c>
      <c r="AG3337">
        <v>-1.1110261177280001</v>
      </c>
      <c r="AH3337">
        <v>24.1330819622038</v>
      </c>
      <c r="AI3337">
        <v>92.635878343466501</v>
      </c>
      <c r="AJ3337">
        <v>90.182944451084794</v>
      </c>
      <c r="AK3337">
        <v>24.1587657337144</v>
      </c>
      <c r="AL3337">
        <v>80.179922217156303</v>
      </c>
      <c r="AM3337">
        <v>89.322920577691093</v>
      </c>
      <c r="AN3337">
        <v>1.0000000075551101</v>
      </c>
    </row>
    <row r="3338" spans="1:40" x14ac:dyDescent="0.25">
      <c r="A3338" t="str">
        <f>"20190312172435289"</f>
        <v>20190312172435289</v>
      </c>
      <c r="B3338" t="str">
        <f>"1552382675284024"</f>
        <v>1552382675284024</v>
      </c>
      <c r="C3338" t="s">
        <v>40</v>
      </c>
      <c r="D3338">
        <v>3.9063509999999999</v>
      </c>
      <c r="E3338">
        <v>0.49616909999999997</v>
      </c>
      <c r="F3338" t="s">
        <v>47</v>
      </c>
      <c r="G3338">
        <v>-375.89429999999999</v>
      </c>
      <c r="H3338" s="1">
        <v>1.599897E-6</v>
      </c>
      <c r="I3338">
        <v>213.59049999999999</v>
      </c>
      <c r="J3338">
        <v>-400.20679999999999</v>
      </c>
      <c r="K3338">
        <v>1.11103</v>
      </c>
      <c r="L3338">
        <v>213.49870000000001</v>
      </c>
      <c r="M3338">
        <v>0.99990509999999999</v>
      </c>
      <c r="N3338">
        <v>0</v>
      </c>
      <c r="O3338">
        <v>1.1192489999999999E-3</v>
      </c>
      <c r="P3338">
        <v>0.98752549999999995</v>
      </c>
      <c r="Q3338">
        <v>0.15703220000000001</v>
      </c>
      <c r="R3338">
        <v>-1.1600650000000001E-2</v>
      </c>
      <c r="S3338">
        <v>3.0599059999999998</v>
      </c>
      <c r="T3338">
        <v>-0.1375555</v>
      </c>
      <c r="U3338">
        <v>1.147461E-2</v>
      </c>
      <c r="V3338">
        <v>1.2297799999999999E-2</v>
      </c>
      <c r="W3338">
        <v>0.1706174</v>
      </c>
      <c r="X3338">
        <v>0.98526060000000004</v>
      </c>
      <c r="Y3338">
        <v>-2.6290879999999999E-3</v>
      </c>
      <c r="Z3338" s="1">
        <v>8.7701230000000005E-6</v>
      </c>
      <c r="AA3338">
        <v>0.99999649999999995</v>
      </c>
      <c r="AB3338">
        <v>40</v>
      </c>
      <c r="AC3338">
        <v>24.3125</v>
      </c>
      <c r="AD3338">
        <v>-1.111028400103</v>
      </c>
      <c r="AE3338">
        <v>9.1799999999977899E-2</v>
      </c>
      <c r="AF3338">
        <v>-6.4451044947673605E-2</v>
      </c>
      <c r="AG3338">
        <v>-1.111028400103</v>
      </c>
      <c r="AH3338">
        <v>24.261922286084499</v>
      </c>
      <c r="AI3338">
        <v>92.6219098675857</v>
      </c>
      <c r="AJ3338">
        <v>90.152204105296406</v>
      </c>
      <c r="AK3338">
        <v>24.287433192065301</v>
      </c>
      <c r="AL3338">
        <v>80.176281988686995</v>
      </c>
      <c r="AM3338">
        <v>89.284884172660398</v>
      </c>
      <c r="AN3338">
        <v>0.99999999148997998</v>
      </c>
    </row>
    <row r="3339" spans="1:40" x14ac:dyDescent="0.25">
      <c r="A3339" t="str">
        <f>"20190312172435312"</f>
        <v>20190312172435312</v>
      </c>
      <c r="B3339" t="str">
        <f>"1552382675303544"</f>
        <v>1552382675303544</v>
      </c>
      <c r="C3339" t="s">
        <v>40</v>
      </c>
      <c r="D3339">
        <v>3.8952179999999998</v>
      </c>
      <c r="E3339">
        <v>0.49628410000000001</v>
      </c>
      <c r="F3339" t="s">
        <v>47</v>
      </c>
      <c r="G3339">
        <v>-375.31740000000002</v>
      </c>
      <c r="H3339" s="1">
        <v>1.2928900000000001E-6</v>
      </c>
      <c r="I3339">
        <v>213.58869999999999</v>
      </c>
      <c r="J3339">
        <v>-399.80439999999999</v>
      </c>
      <c r="K3339">
        <v>1.111027</v>
      </c>
      <c r="L3339">
        <v>213.5001</v>
      </c>
      <c r="M3339">
        <v>0.99990239999999997</v>
      </c>
      <c r="N3339">
        <v>0</v>
      </c>
      <c r="O3339">
        <v>2.0302050000000002E-3</v>
      </c>
      <c r="P3339">
        <v>0.98762470000000002</v>
      </c>
      <c r="Q3339">
        <v>0.15645510000000001</v>
      </c>
      <c r="R3339">
        <v>-1.091759E-2</v>
      </c>
      <c r="S3339">
        <v>3.0597840000000001</v>
      </c>
      <c r="T3339">
        <v>-0.13658489999999901</v>
      </c>
      <c r="U3339">
        <v>1.106262E-2</v>
      </c>
      <c r="V3339">
        <v>1.252136E-2</v>
      </c>
      <c r="W3339">
        <v>0.170123</v>
      </c>
      <c r="X3339">
        <v>0.98534330000000003</v>
      </c>
      <c r="Y3339">
        <v>-1.585517E-3</v>
      </c>
      <c r="Z3339" s="1">
        <v>-5.521889E-5</v>
      </c>
      <c r="AA3339">
        <v>0.99999870000000002</v>
      </c>
      <c r="AB3339">
        <v>40</v>
      </c>
      <c r="AC3339">
        <v>24.486999999999899</v>
      </c>
      <c r="AD3339">
        <v>-1.11102570711</v>
      </c>
      <c r="AE3339">
        <v>8.8599999999985302E-2</v>
      </c>
      <c r="AF3339">
        <v>-3.8801560713731802E-2</v>
      </c>
      <c r="AG3339">
        <v>-1.11102570711</v>
      </c>
      <c r="AH3339">
        <v>24.4368238432582</v>
      </c>
      <c r="AI3339">
        <v>92.603169586327795</v>
      </c>
      <c r="AJ3339">
        <v>90.090975971890799</v>
      </c>
      <c r="AK3339">
        <v>24.462098095408798</v>
      </c>
      <c r="AL3339">
        <v>80.205029579049196</v>
      </c>
      <c r="AM3339">
        <v>89.271946672486493</v>
      </c>
      <c r="AN3339">
        <v>1.00000001922006</v>
      </c>
    </row>
    <row r="3340" spans="1:40" x14ac:dyDescent="0.25">
      <c r="A3340" t="str">
        <f>"20190312172435334"</f>
        <v>20190312172435334</v>
      </c>
      <c r="B3340" t="str">
        <f>"1552382675323064"</f>
        <v>1552382675323064</v>
      </c>
      <c r="C3340" t="s">
        <v>40</v>
      </c>
      <c r="D3340">
        <v>3.9081510000000002</v>
      </c>
      <c r="E3340">
        <v>0.4964499</v>
      </c>
      <c r="F3340" t="s">
        <v>47</v>
      </c>
      <c r="G3340">
        <v>-375.2106</v>
      </c>
      <c r="H3340" s="1">
        <v>1.236033E-6</v>
      </c>
      <c r="I3340">
        <v>213.5966</v>
      </c>
      <c r="J3340">
        <v>-399.40629999999999</v>
      </c>
      <c r="K3340">
        <v>1.111005</v>
      </c>
      <c r="L3340">
        <v>213.5017</v>
      </c>
      <c r="M3340">
        <v>0.99989910000000004</v>
      </c>
      <c r="N3340">
        <v>0</v>
      </c>
      <c r="O3340">
        <v>2.903905E-3</v>
      </c>
      <c r="P3340">
        <v>0.98767300000000002</v>
      </c>
      <c r="Q3340">
        <v>0.15618959999999901</v>
      </c>
      <c r="R3340">
        <v>-1.034738E-2</v>
      </c>
      <c r="S3340">
        <v>3.059631</v>
      </c>
      <c r="T3340">
        <v>-0.13821889999999901</v>
      </c>
      <c r="U3340">
        <v>1.2008670000000001E-2</v>
      </c>
      <c r="V3340">
        <v>1.282326E-2</v>
      </c>
      <c r="W3340">
        <v>0.16994029999999999</v>
      </c>
      <c r="X3340">
        <v>0.98537090000000005</v>
      </c>
      <c r="Y3340">
        <v>-1.0225830000000001E-3</v>
      </c>
      <c r="Z3340">
        <v>-1.080432E-4</v>
      </c>
      <c r="AA3340">
        <v>0.99999950000000004</v>
      </c>
      <c r="AB3340">
        <v>40</v>
      </c>
      <c r="AC3340">
        <v>24.195699999999899</v>
      </c>
      <c r="AD3340">
        <v>-1.1110037639669901</v>
      </c>
      <c r="AE3340">
        <v>9.4899999999995502E-2</v>
      </c>
      <c r="AF3340">
        <v>-2.4578970063869599E-2</v>
      </c>
      <c r="AG3340">
        <v>-1.1110037639669901</v>
      </c>
      <c r="AH3340">
        <v>24.1449669092184</v>
      </c>
      <c r="AI3340">
        <v>92.634541820768206</v>
      </c>
      <c r="AJ3340">
        <v>90.058325644772296</v>
      </c>
      <c r="AK3340">
        <v>24.170526691335599</v>
      </c>
      <c r="AL3340">
        <v>80.215651771551407</v>
      </c>
      <c r="AM3340">
        <v>89.254415564965797</v>
      </c>
      <c r="AN3340">
        <v>0.99999997606396296</v>
      </c>
    </row>
    <row r="3341" spans="1:40" x14ac:dyDescent="0.25">
      <c r="A3341" t="str">
        <f>"20190312172435355"</f>
        <v>20190312172435355</v>
      </c>
      <c r="B3341" t="str">
        <f>"1552382675343560"</f>
        <v>1552382675343560</v>
      </c>
      <c r="C3341" t="s">
        <v>40</v>
      </c>
      <c r="D3341">
        <v>3.8847860000000001</v>
      </c>
      <c r="E3341">
        <v>0.49658360000000001</v>
      </c>
      <c r="F3341" t="s">
        <v>47</v>
      </c>
      <c r="G3341">
        <v>-374.93180000000001</v>
      </c>
      <c r="H3341" s="1">
        <v>1.087677E-6</v>
      </c>
      <c r="I3341">
        <v>213.59739999999999</v>
      </c>
      <c r="J3341">
        <v>-399.03429999999997</v>
      </c>
      <c r="K3341">
        <v>1.1109869999999999</v>
      </c>
      <c r="L3341">
        <v>213.5035</v>
      </c>
      <c r="M3341">
        <v>0.99989539999999999</v>
      </c>
      <c r="N3341">
        <v>0</v>
      </c>
      <c r="O3341">
        <v>3.6858170000000001E-3</v>
      </c>
      <c r="P3341">
        <v>0.98773880000000003</v>
      </c>
      <c r="Q3341">
        <v>0.155805</v>
      </c>
      <c r="R3341">
        <v>-9.8592409999999995E-3</v>
      </c>
      <c r="S3341">
        <v>3.0595089999999998</v>
      </c>
      <c r="T3341">
        <v>-0.13888439999999999</v>
      </c>
      <c r="U3341">
        <v>1.196289E-2</v>
      </c>
      <c r="V3341">
        <v>1.312026E-2</v>
      </c>
      <c r="W3341">
        <v>0.16963810000000001</v>
      </c>
      <c r="X3341">
        <v>0.98541909999999999</v>
      </c>
      <c r="Y3341">
        <v>-2.274245E-4</v>
      </c>
      <c r="Z3341">
        <v>-1.620851E-4</v>
      </c>
      <c r="AA3341">
        <v>0.99999990000000005</v>
      </c>
      <c r="AB3341">
        <v>40</v>
      </c>
      <c r="AC3341">
        <v>24.1024999999999</v>
      </c>
      <c r="AD3341">
        <v>-1.1109859123229999</v>
      </c>
      <c r="AE3341">
        <v>9.3899999999990699E-2</v>
      </c>
      <c r="AF3341">
        <v>-5.0425544240059704E-3</v>
      </c>
      <c r="AG3341">
        <v>-1.1109859123229999</v>
      </c>
      <c r="AH3341">
        <v>24.051581313740702</v>
      </c>
      <c r="AI3341">
        <v>92.644715391832406</v>
      </c>
      <c r="AJ3341">
        <v>90.012012394464094</v>
      </c>
      <c r="AK3341">
        <v>24.077227390549201</v>
      </c>
      <c r="AL3341">
        <v>80.233222042638801</v>
      </c>
      <c r="AM3341">
        <v>89.237186382930702</v>
      </c>
      <c r="AN3341">
        <v>1.0000000144194401</v>
      </c>
    </row>
    <row r="3342" spans="1:40" x14ac:dyDescent="0.25">
      <c r="A3342" t="str">
        <f>"20190312172435377"</f>
        <v>20190312172435377</v>
      </c>
      <c r="B3342" t="str">
        <f>"1552382675373816"</f>
        <v>1552382675373816</v>
      </c>
      <c r="C3342" t="s">
        <v>40</v>
      </c>
      <c r="D3342">
        <v>3.9163730000000001</v>
      </c>
      <c r="E3342">
        <v>0.49678879999999997</v>
      </c>
      <c r="F3342" t="s">
        <v>47</v>
      </c>
      <c r="G3342">
        <v>-374.75810000000001</v>
      </c>
      <c r="H3342" s="1">
        <v>9.9520410000000007E-7</v>
      </c>
      <c r="I3342">
        <v>213.5993</v>
      </c>
      <c r="J3342">
        <v>-398.64640000000003</v>
      </c>
      <c r="K3342">
        <v>1.110962</v>
      </c>
      <c r="L3342">
        <v>213.50559999999999</v>
      </c>
      <c r="M3342">
        <v>0.99989099999999997</v>
      </c>
      <c r="N3342">
        <v>0</v>
      </c>
      <c r="O3342">
        <v>4.4551640000000002E-3</v>
      </c>
      <c r="P3342">
        <v>0.98774019999999996</v>
      </c>
      <c r="Q3342">
        <v>0.15582850000000001</v>
      </c>
      <c r="R3342">
        <v>-9.320577E-3</v>
      </c>
      <c r="S3342">
        <v>3.0594480000000002</v>
      </c>
      <c r="T3342">
        <v>-0.14001350000000001</v>
      </c>
      <c r="U3342">
        <v>1.2069699999999999E-2</v>
      </c>
      <c r="V3342">
        <v>1.335823E-2</v>
      </c>
      <c r="W3342">
        <v>0.1697504</v>
      </c>
      <c r="X3342">
        <v>0.98539659999999996</v>
      </c>
      <c r="Y3342">
        <v>5.0538980000000002E-4</v>
      </c>
      <c r="Z3342">
        <v>-2.1535750000000001E-4</v>
      </c>
      <c r="AA3342">
        <v>0.99999979999999999</v>
      </c>
      <c r="AB3342">
        <v>40</v>
      </c>
      <c r="AC3342">
        <v>23.888300000000001</v>
      </c>
      <c r="AD3342">
        <v>-1.11096100479589</v>
      </c>
      <c r="AE3342">
        <v>9.3700000000012496E-2</v>
      </c>
      <c r="AF3342">
        <v>1.27102794203992E-2</v>
      </c>
      <c r="AG3342">
        <v>-1.11096100479589</v>
      </c>
      <c r="AH3342">
        <v>23.836925379975401</v>
      </c>
      <c r="AI3342">
        <v>92.668437212583498</v>
      </c>
      <c r="AJ3342">
        <v>89.969448857745107</v>
      </c>
      <c r="AK3342">
        <v>23.862803847743798</v>
      </c>
      <c r="AL3342">
        <v>80.226693385577903</v>
      </c>
      <c r="AM3342">
        <v>89.2233347245282</v>
      </c>
      <c r="AN3342">
        <v>1.00000004995022</v>
      </c>
    </row>
    <row r="3343" spans="1:40" x14ac:dyDescent="0.25">
      <c r="A3343" t="str">
        <f>"20190312172435399"</f>
        <v>20190312172435399</v>
      </c>
      <c r="B3343" t="str">
        <f>"1552382675393842"</f>
        <v>1552382675393842</v>
      </c>
      <c r="C3343" t="s">
        <v>40</v>
      </c>
      <c r="D3343">
        <v>3.9389560000000001</v>
      </c>
      <c r="E3343">
        <v>0.49682090000000001</v>
      </c>
      <c r="F3343" t="s">
        <v>47</v>
      </c>
      <c r="G3343">
        <v>-374.34989999999999</v>
      </c>
      <c r="H3343" s="1">
        <v>7.7802179999999999E-7</v>
      </c>
      <c r="I3343">
        <v>213.6002</v>
      </c>
      <c r="J3343">
        <v>-398.25529999999998</v>
      </c>
      <c r="K3343">
        <v>1.110932</v>
      </c>
      <c r="L3343">
        <v>213.50810000000001</v>
      </c>
      <c r="M3343">
        <v>0.99988630000000001</v>
      </c>
      <c r="N3343">
        <v>0</v>
      </c>
      <c r="O3343">
        <v>5.1719390000000004E-3</v>
      </c>
      <c r="P3343">
        <v>0.9877321</v>
      </c>
      <c r="Q3343">
        <v>0.15588750000000001</v>
      </c>
      <c r="R3343">
        <v>-9.1906839999999993E-3</v>
      </c>
      <c r="S3343">
        <v>3.0593870000000001</v>
      </c>
      <c r="T3343">
        <v>-0.13989089999999901</v>
      </c>
      <c r="U3343">
        <v>1.190186E-2</v>
      </c>
      <c r="V3343">
        <v>1.395711E-2</v>
      </c>
      <c r="W3343">
        <v>0.16989889999999999</v>
      </c>
      <c r="X3343">
        <v>0.98536259999999998</v>
      </c>
      <c r="Y3343">
        <v>1.2754890000000001E-3</v>
      </c>
      <c r="Z3343">
        <v>-2.6553120000000002E-4</v>
      </c>
      <c r="AA3343">
        <v>0.99999919999999998</v>
      </c>
      <c r="AB3343">
        <v>40</v>
      </c>
      <c r="AC3343">
        <v>23.905399999999901</v>
      </c>
      <c r="AD3343">
        <v>-1.1109312219781999</v>
      </c>
      <c r="AE3343">
        <v>9.2099999999987803E-2</v>
      </c>
      <c r="AF3343">
        <v>3.1482916750554202E-2</v>
      </c>
      <c r="AG3343">
        <v>-1.1109312219781999</v>
      </c>
      <c r="AH3343">
        <v>23.8540411052191</v>
      </c>
      <c r="AI3343">
        <v>92.666452000985402</v>
      </c>
      <c r="AJ3343">
        <v>89.924380225503995</v>
      </c>
      <c r="AK3343">
        <v>23.879917009979302</v>
      </c>
      <c r="AL3343">
        <v>80.218058516563701</v>
      </c>
      <c r="AM3343">
        <v>89.188491603899806</v>
      </c>
      <c r="AN3343">
        <v>0.999999945309759</v>
      </c>
    </row>
    <row r="3344" spans="1:40" x14ac:dyDescent="0.25">
      <c r="A3344" t="str">
        <f>"20190312172435425"</f>
        <v>20190312172435425</v>
      </c>
      <c r="B3344" t="str">
        <f>"1552382675413363"</f>
        <v>1552382675413363</v>
      </c>
      <c r="C3344" t="s">
        <v>40</v>
      </c>
      <c r="D3344">
        <v>3.9304190000000001</v>
      </c>
      <c r="E3344">
        <v>0.49683959999999999</v>
      </c>
      <c r="F3344" t="s">
        <v>47</v>
      </c>
      <c r="G3344">
        <v>-373.93549999999999</v>
      </c>
      <c r="H3344" s="1">
        <v>5.5748909999999896E-7</v>
      </c>
      <c r="I3344">
        <v>213.6035</v>
      </c>
      <c r="J3344">
        <v>-397.82530000000003</v>
      </c>
      <c r="K3344">
        <v>1.1108789999999999</v>
      </c>
      <c r="L3344">
        <v>213.511</v>
      </c>
      <c r="M3344">
        <v>0.99988100000000002</v>
      </c>
      <c r="N3344">
        <v>0</v>
      </c>
      <c r="O3344">
        <v>5.8723969999999997E-3</v>
      </c>
      <c r="P3344">
        <v>0.98774989999999996</v>
      </c>
      <c r="Q3344">
        <v>0.15579870000000001</v>
      </c>
      <c r="R3344">
        <v>-8.7797180000000006E-3</v>
      </c>
      <c r="S3344">
        <v>3.0593870000000001</v>
      </c>
      <c r="T3344">
        <v>-0.13975309999999999</v>
      </c>
      <c r="U3344">
        <v>1.2008670000000001E-2</v>
      </c>
      <c r="V3344">
        <v>1.426594E-2</v>
      </c>
      <c r="W3344">
        <v>0.16990079999999999</v>
      </c>
      <c r="X3344">
        <v>0.98535790000000001</v>
      </c>
      <c r="Y3344">
        <v>1.9397139999999999E-3</v>
      </c>
      <c r="Z3344">
        <v>-3.124162E-4</v>
      </c>
      <c r="AA3344">
        <v>0.9999981</v>
      </c>
      <c r="AB3344">
        <v>40</v>
      </c>
      <c r="AC3344">
        <v>23.889800000000001</v>
      </c>
      <c r="AD3344">
        <v>-1.1108784425109</v>
      </c>
      <c r="AE3344">
        <v>9.2500000000001095E-2</v>
      </c>
      <c r="AF3344">
        <v>4.7703116876776398E-2</v>
      </c>
      <c r="AG3344">
        <v>-1.1108784425109</v>
      </c>
      <c r="AH3344">
        <v>23.838387209670302</v>
      </c>
      <c r="AI3344">
        <v>92.668070849106698</v>
      </c>
      <c r="AJ3344">
        <v>89.885345279680607</v>
      </c>
      <c r="AK3344">
        <v>23.8643045417118</v>
      </c>
      <c r="AL3344">
        <v>80.217948539256497</v>
      </c>
      <c r="AM3344">
        <v>89.1705338236453</v>
      </c>
      <c r="AN3344">
        <v>0.99999999498856595</v>
      </c>
    </row>
    <row r="3345" spans="1:40" x14ac:dyDescent="0.25">
      <c r="A3345" t="str">
        <f>"20190312172435446"</f>
        <v>20190312172435446</v>
      </c>
      <c r="B3345" t="str">
        <f>"1552382675433859"</f>
        <v>1552382675433859</v>
      </c>
      <c r="C3345" t="s">
        <v>40</v>
      </c>
      <c r="D3345">
        <v>3.9282490000000001</v>
      </c>
      <c r="E3345">
        <v>0.4968824</v>
      </c>
      <c r="F3345" t="s">
        <v>47</v>
      </c>
      <c r="G3345">
        <v>-373.54149999999998</v>
      </c>
      <c r="H3345" s="1">
        <v>3.4784509999999999E-7</v>
      </c>
      <c r="I3345">
        <v>213.6121</v>
      </c>
      <c r="J3345">
        <v>-397.4425</v>
      </c>
      <c r="K3345">
        <v>1.1108169999999999</v>
      </c>
      <c r="L3345">
        <v>213.5137</v>
      </c>
      <c r="M3345">
        <v>0.9998766</v>
      </c>
      <c r="N3345">
        <v>0</v>
      </c>
      <c r="O3345">
        <v>6.4132190000000004E-3</v>
      </c>
      <c r="P3345">
        <v>0.98784050000000001</v>
      </c>
      <c r="Q3345">
        <v>0.15524009999999999</v>
      </c>
      <c r="R3345">
        <v>-8.4767569999999997E-3</v>
      </c>
      <c r="S3345">
        <v>3.059418</v>
      </c>
      <c r="T3345">
        <v>-0.13995529999999901</v>
      </c>
      <c r="U3345">
        <v>1.274109E-2</v>
      </c>
      <c r="V3345">
        <v>1.4526280000000001E-2</v>
      </c>
      <c r="W3345">
        <v>0.16941579999999901</v>
      </c>
      <c r="X3345">
        <v>0.98543760000000002</v>
      </c>
      <c r="Y3345">
        <v>2.2403480000000001E-3</v>
      </c>
      <c r="Z3345">
        <v>-3.4446660000000002E-4</v>
      </c>
      <c r="AA3345">
        <v>0.99999740000000004</v>
      </c>
      <c r="AB3345">
        <v>39</v>
      </c>
      <c r="AC3345">
        <v>23.901</v>
      </c>
      <c r="AD3345">
        <v>-1.1108166521549001</v>
      </c>
      <c r="AE3345">
        <v>9.8399999999998003E-2</v>
      </c>
      <c r="AF3345">
        <v>5.47818090302057E-2</v>
      </c>
      <c r="AG3345">
        <v>-1.1108166521549001</v>
      </c>
      <c r="AH3345">
        <v>23.849625319553901</v>
      </c>
      <c r="AI3345">
        <v>92.666665635780205</v>
      </c>
      <c r="AJ3345">
        <v>89.868393700555899</v>
      </c>
      <c r="AK3345">
        <v>23.875542770048401</v>
      </c>
      <c r="AL3345">
        <v>80.246145767584807</v>
      </c>
      <c r="AM3345">
        <v>89.155467317983295</v>
      </c>
      <c r="AN3345">
        <v>0.99999999479701895</v>
      </c>
    </row>
    <row r="3346" spans="1:40" x14ac:dyDescent="0.25">
      <c r="A3346" t="str">
        <f>"20190312172435468"</f>
        <v>20190312172435468</v>
      </c>
      <c r="B3346" t="str">
        <f>"1552382675463140"</f>
        <v>1552382675463140</v>
      </c>
      <c r="C3346" t="s">
        <v>40</v>
      </c>
      <c r="D3346">
        <v>3.9636450000000001</v>
      </c>
      <c r="E3346">
        <v>0.49689070000000002</v>
      </c>
      <c r="F3346" t="s">
        <v>47</v>
      </c>
      <c r="G3346">
        <v>-373.49979999999999</v>
      </c>
      <c r="H3346" s="1">
        <v>3.2565610000000001E-7</v>
      </c>
      <c r="I3346">
        <v>213.61070000000001</v>
      </c>
      <c r="J3346">
        <v>-397.06299999999999</v>
      </c>
      <c r="K3346">
        <v>1.1107590000000001</v>
      </c>
      <c r="L3346">
        <v>213.51660000000001</v>
      </c>
      <c r="M3346">
        <v>0.9998726</v>
      </c>
      <c r="N3346">
        <v>0</v>
      </c>
      <c r="O3346">
        <v>6.8815359999999997E-3</v>
      </c>
      <c r="P3346">
        <v>0.98785460000000003</v>
      </c>
      <c r="Q3346">
        <v>0.15514049999999999</v>
      </c>
      <c r="R3346">
        <v>-8.6581509999999993E-3</v>
      </c>
      <c r="S3346">
        <v>3.059326</v>
      </c>
      <c r="T3346">
        <v>-0.14193729999999999</v>
      </c>
      <c r="U3346">
        <v>1.2390139999999999E-2</v>
      </c>
      <c r="V3346">
        <v>1.5198039999999999E-2</v>
      </c>
      <c r="W3346">
        <v>0.16938010000000001</v>
      </c>
      <c r="X3346">
        <v>0.98543360000000002</v>
      </c>
      <c r="Y3346">
        <v>2.8219289999999999E-3</v>
      </c>
      <c r="Z3346">
        <v>-3.8455189999999999E-4</v>
      </c>
      <c r="AA3346">
        <v>0.99999590000000005</v>
      </c>
      <c r="AB3346">
        <v>39</v>
      </c>
      <c r="AC3346">
        <v>23.563199999999998</v>
      </c>
      <c r="AD3346">
        <v>-1.1107586743439</v>
      </c>
      <c r="AE3346">
        <v>9.4099999999997394E-2</v>
      </c>
      <c r="AF3346">
        <v>6.7919134372702694E-2</v>
      </c>
      <c r="AG3346">
        <v>-1.1107586743439</v>
      </c>
      <c r="AH3346">
        <v>23.511045635226601</v>
      </c>
      <c r="AI3346">
        <v>92.704866206242798</v>
      </c>
      <c r="AJ3346">
        <v>89.834483375047697</v>
      </c>
      <c r="AK3346">
        <v>23.537367412333001</v>
      </c>
      <c r="AL3346">
        <v>80.248221168331199</v>
      </c>
      <c r="AM3346">
        <v>89.1164148275911</v>
      </c>
      <c r="AN3346">
        <v>0.99999998935240497</v>
      </c>
    </row>
    <row r="3347" spans="1:40" x14ac:dyDescent="0.25">
      <c r="A3347" t="str">
        <f>"20190312172435491"</f>
        <v>20190312172435491</v>
      </c>
      <c r="B3347" t="str">
        <f>"1552382675483166"</f>
        <v>1552382675483166</v>
      </c>
      <c r="C3347" t="s">
        <v>40</v>
      </c>
      <c r="D3347">
        <v>3.9490440000000002</v>
      </c>
      <c r="E3347">
        <v>0.49696590000000002</v>
      </c>
      <c r="F3347" t="s">
        <v>47</v>
      </c>
      <c r="G3347">
        <v>-373.1585</v>
      </c>
      <c r="H3347" s="1">
        <v>1.4399230000000001E-7</v>
      </c>
      <c r="I3347">
        <v>213.60640000000001</v>
      </c>
      <c r="J3347">
        <v>-396.649</v>
      </c>
      <c r="K3347">
        <v>1.110689</v>
      </c>
      <c r="L3347">
        <v>213.51990000000001</v>
      </c>
      <c r="M3347">
        <v>0.99986870000000005</v>
      </c>
      <c r="N3347">
        <v>0</v>
      </c>
      <c r="O3347">
        <v>7.3075780000000003E-3</v>
      </c>
      <c r="P3347">
        <v>0.98793109999999995</v>
      </c>
      <c r="Q3347">
        <v>0.15461720000000001</v>
      </c>
      <c r="R3347">
        <v>-9.2657290000000003E-3</v>
      </c>
      <c r="S3347">
        <v>3.0592649999999999</v>
      </c>
      <c r="T3347">
        <v>-0.14215349999999999</v>
      </c>
      <c r="U3347">
        <v>1.1489869999999999E-2</v>
      </c>
      <c r="V3347">
        <v>1.6258470000000001E-2</v>
      </c>
      <c r="W3347">
        <v>0.1689195</v>
      </c>
      <c r="X3347">
        <v>0.98549569999999997</v>
      </c>
      <c r="Y3347">
        <v>3.540952E-3</v>
      </c>
      <c r="Z3347">
        <v>-4.216291E-4</v>
      </c>
      <c r="AA3347">
        <v>0.99999360000000004</v>
      </c>
      <c r="AB3347">
        <v>39</v>
      </c>
      <c r="AC3347">
        <v>23.490500000000001</v>
      </c>
      <c r="AD3347">
        <v>-1.1106888560077</v>
      </c>
      <c r="AE3347">
        <v>8.6500000000000896E-2</v>
      </c>
      <c r="AF3347">
        <v>8.4988926494052902E-2</v>
      </c>
      <c r="AG3347">
        <v>-1.1106888560077</v>
      </c>
      <c r="AH3347">
        <v>23.438106558189201</v>
      </c>
      <c r="AI3347">
        <v>92.713094356835001</v>
      </c>
      <c r="AJ3347">
        <v>89.792240664188</v>
      </c>
      <c r="AK3347">
        <v>23.464562469509598</v>
      </c>
      <c r="AL3347">
        <v>80.2749971044544</v>
      </c>
      <c r="AM3347">
        <v>89.054833814397796</v>
      </c>
      <c r="AN3347">
        <v>0.99999995502273897</v>
      </c>
    </row>
    <row r="3348" spans="1:40" x14ac:dyDescent="0.25">
      <c r="A3348" t="str">
        <f>"20190312172435525"</f>
        <v>20190312172435525</v>
      </c>
      <c r="B3348" t="str">
        <f>"1552382675513422"</f>
        <v>1552382675513422</v>
      </c>
      <c r="C3348" t="s">
        <v>40</v>
      </c>
      <c r="D3348">
        <v>3.941014</v>
      </c>
      <c r="E3348">
        <v>0.49701499999999998</v>
      </c>
      <c r="F3348" t="s">
        <v>47</v>
      </c>
      <c r="G3348">
        <v>-372.99360000000001</v>
      </c>
      <c r="H3348" s="1">
        <v>5.6274619999999997E-8</v>
      </c>
      <c r="I3348">
        <v>213.5883</v>
      </c>
      <c r="J3348">
        <v>-396.0591</v>
      </c>
      <c r="K3348">
        <v>1.1105860000000001</v>
      </c>
      <c r="L3348">
        <v>213.5248</v>
      </c>
      <c r="M3348">
        <v>0.99986399999999998</v>
      </c>
      <c r="N3348">
        <v>0</v>
      </c>
      <c r="O3348">
        <v>7.7598579999999997E-3</v>
      </c>
      <c r="P3348">
        <v>0.98797259999999998</v>
      </c>
      <c r="Q3348">
        <v>0.154266299999999</v>
      </c>
      <c r="R3348">
        <v>-1.0579679999999999E-2</v>
      </c>
      <c r="S3348">
        <v>3.0592039999999998</v>
      </c>
      <c r="T3348">
        <v>-0.1436385</v>
      </c>
      <c r="U3348">
        <v>8.8500980000000007E-3</v>
      </c>
      <c r="V3348">
        <v>1.8066459999999999E-2</v>
      </c>
      <c r="W3348">
        <v>0.16864370000000001</v>
      </c>
      <c r="X3348">
        <v>0.98551149999999998</v>
      </c>
      <c r="Y3348">
        <v>4.8539079999999997E-3</v>
      </c>
      <c r="Z3348">
        <v>-4.7807090000000002E-4</v>
      </c>
      <c r="AA3348">
        <v>0.99998810000000005</v>
      </c>
      <c r="AB3348">
        <v>39</v>
      </c>
      <c r="AC3348">
        <v>23.065499999999901</v>
      </c>
      <c r="AD3348">
        <v>-1.11058594372537</v>
      </c>
      <c r="AE3348">
        <v>6.3500000000004705E-2</v>
      </c>
      <c r="AF3348">
        <v>0.115238710070658</v>
      </c>
      <c r="AG3348">
        <v>-1.11058594372537</v>
      </c>
      <c r="AH3348">
        <v>23.011948898707001</v>
      </c>
      <c r="AI3348">
        <v>92.762988820060201</v>
      </c>
      <c r="AJ3348">
        <v>89.713077907492902</v>
      </c>
      <c r="AK3348">
        <v>23.039020665284401</v>
      </c>
      <c r="AL3348">
        <v>80.291029782961203</v>
      </c>
      <c r="AM3348">
        <v>88.949767734762204</v>
      </c>
      <c r="AN3348">
        <v>1.00000000557943</v>
      </c>
    </row>
    <row r="3349" spans="1:40" x14ac:dyDescent="0.25">
      <c r="A3349" t="str">
        <f>"20190312172435546"</f>
        <v>20190312172435546</v>
      </c>
      <c r="B3349" t="str">
        <f>"1552382675533918"</f>
        <v>1552382675533918</v>
      </c>
      <c r="C3349" t="s">
        <v>40</v>
      </c>
      <c r="D3349">
        <v>3.961347</v>
      </c>
      <c r="E3349">
        <v>0.49701400000000001</v>
      </c>
      <c r="F3349" t="s">
        <v>47</v>
      </c>
      <c r="G3349">
        <v>-372.57429999999999</v>
      </c>
      <c r="H3349" s="1">
        <v>-1.6688730000000001E-7</v>
      </c>
      <c r="I3349">
        <v>213.55070000000001</v>
      </c>
      <c r="J3349">
        <v>-395.68290000000002</v>
      </c>
      <c r="K3349">
        <v>1.1105160000000001</v>
      </c>
      <c r="L3349">
        <v>213.52789999999999</v>
      </c>
      <c r="M3349">
        <v>0.99986189999999997</v>
      </c>
      <c r="N3349">
        <v>0</v>
      </c>
      <c r="O3349">
        <v>7.9519120000000002E-3</v>
      </c>
      <c r="P3349">
        <v>0.98797449999999998</v>
      </c>
      <c r="Q3349">
        <v>0.154172</v>
      </c>
      <c r="R3349">
        <v>-1.172788E-2</v>
      </c>
      <c r="S3349">
        <v>3.0591430000000002</v>
      </c>
      <c r="T3349">
        <v>-0.1446654</v>
      </c>
      <c r="U3349">
        <v>3.372192E-3</v>
      </c>
      <c r="V3349">
        <v>1.9435060000000001E-2</v>
      </c>
      <c r="W3349">
        <v>0.16858719999999999</v>
      </c>
      <c r="X3349">
        <v>0.98549509999999996</v>
      </c>
      <c r="Y3349">
        <v>6.8339319999999896E-3</v>
      </c>
      <c r="Z3349">
        <v>-5.3736490000000001E-4</v>
      </c>
      <c r="AA3349">
        <v>0.99997650000000005</v>
      </c>
      <c r="AB3349">
        <v>39</v>
      </c>
      <c r="AC3349">
        <v>23.108599999999999</v>
      </c>
      <c r="AD3349">
        <v>-1.1105161668873</v>
      </c>
      <c r="AE3349">
        <v>2.28000000000179E-2</v>
      </c>
      <c r="AF3349">
        <v>0.16060693504625601</v>
      </c>
      <c r="AG3349">
        <v>-1.1105161668873</v>
      </c>
      <c r="AH3349">
        <v>23.054807414032599</v>
      </c>
      <c r="AI3349">
        <v>92.757655114964905</v>
      </c>
      <c r="AJ3349">
        <v>89.600866295689301</v>
      </c>
      <c r="AK3349">
        <v>23.082096647459</v>
      </c>
      <c r="AL3349">
        <v>80.294313756450194</v>
      </c>
      <c r="AM3349">
        <v>88.870209922718004</v>
      </c>
      <c r="AN3349">
        <v>0.999999978842526</v>
      </c>
    </row>
    <row r="3350" spans="1:40" x14ac:dyDescent="0.25">
      <c r="A3350" t="str">
        <f>"20190312172435567"</f>
        <v>20190312172435567</v>
      </c>
      <c r="B3350" t="str">
        <f>"1552382675563198"</f>
        <v>1552382675563198</v>
      </c>
      <c r="C3350" t="s">
        <v>40</v>
      </c>
      <c r="D3350">
        <v>3.9184610000000002</v>
      </c>
      <c r="E3350">
        <v>0.49702289999999999</v>
      </c>
      <c r="F3350" t="s">
        <v>47</v>
      </c>
      <c r="G3350">
        <v>-372.24029999999999</v>
      </c>
      <c r="H3350" s="1">
        <v>-3.4461929999999997E-7</v>
      </c>
      <c r="I3350">
        <v>213.53049999999999</v>
      </c>
      <c r="J3350">
        <v>-395.3107</v>
      </c>
      <c r="K3350">
        <v>1.1104459999999901</v>
      </c>
      <c r="L3350">
        <v>213.53100000000001</v>
      </c>
      <c r="M3350">
        <v>0.99986030000000004</v>
      </c>
      <c r="N3350">
        <v>0</v>
      </c>
      <c r="O3350">
        <v>8.0859509999999992E-3</v>
      </c>
      <c r="P3350">
        <v>0.98806539999999998</v>
      </c>
      <c r="Q3350">
        <v>0.1535281</v>
      </c>
      <c r="R3350">
        <v>-1.2500789999999999E-2</v>
      </c>
      <c r="S3350">
        <v>3.0591430000000002</v>
      </c>
      <c r="T3350">
        <v>-0.14491699999999999</v>
      </c>
      <c r="U3350">
        <v>3.3569339999999902E-4</v>
      </c>
      <c r="V3350">
        <v>2.0370490000000002E-2</v>
      </c>
      <c r="W3350">
        <v>0.16797799999999999</v>
      </c>
      <c r="X3350">
        <v>0.98558029999999996</v>
      </c>
      <c r="Y3350">
        <v>7.9590919999999992E-3</v>
      </c>
      <c r="Z3350">
        <v>-5.7128140000000001E-4</v>
      </c>
      <c r="AA3350">
        <v>0.99996819999999997</v>
      </c>
      <c r="AB3350">
        <v>39</v>
      </c>
      <c r="AC3350">
        <v>23.070399999999999</v>
      </c>
      <c r="AD3350">
        <v>-1.11044634461929</v>
      </c>
      <c r="AE3350">
        <v>-4.9999999998817603E-4</v>
      </c>
      <c r="AF3350">
        <v>0.18663368174891601</v>
      </c>
      <c r="AG3350">
        <v>-1.11044634461929</v>
      </c>
      <c r="AH3350">
        <v>23.016317822730102</v>
      </c>
      <c r="AI3350">
        <v>92.762062382567194</v>
      </c>
      <c r="AJ3350">
        <v>89.535412744904505</v>
      </c>
      <c r="AK3350">
        <v>23.043845367741199</v>
      </c>
      <c r="AL3350">
        <v>80.329723990992207</v>
      </c>
      <c r="AM3350">
        <v>88.815949395766395</v>
      </c>
      <c r="AN3350">
        <v>1.0000000465474601</v>
      </c>
    </row>
    <row r="3351" spans="1:40" x14ac:dyDescent="0.25">
      <c r="A3351" t="str">
        <f>"20190312172435589"</f>
        <v>20190312172435589</v>
      </c>
      <c r="B3351" t="str">
        <f>"1552382675583694"</f>
        <v>1552382675583694</v>
      </c>
      <c r="C3351" t="s">
        <v>40</v>
      </c>
      <c r="D3351">
        <v>3.91608</v>
      </c>
      <c r="E3351">
        <v>0.4970174</v>
      </c>
      <c r="F3351" t="s">
        <v>47</v>
      </c>
      <c r="G3351">
        <v>-372.17500000000001</v>
      </c>
      <c r="H3351" s="1">
        <v>-3.7933819999999999E-7</v>
      </c>
      <c r="I3351">
        <v>213.51220000000001</v>
      </c>
      <c r="J3351">
        <v>-394.92079999999999</v>
      </c>
      <c r="K3351">
        <v>1.1103860000000001</v>
      </c>
      <c r="L3351">
        <v>213.5343</v>
      </c>
      <c r="M3351">
        <v>0.99985919999999895</v>
      </c>
      <c r="N3351">
        <v>0</v>
      </c>
      <c r="O3351">
        <v>8.1774329999999996E-3</v>
      </c>
      <c r="P3351">
        <v>0.98815640000000005</v>
      </c>
      <c r="Q3351">
        <v>0.152841</v>
      </c>
      <c r="R3351">
        <v>-1.367223E-2</v>
      </c>
      <c r="S3351">
        <v>3.0590820000000001</v>
      </c>
      <c r="T3351">
        <v>-0.1468276</v>
      </c>
      <c r="U3351">
        <v>-2.487183E-3</v>
      </c>
      <c r="V3351">
        <v>2.165999E-2</v>
      </c>
      <c r="W3351">
        <v>0.167327</v>
      </c>
      <c r="X3351">
        <v>0.98566350000000003</v>
      </c>
      <c r="Y3351">
        <v>8.9715869999999996E-3</v>
      </c>
      <c r="Z3351">
        <v>-6.0748970000000003E-4</v>
      </c>
      <c r="AA3351">
        <v>0.99995959999999995</v>
      </c>
      <c r="AB3351">
        <v>39</v>
      </c>
      <c r="AC3351">
        <v>22.7457999999999</v>
      </c>
      <c r="AD3351">
        <v>-1.1103863793381901</v>
      </c>
      <c r="AE3351">
        <v>-2.20999999999946E-2</v>
      </c>
      <c r="AF3351">
        <v>0.20762668916521401</v>
      </c>
      <c r="AG3351">
        <v>-1.1103863793381901</v>
      </c>
      <c r="AH3351">
        <v>22.690783774673601</v>
      </c>
      <c r="AI3351">
        <v>92.801449523840404</v>
      </c>
      <c r="AJ3351">
        <v>89.475743053758194</v>
      </c>
      <c r="AK3351">
        <v>22.718884987218502</v>
      </c>
      <c r="AL3351">
        <v>80.367558675952097</v>
      </c>
      <c r="AM3351">
        <v>88.741125846255898</v>
      </c>
      <c r="AN3351">
        <v>1.0000000076640201</v>
      </c>
    </row>
    <row r="3352" spans="1:40" x14ac:dyDescent="0.25">
      <c r="A3352" t="str">
        <f>"20190312172435612"</f>
        <v>20190312172435612</v>
      </c>
      <c r="B3352" t="str">
        <f>"1552382675603214"</f>
        <v>1552382675603214</v>
      </c>
      <c r="C3352" t="s">
        <v>40</v>
      </c>
      <c r="D3352">
        <v>3.8968660000000002</v>
      </c>
      <c r="E3352">
        <v>0.49708580000000002</v>
      </c>
      <c r="F3352" t="s">
        <v>47</v>
      </c>
      <c r="G3352">
        <v>-372.10840000000002</v>
      </c>
      <c r="H3352" s="1">
        <v>-4.1480500000000001E-7</v>
      </c>
      <c r="I3352">
        <v>213.4905</v>
      </c>
      <c r="J3352">
        <v>-394.52249999999998</v>
      </c>
      <c r="K3352">
        <v>1.1103339999999999</v>
      </c>
      <c r="L3352">
        <v>213.5376</v>
      </c>
      <c r="M3352">
        <v>0.99985800000000002</v>
      </c>
      <c r="N3352">
        <v>0</v>
      </c>
      <c r="O3352">
        <v>8.2322960000000001E-3</v>
      </c>
      <c r="P3352">
        <v>0.98826570000000002</v>
      </c>
      <c r="Q3352">
        <v>0.15203710000000001</v>
      </c>
      <c r="R3352">
        <v>-1.4697470000000001E-2</v>
      </c>
      <c r="S3352">
        <v>3.0588989999999998</v>
      </c>
      <c r="T3352">
        <v>-0.14889089999999999</v>
      </c>
      <c r="U3352">
        <v>-5.8746340000000001E-3</v>
      </c>
      <c r="V3352">
        <v>2.2762890000000001E-2</v>
      </c>
      <c r="W3352">
        <v>0.16656019999999999</v>
      </c>
      <c r="X3352">
        <v>0.98576850000000005</v>
      </c>
      <c r="Y3352">
        <v>1.0131869999999999E-2</v>
      </c>
      <c r="Z3352">
        <v>-6.4694399999999999E-4</v>
      </c>
      <c r="AA3352">
        <v>0.99994839999999996</v>
      </c>
      <c r="AB3352">
        <v>39</v>
      </c>
      <c r="AC3352">
        <v>22.414099999999902</v>
      </c>
      <c r="AD3352">
        <v>-1.1103344148049901</v>
      </c>
      <c r="AE3352">
        <v>-4.7100000000000301E-2</v>
      </c>
      <c r="AF3352">
        <v>0.23107082722324601</v>
      </c>
      <c r="AG3352">
        <v>-1.1103344148049901</v>
      </c>
      <c r="AH3352">
        <v>22.358087235027099</v>
      </c>
      <c r="AI3352">
        <v>92.842902635508494</v>
      </c>
      <c r="AJ3352">
        <v>89.407869211549496</v>
      </c>
      <c r="AK3352">
        <v>22.386833207244301</v>
      </c>
      <c r="AL3352">
        <v>80.412118265087599</v>
      </c>
      <c r="AM3352">
        <v>88.677188620010398</v>
      </c>
      <c r="AN3352">
        <v>0.99999999248872096</v>
      </c>
    </row>
    <row r="3353" spans="1:40" x14ac:dyDescent="0.25">
      <c r="A3353" t="str">
        <f>"20190312172435634"</f>
        <v>20190312172435634</v>
      </c>
      <c r="B3353" t="str">
        <f>"1552382675623710"</f>
        <v>1552382675623710</v>
      </c>
      <c r="C3353" t="s">
        <v>40</v>
      </c>
      <c r="D3353">
        <v>3.9103780000000001</v>
      </c>
      <c r="E3353">
        <v>0.49712669999999998</v>
      </c>
      <c r="F3353" t="s">
        <v>47</v>
      </c>
      <c r="G3353">
        <v>-372.04349999999999</v>
      </c>
      <c r="H3353" s="1">
        <v>-4.4932740000000001E-7</v>
      </c>
      <c r="I3353">
        <v>213.47130000000001</v>
      </c>
      <c r="J3353">
        <v>-394.13409999999999</v>
      </c>
      <c r="K3353">
        <v>1.1102879999999999</v>
      </c>
      <c r="L3353">
        <v>213.54089999999999</v>
      </c>
      <c r="M3353">
        <v>0.9998572</v>
      </c>
      <c r="N3353">
        <v>0</v>
      </c>
      <c r="O3353">
        <v>8.2591439999999995E-3</v>
      </c>
      <c r="P3353">
        <v>0.98834330000000004</v>
      </c>
      <c r="Q3353">
        <v>0.15145739999999999</v>
      </c>
      <c r="R3353">
        <v>-1.543476E-2</v>
      </c>
      <c r="S3353">
        <v>3.0587770000000001</v>
      </c>
      <c r="T3353">
        <v>-0.15108659999999999</v>
      </c>
      <c r="U3353">
        <v>-9.017944E-3</v>
      </c>
      <c r="V3353">
        <v>2.3544579999999999E-2</v>
      </c>
      <c r="W3353">
        <v>0.16601479999999999</v>
      </c>
      <c r="X3353">
        <v>0.9858422</v>
      </c>
      <c r="Y3353">
        <v>1.1184410000000001E-2</v>
      </c>
      <c r="Z3353">
        <v>-6.8380320000000004E-4</v>
      </c>
      <c r="AA3353">
        <v>0.99993719999999997</v>
      </c>
      <c r="AB3353">
        <v>39</v>
      </c>
      <c r="AC3353">
        <v>22.090599999999899</v>
      </c>
      <c r="AD3353">
        <v>-1.1102884493273999</v>
      </c>
      <c r="AE3353">
        <v>-6.95999999999799E-2</v>
      </c>
      <c r="AF3353">
        <v>0.25143176010379298</v>
      </c>
      <c r="AG3353">
        <v>-1.1102884493273999</v>
      </c>
      <c r="AH3353">
        <v>22.033612151823402</v>
      </c>
      <c r="AI3353">
        <v>92.884545150134798</v>
      </c>
      <c r="AJ3353">
        <v>89.346210084108293</v>
      </c>
      <c r="AK3353">
        <v>22.0630012198631</v>
      </c>
      <c r="AL3353">
        <v>80.443809174303695</v>
      </c>
      <c r="AM3353">
        <v>88.631881787307705</v>
      </c>
      <c r="AN3353">
        <v>1.0000000521836201</v>
      </c>
    </row>
    <row r="3354" spans="1:40" x14ac:dyDescent="0.25">
      <c r="A3354" t="str">
        <f>"20190312172435656"</f>
        <v>20190312172435656</v>
      </c>
      <c r="B3354" t="str">
        <f>"1552382675653966"</f>
        <v>1552382675653966</v>
      </c>
      <c r="C3354" t="s">
        <v>40</v>
      </c>
      <c r="D3354">
        <v>3.9010799999999999</v>
      </c>
      <c r="E3354">
        <v>0.4971933</v>
      </c>
      <c r="F3354" t="s">
        <v>47</v>
      </c>
      <c r="G3354">
        <v>-371.8784</v>
      </c>
      <c r="H3354" s="1">
        <v>-5.371948E-7</v>
      </c>
      <c r="I3354">
        <v>213.45580000000001</v>
      </c>
      <c r="J3354">
        <v>-393.75470000000001</v>
      </c>
      <c r="K3354">
        <v>1.1102590000000001</v>
      </c>
      <c r="L3354">
        <v>213.54409999999999</v>
      </c>
      <c r="M3354">
        <v>0.99985679999999999</v>
      </c>
      <c r="N3354">
        <v>0</v>
      </c>
      <c r="O3354">
        <v>8.2689689999999993E-3</v>
      </c>
      <c r="P3354">
        <v>0.98837600000000003</v>
      </c>
      <c r="Q3354">
        <v>0.15117439999999999</v>
      </c>
      <c r="R3354">
        <v>-1.610603E-2</v>
      </c>
      <c r="S3354">
        <v>3.058624</v>
      </c>
      <c r="T3354">
        <v>-0.152588</v>
      </c>
      <c r="U3354">
        <v>-1.1688230000000001E-2</v>
      </c>
      <c r="V3354">
        <v>2.423867E-2</v>
      </c>
      <c r="W3354">
        <v>0.16576089999999999</v>
      </c>
      <c r="X3354">
        <v>0.98586799999999997</v>
      </c>
      <c r="Y3354">
        <v>1.206576E-2</v>
      </c>
      <c r="Z3354">
        <v>-7.1308479999999995E-4</v>
      </c>
      <c r="AA3354">
        <v>0.99992689999999995</v>
      </c>
      <c r="AB3354">
        <v>39</v>
      </c>
      <c r="AC3354">
        <v>21.876300000000001</v>
      </c>
      <c r="AD3354">
        <v>-1.1102595371948001</v>
      </c>
      <c r="AE3354">
        <v>-8.8299999999975398E-2</v>
      </c>
      <c r="AF3354">
        <v>0.26851952404483698</v>
      </c>
      <c r="AG3354">
        <v>-1.1102595371948001</v>
      </c>
      <c r="AH3354">
        <v>21.818623598847498</v>
      </c>
      <c r="AI3354">
        <v>92.912812534754494</v>
      </c>
      <c r="AJ3354">
        <v>89.294902416369396</v>
      </c>
      <c r="AK3354">
        <v>21.848503718170399</v>
      </c>
      <c r="AL3354">
        <v>80.458559991582007</v>
      </c>
      <c r="AM3354">
        <v>88.591602764180095</v>
      </c>
      <c r="AN3354">
        <v>0.99999995125808805</v>
      </c>
    </row>
    <row r="3355" spans="1:40" x14ac:dyDescent="0.25">
      <c r="A3355" t="str">
        <f>"20190312172435679"</f>
        <v>20190312172435679</v>
      </c>
      <c r="B3355" t="str">
        <f>"1552382675673486"</f>
        <v>1552382675673486</v>
      </c>
      <c r="C3355" t="s">
        <v>40</v>
      </c>
      <c r="D3355">
        <v>3.8817979999999999</v>
      </c>
      <c r="E3355">
        <v>0.49719989999999997</v>
      </c>
      <c r="F3355" t="s">
        <v>47</v>
      </c>
      <c r="G3355">
        <v>-371.55290000000002</v>
      </c>
      <c r="H3355" s="1">
        <v>-7.1043880000000004E-7</v>
      </c>
      <c r="I3355">
        <v>213.4383</v>
      </c>
      <c r="J3355">
        <v>-393.3614</v>
      </c>
      <c r="K3355">
        <v>1.1102399999999999</v>
      </c>
      <c r="L3355">
        <v>213.54730000000001</v>
      </c>
      <c r="M3355">
        <v>0.99985639999999998</v>
      </c>
      <c r="N3355">
        <v>0</v>
      </c>
      <c r="O3355">
        <v>8.2709869999999901E-3</v>
      </c>
      <c r="P3355">
        <v>0.98837339999999996</v>
      </c>
      <c r="Q3355">
        <v>0.15119639999999901</v>
      </c>
      <c r="R3355">
        <v>-1.6064450000000001E-2</v>
      </c>
      <c r="S3355">
        <v>3.0584410000000002</v>
      </c>
      <c r="T3355">
        <v>-0.15294489999999999</v>
      </c>
      <c r="U3355">
        <v>-1.4572140000000001E-2</v>
      </c>
      <c r="V3355">
        <v>2.4209290000000001E-2</v>
      </c>
      <c r="W3355">
        <v>0.16580929999999999</v>
      </c>
      <c r="X3355">
        <v>0.98586059999999998</v>
      </c>
      <c r="Y3355">
        <v>1.300955E-2</v>
      </c>
      <c r="Z3355">
        <v>-7.3847679999999903E-4</v>
      </c>
      <c r="AA3355">
        <v>0.99991509999999995</v>
      </c>
      <c r="AB3355">
        <v>39</v>
      </c>
      <c r="AC3355">
        <v>21.808499999999899</v>
      </c>
      <c r="AD3355">
        <v>-1.1102407104387999</v>
      </c>
      <c r="AE3355">
        <v>-0.10900000000000799</v>
      </c>
      <c r="AF3355">
        <v>0.28864576363411398</v>
      </c>
      <c r="AG3355">
        <v>-1.1102407104387999</v>
      </c>
      <c r="AH3355">
        <v>21.750483180053099</v>
      </c>
      <c r="AI3355">
        <v>92.921836662319393</v>
      </c>
      <c r="AJ3355">
        <v>89.239685246041503</v>
      </c>
      <c r="AK3355">
        <v>21.780713243090801</v>
      </c>
      <c r="AL3355">
        <v>80.455748125417202</v>
      </c>
      <c r="AM3355">
        <v>88.5932986594662</v>
      </c>
      <c r="AN3355">
        <v>0.99999996816057601</v>
      </c>
    </row>
    <row r="3356" spans="1:40" x14ac:dyDescent="0.25">
      <c r="A3356" t="str">
        <f>"20190312172435703"</f>
        <v>20190312172435703</v>
      </c>
      <c r="B3356" t="str">
        <f>"1552382675693981"</f>
        <v>1552382675693981</v>
      </c>
      <c r="C3356" t="s">
        <v>40</v>
      </c>
      <c r="D3356">
        <v>3.9305859999999999</v>
      </c>
      <c r="E3356">
        <v>0.49722090000000002</v>
      </c>
      <c r="F3356" t="s">
        <v>47</v>
      </c>
      <c r="G3356">
        <v>-371.09690000000001</v>
      </c>
      <c r="H3356" s="1">
        <v>-9.5307840000000003E-7</v>
      </c>
      <c r="I3356">
        <v>213.4385</v>
      </c>
      <c r="J3356">
        <v>-392.95460000000003</v>
      </c>
      <c r="K3356">
        <v>1.1102289999999999</v>
      </c>
      <c r="L3356">
        <v>213.55080000000001</v>
      </c>
      <c r="M3356">
        <v>0.99985579999999996</v>
      </c>
      <c r="N3356">
        <v>0</v>
      </c>
      <c r="O3356">
        <v>8.2700699999999992E-3</v>
      </c>
      <c r="P3356">
        <v>0.98837969999999997</v>
      </c>
      <c r="Q3356">
        <v>0.15116070000000001</v>
      </c>
      <c r="R3356">
        <v>-1.5998809999999999E-2</v>
      </c>
      <c r="S3356">
        <v>3.0583800000000001</v>
      </c>
      <c r="T3356">
        <v>-0.1525089</v>
      </c>
      <c r="U3356">
        <v>-1.4953610000000001E-2</v>
      </c>
      <c r="V3356">
        <v>2.4151470000000001E-2</v>
      </c>
      <c r="W3356">
        <v>0.1657971</v>
      </c>
      <c r="X3356">
        <v>0.98586410000000002</v>
      </c>
      <c r="Y3356">
        <v>1.313345E-2</v>
      </c>
      <c r="Z3356">
        <v>-7.3943019999999997E-4</v>
      </c>
      <c r="AA3356">
        <v>0.99991350000000001</v>
      </c>
      <c r="AB3356">
        <v>39</v>
      </c>
      <c r="AC3356">
        <v>21.857700000000001</v>
      </c>
      <c r="AD3356">
        <v>-1.1102299530783999</v>
      </c>
      <c r="AE3356">
        <v>-0.11230000000000399</v>
      </c>
      <c r="AF3356">
        <v>0.29232657597217299</v>
      </c>
      <c r="AG3356">
        <v>-1.1102299530783999</v>
      </c>
      <c r="AH3356">
        <v>21.799781926378799</v>
      </c>
      <c r="AI3356">
        <v>92.915206948673998</v>
      </c>
      <c r="AJ3356">
        <v>89.231731983331798</v>
      </c>
      <c r="AK3356">
        <v>21.829992153306002</v>
      </c>
      <c r="AL3356">
        <v>80.456457230041295</v>
      </c>
      <c r="AM3356">
        <v>88.596661974664897</v>
      </c>
      <c r="AN3356">
        <v>0.99999999777019</v>
      </c>
    </row>
    <row r="3357" spans="1:40" x14ac:dyDescent="0.25">
      <c r="A3357" t="str">
        <f>"20190312172435725"</f>
        <v>20190312172435725</v>
      </c>
      <c r="B3357" t="str">
        <f>"1552382675713502"</f>
        <v>1552382675713502</v>
      </c>
      <c r="C3357" t="s">
        <v>40</v>
      </c>
      <c r="D3357">
        <v>3.8998210000000002</v>
      </c>
      <c r="E3357">
        <v>0.49721189999999998</v>
      </c>
      <c r="F3357" t="s">
        <v>47</v>
      </c>
      <c r="G3357">
        <v>-370.649</v>
      </c>
      <c r="H3357" s="1">
        <v>-1.191442E-6</v>
      </c>
      <c r="I3357">
        <v>213.44069999999999</v>
      </c>
      <c r="J3357">
        <v>-392.56869999999998</v>
      </c>
      <c r="K3357">
        <v>1.1102179999999999</v>
      </c>
      <c r="L3357">
        <v>213.554</v>
      </c>
      <c r="M3357">
        <v>0.99985570000000001</v>
      </c>
      <c r="N3357">
        <v>0</v>
      </c>
      <c r="O3357">
        <v>8.2696330000000002E-3</v>
      </c>
      <c r="P3357">
        <v>0.9882609</v>
      </c>
      <c r="Q3357">
        <v>0.1519865</v>
      </c>
      <c r="R3357">
        <v>-1.551864E-2</v>
      </c>
      <c r="S3357">
        <v>3.0582889999999998</v>
      </c>
      <c r="T3357">
        <v>-0.15222169999999999</v>
      </c>
      <c r="U3357">
        <v>-1.5090940000000001E-2</v>
      </c>
      <c r="V3357">
        <v>2.3676200000000001E-2</v>
      </c>
      <c r="W3357">
        <v>0.16664010000000001</v>
      </c>
      <c r="X3357">
        <v>0.98573350000000004</v>
      </c>
      <c r="Y3357">
        <v>1.31781E-2</v>
      </c>
      <c r="Z3357">
        <v>-7.3915039999999997E-4</v>
      </c>
      <c r="AA3357">
        <v>0.99991289999999999</v>
      </c>
      <c r="AB3357">
        <v>39</v>
      </c>
      <c r="AC3357">
        <v>21.919699999999899</v>
      </c>
      <c r="AD3357">
        <v>-1.1102191914420001</v>
      </c>
      <c r="AE3357">
        <v>-0.113300000000009</v>
      </c>
      <c r="AF3357">
        <v>0.293830199651329</v>
      </c>
      <c r="AG3357">
        <v>-1.1102191914420001</v>
      </c>
      <c r="AH3357">
        <v>21.861931044093499</v>
      </c>
      <c r="AI3357">
        <v>92.906904507017202</v>
      </c>
      <c r="AJ3357">
        <v>89.229975764736807</v>
      </c>
      <c r="AK3357">
        <v>21.8920750915936</v>
      </c>
      <c r="AL3357">
        <v>80.407475608539599</v>
      </c>
      <c r="AM3357">
        <v>88.624084949281396</v>
      </c>
      <c r="AN3357">
        <v>1.0000000091983401</v>
      </c>
    </row>
    <row r="3358" spans="1:40" x14ac:dyDescent="0.25">
      <c r="A3358" t="str">
        <f>"20190312172435747"</f>
        <v>20190312172435747</v>
      </c>
      <c r="B3358" t="str">
        <f>"1552382675743758"</f>
        <v>1552382675743758</v>
      </c>
      <c r="C3358" t="s">
        <v>40</v>
      </c>
      <c r="D3358">
        <v>3.905246</v>
      </c>
      <c r="E3358">
        <v>0.49719229999999998</v>
      </c>
      <c r="F3358" t="s">
        <v>47</v>
      </c>
      <c r="G3358">
        <v>-369.84429999999998</v>
      </c>
      <c r="H3358" s="1">
        <v>3.7018420000000002E-6</v>
      </c>
      <c r="I3358">
        <v>213.45160000000001</v>
      </c>
      <c r="J3358">
        <v>-392.1823</v>
      </c>
      <c r="K3358">
        <v>1.1102160000000001</v>
      </c>
      <c r="L3358">
        <v>213.55719999999999</v>
      </c>
      <c r="M3358">
        <v>0.99985550000000001</v>
      </c>
      <c r="N3358">
        <v>0</v>
      </c>
      <c r="O3358">
        <v>8.2704670000000001E-3</v>
      </c>
      <c r="P3358">
        <v>0.98826309999999995</v>
      </c>
      <c r="Q3358">
        <v>0.15201579999999901</v>
      </c>
      <c r="R3358">
        <v>-1.5088280000000001E-2</v>
      </c>
      <c r="S3358">
        <v>3.0584410000000002</v>
      </c>
      <c r="T3358">
        <v>-0.14942159999999999</v>
      </c>
      <c r="U3358">
        <v>-1.377869E-2</v>
      </c>
      <c r="V3358">
        <v>2.3251819999999999E-2</v>
      </c>
      <c r="W3358">
        <v>0.16668569999999999</v>
      </c>
      <c r="X3358">
        <v>0.9857359</v>
      </c>
      <c r="Y3358">
        <v>1.2751159999999999E-2</v>
      </c>
      <c r="Z3358">
        <v>-7.151522E-4</v>
      </c>
      <c r="AA3358">
        <v>0.99991850000000004</v>
      </c>
      <c r="AB3358">
        <v>39</v>
      </c>
      <c r="AC3358">
        <v>22.338000000000001</v>
      </c>
      <c r="AD3358">
        <v>-1.110212298158</v>
      </c>
      <c r="AE3358">
        <v>-0.105599999999981</v>
      </c>
      <c r="AF3358">
        <v>0.289647002438635</v>
      </c>
      <c r="AG3358">
        <v>-1.110212298158</v>
      </c>
      <c r="AH3358">
        <v>22.2813253869436</v>
      </c>
      <c r="AI3358">
        <v>92.852278888011497</v>
      </c>
      <c r="AJ3358">
        <v>89.2552231171952</v>
      </c>
      <c r="AK3358">
        <v>22.310847759147599</v>
      </c>
      <c r="AL3358">
        <v>80.404825938337694</v>
      </c>
      <c r="AM3358">
        <v>88.648741364927005</v>
      </c>
      <c r="AN3358">
        <v>1.0000000171332999</v>
      </c>
    </row>
    <row r="3359" spans="1:40" x14ac:dyDescent="0.25">
      <c r="A3359" t="str">
        <f>"20190312172435768"</f>
        <v>20190312172435768</v>
      </c>
      <c r="B3359" t="str">
        <f>"1552382675763278"</f>
        <v>1552382675763278</v>
      </c>
      <c r="C3359" t="s">
        <v>40</v>
      </c>
      <c r="D3359">
        <v>3.8885420000000002</v>
      </c>
      <c r="E3359">
        <v>0.49719679999999999</v>
      </c>
      <c r="F3359" t="s">
        <v>47</v>
      </c>
      <c r="G3359">
        <v>-369.37549999999999</v>
      </c>
      <c r="H3359" s="1">
        <v>3.452369E-6</v>
      </c>
      <c r="I3359">
        <v>213.46260000000001</v>
      </c>
      <c r="J3359">
        <v>-391.82229999999998</v>
      </c>
      <c r="K3359">
        <v>1.110212</v>
      </c>
      <c r="L3359">
        <v>213.56020000000001</v>
      </c>
      <c r="M3359">
        <v>0.9998553</v>
      </c>
      <c r="N3359">
        <v>0</v>
      </c>
      <c r="O3359">
        <v>8.2718640000000003E-3</v>
      </c>
      <c r="P3359">
        <v>0.98823899999999998</v>
      </c>
      <c r="Q3359">
        <v>0.1522346</v>
      </c>
      <c r="R3359">
        <v>-1.446014E-2</v>
      </c>
      <c r="S3359">
        <v>3.058411</v>
      </c>
      <c r="T3359">
        <v>-0.1488805</v>
      </c>
      <c r="U3359">
        <v>-1.268005E-2</v>
      </c>
      <c r="V3359">
        <v>2.2628559999999999E-2</v>
      </c>
      <c r="W3359">
        <v>0.1669175</v>
      </c>
      <c r="X3359">
        <v>0.98571120000000001</v>
      </c>
      <c r="Y3359">
        <v>1.239402E-2</v>
      </c>
      <c r="Z3359">
        <v>-7.0395389999999998E-4</v>
      </c>
      <c r="AA3359">
        <v>0.99992289999999995</v>
      </c>
      <c r="AB3359">
        <v>39</v>
      </c>
      <c r="AC3359">
        <v>22.4468</v>
      </c>
      <c r="AD3359">
        <v>-1.110208547631</v>
      </c>
      <c r="AE3359">
        <v>-9.7599999999999895E-2</v>
      </c>
      <c r="AF3359">
        <v>0.28260275052273398</v>
      </c>
      <c r="AG3359">
        <v>-1.110208547631</v>
      </c>
      <c r="AH3359">
        <v>22.390452910192302</v>
      </c>
      <c r="AI3359">
        <v>92.838404266640396</v>
      </c>
      <c r="AJ3359">
        <v>89.276875496161693</v>
      </c>
      <c r="AK3359">
        <v>22.419741498451199</v>
      </c>
      <c r="AL3359">
        <v>80.391356259959096</v>
      </c>
      <c r="AM3359">
        <v>88.684915724893301</v>
      </c>
      <c r="AN3359">
        <v>1.00000003666968</v>
      </c>
    </row>
    <row r="3360" spans="1:40" x14ac:dyDescent="0.25">
      <c r="A3360" t="str">
        <f>"20190312172435790"</f>
        <v>20190312172435790</v>
      </c>
      <c r="B3360" t="str">
        <f>"1552382675783774"</f>
        <v>1552382675783774</v>
      </c>
      <c r="C3360" t="s">
        <v>40</v>
      </c>
      <c r="D3360">
        <v>3.8976229999999998</v>
      </c>
      <c r="E3360">
        <v>0.49720009999999998</v>
      </c>
      <c r="F3360" t="s">
        <v>47</v>
      </c>
      <c r="G3360">
        <v>-368.88150000000002</v>
      </c>
      <c r="H3360" s="1">
        <v>3.189519E-6</v>
      </c>
      <c r="I3360">
        <v>213.4751</v>
      </c>
      <c r="J3360">
        <v>-391.44080000000002</v>
      </c>
      <c r="K3360">
        <v>1.1102080000000001</v>
      </c>
      <c r="L3360">
        <v>213.5634</v>
      </c>
      <c r="M3360">
        <v>0.99985489999999999</v>
      </c>
      <c r="N3360">
        <v>0</v>
      </c>
      <c r="O3360">
        <v>8.2739559999999903E-3</v>
      </c>
      <c r="P3360">
        <v>0.98820620000000003</v>
      </c>
      <c r="Q3360">
        <v>0.15240970000000001</v>
      </c>
      <c r="R3360">
        <v>-1.483257E-2</v>
      </c>
      <c r="S3360">
        <v>3.058319</v>
      </c>
      <c r="T3360">
        <v>-0.1480062</v>
      </c>
      <c r="U3360">
        <v>-1.133728E-2</v>
      </c>
      <c r="V3360">
        <v>2.3006039999999998E-2</v>
      </c>
      <c r="W3360">
        <v>0.16710420000000001</v>
      </c>
      <c r="X3360">
        <v>0.98567079999999996</v>
      </c>
      <c r="Y3360">
        <v>1.195802E-2</v>
      </c>
      <c r="Z3360">
        <v>-6.8940349999999995E-4</v>
      </c>
      <c r="AA3360">
        <v>0.99992820000000004</v>
      </c>
      <c r="AB3360">
        <v>39</v>
      </c>
      <c r="AC3360">
        <v>22.5593</v>
      </c>
      <c r="AD3360">
        <v>-1.1102048104809901</v>
      </c>
      <c r="AE3360">
        <v>-8.8300000000003806E-2</v>
      </c>
      <c r="AF3360">
        <v>0.27430799400461697</v>
      </c>
      <c r="AG3360">
        <v>-1.1102048104809901</v>
      </c>
      <c r="AH3360">
        <v>22.5032972126704</v>
      </c>
      <c r="AI3360">
        <v>92.824199611977704</v>
      </c>
      <c r="AJ3360">
        <v>89.301617366323597</v>
      </c>
      <c r="AK3360">
        <v>22.532336430973299</v>
      </c>
      <c r="AL3360">
        <v>80.380506486585006</v>
      </c>
      <c r="AM3360">
        <v>88.662931166156895</v>
      </c>
      <c r="AN3360">
        <v>1.00000000875338</v>
      </c>
    </row>
    <row r="3361" spans="1:40" x14ac:dyDescent="0.25">
      <c r="A3361" t="str">
        <f>"20190312172435813"</f>
        <v>20190312172435813</v>
      </c>
      <c r="B3361" t="str">
        <f>"1552382675803294"</f>
        <v>1552382675803294</v>
      </c>
      <c r="C3361" t="s">
        <v>40</v>
      </c>
      <c r="D3361">
        <v>3.910291</v>
      </c>
      <c r="E3361">
        <v>0.49719020000000003</v>
      </c>
      <c r="F3361" t="s">
        <v>47</v>
      </c>
      <c r="G3361">
        <v>-368.35140000000001</v>
      </c>
      <c r="H3361" s="1">
        <v>2.9074139999999999E-6</v>
      </c>
      <c r="I3361">
        <v>213.471</v>
      </c>
      <c r="J3361">
        <v>-391.03210000000001</v>
      </c>
      <c r="K3361">
        <v>1.1102000000000001</v>
      </c>
      <c r="L3361">
        <v>213.5667</v>
      </c>
      <c r="M3361">
        <v>0.99985489999999999</v>
      </c>
      <c r="N3361">
        <v>0</v>
      </c>
      <c r="O3361">
        <v>8.2756089999999997E-3</v>
      </c>
      <c r="P3361">
        <v>0.98810100000000001</v>
      </c>
      <c r="Q3361">
        <v>0.1530685</v>
      </c>
      <c r="R3361">
        <v>-1.5054079999999999E-2</v>
      </c>
      <c r="S3361">
        <v>3.0582889999999998</v>
      </c>
      <c r="T3361">
        <v>-0.14705119999999999</v>
      </c>
      <c r="U3361">
        <v>-1.223755E-2</v>
      </c>
      <c r="V3361">
        <v>2.3230890000000001E-2</v>
      </c>
      <c r="W3361">
        <v>0.16777120000000001</v>
      </c>
      <c r="X3361">
        <v>0.98555219999999999</v>
      </c>
      <c r="Y3361">
        <v>1.2254009999999999E-2</v>
      </c>
      <c r="Z3361">
        <v>-6.9215849999999996E-4</v>
      </c>
      <c r="AA3361">
        <v>0.9999247</v>
      </c>
      <c r="AB3361">
        <v>39</v>
      </c>
      <c r="AC3361">
        <v>22.680700000000002</v>
      </c>
      <c r="AD3361">
        <v>-1.1101970925859901</v>
      </c>
      <c r="AE3361">
        <v>-9.5700000000022101E-2</v>
      </c>
      <c r="AF3361">
        <v>0.28273671041871601</v>
      </c>
      <c r="AG3361">
        <v>-1.1101970925859901</v>
      </c>
      <c r="AH3361">
        <v>22.624922693299599</v>
      </c>
      <c r="AI3361">
        <v>92.809011736285399</v>
      </c>
      <c r="AJ3361">
        <v>89.284029508733695</v>
      </c>
      <c r="AK3361">
        <v>22.6539092544662</v>
      </c>
      <c r="AL3361">
        <v>80.341742822986902</v>
      </c>
      <c r="AM3361">
        <v>88.649705697400194</v>
      </c>
      <c r="AN3361">
        <v>0.99999999436223597</v>
      </c>
    </row>
    <row r="3362" spans="1:40" x14ac:dyDescent="0.25">
      <c r="A3362" t="str">
        <f>"20190312172435835"</f>
        <v>20190312172435835</v>
      </c>
      <c r="B3362" t="str">
        <f>"1552382675823790"</f>
        <v>1552382675823790</v>
      </c>
      <c r="C3362" t="s">
        <v>40</v>
      </c>
      <c r="D3362">
        <v>3.931238</v>
      </c>
      <c r="E3362">
        <v>0.49719869999999999</v>
      </c>
      <c r="F3362" t="s">
        <v>47</v>
      </c>
      <c r="G3362">
        <v>-367.57850000000002</v>
      </c>
      <c r="H3362" s="1">
        <v>2.4961090000000002E-6</v>
      </c>
      <c r="I3362">
        <v>213.46979999999999</v>
      </c>
      <c r="J3362">
        <v>-390.65899999999999</v>
      </c>
      <c r="K3362">
        <v>1.110198</v>
      </c>
      <c r="L3362">
        <v>213.56979999999999</v>
      </c>
      <c r="M3362">
        <v>0.99985469999999999</v>
      </c>
      <c r="N3362">
        <v>0</v>
      </c>
      <c r="O3362">
        <v>8.2770229999999997E-3</v>
      </c>
      <c r="P3362">
        <v>0.98814360000000001</v>
      </c>
      <c r="Q3362">
        <v>0.1527819</v>
      </c>
      <c r="R3362">
        <v>-1.517024E-2</v>
      </c>
      <c r="S3362">
        <v>3.0583800000000001</v>
      </c>
      <c r="T3362">
        <v>-0.14477110000000001</v>
      </c>
      <c r="U3362">
        <v>-1.2634279999999999E-2</v>
      </c>
      <c r="V3362">
        <v>2.33504E-2</v>
      </c>
      <c r="W3362">
        <v>0.16749339999999999</v>
      </c>
      <c r="X3362">
        <v>0.98559669999999999</v>
      </c>
      <c r="Y3362">
        <v>1.238559E-2</v>
      </c>
      <c r="Z3362">
        <v>-6.845973E-4</v>
      </c>
      <c r="AA3362">
        <v>0.99992309999999995</v>
      </c>
      <c r="AB3362">
        <v>39</v>
      </c>
      <c r="AC3362">
        <v>23.080499999999901</v>
      </c>
      <c r="AD3362">
        <v>-1.1101955038910001</v>
      </c>
      <c r="AE3362">
        <v>-9.9999999999994302E-2</v>
      </c>
      <c r="AF3362">
        <v>0.29038376790971698</v>
      </c>
      <c r="AG3362">
        <v>-1.1101955038910001</v>
      </c>
      <c r="AH3362">
        <v>23.025607876855901</v>
      </c>
      <c r="AI3362">
        <v>92.760198452879195</v>
      </c>
      <c r="AJ3362">
        <v>89.277461752261402</v>
      </c>
      <c r="AK3362">
        <v>23.0541856262209</v>
      </c>
      <c r="AL3362">
        <v>80.357888765589493</v>
      </c>
      <c r="AM3362">
        <v>88.642823033206298</v>
      </c>
      <c r="AN3362">
        <v>1.0000000676373</v>
      </c>
    </row>
    <row r="3363" spans="1:40" x14ac:dyDescent="0.25">
      <c r="A3363" t="str">
        <f>"20190312172435857"</f>
        <v>20190312172435857</v>
      </c>
      <c r="B3363" t="str">
        <f>"1552382675854047"</f>
        <v>1552382675854047</v>
      </c>
      <c r="C3363" t="s">
        <v>40</v>
      </c>
      <c r="D3363">
        <v>3.8998430000000002</v>
      </c>
      <c r="E3363">
        <v>0.49719989999999997</v>
      </c>
      <c r="F3363" t="s">
        <v>47</v>
      </c>
      <c r="G3363">
        <v>-367.31799999999998</v>
      </c>
      <c r="H3363" s="1">
        <v>2.3574660000000002E-6</v>
      </c>
      <c r="I3363">
        <v>213.4666</v>
      </c>
      <c r="J3363">
        <v>-390.27069999999998</v>
      </c>
      <c r="K3363">
        <v>1.110198</v>
      </c>
      <c r="L3363">
        <v>213.57300000000001</v>
      </c>
      <c r="M3363">
        <v>0.99985460000000004</v>
      </c>
      <c r="N3363">
        <v>0</v>
      </c>
      <c r="O3363">
        <v>8.2775729999999999E-3</v>
      </c>
      <c r="P3363">
        <v>0.9881105</v>
      </c>
      <c r="Q3363">
        <v>0.15296470000000001</v>
      </c>
      <c r="R3363">
        <v>-1.5489620000000001E-2</v>
      </c>
      <c r="S3363">
        <v>3.058319</v>
      </c>
      <c r="T3363">
        <v>-0.1454664</v>
      </c>
      <c r="U3363">
        <v>-1.351929E-2</v>
      </c>
      <c r="V3363">
        <v>2.3671359999999999E-2</v>
      </c>
      <c r="W3363">
        <v>0.167682</v>
      </c>
      <c r="X3363">
        <v>0.98555689999999996</v>
      </c>
      <c r="Y3363">
        <v>1.267502E-2</v>
      </c>
      <c r="Z3363">
        <v>-6.9480059999999996E-4</v>
      </c>
      <c r="AA3363">
        <v>0.99991940000000001</v>
      </c>
      <c r="AB3363">
        <v>39</v>
      </c>
      <c r="AC3363">
        <v>22.952699999999901</v>
      </c>
      <c r="AD3363">
        <v>-1.110195642534</v>
      </c>
      <c r="AE3363">
        <v>-0.106399999999979</v>
      </c>
      <c r="AF3363">
        <v>0.295718289723991</v>
      </c>
      <c r="AG3363">
        <v>-1.110195642534</v>
      </c>
      <c r="AH3363">
        <v>22.8974641354231</v>
      </c>
      <c r="AI3363">
        <v>92.775611194367698</v>
      </c>
      <c r="AJ3363">
        <v>89.260072298931306</v>
      </c>
      <c r="AK3363">
        <v>22.9262698122605</v>
      </c>
      <c r="AL3363">
        <v>80.346927052628402</v>
      </c>
      <c r="AM3363">
        <v>88.624119709823205</v>
      </c>
      <c r="AN3363">
        <v>0.999999994772929</v>
      </c>
    </row>
    <row r="3364" spans="1:40" x14ac:dyDescent="0.25">
      <c r="A3364" t="str">
        <f>"20190312172435880"</f>
        <v>20190312172435880</v>
      </c>
      <c r="B3364" t="str">
        <f>"1552382675873567"</f>
        <v>1552382675873567</v>
      </c>
      <c r="C3364" t="s">
        <v>40</v>
      </c>
      <c r="D3364">
        <v>3.8822839999999998</v>
      </c>
      <c r="E3364">
        <v>0.49721100000000001</v>
      </c>
      <c r="F3364" t="s">
        <v>47</v>
      </c>
      <c r="G3364">
        <v>-366.76889999999997</v>
      </c>
      <c r="H3364" s="1">
        <v>2.0652760000000001E-6</v>
      </c>
      <c r="I3364">
        <v>213.4581</v>
      </c>
      <c r="J3364">
        <v>-389.90069999999997</v>
      </c>
      <c r="K3364">
        <v>1.1102030000000001</v>
      </c>
      <c r="L3364">
        <v>213.5761</v>
      </c>
      <c r="M3364">
        <v>0.99985440000000003</v>
      </c>
      <c r="N3364">
        <v>0</v>
      </c>
      <c r="O3364">
        <v>8.2783289999999992E-3</v>
      </c>
      <c r="P3364">
        <v>0.98814449999999998</v>
      </c>
      <c r="Q3364">
        <v>0.1527085</v>
      </c>
      <c r="R3364">
        <v>-1.583567E-2</v>
      </c>
      <c r="S3364">
        <v>3.0582280000000002</v>
      </c>
      <c r="T3364">
        <v>-0.1444666</v>
      </c>
      <c r="U3364">
        <v>-1.4953610000000001E-2</v>
      </c>
      <c r="V3364">
        <v>2.401932E-2</v>
      </c>
      <c r="W3364">
        <v>0.16743089999999999</v>
      </c>
      <c r="X3364">
        <v>0.9855912</v>
      </c>
      <c r="Y3364">
        <v>1.3144670000000001E-2</v>
      </c>
      <c r="Z3364">
        <v>-7.0117289999999902E-4</v>
      </c>
      <c r="AA3364">
        <v>0.9999133</v>
      </c>
      <c r="AB3364">
        <v>39</v>
      </c>
      <c r="AC3364">
        <v>23.131799999999998</v>
      </c>
      <c r="AD3364">
        <v>-1.1102009347240001</v>
      </c>
      <c r="AE3364">
        <v>-0.117999999999994</v>
      </c>
      <c r="AF3364">
        <v>0.308798635010192</v>
      </c>
      <c r="AG3364">
        <v>-1.1102009347240001</v>
      </c>
      <c r="AH3364">
        <v>23.076874518460901</v>
      </c>
      <c r="AI3364">
        <v>92.754061899662204</v>
      </c>
      <c r="AJ3364">
        <v>89.233353607680499</v>
      </c>
      <c r="AK3364">
        <v>23.105627891343602</v>
      </c>
      <c r="AL3364">
        <v>80.361520617850999</v>
      </c>
      <c r="AM3364">
        <v>88.603951305668204</v>
      </c>
      <c r="AN3364">
        <v>1.00000002376275</v>
      </c>
    </row>
    <row r="3365" spans="1:40" x14ac:dyDescent="0.25">
      <c r="A3365" t="str">
        <f>"20190312172435904"</f>
        <v>20190312172435904</v>
      </c>
      <c r="B3365" t="str">
        <f>"1552382675894062"</f>
        <v>1552382675894062</v>
      </c>
      <c r="C3365" t="s">
        <v>40</v>
      </c>
      <c r="D3365">
        <v>3.9081440000000001</v>
      </c>
      <c r="E3365">
        <v>0.49722139999999998</v>
      </c>
      <c r="F3365" t="s">
        <v>47</v>
      </c>
      <c r="G3365">
        <v>-366.47359999999998</v>
      </c>
      <c r="H3365" s="1">
        <v>1.9081259999999999E-6</v>
      </c>
      <c r="I3365">
        <v>213.45419999999999</v>
      </c>
      <c r="J3365">
        <v>-389.48480000000001</v>
      </c>
      <c r="K3365">
        <v>1.1102080000000001</v>
      </c>
      <c r="L3365">
        <v>213.5795</v>
      </c>
      <c r="M3365">
        <v>0.99985440000000003</v>
      </c>
      <c r="N3365">
        <v>0</v>
      </c>
      <c r="O3365">
        <v>8.2787989999999999E-3</v>
      </c>
      <c r="P3365">
        <v>0.98805480000000001</v>
      </c>
      <c r="Q3365">
        <v>0.15321949999999901</v>
      </c>
      <c r="R3365">
        <v>-1.6492949999999999E-2</v>
      </c>
      <c r="S3365">
        <v>3.0581360000000002</v>
      </c>
      <c r="T3365">
        <v>-0.14492360000000001</v>
      </c>
      <c r="U3365">
        <v>-1.5914919999999999E-2</v>
      </c>
      <c r="V3365">
        <v>2.467693E-2</v>
      </c>
      <c r="W3365">
        <v>0.16794419999999999</v>
      </c>
      <c r="X3365">
        <v>0.98548760000000002</v>
      </c>
      <c r="Y3365">
        <v>1.345909E-2</v>
      </c>
      <c r="Z3365">
        <v>-7.1087669999999996E-4</v>
      </c>
      <c r="AA3365">
        <v>0.99990919999999905</v>
      </c>
      <c r="AB3365">
        <v>38</v>
      </c>
      <c r="AC3365">
        <v>23.011199999999999</v>
      </c>
      <c r="AD3365">
        <v>-1.110206091874</v>
      </c>
      <c r="AE3365">
        <v>-0.12530000000000899</v>
      </c>
      <c r="AF3365">
        <v>0.31508860236140801</v>
      </c>
      <c r="AG3365">
        <v>-1.110206091874</v>
      </c>
      <c r="AH3365">
        <v>22.955940620816101</v>
      </c>
      <c r="AI3365">
        <v>92.768547960156198</v>
      </c>
      <c r="AJ3365">
        <v>89.213619089487196</v>
      </c>
      <c r="AK3365">
        <v>22.984930893526901</v>
      </c>
      <c r="AL3365">
        <v>80.331688115322294</v>
      </c>
      <c r="AM3365">
        <v>88.565594796636105</v>
      </c>
      <c r="AN3365">
        <v>1.00000000747081</v>
      </c>
    </row>
    <row r="3366" spans="1:40" x14ac:dyDescent="0.25">
      <c r="A3366" t="str">
        <f>"20190312172435926"</f>
        <v>20190312172435926</v>
      </c>
      <c r="B3366" t="str">
        <f>"1552382675913582"</f>
        <v>1552382675913582</v>
      </c>
      <c r="C3366" t="s">
        <v>40</v>
      </c>
      <c r="D3366">
        <v>3.8989050000000001</v>
      </c>
      <c r="E3366">
        <v>0.49720910000000001</v>
      </c>
      <c r="F3366" t="s">
        <v>47</v>
      </c>
      <c r="G3366">
        <v>-365.7697</v>
      </c>
      <c r="H3366" s="1">
        <v>1.533575E-6</v>
      </c>
      <c r="I3366">
        <v>213.44370000000001</v>
      </c>
      <c r="J3366">
        <v>-389.10059999999999</v>
      </c>
      <c r="K3366">
        <v>1.110209</v>
      </c>
      <c r="L3366">
        <v>213.58269999999999</v>
      </c>
      <c r="M3366">
        <v>0.99985429999999997</v>
      </c>
      <c r="N3366">
        <v>0</v>
      </c>
      <c r="O3366">
        <v>8.2792319999999992E-3</v>
      </c>
      <c r="P3366">
        <v>0.98804720000000001</v>
      </c>
      <c r="Q3366">
        <v>0.1531931</v>
      </c>
      <c r="R3366">
        <v>-1.7155920000000002E-2</v>
      </c>
      <c r="S3366">
        <v>3.0581969999999998</v>
      </c>
      <c r="T3366">
        <v>-0.14316770000000001</v>
      </c>
      <c r="U3366">
        <v>-1.7517089999999999E-2</v>
      </c>
      <c r="V3366">
        <v>2.5341160000000001E-2</v>
      </c>
      <c r="W3366">
        <v>0.16791979999999901</v>
      </c>
      <c r="X3366">
        <v>0.98547490000000004</v>
      </c>
      <c r="Y3366">
        <v>1.3983260000000001E-2</v>
      </c>
      <c r="Z3366">
        <v>-7.1454159999999995E-4</v>
      </c>
      <c r="AA3366">
        <v>0.99990199999999996</v>
      </c>
      <c r="AB3366">
        <v>38</v>
      </c>
      <c r="AC3366">
        <v>23.3308999999999</v>
      </c>
      <c r="AD3366">
        <v>-1.1102074664249999</v>
      </c>
      <c r="AE3366">
        <v>-0.138999999999981</v>
      </c>
      <c r="AF3366">
        <v>0.33142824789883601</v>
      </c>
      <c r="AG3366">
        <v>-1.1102074664249999</v>
      </c>
      <c r="AH3366">
        <v>23.276245342968899</v>
      </c>
      <c r="AI3366">
        <v>92.730491812713197</v>
      </c>
      <c r="AJ3366">
        <v>89.184225963192802</v>
      </c>
      <c r="AK3366">
        <v>23.305063882514698</v>
      </c>
      <c r="AL3366">
        <v>80.333106258558601</v>
      </c>
      <c r="AM3366">
        <v>88.526982662272601</v>
      </c>
      <c r="AN3366">
        <v>1.0000000060760901</v>
      </c>
    </row>
    <row r="3367" spans="1:40" x14ac:dyDescent="0.25">
      <c r="A3367" t="str">
        <f>"20190312172435947"</f>
        <v>20190312172435947</v>
      </c>
      <c r="B3367" t="str">
        <f>"1552382675943838"</f>
        <v>1552382675943838</v>
      </c>
      <c r="C3367" t="s">
        <v>40</v>
      </c>
      <c r="D3367">
        <v>3.9245960000000002</v>
      </c>
      <c r="E3367">
        <v>0.4972047</v>
      </c>
      <c r="F3367" t="s">
        <v>47</v>
      </c>
      <c r="G3367">
        <v>-365.3698</v>
      </c>
      <c r="H3367" s="1">
        <v>1.3207469999999999E-6</v>
      </c>
      <c r="I3367">
        <v>213.43340000000001</v>
      </c>
      <c r="J3367">
        <v>-388.73099999999999</v>
      </c>
      <c r="K3367">
        <v>1.110209</v>
      </c>
      <c r="L3367">
        <v>213.58580000000001</v>
      </c>
      <c r="M3367">
        <v>0.99985429999999997</v>
      </c>
      <c r="N3367">
        <v>0</v>
      </c>
      <c r="O3367">
        <v>8.2796769999999992E-3</v>
      </c>
      <c r="P3367">
        <v>0.98803929999999995</v>
      </c>
      <c r="Q3367">
        <v>0.15320780000000001</v>
      </c>
      <c r="R3367">
        <v>-1.7491960000000001E-2</v>
      </c>
      <c r="S3367">
        <v>3.0581670000000001</v>
      </c>
      <c r="T3367">
        <v>-0.14307149999999999</v>
      </c>
      <c r="U3367">
        <v>-1.9241330000000001E-2</v>
      </c>
      <c r="V3367">
        <v>2.5677820000000001E-2</v>
      </c>
      <c r="W3367">
        <v>0.1679358</v>
      </c>
      <c r="X3367">
        <v>0.98546339999999999</v>
      </c>
      <c r="Y3367">
        <v>1.454692E-2</v>
      </c>
      <c r="Z3367">
        <v>-7.2726649999999904E-4</v>
      </c>
      <c r="AA3367">
        <v>0.9998939</v>
      </c>
      <c r="AB3367">
        <v>38</v>
      </c>
      <c r="AC3367">
        <v>23.3612</v>
      </c>
      <c r="AD3367">
        <v>-1.110207679253</v>
      </c>
      <c r="AE3367">
        <v>-0.15240000000000001</v>
      </c>
      <c r="AF3367">
        <v>0.34506023686251602</v>
      </c>
      <c r="AG3367">
        <v>-1.110207679253</v>
      </c>
      <c r="AH3367">
        <v>23.3065018439212</v>
      </c>
      <c r="AI3367">
        <v>92.726930572251305</v>
      </c>
      <c r="AJ3367">
        <v>89.151779575309902</v>
      </c>
      <c r="AK3367">
        <v>23.3354806219807</v>
      </c>
      <c r="AL3367">
        <v>80.3321757539494</v>
      </c>
      <c r="AM3367">
        <v>88.507404854865499</v>
      </c>
      <c r="AN3367">
        <v>0.99999994805057402</v>
      </c>
    </row>
    <row r="3368" spans="1:40" x14ac:dyDescent="0.25">
      <c r="A3368" t="str">
        <f>"20190312172435970"</f>
        <v>20190312172435970</v>
      </c>
      <c r="B3368" t="str">
        <f>"1552382675963358"</f>
        <v>1552382675963358</v>
      </c>
      <c r="C3368" t="s">
        <v>40</v>
      </c>
      <c r="D3368">
        <v>3.89351</v>
      </c>
      <c r="E3368">
        <v>0.49720170000000002</v>
      </c>
      <c r="F3368" t="s">
        <v>47</v>
      </c>
      <c r="G3368">
        <v>-364.93810000000002</v>
      </c>
      <c r="H3368" s="1">
        <v>1.091013E-6</v>
      </c>
      <c r="I3368">
        <v>213.4265</v>
      </c>
      <c r="J3368">
        <v>-388.351</v>
      </c>
      <c r="K3368">
        <v>1.1102110000000001</v>
      </c>
      <c r="L3368">
        <v>213.5889</v>
      </c>
      <c r="M3368">
        <v>0.99985440000000003</v>
      </c>
      <c r="N3368">
        <v>0</v>
      </c>
      <c r="O3368">
        <v>8.2800140000000005E-3</v>
      </c>
      <c r="P3368">
        <v>0.98810200000000004</v>
      </c>
      <c r="Q3368">
        <v>0.15275659999999999</v>
      </c>
      <c r="R3368">
        <v>-1.7894529999999999E-2</v>
      </c>
      <c r="S3368">
        <v>3.0580440000000002</v>
      </c>
      <c r="T3368">
        <v>-0.14269229999999899</v>
      </c>
      <c r="U3368">
        <v>-2.0462040000000001E-2</v>
      </c>
      <c r="V3368">
        <v>2.6081730000000001E-2</v>
      </c>
      <c r="W3368">
        <v>0.16748640000000001</v>
      </c>
      <c r="X3368">
        <v>0.98552930000000005</v>
      </c>
      <c r="Y3368">
        <v>1.4946310000000001E-2</v>
      </c>
      <c r="Z3368">
        <v>-7.3469789999999996E-4</v>
      </c>
      <c r="AA3368">
        <v>0.999888</v>
      </c>
      <c r="AB3368">
        <v>38</v>
      </c>
      <c r="AC3368">
        <v>23.412899999999901</v>
      </c>
      <c r="AD3368">
        <v>-1.1102099089869999</v>
      </c>
      <c r="AE3368">
        <v>-0.162399999999991</v>
      </c>
      <c r="AF3368">
        <v>0.35547589180384198</v>
      </c>
      <c r="AG3368">
        <v>-1.1102099089869999</v>
      </c>
      <c r="AH3368">
        <v>23.3582331122808</v>
      </c>
      <c r="AI3368">
        <v>92.720888960799698</v>
      </c>
      <c r="AJ3368">
        <v>89.128114867248698</v>
      </c>
      <c r="AK3368">
        <v>23.387303890771999</v>
      </c>
      <c r="AL3368">
        <v>80.358294690745794</v>
      </c>
      <c r="AM3368">
        <v>88.484038656564096</v>
      </c>
      <c r="AN3368">
        <v>0.99999997599162105</v>
      </c>
    </row>
    <row r="3369" spans="1:40" x14ac:dyDescent="0.25">
      <c r="A3369" t="str">
        <f>"20190312172435993"</f>
        <v>20190312172435993</v>
      </c>
      <c r="B3369" t="str">
        <f>"1552382675983855"</f>
        <v>1552382675983855</v>
      </c>
      <c r="C3369" t="s">
        <v>40</v>
      </c>
      <c r="D3369">
        <v>3.9192849999999999</v>
      </c>
      <c r="E3369">
        <v>0.49720959999999997</v>
      </c>
      <c r="F3369" t="s">
        <v>47</v>
      </c>
      <c r="G3369">
        <v>-364.75490000000002</v>
      </c>
      <c r="H3369" s="1">
        <v>9.9356229999999994E-7</v>
      </c>
      <c r="I3369">
        <v>213.42060000000001</v>
      </c>
      <c r="J3369">
        <v>-387.95299999999997</v>
      </c>
      <c r="K3369">
        <v>1.110214</v>
      </c>
      <c r="L3369">
        <v>213.59219999999999</v>
      </c>
      <c r="M3369">
        <v>0.99985440000000003</v>
      </c>
      <c r="N3369">
        <v>0</v>
      </c>
      <c r="O3369">
        <v>8.2805340000000009E-3</v>
      </c>
      <c r="P3369">
        <v>0.98814389999999996</v>
      </c>
      <c r="Q3369">
        <v>0.152443</v>
      </c>
      <c r="R3369">
        <v>-1.825653E-2</v>
      </c>
      <c r="S3369">
        <v>3.0579830000000001</v>
      </c>
      <c r="T3369">
        <v>-0.14388049999999999</v>
      </c>
      <c r="U3369">
        <v>-2.182007E-2</v>
      </c>
      <c r="V3369">
        <v>2.6444820000000001E-2</v>
      </c>
      <c r="W3369">
        <v>0.1671733</v>
      </c>
      <c r="X3369">
        <v>0.98557280000000003</v>
      </c>
      <c r="Y3369">
        <v>1.539008E-2</v>
      </c>
      <c r="Z3369">
        <v>-7.5128079999999995E-4</v>
      </c>
      <c r="AA3369">
        <v>0.99988129999999997</v>
      </c>
      <c r="AB3369">
        <v>38</v>
      </c>
      <c r="AC3369">
        <v>23.1981</v>
      </c>
      <c r="AD3369">
        <v>-1.1102130064377</v>
      </c>
      <c r="AE3369">
        <v>-0.17159999999998299</v>
      </c>
      <c r="AF3369">
        <v>0.36287707450719098</v>
      </c>
      <c r="AG3369">
        <v>-1.1102130064377</v>
      </c>
      <c r="AH3369">
        <v>23.142880276557801</v>
      </c>
      <c r="AI3369">
        <v>92.746157341196195</v>
      </c>
      <c r="AJ3369">
        <v>89.101683932593602</v>
      </c>
      <c r="AK3369">
        <v>23.172336096862399</v>
      </c>
      <c r="AL3369">
        <v>80.376490703316406</v>
      </c>
      <c r="AM3369">
        <v>88.463012458730503</v>
      </c>
      <c r="AN3369">
        <v>0.99999999241878101</v>
      </c>
    </row>
    <row r="3370" spans="1:40" x14ac:dyDescent="0.25">
      <c r="A3370" t="str">
        <f>"20190312172436016"</f>
        <v>20190312172436016</v>
      </c>
      <c r="B3370" t="str">
        <f>"1552382676003375"</f>
        <v>1552382676003375</v>
      </c>
      <c r="C3370" t="s">
        <v>40</v>
      </c>
      <c r="D3370">
        <v>3.93832</v>
      </c>
      <c r="E3370">
        <v>0.4971873</v>
      </c>
      <c r="F3370" t="s">
        <v>47</v>
      </c>
      <c r="G3370">
        <v>-364.49759999999998</v>
      </c>
      <c r="H3370" s="1">
        <v>8.5662439999999998E-7</v>
      </c>
      <c r="I3370">
        <v>213.41290000000001</v>
      </c>
      <c r="J3370">
        <v>-387.57029999999997</v>
      </c>
      <c r="K3370">
        <v>1.110215</v>
      </c>
      <c r="L3370">
        <v>213.59540000000001</v>
      </c>
      <c r="M3370">
        <v>0.99985429999999997</v>
      </c>
      <c r="N3370">
        <v>0</v>
      </c>
      <c r="O3370">
        <v>8.2810049999999993E-3</v>
      </c>
      <c r="P3370">
        <v>0.9881065</v>
      </c>
      <c r="Q3370">
        <v>0.152662299999999</v>
      </c>
      <c r="R3370">
        <v>-1.843771E-2</v>
      </c>
      <c r="S3370">
        <v>3.0578310000000002</v>
      </c>
      <c r="T3370">
        <v>-0.14473639999999999</v>
      </c>
      <c r="U3370">
        <v>-2.3376460000000002E-2</v>
      </c>
      <c r="V3370">
        <v>2.6626279999999999E-2</v>
      </c>
      <c r="W3370">
        <v>0.16739189999999901</v>
      </c>
      <c r="X3370">
        <v>0.98553080000000004</v>
      </c>
      <c r="Y3370">
        <v>1.589892E-2</v>
      </c>
      <c r="Z3370">
        <v>-7.6783949999999896E-4</v>
      </c>
      <c r="AA3370">
        <v>0.99987329999999996</v>
      </c>
      <c r="AB3370">
        <v>38</v>
      </c>
      <c r="AC3370">
        <v>23.072700000000001</v>
      </c>
      <c r="AD3370">
        <v>-1.1102141433756001</v>
      </c>
      <c r="AE3370">
        <v>-0.18250000000000399</v>
      </c>
      <c r="AF3370">
        <v>0.37271725670293798</v>
      </c>
      <c r="AG3370">
        <v>-1.1102141433756001</v>
      </c>
      <c r="AH3370">
        <v>23.0171079230803</v>
      </c>
      <c r="AI3370">
        <v>92.761120288204594</v>
      </c>
      <c r="AJ3370">
        <v>89.072287466299599</v>
      </c>
      <c r="AK3370">
        <v>23.046881583856901</v>
      </c>
      <c r="AL3370">
        <v>80.363786737580099</v>
      </c>
      <c r="AM3370">
        <v>88.452405095946006</v>
      </c>
      <c r="AN3370">
        <v>0.99999998236044396</v>
      </c>
    </row>
    <row r="3371" spans="1:40" x14ac:dyDescent="0.25">
      <c r="A3371" t="str">
        <f>"20190312172436036"</f>
        <v>20190312172436036</v>
      </c>
      <c r="B3371" t="str">
        <f>"1552382676033630"</f>
        <v>1552382676033630</v>
      </c>
      <c r="C3371" t="s">
        <v>40</v>
      </c>
      <c r="D3371">
        <v>3.8953199999999999</v>
      </c>
      <c r="E3371">
        <v>0.49719479999999999</v>
      </c>
      <c r="F3371" t="s">
        <v>47</v>
      </c>
      <c r="G3371">
        <v>-363.96429999999998</v>
      </c>
      <c r="H3371" s="1">
        <v>5.7283380000000005E-7</v>
      </c>
      <c r="I3371">
        <v>213.41579999999999</v>
      </c>
      <c r="J3371">
        <v>-387.21980000000002</v>
      </c>
      <c r="K3371">
        <v>1.1102179999999999</v>
      </c>
      <c r="L3371">
        <v>213.59829999999999</v>
      </c>
      <c r="M3371">
        <v>0.99985429999999997</v>
      </c>
      <c r="N3371">
        <v>0</v>
      </c>
      <c r="O3371">
        <v>8.2811840000000005E-3</v>
      </c>
      <c r="P3371">
        <v>0.98815189999999997</v>
      </c>
      <c r="Q3371">
        <v>0.1522647</v>
      </c>
      <c r="R3371">
        <v>-1.9277800000000001E-2</v>
      </c>
      <c r="S3371">
        <v>3.0578919999999998</v>
      </c>
      <c r="T3371">
        <v>-0.1438161</v>
      </c>
      <c r="U3371">
        <v>-2.3269649999999999E-2</v>
      </c>
      <c r="V3371">
        <v>2.7466910000000001E-2</v>
      </c>
      <c r="W3371">
        <v>0.16699420000000001</v>
      </c>
      <c r="X3371">
        <v>0.98557519999999998</v>
      </c>
      <c r="Y3371">
        <v>1.5864400000000001E-2</v>
      </c>
      <c r="Z3371">
        <v>-7.6214469999999999E-4</v>
      </c>
      <c r="AA3371">
        <v>0.99987389999999998</v>
      </c>
      <c r="AB3371">
        <v>38</v>
      </c>
      <c r="AC3371">
        <v>23.255500000000001</v>
      </c>
      <c r="AD3371">
        <v>-1.1102174271662</v>
      </c>
      <c r="AE3371">
        <v>-0.18250000000000399</v>
      </c>
      <c r="AF3371">
        <v>0.37424537993557</v>
      </c>
      <c r="AG3371">
        <v>-1.1102174271662</v>
      </c>
      <c r="AH3371">
        <v>23.200318164530898</v>
      </c>
      <c r="AI3371">
        <v>92.739360214023904</v>
      </c>
      <c r="AJ3371">
        <v>89.075839346694494</v>
      </c>
      <c r="AK3371">
        <v>23.2298817318438</v>
      </c>
      <c r="AL3371">
        <v>80.386898607930306</v>
      </c>
      <c r="AM3371">
        <v>88.403642075548504</v>
      </c>
      <c r="AN3371">
        <v>0.99999998441681304</v>
      </c>
    </row>
    <row r="3372" spans="1:40" x14ac:dyDescent="0.25">
      <c r="A3372" t="str">
        <f>"20190312172436126"</f>
        <v>20190312172436126</v>
      </c>
      <c r="B3372" t="str">
        <f>"1552382676123423"</f>
        <v>1552382676123423</v>
      </c>
      <c r="C3372" t="s">
        <v>40</v>
      </c>
      <c r="D3372">
        <v>3.78017</v>
      </c>
      <c r="E3372">
        <v>0.50394689999999998</v>
      </c>
      <c r="F3372" t="s">
        <v>47</v>
      </c>
      <c r="G3372">
        <v>-363.92700000000002</v>
      </c>
      <c r="H3372" s="1">
        <v>5.5295280000000003E-7</v>
      </c>
      <c r="I3372">
        <v>213.4014</v>
      </c>
      <c r="J3372">
        <v>-385.68630000000002</v>
      </c>
      <c r="K3372">
        <v>1.1102209999999999</v>
      </c>
      <c r="L3372">
        <v>213.61099999999999</v>
      </c>
      <c r="M3372">
        <v>0.99985449999999998</v>
      </c>
      <c r="N3372">
        <v>0</v>
      </c>
      <c r="O3372">
        <v>8.2815219999999995E-3</v>
      </c>
      <c r="P3372">
        <v>0.98810520000000002</v>
      </c>
      <c r="Q3372">
        <v>0.152388</v>
      </c>
      <c r="R3372">
        <v>-2.0642629999999999E-2</v>
      </c>
      <c r="S3372">
        <v>3.057922</v>
      </c>
      <c r="T3372">
        <v>-0.14575099999999999</v>
      </c>
      <c r="U3372">
        <v>-2.5848389999999999E-2</v>
      </c>
      <c r="V3372">
        <v>2.8832110000000001E-2</v>
      </c>
      <c r="W3372">
        <v>0.16710939999999999</v>
      </c>
      <c r="X3372">
        <v>0.98551670000000002</v>
      </c>
      <c r="Y3372">
        <v>1.670611E-2</v>
      </c>
      <c r="Z3372">
        <v>-7.9244069999999996E-4</v>
      </c>
      <c r="AA3372">
        <v>0.99986010000000003</v>
      </c>
      <c r="AB3372">
        <v>38</v>
      </c>
      <c r="AC3372">
        <v>21.7593</v>
      </c>
      <c r="AD3372">
        <v>-1.1102204470471999</v>
      </c>
      <c r="AE3372">
        <v>-0.20959999999999401</v>
      </c>
      <c r="AF3372">
        <v>0.38880089186466399</v>
      </c>
      <c r="AG3372">
        <v>-1.1102204470471999</v>
      </c>
      <c r="AH3372">
        <v>21.7003298578326</v>
      </c>
      <c r="AI3372">
        <v>92.928312706699401</v>
      </c>
      <c r="AJ3372">
        <v>88.9735516885724</v>
      </c>
      <c r="AK3372">
        <v>21.732189754217099</v>
      </c>
      <c r="AL3372">
        <v>80.380204253814</v>
      </c>
      <c r="AM3372">
        <v>88.324242345505397</v>
      </c>
      <c r="AN3372">
        <v>1.0000000040571499</v>
      </c>
    </row>
    <row r="3373" spans="1:40" x14ac:dyDescent="0.25">
      <c r="A3373" t="str">
        <f>"20190312172436149"</f>
        <v>20190312172436149</v>
      </c>
      <c r="B3373" t="str">
        <f>"1552382676143919"</f>
        <v>1552382676143919</v>
      </c>
      <c r="C3373" t="s">
        <v>40</v>
      </c>
      <c r="D3373">
        <v>3.8229920000000002</v>
      </c>
      <c r="E3373">
        <v>0.50418439999999998</v>
      </c>
      <c r="F3373" t="s">
        <v>41</v>
      </c>
      <c r="G3373">
        <v>-384.75580000000002</v>
      </c>
      <c r="H3373">
        <v>0.93444499999999997</v>
      </c>
      <c r="I3373">
        <v>213.58789999999999</v>
      </c>
      <c r="J3373">
        <v>-385.2987</v>
      </c>
      <c r="K3373">
        <v>1.1102240000000001</v>
      </c>
      <c r="L3373">
        <v>213.61420000000001</v>
      </c>
      <c r="M3373">
        <v>0.99985440000000003</v>
      </c>
      <c r="N3373">
        <v>0</v>
      </c>
      <c r="O3373">
        <v>8.2817189999999999E-3</v>
      </c>
      <c r="P3373">
        <v>0.98804060000000005</v>
      </c>
      <c r="Q3373">
        <v>0.15283070000000001</v>
      </c>
      <c r="R3373">
        <v>-2.0464619999999999E-2</v>
      </c>
      <c r="S3373">
        <v>3.1255799999999998</v>
      </c>
      <c r="T3373">
        <v>-0.59047819999999995</v>
      </c>
      <c r="U3373">
        <v>-7.7301030000000007E-2</v>
      </c>
      <c r="V3373">
        <v>2.865374E-2</v>
      </c>
      <c r="W3373">
        <v>0.16754839999999999</v>
      </c>
      <c r="X3373">
        <v>0.98544730000000003</v>
      </c>
      <c r="Y3373">
        <v>3.2286240000000001E-2</v>
      </c>
      <c r="Z3373">
        <v>-4.5733559999999998E-3</v>
      </c>
      <c r="AA3373">
        <v>0.99946820000000003</v>
      </c>
      <c r="AB3373">
        <v>38</v>
      </c>
      <c r="AC3373">
        <v>0.54289999999997396</v>
      </c>
      <c r="AD3373">
        <v>-0.17577899999999899</v>
      </c>
      <c r="AE3373">
        <v>-2.6300000000020401E-2</v>
      </c>
      <c r="AF3373">
        <v>2.7879880040148498E-2</v>
      </c>
      <c r="AG3373">
        <v>-0.17577899999999899</v>
      </c>
      <c r="AH3373">
        <v>0.49128200024333402</v>
      </c>
      <c r="AI3373">
        <v>109.657834907154</v>
      </c>
      <c r="AJ3373">
        <v>86.751991790750097</v>
      </c>
      <c r="AK3373">
        <v>0.52252612213662997</v>
      </c>
      <c r="AL3373">
        <v>80.3546911053092</v>
      </c>
      <c r="AM3373">
        <v>88.334486353370394</v>
      </c>
      <c r="AN3373">
        <v>0.99999994211791698</v>
      </c>
    </row>
    <row r="3374" spans="1:40" x14ac:dyDescent="0.25">
      <c r="A3374" t="str">
        <f>"20190312172436171"</f>
        <v>20190312172436171</v>
      </c>
      <c r="B3374" t="str">
        <f>"1552382676163438"</f>
        <v>1552382676163438</v>
      </c>
      <c r="C3374" t="s">
        <v>40</v>
      </c>
      <c r="D3374">
        <v>3.9014329999999999</v>
      </c>
      <c r="E3374">
        <v>0.50660930000000004</v>
      </c>
      <c r="F3374" t="s">
        <v>41</v>
      </c>
      <c r="G3374">
        <v>-384.39749999999998</v>
      </c>
      <c r="H3374">
        <v>0.97569530000000004</v>
      </c>
      <c r="I3374">
        <v>213.5907</v>
      </c>
      <c r="J3374">
        <v>-384.94119999999998</v>
      </c>
      <c r="K3374">
        <v>1.1102320000000001</v>
      </c>
      <c r="L3374">
        <v>213.6172</v>
      </c>
      <c r="M3374">
        <v>0.99985440000000003</v>
      </c>
      <c r="N3374">
        <v>0</v>
      </c>
      <c r="O3374">
        <v>8.2817380000000003E-3</v>
      </c>
      <c r="P3374">
        <v>0.98806550000000004</v>
      </c>
      <c r="Q3374">
        <v>0.15270329999999999</v>
      </c>
      <c r="R3374">
        <v>-2.0204699999999999E-2</v>
      </c>
      <c r="S3374">
        <v>3.1063839999999998</v>
      </c>
      <c r="T3374">
        <v>-0.463752</v>
      </c>
      <c r="U3374">
        <v>-8.0184939999999996E-2</v>
      </c>
      <c r="V3374">
        <v>2.8394260000000001E-2</v>
      </c>
      <c r="W3374">
        <v>0.1674187</v>
      </c>
      <c r="X3374">
        <v>0.98547689999999999</v>
      </c>
      <c r="Y3374">
        <v>3.3619290000000003E-2</v>
      </c>
      <c r="Z3374">
        <v>-3.724799E-3</v>
      </c>
      <c r="AA3374">
        <v>0.99942779999999998</v>
      </c>
      <c r="AB3374">
        <v>38</v>
      </c>
      <c r="AC3374">
        <v>0.54370000000000096</v>
      </c>
      <c r="AD3374">
        <v>-0.13453669999999901</v>
      </c>
      <c r="AE3374">
        <v>-2.6499999999998601E-2</v>
      </c>
      <c r="AF3374">
        <v>2.9217623630818399E-2</v>
      </c>
      <c r="AG3374">
        <v>-0.13453669999999901</v>
      </c>
      <c r="AH3374">
        <v>0.51217576091391104</v>
      </c>
      <c r="AI3374">
        <v>104.69492670373801</v>
      </c>
      <c r="AJ3374">
        <v>86.735038513883396</v>
      </c>
      <c r="AK3374">
        <v>0.53035629839313303</v>
      </c>
      <c r="AL3374">
        <v>80.362229284038307</v>
      </c>
      <c r="AM3374">
        <v>88.349609929923801</v>
      </c>
      <c r="AN3374">
        <v>0.99999998777212296</v>
      </c>
    </row>
    <row r="3375" spans="1:40" x14ac:dyDescent="0.25">
      <c r="A3375" t="str">
        <f>"20190312172436193"</f>
        <v>20190312172436193</v>
      </c>
      <c r="B3375" t="str">
        <f>"1552382676183934"</f>
        <v>1552382676183934</v>
      </c>
      <c r="C3375" t="s">
        <v>40</v>
      </c>
      <c r="D3375">
        <v>4.1800259999999998</v>
      </c>
      <c r="E3375">
        <v>0.50902749999999997</v>
      </c>
      <c r="F3375" t="s">
        <v>41</v>
      </c>
      <c r="G3375">
        <v>-384.04059999999998</v>
      </c>
      <c r="H3375">
        <v>1.014275</v>
      </c>
      <c r="I3375">
        <v>213.58760000000001</v>
      </c>
      <c r="J3375">
        <v>-384.55160000000001</v>
      </c>
      <c r="K3375">
        <v>1.1102320000000001</v>
      </c>
      <c r="L3375">
        <v>213.62039999999999</v>
      </c>
      <c r="M3375">
        <v>0.99985440000000003</v>
      </c>
      <c r="N3375">
        <v>0</v>
      </c>
      <c r="O3375">
        <v>8.2819380000000008E-3</v>
      </c>
      <c r="P3375">
        <v>0.98803180000000002</v>
      </c>
      <c r="Q3375">
        <v>0.1529596</v>
      </c>
      <c r="R3375">
        <v>-1.991455E-2</v>
      </c>
      <c r="S3375">
        <v>3.0850219999999999</v>
      </c>
      <c r="T3375">
        <v>-0.32876169999999999</v>
      </c>
      <c r="U3375">
        <v>-0.1007996</v>
      </c>
      <c r="V3375">
        <v>2.810385E-2</v>
      </c>
      <c r="W3375">
        <v>0.16767109999999999</v>
      </c>
      <c r="X3375">
        <v>0.98544229999999999</v>
      </c>
      <c r="Y3375">
        <v>4.0656919999999999E-2</v>
      </c>
      <c r="Z3375">
        <v>-3.0396339999999998E-3</v>
      </c>
      <c r="AA3375">
        <v>0.99916850000000001</v>
      </c>
      <c r="AB3375">
        <v>38</v>
      </c>
      <c r="AC3375">
        <v>0.51100000000002399</v>
      </c>
      <c r="AD3375">
        <v>-9.5956999999999806E-2</v>
      </c>
      <c r="AE3375">
        <v>-3.27999999999804E-2</v>
      </c>
      <c r="AF3375">
        <v>3.5775078340782598E-2</v>
      </c>
      <c r="AG3375">
        <v>-9.5956999999999806E-2</v>
      </c>
      <c r="AH3375">
        <v>0.49338427975140298</v>
      </c>
      <c r="AI3375">
        <v>100.977791530503</v>
      </c>
      <c r="AJ3375">
        <v>85.852766140036806</v>
      </c>
      <c r="AK3375">
        <v>0.50390043618268499</v>
      </c>
      <c r="AL3375">
        <v>80.347560356743898</v>
      </c>
      <c r="AM3375">
        <v>88.366423225865603</v>
      </c>
      <c r="AN3375">
        <v>0.99999997539466001</v>
      </c>
    </row>
    <row r="3376" spans="1:40" x14ac:dyDescent="0.25">
      <c r="A3376" t="str">
        <f>"20190312172436217"</f>
        <v>20190312172436217</v>
      </c>
      <c r="B3376" t="str">
        <f>"1552382676213215"</f>
        <v>1552382676213215</v>
      </c>
      <c r="C3376" t="s">
        <v>40</v>
      </c>
      <c r="D3376">
        <v>3.9114529999999998</v>
      </c>
      <c r="E3376">
        <v>0.51051040000000003</v>
      </c>
      <c r="F3376" t="s">
        <v>41</v>
      </c>
      <c r="G3376">
        <v>-383.69029999999998</v>
      </c>
      <c r="H3376">
        <v>1.039876</v>
      </c>
      <c r="I3376">
        <v>213.58629999999999</v>
      </c>
      <c r="J3376">
        <v>-384.16629999999998</v>
      </c>
      <c r="K3376">
        <v>1.1102379999999901</v>
      </c>
      <c r="L3376">
        <v>213.62360000000001</v>
      </c>
      <c r="M3376">
        <v>0.99985469999999999</v>
      </c>
      <c r="N3376">
        <v>0</v>
      </c>
      <c r="O3376">
        <v>8.2817819999999997E-3</v>
      </c>
      <c r="P3376">
        <v>0.98802670000000004</v>
      </c>
      <c r="Q3376">
        <v>0.15299360000000001</v>
      </c>
      <c r="R3376">
        <v>-1.9906110000000001E-2</v>
      </c>
      <c r="S3376">
        <v>3.0727540000000002</v>
      </c>
      <c r="T3376">
        <v>-0.25108029999999998</v>
      </c>
      <c r="U3376">
        <v>-0.12039179999999999</v>
      </c>
      <c r="V3376">
        <v>2.8095510000000001E-2</v>
      </c>
      <c r="W3376">
        <v>0.16770209999999999</v>
      </c>
      <c r="X3376">
        <v>0.98543729999999996</v>
      </c>
      <c r="Y3376">
        <v>4.7240629999999999E-2</v>
      </c>
      <c r="Z3376">
        <v>-2.6015449999999998E-3</v>
      </c>
      <c r="AA3376">
        <v>0.99888010000000005</v>
      </c>
      <c r="AB3376">
        <v>38</v>
      </c>
      <c r="AC3376">
        <v>0.47599999999999898</v>
      </c>
      <c r="AD3376">
        <v>-7.03619999999998E-2</v>
      </c>
      <c r="AE3376">
        <v>-3.7300000000016098E-2</v>
      </c>
      <c r="AF3376">
        <v>4.0364678627097098E-2</v>
      </c>
      <c r="AG3376">
        <v>-7.03619999999998E-2</v>
      </c>
      <c r="AH3376">
        <v>0.46556398168763802</v>
      </c>
      <c r="AI3376">
        <v>98.562589466308907</v>
      </c>
      <c r="AJ3376">
        <v>85.044812531885796</v>
      </c>
      <c r="AK3376">
        <v>0.47257797173536997</v>
      </c>
      <c r="AL3376">
        <v>80.345759034414698</v>
      </c>
      <c r="AM3376">
        <v>88.366899456185607</v>
      </c>
      <c r="AN3376">
        <v>1.0000000121289201</v>
      </c>
    </row>
    <row r="3377" spans="1:40" x14ac:dyDescent="0.25">
      <c r="A3377" t="str">
        <f>"20190312172436237"</f>
        <v>20190312172436237</v>
      </c>
      <c r="B3377" t="str">
        <f>"1552382676233710"</f>
        <v>1552382676233710</v>
      </c>
      <c r="C3377" t="s">
        <v>40</v>
      </c>
      <c r="D3377">
        <v>3.913049</v>
      </c>
      <c r="E3377">
        <v>0.51089759999999995</v>
      </c>
      <c r="F3377" t="s">
        <v>47</v>
      </c>
      <c r="G3377">
        <v>-368.214</v>
      </c>
      <c r="H3377" s="1">
        <v>2.8342790000000002E-6</v>
      </c>
      <c r="I3377">
        <v>212.93270000000001</v>
      </c>
      <c r="J3377">
        <v>-383.80810000000002</v>
      </c>
      <c r="K3377">
        <v>1.110239</v>
      </c>
      <c r="L3377">
        <v>213.62649999999999</v>
      </c>
      <c r="M3377">
        <v>0.99985469999999999</v>
      </c>
      <c r="N3377">
        <v>0</v>
      </c>
      <c r="O3377">
        <v>8.2818049999999997E-3</v>
      </c>
      <c r="P3377">
        <v>0.98790909999999998</v>
      </c>
      <c r="Q3377">
        <v>0.1537386</v>
      </c>
      <c r="R3377">
        <v>-2.0004299999999999E-2</v>
      </c>
      <c r="S3377">
        <v>3.0667110000000002</v>
      </c>
      <c r="T3377">
        <v>-0.2134347</v>
      </c>
      <c r="U3377">
        <v>-0.1328125</v>
      </c>
      <c r="V3377">
        <v>2.8192729999999999E-2</v>
      </c>
      <c r="W3377">
        <v>0.16844200000000001</v>
      </c>
      <c r="X3377">
        <v>0.98530830000000003</v>
      </c>
      <c r="Y3377">
        <v>5.1396619999999997E-2</v>
      </c>
      <c r="Z3377">
        <v>-2.3610480000000001E-3</v>
      </c>
      <c r="AA3377">
        <v>0.99867550000000005</v>
      </c>
      <c r="AB3377">
        <v>38</v>
      </c>
      <c r="AC3377">
        <v>15.594099999999999</v>
      </c>
      <c r="AD3377">
        <v>-1.110236165721</v>
      </c>
      <c r="AE3377">
        <v>-0.69379999999998099</v>
      </c>
      <c r="AF3377">
        <v>0.81879567390555297</v>
      </c>
      <c r="AG3377">
        <v>-1.110236165721</v>
      </c>
      <c r="AH3377">
        <v>15.5093591028844</v>
      </c>
      <c r="AI3377">
        <v>94.088854236523005</v>
      </c>
      <c r="AJ3377">
        <v>86.977952247731196</v>
      </c>
      <c r="AK3377">
        <v>15.5705899207931</v>
      </c>
      <c r="AL3377">
        <v>80.302753929679</v>
      </c>
      <c r="AM3377">
        <v>88.361037016473603</v>
      </c>
      <c r="AN3377">
        <v>0.999999991718871</v>
      </c>
    </row>
    <row r="3378" spans="1:40" x14ac:dyDescent="0.25">
      <c r="A3378" t="str">
        <f>"20190312172436260"</f>
        <v>20190312172436260</v>
      </c>
      <c r="B3378" t="str">
        <f>"1552382676253230"</f>
        <v>1552382676253230</v>
      </c>
      <c r="C3378" t="s">
        <v>40</v>
      </c>
      <c r="D3378">
        <v>3.9463599999999999</v>
      </c>
      <c r="E3378">
        <v>0.51145529999999995</v>
      </c>
      <c r="F3378" t="s">
        <v>47</v>
      </c>
      <c r="G3378">
        <v>-366.62619999999998</v>
      </c>
      <c r="H3378" s="1">
        <v>1.9893199999999999E-6</v>
      </c>
      <c r="I3378">
        <v>212.86109999999999</v>
      </c>
      <c r="J3378">
        <v>-383.43939999999998</v>
      </c>
      <c r="K3378">
        <v>1.1102459999999901</v>
      </c>
      <c r="L3378">
        <v>213.62960000000001</v>
      </c>
      <c r="M3378">
        <v>0.99985469999999999</v>
      </c>
      <c r="N3378">
        <v>0</v>
      </c>
      <c r="O3378">
        <v>8.2818289999999992E-3</v>
      </c>
      <c r="P3378">
        <v>0.98785769999999995</v>
      </c>
      <c r="Q3378">
        <v>0.15405569999999999</v>
      </c>
      <c r="R3378">
        <v>-2.0107369999999999E-2</v>
      </c>
      <c r="S3378">
        <v>3.0647890000000002</v>
      </c>
      <c r="T3378">
        <v>-0.19803570000000001</v>
      </c>
      <c r="U3378">
        <v>-0.13653560000000001</v>
      </c>
      <c r="V3378">
        <v>2.8295290000000001E-2</v>
      </c>
      <c r="W3378">
        <v>0.1687555</v>
      </c>
      <c r="X3378">
        <v>0.98525169999999995</v>
      </c>
      <c r="Y3378">
        <v>5.2651799999999999E-2</v>
      </c>
      <c r="Z3378">
        <v>-2.2328740000000001E-3</v>
      </c>
      <c r="AA3378">
        <v>0.99861040000000001</v>
      </c>
      <c r="AB3378">
        <v>38</v>
      </c>
      <c r="AC3378">
        <v>16.813199999999899</v>
      </c>
      <c r="AD3378">
        <v>-1.11024401067999</v>
      </c>
      <c r="AE3378">
        <v>-0.76850000000001695</v>
      </c>
      <c r="AF3378">
        <v>0.90380034052622804</v>
      </c>
      <c r="AG3378">
        <v>-1.11024401067999</v>
      </c>
      <c r="AH3378">
        <v>16.733443944171999</v>
      </c>
      <c r="AI3378">
        <v>93.790434246237893</v>
      </c>
      <c r="AJ3378">
        <v>86.908366411998202</v>
      </c>
      <c r="AK3378">
        <v>16.794571832932601</v>
      </c>
      <c r="AL3378">
        <v>80.284530693136006</v>
      </c>
      <c r="AM3378">
        <v>88.354983593991193</v>
      </c>
      <c r="AN3378">
        <v>0.99999997728466095</v>
      </c>
    </row>
    <row r="3379" spans="1:40" x14ac:dyDescent="0.25">
      <c r="A3379" t="str">
        <f>"20190312172436282"</f>
        <v>20190312172436282</v>
      </c>
      <c r="B3379" t="str">
        <f>"1552382676273726"</f>
        <v>1552382676273726</v>
      </c>
      <c r="C3379" t="s">
        <v>40</v>
      </c>
      <c r="D3379">
        <v>3.9476070000000001</v>
      </c>
      <c r="E3379">
        <v>0.51174070000000005</v>
      </c>
      <c r="F3379" t="s">
        <v>47</v>
      </c>
      <c r="G3379">
        <v>-365.2962</v>
      </c>
      <c r="H3379" s="1">
        <v>1.281587E-6</v>
      </c>
      <c r="I3379">
        <v>212.79079999999999</v>
      </c>
      <c r="J3379">
        <v>-383.05590000000001</v>
      </c>
      <c r="K3379">
        <v>1.11025</v>
      </c>
      <c r="L3379">
        <v>213.6328</v>
      </c>
      <c r="M3379">
        <v>0.99985469999999999</v>
      </c>
      <c r="N3379">
        <v>0</v>
      </c>
      <c r="O3379">
        <v>8.281676E-3</v>
      </c>
      <c r="P3379">
        <v>0.98784850000000002</v>
      </c>
      <c r="Q3379">
        <v>0.15411610000000001</v>
      </c>
      <c r="R3379">
        <v>-2.0096699999999999E-2</v>
      </c>
      <c r="S3379">
        <v>3.0632320000000002</v>
      </c>
      <c r="T3379">
        <v>-0.18744949999999999</v>
      </c>
      <c r="U3379">
        <v>-0.14161679999999999</v>
      </c>
      <c r="V3379">
        <v>2.8284460000000001E-2</v>
      </c>
      <c r="W3379">
        <v>0.16881189999999999</v>
      </c>
      <c r="X3379">
        <v>0.98524239999999996</v>
      </c>
      <c r="Y3379">
        <v>5.4337120000000003E-2</v>
      </c>
      <c r="Z3379">
        <v>-2.1662140000000001E-3</v>
      </c>
      <c r="AA3379">
        <v>0.99852030000000003</v>
      </c>
      <c r="AB3379">
        <v>38</v>
      </c>
      <c r="AC3379">
        <v>17.759699999999999</v>
      </c>
      <c r="AD3379">
        <v>-1.1102487184130001</v>
      </c>
      <c r="AE3379">
        <v>-0.84200000000001296</v>
      </c>
      <c r="AF3379">
        <v>0.98522576993445199</v>
      </c>
      <c r="AG3379">
        <v>-1.1102487184130001</v>
      </c>
      <c r="AH3379">
        <v>17.683163713702701</v>
      </c>
      <c r="AI3379">
        <v>93.587087595531997</v>
      </c>
      <c r="AJ3379">
        <v>86.811035754533805</v>
      </c>
      <c r="AK3379">
        <v>17.7453543486765</v>
      </c>
      <c r="AL3379">
        <v>80.281252667413696</v>
      </c>
      <c r="AM3379">
        <v>88.3555973636293</v>
      </c>
      <c r="AN3379">
        <v>1.00000002750843</v>
      </c>
    </row>
    <row r="3380" spans="1:40" x14ac:dyDescent="0.25">
      <c r="A3380" t="str">
        <f>"20190312172436304"</f>
        <v>20190312172436304</v>
      </c>
      <c r="B3380" t="str">
        <f>"1552382676293246"</f>
        <v>1552382676293246</v>
      </c>
      <c r="C3380" t="s">
        <v>40</v>
      </c>
      <c r="D3380">
        <v>3.9487869999999998</v>
      </c>
      <c r="E3380">
        <v>0.5118028</v>
      </c>
      <c r="F3380" t="s">
        <v>41</v>
      </c>
      <c r="G3380">
        <v>-382.00200000000001</v>
      </c>
      <c r="H3380">
        <v>1.048119</v>
      </c>
      <c r="I3380">
        <v>213.5829</v>
      </c>
      <c r="J3380">
        <v>-382.67540000000002</v>
      </c>
      <c r="K3380">
        <v>1.110252</v>
      </c>
      <c r="L3380">
        <v>213.63589999999999</v>
      </c>
      <c r="M3380">
        <v>0.99985489999999999</v>
      </c>
      <c r="N3380">
        <v>0</v>
      </c>
      <c r="O3380">
        <v>8.2817029999999996E-3</v>
      </c>
      <c r="P3380">
        <v>0.98786320000000005</v>
      </c>
      <c r="Q3380">
        <v>0.1540436</v>
      </c>
      <c r="R3380">
        <v>-1.9922209999999999E-2</v>
      </c>
      <c r="S3380">
        <v>3.0621640000000001</v>
      </c>
      <c r="T3380">
        <v>-0.18051410000000001</v>
      </c>
      <c r="U3380">
        <v>-0.1443024</v>
      </c>
      <c r="V3380">
        <v>2.8110329999999999E-2</v>
      </c>
      <c r="W3380">
        <v>0.16873579999999999</v>
      </c>
      <c r="X3380">
        <v>0.98526040000000004</v>
      </c>
      <c r="Y3380">
        <v>5.5233879999999999E-2</v>
      </c>
      <c r="Z3380">
        <v>-2.1132880000000001E-3</v>
      </c>
      <c r="AA3380">
        <v>0.9984712</v>
      </c>
      <c r="AB3380">
        <v>38</v>
      </c>
      <c r="AC3380">
        <v>0.67340000000007105</v>
      </c>
      <c r="AD3380">
        <v>-6.2133000000000001E-2</v>
      </c>
      <c r="AE3380">
        <v>-5.2999999999997202E-2</v>
      </c>
      <c r="AF3380">
        <v>5.8084253843253497E-2</v>
      </c>
      <c r="AG3380">
        <v>-6.2133000000000001E-2</v>
      </c>
      <c r="AH3380">
        <v>0.66729203228252798</v>
      </c>
      <c r="AI3380">
        <v>95.2996709533695</v>
      </c>
      <c r="AJ3380">
        <v>85.025243357363095</v>
      </c>
      <c r="AK3380">
        <v>0.67269082540292902</v>
      </c>
      <c r="AL3380">
        <v>80.285676146396</v>
      </c>
      <c r="AM3380">
        <v>88.365745271786196</v>
      </c>
      <c r="AN3380">
        <v>1.0000000083312499</v>
      </c>
    </row>
    <row r="3381" spans="1:40" x14ac:dyDescent="0.25">
      <c r="A3381" t="str">
        <f>"20190312172436328"</f>
        <v>20190312172436328</v>
      </c>
      <c r="B3381" t="str">
        <f>"1552382676323504"</f>
        <v>1552382676323504</v>
      </c>
      <c r="C3381" t="s">
        <v>40</v>
      </c>
      <c r="D3381">
        <v>3.9275530000000001</v>
      </c>
      <c r="E3381">
        <v>0.51206379999999996</v>
      </c>
      <c r="F3381" t="s">
        <v>41</v>
      </c>
      <c r="G3381">
        <v>-381.65449999999998</v>
      </c>
      <c r="H3381">
        <v>1.052144</v>
      </c>
      <c r="I3381">
        <v>213.5874</v>
      </c>
      <c r="J3381">
        <v>-382.29680000000002</v>
      </c>
      <c r="K3381">
        <v>1.1102540000000001</v>
      </c>
      <c r="L3381">
        <v>213.63910000000001</v>
      </c>
      <c r="M3381">
        <v>0.99985500000000005</v>
      </c>
      <c r="N3381">
        <v>0</v>
      </c>
      <c r="O3381">
        <v>8.2816109999999995E-3</v>
      </c>
      <c r="P3381">
        <v>0.9878557</v>
      </c>
      <c r="Q3381">
        <v>0.1541178</v>
      </c>
      <c r="R3381">
        <v>-1.9720850000000002E-2</v>
      </c>
      <c r="S3381">
        <v>3.0611570000000001</v>
      </c>
      <c r="T3381">
        <v>-0.17438380000000001</v>
      </c>
      <c r="U3381">
        <v>-0.144455</v>
      </c>
      <c r="V3381">
        <v>2.790875E-2</v>
      </c>
      <c r="W3381">
        <v>0.1688067</v>
      </c>
      <c r="X3381">
        <v>0.98525399999999996</v>
      </c>
      <c r="Y3381">
        <v>5.5306029999999999E-2</v>
      </c>
      <c r="Z3381">
        <v>-2.0443520000000001E-3</v>
      </c>
      <c r="AA3381">
        <v>0.9984674</v>
      </c>
      <c r="AB3381">
        <v>38</v>
      </c>
      <c r="AC3381">
        <v>0.64230000000003395</v>
      </c>
      <c r="AD3381">
        <v>-5.8110000000000099E-2</v>
      </c>
      <c r="AE3381">
        <v>-5.1700000000010897E-2</v>
      </c>
      <c r="AF3381">
        <v>5.6558138298594601E-2</v>
      </c>
      <c r="AG3381">
        <v>-5.8110000000000099E-2</v>
      </c>
      <c r="AH3381">
        <v>0.63667206058160197</v>
      </c>
      <c r="AI3381">
        <v>95.194677297386207</v>
      </c>
      <c r="AJ3381">
        <v>84.9235112896299</v>
      </c>
      <c r="AK3381">
        <v>0.64181532221740101</v>
      </c>
      <c r="AL3381">
        <v>80.281554893413301</v>
      </c>
      <c r="AM3381">
        <v>88.377447739160999</v>
      </c>
      <c r="AN3381">
        <v>1.00000002240372</v>
      </c>
    </row>
    <row r="3382" spans="1:40" x14ac:dyDescent="0.25">
      <c r="A3382" t="str">
        <f>"20190312172436348"</f>
        <v>20190312172436348</v>
      </c>
      <c r="B3382" t="str">
        <f>"1552382676343999"</f>
        <v>1552382676343999</v>
      </c>
      <c r="C3382" t="s">
        <v>40</v>
      </c>
      <c r="D3382">
        <v>3.919565</v>
      </c>
      <c r="E3382">
        <v>0.51222979999999996</v>
      </c>
      <c r="F3382" t="s">
        <v>47</v>
      </c>
      <c r="G3382">
        <v>-361.99329999999998</v>
      </c>
      <c r="H3382" s="1">
        <v>-4.7602159999999998E-7</v>
      </c>
      <c r="I3382">
        <v>212.6721</v>
      </c>
      <c r="J3382">
        <v>-381.94029999999998</v>
      </c>
      <c r="K3382">
        <v>1.110255</v>
      </c>
      <c r="L3382">
        <v>213.642</v>
      </c>
      <c r="M3382">
        <v>0.99985489999999999</v>
      </c>
      <c r="N3382">
        <v>0</v>
      </c>
      <c r="O3382">
        <v>8.2817569999999903E-3</v>
      </c>
      <c r="P3382">
        <v>0.98787309999999995</v>
      </c>
      <c r="Q3382">
        <v>0.15404200000000001</v>
      </c>
      <c r="R3382">
        <v>-1.9439250000000002E-2</v>
      </c>
      <c r="S3382">
        <v>3.0600589999999999</v>
      </c>
      <c r="T3382">
        <v>-0.1673335</v>
      </c>
      <c r="U3382">
        <v>-0.1457367</v>
      </c>
      <c r="V3382">
        <v>2.762744E-2</v>
      </c>
      <c r="W3382">
        <v>0.1687273</v>
      </c>
      <c r="X3382">
        <v>0.98527549999999997</v>
      </c>
      <c r="Y3382">
        <v>5.5747749999999999E-2</v>
      </c>
      <c r="Z3382">
        <v>-1.9745779999999998E-3</v>
      </c>
      <c r="AA3382">
        <v>0.99844290000000002</v>
      </c>
      <c r="AB3382">
        <v>37</v>
      </c>
      <c r="AC3382">
        <v>19.946999999999999</v>
      </c>
      <c r="AD3382">
        <v>-1.1102554760215999</v>
      </c>
      <c r="AE3382">
        <v>-0.96989999999999499</v>
      </c>
      <c r="AF3382">
        <v>1.13158379113298</v>
      </c>
      <c r="AG3382">
        <v>-1.1102554760215999</v>
      </c>
      <c r="AH3382">
        <v>19.876847873840799</v>
      </c>
      <c r="AI3382">
        <v>93.191874517381393</v>
      </c>
      <c r="AJ3382">
        <v>86.741683167511198</v>
      </c>
      <c r="AK3382">
        <v>19.9399656594037</v>
      </c>
      <c r="AL3382">
        <v>80.286170104841801</v>
      </c>
      <c r="AM3382">
        <v>88.393828893277501</v>
      </c>
      <c r="AN3382">
        <v>0.99999999405324602</v>
      </c>
    </row>
    <row r="3383" spans="1:40" x14ac:dyDescent="0.25">
      <c r="A3383" t="str">
        <f>"20190312172436372"</f>
        <v>20190312172436372</v>
      </c>
      <c r="B3383" t="str">
        <f>"1552382676363519"</f>
        <v>1552382676363519</v>
      </c>
      <c r="C3383" t="s">
        <v>40</v>
      </c>
      <c r="D3383">
        <v>3.9050349999999998</v>
      </c>
      <c r="E3383">
        <v>0.51231159999999998</v>
      </c>
      <c r="F3383" t="s">
        <v>47</v>
      </c>
      <c r="G3383">
        <v>-361.24439999999998</v>
      </c>
      <c r="H3383" s="1">
        <v>-8.7459419999999999E-7</v>
      </c>
      <c r="I3383">
        <v>212.64940000000001</v>
      </c>
      <c r="J3383">
        <v>-381.55849999999998</v>
      </c>
      <c r="K3383">
        <v>1.1102559999999999</v>
      </c>
      <c r="L3383">
        <v>213.64519999999999</v>
      </c>
      <c r="M3383">
        <v>0.99985489999999999</v>
      </c>
      <c r="N3383">
        <v>0</v>
      </c>
      <c r="O3383">
        <v>8.2817859999999993E-3</v>
      </c>
      <c r="P3383">
        <v>0.9878228</v>
      </c>
      <c r="Q3383">
        <v>0.15437979999999901</v>
      </c>
      <c r="R3383">
        <v>-1.9319269999999999E-2</v>
      </c>
      <c r="S3383">
        <v>3.0596009999999998</v>
      </c>
      <c r="T3383">
        <v>-0.1641357</v>
      </c>
      <c r="U3383">
        <v>-0.14674379999999901</v>
      </c>
      <c r="V3383">
        <v>2.7507050000000002E-2</v>
      </c>
      <c r="W3383">
        <v>0.16906099999999999</v>
      </c>
      <c r="X3383">
        <v>0.98522169999999998</v>
      </c>
      <c r="Y3383">
        <v>5.6085870000000003E-2</v>
      </c>
      <c r="Z3383">
        <v>-1.9462310000000001E-3</v>
      </c>
      <c r="AA3383">
        <v>0.99842410000000004</v>
      </c>
      <c r="AB3383">
        <v>37</v>
      </c>
      <c r="AC3383">
        <v>20.3141</v>
      </c>
      <c r="AD3383">
        <v>-1.1102568745942001</v>
      </c>
      <c r="AE3383">
        <v>-0.99579999999997404</v>
      </c>
      <c r="AF3383">
        <v>1.1605630903398101</v>
      </c>
      <c r="AG3383">
        <v>-1.1102568745942001</v>
      </c>
      <c r="AH3383">
        <v>20.244826632618899</v>
      </c>
      <c r="AI3383">
        <v>93.133907633391601</v>
      </c>
      <c r="AJ3383">
        <v>86.719030010689593</v>
      </c>
      <c r="AK3383">
        <v>20.308436237165999</v>
      </c>
      <c r="AL3383">
        <v>80.266772173023796</v>
      </c>
      <c r="AM3383">
        <v>88.400737060140401</v>
      </c>
      <c r="AN3383">
        <v>1.00000002883579</v>
      </c>
    </row>
    <row r="3384" spans="1:40" x14ac:dyDescent="0.25">
      <c r="A3384" t="str">
        <f>"20190312172436394"</f>
        <v>20190312172436394</v>
      </c>
      <c r="B3384" t="str">
        <f>"1552382676384014"</f>
        <v>1552382676384014</v>
      </c>
      <c r="C3384" t="s">
        <v>40</v>
      </c>
      <c r="D3384">
        <v>3.8964799999999999</v>
      </c>
      <c r="E3384">
        <v>0.51239009999999996</v>
      </c>
      <c r="F3384" t="s">
        <v>47</v>
      </c>
      <c r="G3384">
        <v>-360.32040000000001</v>
      </c>
      <c r="H3384" s="1">
        <v>-1.366286E-6</v>
      </c>
      <c r="I3384">
        <v>212.62219999999999</v>
      </c>
      <c r="J3384">
        <v>-381.17590000000001</v>
      </c>
      <c r="K3384">
        <v>1.110258</v>
      </c>
      <c r="L3384">
        <v>213.64840000000001</v>
      </c>
      <c r="M3384">
        <v>0.9998551</v>
      </c>
      <c r="N3384">
        <v>0</v>
      </c>
      <c r="O3384">
        <v>8.2816969999999993E-3</v>
      </c>
      <c r="P3384">
        <v>0.98781289999999999</v>
      </c>
      <c r="Q3384">
        <v>0.15446589999999999</v>
      </c>
      <c r="R3384">
        <v>-1.9137700000000001E-2</v>
      </c>
      <c r="S3384">
        <v>3.059113</v>
      </c>
      <c r="T3384">
        <v>-0.15992000000000001</v>
      </c>
      <c r="U3384">
        <v>-0.14735409999999999</v>
      </c>
      <c r="V3384">
        <v>2.7325149999999999E-2</v>
      </c>
      <c r="W3384">
        <v>0.16914279999999901</v>
      </c>
      <c r="X3384">
        <v>0.98521270000000005</v>
      </c>
      <c r="Y3384">
        <v>5.6296520000000003E-2</v>
      </c>
      <c r="Z3384">
        <v>-1.9021000000000001E-3</v>
      </c>
      <c r="AA3384">
        <v>0.99841230000000003</v>
      </c>
      <c r="AB3384">
        <v>37</v>
      </c>
      <c r="AC3384">
        <v>20.855499999999999</v>
      </c>
      <c r="AD3384">
        <v>-1.1102593662860001</v>
      </c>
      <c r="AE3384">
        <v>-1.02620000000001</v>
      </c>
      <c r="AF3384">
        <v>1.1955228475189901</v>
      </c>
      <c r="AG3384">
        <v>-1.1102593662860001</v>
      </c>
      <c r="AH3384">
        <v>20.787514423404001</v>
      </c>
      <c r="AI3384">
        <v>93.052223811159195</v>
      </c>
      <c r="AJ3384">
        <v>86.708454881721806</v>
      </c>
      <c r="AK3384">
        <v>20.851443754392498</v>
      </c>
      <c r="AL3384">
        <v>80.262016685116393</v>
      </c>
      <c r="AM3384">
        <v>88.411292803079306</v>
      </c>
      <c r="AN3384">
        <v>1.0000000074278199</v>
      </c>
    </row>
    <row r="3385" spans="1:40" x14ac:dyDescent="0.25">
      <c r="A3385" t="str">
        <f>"20190312172436416"</f>
        <v>20190312172436416</v>
      </c>
      <c r="B3385" t="str">
        <f>"1552382676403535"</f>
        <v>1552382676403535</v>
      </c>
      <c r="C3385" t="s">
        <v>40</v>
      </c>
      <c r="D3385">
        <v>3.9491869999999998</v>
      </c>
      <c r="E3385">
        <v>0.51245560000000001</v>
      </c>
      <c r="F3385" t="s">
        <v>47</v>
      </c>
      <c r="G3385">
        <v>-359.58109999999999</v>
      </c>
      <c r="H3385" s="1">
        <v>3.6498230000000002E-6</v>
      </c>
      <c r="I3385">
        <v>212.60290000000001</v>
      </c>
      <c r="J3385">
        <v>-380.82459999999998</v>
      </c>
      <c r="K3385">
        <v>1.1102590000000001</v>
      </c>
      <c r="L3385">
        <v>213.65129999999999</v>
      </c>
      <c r="M3385">
        <v>0.99985520000000006</v>
      </c>
      <c r="N3385">
        <v>0</v>
      </c>
      <c r="O3385">
        <v>8.2815440000000001E-3</v>
      </c>
      <c r="P3385">
        <v>0.98778999999999995</v>
      </c>
      <c r="Q3385">
        <v>0.1546371</v>
      </c>
      <c r="R3385">
        <v>-1.8937760000000001E-2</v>
      </c>
      <c r="S3385">
        <v>3.0587460000000002</v>
      </c>
      <c r="T3385">
        <v>-0.1572596</v>
      </c>
      <c r="U3385">
        <v>-0.14808650000000001</v>
      </c>
      <c r="V3385">
        <v>2.7125070000000001E-2</v>
      </c>
      <c r="W3385">
        <v>0.16931009999999999</v>
      </c>
      <c r="X3385">
        <v>0.98518950000000005</v>
      </c>
      <c r="Y3385">
        <v>5.6543179999999998E-2</v>
      </c>
      <c r="Z3385">
        <v>-1.877037E-3</v>
      </c>
      <c r="AA3385">
        <v>0.99839840000000002</v>
      </c>
      <c r="AB3385">
        <v>37</v>
      </c>
      <c r="AC3385">
        <v>21.243499999999901</v>
      </c>
      <c r="AD3385">
        <v>-1.1102553501770001</v>
      </c>
      <c r="AE3385">
        <v>-1.04839999999998</v>
      </c>
      <c r="AF3385">
        <v>1.2209855021377101</v>
      </c>
      <c r="AG3385">
        <v>-1.1102553501770001</v>
      </c>
      <c r="AH3385">
        <v>21.1763862643061</v>
      </c>
      <c r="AI3385">
        <v>92.996241557416795</v>
      </c>
      <c r="AJ3385">
        <v>86.700100444099206</v>
      </c>
      <c r="AK3385">
        <v>21.240593394585702</v>
      </c>
      <c r="AL3385">
        <v>80.252290903100203</v>
      </c>
      <c r="AM3385">
        <v>88.422882606559597</v>
      </c>
      <c r="AN3385">
        <v>1.00000001514738</v>
      </c>
    </row>
    <row r="3386" spans="1:40" x14ac:dyDescent="0.25">
      <c r="A3386" t="str">
        <f>"20190312172436437"</f>
        <v>20190312172436437</v>
      </c>
      <c r="B3386" t="str">
        <f>"1552382676433791"</f>
        <v>1552382676433791</v>
      </c>
      <c r="C3386" t="s">
        <v>40</v>
      </c>
      <c r="D3386">
        <v>3.922186</v>
      </c>
      <c r="E3386">
        <v>0.51251970000000002</v>
      </c>
      <c r="F3386" t="s">
        <v>47</v>
      </c>
      <c r="G3386">
        <v>-358.84840000000003</v>
      </c>
      <c r="H3386" s="1">
        <v>3.260463E-6</v>
      </c>
      <c r="I3386">
        <v>212.58969999999999</v>
      </c>
      <c r="J3386">
        <v>-380.45729999999998</v>
      </c>
      <c r="K3386">
        <v>1.110268</v>
      </c>
      <c r="L3386">
        <v>213.65430000000001</v>
      </c>
      <c r="M3386">
        <v>0.99985520000000006</v>
      </c>
      <c r="N3386">
        <v>0</v>
      </c>
      <c r="O3386">
        <v>8.2817510000000004E-3</v>
      </c>
      <c r="P3386">
        <v>0.98780319999999999</v>
      </c>
      <c r="Q3386">
        <v>0.1545424</v>
      </c>
      <c r="R3386">
        <v>-1.9024449999999998E-2</v>
      </c>
      <c r="S3386">
        <v>3.058411</v>
      </c>
      <c r="T3386">
        <v>-0.1545136</v>
      </c>
      <c r="U3386">
        <v>-0.14773559999999999</v>
      </c>
      <c r="V3386">
        <v>2.7212009999999998E-2</v>
      </c>
      <c r="W3386">
        <v>0.1692119</v>
      </c>
      <c r="X3386">
        <v>0.98520399999999997</v>
      </c>
      <c r="Y3386">
        <v>5.6437439999999998E-2</v>
      </c>
      <c r="Z3386">
        <v>-1.8418519999999999E-3</v>
      </c>
      <c r="AA3386">
        <v>0.99840439999999997</v>
      </c>
      <c r="AB3386">
        <v>37</v>
      </c>
      <c r="AC3386">
        <v>21.608899999999899</v>
      </c>
      <c r="AD3386">
        <v>-1.110264739537</v>
      </c>
      <c r="AE3386">
        <v>-1.06460000000001</v>
      </c>
      <c r="AF3386">
        <v>1.2402765087118099</v>
      </c>
      <c r="AG3386">
        <v>-1.110264739537</v>
      </c>
      <c r="AH3386">
        <v>21.542608378971501</v>
      </c>
      <c r="AI3386">
        <v>92.945435389799002</v>
      </c>
      <c r="AJ3386">
        <v>86.704937140473206</v>
      </c>
      <c r="AK3386">
        <v>21.606826453221998</v>
      </c>
      <c r="AL3386">
        <v>80.2579999749005</v>
      </c>
      <c r="AM3386">
        <v>88.417853543356998</v>
      </c>
      <c r="AN3386">
        <v>1.00000004110292</v>
      </c>
    </row>
    <row r="3387" spans="1:40" x14ac:dyDescent="0.25">
      <c r="A3387" t="str">
        <f>"20190312172436461"</f>
        <v>20190312172436461</v>
      </c>
      <c r="B3387" t="str">
        <f>"1552382676453312"</f>
        <v>1552382676453312</v>
      </c>
      <c r="C3387" t="s">
        <v>40</v>
      </c>
      <c r="D3387">
        <v>3.933395</v>
      </c>
      <c r="E3387">
        <v>0.51257609999999998</v>
      </c>
      <c r="F3387" t="s">
        <v>47</v>
      </c>
      <c r="G3387">
        <v>-358.13369999999998</v>
      </c>
      <c r="H3387" s="1">
        <v>2.8811580000000002E-6</v>
      </c>
      <c r="I3387">
        <v>212.5668</v>
      </c>
      <c r="J3387">
        <v>-380.07040000000001</v>
      </c>
      <c r="K3387">
        <v>1.110269</v>
      </c>
      <c r="L3387">
        <v>213.6575</v>
      </c>
      <c r="M3387">
        <v>0.9998553</v>
      </c>
      <c r="N3387">
        <v>0</v>
      </c>
      <c r="O3387">
        <v>8.2816030000000002E-3</v>
      </c>
      <c r="P3387">
        <v>0.9878266</v>
      </c>
      <c r="Q3387">
        <v>0.15442690000000001</v>
      </c>
      <c r="R3387">
        <v>-1.8738749999999998E-2</v>
      </c>
      <c r="S3387">
        <v>3.058014</v>
      </c>
      <c r="T3387">
        <v>-0.15209029999999901</v>
      </c>
      <c r="U3387">
        <v>-0.14897160000000001</v>
      </c>
      <c r="V3387">
        <v>2.692636E-2</v>
      </c>
      <c r="W3387">
        <v>0.16909299999999999</v>
      </c>
      <c r="X3387">
        <v>0.9852322</v>
      </c>
      <c r="Y3387">
        <v>5.684815E-2</v>
      </c>
      <c r="Z3387">
        <v>-1.8234130000000001E-3</v>
      </c>
      <c r="AA3387">
        <v>0.99838119999999997</v>
      </c>
      <c r="AB3387">
        <v>37</v>
      </c>
      <c r="AC3387">
        <v>21.936699999999998</v>
      </c>
      <c r="AD3387">
        <v>-1.110266118842</v>
      </c>
      <c r="AE3387">
        <v>-1.09069999999999</v>
      </c>
      <c r="AF3387">
        <v>1.26911074890777</v>
      </c>
      <c r="AG3387">
        <v>-1.110266118842</v>
      </c>
      <c r="AH3387">
        <v>21.871027116093298</v>
      </c>
      <c r="AI3387">
        <v>92.901210290018099</v>
      </c>
      <c r="AJ3387">
        <v>86.679020133516005</v>
      </c>
      <c r="AK3387">
        <v>21.935933079322901</v>
      </c>
      <c r="AL3387">
        <v>80.264911443009893</v>
      </c>
      <c r="AM3387">
        <v>88.434498135199206</v>
      </c>
      <c r="AN3387">
        <v>0.99999997971434396</v>
      </c>
    </row>
    <row r="3388" spans="1:40" x14ac:dyDescent="0.25">
      <c r="A3388" t="str">
        <f>"20190312172436483"</f>
        <v>20190312172436483</v>
      </c>
      <c r="B3388" t="str">
        <f>"1552382676473806"</f>
        <v>1552382676473806</v>
      </c>
      <c r="C3388" t="s">
        <v>40</v>
      </c>
      <c r="D3388">
        <v>3.899778</v>
      </c>
      <c r="E3388">
        <v>0.51269500000000001</v>
      </c>
      <c r="F3388" t="s">
        <v>47</v>
      </c>
      <c r="G3388">
        <v>-357.55619999999999</v>
      </c>
      <c r="H3388" s="1">
        <v>2.57396E-6</v>
      </c>
      <c r="I3388">
        <v>212.56450000000001</v>
      </c>
      <c r="J3388">
        <v>-379.70080000000002</v>
      </c>
      <c r="K3388">
        <v>1.110271</v>
      </c>
      <c r="L3388">
        <v>213.66059999999999</v>
      </c>
      <c r="M3388">
        <v>0.99985520000000006</v>
      </c>
      <c r="N3388">
        <v>0</v>
      </c>
      <c r="O3388">
        <v>8.2816350000000007E-3</v>
      </c>
      <c r="P3388">
        <v>0.98780319999999999</v>
      </c>
      <c r="Q3388">
        <v>0.1545726</v>
      </c>
      <c r="R3388">
        <v>-1.8772850000000001E-2</v>
      </c>
      <c r="S3388">
        <v>3.0577390000000002</v>
      </c>
      <c r="T3388">
        <v>-0.15078989999999901</v>
      </c>
      <c r="U3388">
        <v>-0.148452799999999</v>
      </c>
      <c r="V3388">
        <v>2.696024E-2</v>
      </c>
      <c r="W3388">
        <v>0.169234</v>
      </c>
      <c r="X3388">
        <v>0.9852071</v>
      </c>
      <c r="Y3388">
        <v>5.6685100000000002E-2</v>
      </c>
      <c r="Z3388">
        <v>-1.803996E-3</v>
      </c>
      <c r="AA3388">
        <v>0.99839049999999996</v>
      </c>
      <c r="AB3388">
        <v>37</v>
      </c>
      <c r="AC3388">
        <v>22.144600000000001</v>
      </c>
      <c r="AD3388">
        <v>-1.11026842604</v>
      </c>
      <c r="AE3388">
        <v>-1.0960999999999701</v>
      </c>
      <c r="AF3388">
        <v>1.2762757808009999</v>
      </c>
      <c r="AG3388">
        <v>-1.11026842604</v>
      </c>
      <c r="AH3388">
        <v>22.079395710670099</v>
      </c>
      <c r="AI3388">
        <v>92.873919894404395</v>
      </c>
      <c r="AJ3388">
        <v>86.691760259229895</v>
      </c>
      <c r="AK3388">
        <v>22.144102844660001</v>
      </c>
      <c r="AL3388">
        <v>80.256714958104695</v>
      </c>
      <c r="AM3388">
        <v>88.432489415593295</v>
      </c>
      <c r="AN3388">
        <v>1.0000000155936299</v>
      </c>
    </row>
    <row r="3389" spans="1:40" x14ac:dyDescent="0.25">
      <c r="A3389" t="str">
        <f>"20190312172436506"</f>
        <v>20190312172436506</v>
      </c>
      <c r="B3389" t="str">
        <f>"1552382676493326"</f>
        <v>1552382676493326</v>
      </c>
      <c r="C3389" t="s">
        <v>40</v>
      </c>
      <c r="D3389">
        <v>3.9465789999999998</v>
      </c>
      <c r="E3389">
        <v>0.51282059999999996</v>
      </c>
      <c r="F3389" t="s">
        <v>47</v>
      </c>
      <c r="G3389">
        <v>-356.9067</v>
      </c>
      <c r="H3389" s="1">
        <v>2.2291730000000001E-6</v>
      </c>
      <c r="I3389">
        <v>212.5446</v>
      </c>
      <c r="J3389">
        <v>-379.32780000000002</v>
      </c>
      <c r="K3389">
        <v>1.1102749999999999</v>
      </c>
      <c r="L3389">
        <v>213.66370000000001</v>
      </c>
      <c r="M3389">
        <v>0.9998553</v>
      </c>
      <c r="N3389">
        <v>0</v>
      </c>
      <c r="O3389">
        <v>8.2816669999999995E-3</v>
      </c>
      <c r="P3389">
        <v>0.98777499999999996</v>
      </c>
      <c r="Q3389">
        <v>0.15475459999999999</v>
      </c>
      <c r="R3389">
        <v>-1.8755529999999999E-2</v>
      </c>
      <c r="S3389">
        <v>3.0575260000000002</v>
      </c>
      <c r="T3389">
        <v>-0.1489277</v>
      </c>
      <c r="U3389">
        <v>-0.14968870000000001</v>
      </c>
      <c r="V3389">
        <v>2.6942710000000002E-2</v>
      </c>
      <c r="W3389">
        <v>0.1694116</v>
      </c>
      <c r="X3389">
        <v>0.98517699999999997</v>
      </c>
      <c r="Y3389">
        <v>5.7092579999999997E-2</v>
      </c>
      <c r="Z3389">
        <v>-1.7917650000000001E-3</v>
      </c>
      <c r="AA3389">
        <v>0.99836729999999996</v>
      </c>
      <c r="AB3389">
        <v>37</v>
      </c>
      <c r="AC3389">
        <v>22.421099999999999</v>
      </c>
      <c r="AD3389">
        <v>-1.1102727708269999</v>
      </c>
      <c r="AE3389">
        <v>-1.1191</v>
      </c>
      <c r="AF3389">
        <v>1.3015824668842599</v>
      </c>
      <c r="AG3389">
        <v>-1.1102727708269999</v>
      </c>
      <c r="AH3389">
        <v>22.356377126210599</v>
      </c>
      <c r="AI3389">
        <v>92.838315392323807</v>
      </c>
      <c r="AJ3389">
        <v>86.668015837714094</v>
      </c>
      <c r="AK3389">
        <v>22.421739913599399</v>
      </c>
      <c r="AL3389">
        <v>80.246389602383701</v>
      </c>
      <c r="AM3389">
        <v>88.433460292252903</v>
      </c>
      <c r="AN3389">
        <v>0.99999996058285101</v>
      </c>
    </row>
    <row r="3390" spans="1:40" x14ac:dyDescent="0.25">
      <c r="A3390" t="str">
        <f>"20190312172436529"</f>
        <v>20190312172436529</v>
      </c>
      <c r="B3390" t="str">
        <f>"1552382676523583"</f>
        <v>1552382676523583</v>
      </c>
      <c r="C3390" t="s">
        <v>40</v>
      </c>
      <c r="D3390">
        <v>3.9201329999999999</v>
      </c>
      <c r="E3390">
        <v>0.51293370000000005</v>
      </c>
      <c r="F3390" t="s">
        <v>47</v>
      </c>
      <c r="G3390">
        <v>-356.28640000000001</v>
      </c>
      <c r="H3390" s="1">
        <v>1.899847E-6</v>
      </c>
      <c r="I3390">
        <v>212.5274</v>
      </c>
      <c r="J3390">
        <v>-378.94639999999998</v>
      </c>
      <c r="K3390">
        <v>1.1102749999999999</v>
      </c>
      <c r="L3390">
        <v>213.6669</v>
      </c>
      <c r="M3390">
        <v>0.99985550000000001</v>
      </c>
      <c r="N3390">
        <v>0</v>
      </c>
      <c r="O3390">
        <v>8.281521E-3</v>
      </c>
      <c r="P3390">
        <v>0.98777040000000005</v>
      </c>
      <c r="Q3390">
        <v>0.15478739999999999</v>
      </c>
      <c r="R3390">
        <v>-1.873872E-2</v>
      </c>
      <c r="S3390">
        <v>3.0573429999999999</v>
      </c>
      <c r="T3390">
        <v>-0.14732120000000001</v>
      </c>
      <c r="U3390">
        <v>-0.15077209999999999</v>
      </c>
      <c r="V3390">
        <v>2.6925669999999999E-2</v>
      </c>
      <c r="W3390">
        <v>0.1694398</v>
      </c>
      <c r="X3390">
        <v>0.98517259999999995</v>
      </c>
      <c r="Y3390">
        <v>5.7449510000000002E-2</v>
      </c>
      <c r="Z3390">
        <v>-1.7811329999999901E-3</v>
      </c>
      <c r="AA3390">
        <v>0.99834679999999998</v>
      </c>
      <c r="AB3390">
        <v>37</v>
      </c>
      <c r="AC3390">
        <v>22.659999999999901</v>
      </c>
      <c r="AD3390">
        <v>-1.110273100153</v>
      </c>
      <c r="AE3390">
        <v>-1.13949999999999</v>
      </c>
      <c r="AF3390">
        <v>1.3239704115550299</v>
      </c>
      <c r="AG3390">
        <v>-1.110273100153</v>
      </c>
      <c r="AH3390">
        <v>22.595676077837801</v>
      </c>
      <c r="AI3390">
        <v>92.808244414979498</v>
      </c>
      <c r="AJ3390">
        <v>86.646646829212898</v>
      </c>
      <c r="AK3390">
        <v>22.661645602695501</v>
      </c>
      <c r="AL3390">
        <v>80.244750003003503</v>
      </c>
      <c r="AM3390">
        <v>88.434443573289798</v>
      </c>
      <c r="AN3390">
        <v>0.99999994465987196</v>
      </c>
    </row>
    <row r="3391" spans="1:40" x14ac:dyDescent="0.25">
      <c r="A3391" t="str">
        <f>"20190312172436550"</f>
        <v>20190312172436550</v>
      </c>
      <c r="B3391" t="str">
        <f>"1552382676544080"</f>
        <v>1552382676544080</v>
      </c>
      <c r="C3391" t="s">
        <v>40</v>
      </c>
      <c r="D3391">
        <v>3.935057</v>
      </c>
      <c r="E3391">
        <v>0.51298379999999999</v>
      </c>
      <c r="F3391" t="s">
        <v>47</v>
      </c>
      <c r="G3391">
        <v>-355.67270000000002</v>
      </c>
      <c r="H3391" s="1">
        <v>1.5740709999999999E-6</v>
      </c>
      <c r="I3391">
        <v>212.5086</v>
      </c>
      <c r="J3391">
        <v>-378.58510000000001</v>
      </c>
      <c r="K3391">
        <v>1.1102780000000001</v>
      </c>
      <c r="L3391">
        <v>213.66990000000001</v>
      </c>
      <c r="M3391">
        <v>0.9998553</v>
      </c>
      <c r="N3391">
        <v>0</v>
      </c>
      <c r="O3391">
        <v>8.2817299999999993E-3</v>
      </c>
      <c r="P3391">
        <v>0.98778489999999997</v>
      </c>
      <c r="Q3391">
        <v>0.1546844</v>
      </c>
      <c r="R3391">
        <v>-1.879954E-2</v>
      </c>
      <c r="S3391">
        <v>3.0570680000000001</v>
      </c>
      <c r="T3391">
        <v>-0.14583769999999999</v>
      </c>
      <c r="U3391">
        <v>-0.15214539999999999</v>
      </c>
      <c r="V3391">
        <v>2.6986940000000001E-2</v>
      </c>
      <c r="W3391">
        <v>0.16933309999999999</v>
      </c>
      <c r="X3391">
        <v>0.98518930000000005</v>
      </c>
      <c r="Y3391">
        <v>5.7902500000000003E-2</v>
      </c>
      <c r="Z3391">
        <v>-1.7741569999999999E-3</v>
      </c>
      <c r="AA3391">
        <v>0.9983206</v>
      </c>
      <c r="AB3391">
        <v>37</v>
      </c>
      <c r="AC3391">
        <v>22.912399999999899</v>
      </c>
      <c r="AD3391">
        <v>-1.1102764259289899</v>
      </c>
      <c r="AE3391">
        <v>-1.16130000000001</v>
      </c>
      <c r="AF3391">
        <v>1.3478785508971101</v>
      </c>
      <c r="AG3391">
        <v>-1.1102764259289899</v>
      </c>
      <c r="AH3391">
        <v>22.8484818282015</v>
      </c>
      <c r="AI3391">
        <v>92.777165303670301</v>
      </c>
      <c r="AJ3391">
        <v>86.623917786736101</v>
      </c>
      <c r="AK3391">
        <v>22.915117546798601</v>
      </c>
      <c r="AL3391">
        <v>80.250953400812506</v>
      </c>
      <c r="AM3391">
        <v>88.430909476407095</v>
      </c>
      <c r="AN3391">
        <v>0.99999997526033102</v>
      </c>
    </row>
    <row r="3392" spans="1:40" x14ac:dyDescent="0.25">
      <c r="A3392" t="str">
        <f>"20190312172436573"</f>
        <v>20190312172436573</v>
      </c>
      <c r="B3392" t="str">
        <f>"1552382676563599"</f>
        <v>1552382676563599</v>
      </c>
      <c r="C3392" t="s">
        <v>40</v>
      </c>
      <c r="D3392">
        <v>3.9339249999999999</v>
      </c>
      <c r="E3392">
        <v>0.51303880000000002</v>
      </c>
      <c r="F3392" t="s">
        <v>47</v>
      </c>
      <c r="G3392">
        <v>-355.25490000000002</v>
      </c>
      <c r="H3392" s="1">
        <v>1.3519929999999999E-6</v>
      </c>
      <c r="I3392">
        <v>212.5025</v>
      </c>
      <c r="J3392">
        <v>-378.21480000000003</v>
      </c>
      <c r="K3392">
        <v>1.110282</v>
      </c>
      <c r="L3392">
        <v>213.6729</v>
      </c>
      <c r="M3392">
        <v>0.99985550000000001</v>
      </c>
      <c r="N3392">
        <v>0</v>
      </c>
      <c r="O3392">
        <v>8.2815809999999997E-3</v>
      </c>
      <c r="P3392">
        <v>0.98779850000000002</v>
      </c>
      <c r="Q3392">
        <v>0.1546006</v>
      </c>
      <c r="R3392">
        <v>-1.8788030000000001E-2</v>
      </c>
      <c r="S3392">
        <v>3.0569760000000001</v>
      </c>
      <c r="T3392">
        <v>-0.1454802</v>
      </c>
      <c r="U3392">
        <v>-0.15295410000000001</v>
      </c>
      <c r="V3392">
        <v>2.6975280000000001E-2</v>
      </c>
      <c r="W3392">
        <v>0.1692457</v>
      </c>
      <c r="X3392">
        <v>0.98520459999999999</v>
      </c>
      <c r="Y3392">
        <v>5.816735E-2</v>
      </c>
      <c r="Z3392">
        <v>-1.7761420000000001E-3</v>
      </c>
      <c r="AA3392">
        <v>0.99830529999999995</v>
      </c>
      <c r="AB3392">
        <v>37</v>
      </c>
      <c r="AC3392">
        <v>22.959900000000001</v>
      </c>
      <c r="AD3392">
        <v>-1.110280648007</v>
      </c>
      <c r="AE3392">
        <v>-1.1704000000000001</v>
      </c>
      <c r="AF3392">
        <v>1.3573592116996001</v>
      </c>
      <c r="AG3392">
        <v>-1.110280648007</v>
      </c>
      <c r="AH3392">
        <v>22.8960165242725</v>
      </c>
      <c r="AI3392">
        <v>92.771371567267295</v>
      </c>
      <c r="AJ3392">
        <v>86.607268530447101</v>
      </c>
      <c r="AK3392">
        <v>22.963072961315198</v>
      </c>
      <c r="AL3392">
        <v>80.256034025254493</v>
      </c>
      <c r="AM3392">
        <v>88.431611425210903</v>
      </c>
      <c r="AN3392">
        <v>0.99999993828036204</v>
      </c>
    </row>
    <row r="3393" spans="1:40" x14ac:dyDescent="0.25">
      <c r="A3393" t="str">
        <f>"20190312172436594"</f>
        <v>20190312172436594</v>
      </c>
      <c r="B3393" t="str">
        <f>"1552382676584095"</f>
        <v>1552382676584095</v>
      </c>
      <c r="C3393" t="s">
        <v>40</v>
      </c>
      <c r="D3393">
        <v>3.9231530000000001</v>
      </c>
      <c r="E3393">
        <v>0.51313969999999998</v>
      </c>
      <c r="F3393" t="s">
        <v>47</v>
      </c>
      <c r="G3393">
        <v>-354.84629999999999</v>
      </c>
      <c r="H3393" s="1">
        <v>1.1346760000000001E-6</v>
      </c>
      <c r="I3393">
        <v>212.49979999999999</v>
      </c>
      <c r="J3393">
        <v>-377.85730000000001</v>
      </c>
      <c r="K3393">
        <v>1.110282</v>
      </c>
      <c r="L3393">
        <v>213.67590000000001</v>
      </c>
      <c r="M3393">
        <v>0.99985570000000001</v>
      </c>
      <c r="N3393">
        <v>0</v>
      </c>
      <c r="O3393">
        <v>8.28161E-3</v>
      </c>
      <c r="P3393">
        <v>0.98780990000000002</v>
      </c>
      <c r="Q3393">
        <v>0.15451570000000001</v>
      </c>
      <c r="R3393">
        <v>-1.888577E-2</v>
      </c>
      <c r="S3393">
        <v>3.0568240000000002</v>
      </c>
      <c r="T3393">
        <v>-0.14523549999999999</v>
      </c>
      <c r="U3393">
        <v>-0.1534576</v>
      </c>
      <c r="V3393">
        <v>2.707327E-2</v>
      </c>
      <c r="W3393">
        <v>0.1691568</v>
      </c>
      <c r="X3393">
        <v>0.98521720000000002</v>
      </c>
      <c r="Y3393">
        <v>5.8333940000000001E-2</v>
      </c>
      <c r="Z3393">
        <v>-1.777194E-3</v>
      </c>
      <c r="AA3393">
        <v>0.9982955</v>
      </c>
      <c r="AB3393">
        <v>37</v>
      </c>
      <c r="AC3393">
        <v>23.010999999999999</v>
      </c>
      <c r="AD3393">
        <v>-1.1102808653239999</v>
      </c>
      <c r="AE3393">
        <v>-1.1761000000000099</v>
      </c>
      <c r="AF3393">
        <v>1.3634827488175201</v>
      </c>
      <c r="AG3393">
        <v>-1.1102808653239999</v>
      </c>
      <c r="AH3393">
        <v>22.947186329432501</v>
      </c>
      <c r="AI3393">
        <v>92.765179855973997</v>
      </c>
      <c r="AJ3393">
        <v>86.599580320909197</v>
      </c>
      <c r="AK3393">
        <v>23.014455658214501</v>
      </c>
      <c r="AL3393">
        <v>80.261202331138705</v>
      </c>
      <c r="AM3393">
        <v>88.425937102289595</v>
      </c>
      <c r="AN3393">
        <v>0.99999995805528497</v>
      </c>
    </row>
    <row r="3394" spans="1:40" x14ac:dyDescent="0.25">
      <c r="A3394" t="str">
        <f>"20190312172436617"</f>
        <v>20190312172436617</v>
      </c>
      <c r="B3394" t="str">
        <f>"1552382676613375"</f>
        <v>1552382676613375</v>
      </c>
      <c r="C3394" t="s">
        <v>40</v>
      </c>
      <c r="D3394">
        <v>3.9459330000000001</v>
      </c>
      <c r="E3394">
        <v>0.51329480000000005</v>
      </c>
      <c r="F3394" t="s">
        <v>47</v>
      </c>
      <c r="G3394">
        <v>-354.46879999999999</v>
      </c>
      <c r="H3394" s="1">
        <v>9.3408849999999998E-7</v>
      </c>
      <c r="I3394">
        <v>212.49260000000001</v>
      </c>
      <c r="J3394">
        <v>-377.49329999999998</v>
      </c>
      <c r="K3394">
        <v>1.110287</v>
      </c>
      <c r="L3394">
        <v>213.6789</v>
      </c>
      <c r="M3394">
        <v>0.99985559999999996</v>
      </c>
      <c r="N3394">
        <v>0</v>
      </c>
      <c r="O3394">
        <v>8.2816409999999993E-3</v>
      </c>
      <c r="P3394">
        <v>0.98782859999999995</v>
      </c>
      <c r="Q3394">
        <v>0.15440719999999999</v>
      </c>
      <c r="R3394">
        <v>-1.8801999999999999E-2</v>
      </c>
      <c r="S3394">
        <v>3.0567630000000001</v>
      </c>
      <c r="T3394">
        <v>-0.14510770000000001</v>
      </c>
      <c r="U3394">
        <v>-0.154647799999999</v>
      </c>
      <c r="V3394">
        <v>2.6989470000000002E-2</v>
      </c>
      <c r="W3394">
        <v>0.16904459999999999</v>
      </c>
      <c r="X3394">
        <v>0.98523879999999997</v>
      </c>
      <c r="Y3394">
        <v>5.8722379999999998E-2</v>
      </c>
      <c r="Z3394">
        <v>-1.7848600000000001E-3</v>
      </c>
      <c r="AA3394">
        <v>0.99827279999999996</v>
      </c>
      <c r="AB3394">
        <v>37</v>
      </c>
      <c r="AC3394">
        <v>23.0244999999999</v>
      </c>
      <c r="AD3394">
        <v>-1.1102860659114999</v>
      </c>
      <c r="AE3394">
        <v>-1.1862999999999799</v>
      </c>
      <c r="AF3394">
        <v>1.3737748916536201</v>
      </c>
      <c r="AG3394">
        <v>-1.1102860659114999</v>
      </c>
      <c r="AH3394">
        <v>22.960634368833801</v>
      </c>
      <c r="AI3394">
        <v>92.7635079464076</v>
      </c>
      <c r="AJ3394">
        <v>86.575975278184004</v>
      </c>
      <c r="AK3394">
        <v>23.028476354730198</v>
      </c>
      <c r="AL3394">
        <v>80.267725268722202</v>
      </c>
      <c r="AM3394">
        <v>88.430841250837403</v>
      </c>
      <c r="AN3394">
        <v>1.0000000006527401</v>
      </c>
    </row>
    <row r="3395" spans="1:40" x14ac:dyDescent="0.25">
      <c r="A3395" t="str">
        <f>"20190312172436639"</f>
        <v>20190312172436639</v>
      </c>
      <c r="B3395" t="str">
        <f>"1552382676633870"</f>
        <v>1552382676633870</v>
      </c>
      <c r="C3395" t="s">
        <v>40</v>
      </c>
      <c r="D3395">
        <v>3.9271050000000001</v>
      </c>
      <c r="E3395">
        <v>0.51339360000000001</v>
      </c>
      <c r="F3395" t="s">
        <v>47</v>
      </c>
      <c r="G3395">
        <v>-354.03449999999998</v>
      </c>
      <c r="H3395" s="1">
        <v>7.0337599999999998E-7</v>
      </c>
      <c r="I3395">
        <v>212.48390000000001</v>
      </c>
      <c r="J3395">
        <v>-377.11759999999998</v>
      </c>
      <c r="K3395">
        <v>1.1102909999999999</v>
      </c>
      <c r="L3395">
        <v>213.68199999999999</v>
      </c>
      <c r="M3395">
        <v>0.99985579999999996</v>
      </c>
      <c r="N3395">
        <v>0</v>
      </c>
      <c r="O3395">
        <v>8.2816720000000003E-3</v>
      </c>
      <c r="P3395">
        <v>0.98778549999999998</v>
      </c>
      <c r="Q3395">
        <v>0.1547317</v>
      </c>
      <c r="R3395">
        <v>-1.8384930000000001E-2</v>
      </c>
      <c r="S3395">
        <v>3.0565799999999999</v>
      </c>
      <c r="T3395">
        <v>-0.14466509999999999</v>
      </c>
      <c r="U3395">
        <v>-0.1557007</v>
      </c>
      <c r="V3395">
        <v>2.657238E-2</v>
      </c>
      <c r="W3395">
        <v>0.16936409999999999</v>
      </c>
      <c r="X3395">
        <v>0.9851953</v>
      </c>
      <c r="Y3395">
        <v>5.9068460000000003E-2</v>
      </c>
      <c r="Z3395">
        <v>-1.787694E-3</v>
      </c>
      <c r="AA3395">
        <v>0.99825229999999998</v>
      </c>
      <c r="AB3395">
        <v>37</v>
      </c>
      <c r="AC3395">
        <v>23.083100000000002</v>
      </c>
      <c r="AD3395">
        <v>-1.11029029662399</v>
      </c>
      <c r="AE3395">
        <v>-1.1981000000000099</v>
      </c>
      <c r="AF3395">
        <v>1.3860484582554</v>
      </c>
      <c r="AG3395">
        <v>-1.11029029662399</v>
      </c>
      <c r="AH3395">
        <v>23.019270987718301</v>
      </c>
      <c r="AI3395">
        <v>92.756427188946304</v>
      </c>
      <c r="AJ3395">
        <v>86.554236615034199</v>
      </c>
      <c r="AK3395">
        <v>23.087674453643402</v>
      </c>
      <c r="AL3395">
        <v>80.249151783751103</v>
      </c>
      <c r="AM3395">
        <v>88.455010698638205</v>
      </c>
      <c r="AN3395">
        <v>1.0000000344448801</v>
      </c>
    </row>
    <row r="3396" spans="1:40" x14ac:dyDescent="0.25">
      <c r="A3396" t="str">
        <f>"20190312172436663"</f>
        <v>20190312172436663</v>
      </c>
      <c r="B3396" t="str">
        <f>"1552382676653391"</f>
        <v>1552382676653391</v>
      </c>
      <c r="C3396" t="s">
        <v>40</v>
      </c>
      <c r="D3396">
        <v>3.9481069999999998</v>
      </c>
      <c r="E3396">
        <v>0.51346250000000004</v>
      </c>
      <c r="F3396" t="s">
        <v>47</v>
      </c>
      <c r="G3396">
        <v>-353.4117</v>
      </c>
      <c r="H3396" s="1">
        <v>3.7238099999999998E-7</v>
      </c>
      <c r="I3396">
        <v>212.47399999999999</v>
      </c>
      <c r="J3396">
        <v>-376.74079999999998</v>
      </c>
      <c r="K3396">
        <v>1.1102939999999999</v>
      </c>
      <c r="L3396">
        <v>213.68510000000001</v>
      </c>
      <c r="M3396">
        <v>0.99985570000000001</v>
      </c>
      <c r="N3396">
        <v>0</v>
      </c>
      <c r="O3396">
        <v>8.2817040000000008E-3</v>
      </c>
      <c r="P3396">
        <v>0.98777720000000002</v>
      </c>
      <c r="Q3396">
        <v>0.1547906</v>
      </c>
      <c r="R3396">
        <v>-1.8337079999999999E-2</v>
      </c>
      <c r="S3396">
        <v>3.05661</v>
      </c>
      <c r="T3396">
        <v>-0.1431595</v>
      </c>
      <c r="U3396">
        <v>-0.1557617</v>
      </c>
      <c r="V3396">
        <v>2.6524329999999999E-2</v>
      </c>
      <c r="W3396">
        <v>0.1694196</v>
      </c>
      <c r="X3396">
        <v>0.98518700000000003</v>
      </c>
      <c r="Y3396">
        <v>5.9089410000000002E-2</v>
      </c>
      <c r="Z3396">
        <v>-1.769582E-3</v>
      </c>
      <c r="AA3396">
        <v>0.99825109999999995</v>
      </c>
      <c r="AB3396">
        <v>37</v>
      </c>
      <c r="AC3396">
        <v>23.329099999999901</v>
      </c>
      <c r="AD3396">
        <v>-1.1102936276189901</v>
      </c>
      <c r="AE3396">
        <v>-1.2110999999999801</v>
      </c>
      <c r="AF3396">
        <v>1.40111932418969</v>
      </c>
      <c r="AG3396">
        <v>-1.1102936276189901</v>
      </c>
      <c r="AH3396">
        <v>23.2657121091333</v>
      </c>
      <c r="AI3396">
        <v>92.727280702981005</v>
      </c>
      <c r="AJ3396">
        <v>86.553667282257905</v>
      </c>
      <c r="AK3396">
        <v>23.334293373599799</v>
      </c>
      <c r="AL3396">
        <v>80.245924733501596</v>
      </c>
      <c r="AM3396">
        <v>88.457790117439501</v>
      </c>
      <c r="AN3396">
        <v>0.99999998295755399</v>
      </c>
    </row>
    <row r="3397" spans="1:40" x14ac:dyDescent="0.25">
      <c r="A3397" t="str">
        <f>"20190312172436684"</f>
        <v>20190312172436684</v>
      </c>
      <c r="B3397" t="str">
        <f>"1552382676673887"</f>
        <v>1552382676673887</v>
      </c>
      <c r="C3397" t="s">
        <v>40</v>
      </c>
      <c r="D3397">
        <v>3.9316870000000002</v>
      </c>
      <c r="E3397">
        <v>0.51355019999999996</v>
      </c>
      <c r="F3397" t="s">
        <v>47</v>
      </c>
      <c r="G3397">
        <v>-352.92809999999997</v>
      </c>
      <c r="H3397" s="1">
        <v>1.1530809999999999E-7</v>
      </c>
      <c r="I3397">
        <v>212.4682</v>
      </c>
      <c r="J3397">
        <v>-376.37540000000001</v>
      </c>
      <c r="K3397">
        <v>1.110298</v>
      </c>
      <c r="L3397">
        <v>213.68819999999999</v>
      </c>
      <c r="M3397">
        <v>0.99985590000000002</v>
      </c>
      <c r="N3397">
        <v>0</v>
      </c>
      <c r="O3397">
        <v>8.2815549999999995E-3</v>
      </c>
      <c r="P3397">
        <v>0.98774859999999998</v>
      </c>
      <c r="Q3397">
        <v>0.1549787</v>
      </c>
      <c r="R3397">
        <v>-1.8294439999999999E-2</v>
      </c>
      <c r="S3397">
        <v>3.0565190000000002</v>
      </c>
      <c r="T3397">
        <v>-0.1425138</v>
      </c>
      <c r="U3397">
        <v>-0.15620419999999999</v>
      </c>
      <c r="V3397">
        <v>2.648124E-2</v>
      </c>
      <c r="W3397">
        <v>0.16960329999999901</v>
      </c>
      <c r="X3397">
        <v>0.98515649999999999</v>
      </c>
      <c r="Y3397">
        <v>5.9235419999999997E-2</v>
      </c>
      <c r="Z3397">
        <v>-1.765048E-3</v>
      </c>
      <c r="AA3397">
        <v>0.99824250000000003</v>
      </c>
      <c r="AB3397">
        <v>37</v>
      </c>
      <c r="AC3397">
        <v>23.447299999999998</v>
      </c>
      <c r="AD3397">
        <v>-1.1102978846918901</v>
      </c>
      <c r="AE3397">
        <v>-1.21999999999999</v>
      </c>
      <c r="AF3397">
        <v>1.4110042326737899</v>
      </c>
      <c r="AG3397">
        <v>-1.1102978846918901</v>
      </c>
      <c r="AH3397">
        <v>23.384098597872999</v>
      </c>
      <c r="AI3397">
        <v>92.713485222689798</v>
      </c>
      <c r="AJ3397">
        <v>86.546940491332094</v>
      </c>
      <c r="AK3397">
        <v>23.4529265033689</v>
      </c>
      <c r="AL3397">
        <v>80.235244445150798</v>
      </c>
      <c r="AM3397">
        <v>88.460246656034201</v>
      </c>
      <c r="AN3397">
        <v>0.99999993246753605</v>
      </c>
    </row>
    <row r="3398" spans="1:40" x14ac:dyDescent="0.25">
      <c r="A3398" t="str">
        <f>"20190312172436718"</f>
        <v>20190312172436718</v>
      </c>
      <c r="B3398" t="str">
        <f>"1552382676713903"</f>
        <v>1552382676713903</v>
      </c>
      <c r="C3398" t="s">
        <v>40</v>
      </c>
      <c r="D3398">
        <v>3.9447570000000001</v>
      </c>
      <c r="E3398">
        <v>0.51371619999999996</v>
      </c>
      <c r="F3398" t="s">
        <v>47</v>
      </c>
      <c r="G3398">
        <v>-352.41809999999998</v>
      </c>
      <c r="H3398" s="1">
        <v>-1.55701E-7</v>
      </c>
      <c r="I3398">
        <v>212.45930000000001</v>
      </c>
      <c r="J3398">
        <v>-375.81819999999999</v>
      </c>
      <c r="K3398">
        <v>1.1103050000000001</v>
      </c>
      <c r="L3398">
        <v>213.69280000000001</v>
      </c>
      <c r="M3398">
        <v>0.99985599999999997</v>
      </c>
      <c r="N3398">
        <v>0</v>
      </c>
      <c r="O3398">
        <v>8.2816019999999903E-3</v>
      </c>
      <c r="P3398">
        <v>0.98776070000000005</v>
      </c>
      <c r="Q3398">
        <v>0.15499470000000001</v>
      </c>
      <c r="R3398">
        <v>-1.7489999999999999E-2</v>
      </c>
      <c r="S3398">
        <v>3.0565190000000002</v>
      </c>
      <c r="T3398">
        <v>-0.14165410000000001</v>
      </c>
      <c r="U3398">
        <v>-0.15678410000000001</v>
      </c>
      <c r="V3398">
        <v>2.5677120000000001E-2</v>
      </c>
      <c r="W3398">
        <v>0.16961319999999999</v>
      </c>
      <c r="X3398">
        <v>0.9851761</v>
      </c>
      <c r="Y3398">
        <v>5.9425020000000002E-2</v>
      </c>
      <c r="Z3398">
        <v>-1.7587950000000001E-3</v>
      </c>
      <c r="AA3398">
        <v>0.99823119999999999</v>
      </c>
      <c r="AB3398">
        <v>37</v>
      </c>
      <c r="AC3398">
        <v>23.400099999999998</v>
      </c>
      <c r="AD3398">
        <v>-1.110305155701</v>
      </c>
      <c r="AE3398">
        <v>-1.23349999999999</v>
      </c>
      <c r="AF3398">
        <v>1.42407202032984</v>
      </c>
      <c r="AG3398">
        <v>-1.110305155701</v>
      </c>
      <c r="AH3398">
        <v>23.336686666400301</v>
      </c>
      <c r="AI3398">
        <v>92.718895550014295</v>
      </c>
      <c r="AJ3398">
        <v>86.507976283566293</v>
      </c>
      <c r="AK3398">
        <v>23.4064457623025</v>
      </c>
      <c r="AL3398">
        <v>80.234669051287696</v>
      </c>
      <c r="AM3398">
        <v>88.507010459693205</v>
      </c>
      <c r="AN3398">
        <v>0.99999995005847098</v>
      </c>
    </row>
    <row r="3399" spans="1:40" x14ac:dyDescent="0.25">
      <c r="A3399" t="str">
        <f>"20190312172436742"</f>
        <v>20190312172436742</v>
      </c>
      <c r="B3399" t="str">
        <f>"1552382676733423"</f>
        <v>1552382676733423</v>
      </c>
      <c r="C3399" t="s">
        <v>40</v>
      </c>
      <c r="D3399">
        <v>3.9262630000000001</v>
      </c>
      <c r="E3399">
        <v>0.51381220000000005</v>
      </c>
      <c r="F3399" t="s">
        <v>47</v>
      </c>
      <c r="G3399">
        <v>-351.80650000000003</v>
      </c>
      <c r="H3399" s="1">
        <v>-4.8149590000000002E-7</v>
      </c>
      <c r="I3399">
        <v>212.46709999999999</v>
      </c>
      <c r="J3399">
        <v>-375.44970000000001</v>
      </c>
      <c r="K3399">
        <v>1.110304</v>
      </c>
      <c r="L3399">
        <v>213.69579999999999</v>
      </c>
      <c r="M3399">
        <v>0.99985590000000002</v>
      </c>
      <c r="N3399">
        <v>0</v>
      </c>
      <c r="O3399">
        <v>8.2816299999999999E-3</v>
      </c>
      <c r="P3399">
        <v>0.98775460000000004</v>
      </c>
      <c r="Q3399">
        <v>0.155116</v>
      </c>
      <c r="R3399">
        <v>-1.6725609999999998E-2</v>
      </c>
      <c r="S3399">
        <v>3.0565799999999999</v>
      </c>
      <c r="T3399">
        <v>-0.1413372</v>
      </c>
      <c r="U3399">
        <v>-0.1560211</v>
      </c>
      <c r="V3399">
        <v>2.4912790000000001E-2</v>
      </c>
      <c r="W3399">
        <v>0.16973070000000001</v>
      </c>
      <c r="X3399">
        <v>0.98517549999999998</v>
      </c>
      <c r="Y3399">
        <v>5.9176109999999997E-2</v>
      </c>
      <c r="Z3399">
        <v>-1.749093E-3</v>
      </c>
      <c r="AA3399">
        <v>0.99824599999999997</v>
      </c>
      <c r="AB3399">
        <v>37</v>
      </c>
      <c r="AC3399">
        <v>23.643199999999901</v>
      </c>
      <c r="AD3399">
        <v>-1.1103044814959</v>
      </c>
      <c r="AE3399">
        <v>-1.2286999999999999</v>
      </c>
      <c r="AF3399">
        <v>1.4213574854689499</v>
      </c>
      <c r="AG3399">
        <v>-1.1103044814959</v>
      </c>
      <c r="AH3399">
        <v>23.580350103166001</v>
      </c>
      <c r="AI3399">
        <v>92.690961268234602</v>
      </c>
      <c r="AJ3399">
        <v>86.550544466553703</v>
      </c>
      <c r="AK3399">
        <v>23.649227136018801</v>
      </c>
      <c r="AL3399">
        <v>80.227837862038896</v>
      </c>
      <c r="AM3399">
        <v>88.551432123420298</v>
      </c>
      <c r="AN3399">
        <v>0.99999996171416095</v>
      </c>
    </row>
    <row r="3400" spans="1:40" x14ac:dyDescent="0.25">
      <c r="A3400" t="str">
        <f>"20190312172436764"</f>
        <v>20190312172436764</v>
      </c>
      <c r="B3400" t="str">
        <f>"1552382676753919"</f>
        <v>1552382676753919</v>
      </c>
      <c r="C3400" t="s">
        <v>40</v>
      </c>
      <c r="D3400">
        <v>3.9311349999999998</v>
      </c>
      <c r="E3400">
        <v>0.5139032</v>
      </c>
      <c r="F3400" t="s">
        <v>47</v>
      </c>
      <c r="G3400">
        <v>-351.37270000000001</v>
      </c>
      <c r="H3400" s="1">
        <v>-7.128843E-7</v>
      </c>
      <c r="I3400">
        <v>212.47970000000001</v>
      </c>
      <c r="J3400">
        <v>-375.08359999999999</v>
      </c>
      <c r="K3400">
        <v>1.1103080000000001</v>
      </c>
      <c r="L3400">
        <v>213.69890000000001</v>
      </c>
      <c r="M3400">
        <v>0.99985610000000003</v>
      </c>
      <c r="N3400">
        <v>0</v>
      </c>
      <c r="O3400">
        <v>8.2814810000000003E-3</v>
      </c>
      <c r="P3400">
        <v>0.98770919999999895</v>
      </c>
      <c r="Q3400">
        <v>0.1554306</v>
      </c>
      <c r="R3400">
        <v>-1.6496050000000002E-2</v>
      </c>
      <c r="S3400">
        <v>3.0567319999999998</v>
      </c>
      <c r="T3400">
        <v>-0.14096049999999999</v>
      </c>
      <c r="U3400">
        <v>-0.1544037</v>
      </c>
      <c r="V3400">
        <v>2.4682610000000001E-2</v>
      </c>
      <c r="W3400">
        <v>0.17004079999999999</v>
      </c>
      <c r="X3400">
        <v>0.98512789999999995</v>
      </c>
      <c r="Y3400">
        <v>5.864751E-2</v>
      </c>
      <c r="Z3400">
        <v>-1.732192E-3</v>
      </c>
      <c r="AA3400">
        <v>0.99827719999999998</v>
      </c>
      <c r="AB3400">
        <v>37</v>
      </c>
      <c r="AC3400">
        <v>23.710899999999899</v>
      </c>
      <c r="AD3400">
        <v>-1.1103087128843001</v>
      </c>
      <c r="AE3400">
        <v>-1.2192000000000001</v>
      </c>
      <c r="AF3400">
        <v>1.41245207070876</v>
      </c>
      <c r="AG3400">
        <v>-1.1103087128843001</v>
      </c>
      <c r="AH3400">
        <v>23.648270558969099</v>
      </c>
      <c r="AI3400">
        <v>92.683342109320193</v>
      </c>
      <c r="AJ3400">
        <v>86.581927006969295</v>
      </c>
      <c r="AK3400">
        <v>23.7164185053343</v>
      </c>
      <c r="AL3400">
        <v>80.209809153972301</v>
      </c>
      <c r="AM3400">
        <v>88.564741124967497</v>
      </c>
      <c r="AN3400">
        <v>1.0000000421297299</v>
      </c>
    </row>
    <row r="3401" spans="1:40" x14ac:dyDescent="0.25">
      <c r="A3401" t="str">
        <f>"20190312172436785"</f>
        <v>20190312172436785</v>
      </c>
      <c r="B3401" t="str">
        <f>"1552382676773440"</f>
        <v>1552382676773440</v>
      </c>
      <c r="C3401" t="s">
        <v>40</v>
      </c>
      <c r="D3401">
        <v>3.971174</v>
      </c>
      <c r="E3401">
        <v>0.51395000000000002</v>
      </c>
      <c r="F3401" t="s">
        <v>47</v>
      </c>
      <c r="G3401">
        <v>-350.83940000000001</v>
      </c>
      <c r="H3401" s="1">
        <v>-9.9659810000000001E-7</v>
      </c>
      <c r="I3401">
        <v>212.47739999999999</v>
      </c>
      <c r="J3401">
        <v>-374.73360000000002</v>
      </c>
      <c r="K3401">
        <v>1.1103130000000001</v>
      </c>
      <c r="L3401">
        <v>213.70179999999999</v>
      </c>
      <c r="M3401">
        <v>0.99985610000000003</v>
      </c>
      <c r="N3401">
        <v>0</v>
      </c>
      <c r="O3401">
        <v>8.2815100000000006E-3</v>
      </c>
      <c r="P3401">
        <v>0.98769770000000001</v>
      </c>
      <c r="Q3401">
        <v>0.15555910000000001</v>
      </c>
      <c r="R3401">
        <v>-1.5956250000000002E-2</v>
      </c>
      <c r="S3401">
        <v>3.0567929999999999</v>
      </c>
      <c r="T3401">
        <v>-0.13999200000000001</v>
      </c>
      <c r="U3401">
        <v>-0.15400700000000001</v>
      </c>
      <c r="V3401">
        <v>2.4142919999999998E-2</v>
      </c>
      <c r="W3401">
        <v>0.17016529999999999</v>
      </c>
      <c r="X3401">
        <v>0.98511970000000004</v>
      </c>
      <c r="Y3401">
        <v>5.851841E-2</v>
      </c>
      <c r="Z3401">
        <v>-1.717323E-3</v>
      </c>
      <c r="AA3401">
        <v>0.99828490000000003</v>
      </c>
      <c r="AB3401">
        <v>37</v>
      </c>
      <c r="AC3401">
        <v>23.894200000000001</v>
      </c>
      <c r="AD3401">
        <v>-1.1103139965980999</v>
      </c>
      <c r="AE3401">
        <v>-1.2243999999999999</v>
      </c>
      <c r="AF3401">
        <v>1.4192033349111299</v>
      </c>
      <c r="AG3401">
        <v>-1.1103139965980999</v>
      </c>
      <c r="AH3401">
        <v>23.831914707976701</v>
      </c>
      <c r="AI3401">
        <v>92.662735280217902</v>
      </c>
      <c r="AJ3401">
        <v>86.592030243383505</v>
      </c>
      <c r="AK3401">
        <v>23.8999392033775</v>
      </c>
      <c r="AL3401">
        <v>80.202569586070794</v>
      </c>
      <c r="AM3401">
        <v>88.596098954902899</v>
      </c>
      <c r="AN3401">
        <v>0.99999996661915203</v>
      </c>
    </row>
    <row r="3402" spans="1:40" x14ac:dyDescent="0.25">
      <c r="A3402" t="str">
        <f>"20190312172436806"</f>
        <v>20190312172436806</v>
      </c>
      <c r="B3402" t="str">
        <f>"1552382676793934"</f>
        <v>1552382676793934</v>
      </c>
      <c r="C3402" t="s">
        <v>40</v>
      </c>
      <c r="D3402">
        <v>3.9494259999999999</v>
      </c>
      <c r="E3402">
        <v>0.51406339999999995</v>
      </c>
      <c r="F3402" t="s">
        <v>47</v>
      </c>
      <c r="G3402">
        <v>-350.41829999999999</v>
      </c>
      <c r="H3402" s="1">
        <v>-1.2211780000000001E-6</v>
      </c>
      <c r="I3402">
        <v>212.488</v>
      </c>
      <c r="J3402">
        <v>-374.38240000000002</v>
      </c>
      <c r="K3402">
        <v>1.1103160000000001</v>
      </c>
      <c r="L3402">
        <v>213.7047</v>
      </c>
      <c r="M3402">
        <v>0.99985610000000003</v>
      </c>
      <c r="N3402">
        <v>0</v>
      </c>
      <c r="O3402">
        <v>8.2817189999999999E-3</v>
      </c>
      <c r="P3402">
        <v>0.98767439999999995</v>
      </c>
      <c r="Q3402">
        <v>0.15575139999999901</v>
      </c>
      <c r="R3402">
        <v>-1.552865E-2</v>
      </c>
      <c r="S3402">
        <v>3.056915</v>
      </c>
      <c r="T3402">
        <v>-0.1395882</v>
      </c>
      <c r="U3402">
        <v>-0.15260309999999999</v>
      </c>
      <c r="V3402">
        <v>2.3715139999999999E-2</v>
      </c>
      <c r="W3402">
        <v>0.170353799999999</v>
      </c>
      <c r="X3402">
        <v>0.98509749999999996</v>
      </c>
      <c r="Y3402">
        <v>5.8060199999999999E-2</v>
      </c>
      <c r="Z3402">
        <v>-1.7018859999999999E-3</v>
      </c>
      <c r="AA3402">
        <v>0.99831159999999997</v>
      </c>
      <c r="AB3402">
        <v>37</v>
      </c>
      <c r="AC3402">
        <v>23.964099999999998</v>
      </c>
      <c r="AD3402">
        <v>-1.1103172211779999</v>
      </c>
      <c r="AE3402">
        <v>-1.2166999999999999</v>
      </c>
      <c r="AF3402">
        <v>1.41212035365753</v>
      </c>
      <c r="AG3402">
        <v>-1.1103172211779999</v>
      </c>
      <c r="AH3402">
        <v>23.902021913966699</v>
      </c>
      <c r="AI3402">
        <v>92.655017889126199</v>
      </c>
      <c r="AJ3402">
        <v>86.618922063902502</v>
      </c>
      <c r="AK3402">
        <v>23.969429275654502</v>
      </c>
      <c r="AL3402">
        <v>80.191609185569106</v>
      </c>
      <c r="AM3402">
        <v>88.620933431042005</v>
      </c>
      <c r="AN3402">
        <v>0.999999954772953</v>
      </c>
    </row>
    <row r="3403" spans="1:40" x14ac:dyDescent="0.25">
      <c r="A3403" t="str">
        <f>"20190312172436829"</f>
        <v>20190312172436829</v>
      </c>
      <c r="B3403" t="str">
        <f>"1552382676823215"</f>
        <v>1552382676823215</v>
      </c>
      <c r="C3403" t="s">
        <v>40</v>
      </c>
      <c r="D3403">
        <v>3.9459050000000002</v>
      </c>
      <c r="E3403">
        <v>0.51424959999999997</v>
      </c>
      <c r="F3403" t="s">
        <v>47</v>
      </c>
      <c r="G3403">
        <v>-349.96460000000002</v>
      </c>
      <c r="H3403" s="1">
        <v>-1.4626209999999999E-6</v>
      </c>
      <c r="I3403">
        <v>212.4881</v>
      </c>
      <c r="J3403">
        <v>-374.02019999999999</v>
      </c>
      <c r="K3403">
        <v>1.1103149999999999</v>
      </c>
      <c r="L3403">
        <v>213.70769999999999</v>
      </c>
      <c r="M3403">
        <v>0.99985610000000003</v>
      </c>
      <c r="N3403">
        <v>0</v>
      </c>
      <c r="O3403">
        <v>8.2842719999999901E-3</v>
      </c>
      <c r="P3403">
        <v>0.98767070000000001</v>
      </c>
      <c r="Q3403">
        <v>0.155861</v>
      </c>
      <c r="R3403">
        <v>-1.463865E-2</v>
      </c>
      <c r="S3403">
        <v>3.056915</v>
      </c>
      <c r="T3403">
        <v>-0.13900279999999901</v>
      </c>
      <c r="U3403">
        <v>-0.15231320000000001</v>
      </c>
      <c r="V3403">
        <v>2.282725E-2</v>
      </c>
      <c r="W3403">
        <v>0.170459</v>
      </c>
      <c r="X3403">
        <v>0.98510030000000004</v>
      </c>
      <c r="Y3403">
        <v>5.7968970000000002E-2</v>
      </c>
      <c r="Z3403">
        <v>-1.692804E-3</v>
      </c>
      <c r="AA3403">
        <v>0.99831689999999995</v>
      </c>
      <c r="AB3403">
        <v>36</v>
      </c>
      <c r="AC3403">
        <v>24.055599999999899</v>
      </c>
      <c r="AD3403">
        <v>-1.110316462621</v>
      </c>
      <c r="AE3403">
        <v>-1.21959999999998</v>
      </c>
      <c r="AF3403">
        <v>1.41585451039384</v>
      </c>
      <c r="AG3403">
        <v>-1.110316462621</v>
      </c>
      <c r="AH3403">
        <v>23.993684646420601</v>
      </c>
      <c r="AI3403">
        <v>92.644898477363895</v>
      </c>
      <c r="AJ3403">
        <v>86.6229228253965</v>
      </c>
      <c r="AK3403">
        <v>24.061054622639698</v>
      </c>
      <c r="AL3403">
        <v>80.185492427137504</v>
      </c>
      <c r="AM3403">
        <v>88.672550339934105</v>
      </c>
      <c r="AN3403">
        <v>0.99999997754182601</v>
      </c>
    </row>
    <row r="3404" spans="1:40" x14ac:dyDescent="0.25">
      <c r="A3404" t="str">
        <f>"20190312172436852"</f>
        <v>20190312172436852</v>
      </c>
      <c r="B3404" t="str">
        <f>"1552382676843711"</f>
        <v>1552382676843711</v>
      </c>
      <c r="C3404" t="s">
        <v>40</v>
      </c>
      <c r="D3404">
        <v>4.2240789999999997</v>
      </c>
      <c r="E3404">
        <v>0.51435600000000004</v>
      </c>
      <c r="F3404" t="s">
        <v>47</v>
      </c>
      <c r="G3404">
        <v>-349.55509999999998</v>
      </c>
      <c r="H3404" s="1">
        <v>3.5479630000000002E-6</v>
      </c>
      <c r="I3404">
        <v>212.4948</v>
      </c>
      <c r="J3404">
        <v>-373.6422</v>
      </c>
      <c r="K3404">
        <v>1.110322</v>
      </c>
      <c r="L3404">
        <v>213.71080000000001</v>
      </c>
      <c r="M3404">
        <v>0.99985619999999997</v>
      </c>
      <c r="N3404">
        <v>0</v>
      </c>
      <c r="O3404">
        <v>8.2946340000000004E-3</v>
      </c>
      <c r="P3404">
        <v>0.98767369999999999</v>
      </c>
      <c r="Q3404">
        <v>0.15592839999999999</v>
      </c>
      <c r="R3404">
        <v>-1.368435E-2</v>
      </c>
      <c r="S3404">
        <v>3.0570680000000001</v>
      </c>
      <c r="T3404">
        <v>-0.13874049999999999</v>
      </c>
      <c r="U3404">
        <v>-0.15156559999999999</v>
      </c>
      <c r="V3404">
        <v>2.1881500000000002E-2</v>
      </c>
      <c r="W3404">
        <v>0.17052339999999999</v>
      </c>
      <c r="X3404">
        <v>0.98511059999999995</v>
      </c>
      <c r="Y3404">
        <v>5.7733760000000002E-2</v>
      </c>
      <c r="Z3404">
        <v>-1.68467799999999E-3</v>
      </c>
      <c r="AA3404">
        <v>0.99833059999999996</v>
      </c>
      <c r="AB3404">
        <v>36</v>
      </c>
      <c r="AC3404">
        <v>24.0871</v>
      </c>
      <c r="AD3404">
        <v>-1.110318452037</v>
      </c>
      <c r="AE3404">
        <v>-1.216</v>
      </c>
      <c r="AF3404">
        <v>1.41277939868765</v>
      </c>
      <c r="AG3404">
        <v>-1.110318452037</v>
      </c>
      <c r="AH3404">
        <v>24.0252637681984</v>
      </c>
      <c r="AI3404">
        <v>92.641463470016902</v>
      </c>
      <c r="AJ3404">
        <v>86.634659689140094</v>
      </c>
      <c r="AK3404">
        <v>24.092365011052699</v>
      </c>
      <c r="AL3404">
        <v>80.181747600829993</v>
      </c>
      <c r="AM3404">
        <v>88.727542396990899</v>
      </c>
      <c r="AN3404">
        <v>0.999999962111084</v>
      </c>
    </row>
    <row r="3405" spans="1:40" x14ac:dyDescent="0.25">
      <c r="A3405" t="str">
        <f>"20190312172436873"</f>
        <v>20190312172436873</v>
      </c>
      <c r="B3405" t="str">
        <f>"1552382676863231"</f>
        <v>1552382676863231</v>
      </c>
      <c r="C3405" t="s">
        <v>40</v>
      </c>
      <c r="D3405">
        <v>3.9549539999999999</v>
      </c>
      <c r="E3405">
        <v>0.51447259999999995</v>
      </c>
      <c r="F3405" t="s">
        <v>47</v>
      </c>
      <c r="G3405">
        <v>-349.11829999999998</v>
      </c>
      <c r="H3405" s="1">
        <v>3.315527E-6</v>
      </c>
      <c r="I3405">
        <v>212.51159999999999</v>
      </c>
      <c r="J3405">
        <v>-373.28339999999997</v>
      </c>
      <c r="K3405">
        <v>1.1103339999999999</v>
      </c>
      <c r="L3405">
        <v>213.7139</v>
      </c>
      <c r="M3405">
        <v>0.99985610000000003</v>
      </c>
      <c r="N3405">
        <v>0</v>
      </c>
      <c r="O3405">
        <v>8.3156040000000007E-3</v>
      </c>
      <c r="P3405">
        <v>0.98767240000000001</v>
      </c>
      <c r="Q3405">
        <v>0.15599270000000001</v>
      </c>
      <c r="R3405">
        <v>-1.301968E-2</v>
      </c>
      <c r="S3405">
        <v>3.05722</v>
      </c>
      <c r="T3405">
        <v>-0.1384156</v>
      </c>
      <c r="U3405">
        <v>-0.14950559999999999</v>
      </c>
      <c r="V3405">
        <v>2.1234389999999999E-2</v>
      </c>
      <c r="W3405">
        <v>0.17058400000000001</v>
      </c>
      <c r="X3405">
        <v>0.9851143</v>
      </c>
      <c r="Y3405">
        <v>5.708216E-2</v>
      </c>
      <c r="Z3405">
        <v>-1.6668939999999999E-3</v>
      </c>
      <c r="AA3405">
        <v>0.99836809999999998</v>
      </c>
      <c r="AB3405">
        <v>36</v>
      </c>
      <c r="AC3405">
        <v>24.165099999999899</v>
      </c>
      <c r="AD3405">
        <v>-1.1103306844730001</v>
      </c>
      <c r="AE3405">
        <v>-1.2022999999999999</v>
      </c>
      <c r="AF3405">
        <v>1.4002788375571</v>
      </c>
      <c r="AG3405">
        <v>-1.1103306844730001</v>
      </c>
      <c r="AH3405">
        <v>24.103503918924002</v>
      </c>
      <c r="AI3405">
        <v>92.633038975052102</v>
      </c>
      <c r="AJ3405">
        <v>86.6751725240958</v>
      </c>
      <c r="AK3405">
        <v>24.169661069642199</v>
      </c>
      <c r="AL3405">
        <v>80.178224146424398</v>
      </c>
      <c r="AM3405">
        <v>88.765166081587793</v>
      </c>
      <c r="AN3405">
        <v>0.99999999221958102</v>
      </c>
    </row>
    <row r="3406" spans="1:40" x14ac:dyDescent="0.25">
      <c r="A3406" t="str">
        <f>"20190312172436896"</f>
        <v>20190312172436896</v>
      </c>
      <c r="B3406" t="str">
        <f>"1552382676883727"</f>
        <v>1552382676883727</v>
      </c>
      <c r="C3406" t="s">
        <v>40</v>
      </c>
      <c r="D3406">
        <v>3.9557349999999998</v>
      </c>
      <c r="E3406">
        <v>0.51462540000000001</v>
      </c>
      <c r="F3406" t="s">
        <v>47</v>
      </c>
      <c r="G3406">
        <v>-348.6909</v>
      </c>
      <c r="H3406" s="1">
        <v>3.088057E-6</v>
      </c>
      <c r="I3406">
        <v>212.51910000000001</v>
      </c>
      <c r="J3406">
        <v>-372.92649999999998</v>
      </c>
      <c r="K3406">
        <v>1.110349</v>
      </c>
      <c r="L3406">
        <v>213.71690000000001</v>
      </c>
      <c r="M3406">
        <v>0.99985599999999997</v>
      </c>
      <c r="N3406">
        <v>0</v>
      </c>
      <c r="O3406">
        <v>8.3485980000000005E-3</v>
      </c>
      <c r="P3406">
        <v>0.98757980000000001</v>
      </c>
      <c r="Q3406">
        <v>0.15661269999999999</v>
      </c>
      <c r="R3406">
        <v>-1.26094E-2</v>
      </c>
      <c r="S3406">
        <v>3.0572810000000001</v>
      </c>
      <c r="T3406">
        <v>-0.1380333</v>
      </c>
      <c r="U3406">
        <v>-0.1485291</v>
      </c>
      <c r="V3406">
        <v>2.0851450000000001E-2</v>
      </c>
      <c r="W3406">
        <v>0.17119899999999999</v>
      </c>
      <c r="X3406">
        <v>0.9850158</v>
      </c>
      <c r="Y3406">
        <v>5.6796609999999997E-2</v>
      </c>
      <c r="Z3406">
        <v>-1.6573229999999901E-3</v>
      </c>
      <c r="AA3406">
        <v>0.99838439999999995</v>
      </c>
      <c r="AB3406">
        <v>36</v>
      </c>
      <c r="AC3406">
        <v>24.235599999999899</v>
      </c>
      <c r="AD3406">
        <v>-1.1103459119429999</v>
      </c>
      <c r="AE3406">
        <v>-1.1978</v>
      </c>
      <c r="AF3406">
        <v>1.39718808652163</v>
      </c>
      <c r="AG3406">
        <v>-1.1103459119429999</v>
      </c>
      <c r="AH3406">
        <v>24.174136683459</v>
      </c>
      <c r="AI3406">
        <v>92.625437471012404</v>
      </c>
      <c r="AJ3406">
        <v>86.692166442828693</v>
      </c>
      <c r="AK3406">
        <v>24.239923411261898</v>
      </c>
      <c r="AL3406">
        <v>80.1424612737801</v>
      </c>
      <c r="AM3406">
        <v>88.787307090172305</v>
      </c>
      <c r="AN3406">
        <v>1.0000000034088701</v>
      </c>
    </row>
    <row r="3407" spans="1:40" x14ac:dyDescent="0.25">
      <c r="A3407" t="str">
        <f>"20190312172436919"</f>
        <v>20190312172436919</v>
      </c>
      <c r="B3407" t="str">
        <f>"1552382676913985"</f>
        <v>1552382676913985</v>
      </c>
      <c r="C3407" t="s">
        <v>40</v>
      </c>
      <c r="D3407">
        <v>3.9678520000000002</v>
      </c>
      <c r="E3407">
        <v>0.5148317</v>
      </c>
      <c r="F3407" t="s">
        <v>47</v>
      </c>
      <c r="G3407">
        <v>-347.97669999999999</v>
      </c>
      <c r="H3407" s="1">
        <v>2.7080219999999999E-6</v>
      </c>
      <c r="I3407">
        <v>212.50450000000001</v>
      </c>
      <c r="J3407">
        <v>-372.54770000000002</v>
      </c>
      <c r="K3407">
        <v>1.110366</v>
      </c>
      <c r="L3407">
        <v>213.7201</v>
      </c>
      <c r="M3407">
        <v>0.99985550000000001</v>
      </c>
      <c r="N3407">
        <v>0</v>
      </c>
      <c r="O3407">
        <v>8.395497E-3</v>
      </c>
      <c r="P3407">
        <v>0.98755910000000002</v>
      </c>
      <c r="Q3407">
        <v>0.15679279999999901</v>
      </c>
      <c r="R3407">
        <v>-1.196616E-2</v>
      </c>
      <c r="S3407">
        <v>3.057404</v>
      </c>
      <c r="T3407">
        <v>-0.1360642</v>
      </c>
      <c r="U3407">
        <v>-0.14855960000000001</v>
      </c>
      <c r="V3407">
        <v>2.0249659999999999E-2</v>
      </c>
      <c r="W3407">
        <v>0.1713761</v>
      </c>
      <c r="X3407">
        <v>0.98499760000000003</v>
      </c>
      <c r="Y3407">
        <v>5.6853229999999998E-2</v>
      </c>
      <c r="Z3407">
        <v>-1.6369829999999901E-3</v>
      </c>
      <c r="AA3407">
        <v>0.99838119999999997</v>
      </c>
      <c r="AB3407">
        <v>36</v>
      </c>
      <c r="AC3407">
        <v>24.571000000000002</v>
      </c>
      <c r="AD3407">
        <v>-1.110363291978</v>
      </c>
      <c r="AE3407">
        <v>-1.21559999999999</v>
      </c>
      <c r="AF3407">
        <v>1.41897478265627</v>
      </c>
      <c r="AG3407">
        <v>-1.110363291978</v>
      </c>
      <c r="AH3407">
        <v>24.5099966559848</v>
      </c>
      <c r="AI3407">
        <v>92.589536497352199</v>
      </c>
      <c r="AJ3407">
        <v>86.686632901534296</v>
      </c>
      <c r="AK3407">
        <v>24.5761333848588</v>
      </c>
      <c r="AL3407">
        <v>80.132162385269197</v>
      </c>
      <c r="AM3407">
        <v>88.822274646894599</v>
      </c>
      <c r="AN3407">
        <v>1.0000000441935399</v>
      </c>
    </row>
    <row r="3408" spans="1:40" x14ac:dyDescent="0.25">
      <c r="A3408" t="str">
        <f>"20190312172436942"</f>
        <v>20190312172436942</v>
      </c>
      <c r="B3408" t="str">
        <f>"1552382676933503"</f>
        <v>1552382676933503</v>
      </c>
      <c r="C3408" t="s">
        <v>40</v>
      </c>
      <c r="D3408">
        <v>3.954297</v>
      </c>
      <c r="E3408">
        <v>0.51498529999999998</v>
      </c>
      <c r="F3408" t="s">
        <v>47</v>
      </c>
      <c r="G3408">
        <v>-347.46719999999999</v>
      </c>
      <c r="H3408" s="1">
        <v>2.4368679999999999E-6</v>
      </c>
      <c r="I3408">
        <v>212.50460000000001</v>
      </c>
      <c r="J3408">
        <v>-372.18889999999999</v>
      </c>
      <c r="K3408">
        <v>1.1103749999999999</v>
      </c>
      <c r="L3408">
        <v>213.72309999999999</v>
      </c>
      <c r="M3408">
        <v>0.99985520000000006</v>
      </c>
      <c r="N3408">
        <v>0</v>
      </c>
      <c r="O3408">
        <v>8.4493789999999999E-3</v>
      </c>
      <c r="P3408">
        <v>0.9875562</v>
      </c>
      <c r="Q3408">
        <v>0.15683429999999901</v>
      </c>
      <c r="R3408">
        <v>-1.1681800000000001E-2</v>
      </c>
      <c r="S3408">
        <v>3.0575260000000002</v>
      </c>
      <c r="T3408">
        <v>-0.13536239999999999</v>
      </c>
      <c r="U3408">
        <v>-0.14817810000000001</v>
      </c>
      <c r="V3408">
        <v>2.0014939999999998E-2</v>
      </c>
      <c r="W3408">
        <v>0.1714137</v>
      </c>
      <c r="X3408">
        <v>0.98499579999999998</v>
      </c>
      <c r="Y3408">
        <v>5.678151E-2</v>
      </c>
      <c r="Z3408">
        <v>-1.6292850000000001E-3</v>
      </c>
      <c r="AA3408">
        <v>0.99838530000000003</v>
      </c>
      <c r="AB3408">
        <v>36</v>
      </c>
      <c r="AC3408">
        <v>24.721699999999998</v>
      </c>
      <c r="AD3408">
        <v>-1.1103725631319901</v>
      </c>
      <c r="AE3408">
        <v>-1.2184999999999699</v>
      </c>
      <c r="AF3408">
        <v>1.4244955598768401</v>
      </c>
      <c r="AG3408">
        <v>-1.1103725631319901</v>
      </c>
      <c r="AH3408">
        <v>24.660891606031701</v>
      </c>
      <c r="AI3408">
        <v>92.573753798613296</v>
      </c>
      <c r="AJ3408">
        <v>86.694077775738407</v>
      </c>
      <c r="AK3408">
        <v>24.726942585639399</v>
      </c>
      <c r="AL3408">
        <v>80.129975168171399</v>
      </c>
      <c r="AM3408">
        <v>88.835920116473801</v>
      </c>
      <c r="AN3408">
        <v>0.999999990194266</v>
      </c>
    </row>
    <row r="3409" spans="1:40" x14ac:dyDescent="0.25">
      <c r="A3409" t="str">
        <f>"20190312172436964"</f>
        <v>20190312172436964</v>
      </c>
      <c r="B3409" t="str">
        <f>"1552382676953999"</f>
        <v>1552382676953999</v>
      </c>
      <c r="C3409" t="s">
        <v>40</v>
      </c>
      <c r="D3409">
        <v>3.947416</v>
      </c>
      <c r="E3409">
        <v>0.51513540000000002</v>
      </c>
      <c r="F3409" t="s">
        <v>47</v>
      </c>
      <c r="G3409">
        <v>-347.08420000000001</v>
      </c>
      <c r="H3409" s="1">
        <v>2.2330839999999998E-6</v>
      </c>
      <c r="I3409">
        <v>212.5001</v>
      </c>
      <c r="J3409">
        <v>-371.82100000000003</v>
      </c>
      <c r="K3409">
        <v>1.1103749999999999</v>
      </c>
      <c r="L3409">
        <v>213.72630000000001</v>
      </c>
      <c r="M3409">
        <v>0.99985469999999999</v>
      </c>
      <c r="N3409">
        <v>0</v>
      </c>
      <c r="O3409">
        <v>8.5131119999999998E-3</v>
      </c>
      <c r="P3409">
        <v>0.98752549999999995</v>
      </c>
      <c r="Q3409">
        <v>0.1570385</v>
      </c>
      <c r="R3409">
        <v>-1.1530200000000001E-2</v>
      </c>
      <c r="S3409">
        <v>3.0575559999999999</v>
      </c>
      <c r="T3409">
        <v>-0.13523479999999999</v>
      </c>
      <c r="U3409">
        <v>-0.14895630000000001</v>
      </c>
      <c r="V3409">
        <v>1.992354E-2</v>
      </c>
      <c r="W3409">
        <v>0.171614299999999</v>
      </c>
      <c r="X3409">
        <v>0.98496280000000003</v>
      </c>
      <c r="Y3409">
        <v>5.7097929999999998E-2</v>
      </c>
      <c r="Z3409">
        <v>-1.6375319999999999E-3</v>
      </c>
      <c r="AA3409">
        <v>0.99836720000000001</v>
      </c>
      <c r="AB3409">
        <v>36</v>
      </c>
      <c r="AC3409">
        <v>24.736799999999899</v>
      </c>
      <c r="AD3409">
        <v>-1.110372766916</v>
      </c>
      <c r="AE3409">
        <v>-1.2262</v>
      </c>
      <c r="AF3409">
        <v>1.4338836430568001</v>
      </c>
      <c r="AG3409">
        <v>-1.110372766916</v>
      </c>
      <c r="AH3409">
        <v>24.675866296884401</v>
      </c>
      <c r="AI3409">
        <v>92.572143239999406</v>
      </c>
      <c r="AJ3409">
        <v>86.6743539007295</v>
      </c>
      <c r="AK3409">
        <v>24.742419596414699</v>
      </c>
      <c r="AL3409">
        <v>80.118309518666507</v>
      </c>
      <c r="AM3409">
        <v>88.841195725377901</v>
      </c>
      <c r="AN3409">
        <v>1.0000000663972199</v>
      </c>
    </row>
    <row r="3410" spans="1:40" x14ac:dyDescent="0.25">
      <c r="A3410" t="str">
        <f>"20190312172436987"</f>
        <v>20190312172436987</v>
      </c>
      <c r="B3410" t="str">
        <f>"1552382676973520"</f>
        <v>1552382676973520</v>
      </c>
      <c r="C3410" t="s">
        <v>40</v>
      </c>
      <c r="D3410">
        <v>3.9420410000000001</v>
      </c>
      <c r="E3410">
        <v>0.51531450000000001</v>
      </c>
      <c r="F3410" t="s">
        <v>47</v>
      </c>
      <c r="G3410">
        <v>-346.6234</v>
      </c>
      <c r="H3410" s="1">
        <v>1.9878639999999999E-6</v>
      </c>
      <c r="I3410">
        <v>212.49279999999999</v>
      </c>
      <c r="J3410">
        <v>-371.45909999999998</v>
      </c>
      <c r="K3410">
        <v>1.110379</v>
      </c>
      <c r="L3410">
        <v>213.7294</v>
      </c>
      <c r="M3410">
        <v>0.99985409999999997</v>
      </c>
      <c r="N3410">
        <v>0</v>
      </c>
      <c r="O3410">
        <v>8.5802090000000001E-3</v>
      </c>
      <c r="P3410">
        <v>0.98754039999999998</v>
      </c>
      <c r="Q3410">
        <v>0.1569576</v>
      </c>
      <c r="R3410">
        <v>-1.1337669999999999E-2</v>
      </c>
      <c r="S3410">
        <v>3.0575869999999998</v>
      </c>
      <c r="T3410">
        <v>-0.13473769999999999</v>
      </c>
      <c r="U3410">
        <v>-0.14967349999999999</v>
      </c>
      <c r="V3410">
        <v>1.9795529999999999E-2</v>
      </c>
      <c r="W3410">
        <v>0.17152970000000001</v>
      </c>
      <c r="X3410">
        <v>0.98497999999999997</v>
      </c>
      <c r="Y3410">
        <v>5.7398169999999998E-2</v>
      </c>
      <c r="Z3410">
        <v>-1.641055E-3</v>
      </c>
      <c r="AA3410">
        <v>0.99834999999999996</v>
      </c>
      <c r="AB3410">
        <v>36</v>
      </c>
      <c r="AC3410">
        <v>24.8356999999999</v>
      </c>
      <c r="AD3410">
        <v>-1.1103770121359999</v>
      </c>
      <c r="AE3410">
        <v>-1.2366000000000099</v>
      </c>
      <c r="AF3410">
        <v>1.4467884010480501</v>
      </c>
      <c r="AG3410">
        <v>-1.1103770121359999</v>
      </c>
      <c r="AH3410">
        <v>24.774774647103602</v>
      </c>
      <c r="AI3410">
        <v>92.561855050132294</v>
      </c>
      <c r="AJ3410">
        <v>86.657857394959606</v>
      </c>
      <c r="AK3410">
        <v>24.8418113792303</v>
      </c>
      <c r="AL3410">
        <v>80.123228545558803</v>
      </c>
      <c r="AM3410">
        <v>88.848659205176801</v>
      </c>
      <c r="AN3410">
        <v>0.999999950695034</v>
      </c>
    </row>
    <row r="3411" spans="1:40" x14ac:dyDescent="0.25">
      <c r="A3411" t="str">
        <f>"20190312172437009"</f>
        <v>20190312172437009</v>
      </c>
      <c r="B3411" t="str">
        <f>"1552382677003306"</f>
        <v>1552382677003306</v>
      </c>
      <c r="C3411" t="s">
        <v>40</v>
      </c>
      <c r="D3411">
        <v>3.9301689999999998</v>
      </c>
      <c r="E3411">
        <v>0.51553629999999995</v>
      </c>
      <c r="F3411" t="s">
        <v>47</v>
      </c>
      <c r="G3411">
        <v>-346.35820000000001</v>
      </c>
      <c r="H3411" s="1">
        <v>1.846698E-6</v>
      </c>
      <c r="I3411">
        <v>212.4957</v>
      </c>
      <c r="J3411">
        <v>-371.10570000000001</v>
      </c>
      <c r="K3411">
        <v>1.1103799999999999</v>
      </c>
      <c r="L3411">
        <v>213.73259999999999</v>
      </c>
      <c r="M3411">
        <v>0.99985360000000001</v>
      </c>
      <c r="N3411">
        <v>0</v>
      </c>
      <c r="O3411">
        <v>8.6482969999999992E-3</v>
      </c>
      <c r="P3411">
        <v>0.98765530000000001</v>
      </c>
      <c r="Q3411">
        <v>0.15620889999999901</v>
      </c>
      <c r="R3411">
        <v>-1.166205E-2</v>
      </c>
      <c r="S3411">
        <v>3.0576479999999999</v>
      </c>
      <c r="T3411">
        <v>-0.13525960000000001</v>
      </c>
      <c r="U3411">
        <v>-0.1502838</v>
      </c>
      <c r="V3411">
        <v>2.0186880000000001E-2</v>
      </c>
      <c r="W3411">
        <v>0.1707795</v>
      </c>
      <c r="X3411">
        <v>0.98510249999999999</v>
      </c>
      <c r="Y3411">
        <v>5.7663159999999998E-2</v>
      </c>
      <c r="Z3411">
        <v>-1.6562289999999999E-3</v>
      </c>
      <c r="AA3411">
        <v>0.99833470000000002</v>
      </c>
      <c r="AB3411">
        <v>36</v>
      </c>
      <c r="AC3411">
        <v>24.747499999999999</v>
      </c>
      <c r="AD3411">
        <v>-1.1103781533019901</v>
      </c>
      <c r="AE3411">
        <v>-1.2368999999999899</v>
      </c>
      <c r="AF3411">
        <v>1.4479930106607399</v>
      </c>
      <c r="AG3411">
        <v>-1.1103781533019901</v>
      </c>
      <c r="AH3411">
        <v>24.686302330441901</v>
      </c>
      <c r="AI3411">
        <v>92.570988077244195</v>
      </c>
      <c r="AJ3411">
        <v>86.643120646496897</v>
      </c>
      <c r="AK3411">
        <v>24.753649148201099</v>
      </c>
      <c r="AL3411">
        <v>80.166856498380895</v>
      </c>
      <c r="AM3411">
        <v>88.826049911982693</v>
      </c>
      <c r="AN3411">
        <v>1.0000000416253101</v>
      </c>
    </row>
    <row r="3412" spans="1:40" x14ac:dyDescent="0.25">
      <c r="A3412" t="str">
        <f>"20190312172437031"</f>
        <v>20190312172437031</v>
      </c>
      <c r="B3412" t="str">
        <f>"1552382677023802"</f>
        <v>1552382677023802</v>
      </c>
      <c r="C3412" t="s">
        <v>40</v>
      </c>
      <c r="D3412">
        <v>3.9699019999999998</v>
      </c>
      <c r="E3412">
        <v>0.51563779999999904</v>
      </c>
      <c r="F3412" t="s">
        <v>47</v>
      </c>
      <c r="G3412">
        <v>-346.52820000000003</v>
      </c>
      <c r="H3412" s="1">
        <v>1.9372010000000001E-6</v>
      </c>
      <c r="I3412">
        <v>212.50290000000001</v>
      </c>
      <c r="J3412">
        <v>-370.75170000000003</v>
      </c>
      <c r="K3412">
        <v>1.110382</v>
      </c>
      <c r="L3412">
        <v>213.73570000000001</v>
      </c>
      <c r="M3412">
        <v>0.99985299999999999</v>
      </c>
      <c r="N3412">
        <v>0</v>
      </c>
      <c r="O3412">
        <v>8.716672E-3</v>
      </c>
      <c r="P3412">
        <v>0.98775290000000004</v>
      </c>
      <c r="Q3412">
        <v>0.15559339999999999</v>
      </c>
      <c r="R3412">
        <v>-1.160953E-2</v>
      </c>
      <c r="S3412">
        <v>3.0575559999999999</v>
      </c>
      <c r="T3412">
        <v>-0.13813639999999999</v>
      </c>
      <c r="U3412">
        <v>-0.15296940000000001</v>
      </c>
      <c r="V3412">
        <v>2.0201940000000002E-2</v>
      </c>
      <c r="W3412">
        <v>0.17016210000000001</v>
      </c>
      <c r="X3412">
        <v>0.985209</v>
      </c>
      <c r="Y3412">
        <v>5.8603780000000001E-2</v>
      </c>
      <c r="Z3412">
        <v>-1.7157429999999901E-3</v>
      </c>
      <c r="AA3412">
        <v>0.9982799</v>
      </c>
      <c r="AB3412">
        <v>36</v>
      </c>
      <c r="AC3412">
        <v>24.223500000000001</v>
      </c>
      <c r="AD3412">
        <v>-1.1103800627989999</v>
      </c>
      <c r="AE3412">
        <v>-1.2327999999999899</v>
      </c>
      <c r="AF3412">
        <v>1.44090465533951</v>
      </c>
      <c r="AG3412">
        <v>-1.1103800627989999</v>
      </c>
      <c r="AH3412">
        <v>24.161195840363099</v>
      </c>
      <c r="AI3412">
        <v>92.6266399039975</v>
      </c>
      <c r="AJ3412">
        <v>86.587085769728702</v>
      </c>
      <c r="AK3412">
        <v>24.229579743487498</v>
      </c>
      <c r="AL3412">
        <v>80.202756136342003</v>
      </c>
      <c r="AM3412">
        <v>88.825301318179299</v>
      </c>
      <c r="AN3412">
        <v>1.00000001616858</v>
      </c>
    </row>
    <row r="3413" spans="1:40" x14ac:dyDescent="0.25">
      <c r="A3413" t="str">
        <f>"20190312172437054"</f>
        <v>20190312172437054</v>
      </c>
      <c r="B3413" t="str">
        <f>"1552382677043322"</f>
        <v>1552382677043322</v>
      </c>
      <c r="C3413" t="s">
        <v>40</v>
      </c>
      <c r="D3413">
        <v>3.9452240000000001</v>
      </c>
      <c r="E3413">
        <v>0.51568459999999905</v>
      </c>
      <c r="F3413" t="s">
        <v>47</v>
      </c>
      <c r="G3413">
        <v>-346.60329999999999</v>
      </c>
      <c r="H3413" s="1">
        <v>1.9771359999999998E-6</v>
      </c>
      <c r="I3413">
        <v>212.52099999999999</v>
      </c>
      <c r="J3413">
        <v>-370.37889999999999</v>
      </c>
      <c r="K3413">
        <v>1.110384</v>
      </c>
      <c r="L3413">
        <v>213.739</v>
      </c>
      <c r="M3413">
        <v>0.99985239999999997</v>
      </c>
      <c r="N3413">
        <v>0</v>
      </c>
      <c r="O3413">
        <v>8.7882040000000008E-3</v>
      </c>
      <c r="P3413">
        <v>0.9879</v>
      </c>
      <c r="Q3413">
        <v>0.15461349999999999</v>
      </c>
      <c r="R3413">
        <v>-1.218871E-2</v>
      </c>
      <c r="S3413">
        <v>3.0575559999999999</v>
      </c>
      <c r="T3413">
        <v>-0.14059050000000001</v>
      </c>
      <c r="U3413">
        <v>-0.15379329999999999</v>
      </c>
      <c r="V3413">
        <v>2.0852019999999999E-2</v>
      </c>
      <c r="W3413">
        <v>0.16918039999999901</v>
      </c>
      <c r="X3413">
        <v>0.98536449999999998</v>
      </c>
      <c r="Y3413">
        <v>5.8940659999999999E-2</v>
      </c>
      <c r="Z3413">
        <v>-1.7572029999999999E-3</v>
      </c>
      <c r="AA3413">
        <v>0.99826000000000004</v>
      </c>
      <c r="AB3413">
        <v>36</v>
      </c>
      <c r="AC3413">
        <v>23.775600000000001</v>
      </c>
      <c r="AD3413">
        <v>-1.110382022864</v>
      </c>
      <c r="AE3413">
        <v>-1.21800000000001</v>
      </c>
      <c r="AF3413">
        <v>1.42382313352415</v>
      </c>
      <c r="AG3413">
        <v>-1.110382022864</v>
      </c>
      <c r="AH3413">
        <v>23.712391989095199</v>
      </c>
      <c r="AI3413">
        <v>92.676222283297804</v>
      </c>
      <c r="AJ3413">
        <v>86.563770351887797</v>
      </c>
      <c r="AK3413">
        <v>23.781037706474599</v>
      </c>
      <c r="AL3413">
        <v>80.259830850106198</v>
      </c>
      <c r="AM3413">
        <v>88.787702980048707</v>
      </c>
      <c r="AN3413">
        <v>1.00000000617124</v>
      </c>
    </row>
    <row r="3414" spans="1:40" x14ac:dyDescent="0.25">
      <c r="A3414" t="str">
        <f>"20190312172437075"</f>
        <v>20190312172437075</v>
      </c>
      <c r="B3414" t="str">
        <f>"1552382677063818"</f>
        <v>1552382677063818</v>
      </c>
      <c r="C3414" t="s">
        <v>40</v>
      </c>
      <c r="D3414">
        <v>3.911203</v>
      </c>
      <c r="E3414">
        <v>0.53290799999999905</v>
      </c>
      <c r="F3414" t="s">
        <v>47</v>
      </c>
      <c r="G3414">
        <v>-346.78440000000001</v>
      </c>
      <c r="H3414" s="1">
        <v>2.0735359999999999E-6</v>
      </c>
      <c r="I3414">
        <v>212.53370000000001</v>
      </c>
      <c r="J3414">
        <v>-370.0385</v>
      </c>
      <c r="K3414">
        <v>1.1103809999999901</v>
      </c>
      <c r="L3414">
        <v>213.74199999999999</v>
      </c>
      <c r="M3414">
        <v>0.99985190000000002</v>
      </c>
      <c r="N3414">
        <v>0</v>
      </c>
      <c r="O3414">
        <v>8.8527499999999995E-3</v>
      </c>
      <c r="P3414">
        <v>0.98788580000000004</v>
      </c>
      <c r="Q3414">
        <v>0.1546554</v>
      </c>
      <c r="R3414">
        <v>-1.280657E-2</v>
      </c>
      <c r="S3414">
        <v>3.0573429999999999</v>
      </c>
      <c r="T3414">
        <v>-0.1438818</v>
      </c>
      <c r="U3414">
        <v>-0.1561737</v>
      </c>
      <c r="V3414">
        <v>2.153273E-2</v>
      </c>
      <c r="W3414">
        <v>0.16921889999999901</v>
      </c>
      <c r="X3414">
        <v>0.98534319999999997</v>
      </c>
      <c r="Y3414">
        <v>5.977942E-2</v>
      </c>
      <c r="Z3414">
        <v>-1.821132E-3</v>
      </c>
      <c r="AA3414">
        <v>0.99821000000000004</v>
      </c>
      <c r="AB3414">
        <v>36</v>
      </c>
      <c r="AC3414">
        <v>23.254099999999902</v>
      </c>
      <c r="AD3414">
        <v>-1.1103789264639901</v>
      </c>
      <c r="AE3414">
        <v>-1.2082999999999999</v>
      </c>
      <c r="AF3414">
        <v>1.41092947740978</v>
      </c>
      <c r="AG3414">
        <v>-1.1103789264639901</v>
      </c>
      <c r="AH3414">
        <v>23.189759298807001</v>
      </c>
      <c r="AI3414">
        <v>92.736307419027497</v>
      </c>
      <c r="AJ3414">
        <v>86.518257414965802</v>
      </c>
      <c r="AK3414">
        <v>23.259161629069201</v>
      </c>
      <c r="AL3414">
        <v>80.257592220310599</v>
      </c>
      <c r="AM3414">
        <v>88.748113129791705</v>
      </c>
      <c r="AN3414">
        <v>0.99999995818234999</v>
      </c>
    </row>
    <row r="3415" spans="1:40" x14ac:dyDescent="0.25">
      <c r="A3415" t="str">
        <f>"20190312172437098"</f>
        <v>20190312172437098</v>
      </c>
      <c r="B3415" t="str">
        <f>"1552382677093604"</f>
        <v>1552382677093604</v>
      </c>
      <c r="C3415" t="s">
        <v>40</v>
      </c>
      <c r="D3415">
        <v>3.8695360000000001</v>
      </c>
      <c r="E3415">
        <v>0.54172980000000004</v>
      </c>
      <c r="F3415" t="s">
        <v>41</v>
      </c>
      <c r="G3415">
        <v>-369.22379999999998</v>
      </c>
      <c r="H3415">
        <v>1.013109</v>
      </c>
      <c r="I3415">
        <v>213.66470000000001</v>
      </c>
      <c r="J3415">
        <v>-369.67880000000002</v>
      </c>
      <c r="K3415">
        <v>1.1103809999999901</v>
      </c>
      <c r="L3415">
        <v>213.74529999999999</v>
      </c>
      <c r="M3415">
        <v>0.9998515</v>
      </c>
      <c r="N3415">
        <v>0</v>
      </c>
      <c r="O3415">
        <v>8.9202150000000004E-3</v>
      </c>
      <c r="P3415">
        <v>0.9878844</v>
      </c>
      <c r="Q3415">
        <v>0.15461659999999999</v>
      </c>
      <c r="R3415">
        <v>-1.335153E-2</v>
      </c>
      <c r="S3415">
        <v>3.0907290000000001</v>
      </c>
      <c r="T3415">
        <v>-0.36910270000000001</v>
      </c>
      <c r="U3415">
        <v>-0.29315190000000002</v>
      </c>
      <c r="V3415">
        <v>2.2144009999999999E-2</v>
      </c>
      <c r="W3415">
        <v>0.16917570000000001</v>
      </c>
      <c r="X3415">
        <v>0.98533709999999997</v>
      </c>
      <c r="Y3415">
        <v>0.1025176</v>
      </c>
      <c r="Z3415">
        <v>-7.1456380000000002E-3</v>
      </c>
      <c r="AA3415">
        <v>0.99470550000000002</v>
      </c>
      <c r="AB3415">
        <v>36</v>
      </c>
      <c r="AC3415">
        <v>0.45500000000003998</v>
      </c>
      <c r="AD3415">
        <v>-9.7271999999999803E-2</v>
      </c>
      <c r="AE3415">
        <v>-8.0599999999975497E-2</v>
      </c>
      <c r="AF3415">
        <v>8.10637281079713E-2</v>
      </c>
      <c r="AG3415">
        <v>-9.7271999999999803E-2</v>
      </c>
      <c r="AH3415">
        <v>0.43498711924366501</v>
      </c>
      <c r="AI3415">
        <v>102.398433075776</v>
      </c>
      <c r="AJ3415">
        <v>79.443516611682398</v>
      </c>
      <c r="AK3415">
        <v>0.453041900828903</v>
      </c>
      <c r="AL3415">
        <v>80.260103896497796</v>
      </c>
      <c r="AM3415">
        <v>88.712577878614596</v>
      </c>
      <c r="AN3415">
        <v>0.99999998764289</v>
      </c>
    </row>
    <row r="3416" spans="1:40" x14ac:dyDescent="0.25">
      <c r="A3416" t="str">
        <f>"20190312172437120"</f>
        <v>20190312172437120</v>
      </c>
      <c r="B3416" t="str">
        <f>"1552382677114100"</f>
        <v>1552382677114100</v>
      </c>
      <c r="C3416" t="s">
        <v>40</v>
      </c>
      <c r="D3416">
        <v>4.0146870000000003</v>
      </c>
      <c r="E3416">
        <v>0.54467119999999902</v>
      </c>
      <c r="F3416" t="s">
        <v>41</v>
      </c>
      <c r="G3416">
        <v>-368.91669999999999</v>
      </c>
      <c r="H3416">
        <v>0.98510399999999998</v>
      </c>
      <c r="I3416">
        <v>213.65610000000001</v>
      </c>
      <c r="J3416">
        <v>-369.3107</v>
      </c>
      <c r="K3416">
        <v>1.1103860000000001</v>
      </c>
      <c r="L3416">
        <v>213.74860000000001</v>
      </c>
      <c r="M3416">
        <v>0.99985089999999999</v>
      </c>
      <c r="N3416">
        <v>0</v>
      </c>
      <c r="O3416">
        <v>8.9894609999999903E-3</v>
      </c>
      <c r="P3416">
        <v>0.98783670000000001</v>
      </c>
      <c r="Q3416">
        <v>0.15486069999999999</v>
      </c>
      <c r="R3416">
        <v>-1.404154E-2</v>
      </c>
      <c r="S3416">
        <v>3.1119379999999999</v>
      </c>
      <c r="T3416">
        <v>-0.51159449999999995</v>
      </c>
      <c r="U3416">
        <v>-0.36363220000000002</v>
      </c>
      <c r="V3416">
        <v>2.2901520000000002E-2</v>
      </c>
      <c r="W3416">
        <v>0.16941539999999999</v>
      </c>
      <c r="X3416">
        <v>0.9852786</v>
      </c>
      <c r="Y3416">
        <v>0.12323439999999999</v>
      </c>
      <c r="Z3416">
        <v>-1.1492179999999999E-2</v>
      </c>
      <c r="AA3416">
        <v>0.9923111</v>
      </c>
      <c r="AB3416">
        <v>36</v>
      </c>
      <c r="AC3416">
        <v>0.39400000000000501</v>
      </c>
      <c r="AD3416">
        <v>-0.125282</v>
      </c>
      <c r="AE3416">
        <v>-9.2500000000001095E-2</v>
      </c>
      <c r="AF3416">
        <v>8.7640265663286504E-2</v>
      </c>
      <c r="AG3416">
        <v>-0.125282</v>
      </c>
      <c r="AH3416">
        <v>0.35877266083670001</v>
      </c>
      <c r="AI3416">
        <v>108.73805263107199</v>
      </c>
      <c r="AJ3416">
        <v>76.272731253412104</v>
      </c>
      <c r="AK3416">
        <v>0.38999258692105598</v>
      </c>
      <c r="AL3416">
        <v>80.246168959994293</v>
      </c>
      <c r="AM3416">
        <v>88.668473860879203</v>
      </c>
      <c r="AN3416">
        <v>0.99999998849671501</v>
      </c>
    </row>
    <row r="3417" spans="1:40" x14ac:dyDescent="0.25">
      <c r="A3417" t="str">
        <f>"20190312172437144"</f>
        <v>20190312172437144</v>
      </c>
      <c r="B3417" t="str">
        <f>"1552382677133620"</f>
        <v>1552382677133620</v>
      </c>
      <c r="C3417" t="s">
        <v>40</v>
      </c>
      <c r="D3417">
        <v>4.0307810000000002</v>
      </c>
      <c r="E3417">
        <v>0.54760279999999995</v>
      </c>
      <c r="F3417" t="s">
        <v>41</v>
      </c>
      <c r="G3417">
        <v>-368.59809999999999</v>
      </c>
      <c r="H3417">
        <v>0.98175539999999994</v>
      </c>
      <c r="I3417">
        <v>213.65989999999999</v>
      </c>
      <c r="J3417">
        <v>-368.95080000000002</v>
      </c>
      <c r="K3417">
        <v>1.110393</v>
      </c>
      <c r="L3417">
        <v>213.75190000000001</v>
      </c>
      <c r="M3417">
        <v>0.99985029999999997</v>
      </c>
      <c r="N3417">
        <v>0</v>
      </c>
      <c r="O3417">
        <v>9.0572689999999997E-3</v>
      </c>
      <c r="P3417">
        <v>0.98787610000000003</v>
      </c>
      <c r="Q3417">
        <v>0.1546015</v>
      </c>
      <c r="R3417">
        <v>-1.412953E-2</v>
      </c>
      <c r="S3417">
        <v>3.1197509999999999</v>
      </c>
      <c r="T3417">
        <v>-0.56320000000000003</v>
      </c>
      <c r="U3417">
        <v>-0.38832090000000002</v>
      </c>
      <c r="V3417">
        <v>2.3056549999999999E-2</v>
      </c>
      <c r="W3417">
        <v>0.1691522</v>
      </c>
      <c r="X3417">
        <v>0.98532019999999998</v>
      </c>
      <c r="Y3417">
        <v>0.1302835</v>
      </c>
      <c r="Z3417">
        <v>-1.3238069999999999E-2</v>
      </c>
      <c r="AA3417">
        <v>0.99138839999999995</v>
      </c>
      <c r="AB3417">
        <v>36</v>
      </c>
      <c r="AC3417">
        <v>0.35270000000002699</v>
      </c>
      <c r="AD3417">
        <v>-0.12863759999999899</v>
      </c>
      <c r="AE3417">
        <v>-9.2000000000012905E-2</v>
      </c>
      <c r="AF3417">
        <v>8.4648281894062899E-2</v>
      </c>
      <c r="AG3417">
        <v>-0.12863759999999899</v>
      </c>
      <c r="AH3417">
        <v>0.31288314377538001</v>
      </c>
      <c r="AI3417">
        <v>111.64657483676</v>
      </c>
      <c r="AJ3417">
        <v>74.861441824329304</v>
      </c>
      <c r="AK3417">
        <v>0.34872456956764902</v>
      </c>
      <c r="AL3417">
        <v>80.261469999391196</v>
      </c>
      <c r="AM3417">
        <v>88.659520056171004</v>
      </c>
      <c r="AN3417">
        <v>0.99999998389539102</v>
      </c>
    </row>
    <row r="3418" spans="1:40" x14ac:dyDescent="0.25">
      <c r="A3418" t="str">
        <f>"20190312172437166"</f>
        <v>20190312172437166</v>
      </c>
      <c r="B3418" t="str">
        <f>"1552382677163877"</f>
        <v>1552382677163877</v>
      </c>
      <c r="C3418" t="s">
        <v>40</v>
      </c>
      <c r="D3418">
        <v>4.2126169999999998</v>
      </c>
      <c r="E3418">
        <v>0.54938609999999999</v>
      </c>
      <c r="F3418" t="s">
        <v>41</v>
      </c>
      <c r="G3418">
        <v>-367.98649999999998</v>
      </c>
      <c r="H3418">
        <v>0.91977019999999998</v>
      </c>
      <c r="I3418">
        <v>213.625</v>
      </c>
      <c r="J3418">
        <v>-368.58049999999997</v>
      </c>
      <c r="K3418">
        <v>1.110393</v>
      </c>
      <c r="L3418">
        <v>213.75540000000001</v>
      </c>
      <c r="M3418">
        <v>0.99984969999999995</v>
      </c>
      <c r="N3418">
        <v>0</v>
      </c>
      <c r="O3418">
        <v>9.1270980000000002E-3</v>
      </c>
      <c r="P3418">
        <v>0.98790080000000002</v>
      </c>
      <c r="Q3418">
        <v>0.1544719</v>
      </c>
      <c r="R3418">
        <v>-1.3801559999999999E-2</v>
      </c>
      <c r="S3418">
        <v>3.1277159999999999</v>
      </c>
      <c r="T3418">
        <v>-0.61833479999999996</v>
      </c>
      <c r="U3418">
        <v>-0.41146850000000001</v>
      </c>
      <c r="V3418">
        <v>2.279784E-2</v>
      </c>
      <c r="W3418">
        <v>0.16901920000000001</v>
      </c>
      <c r="X3418">
        <v>0.98534909999999998</v>
      </c>
      <c r="Y3418">
        <v>0.13670070000000001</v>
      </c>
      <c r="Z3418">
        <v>-1.510732E-2</v>
      </c>
      <c r="AA3418">
        <v>0.99049719999999997</v>
      </c>
      <c r="AB3418">
        <v>36</v>
      </c>
      <c r="AC3418">
        <v>0.59399999999999398</v>
      </c>
      <c r="AD3418">
        <v>-0.19062280000000001</v>
      </c>
      <c r="AE3418">
        <v>-0.13040000000000801</v>
      </c>
      <c r="AF3418">
        <v>0.123666348207206</v>
      </c>
      <c r="AG3418">
        <v>-0.19062280000000001</v>
      </c>
      <c r="AH3418">
        <v>0.53975376835992805</v>
      </c>
      <c r="AI3418">
        <v>108.995835417493</v>
      </c>
      <c r="AJ3418">
        <v>77.095337007580596</v>
      </c>
      <c r="AK3418">
        <v>0.58563175120333899</v>
      </c>
      <c r="AL3418">
        <v>80.269202216671303</v>
      </c>
      <c r="AM3418">
        <v>88.674594607801694</v>
      </c>
      <c r="AN3418">
        <v>1.0000000401740501</v>
      </c>
    </row>
    <row r="3419" spans="1:40" x14ac:dyDescent="0.25">
      <c r="A3419" t="str">
        <f>"20190312172437187"</f>
        <v>20190312172437187</v>
      </c>
      <c r="B3419" t="str">
        <f>"1552382677183396"</f>
        <v>1552382677183396</v>
      </c>
      <c r="C3419" t="s">
        <v>40</v>
      </c>
      <c r="D3419">
        <v>3.9140250000000001</v>
      </c>
      <c r="E3419">
        <v>0.55030730000000005</v>
      </c>
      <c r="F3419" t="s">
        <v>41</v>
      </c>
      <c r="G3419">
        <v>-367.66739999999999</v>
      </c>
      <c r="H3419">
        <v>0.92005479999999995</v>
      </c>
      <c r="I3419">
        <v>213.6317</v>
      </c>
      <c r="J3419">
        <v>-368.25310000000002</v>
      </c>
      <c r="K3419">
        <v>1.1103959999999999</v>
      </c>
      <c r="L3419">
        <v>213.75839999999999</v>
      </c>
      <c r="M3419">
        <v>0.99984930000000005</v>
      </c>
      <c r="N3419">
        <v>0</v>
      </c>
      <c r="O3419">
        <v>9.1888760000000003E-3</v>
      </c>
      <c r="P3419">
        <v>0.98794059999999995</v>
      </c>
      <c r="Q3419">
        <v>0.15422739999999999</v>
      </c>
      <c r="R3419">
        <v>-1.3703180000000001E-2</v>
      </c>
      <c r="S3419">
        <v>3.1329039999999999</v>
      </c>
      <c r="T3419">
        <v>-0.65308180000000005</v>
      </c>
      <c r="U3419">
        <v>-0.42417909999999998</v>
      </c>
      <c r="V3419">
        <v>2.2760599999999999E-2</v>
      </c>
      <c r="W3419">
        <v>0.16877149999999999</v>
      </c>
      <c r="X3419">
        <v>0.98539239999999995</v>
      </c>
      <c r="Y3419">
        <v>0.1401184</v>
      </c>
      <c r="Z3419">
        <v>-1.6272849999999998E-2</v>
      </c>
      <c r="AA3419">
        <v>0.99000100000000002</v>
      </c>
      <c r="AB3419">
        <v>36</v>
      </c>
      <c r="AC3419">
        <v>0.58570000000003097</v>
      </c>
      <c r="AD3419">
        <v>-0.19034119999999899</v>
      </c>
      <c r="AE3419">
        <v>-0.12669999999999901</v>
      </c>
      <c r="AF3419">
        <v>0.119972941930117</v>
      </c>
      <c r="AG3419">
        <v>-0.19034119999999899</v>
      </c>
      <c r="AH3419">
        <v>0.53094338495592697</v>
      </c>
      <c r="AI3419">
        <v>109.273723115094</v>
      </c>
      <c r="AJ3419">
        <v>77.267173664290894</v>
      </c>
      <c r="AK3419">
        <v>0.57664907633782303</v>
      </c>
      <c r="AL3419">
        <v>80.283601069208004</v>
      </c>
      <c r="AM3419">
        <v>88.676816996358198</v>
      </c>
      <c r="AN3419">
        <v>1.0000000230511801</v>
      </c>
    </row>
    <row r="3420" spans="1:40" x14ac:dyDescent="0.25">
      <c r="A3420" t="str">
        <f>"20190312172437209"</f>
        <v>20190312172437209</v>
      </c>
      <c r="B3420" t="str">
        <f>"1552382677203422"</f>
        <v>1552382677203422</v>
      </c>
      <c r="C3420" t="s">
        <v>40</v>
      </c>
      <c r="D3420">
        <v>3.8647900000000002</v>
      </c>
      <c r="E3420">
        <v>0.55090609999999995</v>
      </c>
      <c r="F3420" t="s">
        <v>41</v>
      </c>
      <c r="G3420">
        <v>-367.34949999999998</v>
      </c>
      <c r="H3420">
        <v>0.9175603</v>
      </c>
      <c r="I3420">
        <v>213.63409999999999</v>
      </c>
      <c r="J3420">
        <v>-367.90280000000001</v>
      </c>
      <c r="K3420">
        <v>1.1103959999999999</v>
      </c>
      <c r="L3420">
        <v>213.76169999999999</v>
      </c>
      <c r="M3420">
        <v>0.99984870000000003</v>
      </c>
      <c r="N3420">
        <v>0</v>
      </c>
      <c r="O3420">
        <v>9.2550640000000003E-3</v>
      </c>
      <c r="P3420">
        <v>0.98802610000000002</v>
      </c>
      <c r="Q3420">
        <v>0.15370880000000001</v>
      </c>
      <c r="R3420">
        <v>-1.334663E-2</v>
      </c>
      <c r="S3420">
        <v>3.1351010000000001</v>
      </c>
      <c r="T3420">
        <v>-0.66914929999999995</v>
      </c>
      <c r="U3420">
        <v>-0.43023679999999997</v>
      </c>
      <c r="V3420">
        <v>2.247039E-2</v>
      </c>
      <c r="W3420">
        <v>0.1682507</v>
      </c>
      <c r="X3420">
        <v>0.98548809999999998</v>
      </c>
      <c r="Y3420">
        <v>0.141781399999999</v>
      </c>
      <c r="Z3420">
        <v>-1.6839799999999999E-2</v>
      </c>
      <c r="AA3420">
        <v>0.98975469999999999</v>
      </c>
      <c r="AB3420">
        <v>36</v>
      </c>
      <c r="AC3420">
        <v>0.55330000000003499</v>
      </c>
      <c r="AD3420">
        <v>-0.192835699999999</v>
      </c>
      <c r="AE3420">
        <v>-0.12760000000000099</v>
      </c>
      <c r="AF3420">
        <v>0.11899231053550199</v>
      </c>
      <c r="AG3420">
        <v>-0.192835699999999</v>
      </c>
      <c r="AH3420">
        <v>0.49500533256210999</v>
      </c>
      <c r="AI3420">
        <v>110.745324503003</v>
      </c>
      <c r="AJ3420">
        <v>76.483361415775505</v>
      </c>
      <c r="AK3420">
        <v>0.544403394943485</v>
      </c>
      <c r="AL3420">
        <v>80.313873447519299</v>
      </c>
      <c r="AM3420">
        <v>88.693809225370103</v>
      </c>
      <c r="AN3420">
        <v>1.0000000058594201</v>
      </c>
    </row>
    <row r="3421" spans="1:40" x14ac:dyDescent="0.25">
      <c r="A3421" t="str">
        <f>"20190312172437232"</f>
        <v>20190312172437232</v>
      </c>
      <c r="B3421" t="str">
        <f>"1552382677223919"</f>
        <v>1552382677223919</v>
      </c>
      <c r="C3421" t="s">
        <v>40</v>
      </c>
      <c r="D3421">
        <v>3.8147679999999999</v>
      </c>
      <c r="E3421">
        <v>0.55232939999999997</v>
      </c>
      <c r="F3421" t="s">
        <v>41</v>
      </c>
      <c r="G3421">
        <v>-367.02940000000001</v>
      </c>
      <c r="H3421">
        <v>0.92192470000000004</v>
      </c>
      <c r="I3421">
        <v>213.64099999999999</v>
      </c>
      <c r="J3421">
        <v>-367.52800000000002</v>
      </c>
      <c r="K3421">
        <v>1.110384</v>
      </c>
      <c r="L3421">
        <v>213.76519999999999</v>
      </c>
      <c r="M3421">
        <v>0.99984810000000002</v>
      </c>
      <c r="N3421">
        <v>0</v>
      </c>
      <c r="O3421">
        <v>9.3257240000000005E-3</v>
      </c>
      <c r="P3421">
        <v>0.98812840000000002</v>
      </c>
      <c r="Q3421">
        <v>0.15305569999999999</v>
      </c>
      <c r="R3421">
        <v>-1.32806E-2</v>
      </c>
      <c r="S3421">
        <v>3.135742</v>
      </c>
      <c r="T3421">
        <v>-0.67661000000000004</v>
      </c>
      <c r="U3421">
        <v>-0.43328860000000002</v>
      </c>
      <c r="V3421">
        <v>2.2475129999999999E-2</v>
      </c>
      <c r="W3421">
        <v>0.16759499999999999</v>
      </c>
      <c r="X3421">
        <v>0.98559969999999997</v>
      </c>
      <c r="Y3421">
        <v>0.1426753</v>
      </c>
      <c r="Z3421">
        <v>-1.7128870000000001E-2</v>
      </c>
      <c r="AA3421">
        <v>0.98962130000000004</v>
      </c>
      <c r="AB3421">
        <v>36</v>
      </c>
      <c r="AC3421">
        <v>0.49860000000000998</v>
      </c>
      <c r="AD3421">
        <v>-0.1884593</v>
      </c>
      <c r="AE3421">
        <v>-0.124200000000001</v>
      </c>
      <c r="AF3421">
        <v>0.113567803664627</v>
      </c>
      <c r="AG3421">
        <v>-0.1884593</v>
      </c>
      <c r="AH3421">
        <v>0.43844099184232699</v>
      </c>
      <c r="AI3421">
        <v>112.59253285199</v>
      </c>
      <c r="AJ3421">
        <v>75.478045720991005</v>
      </c>
      <c r="AK3421">
        <v>0.490555865435712</v>
      </c>
      <c r="AL3421">
        <v>80.351983312982298</v>
      </c>
      <c r="AM3421">
        <v>88.693681668028503</v>
      </c>
      <c r="AN3421">
        <v>0.99999999206680301</v>
      </c>
    </row>
    <row r="3422" spans="1:40" x14ac:dyDescent="0.25">
      <c r="A3422" t="str">
        <f>"20190312172437254"</f>
        <v>20190312172437254</v>
      </c>
      <c r="B3422" t="str">
        <f>"1552382677243438"</f>
        <v>1552382677243438</v>
      </c>
      <c r="C3422" t="s">
        <v>40</v>
      </c>
      <c r="D3422">
        <v>3.836579</v>
      </c>
      <c r="E3422">
        <v>0.57285419999999998</v>
      </c>
      <c r="F3422" t="s">
        <v>41</v>
      </c>
      <c r="G3422">
        <v>-366.70749999999998</v>
      </c>
      <c r="H3422">
        <v>0.93038460000000001</v>
      </c>
      <c r="I3422">
        <v>213.64869999999999</v>
      </c>
      <c r="J3422">
        <v>-367.1848</v>
      </c>
      <c r="K3422">
        <v>1.1103829999999999</v>
      </c>
      <c r="L3422">
        <v>213.76849999999999</v>
      </c>
      <c r="M3422">
        <v>0.9998475</v>
      </c>
      <c r="N3422">
        <v>0</v>
      </c>
      <c r="O3422">
        <v>9.3906590000000009E-3</v>
      </c>
      <c r="P3422">
        <v>0.98819049999999997</v>
      </c>
      <c r="Q3422">
        <v>0.15266660000000001</v>
      </c>
      <c r="R3422">
        <v>-1.3133509999999999E-2</v>
      </c>
      <c r="S3422">
        <v>3.1366580000000002</v>
      </c>
      <c r="T3422">
        <v>-0.68814830000000005</v>
      </c>
      <c r="U3422">
        <v>-0.44421389999999999</v>
      </c>
      <c r="V3422">
        <v>2.239292E-2</v>
      </c>
      <c r="W3422">
        <v>0.167203399999999</v>
      </c>
      <c r="X3422">
        <v>0.98566810000000005</v>
      </c>
      <c r="Y3422">
        <v>0.1458912</v>
      </c>
      <c r="Z3422">
        <v>-1.7766339999999999E-2</v>
      </c>
      <c r="AA3422">
        <v>0.9891411</v>
      </c>
      <c r="AB3422">
        <v>36</v>
      </c>
      <c r="AC3422">
        <v>0.47730000000001299</v>
      </c>
      <c r="AD3422">
        <v>-0.179998399999999</v>
      </c>
      <c r="AE3422">
        <v>-0.11979999999999701</v>
      </c>
      <c r="AF3422">
        <v>0.109612387407027</v>
      </c>
      <c r="AG3422">
        <v>-0.179998399999999</v>
      </c>
      <c r="AH3422">
        <v>0.41996672660678103</v>
      </c>
      <c r="AI3422">
        <v>112.52421595389499</v>
      </c>
      <c r="AJ3422">
        <v>75.371992156234001</v>
      </c>
      <c r="AK3422">
        <v>0.469879081182002</v>
      </c>
      <c r="AL3422">
        <v>80.3747416663346</v>
      </c>
      <c r="AM3422">
        <v>88.698548588700206</v>
      </c>
      <c r="AN3422">
        <v>1.00000001159764</v>
      </c>
    </row>
    <row r="3423" spans="1:40" x14ac:dyDescent="0.25">
      <c r="A3423" t="str">
        <f>"20190312172437276"</f>
        <v>20190312172437276</v>
      </c>
      <c r="B3423" t="str">
        <f>"1552382677273694"</f>
        <v>1552382677273694</v>
      </c>
      <c r="C3423" t="s">
        <v>40</v>
      </c>
      <c r="D3423">
        <v>3.8539620000000001</v>
      </c>
      <c r="E3423">
        <v>0.56846200000000002</v>
      </c>
      <c r="F3423" t="s">
        <v>41</v>
      </c>
      <c r="G3423">
        <v>-366.39699999999999</v>
      </c>
      <c r="H3423">
        <v>0.90919570000000005</v>
      </c>
      <c r="I3423">
        <v>213.61709999999999</v>
      </c>
      <c r="J3423">
        <v>-366.83569999999997</v>
      </c>
      <c r="K3423">
        <v>1.110385</v>
      </c>
      <c r="L3423">
        <v>213.77189999999999</v>
      </c>
      <c r="M3423">
        <v>0.99984709999999999</v>
      </c>
      <c r="N3423">
        <v>0</v>
      </c>
      <c r="O3423">
        <v>9.4564869999999995E-3</v>
      </c>
      <c r="P3423">
        <v>0.98824780000000001</v>
      </c>
      <c r="Q3423">
        <v>0.15231749999999999</v>
      </c>
      <c r="R3423">
        <v>-1.288694E-2</v>
      </c>
      <c r="S3423">
        <v>3.152161</v>
      </c>
      <c r="T3423">
        <v>-0.80491469999999998</v>
      </c>
      <c r="U3423">
        <v>-0.60627749999999903</v>
      </c>
      <c r="V3423">
        <v>2.2211789999999999E-2</v>
      </c>
      <c r="W3423">
        <v>0.16685079999999999</v>
      </c>
      <c r="X3423">
        <v>0.98573200000000005</v>
      </c>
      <c r="Y3423">
        <v>0.19191659999999999</v>
      </c>
      <c r="Z3423">
        <v>-2.6264059999999999E-2</v>
      </c>
      <c r="AA3423">
        <v>0.98105969999999998</v>
      </c>
      <c r="AB3423">
        <v>36</v>
      </c>
      <c r="AC3423">
        <v>0.43869999999998199</v>
      </c>
      <c r="AD3423">
        <v>-0.20118929999999899</v>
      </c>
      <c r="AE3423">
        <v>-0.154799999999994</v>
      </c>
      <c r="AF3423">
        <v>0.13389898149298099</v>
      </c>
      <c r="AG3423">
        <v>-0.20118929999999899</v>
      </c>
      <c r="AH3423">
        <v>0.36832802574031798</v>
      </c>
      <c r="AI3423">
        <v>117.173885636001</v>
      </c>
      <c r="AJ3423">
        <v>70.022180724300696</v>
      </c>
      <c r="AK3423">
        <v>0.44053559019119898</v>
      </c>
      <c r="AL3423">
        <v>80.395232512465498</v>
      </c>
      <c r="AM3423">
        <v>88.709155740445695</v>
      </c>
      <c r="AN3423">
        <v>1.0000000644498199</v>
      </c>
    </row>
    <row r="3424" spans="1:40" x14ac:dyDescent="0.25">
      <c r="A3424" t="str">
        <f>"20190312172437321"</f>
        <v>20190312172437321</v>
      </c>
      <c r="B3424" t="str">
        <f>"1552382677313240"</f>
        <v>1552382677313240</v>
      </c>
      <c r="C3424" t="s">
        <v>40</v>
      </c>
      <c r="D3424">
        <v>3.7968660000000001</v>
      </c>
      <c r="E3424">
        <v>0.56813840000000004</v>
      </c>
      <c r="F3424" t="s">
        <v>41</v>
      </c>
      <c r="G3424">
        <v>-366.07459999999998</v>
      </c>
      <c r="H3424">
        <v>0.92254320000000001</v>
      </c>
      <c r="I3424">
        <v>213.6337</v>
      </c>
      <c r="J3424">
        <v>-366.12310000000002</v>
      </c>
      <c r="K3424">
        <v>1.1103860000000001</v>
      </c>
      <c r="L3424">
        <v>213.77879999999999</v>
      </c>
      <c r="M3424">
        <v>0.99984580000000001</v>
      </c>
      <c r="N3424">
        <v>0</v>
      </c>
      <c r="O3424">
        <v>9.5914209999999993E-3</v>
      </c>
      <c r="P3424">
        <v>0.98835459999999997</v>
      </c>
      <c r="Q3424">
        <v>0.15162139999999999</v>
      </c>
      <c r="R3424">
        <v>-1.2896009999999999E-2</v>
      </c>
      <c r="S3424">
        <v>3.1480410000000001</v>
      </c>
      <c r="T3424">
        <v>-0.77705170000000001</v>
      </c>
      <c r="U3424">
        <v>-0.57092290000000001</v>
      </c>
      <c r="V3424">
        <v>2.2355489999999999E-2</v>
      </c>
      <c r="W3424">
        <v>0.16614880000000001</v>
      </c>
      <c r="X3424">
        <v>0.98584720000000003</v>
      </c>
      <c r="Y3424">
        <v>0.1822966</v>
      </c>
      <c r="Z3424">
        <v>-2.4309589999999999E-2</v>
      </c>
      <c r="AA3424">
        <v>0.98294300000000001</v>
      </c>
      <c r="AB3424">
        <v>36</v>
      </c>
      <c r="AC3424">
        <v>4.8500000000046797E-2</v>
      </c>
      <c r="AD3424">
        <v>-0.1878428</v>
      </c>
      <c r="AE3424">
        <v>-0.14509999999998499</v>
      </c>
      <c r="AF3424">
        <v>5.80492947565329E-2</v>
      </c>
      <c r="AG3424">
        <v>-0.1878428</v>
      </c>
      <c r="AH3424">
        <v>1.87860093311529E-2</v>
      </c>
      <c r="AI3424">
        <v>162.00563591508799</v>
      </c>
      <c r="AJ3424">
        <v>17.932704433649899</v>
      </c>
      <c r="AK3424">
        <v>0.197503296884282</v>
      </c>
      <c r="AL3424">
        <v>80.436022393208106</v>
      </c>
      <c r="AM3424">
        <v>88.700959192253805</v>
      </c>
      <c r="AN3424">
        <v>0.99999994671120795</v>
      </c>
    </row>
    <row r="3425" spans="1:40" x14ac:dyDescent="0.25">
      <c r="A3425" t="str">
        <f>"20190312172437344"</f>
        <v>20190312172437344</v>
      </c>
      <c r="B3425" t="str">
        <f>"1552382677333736"</f>
        <v>1552382677333736</v>
      </c>
      <c r="C3425" t="s">
        <v>40</v>
      </c>
      <c r="D3425">
        <v>4.0702360000000004</v>
      </c>
      <c r="E3425">
        <v>0.56752199999999997</v>
      </c>
      <c r="F3425" t="s">
        <v>41</v>
      </c>
      <c r="G3425">
        <v>-365.43459999999999</v>
      </c>
      <c r="H3425">
        <v>0.93797620000000004</v>
      </c>
      <c r="I3425">
        <v>213.65469999999999</v>
      </c>
      <c r="J3425">
        <v>-365.75749999999999</v>
      </c>
      <c r="K3425">
        <v>1.11039</v>
      </c>
      <c r="L3425">
        <v>213.78229999999999</v>
      </c>
      <c r="M3425">
        <v>0.99984510000000004</v>
      </c>
      <c r="N3425">
        <v>0</v>
      </c>
      <c r="O3425">
        <v>9.6607050000000003E-3</v>
      </c>
      <c r="P3425">
        <v>0.98831550000000001</v>
      </c>
      <c r="Q3425">
        <v>0.1518516</v>
      </c>
      <c r="R3425">
        <v>-1.3179079999999999E-2</v>
      </c>
      <c r="S3425">
        <v>3.148895</v>
      </c>
      <c r="T3425">
        <v>-0.78850220000000004</v>
      </c>
      <c r="U3425">
        <v>-0.56701659999999998</v>
      </c>
      <c r="V3425">
        <v>2.270668E-2</v>
      </c>
      <c r="W3425">
        <v>0.16637449999999901</v>
      </c>
      <c r="X3425">
        <v>0.98580120000000004</v>
      </c>
      <c r="Y3425">
        <v>0.18101149999999999</v>
      </c>
      <c r="Z3425">
        <v>-2.451329E-2</v>
      </c>
      <c r="AA3425">
        <v>0.98317549999999998</v>
      </c>
      <c r="AB3425">
        <v>35</v>
      </c>
      <c r="AC3425">
        <v>0.32290000000000402</v>
      </c>
      <c r="AD3425">
        <v>-0.17241380000000001</v>
      </c>
      <c r="AE3425">
        <v>-0.12760000000000099</v>
      </c>
      <c r="AF3425">
        <v>0.10485638441127799</v>
      </c>
      <c r="AG3425">
        <v>-0.17241380000000001</v>
      </c>
      <c r="AH3425">
        <v>0.25802378200566001</v>
      </c>
      <c r="AI3425">
        <v>121.759355954469</v>
      </c>
      <c r="AJ3425">
        <v>67.884029066904802</v>
      </c>
      <c r="AK3425">
        <v>0.32756320285213703</v>
      </c>
      <c r="AL3425">
        <v>80.422909077868596</v>
      </c>
      <c r="AM3425">
        <v>88.680497729708307</v>
      </c>
      <c r="AN3425">
        <v>1.0000000367441499</v>
      </c>
    </row>
    <row r="3426" spans="1:40" x14ac:dyDescent="0.25">
      <c r="A3426" t="str">
        <f>"20190312172437365"</f>
        <v>20190312172437365</v>
      </c>
      <c r="B3426" t="str">
        <f>"1552382677353256"</f>
        <v>1552382677353256</v>
      </c>
      <c r="C3426" t="s">
        <v>40</v>
      </c>
      <c r="D3426">
        <v>3.814975</v>
      </c>
      <c r="E3426">
        <v>0.56686400000000003</v>
      </c>
      <c r="F3426" t="s">
        <v>41</v>
      </c>
      <c r="G3426">
        <v>-364.82619999999997</v>
      </c>
      <c r="H3426">
        <v>0.87754679999999996</v>
      </c>
      <c r="I3426">
        <v>213.6157</v>
      </c>
      <c r="J3426">
        <v>-365.4119</v>
      </c>
      <c r="K3426">
        <v>1.110385</v>
      </c>
      <c r="L3426">
        <v>213.78579999999999</v>
      </c>
      <c r="M3426">
        <v>0.99984459999999997</v>
      </c>
      <c r="N3426">
        <v>0</v>
      </c>
      <c r="O3426">
        <v>9.7263499999999999E-3</v>
      </c>
      <c r="P3426">
        <v>0.98824080000000003</v>
      </c>
      <c r="Q3426">
        <v>0.1523254</v>
      </c>
      <c r="R3426">
        <v>-1.331861E-2</v>
      </c>
      <c r="S3426">
        <v>3.1489259999999999</v>
      </c>
      <c r="T3426">
        <v>-0.78728390000000004</v>
      </c>
      <c r="U3426">
        <v>-0.56265259999999995</v>
      </c>
      <c r="V3426">
        <v>2.2910260000000002E-2</v>
      </c>
      <c r="W3426">
        <v>0.1668433</v>
      </c>
      <c r="X3426">
        <v>0.98571719999999896</v>
      </c>
      <c r="Y3426">
        <v>0.17980399999999999</v>
      </c>
      <c r="Z3426">
        <v>-2.434764E-2</v>
      </c>
      <c r="AA3426">
        <v>0.98340110000000003</v>
      </c>
      <c r="AB3426">
        <v>35</v>
      </c>
      <c r="AC3426">
        <v>0.58570000000003097</v>
      </c>
      <c r="AD3426">
        <v>-0.232838199999999</v>
      </c>
      <c r="AE3426">
        <v>-0.17009999999999001</v>
      </c>
      <c r="AF3426">
        <v>0.15342807307291101</v>
      </c>
      <c r="AG3426">
        <v>-0.232838199999999</v>
      </c>
      <c r="AH3426">
        <v>0.50972788682890702</v>
      </c>
      <c r="AI3426">
        <v>113.624768007418</v>
      </c>
      <c r="AJ3426">
        <v>73.248207459079495</v>
      </c>
      <c r="AK3426">
        <v>0.58101318366898502</v>
      </c>
      <c r="AL3426">
        <v>80.395667546036705</v>
      </c>
      <c r="AM3426">
        <v>88.668558370318095</v>
      </c>
      <c r="AN3426">
        <v>0.99999998257199796</v>
      </c>
    </row>
    <row r="3427" spans="1:40" x14ac:dyDescent="0.25">
      <c r="A3427" t="str">
        <f>"20190312172437388"</f>
        <v>20190312172437388</v>
      </c>
      <c r="B3427" t="str">
        <f>"1552382677383512"</f>
        <v>1552382677383512</v>
      </c>
      <c r="C3427" t="s">
        <v>40</v>
      </c>
      <c r="D3427">
        <v>3.8297659999999998</v>
      </c>
      <c r="E3427">
        <v>0.56608579999999997</v>
      </c>
      <c r="F3427" t="s">
        <v>41</v>
      </c>
      <c r="G3427">
        <v>-364.50760000000002</v>
      </c>
      <c r="H3427">
        <v>0.88525569999999898</v>
      </c>
      <c r="I3427">
        <v>213.62549999999999</v>
      </c>
      <c r="J3427">
        <v>-365.06920000000002</v>
      </c>
      <c r="K3427">
        <v>1.11039</v>
      </c>
      <c r="L3427">
        <v>213.78919999999999</v>
      </c>
      <c r="M3427">
        <v>0.99984410000000001</v>
      </c>
      <c r="N3427">
        <v>0</v>
      </c>
      <c r="O3427">
        <v>9.7912820000000001E-3</v>
      </c>
      <c r="P3427">
        <v>0.9882746</v>
      </c>
      <c r="Q3427">
        <v>0.1520977</v>
      </c>
      <c r="R3427">
        <v>-1.340479E-2</v>
      </c>
      <c r="S3427">
        <v>3.1490480000000001</v>
      </c>
      <c r="T3427">
        <v>-0.78402890000000003</v>
      </c>
      <c r="U3427">
        <v>-0.55824280000000004</v>
      </c>
      <c r="V3427">
        <v>2.30612E-2</v>
      </c>
      <c r="W3427">
        <v>0.16661239999999999</v>
      </c>
      <c r="X3427">
        <v>0.98575279999999998</v>
      </c>
      <c r="Y3427">
        <v>0.1786046</v>
      </c>
      <c r="Z3427">
        <v>-2.412166E-2</v>
      </c>
      <c r="AA3427">
        <v>0.98362519999999998</v>
      </c>
      <c r="AB3427">
        <v>35</v>
      </c>
      <c r="AC3427">
        <v>0.56159999999999799</v>
      </c>
      <c r="AD3427">
        <v>-0.22513430000000001</v>
      </c>
      <c r="AE3427">
        <v>-0.16370000000000501</v>
      </c>
      <c r="AF3427">
        <v>0.14736400031974201</v>
      </c>
      <c r="AG3427">
        <v>-0.22513430000000001</v>
      </c>
      <c r="AH3427">
        <v>0.48772790073182098</v>
      </c>
      <c r="AI3427">
        <v>113.839162008416</v>
      </c>
      <c r="AJ3427">
        <v>73.188129452827695</v>
      </c>
      <c r="AK3427">
        <v>0.55702792280010205</v>
      </c>
      <c r="AL3427">
        <v>80.409085567043306</v>
      </c>
      <c r="AM3427">
        <v>88.659837986295202</v>
      </c>
      <c r="AN3427">
        <v>1.00000004674351</v>
      </c>
    </row>
    <row r="3428" spans="1:40" x14ac:dyDescent="0.25">
      <c r="A3428" t="str">
        <f>"20190312172437410"</f>
        <v>20190312172437410</v>
      </c>
      <c r="B3428" t="str">
        <f>"1552382677403539"</f>
        <v>1552382677403539</v>
      </c>
      <c r="C3428" t="s">
        <v>40</v>
      </c>
      <c r="D3428">
        <v>4.0004049999999998</v>
      </c>
      <c r="E3428">
        <v>0.56581230000000005</v>
      </c>
      <c r="F3428" t="s">
        <v>41</v>
      </c>
      <c r="G3428">
        <v>-364.18979999999999</v>
      </c>
      <c r="H3428">
        <v>0.89216269999999998</v>
      </c>
      <c r="I3428">
        <v>213.6343</v>
      </c>
      <c r="J3428">
        <v>-364.72120000000001</v>
      </c>
      <c r="K3428">
        <v>1.1103889999999901</v>
      </c>
      <c r="L3428">
        <v>213.79259999999999</v>
      </c>
      <c r="M3428">
        <v>0.99984340000000005</v>
      </c>
      <c r="N3428">
        <v>0</v>
      </c>
      <c r="O3428">
        <v>9.8574060000000008E-3</v>
      </c>
      <c r="P3428">
        <v>0.98819579999999996</v>
      </c>
      <c r="Q3428">
        <v>0.1526267</v>
      </c>
      <c r="R3428">
        <v>-1.3195770000000001E-2</v>
      </c>
      <c r="S3428">
        <v>3.1483460000000001</v>
      </c>
      <c r="T3428">
        <v>-0.78125119999999904</v>
      </c>
      <c r="U3428">
        <v>-0.55303959999999996</v>
      </c>
      <c r="V3428">
        <v>2.2916590000000001E-2</v>
      </c>
      <c r="W3428">
        <v>0.1671366</v>
      </c>
      <c r="X3428">
        <v>0.98566739999999997</v>
      </c>
      <c r="Y3428">
        <v>0.17720439999999901</v>
      </c>
      <c r="Z3428">
        <v>-2.389324E-2</v>
      </c>
      <c r="AA3428">
        <v>0.98388399999999998</v>
      </c>
      <c r="AB3428">
        <v>35</v>
      </c>
      <c r="AC3428">
        <v>0.53140000000001897</v>
      </c>
      <c r="AD3428">
        <v>-0.21822629999999901</v>
      </c>
      <c r="AE3428">
        <v>-0.158299999999996</v>
      </c>
      <c r="AF3428">
        <v>0.14159782144543501</v>
      </c>
      <c r="AG3428">
        <v>-0.21822629999999901</v>
      </c>
      <c r="AH3428">
        <v>0.45875340743483101</v>
      </c>
      <c r="AI3428">
        <v>114.443454899698</v>
      </c>
      <c r="AJ3428">
        <v>72.8467499823183</v>
      </c>
      <c r="AK3428">
        <v>0.52737780564112802</v>
      </c>
      <c r="AL3428">
        <v>80.378623716318998</v>
      </c>
      <c r="AM3428">
        <v>88.668123367275001</v>
      </c>
      <c r="AN3428">
        <v>1.0000000182897699</v>
      </c>
    </row>
    <row r="3429" spans="1:40" x14ac:dyDescent="0.25">
      <c r="A3429" t="str">
        <f>"20190312172437433"</f>
        <v>20190312172437433</v>
      </c>
      <c r="B3429" t="str">
        <f>"1552382677424035"</f>
        <v>1552382677424035</v>
      </c>
      <c r="C3429" t="s">
        <v>40</v>
      </c>
      <c r="D3429">
        <v>3.8311009999999999</v>
      </c>
      <c r="E3429">
        <v>0.56538409999999995</v>
      </c>
      <c r="F3429" t="s">
        <v>41</v>
      </c>
      <c r="G3429">
        <v>-363.8716</v>
      </c>
      <c r="H3429">
        <v>0.90050110000000005</v>
      </c>
      <c r="I3429">
        <v>213.64400000000001</v>
      </c>
      <c r="J3429">
        <v>-364.3562</v>
      </c>
      <c r="K3429">
        <v>1.1103989999999999</v>
      </c>
      <c r="L3429">
        <v>213.7963</v>
      </c>
      <c r="M3429">
        <v>0.99984280000000003</v>
      </c>
      <c r="N3429">
        <v>0</v>
      </c>
      <c r="O3429">
        <v>9.9265110000000007E-3</v>
      </c>
      <c r="P3429">
        <v>0.98819579999999996</v>
      </c>
      <c r="Q3429">
        <v>0.15267709999999901</v>
      </c>
      <c r="R3429">
        <v>-1.26071E-2</v>
      </c>
      <c r="S3429">
        <v>3.148682</v>
      </c>
      <c r="T3429">
        <v>-0.77788310000000005</v>
      </c>
      <c r="U3429">
        <v>-0.55043030000000004</v>
      </c>
      <c r="V3429">
        <v>2.2396329999999999E-2</v>
      </c>
      <c r="W3429">
        <v>0.16718269999999999</v>
      </c>
      <c r="X3429">
        <v>0.98567150000000003</v>
      </c>
      <c r="Y3429">
        <v>0.17652799999999999</v>
      </c>
      <c r="Z3429">
        <v>-2.3727350000000001E-2</v>
      </c>
      <c r="AA3429">
        <v>0.98400960000000004</v>
      </c>
      <c r="AB3429">
        <v>35</v>
      </c>
      <c r="AC3429">
        <v>0.48459999999999998</v>
      </c>
      <c r="AD3429">
        <v>-0.209897899999999</v>
      </c>
      <c r="AE3429">
        <v>-0.15229999999999599</v>
      </c>
      <c r="AF3429">
        <v>0.13419124127250801</v>
      </c>
      <c r="AG3429">
        <v>-0.209897899999999</v>
      </c>
      <c r="AH3429">
        <v>0.41261345835081098</v>
      </c>
      <c r="AI3429">
        <v>115.81596367452499</v>
      </c>
      <c r="AJ3429">
        <v>71.984301100157595</v>
      </c>
      <c r="AK3429">
        <v>0.48198992071503199</v>
      </c>
      <c r="AL3429">
        <v>80.375944298465896</v>
      </c>
      <c r="AM3429">
        <v>88.698354959898296</v>
      </c>
      <c r="AN3429">
        <v>0.99999997834450405</v>
      </c>
    </row>
    <row r="3430" spans="1:40" x14ac:dyDescent="0.25">
      <c r="A3430" t="str">
        <f>"20190312172437455"</f>
        <v>20190312172437455</v>
      </c>
      <c r="B3430" t="str">
        <f>"1552382677443554"</f>
        <v>1552382677443554</v>
      </c>
      <c r="C3430" t="s">
        <v>40</v>
      </c>
      <c r="D3430">
        <v>4.2607910000000002</v>
      </c>
      <c r="E3430">
        <v>0.56523610000000002</v>
      </c>
      <c r="F3430" t="s">
        <v>41</v>
      </c>
      <c r="G3430">
        <v>-363.55250000000001</v>
      </c>
      <c r="H3430">
        <v>0.91248059999999998</v>
      </c>
      <c r="I3430">
        <v>213.6567</v>
      </c>
      <c r="J3430">
        <v>-364.00639999999999</v>
      </c>
      <c r="K3430">
        <v>1.110401</v>
      </c>
      <c r="L3430">
        <v>213.7998</v>
      </c>
      <c r="M3430">
        <v>0.99984229999999996</v>
      </c>
      <c r="N3430">
        <v>0</v>
      </c>
      <c r="O3430">
        <v>9.9926349999999997E-3</v>
      </c>
      <c r="P3430">
        <v>0.98819360000000001</v>
      </c>
      <c r="Q3430">
        <v>0.15273339999999999</v>
      </c>
      <c r="R3430">
        <v>-1.20973E-2</v>
      </c>
      <c r="S3430">
        <v>3.148682</v>
      </c>
      <c r="T3430">
        <v>-0.77547189999999999</v>
      </c>
      <c r="U3430">
        <v>-0.54548649999999999</v>
      </c>
      <c r="V3430">
        <v>2.1951999999999999E-2</v>
      </c>
      <c r="W3430">
        <v>0.16723540000000001</v>
      </c>
      <c r="X3430">
        <v>0.98567260000000001</v>
      </c>
      <c r="Y3430">
        <v>0.1751625</v>
      </c>
      <c r="Z3430">
        <v>-2.3510349999999999E-2</v>
      </c>
      <c r="AA3430">
        <v>0.98425879999999999</v>
      </c>
      <c r="AB3430">
        <v>35</v>
      </c>
      <c r="AC3430">
        <v>0.45389999999997599</v>
      </c>
      <c r="AD3430">
        <v>-0.197920399999999</v>
      </c>
      <c r="AE3430">
        <v>-0.143100000000004</v>
      </c>
      <c r="AF3430">
        <v>0.12586184770471501</v>
      </c>
      <c r="AG3430">
        <v>-0.197920399999999</v>
      </c>
      <c r="AH3430">
        <v>0.385736168544837</v>
      </c>
      <c r="AI3430">
        <v>116.002575863619</v>
      </c>
      <c r="AJ3430">
        <v>71.929014193497395</v>
      </c>
      <c r="AK3430">
        <v>0.45144886882952301</v>
      </c>
      <c r="AL3430">
        <v>80.372882116686498</v>
      </c>
      <c r="AM3430">
        <v>88.724171632610606</v>
      </c>
      <c r="AN3430">
        <v>1.00000002185395</v>
      </c>
    </row>
    <row r="3431" spans="1:40" x14ac:dyDescent="0.25">
      <c r="A3431" t="str">
        <f>"20190312172437476"</f>
        <v>20190312172437476</v>
      </c>
      <c r="B3431" t="str">
        <f>"1552382677473810"</f>
        <v>1552382677473810</v>
      </c>
      <c r="C3431" t="s">
        <v>40</v>
      </c>
      <c r="D3431">
        <v>3.7994189999999999</v>
      </c>
      <c r="E3431">
        <v>0.56537819999999905</v>
      </c>
      <c r="F3431" t="s">
        <v>41</v>
      </c>
      <c r="G3431">
        <v>-363.23520000000002</v>
      </c>
      <c r="H3431">
        <v>0.92062219999999995</v>
      </c>
      <c r="I3431">
        <v>213.6671</v>
      </c>
      <c r="J3431">
        <v>-363.66609999999997</v>
      </c>
      <c r="K3431">
        <v>1.110406</v>
      </c>
      <c r="L3431">
        <v>213.80330000000001</v>
      </c>
      <c r="M3431">
        <v>0.9998416</v>
      </c>
      <c r="N3431">
        <v>0</v>
      </c>
      <c r="O3431">
        <v>1.0056910000000001E-2</v>
      </c>
      <c r="P3431">
        <v>0.98820129999999995</v>
      </c>
      <c r="Q3431">
        <v>0.15273680000000001</v>
      </c>
      <c r="R3431">
        <v>-1.140014E-2</v>
      </c>
      <c r="S3431">
        <v>3.148987</v>
      </c>
      <c r="T3431">
        <v>-0.77497169999999904</v>
      </c>
      <c r="U3431">
        <v>-0.54229740000000004</v>
      </c>
      <c r="V3431">
        <v>2.1318500000000001E-2</v>
      </c>
      <c r="W3431">
        <v>0.167235299999999</v>
      </c>
      <c r="X3431">
        <v>0.98568650000000002</v>
      </c>
      <c r="Y3431">
        <v>0.17427229999999999</v>
      </c>
      <c r="Z3431">
        <v>-2.3403670000000001E-2</v>
      </c>
      <c r="AA3431">
        <v>0.9844193</v>
      </c>
      <c r="AB3431">
        <v>35</v>
      </c>
      <c r="AC3431">
        <v>0.43089999999995099</v>
      </c>
      <c r="AD3431">
        <v>-0.1897838</v>
      </c>
      <c r="AE3431">
        <v>-0.13620000000000199</v>
      </c>
      <c r="AF3431">
        <v>0.119458903709833</v>
      </c>
      <c r="AG3431">
        <v>-0.1897838</v>
      </c>
      <c r="AH3431">
        <v>0.36511527733987298</v>
      </c>
      <c r="AI3431">
        <v>116.290368965922</v>
      </c>
      <c r="AJ3431">
        <v>71.882869697684797</v>
      </c>
      <c r="AK3431">
        <v>0.42848277230825499</v>
      </c>
      <c r="AL3431">
        <v>80.372887717125593</v>
      </c>
      <c r="AM3431">
        <v>88.760995840554003</v>
      </c>
      <c r="AN3431">
        <v>1.00000000014529</v>
      </c>
    </row>
    <row r="3432" spans="1:40" x14ac:dyDescent="0.25">
      <c r="A3432" t="str">
        <f>"20190312172437500"</f>
        <v>20190312172437500</v>
      </c>
      <c r="B3432" t="str">
        <f>"1552382677493331"</f>
        <v>1552382677493331</v>
      </c>
      <c r="C3432" t="s">
        <v>40</v>
      </c>
      <c r="D3432">
        <v>3.963371</v>
      </c>
      <c r="E3432">
        <v>0.56528149999999999</v>
      </c>
      <c r="F3432" t="s">
        <v>41</v>
      </c>
      <c r="G3432">
        <v>-362.91930000000002</v>
      </c>
      <c r="H3432">
        <v>0.92618</v>
      </c>
      <c r="I3432">
        <v>213.6747</v>
      </c>
      <c r="J3432">
        <v>-363.31369999999998</v>
      </c>
      <c r="K3432">
        <v>1.1103989999999999</v>
      </c>
      <c r="L3432">
        <v>213.80690000000001</v>
      </c>
      <c r="M3432">
        <v>0.99984099999999998</v>
      </c>
      <c r="N3432">
        <v>0</v>
      </c>
      <c r="O3432">
        <v>1.0122849999999999E-2</v>
      </c>
      <c r="P3432">
        <v>0.98816110000000001</v>
      </c>
      <c r="Q3432">
        <v>0.15299989999999999</v>
      </c>
      <c r="R3432">
        <v>-1.135628E-2</v>
      </c>
      <c r="S3432">
        <v>3.1496580000000001</v>
      </c>
      <c r="T3432">
        <v>-0.77693029999999996</v>
      </c>
      <c r="U3432">
        <v>-0.54153439999999997</v>
      </c>
      <c r="V3432">
        <v>2.133941E-2</v>
      </c>
      <c r="W3432">
        <v>0.167493899999999</v>
      </c>
      <c r="X3432">
        <v>0.98564209999999997</v>
      </c>
      <c r="Y3432">
        <v>0.17405039999999999</v>
      </c>
      <c r="Z3432">
        <v>-2.3445939999999998E-2</v>
      </c>
      <c r="AA3432">
        <v>0.98445760000000004</v>
      </c>
      <c r="AB3432">
        <v>35</v>
      </c>
      <c r="AC3432">
        <v>0.394399999999961</v>
      </c>
      <c r="AD3432">
        <v>-0.18421899999999999</v>
      </c>
      <c r="AE3432">
        <v>-0.132200000000011</v>
      </c>
      <c r="AF3432">
        <v>0.113855266474711</v>
      </c>
      <c r="AG3432">
        <v>-0.18421899999999999</v>
      </c>
      <c r="AH3432">
        <v>0.32859323562861298</v>
      </c>
      <c r="AI3432">
        <v>117.91157044792899</v>
      </c>
      <c r="AJ3432">
        <v>70.889155361936901</v>
      </c>
      <c r="AK3432">
        <v>0.393539294309868</v>
      </c>
      <c r="AL3432">
        <v>80.357858689847902</v>
      </c>
      <c r="AM3432">
        <v>88.759725106858099</v>
      </c>
      <c r="AN3432">
        <v>0.999999963124383</v>
      </c>
    </row>
    <row r="3433" spans="1:40" x14ac:dyDescent="0.25">
      <c r="A3433" t="str">
        <f>"20190312172437522"</f>
        <v>20190312172437522</v>
      </c>
      <c r="B3433" t="str">
        <f>"1552382677513826"</f>
        <v>1552382677513826</v>
      </c>
      <c r="C3433" t="s">
        <v>40</v>
      </c>
      <c r="D3433">
        <v>3.987838</v>
      </c>
      <c r="E3433">
        <v>0.57023190000000001</v>
      </c>
      <c r="F3433" t="s">
        <v>41</v>
      </c>
      <c r="G3433">
        <v>-362.6019</v>
      </c>
      <c r="H3433">
        <v>0.93517320000000004</v>
      </c>
      <c r="I3433">
        <v>213.68459999999999</v>
      </c>
      <c r="J3433">
        <v>-362.96469999999999</v>
      </c>
      <c r="K3433">
        <v>1.1103989999999999</v>
      </c>
      <c r="L3433">
        <v>213.81049999999999</v>
      </c>
      <c r="M3433">
        <v>0.99984050000000002</v>
      </c>
      <c r="N3433">
        <v>0</v>
      </c>
      <c r="O3433">
        <v>1.018759E-2</v>
      </c>
      <c r="P3433">
        <v>0.98817330000000003</v>
      </c>
      <c r="Q3433">
        <v>0.15296189999999901</v>
      </c>
      <c r="R3433">
        <v>-1.079779E-2</v>
      </c>
      <c r="S3433">
        <v>3.1498110000000001</v>
      </c>
      <c r="T3433">
        <v>-0.77554269999999903</v>
      </c>
      <c r="U3433">
        <v>-0.54074100000000003</v>
      </c>
      <c r="V3433">
        <v>2.0845519999999999E-2</v>
      </c>
      <c r="W3433">
        <v>0.16745209999999999</v>
      </c>
      <c r="X3433">
        <v>0.98565979999999997</v>
      </c>
      <c r="Y3433">
        <v>0.17388709999999999</v>
      </c>
      <c r="Z3433">
        <v>-2.3400589999999999E-2</v>
      </c>
      <c r="AA3433">
        <v>0.98448749999999996</v>
      </c>
      <c r="AB3433">
        <v>35</v>
      </c>
      <c r="AC3433">
        <v>0.36279999999999202</v>
      </c>
      <c r="AD3433">
        <v>-0.17522579999999899</v>
      </c>
      <c r="AE3433">
        <v>-0.12590000000000101</v>
      </c>
      <c r="AF3433">
        <v>0.107258751098251</v>
      </c>
      <c r="AG3433">
        <v>-0.17522579999999899</v>
      </c>
      <c r="AH3433">
        <v>0.29920435296742198</v>
      </c>
      <c r="AI3433">
        <v>118.86738251886401</v>
      </c>
      <c r="AJ3433">
        <v>70.278262987080794</v>
      </c>
      <c r="AK3433">
        <v>0.36294870919656103</v>
      </c>
      <c r="AL3433">
        <v>80.360288238303994</v>
      </c>
      <c r="AM3433">
        <v>88.788443743279501</v>
      </c>
      <c r="AN3433">
        <v>0.99999999141726004</v>
      </c>
    </row>
    <row r="3434" spans="1:40" x14ac:dyDescent="0.25">
      <c r="A3434" t="str">
        <f>"20190312172437545"</f>
        <v>20190312172437545</v>
      </c>
      <c r="B3434" t="str">
        <f>"1552382677533346"</f>
        <v>1552382677533346</v>
      </c>
      <c r="C3434" t="s">
        <v>40</v>
      </c>
      <c r="D3434">
        <v>3.8094269999999999</v>
      </c>
      <c r="E3434">
        <v>0.56966719999999904</v>
      </c>
      <c r="F3434" t="s">
        <v>41</v>
      </c>
      <c r="G3434">
        <v>-362.00850000000003</v>
      </c>
      <c r="H3434">
        <v>0.85321899999999995</v>
      </c>
      <c r="I3434">
        <v>213.63550000000001</v>
      </c>
      <c r="J3434">
        <v>-362.59899999999999</v>
      </c>
      <c r="K3434">
        <v>1.1104019999999999</v>
      </c>
      <c r="L3434">
        <v>213.8143</v>
      </c>
      <c r="M3434">
        <v>0.99983979999999995</v>
      </c>
      <c r="N3434">
        <v>0</v>
      </c>
      <c r="O3434">
        <v>1.0255749999999999E-2</v>
      </c>
      <c r="P3434">
        <v>0.98816910000000002</v>
      </c>
      <c r="Q3434">
        <v>0.15298819999999999</v>
      </c>
      <c r="R3434">
        <v>-1.080853E-2</v>
      </c>
      <c r="S3434">
        <v>3.1611940000000001</v>
      </c>
      <c r="T3434">
        <v>-0.85029469999999996</v>
      </c>
      <c r="U3434">
        <v>-0.57836909999999997</v>
      </c>
      <c r="V3434">
        <v>2.0923580000000001E-2</v>
      </c>
      <c r="W3434">
        <v>0.1674727</v>
      </c>
      <c r="X3434">
        <v>0.98565469999999999</v>
      </c>
      <c r="Y3434">
        <v>0.18338499999999999</v>
      </c>
      <c r="Z3434">
        <v>-2.6733360000000001E-2</v>
      </c>
      <c r="AA3434">
        <v>0.98267760000000004</v>
      </c>
      <c r="AB3434">
        <v>35</v>
      </c>
      <c r="AC3434">
        <v>0.59049999999996305</v>
      </c>
      <c r="AD3434">
        <v>-0.25718299999999999</v>
      </c>
      <c r="AE3434">
        <v>-0.17879999999999499</v>
      </c>
      <c r="AF3434">
        <v>0.157483134664157</v>
      </c>
      <c r="AG3434">
        <v>-0.25718299999999999</v>
      </c>
      <c r="AH3434">
        <v>0.50149557853448401</v>
      </c>
      <c r="AI3434">
        <v>116.071335586405</v>
      </c>
      <c r="AJ3434">
        <v>72.566305069067297</v>
      </c>
      <c r="AK3434">
        <v>0.58518531123250705</v>
      </c>
      <c r="AL3434">
        <v>80.359091555968703</v>
      </c>
      <c r="AM3434">
        <v>88.783901910731402</v>
      </c>
      <c r="AN3434">
        <v>1.0000000445386901</v>
      </c>
    </row>
    <row r="3435" spans="1:40" x14ac:dyDescent="0.25">
      <c r="A3435" t="str">
        <f>"20190312172437567"</f>
        <v>20190312172437567</v>
      </c>
      <c r="B3435" t="str">
        <f>"1552382677563604"</f>
        <v>1552382677563604</v>
      </c>
      <c r="C3435" t="s">
        <v>40</v>
      </c>
      <c r="D3435">
        <v>3.7934399999999999</v>
      </c>
      <c r="E3435">
        <v>0.56928429999999997</v>
      </c>
      <c r="F3435" t="s">
        <v>41</v>
      </c>
      <c r="G3435">
        <v>-361.68810000000002</v>
      </c>
      <c r="H3435">
        <v>0.87316349999999998</v>
      </c>
      <c r="I3435">
        <v>213.64840000000001</v>
      </c>
      <c r="J3435">
        <v>-362.25599999999997</v>
      </c>
      <c r="K3435">
        <v>1.1104039999999999</v>
      </c>
      <c r="L3435">
        <v>213.81790000000001</v>
      </c>
      <c r="M3435">
        <v>0.99983920000000004</v>
      </c>
      <c r="N3435">
        <v>0</v>
      </c>
      <c r="O3435">
        <v>1.031897E-2</v>
      </c>
      <c r="P3435">
        <v>0.98805330000000002</v>
      </c>
      <c r="Q3435">
        <v>0.15376029999999999</v>
      </c>
      <c r="R3435">
        <v>-1.0425230000000001E-2</v>
      </c>
      <c r="S3435">
        <v>3.1569210000000001</v>
      </c>
      <c r="T3435">
        <v>-0.82220509999999902</v>
      </c>
      <c r="U3435">
        <v>-0.57441709999999901</v>
      </c>
      <c r="V3435">
        <v>2.0601769999999998E-2</v>
      </c>
      <c r="W3435">
        <v>0.1682362</v>
      </c>
      <c r="X3435">
        <v>0.98553139999999995</v>
      </c>
      <c r="Y3435">
        <v>0.18291360000000001</v>
      </c>
      <c r="Z3435">
        <v>-2.5870730000000002E-2</v>
      </c>
      <c r="AA3435">
        <v>0.98278860000000001</v>
      </c>
      <c r="AB3435">
        <v>35</v>
      </c>
      <c r="AC3435">
        <v>0.567899999999951</v>
      </c>
      <c r="AD3435">
        <v>-0.23724049999999999</v>
      </c>
      <c r="AE3435">
        <v>-0.16949999999999901</v>
      </c>
      <c r="AF3435">
        <v>0.151133936715551</v>
      </c>
      <c r="AG3435">
        <v>-0.23724049999999999</v>
      </c>
      <c r="AH3435">
        <v>0.48793366412716299</v>
      </c>
      <c r="AI3435">
        <v>114.912288849362</v>
      </c>
      <c r="AJ3435">
        <v>72.790009529689499</v>
      </c>
      <c r="AK3435">
        <v>0.56320847139931096</v>
      </c>
      <c r="AL3435">
        <v>80.314716155139806</v>
      </c>
      <c r="AM3435">
        <v>88.802450558446097</v>
      </c>
      <c r="AN3435">
        <v>0.99999999615176605</v>
      </c>
    </row>
    <row r="3436" spans="1:40" x14ac:dyDescent="0.25">
      <c r="A3436" t="str">
        <f>"20190312172437595"</f>
        <v>20190312172437595</v>
      </c>
      <c r="B3436" t="str">
        <f>"1552382677584099"</f>
        <v>1552382677584099</v>
      </c>
      <c r="C3436" t="s">
        <v>40</v>
      </c>
      <c r="D3436">
        <v>3.8002379999999998</v>
      </c>
      <c r="E3436">
        <v>0.56914960000000003</v>
      </c>
      <c r="F3436" t="s">
        <v>41</v>
      </c>
      <c r="G3436">
        <v>-361.37139999999999</v>
      </c>
      <c r="H3436">
        <v>0.8848184</v>
      </c>
      <c r="I3436">
        <v>213.65790000000001</v>
      </c>
      <c r="J3436">
        <v>-361.80970000000002</v>
      </c>
      <c r="K3436">
        <v>1.1104050000000001</v>
      </c>
      <c r="L3436">
        <v>213.82259999999999</v>
      </c>
      <c r="M3436">
        <v>0.99983849999999996</v>
      </c>
      <c r="N3436">
        <v>0</v>
      </c>
      <c r="O3436">
        <v>1.0401250000000001E-2</v>
      </c>
      <c r="P3436">
        <v>0.98801850000000002</v>
      </c>
      <c r="Q3436">
        <v>0.1539953</v>
      </c>
      <c r="R3436">
        <v>-1.024508E-2</v>
      </c>
      <c r="S3436">
        <v>3.1554869999999999</v>
      </c>
      <c r="T3436">
        <v>-0.80466409999999999</v>
      </c>
      <c r="U3436">
        <v>-0.57046509999999995</v>
      </c>
      <c r="V3436">
        <v>2.0502719999999999E-2</v>
      </c>
      <c r="W3436">
        <v>0.168458</v>
      </c>
      <c r="X3436">
        <v>0.98549560000000003</v>
      </c>
      <c r="Y3436">
        <v>0.18215519999999999</v>
      </c>
      <c r="Z3436">
        <v>-2.527542E-2</v>
      </c>
      <c r="AA3436">
        <v>0.98294490000000001</v>
      </c>
      <c r="AB3436">
        <v>35</v>
      </c>
      <c r="AC3436">
        <v>0.438300000000026</v>
      </c>
      <c r="AD3436">
        <v>-0.225586599999999</v>
      </c>
      <c r="AE3436">
        <v>-0.164699999999982</v>
      </c>
      <c r="AF3436">
        <v>0.13736474372544399</v>
      </c>
      <c r="AG3436">
        <v>-0.225586599999999</v>
      </c>
      <c r="AH3436">
        <v>0.354317332999181</v>
      </c>
      <c r="AI3436">
        <v>120.69458426403099</v>
      </c>
      <c r="AJ3436">
        <v>68.809262481169597</v>
      </c>
      <c r="AK3436">
        <v>0.441926644797493</v>
      </c>
      <c r="AL3436">
        <v>80.301824169166096</v>
      </c>
      <c r="AM3436">
        <v>88.808163237438393</v>
      </c>
      <c r="AN3436">
        <v>1.0000000184553699</v>
      </c>
    </row>
    <row r="3437" spans="1:40" x14ac:dyDescent="0.25">
      <c r="A3437" t="str">
        <f>"20190312172437612"</f>
        <v>20190312172437612</v>
      </c>
      <c r="B3437" t="str">
        <f>"1552382677603619"</f>
        <v>1552382677603619</v>
      </c>
      <c r="C3437" t="s">
        <v>40</v>
      </c>
      <c r="D3437">
        <v>3.8012269999999999</v>
      </c>
      <c r="E3437">
        <v>0.56892410000000004</v>
      </c>
      <c r="F3437" t="s">
        <v>41</v>
      </c>
      <c r="G3437">
        <v>-361.0471</v>
      </c>
      <c r="H3437">
        <v>0.91721180000000002</v>
      </c>
      <c r="I3437">
        <v>213.6848</v>
      </c>
      <c r="J3437">
        <v>-361.54849999999999</v>
      </c>
      <c r="K3437">
        <v>1.110403</v>
      </c>
      <c r="L3437">
        <v>213.8254</v>
      </c>
      <c r="M3437">
        <v>0.99983820000000001</v>
      </c>
      <c r="N3437">
        <v>0</v>
      </c>
      <c r="O3437">
        <v>1.0449119999999999E-2</v>
      </c>
      <c r="P3437">
        <v>0.98797040000000003</v>
      </c>
      <c r="Q3437">
        <v>0.1543301</v>
      </c>
      <c r="R3437">
        <v>-9.8603370000000003E-3</v>
      </c>
      <c r="S3437">
        <v>3.1551209999999998</v>
      </c>
      <c r="T3437">
        <v>-0.79941680000000004</v>
      </c>
      <c r="U3437">
        <v>-0.56890869999999905</v>
      </c>
      <c r="V3437">
        <v>2.0164660000000001E-2</v>
      </c>
      <c r="W3437">
        <v>0.1687814</v>
      </c>
      <c r="X3437">
        <v>0.98544719999999997</v>
      </c>
      <c r="Y3437">
        <v>0.18183550000000001</v>
      </c>
      <c r="Z3437">
        <v>-2.5091639999999998E-2</v>
      </c>
      <c r="AA3437">
        <v>0.98300880000000002</v>
      </c>
      <c r="AB3437">
        <v>35</v>
      </c>
      <c r="AC3437">
        <v>0.50139999999998897</v>
      </c>
      <c r="AD3437">
        <v>-0.19319120000000001</v>
      </c>
      <c r="AE3437">
        <v>-0.140600000000006</v>
      </c>
      <c r="AF3437">
        <v>0.12818867661675401</v>
      </c>
      <c r="AG3437">
        <v>-0.19319120000000001</v>
      </c>
      <c r="AH3437">
        <v>0.43942284680064297</v>
      </c>
      <c r="AI3437">
        <v>112.882447963197</v>
      </c>
      <c r="AJ3437">
        <v>73.736949840463694</v>
      </c>
      <c r="AK3437">
        <v>0.49683761417647898</v>
      </c>
      <c r="AL3437">
        <v>80.283025155509307</v>
      </c>
      <c r="AM3437">
        <v>88.827751805498593</v>
      </c>
      <c r="AN3437">
        <v>0.99999997924335704</v>
      </c>
    </row>
    <row r="3438" spans="1:40" x14ac:dyDescent="0.25">
      <c r="A3438" t="str">
        <f>"20190312172437634"</f>
        <v>20190312172437634</v>
      </c>
      <c r="B3438" t="str">
        <f>"1552382677624115"</f>
        <v>1552382677624115</v>
      </c>
      <c r="C3438" t="s">
        <v>40</v>
      </c>
      <c r="D3438">
        <v>3.796951</v>
      </c>
      <c r="E3438">
        <v>0.56808749999999997</v>
      </c>
      <c r="F3438" t="s">
        <v>41</v>
      </c>
      <c r="G3438">
        <v>-360.7398</v>
      </c>
      <c r="H3438">
        <v>0.90669489999999997</v>
      </c>
      <c r="I3438">
        <v>213.68010000000001</v>
      </c>
      <c r="J3438">
        <v>-361.20440000000002</v>
      </c>
      <c r="K3438">
        <v>1.1104039999999999</v>
      </c>
      <c r="L3438">
        <v>213.82910000000001</v>
      </c>
      <c r="M3438">
        <v>0.99983789999999995</v>
      </c>
      <c r="N3438">
        <v>0</v>
      </c>
      <c r="O3438">
        <v>1.051148E-2</v>
      </c>
      <c r="P3438">
        <v>0.98792760000000002</v>
      </c>
      <c r="Q3438">
        <v>0.15460090000000001</v>
      </c>
      <c r="R3438">
        <v>-9.8859949999999999E-3</v>
      </c>
      <c r="S3438">
        <v>3.1550289999999999</v>
      </c>
      <c r="T3438">
        <v>-0.79484759999999999</v>
      </c>
      <c r="U3438">
        <v>-0.56617740000000005</v>
      </c>
      <c r="V3438">
        <v>2.02519E-2</v>
      </c>
      <c r="W3438">
        <v>0.16903379999999901</v>
      </c>
      <c r="X3438">
        <v>0.98540220000000001</v>
      </c>
      <c r="Y3438">
        <v>0.18116070000000001</v>
      </c>
      <c r="Z3438">
        <v>-2.4887300000000001E-2</v>
      </c>
      <c r="AA3438">
        <v>0.98313859999999997</v>
      </c>
      <c r="AB3438">
        <v>35</v>
      </c>
      <c r="AC3438">
        <v>0.464600000000018</v>
      </c>
      <c r="AD3438">
        <v>-0.2037091</v>
      </c>
      <c r="AE3438">
        <v>-0.14899999999999999</v>
      </c>
      <c r="AF3438">
        <v>0.13103415937226501</v>
      </c>
      <c r="AG3438">
        <v>-0.2037091</v>
      </c>
      <c r="AH3438">
        <v>0.39427778311912098</v>
      </c>
      <c r="AI3438">
        <v>116.11854574197299</v>
      </c>
      <c r="AJ3438">
        <v>71.616304441097796</v>
      </c>
      <c r="AK3438">
        <v>0.46273352872526502</v>
      </c>
      <c r="AL3438">
        <v>80.268353390139694</v>
      </c>
      <c r="AM3438">
        <v>88.822627888631899</v>
      </c>
      <c r="AN3438">
        <v>1.0000000303804399</v>
      </c>
    </row>
    <row r="3439" spans="1:40" x14ac:dyDescent="0.25">
      <c r="A3439" t="str">
        <f>"20190312172437655"</f>
        <v>20190312172437655</v>
      </c>
      <c r="B3439" t="str">
        <f>"1552382677643635"</f>
        <v>1552382677643635</v>
      </c>
      <c r="C3439" t="s">
        <v>40</v>
      </c>
      <c r="D3439">
        <v>3.8075570000000001</v>
      </c>
      <c r="E3439">
        <v>0.56806959999999995</v>
      </c>
      <c r="F3439" t="s">
        <v>41</v>
      </c>
      <c r="G3439">
        <v>-360.42540000000002</v>
      </c>
      <c r="H3439">
        <v>0.9156358</v>
      </c>
      <c r="I3439">
        <v>213.69040000000001</v>
      </c>
      <c r="J3439">
        <v>-360.87779999999998</v>
      </c>
      <c r="K3439">
        <v>1.110398</v>
      </c>
      <c r="L3439">
        <v>213.83260000000001</v>
      </c>
      <c r="M3439">
        <v>0.99983759999999999</v>
      </c>
      <c r="N3439">
        <v>0</v>
      </c>
      <c r="O3439">
        <v>1.057028E-2</v>
      </c>
      <c r="P3439">
        <v>0.98787899999999995</v>
      </c>
      <c r="Q3439">
        <v>0.15492739999999999</v>
      </c>
      <c r="R3439">
        <v>-9.6495379999999992E-3</v>
      </c>
      <c r="S3439">
        <v>3.15448</v>
      </c>
      <c r="T3439">
        <v>-0.78865459999999998</v>
      </c>
      <c r="U3439">
        <v>-0.56011959999999905</v>
      </c>
      <c r="V3439">
        <v>2.0073009999999999E-2</v>
      </c>
      <c r="W3439">
        <v>0.169337299999999</v>
      </c>
      <c r="X3439">
        <v>0.9853537</v>
      </c>
      <c r="Y3439">
        <v>0.17954919999999999</v>
      </c>
      <c r="Z3439">
        <v>-2.4524589999999999E-2</v>
      </c>
      <c r="AA3439">
        <v>0.98344330000000002</v>
      </c>
      <c r="AB3439">
        <v>35</v>
      </c>
      <c r="AC3439">
        <v>0.45239999999995401</v>
      </c>
      <c r="AD3439">
        <v>-0.1947622</v>
      </c>
      <c r="AE3439">
        <v>-0.14220000000000199</v>
      </c>
      <c r="AF3439">
        <v>0.12576190997640199</v>
      </c>
      <c r="AG3439">
        <v>-0.1947622</v>
      </c>
      <c r="AH3439">
        <v>0.385797769919143</v>
      </c>
      <c r="AI3439">
        <v>115.639702885101</v>
      </c>
      <c r="AJ3439">
        <v>71.945127418237703</v>
      </c>
      <c r="AK3439">
        <v>0.45009809133602902</v>
      </c>
      <c r="AL3439">
        <v>80.250709283986694</v>
      </c>
      <c r="AM3439">
        <v>88.832967592812906</v>
      </c>
      <c r="AN3439">
        <v>0.99999998050271899</v>
      </c>
    </row>
    <row r="3440" spans="1:40" x14ac:dyDescent="0.25">
      <c r="A3440" t="str">
        <f>"20190312172437680"</f>
        <v>20190312172437680</v>
      </c>
      <c r="B3440" t="str">
        <f>"1552382677673891"</f>
        <v>1552382677673891</v>
      </c>
      <c r="C3440" t="s">
        <v>40</v>
      </c>
      <c r="D3440">
        <v>3.8222740000000002</v>
      </c>
      <c r="E3440">
        <v>0.56842579999999998</v>
      </c>
      <c r="F3440" t="s">
        <v>41</v>
      </c>
      <c r="G3440">
        <v>-360.11290000000002</v>
      </c>
      <c r="H3440">
        <v>0.92012939999999999</v>
      </c>
      <c r="I3440">
        <v>213.6968</v>
      </c>
      <c r="J3440">
        <v>-360.50029999999998</v>
      </c>
      <c r="K3440">
        <v>1.110395</v>
      </c>
      <c r="L3440">
        <v>213.8366</v>
      </c>
      <c r="M3440">
        <v>0.99983730000000004</v>
      </c>
      <c r="N3440">
        <v>0</v>
      </c>
      <c r="O3440">
        <v>1.0638079999999999E-2</v>
      </c>
      <c r="P3440">
        <v>0.98783639999999995</v>
      </c>
      <c r="Q3440">
        <v>0.15519869999999999</v>
      </c>
      <c r="R3440">
        <v>-9.6478870000000008E-3</v>
      </c>
      <c r="S3440">
        <v>3.1543580000000002</v>
      </c>
      <c r="T3440">
        <v>-0.78460280000000004</v>
      </c>
      <c r="U3440">
        <v>-0.55931090000000006</v>
      </c>
      <c r="V3440">
        <v>2.013792E-2</v>
      </c>
      <c r="W3440">
        <v>0.16957800000000001</v>
      </c>
      <c r="X3440">
        <v>0.98531100000000005</v>
      </c>
      <c r="Y3440">
        <v>0.17943589999999901</v>
      </c>
      <c r="Z3440">
        <v>-2.4406379999999998E-2</v>
      </c>
      <c r="AA3440">
        <v>0.98346690000000003</v>
      </c>
      <c r="AB3440">
        <v>35</v>
      </c>
      <c r="AC3440">
        <v>0.387399999999956</v>
      </c>
      <c r="AD3440">
        <v>-0.19026560000000001</v>
      </c>
      <c r="AE3440">
        <v>-0.139800000000008</v>
      </c>
      <c r="AF3440">
        <v>0.11860167692485001</v>
      </c>
      <c r="AG3440">
        <v>-0.19026560000000001</v>
      </c>
      <c r="AH3440">
        <v>0.31801892501030898</v>
      </c>
      <c r="AI3440">
        <v>119.273663635907</v>
      </c>
      <c r="AJ3440">
        <v>69.547550147166703</v>
      </c>
      <c r="AK3440">
        <v>0.38910588915802702</v>
      </c>
      <c r="AL3440">
        <v>80.236716003797099</v>
      </c>
      <c r="AM3440">
        <v>88.829144089699597</v>
      </c>
      <c r="AN3440">
        <v>1.0000000003134599</v>
      </c>
    </row>
    <row r="3441" spans="1:40" x14ac:dyDescent="0.25">
      <c r="A3441" t="str">
        <f>"20190312172437701"</f>
        <v>20190312172437701</v>
      </c>
      <c r="B3441" t="str">
        <f>"1552382677693412"</f>
        <v>1552382677693412</v>
      </c>
      <c r="C3441" t="s">
        <v>40</v>
      </c>
      <c r="D3441">
        <v>3.7899120000000002</v>
      </c>
      <c r="E3441">
        <v>0.56843840000000001</v>
      </c>
      <c r="F3441" t="s">
        <v>41</v>
      </c>
      <c r="G3441">
        <v>-359.79640000000001</v>
      </c>
      <c r="H3441">
        <v>0.93474389999999996</v>
      </c>
      <c r="I3441">
        <v>213.7107</v>
      </c>
      <c r="J3441">
        <v>-360.17419999999998</v>
      </c>
      <c r="K3441">
        <v>1.1103829999999999</v>
      </c>
      <c r="L3441">
        <v>213.84010000000001</v>
      </c>
      <c r="M3441">
        <v>0.99983699999999998</v>
      </c>
      <c r="N3441">
        <v>0</v>
      </c>
      <c r="O3441">
        <v>1.069647E-2</v>
      </c>
      <c r="P3441">
        <v>0.9878112</v>
      </c>
      <c r="Q3441">
        <v>0.15537629999999999</v>
      </c>
      <c r="R3441">
        <v>-9.3586820000000001E-3</v>
      </c>
      <c r="S3441">
        <v>3.1551819999999999</v>
      </c>
      <c r="T3441">
        <v>-0.78744029999999998</v>
      </c>
      <c r="U3441">
        <v>-0.56254579999999998</v>
      </c>
      <c r="V3441">
        <v>1.9906409999999999E-2</v>
      </c>
      <c r="W3441">
        <v>0.1697255</v>
      </c>
      <c r="X3441">
        <v>0.98529029999999995</v>
      </c>
      <c r="Y3441">
        <v>0.1803611</v>
      </c>
      <c r="Z3441">
        <v>-2.4610989999999999E-2</v>
      </c>
      <c r="AA3441">
        <v>0.98329250000000001</v>
      </c>
      <c r="AB3441">
        <v>35</v>
      </c>
      <c r="AC3441">
        <v>0.37779999999997899</v>
      </c>
      <c r="AD3441">
        <v>-0.17563909999999899</v>
      </c>
      <c r="AE3441">
        <v>-0.12940000000000301</v>
      </c>
      <c r="AF3441">
        <v>0.111806436001309</v>
      </c>
      <c r="AG3441">
        <v>-0.17563909999999899</v>
      </c>
      <c r="AH3441">
        <v>0.31538616148222298</v>
      </c>
      <c r="AI3441">
        <v>117.694737664559</v>
      </c>
      <c r="AJ3441">
        <v>70.480253781177794</v>
      </c>
      <c r="AK3441">
        <v>0.377912957484413</v>
      </c>
      <c r="AL3441">
        <v>80.228140494203203</v>
      </c>
      <c r="AM3441">
        <v>88.842576517278403</v>
      </c>
      <c r="AN3441">
        <v>0.99999999289171404</v>
      </c>
    </row>
    <row r="3442" spans="1:40" x14ac:dyDescent="0.25">
      <c r="A3442" t="str">
        <f>"20190312172437724"</f>
        <v>20190312172437724</v>
      </c>
      <c r="B3442" t="str">
        <f>"1552382677713906"</f>
        <v>1552382677713906</v>
      </c>
      <c r="C3442" t="s">
        <v>40</v>
      </c>
      <c r="D3442">
        <v>3.799299</v>
      </c>
      <c r="E3442">
        <v>0.56848160000000003</v>
      </c>
      <c r="F3442" t="s">
        <v>41</v>
      </c>
      <c r="G3442">
        <v>-359.48469999999998</v>
      </c>
      <c r="H3442">
        <v>0.93847740000000002</v>
      </c>
      <c r="I3442">
        <v>213.7175</v>
      </c>
      <c r="J3442">
        <v>-359.81709999999998</v>
      </c>
      <c r="K3442">
        <v>1.110379</v>
      </c>
      <c r="L3442">
        <v>213.84399999999999</v>
      </c>
      <c r="M3442">
        <v>0.99983710000000003</v>
      </c>
      <c r="N3442">
        <v>0</v>
      </c>
      <c r="O3442">
        <v>1.076015E-2</v>
      </c>
      <c r="P3442">
        <v>0.98781200000000002</v>
      </c>
      <c r="Q3442">
        <v>0.155381399999999</v>
      </c>
      <c r="R3442">
        <v>-9.1925949999999996E-3</v>
      </c>
      <c r="S3442">
        <v>3.1554259999999998</v>
      </c>
      <c r="T3442">
        <v>-0.78673879999999996</v>
      </c>
      <c r="U3442">
        <v>-0.56111149999999999</v>
      </c>
      <c r="V3442">
        <v>1.9803359999999999E-2</v>
      </c>
      <c r="W3442">
        <v>0.16969219999999999</v>
      </c>
      <c r="X3442">
        <v>0.98529820000000001</v>
      </c>
      <c r="Y3442">
        <v>0.1799965</v>
      </c>
      <c r="Z3442">
        <v>-2.4559910000000001E-2</v>
      </c>
      <c r="AA3442">
        <v>0.98336060000000003</v>
      </c>
      <c r="AB3442">
        <v>35</v>
      </c>
      <c r="AC3442">
        <v>0.33240000000000602</v>
      </c>
      <c r="AD3442">
        <v>-0.17190159999999999</v>
      </c>
      <c r="AE3442">
        <v>-0.12650000000002101</v>
      </c>
      <c r="AF3442">
        <v>0.105438042115144</v>
      </c>
      <c r="AG3442">
        <v>-0.17190159999999999</v>
      </c>
      <c r="AH3442">
        <v>0.26833333353197097</v>
      </c>
      <c r="AI3442">
        <v>120.805444738948</v>
      </c>
      <c r="AJ3442">
        <v>68.548309848603296</v>
      </c>
      <c r="AK3442">
        <v>0.33566369879987701</v>
      </c>
      <c r="AL3442">
        <v>80.230077380426096</v>
      </c>
      <c r="AM3442">
        <v>88.848575792058398</v>
      </c>
      <c r="AN3442">
        <v>1.00000007936568</v>
      </c>
    </row>
    <row r="3443" spans="1:40" x14ac:dyDescent="0.25">
      <c r="A3443" t="str">
        <f>"20190312172437746"</f>
        <v>20190312172437746</v>
      </c>
      <c r="B3443" t="str">
        <f>"1552382677733426"</f>
        <v>1552382677733426</v>
      </c>
      <c r="C3443" t="s">
        <v>40</v>
      </c>
      <c r="D3443">
        <v>3.7846329999999999</v>
      </c>
      <c r="E3443">
        <v>0.5685036</v>
      </c>
      <c r="F3443" t="s">
        <v>41</v>
      </c>
      <c r="G3443">
        <v>-358.88869999999997</v>
      </c>
      <c r="H3443">
        <v>0.87914559999999997</v>
      </c>
      <c r="I3443">
        <v>213.67850000000001</v>
      </c>
      <c r="J3443">
        <v>-359.4803</v>
      </c>
      <c r="K3443">
        <v>1.1103780000000001</v>
      </c>
      <c r="L3443">
        <v>213.8477</v>
      </c>
      <c r="M3443">
        <v>0.99983690000000003</v>
      </c>
      <c r="N3443">
        <v>0</v>
      </c>
      <c r="O3443">
        <v>1.082027E-2</v>
      </c>
      <c r="P3443">
        <v>0.98776189999999997</v>
      </c>
      <c r="Q3443">
        <v>0.1557229</v>
      </c>
      <c r="R3443">
        <v>-8.7734419999999994E-3</v>
      </c>
      <c r="S3443">
        <v>3.1554570000000002</v>
      </c>
      <c r="T3443">
        <v>-0.78591</v>
      </c>
      <c r="U3443">
        <v>-0.56147769999999997</v>
      </c>
      <c r="V3443">
        <v>1.9443390000000001E-2</v>
      </c>
      <c r="W3443">
        <v>0.1699957</v>
      </c>
      <c r="X3443">
        <v>0.98525300000000005</v>
      </c>
      <c r="Y3443">
        <v>0.18016969999999999</v>
      </c>
      <c r="Z3443">
        <v>-2.4570040000000001E-2</v>
      </c>
      <c r="AA3443">
        <v>0.9833286</v>
      </c>
      <c r="AB3443">
        <v>35</v>
      </c>
      <c r="AC3443">
        <v>0.59160000000002799</v>
      </c>
      <c r="AD3443">
        <v>-0.2312324</v>
      </c>
      <c r="AE3443">
        <v>-0.169199999999989</v>
      </c>
      <c r="AF3443">
        <v>0.15386350334875101</v>
      </c>
      <c r="AG3443">
        <v>-0.2312324</v>
      </c>
      <c r="AH3443">
        <v>0.51675805312852197</v>
      </c>
      <c r="AI3443">
        <v>113.212606181398</v>
      </c>
      <c r="AJ3443">
        <v>73.419222914358699</v>
      </c>
      <c r="AK3443">
        <v>0.58666965657488401</v>
      </c>
      <c r="AL3443">
        <v>80.212431238064596</v>
      </c>
      <c r="AM3443">
        <v>88.869448149469306</v>
      </c>
      <c r="AN3443">
        <v>1.00000002872109</v>
      </c>
    </row>
    <row r="3444" spans="1:40" x14ac:dyDescent="0.25">
      <c r="A3444" t="str">
        <f>"20190312172437768"</f>
        <v>20190312172437768</v>
      </c>
      <c r="B3444" t="str">
        <f>"1552382677763683"</f>
        <v>1552382677763683</v>
      </c>
      <c r="C3444" t="s">
        <v>40</v>
      </c>
      <c r="D3444">
        <v>3.8169390000000001</v>
      </c>
      <c r="E3444">
        <v>0.56879599999999997</v>
      </c>
      <c r="F3444" t="s">
        <v>41</v>
      </c>
      <c r="G3444">
        <v>-358.57679999999999</v>
      </c>
      <c r="H3444">
        <v>0.88583239999999996</v>
      </c>
      <c r="I3444">
        <v>213.68719999999999</v>
      </c>
      <c r="J3444">
        <v>-359.13529999999997</v>
      </c>
      <c r="K3444">
        <v>1.110379</v>
      </c>
      <c r="L3444">
        <v>213.85149999999999</v>
      </c>
      <c r="M3444">
        <v>0.99983679999999997</v>
      </c>
      <c r="N3444">
        <v>0</v>
      </c>
      <c r="O3444">
        <v>1.0881750000000001E-2</v>
      </c>
      <c r="P3444">
        <v>0.98767439999999995</v>
      </c>
      <c r="Q3444">
        <v>0.1562634</v>
      </c>
      <c r="R3444">
        <v>-9.0408390000000002E-3</v>
      </c>
      <c r="S3444">
        <v>3.155853</v>
      </c>
      <c r="T3444">
        <v>-0.78440859999999901</v>
      </c>
      <c r="U3444">
        <v>-0.55943299999999996</v>
      </c>
      <c r="V3444">
        <v>1.977025E-2</v>
      </c>
      <c r="W3444">
        <v>0.1704966</v>
      </c>
      <c r="X3444">
        <v>0.98515989999999998</v>
      </c>
      <c r="Y3444">
        <v>0.17962719999999999</v>
      </c>
      <c r="Z3444">
        <v>-2.447187E-2</v>
      </c>
      <c r="AA3444">
        <v>0.98343029999999998</v>
      </c>
      <c r="AB3444">
        <v>35</v>
      </c>
      <c r="AC3444">
        <v>0.55849999999998001</v>
      </c>
      <c r="AD3444">
        <v>-0.22454659999999901</v>
      </c>
      <c r="AE3444">
        <v>-0.164299999999997</v>
      </c>
      <c r="AF3444">
        <v>0.14830481876041801</v>
      </c>
      <c r="AG3444">
        <v>-0.22454659999999901</v>
      </c>
      <c r="AH3444">
        <v>0.48458621578677102</v>
      </c>
      <c r="AI3444">
        <v>113.897736365646</v>
      </c>
      <c r="AJ3444">
        <v>72.983571726870693</v>
      </c>
      <c r="AK3444">
        <v>0.55429170602640598</v>
      </c>
      <c r="AL3444">
        <v>80.183306234532097</v>
      </c>
      <c r="AM3444">
        <v>88.850339058306503</v>
      </c>
      <c r="AN3444">
        <v>0.99999999098231596</v>
      </c>
    </row>
    <row r="3445" spans="1:40" x14ac:dyDescent="0.25">
      <c r="A3445" t="str">
        <f>"20190312172437791"</f>
        <v>20190312172437791</v>
      </c>
      <c r="B3445" t="str">
        <f>"1552382677784179"</f>
        <v>1552382677784179</v>
      </c>
      <c r="C3445" t="s">
        <v>40</v>
      </c>
      <c r="D3445">
        <v>3.8061159999999998</v>
      </c>
      <c r="E3445">
        <v>0.5688145</v>
      </c>
      <c r="F3445" t="s">
        <v>41</v>
      </c>
      <c r="G3445">
        <v>-358.26459999999997</v>
      </c>
      <c r="H3445">
        <v>0.89410469999999898</v>
      </c>
      <c r="I3445">
        <v>213.69640000000001</v>
      </c>
      <c r="J3445">
        <v>-358.7876</v>
      </c>
      <c r="K3445">
        <v>1.110374</v>
      </c>
      <c r="L3445">
        <v>213.8553</v>
      </c>
      <c r="M3445">
        <v>0.99983679999999997</v>
      </c>
      <c r="N3445">
        <v>0</v>
      </c>
      <c r="O3445">
        <v>1.0943909999999999E-2</v>
      </c>
      <c r="P3445">
        <v>0.98761810000000005</v>
      </c>
      <c r="Q3445">
        <v>0.15661610000000001</v>
      </c>
      <c r="R3445">
        <v>-9.0707749999999997E-3</v>
      </c>
      <c r="S3445">
        <v>3.156342</v>
      </c>
      <c r="T3445">
        <v>-0.78407119999999997</v>
      </c>
      <c r="U3445">
        <v>-0.56198119999999996</v>
      </c>
      <c r="V3445">
        <v>1.9861259999999999E-2</v>
      </c>
      <c r="W3445">
        <v>0.1708076</v>
      </c>
      <c r="X3445">
        <v>0.98510419999999999</v>
      </c>
      <c r="Y3445">
        <v>0.18041409999999999</v>
      </c>
      <c r="Z3445">
        <v>-2.456705E-2</v>
      </c>
      <c r="AA3445">
        <v>0.98328389999999999</v>
      </c>
      <c r="AB3445">
        <v>35</v>
      </c>
      <c r="AC3445">
        <v>0.523000000000024</v>
      </c>
      <c r="AD3445">
        <v>-0.2162693</v>
      </c>
      <c r="AE3445">
        <v>-0.158899999999988</v>
      </c>
      <c r="AF3445">
        <v>0.14233311708232099</v>
      </c>
      <c r="AG3445">
        <v>-0.2162693</v>
      </c>
      <c r="AH3445">
        <v>0.45067787388760799</v>
      </c>
      <c r="AI3445">
        <v>114.588690349942</v>
      </c>
      <c r="AJ3445">
        <v>72.472837635276704</v>
      </c>
      <c r="AK3445">
        <v>0.51975154867755302</v>
      </c>
      <c r="AL3445">
        <v>80.165222018609398</v>
      </c>
      <c r="AM3445">
        <v>88.844982874933706</v>
      </c>
      <c r="AN3445">
        <v>0.99999999536209305</v>
      </c>
    </row>
    <row r="3446" spans="1:40" x14ac:dyDescent="0.25">
      <c r="A3446" t="str">
        <f>"20190312172437812"</f>
        <v>20190312172437812</v>
      </c>
      <c r="B3446" t="str">
        <f>"1552382677803700"</f>
        <v>1552382677803700</v>
      </c>
      <c r="C3446" t="s">
        <v>40</v>
      </c>
      <c r="D3446">
        <v>3.778041</v>
      </c>
      <c r="E3446">
        <v>0.56885949999999996</v>
      </c>
      <c r="F3446" t="s">
        <v>41</v>
      </c>
      <c r="G3446">
        <v>-357.95229999999998</v>
      </c>
      <c r="H3446">
        <v>0.90322409999999997</v>
      </c>
      <c r="I3446">
        <v>213.70660000000001</v>
      </c>
      <c r="J3446">
        <v>-358.45139999999998</v>
      </c>
      <c r="K3446">
        <v>1.1103689999999999</v>
      </c>
      <c r="L3446">
        <v>213.85910000000001</v>
      </c>
      <c r="M3446">
        <v>0.99983659999999996</v>
      </c>
      <c r="N3446">
        <v>0</v>
      </c>
      <c r="O3446">
        <v>1.100404E-2</v>
      </c>
      <c r="P3446">
        <v>0.98763420000000002</v>
      </c>
      <c r="Q3446">
        <v>0.15650500000000001</v>
      </c>
      <c r="R3446">
        <v>-9.2251260000000002E-3</v>
      </c>
      <c r="S3446">
        <v>3.1566160000000001</v>
      </c>
      <c r="T3446">
        <v>-0.78293009999999996</v>
      </c>
      <c r="U3446">
        <v>-0.56135559999999995</v>
      </c>
      <c r="V3446">
        <v>2.0075220000000001E-2</v>
      </c>
      <c r="W3446">
        <v>0.1706568</v>
      </c>
      <c r="X3446">
        <v>0.98512599999999995</v>
      </c>
      <c r="Y3446">
        <v>0.18028830000000001</v>
      </c>
      <c r="Z3446">
        <v>-2.4530030000000001E-2</v>
      </c>
      <c r="AA3446">
        <v>0.98330790000000001</v>
      </c>
      <c r="AB3446">
        <v>35</v>
      </c>
      <c r="AC3446">
        <v>0.49909999999999799</v>
      </c>
      <c r="AD3446">
        <v>-0.20714489999999999</v>
      </c>
      <c r="AE3446">
        <v>-0.15250000000000299</v>
      </c>
      <c r="AF3446">
        <v>0.136481248851412</v>
      </c>
      <c r="AG3446">
        <v>-0.20714489999999999</v>
      </c>
      <c r="AH3446">
        <v>0.42969445803572698</v>
      </c>
      <c r="AI3446">
        <v>114.676679196246</v>
      </c>
      <c r="AJ3446">
        <v>72.378905733504695</v>
      </c>
      <c r="AK3446">
        <v>0.49615871266225797</v>
      </c>
      <c r="AL3446">
        <v>80.173990987510606</v>
      </c>
      <c r="AM3446">
        <v>88.832569439806804</v>
      </c>
      <c r="AN3446">
        <v>0.99999999686014396</v>
      </c>
    </row>
    <row r="3447" spans="1:40" x14ac:dyDescent="0.25">
      <c r="A3447" t="str">
        <f>"20190312172437834"</f>
        <v>20190312172437834</v>
      </c>
      <c r="B3447" t="str">
        <f>"1552382677823220"</f>
        <v>1552382677823220</v>
      </c>
      <c r="C3447" t="s">
        <v>40</v>
      </c>
      <c r="D3447">
        <v>3.8000959999999999</v>
      </c>
      <c r="E3447">
        <v>0.56911129999999999</v>
      </c>
      <c r="F3447" t="s">
        <v>41</v>
      </c>
      <c r="G3447">
        <v>-357.64139999999998</v>
      </c>
      <c r="H3447">
        <v>0.90943859999999999</v>
      </c>
      <c r="I3447">
        <v>213.71469999999999</v>
      </c>
      <c r="J3447">
        <v>-358.10079999999999</v>
      </c>
      <c r="K3447">
        <v>1.1103609999999999</v>
      </c>
      <c r="L3447">
        <v>213.863</v>
      </c>
      <c r="M3447">
        <v>0.99983630000000001</v>
      </c>
      <c r="N3447">
        <v>0</v>
      </c>
      <c r="O3447">
        <v>1.1066660000000001E-2</v>
      </c>
      <c r="P3447">
        <v>0.98762289999999997</v>
      </c>
      <c r="Q3447">
        <v>0.1565627</v>
      </c>
      <c r="R3447">
        <v>-9.4279789999999995E-3</v>
      </c>
      <c r="S3447">
        <v>3.1564030000000001</v>
      </c>
      <c r="T3447">
        <v>-0.78307839999999995</v>
      </c>
      <c r="U3447">
        <v>-0.5617065</v>
      </c>
      <c r="V3447">
        <v>2.0339989999999999E-2</v>
      </c>
      <c r="W3447">
        <v>0.1706761</v>
      </c>
      <c r="X3447">
        <v>0.98511729999999997</v>
      </c>
      <c r="Y3447">
        <v>0.1804577</v>
      </c>
      <c r="Z3447">
        <v>-2.4571639999999999E-2</v>
      </c>
      <c r="AA3447">
        <v>0.98327580000000003</v>
      </c>
      <c r="AB3447">
        <v>35</v>
      </c>
      <c r="AC3447">
        <v>0.45940000000001602</v>
      </c>
      <c r="AD3447">
        <v>-0.2009224</v>
      </c>
      <c r="AE3447">
        <v>-0.14830000000000601</v>
      </c>
      <c r="AF3447">
        <v>0.13072919978748601</v>
      </c>
      <c r="AG3447">
        <v>-0.2009224</v>
      </c>
      <c r="AH3447">
        <v>0.39014548063487797</v>
      </c>
      <c r="AI3447">
        <v>116.02669966232899</v>
      </c>
      <c r="AJ3447">
        <v>71.475128199912007</v>
      </c>
      <c r="AK3447">
        <v>0.45790111438896602</v>
      </c>
      <c r="AL3447">
        <v>80.172869445095102</v>
      </c>
      <c r="AM3447">
        <v>88.817166221660898</v>
      </c>
      <c r="AN3447">
        <v>1.0000000705318399</v>
      </c>
    </row>
    <row r="3448" spans="1:40" x14ac:dyDescent="0.25">
      <c r="A3448" t="str">
        <f>"20190312172437871"</f>
        <v>20190312172437871</v>
      </c>
      <c r="B3448" t="str">
        <f>"1552382677863235"</f>
        <v>1552382677863235</v>
      </c>
      <c r="C3448" t="s">
        <v>40</v>
      </c>
      <c r="D3448">
        <v>3.785199</v>
      </c>
      <c r="E3448">
        <v>0.56881919999999897</v>
      </c>
      <c r="F3448" t="s">
        <v>41</v>
      </c>
      <c r="G3448">
        <v>-357.32960000000003</v>
      </c>
      <c r="H3448">
        <v>0.91876820000000003</v>
      </c>
      <c r="I3448">
        <v>213.72460000000001</v>
      </c>
      <c r="J3448">
        <v>-357.57089999999999</v>
      </c>
      <c r="K3448">
        <v>1.110358</v>
      </c>
      <c r="L3448">
        <v>213.869</v>
      </c>
      <c r="M3448">
        <v>0.99983630000000001</v>
      </c>
      <c r="N3448">
        <v>0</v>
      </c>
      <c r="O3448">
        <v>1.1160730000000001E-2</v>
      </c>
      <c r="P3448">
        <v>0.98758259999999998</v>
      </c>
      <c r="Q3448">
        <v>0.156832</v>
      </c>
      <c r="R3448">
        <v>-9.1923990000000004E-3</v>
      </c>
      <c r="S3448">
        <v>3.1565249999999998</v>
      </c>
      <c r="T3448">
        <v>-0.78433379999999997</v>
      </c>
      <c r="U3448">
        <v>-0.56492609999999999</v>
      </c>
      <c r="V3448">
        <v>2.0197030000000001E-2</v>
      </c>
      <c r="W3448">
        <v>0.17089219999999999</v>
      </c>
      <c r="X3448">
        <v>0.98508269999999998</v>
      </c>
      <c r="Y3448">
        <v>0.18146670000000001</v>
      </c>
      <c r="Z3448">
        <v>-2.475231E-2</v>
      </c>
      <c r="AA3448">
        <v>0.98308549999999995</v>
      </c>
      <c r="AB3448">
        <v>35</v>
      </c>
      <c r="AC3448">
        <v>0.24129999999996599</v>
      </c>
      <c r="AD3448">
        <v>-0.1915898</v>
      </c>
      <c r="AE3448">
        <v>-0.14440000000001799</v>
      </c>
      <c r="AF3448">
        <v>0.100454531044495</v>
      </c>
      <c r="AG3448">
        <v>-0.1915898</v>
      </c>
      <c r="AH3448">
        <v>0.163690130847573</v>
      </c>
      <c r="AI3448">
        <v>134.93035006568201</v>
      </c>
      <c r="AJ3448">
        <v>58.463093979208303</v>
      </c>
      <c r="AK3448">
        <v>0.27127886612912699</v>
      </c>
      <c r="AL3448">
        <v>80.160302459566097</v>
      </c>
      <c r="AM3448">
        <v>88.825436211601698</v>
      </c>
      <c r="AN3448">
        <v>0.99999999494047498</v>
      </c>
    </row>
    <row r="3449" spans="1:40" x14ac:dyDescent="0.25">
      <c r="A3449" t="str">
        <f>"20190312172437890"</f>
        <v>20190312172437890</v>
      </c>
      <c r="B3449" t="str">
        <f>"1552382677883731"</f>
        <v>1552382677883731</v>
      </c>
      <c r="C3449" t="s">
        <v>40</v>
      </c>
      <c r="D3449">
        <v>3.8495330000000001</v>
      </c>
      <c r="E3449">
        <v>0.53604560000000001</v>
      </c>
      <c r="F3449" t="s">
        <v>41</v>
      </c>
      <c r="G3449">
        <v>-356.721</v>
      </c>
      <c r="H3449">
        <v>0.90042169999999899</v>
      </c>
      <c r="I3449">
        <v>213.71719999999999</v>
      </c>
      <c r="J3449">
        <v>-357.25740000000002</v>
      </c>
      <c r="K3449">
        <v>1.11036</v>
      </c>
      <c r="L3449">
        <v>213.8725</v>
      </c>
      <c r="M3449">
        <v>0.9998359</v>
      </c>
      <c r="N3449">
        <v>0</v>
      </c>
      <c r="O3449">
        <v>1.1216780000000001E-2</v>
      </c>
      <c r="P3449">
        <v>0.98752759999999995</v>
      </c>
      <c r="Q3449">
        <v>0.157194899999999</v>
      </c>
      <c r="R3449">
        <v>-8.8835990000000007E-3</v>
      </c>
      <c r="S3449">
        <v>3.156342</v>
      </c>
      <c r="T3449">
        <v>-0.77970410000000001</v>
      </c>
      <c r="U3449">
        <v>-0.56237789999999999</v>
      </c>
      <c r="V3449">
        <v>1.9942970000000001E-2</v>
      </c>
      <c r="W3449">
        <v>0.1712272</v>
      </c>
      <c r="X3449">
        <v>0.98502970000000001</v>
      </c>
      <c r="Y3449">
        <v>0.18084339999999999</v>
      </c>
      <c r="Z3449">
        <v>-2.4551659999999999E-2</v>
      </c>
      <c r="AA3449">
        <v>0.98320540000000001</v>
      </c>
      <c r="AB3449">
        <v>34</v>
      </c>
      <c r="AC3449">
        <v>0.53640000000001398</v>
      </c>
      <c r="AD3449">
        <v>-0.20993829999999999</v>
      </c>
      <c r="AE3449">
        <v>-0.15530000000001101</v>
      </c>
      <c r="AF3449">
        <v>0.141332413340161</v>
      </c>
      <c r="AG3449">
        <v>-0.20993829999999999</v>
      </c>
      <c r="AH3449">
        <v>0.46842029555208597</v>
      </c>
      <c r="AI3449">
        <v>113.223117487566</v>
      </c>
      <c r="AJ3449">
        <v>73.210314983285599</v>
      </c>
      <c r="AK3449">
        <v>0.53241573432097999</v>
      </c>
      <c r="AL3449">
        <v>80.140821213362997</v>
      </c>
      <c r="AM3449">
        <v>88.840144692672496</v>
      </c>
      <c r="AN3449">
        <v>0.99999999297717501</v>
      </c>
    </row>
    <row r="3450" spans="1:40" x14ac:dyDescent="0.25">
      <c r="A3450" t="str">
        <f>"20190312172437935"</f>
        <v>20190312172437935</v>
      </c>
      <c r="B3450" t="str">
        <f>"1552382677923747"</f>
        <v>1552382677923747</v>
      </c>
      <c r="C3450" t="s">
        <v>40</v>
      </c>
      <c r="D3450">
        <v>3.8050199999999998</v>
      </c>
      <c r="E3450">
        <v>0.51145450000000003</v>
      </c>
      <c r="F3450" t="s">
        <v>41</v>
      </c>
      <c r="G3450">
        <v>-356.38869999999997</v>
      </c>
      <c r="H3450">
        <v>0.96205949999999996</v>
      </c>
      <c r="I3450">
        <v>213.78819999999999</v>
      </c>
      <c r="J3450">
        <v>-356.56819999999999</v>
      </c>
      <c r="K3450">
        <v>1.110357</v>
      </c>
      <c r="L3450">
        <v>213.88040000000001</v>
      </c>
      <c r="M3450">
        <v>0.99983529999999998</v>
      </c>
      <c r="N3450">
        <v>0</v>
      </c>
      <c r="O3450">
        <v>1.1339689999999999E-2</v>
      </c>
      <c r="P3450">
        <v>0.9875872</v>
      </c>
      <c r="Q3450">
        <v>0.15687679999999901</v>
      </c>
      <c r="R3450">
        <v>-7.8175250000000005E-3</v>
      </c>
      <c r="S3450">
        <v>3.1199949999999999</v>
      </c>
      <c r="T3450">
        <v>-0.53276899999999905</v>
      </c>
      <c r="U3450">
        <v>-0.30207820000000002</v>
      </c>
      <c r="V3450">
        <v>1.899905E-2</v>
      </c>
      <c r="W3450">
        <v>0.17085739999999999</v>
      </c>
      <c r="X3450">
        <v>0.98511249999999995</v>
      </c>
      <c r="Y3450">
        <v>0.10596849999999999</v>
      </c>
      <c r="Z3450">
        <v>-1.0880529999999999E-2</v>
      </c>
      <c r="AA3450">
        <v>0.99431000000000003</v>
      </c>
      <c r="AB3450">
        <v>34</v>
      </c>
      <c r="AC3450">
        <v>0.17950000000001801</v>
      </c>
      <c r="AD3450">
        <v>-0.1482975</v>
      </c>
      <c r="AE3450">
        <v>-9.22000000000196E-2</v>
      </c>
      <c r="AF3450">
        <v>6.1185456182687697E-2</v>
      </c>
      <c r="AG3450">
        <v>-0.1482975</v>
      </c>
      <c r="AH3450">
        <v>0.115866869556125</v>
      </c>
      <c r="AI3450">
        <v>138.537473166794</v>
      </c>
      <c r="AJ3450">
        <v>62.162949637078199</v>
      </c>
      <c r="AK3450">
        <v>0.19789123279031201</v>
      </c>
      <c r="AL3450">
        <v>80.162325433591207</v>
      </c>
      <c r="AM3450">
        <v>88.895120665344507</v>
      </c>
      <c r="AN3450">
        <v>0.99999992634595303</v>
      </c>
    </row>
    <row r="3451" spans="1:40" x14ac:dyDescent="0.25">
      <c r="A3451" t="str">
        <f>"20190312172437958"</f>
        <v>20190312172437958</v>
      </c>
      <c r="B3451" t="str">
        <f>"1552382677943267"</f>
        <v>1552382677943267</v>
      </c>
      <c r="C3451" t="s">
        <v>40</v>
      </c>
      <c r="D3451">
        <v>3.786295</v>
      </c>
      <c r="E3451">
        <v>0.50686009999999904</v>
      </c>
      <c r="F3451" t="s">
        <v>41</v>
      </c>
      <c r="G3451">
        <v>-355.74400000000003</v>
      </c>
      <c r="H3451">
        <v>1.025687</v>
      </c>
      <c r="I3451">
        <v>213.85220000000001</v>
      </c>
      <c r="J3451">
        <v>-356.20870000000002</v>
      </c>
      <c r="K3451">
        <v>1.1103590000000001</v>
      </c>
      <c r="L3451">
        <v>213.88460000000001</v>
      </c>
      <c r="M3451">
        <v>0.99983500000000003</v>
      </c>
      <c r="N3451">
        <v>0</v>
      </c>
      <c r="O3451">
        <v>1.140387E-2</v>
      </c>
      <c r="P3451">
        <v>0.98758159999999895</v>
      </c>
      <c r="Q3451">
        <v>0.15692619999999999</v>
      </c>
      <c r="R3451">
        <v>-7.5608649999999999E-3</v>
      </c>
      <c r="S3451">
        <v>3.087189</v>
      </c>
      <c r="T3451">
        <v>-0.31716860000000002</v>
      </c>
      <c r="U3451">
        <v>-0.1056976</v>
      </c>
      <c r="V3451">
        <v>1.8805720000000001E-2</v>
      </c>
      <c r="W3451">
        <v>0.1708837</v>
      </c>
      <c r="X3451">
        <v>0.98511170000000003</v>
      </c>
      <c r="Y3451">
        <v>4.5315340000000003E-2</v>
      </c>
      <c r="Z3451">
        <v>-3.4893369999999999E-3</v>
      </c>
      <c r="AA3451">
        <v>0.99896660000000004</v>
      </c>
      <c r="AB3451">
        <v>34</v>
      </c>
      <c r="AC3451">
        <v>0.46469999999999301</v>
      </c>
      <c r="AD3451">
        <v>-8.4671999999999997E-2</v>
      </c>
      <c r="AE3451">
        <v>-3.2399999999995502E-2</v>
      </c>
      <c r="AF3451">
        <v>3.6492133681526102E-2</v>
      </c>
      <c r="AG3451">
        <v>-8.4671999999999997E-2</v>
      </c>
      <c r="AH3451">
        <v>0.44945080388858999</v>
      </c>
      <c r="AI3451">
        <v>100.634710461113</v>
      </c>
      <c r="AJ3451">
        <v>85.3581819162127</v>
      </c>
      <c r="AK3451">
        <v>0.45881047124137297</v>
      </c>
      <c r="AL3451">
        <v>80.160796573605595</v>
      </c>
      <c r="AM3451">
        <v>88.906360032908395</v>
      </c>
      <c r="AN3451">
        <v>0.99999997775364902</v>
      </c>
    </row>
    <row r="3452" spans="1:40" x14ac:dyDescent="0.25">
      <c r="A3452" t="str">
        <f>"20190312172437981"</f>
        <v>20190312172437981</v>
      </c>
      <c r="B3452" t="str">
        <f>"1552382677973524"</f>
        <v>1552382677973524</v>
      </c>
      <c r="C3452" t="s">
        <v>40</v>
      </c>
      <c r="D3452">
        <v>3.8038479999999999</v>
      </c>
      <c r="E3452">
        <v>0.50355209999999995</v>
      </c>
      <c r="F3452" t="s">
        <v>41</v>
      </c>
      <c r="G3452">
        <v>-355.4289</v>
      </c>
      <c r="H3452">
        <v>1.041118</v>
      </c>
      <c r="I3452">
        <v>213.86680000000001</v>
      </c>
      <c r="J3452">
        <v>-355.85969999999998</v>
      </c>
      <c r="K3452">
        <v>1.1103609999999999</v>
      </c>
      <c r="L3452">
        <v>213.8886</v>
      </c>
      <c r="M3452">
        <v>0.99983460000000002</v>
      </c>
      <c r="N3452">
        <v>0</v>
      </c>
      <c r="O3452">
        <v>1.1466169999999999E-2</v>
      </c>
      <c r="P3452">
        <v>0.98750470000000001</v>
      </c>
      <c r="Q3452">
        <v>0.15743009999999999</v>
      </c>
      <c r="R3452">
        <v>-7.1052989999999998E-3</v>
      </c>
      <c r="S3452">
        <v>3.0806879999999999</v>
      </c>
      <c r="T3452">
        <v>-0.27368569999999998</v>
      </c>
      <c r="U3452">
        <v>-6.8939210000000001E-2</v>
      </c>
      <c r="V3452">
        <v>1.8410869999999999E-2</v>
      </c>
      <c r="W3452">
        <v>0.1713672</v>
      </c>
      <c r="X3452">
        <v>0.9850352</v>
      </c>
      <c r="Y3452">
        <v>3.3657590000000001E-2</v>
      </c>
      <c r="Z3452">
        <v>-2.5085649999999999E-3</v>
      </c>
      <c r="AA3452">
        <v>0.99943029999999999</v>
      </c>
      <c r="AB3452">
        <v>34</v>
      </c>
      <c r="AC3452">
        <v>0.43079999999997598</v>
      </c>
      <c r="AD3452">
        <v>-6.9243000000000096E-2</v>
      </c>
      <c r="AE3452">
        <v>-2.17999999999847E-2</v>
      </c>
      <c r="AF3452">
        <v>2.6066977216224099E-2</v>
      </c>
      <c r="AG3452">
        <v>-6.9243000000000096E-2</v>
      </c>
      <c r="AH3452">
        <v>0.41970646717212301</v>
      </c>
      <c r="AI3452">
        <v>99.350548813179401</v>
      </c>
      <c r="AJ3452">
        <v>86.446059399420406</v>
      </c>
      <c r="AK3452">
        <v>0.42617789587952098</v>
      </c>
      <c r="AL3452">
        <v>80.132679646892697</v>
      </c>
      <c r="AM3452">
        <v>88.929233859584897</v>
      </c>
      <c r="AN3452">
        <v>1.00000001130451</v>
      </c>
    </row>
    <row r="3453" spans="1:40" x14ac:dyDescent="0.25">
      <c r="A3453" t="str">
        <f>"20190312172438003"</f>
        <v>20190312172438003</v>
      </c>
      <c r="B3453" t="str">
        <f>"1552382677994020"</f>
        <v>1552382677994020</v>
      </c>
      <c r="C3453" t="s">
        <v>40</v>
      </c>
      <c r="D3453">
        <v>3.8302429999999998</v>
      </c>
      <c r="E3453">
        <v>0.50286949999999997</v>
      </c>
      <c r="F3453" t="s">
        <v>47</v>
      </c>
      <c r="G3453">
        <v>-341.53910000000002</v>
      </c>
      <c r="H3453" s="1">
        <v>-7.1776369999999996E-7</v>
      </c>
      <c r="I3453">
        <v>213.69460000000001</v>
      </c>
      <c r="J3453">
        <v>-355.52890000000002</v>
      </c>
      <c r="K3453">
        <v>1.1103559999999999</v>
      </c>
      <c r="L3453">
        <v>213.89250000000001</v>
      </c>
      <c r="M3453">
        <v>0.99983420000000001</v>
      </c>
      <c r="N3453">
        <v>0</v>
      </c>
      <c r="O3453">
        <v>1.152569E-2</v>
      </c>
      <c r="P3453">
        <v>0.98746140000000004</v>
      </c>
      <c r="Q3453">
        <v>0.15772649999999999</v>
      </c>
      <c r="R3453">
        <v>-6.5519289999999997E-3</v>
      </c>
      <c r="S3453">
        <v>3.0756839999999999</v>
      </c>
      <c r="T3453">
        <v>-0.2384763</v>
      </c>
      <c r="U3453">
        <v>-4.167175E-2</v>
      </c>
      <c r="V3453">
        <v>1.791558E-2</v>
      </c>
      <c r="W3453">
        <v>0.17164099999999999</v>
      </c>
      <c r="X3453">
        <v>0.9849966</v>
      </c>
      <c r="Y3453">
        <v>2.4962910000000001E-2</v>
      </c>
      <c r="Z3453">
        <v>-1.858635E-3</v>
      </c>
      <c r="AA3453">
        <v>0.99968670000000004</v>
      </c>
      <c r="AB3453">
        <v>34</v>
      </c>
      <c r="AC3453">
        <v>13.989800000000001</v>
      </c>
      <c r="AD3453">
        <v>-1.1103567177636999</v>
      </c>
      <c r="AE3453">
        <v>-0.19790000000000399</v>
      </c>
      <c r="AF3453">
        <v>0.35689717153711198</v>
      </c>
      <c r="AG3453">
        <v>-1.1103567177636999</v>
      </c>
      <c r="AH3453">
        <v>13.899050673227499</v>
      </c>
      <c r="AI3453">
        <v>94.566002610065496</v>
      </c>
      <c r="AJ3453">
        <v>88.529093128444899</v>
      </c>
      <c r="AK3453">
        <v>13.9478986678524</v>
      </c>
      <c r="AL3453">
        <v>80.116755532813002</v>
      </c>
      <c r="AM3453">
        <v>88.957992393376202</v>
      </c>
      <c r="AN3453">
        <v>0.99999995144964604</v>
      </c>
    </row>
    <row r="3454" spans="1:40" x14ac:dyDescent="0.25">
      <c r="A3454" t="str">
        <f>"20190312172438025"</f>
        <v>20190312172438025</v>
      </c>
      <c r="B3454" t="str">
        <f>"1552382678013539"</f>
        <v>1552382678013539</v>
      </c>
      <c r="C3454" t="s">
        <v>40</v>
      </c>
      <c r="D3454">
        <v>3.8118150000000002</v>
      </c>
      <c r="E3454">
        <v>0.50156369999999995</v>
      </c>
      <c r="F3454" t="s">
        <v>41</v>
      </c>
      <c r="G3454">
        <v>-354.51479999999998</v>
      </c>
      <c r="H3454">
        <v>1.0343420000000001</v>
      </c>
      <c r="I3454">
        <v>213.88079999999999</v>
      </c>
      <c r="J3454">
        <v>-355.18490000000003</v>
      </c>
      <c r="K3454">
        <v>1.1103479999999999</v>
      </c>
      <c r="L3454">
        <v>213.8965</v>
      </c>
      <c r="M3454">
        <v>0.99983379999999999</v>
      </c>
      <c r="N3454">
        <v>0</v>
      </c>
      <c r="O3454">
        <v>1.1587409999999999E-2</v>
      </c>
      <c r="P3454">
        <v>0.98746310000000004</v>
      </c>
      <c r="Q3454">
        <v>0.15771849999999901</v>
      </c>
      <c r="R3454">
        <v>-6.4468479999999998E-3</v>
      </c>
      <c r="S3454">
        <v>3.0747070000000001</v>
      </c>
      <c r="T3454">
        <v>-0.23059869999999999</v>
      </c>
      <c r="U3454">
        <v>-3.4881589999999997E-2</v>
      </c>
      <c r="V3454">
        <v>1.7871649999999999E-2</v>
      </c>
      <c r="W3454">
        <v>0.1716039</v>
      </c>
      <c r="X3454">
        <v>0.98500390000000004</v>
      </c>
      <c r="Y3454">
        <v>2.2834340000000002E-2</v>
      </c>
      <c r="Z3454">
        <v>-1.722922E-3</v>
      </c>
      <c r="AA3454">
        <v>0.99973780000000001</v>
      </c>
      <c r="AB3454">
        <v>34</v>
      </c>
      <c r="AC3454">
        <v>0.67010000000004699</v>
      </c>
      <c r="AD3454">
        <v>-7.6005999999999796E-2</v>
      </c>
      <c r="AE3454">
        <v>-1.5700000000009501E-2</v>
      </c>
      <c r="AF3454">
        <v>2.3166559529421399E-2</v>
      </c>
      <c r="AG3454">
        <v>-7.6005999999999796E-2</v>
      </c>
      <c r="AH3454">
        <v>0.66136908571467701</v>
      </c>
      <c r="AI3454">
        <v>96.551814506726501</v>
      </c>
      <c r="AJ3454">
        <v>87.993852990916395</v>
      </c>
      <c r="AK3454">
        <v>0.66612511516643602</v>
      </c>
      <c r="AL3454">
        <v>80.118913592078002</v>
      </c>
      <c r="AM3454">
        <v>88.960554594625094</v>
      </c>
      <c r="AN3454">
        <v>0.99999998869207096</v>
      </c>
    </row>
    <row r="3455" spans="1:40" x14ac:dyDescent="0.25">
      <c r="A3455" t="str">
        <f>"20190312172438046"</f>
        <v>20190312172438046</v>
      </c>
      <c r="B3455" t="str">
        <f>"1552382678043795"</f>
        <v>1552382678043795</v>
      </c>
      <c r="C3455" t="s">
        <v>40</v>
      </c>
      <c r="D3455">
        <v>3.843321</v>
      </c>
      <c r="E3455">
        <v>0.50025640000000005</v>
      </c>
      <c r="F3455" t="s">
        <v>41</v>
      </c>
      <c r="G3455">
        <v>-354.20490000000001</v>
      </c>
      <c r="H3455">
        <v>1.0402400000000001</v>
      </c>
      <c r="I3455">
        <v>213.88849999999999</v>
      </c>
      <c r="J3455">
        <v>-354.8535</v>
      </c>
      <c r="K3455">
        <v>1.110352</v>
      </c>
      <c r="L3455">
        <v>213.90039999999999</v>
      </c>
      <c r="M3455">
        <v>0.99983359999999999</v>
      </c>
      <c r="N3455">
        <v>0</v>
      </c>
      <c r="O3455">
        <v>1.1646460000000001E-2</v>
      </c>
      <c r="P3455">
        <v>0.98741020000000002</v>
      </c>
      <c r="Q3455">
        <v>0.15806770000000001</v>
      </c>
      <c r="R3455">
        <v>-5.9883979999999998E-3</v>
      </c>
      <c r="S3455">
        <v>3.0730900000000001</v>
      </c>
      <c r="T3455">
        <v>-0.2199622</v>
      </c>
      <c r="U3455">
        <v>-2.453613E-2</v>
      </c>
      <c r="V3455">
        <v>1.7470940000000001E-2</v>
      </c>
      <c r="W3455">
        <v>0.17192009999999999</v>
      </c>
      <c r="X3455">
        <v>0.98495600000000005</v>
      </c>
      <c r="Y3455">
        <v>1.955082E-2</v>
      </c>
      <c r="Z3455">
        <v>-1.5314059999999999E-3</v>
      </c>
      <c r="AA3455">
        <v>0.99980769999999997</v>
      </c>
      <c r="AB3455">
        <v>34</v>
      </c>
      <c r="AC3455">
        <v>0.64859999999998696</v>
      </c>
      <c r="AD3455">
        <v>-7.0111999999999897E-2</v>
      </c>
      <c r="AE3455">
        <v>-1.18999999999971E-2</v>
      </c>
      <c r="AF3455">
        <v>1.9229212552333098E-2</v>
      </c>
      <c r="AG3455">
        <v>-7.0111999999999897E-2</v>
      </c>
      <c r="AH3455">
        <v>0.64093060499702703</v>
      </c>
      <c r="AI3455">
        <v>96.240031128422302</v>
      </c>
      <c r="AJ3455">
        <v>88.2815263897227</v>
      </c>
      <c r="AK3455">
        <v>0.64504069296536504</v>
      </c>
      <c r="AL3455">
        <v>80.100523854762201</v>
      </c>
      <c r="AM3455">
        <v>88.983806217200396</v>
      </c>
      <c r="AN3455">
        <v>1.00000003823224</v>
      </c>
    </row>
    <row r="3456" spans="1:40" x14ac:dyDescent="0.25">
      <c r="A3456" t="str">
        <f>"20190312172438069"</f>
        <v>20190312172438069</v>
      </c>
      <c r="B3456" t="str">
        <f>"1552382678063315"</f>
        <v>1552382678063315</v>
      </c>
      <c r="C3456" t="s">
        <v>40</v>
      </c>
      <c r="D3456">
        <v>3.8627310000000001</v>
      </c>
      <c r="E3456">
        <v>0.49963679999999999</v>
      </c>
      <c r="F3456" t="s">
        <v>41</v>
      </c>
      <c r="G3456">
        <v>-353.88720000000001</v>
      </c>
      <c r="H3456">
        <v>1.045647</v>
      </c>
      <c r="I3456">
        <v>213.8963</v>
      </c>
      <c r="J3456">
        <v>-354.52330000000001</v>
      </c>
      <c r="K3456">
        <v>1.110347</v>
      </c>
      <c r="L3456">
        <v>213.90440000000001</v>
      </c>
      <c r="M3456">
        <v>0.99983350000000004</v>
      </c>
      <c r="N3456">
        <v>0</v>
      </c>
      <c r="O3456">
        <v>1.1705190000000001E-2</v>
      </c>
      <c r="P3456">
        <v>0.98732180000000003</v>
      </c>
      <c r="Q3456">
        <v>0.15861420000000001</v>
      </c>
      <c r="R3456">
        <v>-6.1395319999999996E-3</v>
      </c>
      <c r="S3456">
        <v>3.071075</v>
      </c>
      <c r="T3456">
        <v>-0.2056297</v>
      </c>
      <c r="U3456">
        <v>-1.3168330000000001E-2</v>
      </c>
      <c r="V3456">
        <v>1.7678840000000001E-2</v>
      </c>
      <c r="W3456">
        <v>0.17243020000000001</v>
      </c>
      <c r="X3456">
        <v>0.98486309999999999</v>
      </c>
      <c r="Y3456">
        <v>1.5931870000000001E-2</v>
      </c>
      <c r="Z3456">
        <v>-1.3157069999999999E-3</v>
      </c>
      <c r="AA3456">
        <v>0.99987219999999999</v>
      </c>
      <c r="AB3456">
        <v>34</v>
      </c>
      <c r="AC3456">
        <v>0.636099999999999</v>
      </c>
      <c r="AD3456">
        <v>-6.4699999999999896E-2</v>
      </c>
      <c r="AE3456">
        <v>-8.1000000000130898E-3</v>
      </c>
      <c r="AF3456">
        <v>1.5386686510708601E-2</v>
      </c>
      <c r="AG3456">
        <v>-6.4699999999999896E-2</v>
      </c>
      <c r="AH3456">
        <v>0.62945057276102601</v>
      </c>
      <c r="AI3456">
        <v>95.866970860806205</v>
      </c>
      <c r="AJ3456">
        <v>88.599704721376398</v>
      </c>
      <c r="AK3456">
        <v>0.63295407706322804</v>
      </c>
      <c r="AL3456">
        <v>80.070854024416306</v>
      </c>
      <c r="AM3456">
        <v>88.971619360890102</v>
      </c>
      <c r="AN3456">
        <v>1.0000000204986901</v>
      </c>
    </row>
    <row r="3457" spans="1:40" x14ac:dyDescent="0.25">
      <c r="A3457" t="str">
        <f>"20190312172438091"</f>
        <v>20190312172438091</v>
      </c>
      <c r="B3457" t="str">
        <f>"1552382678083811"</f>
        <v>1552382678083811</v>
      </c>
      <c r="C3457" t="s">
        <v>40</v>
      </c>
      <c r="D3457">
        <v>3.7962470000000001</v>
      </c>
      <c r="E3457">
        <v>0.49923980000000001</v>
      </c>
      <c r="F3457" t="s">
        <v>47</v>
      </c>
      <c r="G3457">
        <v>-337.30950000000001</v>
      </c>
      <c r="H3457" s="1">
        <v>2.3861759999999999E-6</v>
      </c>
      <c r="I3457">
        <v>213.85640000000001</v>
      </c>
      <c r="J3457">
        <v>-354.17880000000002</v>
      </c>
      <c r="K3457">
        <v>1.1103419999999999</v>
      </c>
      <c r="L3457">
        <v>213.9085</v>
      </c>
      <c r="M3457">
        <v>0.99983319999999998</v>
      </c>
      <c r="N3457">
        <v>0</v>
      </c>
      <c r="O3457">
        <v>1.1766499999999999E-2</v>
      </c>
      <c r="P3457">
        <v>0.98739469999999996</v>
      </c>
      <c r="Q3457">
        <v>0.15816749999999999</v>
      </c>
      <c r="R3457">
        <v>-5.9433300000000001E-3</v>
      </c>
      <c r="S3457">
        <v>3.0702820000000002</v>
      </c>
      <c r="T3457">
        <v>-0.198043</v>
      </c>
      <c r="U3457">
        <v>-8.560181E-3</v>
      </c>
      <c r="V3457">
        <v>1.7543949999999999E-2</v>
      </c>
      <c r="W3457">
        <v>0.17194499999999999</v>
      </c>
      <c r="X3457">
        <v>0.98495029999999995</v>
      </c>
      <c r="Y3457">
        <v>1.4500890000000001E-2</v>
      </c>
      <c r="Z3457">
        <v>-1.225442E-3</v>
      </c>
      <c r="AA3457">
        <v>0.99989410000000001</v>
      </c>
      <c r="AB3457">
        <v>34</v>
      </c>
      <c r="AC3457">
        <v>16.869299999999999</v>
      </c>
      <c r="AD3457">
        <v>-1.110339613824</v>
      </c>
      <c r="AE3457">
        <v>-5.2099999999995802E-2</v>
      </c>
      <c r="AF3457">
        <v>0.24952736426685199</v>
      </c>
      <c r="AG3457">
        <v>-1.110339613824</v>
      </c>
      <c r="AH3457">
        <v>16.7947597754291</v>
      </c>
      <c r="AI3457">
        <v>93.7820331716906</v>
      </c>
      <c r="AJ3457">
        <v>89.148793243014694</v>
      </c>
      <c r="AK3457">
        <v>16.8332728213474</v>
      </c>
      <c r="AL3457">
        <v>80.099075074927498</v>
      </c>
      <c r="AM3457">
        <v>88.979554596889002</v>
      </c>
      <c r="AN3457">
        <v>0.99999998333834605</v>
      </c>
    </row>
    <row r="3458" spans="1:40" x14ac:dyDescent="0.25">
      <c r="A3458" t="str">
        <f>"20190312172438114"</f>
        <v>20190312172438114</v>
      </c>
      <c r="B3458" t="str">
        <f>"1552382678103332"</f>
        <v>1552382678103332</v>
      </c>
      <c r="C3458" t="s">
        <v>40</v>
      </c>
      <c r="D3458">
        <v>3.7825120000000001</v>
      </c>
      <c r="E3458">
        <v>0.49903510000000001</v>
      </c>
      <c r="F3458" t="s">
        <v>47</v>
      </c>
      <c r="G3458">
        <v>-336.7004</v>
      </c>
      <c r="H3458" s="1">
        <v>2.0609870000000001E-6</v>
      </c>
      <c r="I3458">
        <v>213.88040000000001</v>
      </c>
      <c r="J3458">
        <v>-353.82940000000002</v>
      </c>
      <c r="K3458">
        <v>1.110339</v>
      </c>
      <c r="L3458">
        <v>213.9126</v>
      </c>
      <c r="M3458">
        <v>0.99983319999999998</v>
      </c>
      <c r="N3458">
        <v>0</v>
      </c>
      <c r="O3458">
        <v>1.182881E-2</v>
      </c>
      <c r="P3458">
        <v>0.98745720000000003</v>
      </c>
      <c r="Q3458">
        <v>0.15779019999999999</v>
      </c>
      <c r="R3458">
        <v>-5.5452039999999998E-3</v>
      </c>
      <c r="S3458">
        <v>3.0695190000000001</v>
      </c>
      <c r="T3458">
        <v>-0.19499559999999999</v>
      </c>
      <c r="U3458">
        <v>-4.9285889999999997E-3</v>
      </c>
      <c r="V3458">
        <v>1.720843E-2</v>
      </c>
      <c r="W3458">
        <v>0.17152220000000001</v>
      </c>
      <c r="X3458">
        <v>0.98502990000000001</v>
      </c>
      <c r="Y3458">
        <v>1.338466E-2</v>
      </c>
      <c r="Z3458">
        <v>-1.1754580000000001E-3</v>
      </c>
      <c r="AA3458">
        <v>0.99990979999999996</v>
      </c>
      <c r="AB3458">
        <v>34</v>
      </c>
      <c r="AC3458">
        <v>17.129000000000001</v>
      </c>
      <c r="AD3458">
        <v>-1.110336939013</v>
      </c>
      <c r="AE3458">
        <v>-3.2199999999988897E-2</v>
      </c>
      <c r="AF3458">
        <v>0.233850442158968</v>
      </c>
      <c r="AG3458">
        <v>-1.110336939013</v>
      </c>
      <c r="AH3458">
        <v>17.055754155554201</v>
      </c>
      <c r="AI3458">
        <v>93.7243749029508</v>
      </c>
      <c r="AJ3458">
        <v>89.2144701581514</v>
      </c>
      <c r="AK3458">
        <v>17.0934573437365</v>
      </c>
      <c r="AL3458">
        <v>80.123664716657302</v>
      </c>
      <c r="AM3458">
        <v>88.999147007058596</v>
      </c>
      <c r="AN3458">
        <v>0.99999994952495597</v>
      </c>
    </row>
    <row r="3459" spans="1:40" x14ac:dyDescent="0.25">
      <c r="A3459" t="str">
        <f>"20190312172438135"</f>
        <v>20190312172438135</v>
      </c>
      <c r="B3459" t="str">
        <f>"1552382678123828"</f>
        <v>1552382678123828</v>
      </c>
      <c r="C3459" t="s">
        <v>40</v>
      </c>
      <c r="D3459">
        <v>3.7960579999999999</v>
      </c>
      <c r="E3459">
        <v>0.49887409999999999</v>
      </c>
      <c r="F3459" t="s">
        <v>47</v>
      </c>
      <c r="G3459">
        <v>-336.10570000000001</v>
      </c>
      <c r="H3459" s="1">
        <v>1.7437449999999999E-6</v>
      </c>
      <c r="I3459">
        <v>213.8982</v>
      </c>
      <c r="J3459">
        <v>-353.50290000000001</v>
      </c>
      <c r="K3459">
        <v>1.1103289999999999</v>
      </c>
      <c r="L3459">
        <v>213.91659999999999</v>
      </c>
      <c r="M3459">
        <v>0.99983319999999998</v>
      </c>
      <c r="N3459">
        <v>0</v>
      </c>
      <c r="O3459">
        <v>1.1887160000000001E-2</v>
      </c>
      <c r="P3459">
        <v>0.98748009999999997</v>
      </c>
      <c r="Q3459">
        <v>0.15765470000000001</v>
      </c>
      <c r="R3459">
        <v>-5.3170429999999996E-3</v>
      </c>
      <c r="S3459">
        <v>3.0688170000000001</v>
      </c>
      <c r="T3459">
        <v>-0.19225200000000001</v>
      </c>
      <c r="U3459">
        <v>-2.5024410000000002E-3</v>
      </c>
      <c r="V3459">
        <v>1.7038069999999999E-2</v>
      </c>
      <c r="W3459">
        <v>0.17133709999999999</v>
      </c>
      <c r="X3459">
        <v>0.98506510000000003</v>
      </c>
      <c r="Y3459">
        <v>1.265557E-2</v>
      </c>
      <c r="Z3459">
        <v>-1.140053E-3</v>
      </c>
      <c r="AA3459">
        <v>0.99991920000000001</v>
      </c>
      <c r="AB3459">
        <v>34</v>
      </c>
      <c r="AC3459">
        <v>17.397199999999899</v>
      </c>
      <c r="AD3459">
        <v>-1.110327256255</v>
      </c>
      <c r="AE3459">
        <v>-1.8399999999985501E-2</v>
      </c>
      <c r="AF3459">
        <v>0.22430821621161101</v>
      </c>
      <c r="AG3459">
        <v>-1.110327256255</v>
      </c>
      <c r="AH3459">
        <v>17.3251817445671</v>
      </c>
      <c r="AI3459">
        <v>93.666620939857395</v>
      </c>
      <c r="AJ3459">
        <v>89.258236001984102</v>
      </c>
      <c r="AK3459">
        <v>17.362173345354002</v>
      </c>
      <c r="AL3459">
        <v>80.134429772688506</v>
      </c>
      <c r="AM3459">
        <v>89.009088668102095</v>
      </c>
      <c r="AN3459">
        <v>0.99999997445187205</v>
      </c>
    </row>
    <row r="3460" spans="1:40" x14ac:dyDescent="0.25">
      <c r="A3460" t="str">
        <f>"20190312172438159"</f>
        <v>20190312172438159</v>
      </c>
      <c r="B3460" t="str">
        <f>"1552382678154084"</f>
        <v>1552382678154084</v>
      </c>
      <c r="C3460" t="s">
        <v>40</v>
      </c>
      <c r="D3460">
        <v>3.8188759999999999</v>
      </c>
      <c r="E3460">
        <v>0.49858839999999999</v>
      </c>
      <c r="F3460" t="s">
        <v>47</v>
      </c>
      <c r="G3460">
        <v>-335.56110000000001</v>
      </c>
      <c r="H3460" s="1">
        <v>1.453279E-6</v>
      </c>
      <c r="I3460">
        <v>213.91309999999999</v>
      </c>
      <c r="J3460">
        <v>-353.14640000000003</v>
      </c>
      <c r="K3460">
        <v>1.110312</v>
      </c>
      <c r="L3460">
        <v>213.92089999999999</v>
      </c>
      <c r="M3460">
        <v>0.99983350000000004</v>
      </c>
      <c r="N3460">
        <v>0</v>
      </c>
      <c r="O3460">
        <v>1.195045E-2</v>
      </c>
      <c r="P3460">
        <v>0.98750789999999999</v>
      </c>
      <c r="Q3460">
        <v>0.1574895</v>
      </c>
      <c r="R3460">
        <v>-5.0734220000000002E-3</v>
      </c>
      <c r="S3460">
        <v>3.0683590000000001</v>
      </c>
      <c r="T3460">
        <v>-0.18988479999999999</v>
      </c>
      <c r="U3460">
        <v>-5.9509280000000003E-4</v>
      </c>
      <c r="V3460">
        <v>1.6857279999999999E-2</v>
      </c>
      <c r="W3460">
        <v>0.17110639999999999</v>
      </c>
      <c r="X3460">
        <v>0.98510830000000005</v>
      </c>
      <c r="Y3460">
        <v>1.2099510000000001E-2</v>
      </c>
      <c r="Z3460">
        <v>-1.1129320000000001E-3</v>
      </c>
      <c r="AA3460">
        <v>0.99992610000000004</v>
      </c>
      <c r="AB3460">
        <v>34</v>
      </c>
      <c r="AC3460">
        <v>17.5853</v>
      </c>
      <c r="AD3460">
        <v>-1.1103105467209999</v>
      </c>
      <c r="AE3460">
        <v>-7.80000000000313E-3</v>
      </c>
      <c r="AF3460">
        <v>0.21710618645440599</v>
      </c>
      <c r="AG3460">
        <v>-1.1103105467209999</v>
      </c>
      <c r="AH3460">
        <v>17.514131103137402</v>
      </c>
      <c r="AI3460">
        <v>93.627140969492402</v>
      </c>
      <c r="AJ3460">
        <v>89.289794564923895</v>
      </c>
      <c r="AK3460">
        <v>17.550632834864999</v>
      </c>
      <c r="AL3460">
        <v>80.147845943438497</v>
      </c>
      <c r="AM3460">
        <v>89.019644094192799</v>
      </c>
      <c r="AN3460">
        <v>0.99999996536942304</v>
      </c>
    </row>
    <row r="3461" spans="1:40" x14ac:dyDescent="0.25">
      <c r="A3461" t="str">
        <f>"20190312172438182"</f>
        <v>20190312172438182</v>
      </c>
      <c r="B3461" t="str">
        <f>"1552382678173604"</f>
        <v>1552382678173604</v>
      </c>
      <c r="C3461" t="s">
        <v>40</v>
      </c>
      <c r="D3461">
        <v>3.8118159999999999</v>
      </c>
      <c r="E3461">
        <v>0.49834489999999998</v>
      </c>
      <c r="F3461" t="s">
        <v>47</v>
      </c>
      <c r="G3461">
        <v>-334.9676</v>
      </c>
      <c r="H3461" s="1">
        <v>1.1364799999999999E-6</v>
      </c>
      <c r="I3461">
        <v>213.9359</v>
      </c>
      <c r="J3461">
        <v>-352.79520000000002</v>
      </c>
      <c r="K3461">
        <v>1.1102959999999999</v>
      </c>
      <c r="L3461">
        <v>213.92519999999999</v>
      </c>
      <c r="M3461">
        <v>0.99983379999999999</v>
      </c>
      <c r="N3461">
        <v>0</v>
      </c>
      <c r="O3461">
        <v>1.2013060000000001E-2</v>
      </c>
      <c r="P3461">
        <v>0.98750740000000004</v>
      </c>
      <c r="Q3461">
        <v>0.15748500000000001</v>
      </c>
      <c r="R3461">
        <v>-5.2593739999999998E-3</v>
      </c>
      <c r="S3461">
        <v>3.0678709999999998</v>
      </c>
      <c r="T3461">
        <v>-0.18737760000000001</v>
      </c>
      <c r="U3461">
        <v>2.532959E-3</v>
      </c>
      <c r="V3461">
        <v>1.7104870000000001E-2</v>
      </c>
      <c r="W3461">
        <v>0.1710158</v>
      </c>
      <c r="X3461">
        <v>0.98511979999999999</v>
      </c>
      <c r="Y3461">
        <v>1.114544E-2</v>
      </c>
      <c r="Z3461">
        <v>-1.0731479999999999E-3</v>
      </c>
      <c r="AA3461">
        <v>0.99993730000000003</v>
      </c>
      <c r="AB3461">
        <v>34</v>
      </c>
      <c r="AC3461">
        <v>17.8276</v>
      </c>
      <c r="AD3461">
        <v>-1.1102948635199901</v>
      </c>
      <c r="AE3461">
        <v>1.0700000000014099E-2</v>
      </c>
      <c r="AF3461">
        <v>0.20269872547157999</v>
      </c>
      <c r="AG3461">
        <v>-1.1102948635199901</v>
      </c>
      <c r="AH3461">
        <v>17.757564891858902</v>
      </c>
      <c r="AI3461">
        <v>93.577538758315697</v>
      </c>
      <c r="AJ3461">
        <v>89.346009592092102</v>
      </c>
      <c r="AK3461">
        <v>17.793396312841601</v>
      </c>
      <c r="AL3461">
        <v>80.1531149472831</v>
      </c>
      <c r="AM3461">
        <v>89.005259674923806</v>
      </c>
      <c r="AN3461">
        <v>1.0000000003896901</v>
      </c>
    </row>
    <row r="3462" spans="1:40" x14ac:dyDescent="0.25">
      <c r="A3462" t="str">
        <f>"20190312172438203"</f>
        <v>20190312172438203</v>
      </c>
      <c r="B3462" t="str">
        <f>"1552382678194099"</f>
        <v>1552382678194099</v>
      </c>
      <c r="C3462" t="s">
        <v>40</v>
      </c>
      <c r="D3462">
        <v>3.7771140000000001</v>
      </c>
      <c r="E3462">
        <v>0.49815330000000002</v>
      </c>
      <c r="F3462" t="s">
        <v>47</v>
      </c>
      <c r="G3462">
        <v>-334.4461</v>
      </c>
      <c r="H3462" s="1">
        <v>8.5827100000000005E-7</v>
      </c>
      <c r="I3462">
        <v>213.95140000000001</v>
      </c>
      <c r="J3462">
        <v>-352.46190000000001</v>
      </c>
      <c r="K3462">
        <v>1.11029</v>
      </c>
      <c r="L3462">
        <v>213.92920000000001</v>
      </c>
      <c r="M3462">
        <v>0.99983469999999997</v>
      </c>
      <c r="N3462">
        <v>0</v>
      </c>
      <c r="O3462">
        <v>1.206842E-2</v>
      </c>
      <c r="P3462">
        <v>0.9873847</v>
      </c>
      <c r="Q3462">
        <v>0.15824939999999901</v>
      </c>
      <c r="R3462">
        <v>-5.3507900000000002E-3</v>
      </c>
      <c r="S3462">
        <v>3.0675659999999998</v>
      </c>
      <c r="T3462">
        <v>-0.18561710000000001</v>
      </c>
      <c r="U3462">
        <v>4.379272E-3</v>
      </c>
      <c r="V3462">
        <v>1.7245799999999999E-2</v>
      </c>
      <c r="W3462">
        <v>0.17167160000000001</v>
      </c>
      <c r="X3462">
        <v>0.98500330000000003</v>
      </c>
      <c r="Y3462">
        <v>1.060056E-2</v>
      </c>
      <c r="Z3462">
        <v>-1.0500640000000001E-3</v>
      </c>
      <c r="AA3462">
        <v>0.99994329999999998</v>
      </c>
      <c r="AB3462">
        <v>34</v>
      </c>
      <c r="AC3462">
        <v>18.015799999999999</v>
      </c>
      <c r="AD3462">
        <v>-1.110289141729</v>
      </c>
      <c r="AE3462">
        <v>2.2199999999997999E-2</v>
      </c>
      <c r="AF3462">
        <v>0.194505217455163</v>
      </c>
      <c r="AG3462">
        <v>-1.110289141729</v>
      </c>
      <c r="AH3462">
        <v>17.946593036474301</v>
      </c>
      <c r="AI3462">
        <v>93.539957992728503</v>
      </c>
      <c r="AJ3462">
        <v>89.379052519024597</v>
      </c>
      <c r="AK3462">
        <v>17.981956953421001</v>
      </c>
      <c r="AL3462">
        <v>80.114976634767402</v>
      </c>
      <c r="AM3462">
        <v>88.996946906994395</v>
      </c>
      <c r="AN3462">
        <v>1.0000000284375401</v>
      </c>
    </row>
    <row r="3463" spans="1:40" x14ac:dyDescent="0.25">
      <c r="A3463" t="str">
        <f>"20190312172438225"</f>
        <v>20190312172438225</v>
      </c>
      <c r="B3463" t="str">
        <f>"1552382678213619"</f>
        <v>1552382678213619</v>
      </c>
      <c r="C3463" t="s">
        <v>40</v>
      </c>
      <c r="D3463">
        <v>3.783712</v>
      </c>
      <c r="E3463">
        <v>0.49795080000000003</v>
      </c>
      <c r="F3463" t="s">
        <v>47</v>
      </c>
      <c r="G3463">
        <v>-333.74059999999997</v>
      </c>
      <c r="H3463" s="1">
        <v>4.8218270000000005E-7</v>
      </c>
      <c r="I3463">
        <v>213.96600000000001</v>
      </c>
      <c r="J3463">
        <v>-352.13229999999999</v>
      </c>
      <c r="K3463">
        <v>1.110274</v>
      </c>
      <c r="L3463">
        <v>213.9333</v>
      </c>
      <c r="M3463">
        <v>0.99983560000000005</v>
      </c>
      <c r="N3463">
        <v>0</v>
      </c>
      <c r="O3463">
        <v>1.212803E-2</v>
      </c>
      <c r="P3463">
        <v>0.98730580000000001</v>
      </c>
      <c r="Q3463">
        <v>0.1587335</v>
      </c>
      <c r="R3463">
        <v>-5.6250550000000003E-3</v>
      </c>
      <c r="S3463">
        <v>3.0675050000000001</v>
      </c>
      <c r="T3463">
        <v>-0.181922</v>
      </c>
      <c r="U3463">
        <v>6.0272219999999996E-3</v>
      </c>
      <c r="V3463">
        <v>1.757794E-2</v>
      </c>
      <c r="W3463">
        <v>0.172038</v>
      </c>
      <c r="X3463">
        <v>0.98493350000000002</v>
      </c>
      <c r="Y3463">
        <v>1.012529E-2</v>
      </c>
      <c r="Z3463">
        <v>-1.018667E-3</v>
      </c>
      <c r="AA3463">
        <v>0.99994819999999995</v>
      </c>
      <c r="AB3463">
        <v>34</v>
      </c>
      <c r="AC3463">
        <v>18.3917</v>
      </c>
      <c r="AD3463">
        <v>-1.1102735178173</v>
      </c>
      <c r="AE3463">
        <v>3.2699999999976997E-2</v>
      </c>
      <c r="AF3463">
        <v>0.18968648469775401</v>
      </c>
      <c r="AG3463">
        <v>-1.1102735178173</v>
      </c>
      <c r="AH3463">
        <v>18.323965579192699</v>
      </c>
      <c r="AI3463">
        <v>93.467203256190402</v>
      </c>
      <c r="AJ3463">
        <v>89.406905302922894</v>
      </c>
      <c r="AK3463">
        <v>18.358551217192499</v>
      </c>
      <c r="AL3463">
        <v>80.093666414202602</v>
      </c>
      <c r="AM3463">
        <v>88.9775605490603</v>
      </c>
      <c r="AN3463">
        <v>1.00000002842044</v>
      </c>
    </row>
    <row r="3464" spans="1:40" x14ac:dyDescent="0.25">
      <c r="A3464" t="str">
        <f>"20190312172438246"</f>
        <v>20190312172438246</v>
      </c>
      <c r="B3464" t="str">
        <f>"1552382678243876"</f>
        <v>1552382678243876</v>
      </c>
      <c r="C3464" t="s">
        <v>40</v>
      </c>
      <c r="D3464">
        <v>3.6613709999999999</v>
      </c>
      <c r="E3464">
        <v>0.46995500000000001</v>
      </c>
      <c r="F3464" t="s">
        <v>47</v>
      </c>
      <c r="G3464">
        <v>-333.09989999999999</v>
      </c>
      <c r="H3464" s="1">
        <v>1.4083649999999999E-7</v>
      </c>
      <c r="I3464">
        <v>213.97499999999999</v>
      </c>
      <c r="J3464">
        <v>-351.80759999999998</v>
      </c>
      <c r="K3464">
        <v>1.110252</v>
      </c>
      <c r="L3464">
        <v>213.93729999999999</v>
      </c>
      <c r="M3464">
        <v>0.99983639999999996</v>
      </c>
      <c r="N3464">
        <v>0</v>
      </c>
      <c r="O3464">
        <v>1.2192420000000001E-2</v>
      </c>
      <c r="P3464">
        <v>0.98719230000000002</v>
      </c>
      <c r="Q3464">
        <v>0.1594286</v>
      </c>
      <c r="R3464">
        <v>-5.8597709999999997E-3</v>
      </c>
      <c r="S3464">
        <v>3.0674130000000002</v>
      </c>
      <c r="T3464">
        <v>-0.1789405</v>
      </c>
      <c r="U3464">
        <v>6.7138669999999897E-3</v>
      </c>
      <c r="V3464">
        <v>1.7877379999999998E-2</v>
      </c>
      <c r="W3464">
        <v>0.17261099999999999</v>
      </c>
      <c r="X3464">
        <v>0.98482780000000003</v>
      </c>
      <c r="Y3464">
        <v>9.967198E-3</v>
      </c>
      <c r="Z3464">
        <v>-1.001175E-3</v>
      </c>
      <c r="AA3464">
        <v>0.9999498</v>
      </c>
      <c r="AB3464">
        <v>34</v>
      </c>
      <c r="AC3464">
        <v>18.7076999999999</v>
      </c>
      <c r="AD3464">
        <v>-1.1102518591635</v>
      </c>
      <c r="AE3464">
        <v>3.7700000000000899E-2</v>
      </c>
      <c r="AF3464">
        <v>0.18974699439515</v>
      </c>
      <c r="AG3464">
        <v>-1.1102518591635</v>
      </c>
      <c r="AH3464">
        <v>18.641113217556299</v>
      </c>
      <c r="AI3464">
        <v>93.408294505255498</v>
      </c>
      <c r="AJ3464">
        <v>89.416809158637406</v>
      </c>
      <c r="AK3464">
        <v>18.675110845786499</v>
      </c>
      <c r="AL3464">
        <v>80.060336820034095</v>
      </c>
      <c r="AM3464">
        <v>88.9600355161962</v>
      </c>
      <c r="AN3464">
        <v>0.99999997684475195</v>
      </c>
    </row>
    <row r="3465" spans="1:40" x14ac:dyDescent="0.25">
      <c r="A3465" t="str">
        <f>"20190312172438270"</f>
        <v>20190312172438270</v>
      </c>
      <c r="B3465" t="str">
        <f>"1552382678263395"</f>
        <v>1552382678263395</v>
      </c>
      <c r="C3465" t="s">
        <v>40</v>
      </c>
      <c r="D3465">
        <v>3.624336</v>
      </c>
      <c r="E3465">
        <v>0.45514480000000002</v>
      </c>
      <c r="F3465" t="s">
        <v>47</v>
      </c>
      <c r="G3465">
        <v>-325.58199999999999</v>
      </c>
      <c r="H3465" s="1">
        <v>1.433678E-6</v>
      </c>
      <c r="I3465">
        <v>215.89590000000001</v>
      </c>
      <c r="J3465">
        <v>-351.46140000000003</v>
      </c>
      <c r="K3465">
        <v>1.110225</v>
      </c>
      <c r="L3465">
        <v>213.94159999999999</v>
      </c>
      <c r="M3465">
        <v>0.99983719999999998</v>
      </c>
      <c r="N3465">
        <v>0</v>
      </c>
      <c r="O3465">
        <v>1.2263720000000001E-2</v>
      </c>
      <c r="P3465">
        <v>0.98711819999999895</v>
      </c>
      <c r="Q3465">
        <v>0.15987079999999901</v>
      </c>
      <c r="R3465">
        <v>-6.2694439999999999E-3</v>
      </c>
      <c r="S3465">
        <v>3.0612180000000002</v>
      </c>
      <c r="T3465">
        <v>-0.1295953</v>
      </c>
      <c r="U3465">
        <v>0.2286224</v>
      </c>
      <c r="V3465">
        <v>1.835875E-2</v>
      </c>
      <c r="W3465">
        <v>0.1729205</v>
      </c>
      <c r="X3465">
        <v>0.98476459999999999</v>
      </c>
      <c r="Y3465">
        <v>-6.2195269999999997E-2</v>
      </c>
      <c r="Z3465">
        <v>7.9588499999999997E-4</v>
      </c>
      <c r="AA3465">
        <v>0.9980637</v>
      </c>
      <c r="AB3465">
        <v>34</v>
      </c>
      <c r="AC3465">
        <v>25.8794</v>
      </c>
      <c r="AD3465">
        <v>-1.1102235663219999</v>
      </c>
      <c r="AE3465">
        <v>1.9543000000000099</v>
      </c>
      <c r="AF3465">
        <v>-1.6337577688987599</v>
      </c>
      <c r="AG3465">
        <v>-1.1102235663219999</v>
      </c>
      <c r="AH3465">
        <v>25.8541104279664</v>
      </c>
      <c r="AI3465">
        <v>92.4539879457285</v>
      </c>
      <c r="AJ3465">
        <v>93.6157935708883</v>
      </c>
      <c r="AK3465">
        <v>25.929457897073998</v>
      </c>
      <c r="AL3465">
        <v>80.042332583024304</v>
      </c>
      <c r="AM3465">
        <v>88.931971096208301</v>
      </c>
      <c r="AN3465">
        <v>0.99999993021748301</v>
      </c>
    </row>
    <row r="3466" spans="1:40" x14ac:dyDescent="0.25">
      <c r="A3466" t="str">
        <f>"20190312172438291"</f>
        <v>20190312172438291</v>
      </c>
      <c r="B3466" t="str">
        <f>"1552382678283891"</f>
        <v>1552382678283891</v>
      </c>
      <c r="C3466" t="s">
        <v>40</v>
      </c>
      <c r="D3466">
        <v>3.6738550000000001</v>
      </c>
      <c r="E3466">
        <v>0.45546979999999998</v>
      </c>
      <c r="F3466" t="s">
        <v>47</v>
      </c>
      <c r="G3466">
        <v>-327.69580000000002</v>
      </c>
      <c r="H3466" s="1">
        <v>2.5585320000000002E-6</v>
      </c>
      <c r="I3466">
        <v>216.6241</v>
      </c>
      <c r="J3466">
        <v>-351.11529999999999</v>
      </c>
      <c r="K3466">
        <v>1.110206</v>
      </c>
      <c r="L3466">
        <v>213.94589999999999</v>
      </c>
      <c r="M3466">
        <v>0.99983809999999995</v>
      </c>
      <c r="N3466">
        <v>0</v>
      </c>
      <c r="O3466">
        <v>1.2332890000000001E-2</v>
      </c>
      <c r="P3466">
        <v>0.98718649999999997</v>
      </c>
      <c r="Q3466">
        <v>0.15946089999999999</v>
      </c>
      <c r="R3466">
        <v>-5.9363150000000002E-3</v>
      </c>
      <c r="S3466">
        <v>3.0645449999999999</v>
      </c>
      <c r="T3466">
        <v>-0.14316199999999901</v>
      </c>
      <c r="U3466">
        <v>0.34590149999999997</v>
      </c>
      <c r="V3466">
        <v>1.8096060000000001E-2</v>
      </c>
      <c r="W3466">
        <v>0.1723856</v>
      </c>
      <c r="X3466">
        <v>0.9848633</v>
      </c>
      <c r="Y3466">
        <v>-9.9801059999999997E-2</v>
      </c>
      <c r="Z3466">
        <v>1.748557E-3</v>
      </c>
      <c r="AA3466">
        <v>0.99500580000000005</v>
      </c>
      <c r="AB3466">
        <v>34</v>
      </c>
      <c r="AC3466">
        <v>23.4194999999999</v>
      </c>
      <c r="AD3466">
        <v>-1.110203441468</v>
      </c>
      <c r="AE3466">
        <v>2.6781999999999999</v>
      </c>
      <c r="AF3466">
        <v>-2.38385342490646</v>
      </c>
      <c r="AG3466">
        <v>-1.110203441468</v>
      </c>
      <c r="AH3466">
        <v>23.398847258864201</v>
      </c>
      <c r="AI3466">
        <v>92.702503536648905</v>
      </c>
      <c r="AJ3466">
        <v>95.817171518370202</v>
      </c>
      <c r="AK3466">
        <v>23.546153865897999</v>
      </c>
      <c r="AL3466">
        <v>80.073447968213401</v>
      </c>
      <c r="AM3466">
        <v>88.947355225779106</v>
      </c>
      <c r="AN3466">
        <v>0.999999991080886</v>
      </c>
    </row>
    <row r="3467" spans="1:40" x14ac:dyDescent="0.25">
      <c r="A3467" t="str">
        <f>"20190312172438315"</f>
        <v>20190312172438315</v>
      </c>
      <c r="B3467" t="str">
        <f>"1552382678303411"</f>
        <v>1552382678303411</v>
      </c>
      <c r="C3467" t="s">
        <v>40</v>
      </c>
      <c r="D3467">
        <v>3.6556649999999999</v>
      </c>
      <c r="E3467">
        <v>0.45535150000000002</v>
      </c>
      <c r="F3467" t="s">
        <v>47</v>
      </c>
      <c r="G3467">
        <v>-329.35059999999999</v>
      </c>
      <c r="H3467" s="1">
        <v>3.4391499999999999E-6</v>
      </c>
      <c r="I3467">
        <v>216.39169999999999</v>
      </c>
      <c r="J3467">
        <v>-350.77409999999998</v>
      </c>
      <c r="K3467">
        <v>1.1101909999999999</v>
      </c>
      <c r="L3467">
        <v>213.9502</v>
      </c>
      <c r="M3467">
        <v>0.99983880000000003</v>
      </c>
      <c r="N3467">
        <v>0</v>
      </c>
      <c r="O3467">
        <v>1.2396849999999999E-2</v>
      </c>
      <c r="P3467">
        <v>0.987209</v>
      </c>
      <c r="Q3467">
        <v>0.1593358</v>
      </c>
      <c r="R3467">
        <v>-5.5496119999999998E-3</v>
      </c>
      <c r="S3467">
        <v>3.066284</v>
      </c>
      <c r="T3467">
        <v>-0.15640950000000001</v>
      </c>
      <c r="U3467">
        <v>0.34457399999999999</v>
      </c>
      <c r="V3467">
        <v>1.7772389999999999E-2</v>
      </c>
      <c r="W3467">
        <v>0.1721451</v>
      </c>
      <c r="X3467">
        <v>0.98491130000000005</v>
      </c>
      <c r="Y3467">
        <v>-9.9231819999999998E-2</v>
      </c>
      <c r="Z3467">
        <v>1.891418E-3</v>
      </c>
      <c r="AA3467">
        <v>0.99506249999999996</v>
      </c>
      <c r="AB3467">
        <v>34</v>
      </c>
      <c r="AC3467">
        <v>21.423499999999901</v>
      </c>
      <c r="AD3467">
        <v>-1.11018756085</v>
      </c>
      <c r="AE3467">
        <v>2.4414999999999898</v>
      </c>
      <c r="AF3467">
        <v>-2.1699535144325601</v>
      </c>
      <c r="AG3467">
        <v>-1.11018756085</v>
      </c>
      <c r="AH3467">
        <v>21.395403969755002</v>
      </c>
      <c r="AI3467">
        <v>92.955227372386204</v>
      </c>
      <c r="AJ3467">
        <v>95.791220100569106</v>
      </c>
      <c r="AK3467">
        <v>21.5337996114032</v>
      </c>
      <c r="AL3467">
        <v>80.087437127692098</v>
      </c>
      <c r="AM3467">
        <v>88.966229304619404</v>
      </c>
      <c r="AN3467">
        <v>1.000000031084</v>
      </c>
    </row>
    <row r="3468" spans="1:40" x14ac:dyDescent="0.25">
      <c r="A3468" t="str">
        <f>"20190312172438336"</f>
        <v>20190312172438336</v>
      </c>
      <c r="B3468" t="str">
        <f>"1552382678323907"</f>
        <v>1552382678323907</v>
      </c>
      <c r="C3468" t="s">
        <v>40</v>
      </c>
      <c r="D3468">
        <v>3.6603400000000001</v>
      </c>
      <c r="E3468">
        <v>0.45530130000000002</v>
      </c>
      <c r="F3468" t="s">
        <v>47</v>
      </c>
      <c r="G3468">
        <v>-329.4101</v>
      </c>
      <c r="H3468" s="1">
        <v>3.4707929999999999E-6</v>
      </c>
      <c r="I3468">
        <v>216.36609999999999</v>
      </c>
      <c r="J3468">
        <v>-350.44650000000001</v>
      </c>
      <c r="K3468">
        <v>1.110188</v>
      </c>
      <c r="L3468">
        <v>213.95429999999999</v>
      </c>
      <c r="M3468">
        <v>0.99983940000000004</v>
      </c>
      <c r="N3468">
        <v>0</v>
      </c>
      <c r="O3468">
        <v>1.245482E-2</v>
      </c>
      <c r="P3468">
        <v>0.98713660000000003</v>
      </c>
      <c r="Q3468">
        <v>0.15979549999999901</v>
      </c>
      <c r="R3468">
        <v>-5.1647029999999997E-3</v>
      </c>
      <c r="S3468">
        <v>3.0665279999999999</v>
      </c>
      <c r="T3468">
        <v>-0.15935299999999999</v>
      </c>
      <c r="U3468">
        <v>0.3467712</v>
      </c>
      <c r="V3468">
        <v>1.7443179999999999E-2</v>
      </c>
      <c r="W3468">
        <v>0.17250299999999999</v>
      </c>
      <c r="X3468">
        <v>0.98485449999999997</v>
      </c>
      <c r="Y3468">
        <v>-9.9864419999999995E-2</v>
      </c>
      <c r="Z3468">
        <v>1.9401119999999999E-3</v>
      </c>
      <c r="AA3468">
        <v>0.99499919999999997</v>
      </c>
      <c r="AB3468">
        <v>34</v>
      </c>
      <c r="AC3468">
        <v>21.0364</v>
      </c>
      <c r="AD3468">
        <v>-1.1101845292070001</v>
      </c>
      <c r="AE3468">
        <v>2.4117999999999902</v>
      </c>
      <c r="AF3468">
        <v>-2.1436935352082802</v>
      </c>
      <c r="AG3468">
        <v>-1.1101845292070001</v>
      </c>
      <c r="AH3468">
        <v>21.007060485969301</v>
      </c>
      <c r="AI3468">
        <v>93.009561932221999</v>
      </c>
      <c r="AJ3468">
        <v>95.826654977089106</v>
      </c>
      <c r="AK3468">
        <v>21.145319149233899</v>
      </c>
      <c r="AL3468">
        <v>80.066618909784793</v>
      </c>
      <c r="AM3468">
        <v>88.985315992729497</v>
      </c>
      <c r="AN3468">
        <v>0.99999996785388001</v>
      </c>
    </row>
    <row r="3469" spans="1:40" x14ac:dyDescent="0.25">
      <c r="A3469" t="str">
        <f>"20190312172438359"</f>
        <v>20190312172438359</v>
      </c>
      <c r="B3469" t="str">
        <f>"1552382678354163"</f>
        <v>1552382678354163</v>
      </c>
      <c r="C3469" t="s">
        <v>40</v>
      </c>
      <c r="D3469">
        <v>3.6513040000000001</v>
      </c>
      <c r="E3469">
        <v>0.45493499999999998</v>
      </c>
      <c r="F3469" t="s">
        <v>47</v>
      </c>
      <c r="G3469">
        <v>-329.06459999999998</v>
      </c>
      <c r="H3469" s="1">
        <v>3.2869199999999902E-6</v>
      </c>
      <c r="I3469">
        <v>216.3879</v>
      </c>
      <c r="J3469">
        <v>-350.10969999999998</v>
      </c>
      <c r="K3469">
        <v>1.110187</v>
      </c>
      <c r="L3469">
        <v>213.95859999999999</v>
      </c>
      <c r="M3469">
        <v>0.99983999999999995</v>
      </c>
      <c r="N3469">
        <v>0</v>
      </c>
      <c r="O3469">
        <v>1.2513399999999999E-2</v>
      </c>
      <c r="P3469">
        <v>0.98707610000000001</v>
      </c>
      <c r="Q3469">
        <v>0.1601823</v>
      </c>
      <c r="R3469">
        <v>-4.7476819999999996E-3</v>
      </c>
      <c r="S3469">
        <v>3.066681</v>
      </c>
      <c r="T3469">
        <v>-0.1592269</v>
      </c>
      <c r="U3469">
        <v>0.34902949999999999</v>
      </c>
      <c r="V3469">
        <v>1.7082409999999999E-2</v>
      </c>
      <c r="W3469">
        <v>0.17279510000000001</v>
      </c>
      <c r="X3469">
        <v>0.98480959999999995</v>
      </c>
      <c r="Y3469">
        <v>-0.1005234</v>
      </c>
      <c r="Z3469">
        <v>1.9524169999999999E-3</v>
      </c>
      <c r="AA3469">
        <v>0.99493279999999995</v>
      </c>
      <c r="AB3469">
        <v>34</v>
      </c>
      <c r="AC3469">
        <v>21.045099999999898</v>
      </c>
      <c r="AD3469">
        <v>-1.1101837130800001</v>
      </c>
      <c r="AE3469">
        <v>2.4293000000000098</v>
      </c>
      <c r="AF3469">
        <v>-2.1598111270063201</v>
      </c>
      <c r="AG3469">
        <v>-1.1101837130800001</v>
      </c>
      <c r="AH3469">
        <v>21.016137844240799</v>
      </c>
      <c r="AI3469">
        <v>93.008042252672297</v>
      </c>
      <c r="AJ3469">
        <v>95.8676407578956</v>
      </c>
      <c r="AK3469">
        <v>21.155976504743499</v>
      </c>
      <c r="AL3469">
        <v>80.049627499716806</v>
      </c>
      <c r="AM3469">
        <v>89.006252729019096</v>
      </c>
      <c r="AN3469">
        <v>0.99999995178378698</v>
      </c>
    </row>
    <row r="3470" spans="1:40" x14ac:dyDescent="0.25">
      <c r="A3470" t="str">
        <f>"20190312172438382"</f>
        <v>20190312172438382</v>
      </c>
      <c r="B3470" t="str">
        <f>"1552382678373683"</f>
        <v>1552382678373683</v>
      </c>
      <c r="C3470" t="s">
        <v>40</v>
      </c>
      <c r="D3470">
        <v>3.6689129999999999</v>
      </c>
      <c r="E3470">
        <v>0.45484039999999998</v>
      </c>
      <c r="F3470" t="s">
        <v>47</v>
      </c>
      <c r="G3470">
        <v>-328.6506</v>
      </c>
      <c r="H3470" s="1">
        <v>3.0666220000000002E-6</v>
      </c>
      <c r="I3470">
        <v>216.43180000000001</v>
      </c>
      <c r="J3470">
        <v>-349.75650000000002</v>
      </c>
      <c r="K3470">
        <v>1.1101810000000001</v>
      </c>
      <c r="L3470">
        <v>213.9631</v>
      </c>
      <c r="M3470">
        <v>0.99984030000000002</v>
      </c>
      <c r="N3470">
        <v>0</v>
      </c>
      <c r="O3470">
        <v>1.2576510000000001E-2</v>
      </c>
      <c r="P3470">
        <v>0.98700449999999995</v>
      </c>
      <c r="Q3470">
        <v>0.16063649999999999</v>
      </c>
      <c r="R3470">
        <v>-4.2757680000000001E-3</v>
      </c>
      <c r="S3470">
        <v>3.0667719999999998</v>
      </c>
      <c r="T3470">
        <v>-0.15865889999999999</v>
      </c>
      <c r="U3470">
        <v>0.35345460000000001</v>
      </c>
      <c r="V3470">
        <v>1.6671330000000002E-2</v>
      </c>
      <c r="W3470">
        <v>0.17316049999999999</v>
      </c>
      <c r="X3470">
        <v>0.98475250000000003</v>
      </c>
      <c r="Y3470">
        <v>-0.1018733</v>
      </c>
      <c r="Z3470">
        <v>1.9767769999999999E-3</v>
      </c>
      <c r="AA3470">
        <v>0.9947954</v>
      </c>
      <c r="AB3470">
        <v>34</v>
      </c>
      <c r="AC3470">
        <v>21.105899999999998</v>
      </c>
      <c r="AD3470">
        <v>-1.110177933378</v>
      </c>
      <c r="AE3470">
        <v>2.4687000000000099</v>
      </c>
      <c r="AF3470">
        <v>-2.1970480210614198</v>
      </c>
      <c r="AG3470">
        <v>-1.110177933378</v>
      </c>
      <c r="AH3470">
        <v>21.077749878073899</v>
      </c>
      <c r="AI3470">
        <v>92.998800499962201</v>
      </c>
      <c r="AJ3470">
        <v>95.950759774749201</v>
      </c>
      <c r="AK3470">
        <v>21.221005041544402</v>
      </c>
      <c r="AL3470">
        <v>80.028371573541193</v>
      </c>
      <c r="AM3470">
        <v>89.030105931904004</v>
      </c>
      <c r="AN3470">
        <v>0.99999998913023402</v>
      </c>
    </row>
    <row r="3471" spans="1:40" x14ac:dyDescent="0.25">
      <c r="A3471" t="str">
        <f>"20190312172438404"</f>
        <v>20190312172438404</v>
      </c>
      <c r="B3471" t="str">
        <f>"1552382678394179"</f>
        <v>1552382678394179</v>
      </c>
      <c r="C3471" t="s">
        <v>40</v>
      </c>
      <c r="D3471">
        <v>3.6431179999999999</v>
      </c>
      <c r="E3471">
        <v>0.45480389999999998</v>
      </c>
      <c r="F3471" t="s">
        <v>47</v>
      </c>
      <c r="G3471">
        <v>-328.2704</v>
      </c>
      <c r="H3471" s="1">
        <v>2.8642879999999999E-6</v>
      </c>
      <c r="I3471">
        <v>216.4554</v>
      </c>
      <c r="J3471">
        <v>-349.40339999999998</v>
      </c>
      <c r="K3471">
        <v>1.1101780000000001</v>
      </c>
      <c r="L3471">
        <v>213.9676</v>
      </c>
      <c r="M3471">
        <v>0.99984039999999996</v>
      </c>
      <c r="N3471">
        <v>0</v>
      </c>
      <c r="O3471">
        <v>1.2641319999999999E-2</v>
      </c>
      <c r="P3471">
        <v>0.98701669999999997</v>
      </c>
      <c r="Q3471">
        <v>0.1605675</v>
      </c>
      <c r="R3471">
        <v>-4.0438519999999997E-3</v>
      </c>
      <c r="S3471">
        <v>3.0668030000000002</v>
      </c>
      <c r="T3471">
        <v>-0.15845999999999999</v>
      </c>
      <c r="U3471">
        <v>0.35574339999999999</v>
      </c>
      <c r="V3471">
        <v>1.6503339999999998E-2</v>
      </c>
      <c r="W3471">
        <v>0.1730149</v>
      </c>
      <c r="X3471">
        <v>0.98478089999999996</v>
      </c>
      <c r="Y3471">
        <v>-0.1025399</v>
      </c>
      <c r="Z3471">
        <v>1.9880169999999999E-3</v>
      </c>
      <c r="AA3471">
        <v>0.99472689999999997</v>
      </c>
      <c r="AB3471">
        <v>34</v>
      </c>
      <c r="AC3471">
        <v>21.1329999999999</v>
      </c>
      <c r="AD3471">
        <v>-1.110175135712</v>
      </c>
      <c r="AE3471">
        <v>2.4877999999999898</v>
      </c>
      <c r="AF3471">
        <v>-2.2144033344067902</v>
      </c>
      <c r="AG3471">
        <v>-1.110175135712</v>
      </c>
      <c r="AH3471">
        <v>21.105314639713399</v>
      </c>
      <c r="AI3471">
        <v>92.994671301406299</v>
      </c>
      <c r="AJ3471">
        <v>95.989649784182106</v>
      </c>
      <c r="AK3471">
        <v>21.250185340384299</v>
      </c>
      <c r="AL3471">
        <v>80.036841475102193</v>
      </c>
      <c r="AM3471">
        <v>89.039904992531106</v>
      </c>
      <c r="AN3471">
        <v>0.99999996842898697</v>
      </c>
    </row>
    <row r="3472" spans="1:40" x14ac:dyDescent="0.25">
      <c r="A3472" t="str">
        <f>"20190312172438426"</f>
        <v>20190312172438426</v>
      </c>
      <c r="B3472" t="str">
        <f>"1552382678413699"</f>
        <v>1552382678413699</v>
      </c>
      <c r="C3472" t="s">
        <v>40</v>
      </c>
      <c r="D3472">
        <v>3.6581899999999998</v>
      </c>
      <c r="E3472">
        <v>0.45469320000000002</v>
      </c>
      <c r="F3472" t="s">
        <v>47</v>
      </c>
      <c r="G3472">
        <v>-328.14580000000001</v>
      </c>
      <c r="H3472" s="1">
        <v>2.7980000000000001E-6</v>
      </c>
      <c r="I3472">
        <v>216.44030000000001</v>
      </c>
      <c r="J3472">
        <v>-349.07420000000002</v>
      </c>
      <c r="K3472">
        <v>1.1101749999999999</v>
      </c>
      <c r="L3472">
        <v>213.9718</v>
      </c>
      <c r="M3472">
        <v>0.99984050000000002</v>
      </c>
      <c r="N3472">
        <v>0</v>
      </c>
      <c r="O3472">
        <v>1.2702700000000001E-2</v>
      </c>
      <c r="P3472">
        <v>0.98694369999999998</v>
      </c>
      <c r="Q3472">
        <v>0.1610327</v>
      </c>
      <c r="R3472">
        <v>-3.3419790000000001E-3</v>
      </c>
      <c r="S3472">
        <v>3.0670169999999999</v>
      </c>
      <c r="T3472">
        <v>-0.16017439999999999</v>
      </c>
      <c r="U3472">
        <v>0.35676570000000002</v>
      </c>
      <c r="V3472">
        <v>1.586129E-2</v>
      </c>
      <c r="W3472">
        <v>0.17341599999999999</v>
      </c>
      <c r="X3472">
        <v>0.98472090000000001</v>
      </c>
      <c r="Y3472">
        <v>-0.10279530000000001</v>
      </c>
      <c r="Z3472">
        <v>2.012771E-3</v>
      </c>
      <c r="AA3472">
        <v>0.99470049999999999</v>
      </c>
      <c r="AB3472">
        <v>34</v>
      </c>
      <c r="AC3472">
        <v>20.9284</v>
      </c>
      <c r="AD3472">
        <v>-1.110172202</v>
      </c>
      <c r="AE3472">
        <v>2.4685000000000001</v>
      </c>
      <c r="AF3472">
        <v>-2.1963371918174399</v>
      </c>
      <c r="AG3472">
        <v>-1.110172202</v>
      </c>
      <c r="AH3472">
        <v>20.9000665252468</v>
      </c>
      <c r="AI3472">
        <v>93.023966002556406</v>
      </c>
      <c r="AJ3472">
        <v>95.999055548882197</v>
      </c>
      <c r="AK3472">
        <v>21.0444567555923</v>
      </c>
      <c r="AL3472">
        <v>80.013507436640296</v>
      </c>
      <c r="AM3472">
        <v>89.077193961608799</v>
      </c>
      <c r="AN3472">
        <v>0.999999970236636</v>
      </c>
    </row>
    <row r="3473" spans="1:40" x14ac:dyDescent="0.25">
      <c r="A3473" t="str">
        <f>"20190312172438448"</f>
        <v>20190312172438448</v>
      </c>
      <c r="B3473" t="str">
        <f>"1552382678443955"</f>
        <v>1552382678443955</v>
      </c>
      <c r="C3473" t="s">
        <v>40</v>
      </c>
      <c r="D3473">
        <v>3.6224569999999998</v>
      </c>
      <c r="E3473">
        <v>0.45463429999999999</v>
      </c>
      <c r="F3473" t="s">
        <v>47</v>
      </c>
      <c r="G3473">
        <v>-327.79059999999998</v>
      </c>
      <c r="H3473" s="1">
        <v>2.6089690000000001E-6</v>
      </c>
      <c r="I3473">
        <v>216.47280000000001</v>
      </c>
      <c r="J3473">
        <v>-348.74040000000002</v>
      </c>
      <c r="K3473">
        <v>1.110168</v>
      </c>
      <c r="L3473">
        <v>213.9761</v>
      </c>
      <c r="M3473">
        <v>0.99984039999999996</v>
      </c>
      <c r="N3473">
        <v>0</v>
      </c>
      <c r="O3473">
        <v>1.276505E-2</v>
      </c>
      <c r="P3473">
        <v>0.98684930000000004</v>
      </c>
      <c r="Q3473">
        <v>0.1616088</v>
      </c>
      <c r="R3473">
        <v>-3.330061E-3</v>
      </c>
      <c r="S3473">
        <v>3.0670169999999999</v>
      </c>
      <c r="T3473">
        <v>-0.15997790000000001</v>
      </c>
      <c r="U3473">
        <v>0.36039729999999998</v>
      </c>
      <c r="V3473">
        <v>1.5909670000000001E-2</v>
      </c>
      <c r="W3473">
        <v>0.17393439999999999</v>
      </c>
      <c r="X3473">
        <v>0.98462870000000002</v>
      </c>
      <c r="Y3473">
        <v>-0.103894</v>
      </c>
      <c r="Z3473">
        <v>2.0354710000000001E-3</v>
      </c>
      <c r="AA3473">
        <v>0.99458630000000003</v>
      </c>
      <c r="AB3473">
        <v>34</v>
      </c>
      <c r="AC3473">
        <v>20.9498</v>
      </c>
      <c r="AD3473">
        <v>-1.1101653910310001</v>
      </c>
      <c r="AE3473">
        <v>2.4967000000000001</v>
      </c>
      <c r="AF3473">
        <v>-2.2228956664747002</v>
      </c>
      <c r="AG3473">
        <v>-1.1101653910310001</v>
      </c>
      <c r="AH3473">
        <v>20.922036972515201</v>
      </c>
      <c r="AI3473">
        <v>93.020412711019802</v>
      </c>
      <c r="AJ3473">
        <v>96.064730824616205</v>
      </c>
      <c r="AK3473">
        <v>21.069061759337199</v>
      </c>
      <c r="AL3473">
        <v>79.983347103269594</v>
      </c>
      <c r="AM3473">
        <v>89.074293054405302</v>
      </c>
      <c r="AN3473">
        <v>0.99999998498327902</v>
      </c>
    </row>
    <row r="3474" spans="1:40" x14ac:dyDescent="0.25">
      <c r="A3474" t="str">
        <f>"20190312172438471"</f>
        <v>20190312172438471</v>
      </c>
      <c r="B3474" t="str">
        <f>"1552382678463475"</f>
        <v>1552382678463475</v>
      </c>
      <c r="C3474" t="s">
        <v>40</v>
      </c>
      <c r="D3474">
        <v>3.641635</v>
      </c>
      <c r="E3474">
        <v>0.45459110000000003</v>
      </c>
      <c r="F3474" t="s">
        <v>47</v>
      </c>
      <c r="G3474">
        <v>-327.44499999999999</v>
      </c>
      <c r="H3474" s="1">
        <v>2.4250789999999999E-6</v>
      </c>
      <c r="I3474">
        <v>216.48240000000001</v>
      </c>
      <c r="J3474">
        <v>-348.38510000000002</v>
      </c>
      <c r="K3474">
        <v>1.1101669999999999</v>
      </c>
      <c r="L3474">
        <v>213.98070000000001</v>
      </c>
      <c r="M3474">
        <v>0.99984030000000002</v>
      </c>
      <c r="N3474">
        <v>0</v>
      </c>
      <c r="O3474">
        <v>1.283071E-2</v>
      </c>
      <c r="P3474">
        <v>0.98681750000000001</v>
      </c>
      <c r="Q3474">
        <v>0.16180229999999901</v>
      </c>
      <c r="R3474">
        <v>-3.3979349999999999E-3</v>
      </c>
      <c r="S3474">
        <v>3.067383</v>
      </c>
      <c r="T3474">
        <v>-0.15990789999999999</v>
      </c>
      <c r="U3474">
        <v>0.36100769999999999</v>
      </c>
      <c r="V3474">
        <v>1.6041710000000001E-2</v>
      </c>
      <c r="W3474">
        <v>0.17407529999999999</v>
      </c>
      <c r="X3474">
        <v>0.98460170000000002</v>
      </c>
      <c r="Y3474">
        <v>-0.104010199999999</v>
      </c>
      <c r="Z3474">
        <v>2.033927E-3</v>
      </c>
      <c r="AA3474">
        <v>0.99457410000000002</v>
      </c>
      <c r="AB3474">
        <v>34</v>
      </c>
      <c r="AC3474">
        <v>20.940100000000001</v>
      </c>
      <c r="AD3474">
        <v>-1.1101645749209901</v>
      </c>
      <c r="AE3474">
        <v>2.5017</v>
      </c>
      <c r="AF3474">
        <v>-2.22662654476418</v>
      </c>
      <c r="AG3474">
        <v>-1.1101645749209901</v>
      </c>
      <c r="AH3474">
        <v>20.912525020449198</v>
      </c>
      <c r="AI3474">
        <v>93.021709846390493</v>
      </c>
      <c r="AJ3474">
        <v>96.077576168578602</v>
      </c>
      <c r="AK3474">
        <v>21.060010301141102</v>
      </c>
      <c r="AL3474">
        <v>79.975149491491194</v>
      </c>
      <c r="AM3474">
        <v>89.066586046315507</v>
      </c>
      <c r="AN3474">
        <v>1.0000000270863501</v>
      </c>
    </row>
    <row r="3475" spans="1:40" x14ac:dyDescent="0.25">
      <c r="A3475" t="str">
        <f>"20190312172438493"</f>
        <v>20190312172438493</v>
      </c>
      <c r="B3475" t="str">
        <f>"1552382678483971"</f>
        <v>1552382678483971</v>
      </c>
      <c r="C3475" t="s">
        <v>40</v>
      </c>
      <c r="D3475">
        <v>3.618652</v>
      </c>
      <c r="E3475">
        <v>0.45453440000000001</v>
      </c>
      <c r="F3475" t="s">
        <v>47</v>
      </c>
      <c r="G3475">
        <v>-327.05700000000002</v>
      </c>
      <c r="H3475" s="1">
        <v>2.2186050000000002E-6</v>
      </c>
      <c r="I3475">
        <v>216.49100000000001</v>
      </c>
      <c r="J3475">
        <v>-348.0521</v>
      </c>
      <c r="K3475">
        <v>1.1101669999999999</v>
      </c>
      <c r="L3475">
        <v>213.98500000000001</v>
      </c>
      <c r="M3475">
        <v>0.99984010000000001</v>
      </c>
      <c r="N3475">
        <v>0</v>
      </c>
      <c r="O3475">
        <v>1.28916E-2</v>
      </c>
      <c r="P3475">
        <v>0.98686169999999995</v>
      </c>
      <c r="Q3475">
        <v>0.1615269</v>
      </c>
      <c r="R3475">
        <v>-3.6430550000000001E-3</v>
      </c>
      <c r="S3475">
        <v>3.0675050000000001</v>
      </c>
      <c r="T3475">
        <v>-0.159668899999999</v>
      </c>
      <c r="U3475">
        <v>0.36103819999999998</v>
      </c>
      <c r="V3475">
        <v>1.6347520000000001E-2</v>
      </c>
      <c r="W3475">
        <v>0.17375789999999999</v>
      </c>
      <c r="X3475">
        <v>0.98465270000000005</v>
      </c>
      <c r="Y3475">
        <v>-0.1039554</v>
      </c>
      <c r="Z3475">
        <v>2.0262320000000002E-3</v>
      </c>
      <c r="AA3475">
        <v>0.99457989999999996</v>
      </c>
      <c r="AB3475">
        <v>34</v>
      </c>
      <c r="AC3475">
        <v>20.995099999999901</v>
      </c>
      <c r="AD3475">
        <v>-1.110164781395</v>
      </c>
      <c r="AE3475">
        <v>2.50599999999997</v>
      </c>
      <c r="AF3475">
        <v>-2.228965830356</v>
      </c>
      <c r="AG3475">
        <v>-1.110164781395</v>
      </c>
      <c r="AH3475">
        <v>20.967861003619099</v>
      </c>
      <c r="AI3475">
        <v>93.013804191416796</v>
      </c>
      <c r="AJ3475">
        <v>96.067977361091906</v>
      </c>
      <c r="AK3475">
        <v>21.115206595764999</v>
      </c>
      <c r="AL3475">
        <v>79.993616272918104</v>
      </c>
      <c r="AM3475">
        <v>89.048844472967005</v>
      </c>
      <c r="AN3475">
        <v>0.99999999441992504</v>
      </c>
    </row>
    <row r="3476" spans="1:40" x14ac:dyDescent="0.25">
      <c r="A3476" t="str">
        <f>"20190312172438515"</f>
        <v>20190312172438515</v>
      </c>
      <c r="B3476" t="str">
        <f>"1552382678503491"</f>
        <v>1552382678503491</v>
      </c>
      <c r="C3476" t="s">
        <v>40</v>
      </c>
      <c r="D3476">
        <v>3.652828</v>
      </c>
      <c r="E3476">
        <v>0.4544955</v>
      </c>
      <c r="F3476" t="s">
        <v>47</v>
      </c>
      <c r="G3476">
        <v>-327.01339999999999</v>
      </c>
      <c r="H3476" s="1">
        <v>2.1953820000000001E-6</v>
      </c>
      <c r="I3476">
        <v>216.45849999999999</v>
      </c>
      <c r="J3476">
        <v>-347.7217</v>
      </c>
      <c r="K3476">
        <v>1.110158</v>
      </c>
      <c r="L3476">
        <v>213.98939999999999</v>
      </c>
      <c r="M3476">
        <v>0.9998397</v>
      </c>
      <c r="N3476">
        <v>0</v>
      </c>
      <c r="O3476">
        <v>1.295233E-2</v>
      </c>
      <c r="P3476">
        <v>0.98689199999999999</v>
      </c>
      <c r="Q3476">
        <v>0.1613387</v>
      </c>
      <c r="R3476">
        <v>-3.7595609999999998E-3</v>
      </c>
      <c r="S3476">
        <v>3.0678100000000001</v>
      </c>
      <c r="T3476">
        <v>-0.16188129999999901</v>
      </c>
      <c r="U3476">
        <v>0.36067199999999999</v>
      </c>
      <c r="V3476">
        <v>1.6524239999999999E-2</v>
      </c>
      <c r="W3476">
        <v>0.17353289999999999</v>
      </c>
      <c r="X3476">
        <v>0.98468940000000005</v>
      </c>
      <c r="Y3476">
        <v>-0.1037633</v>
      </c>
      <c r="Z3476">
        <v>2.0458450000000001E-3</v>
      </c>
      <c r="AA3476">
        <v>0.99459989999999998</v>
      </c>
      <c r="AB3476">
        <v>34</v>
      </c>
      <c r="AC3476">
        <v>20.708300000000001</v>
      </c>
      <c r="AD3476">
        <v>-1.110155804618</v>
      </c>
      <c r="AE3476">
        <v>2.4690999999999899</v>
      </c>
      <c r="AF3476">
        <v>-2.1944333299115599</v>
      </c>
      <c r="AG3476">
        <v>-1.110155804618</v>
      </c>
      <c r="AH3476">
        <v>20.679945643250601</v>
      </c>
      <c r="AI3476">
        <v>93.055720882746797</v>
      </c>
      <c r="AJ3476">
        <v>96.057221417439493</v>
      </c>
      <c r="AK3476">
        <v>20.825660502316701</v>
      </c>
      <c r="AL3476">
        <v>80.006706404754198</v>
      </c>
      <c r="AM3476">
        <v>89.038600035516296</v>
      </c>
      <c r="AN3476">
        <v>0.99999996618117304</v>
      </c>
    </row>
    <row r="3477" spans="1:40" x14ac:dyDescent="0.25">
      <c r="A3477" t="str">
        <f>"20190312172438536"</f>
        <v>20190312172438536</v>
      </c>
      <c r="B3477" t="str">
        <f>"1552382678523988"</f>
        <v>1552382678523988</v>
      </c>
      <c r="C3477" t="s">
        <v>40</v>
      </c>
      <c r="D3477">
        <v>3.6614390000000001</v>
      </c>
      <c r="E3477">
        <v>0.4544395</v>
      </c>
      <c r="F3477" t="s">
        <v>47</v>
      </c>
      <c r="G3477">
        <v>-326.83760000000001</v>
      </c>
      <c r="H3477" s="1">
        <v>2.101864E-6</v>
      </c>
      <c r="I3477">
        <v>216.44290000000001</v>
      </c>
      <c r="J3477">
        <v>-347.39940000000001</v>
      </c>
      <c r="K3477">
        <v>1.1101589999999999</v>
      </c>
      <c r="L3477">
        <v>213.99359999999999</v>
      </c>
      <c r="M3477">
        <v>0.99983940000000004</v>
      </c>
      <c r="N3477">
        <v>0</v>
      </c>
      <c r="O3477">
        <v>1.30113E-2</v>
      </c>
      <c r="P3477">
        <v>0.98692979999999997</v>
      </c>
      <c r="Q3477">
        <v>0.1611089</v>
      </c>
      <c r="R3477">
        <v>-3.706502E-3</v>
      </c>
      <c r="S3477">
        <v>3.0679020000000001</v>
      </c>
      <c r="T3477">
        <v>-0.1630839</v>
      </c>
      <c r="U3477">
        <v>0.36042790000000002</v>
      </c>
      <c r="V3477">
        <v>1.6529889999999998E-2</v>
      </c>
      <c r="W3477">
        <v>0.17327229999999999</v>
      </c>
      <c r="X3477">
        <v>0.98473529999999998</v>
      </c>
      <c r="Y3477">
        <v>-0.10362159999999999</v>
      </c>
      <c r="Z3477">
        <v>2.0540990000000002E-3</v>
      </c>
      <c r="AA3477">
        <v>0.99461469999999996</v>
      </c>
      <c r="AB3477">
        <v>34</v>
      </c>
      <c r="AC3477">
        <v>20.561800000000002</v>
      </c>
      <c r="AD3477">
        <v>-1.1101568981359999</v>
      </c>
      <c r="AE3477">
        <v>2.44930000000002</v>
      </c>
      <c r="AF3477">
        <v>-2.1752842143332001</v>
      </c>
      <c r="AG3477">
        <v>-1.1101568981359999</v>
      </c>
      <c r="AH3477">
        <v>20.5329130476707</v>
      </c>
      <c r="AI3477">
        <v>93.077619109960395</v>
      </c>
      <c r="AJ3477">
        <v>96.047434082887605</v>
      </c>
      <c r="AK3477">
        <v>20.677640773908699</v>
      </c>
      <c r="AL3477">
        <v>80.021868396229394</v>
      </c>
      <c r="AM3477">
        <v>89.038316192722704</v>
      </c>
      <c r="AN3477">
        <v>1.0000000691383899</v>
      </c>
    </row>
    <row r="3478" spans="1:40" x14ac:dyDescent="0.25">
      <c r="A3478" t="str">
        <f>"20190312172438559"</f>
        <v>20190312172438559</v>
      </c>
      <c r="B3478" t="str">
        <f>"1552382678554244"</f>
        <v>1552382678554244</v>
      </c>
      <c r="C3478" t="s">
        <v>40</v>
      </c>
      <c r="D3478">
        <v>3.6552359999999999</v>
      </c>
      <c r="E3478">
        <v>0.45436290000000001</v>
      </c>
      <c r="F3478" t="s">
        <v>47</v>
      </c>
      <c r="G3478">
        <v>-326.70359999999999</v>
      </c>
      <c r="H3478" s="1">
        <v>2.0305220000000001E-6</v>
      </c>
      <c r="I3478">
        <v>216.42869999999999</v>
      </c>
      <c r="J3478">
        <v>-347.0489</v>
      </c>
      <c r="K3478">
        <v>1.1101540000000001</v>
      </c>
      <c r="L3478">
        <v>213.9983</v>
      </c>
      <c r="M3478">
        <v>0.99983889999999997</v>
      </c>
      <c r="N3478">
        <v>0</v>
      </c>
      <c r="O3478">
        <v>1.3075969999999999E-2</v>
      </c>
      <c r="P3478">
        <v>0.98695679999999997</v>
      </c>
      <c r="Q3478">
        <v>0.16094269999999999</v>
      </c>
      <c r="R3478">
        <v>-3.7991850000000001E-3</v>
      </c>
      <c r="S3478">
        <v>3.0679630000000002</v>
      </c>
      <c r="T3478">
        <v>-0.1645703</v>
      </c>
      <c r="U3478">
        <v>0.3609772</v>
      </c>
      <c r="V3478">
        <v>1.6686610000000001E-2</v>
      </c>
      <c r="W3478">
        <v>0.17307649999999999</v>
      </c>
      <c r="X3478">
        <v>0.98476699999999995</v>
      </c>
      <c r="Y3478">
        <v>-0.1037283</v>
      </c>
      <c r="Z3478">
        <v>2.0721279999999999E-3</v>
      </c>
      <c r="AA3478">
        <v>0.99460349999999997</v>
      </c>
      <c r="AB3478">
        <v>34</v>
      </c>
      <c r="AC3478">
        <v>20.345300000000002</v>
      </c>
      <c r="AD3478">
        <v>-1.110151969478</v>
      </c>
      <c r="AE3478">
        <v>2.4303999999999899</v>
      </c>
      <c r="AF3478">
        <v>-2.1578032920301902</v>
      </c>
      <c r="AG3478">
        <v>-1.110151969478</v>
      </c>
      <c r="AH3478">
        <v>20.315705687246702</v>
      </c>
      <c r="AI3478">
        <v>93.110357080093294</v>
      </c>
      <c r="AJ3478">
        <v>96.062857515487295</v>
      </c>
      <c r="AK3478">
        <v>20.4601185239299</v>
      </c>
      <c r="AL3478">
        <v>80.033258120886899</v>
      </c>
      <c r="AM3478">
        <v>89.029231443152398</v>
      </c>
      <c r="AN3478">
        <v>0.99999998104726995</v>
      </c>
    </row>
    <row r="3479" spans="1:40" x14ac:dyDescent="0.25">
      <c r="A3479" t="str">
        <f>"20190312172438583"</f>
        <v>20190312172438583</v>
      </c>
      <c r="B3479" t="str">
        <f>"1552382678573764"</f>
        <v>1552382678573764</v>
      </c>
      <c r="C3479" t="s">
        <v>40</v>
      </c>
      <c r="D3479">
        <v>3.613642</v>
      </c>
      <c r="E3479">
        <v>0.45427849999999997</v>
      </c>
      <c r="F3479" t="s">
        <v>47</v>
      </c>
      <c r="G3479">
        <v>-326.53539999999998</v>
      </c>
      <c r="H3479" s="1">
        <v>1.9410390000000002E-6</v>
      </c>
      <c r="I3479">
        <v>216.41290000000001</v>
      </c>
      <c r="J3479">
        <v>-346.6891</v>
      </c>
      <c r="K3479">
        <v>1.1101479999999999</v>
      </c>
      <c r="L3479">
        <v>214.00299999999999</v>
      </c>
      <c r="M3479">
        <v>0.99983820000000001</v>
      </c>
      <c r="N3479">
        <v>0</v>
      </c>
      <c r="O3479">
        <v>1.314241E-2</v>
      </c>
      <c r="P3479">
        <v>0.98693050000000004</v>
      </c>
      <c r="Q3479">
        <v>0.16110679999999999</v>
      </c>
      <c r="R3479">
        <v>-3.603967E-3</v>
      </c>
      <c r="S3479">
        <v>3.068146</v>
      </c>
      <c r="T3479">
        <v>-0.166042299999999</v>
      </c>
      <c r="U3479">
        <v>0.36114499999999999</v>
      </c>
      <c r="V3479">
        <v>1.655672E-2</v>
      </c>
      <c r="W3479">
        <v>0.17321410000000001</v>
      </c>
      <c r="X3479">
        <v>0.98474499999999998</v>
      </c>
      <c r="Y3479">
        <v>-0.1037068</v>
      </c>
      <c r="Z3479">
        <v>2.086348E-3</v>
      </c>
      <c r="AA3479">
        <v>0.99460570000000004</v>
      </c>
      <c r="AB3479">
        <v>34</v>
      </c>
      <c r="AC3479">
        <v>20.153700000000001</v>
      </c>
      <c r="AD3479">
        <v>-1.1101460589609999</v>
      </c>
      <c r="AE3479">
        <v>2.4099000000000199</v>
      </c>
      <c r="AF3479">
        <v>-2.1384066853883898</v>
      </c>
      <c r="AG3479">
        <v>-1.1101460589609999</v>
      </c>
      <c r="AH3479">
        <v>20.1234347550234</v>
      </c>
      <c r="AI3479">
        <v>93.139982586755394</v>
      </c>
      <c r="AJ3479">
        <v>96.065743826158695</v>
      </c>
      <c r="AK3479">
        <v>20.267161462918899</v>
      </c>
      <c r="AL3479">
        <v>80.025253331097204</v>
      </c>
      <c r="AM3479">
        <v>89.036765044501706</v>
      </c>
      <c r="AN3479">
        <v>0.99999998222048403</v>
      </c>
    </row>
    <row r="3480" spans="1:40" x14ac:dyDescent="0.25">
      <c r="A3480" t="str">
        <f>"20190312172438605"</f>
        <v>20190312172438605</v>
      </c>
      <c r="B3480" t="str">
        <f>"1552382678594259"</f>
        <v>1552382678594259</v>
      </c>
      <c r="C3480" t="s">
        <v>40</v>
      </c>
      <c r="D3480">
        <v>3.6436139999999999</v>
      </c>
      <c r="E3480">
        <v>0.4542253</v>
      </c>
      <c r="F3480" t="s">
        <v>47</v>
      </c>
      <c r="G3480">
        <v>-326.07639999999998</v>
      </c>
      <c r="H3480" s="1">
        <v>1.6967950000000001E-6</v>
      </c>
      <c r="I3480">
        <v>216.43879999999999</v>
      </c>
      <c r="J3480">
        <v>-346.3494</v>
      </c>
      <c r="K3480">
        <v>1.1101479999999999</v>
      </c>
      <c r="L3480">
        <v>214.0076</v>
      </c>
      <c r="M3480">
        <v>0.9998378</v>
      </c>
      <c r="N3480">
        <v>0</v>
      </c>
      <c r="O3480">
        <v>1.320492E-2</v>
      </c>
      <c r="P3480">
        <v>0.98691050000000002</v>
      </c>
      <c r="Q3480">
        <v>0.1612343</v>
      </c>
      <c r="R3480">
        <v>-3.3762559999999998E-3</v>
      </c>
      <c r="S3480">
        <v>3.067993</v>
      </c>
      <c r="T3480">
        <v>-0.16523460000000001</v>
      </c>
      <c r="U3480">
        <v>0.36253360000000001</v>
      </c>
      <c r="V3480">
        <v>1.6390490000000001E-2</v>
      </c>
      <c r="W3480">
        <v>0.173315</v>
      </c>
      <c r="X3480">
        <v>0.98473010000000005</v>
      </c>
      <c r="Y3480">
        <v>-0.1040951</v>
      </c>
      <c r="Z3480">
        <v>2.0833240000000001E-3</v>
      </c>
      <c r="AA3480">
        <v>0.99456520000000004</v>
      </c>
      <c r="AB3480">
        <v>34</v>
      </c>
      <c r="AC3480">
        <v>20.273</v>
      </c>
      <c r="AD3480">
        <v>-1.1101463032050001</v>
      </c>
      <c r="AE3480">
        <v>2.4311999999999898</v>
      </c>
      <c r="AF3480">
        <v>-2.1568885352366198</v>
      </c>
      <c r="AG3480">
        <v>-1.1101463032050001</v>
      </c>
      <c r="AH3480">
        <v>20.243496025861798</v>
      </c>
      <c r="AI3480">
        <v>93.121304750086395</v>
      </c>
      <c r="AJ3480">
        <v>96.081762139468097</v>
      </c>
      <c r="AK3480">
        <v>20.388323234563298</v>
      </c>
      <c r="AL3480">
        <v>80.019384125972095</v>
      </c>
      <c r="AM3480">
        <v>89.046419733820301</v>
      </c>
      <c r="AN3480">
        <v>1.00000005361672</v>
      </c>
    </row>
    <row r="3481" spans="1:40" x14ac:dyDescent="0.25">
      <c r="A3481" t="str">
        <f>"20190312172438627"</f>
        <v>20190312172438627</v>
      </c>
      <c r="B3481" t="str">
        <f>"1552382678613780"</f>
        <v>1552382678613780</v>
      </c>
      <c r="C3481" t="s">
        <v>40</v>
      </c>
      <c r="D3481">
        <v>3.6239750000000002</v>
      </c>
      <c r="E3481">
        <v>0.45416210000000001</v>
      </c>
      <c r="F3481" t="s">
        <v>47</v>
      </c>
      <c r="G3481">
        <v>-325.69929999999999</v>
      </c>
      <c r="H3481" s="1">
        <v>1.4960820000000001E-6</v>
      </c>
      <c r="I3481">
        <v>216.45519999999999</v>
      </c>
      <c r="J3481">
        <v>-346.0197</v>
      </c>
      <c r="K3481">
        <v>1.1101479999999999</v>
      </c>
      <c r="L3481">
        <v>214.012</v>
      </c>
      <c r="M3481">
        <v>0.99983730000000004</v>
      </c>
      <c r="N3481">
        <v>0</v>
      </c>
      <c r="O3481">
        <v>1.326516E-2</v>
      </c>
      <c r="P3481">
        <v>0.98690180000000005</v>
      </c>
      <c r="Q3481">
        <v>0.16128879999999901</v>
      </c>
      <c r="R3481">
        <v>-3.3026560000000002E-3</v>
      </c>
      <c r="S3481">
        <v>3.067993</v>
      </c>
      <c r="T3481">
        <v>-0.16493479999999999</v>
      </c>
      <c r="U3481">
        <v>0.36364750000000001</v>
      </c>
      <c r="V3481">
        <v>1.6376599999999901E-2</v>
      </c>
      <c r="W3481">
        <v>0.17334369999999999</v>
      </c>
      <c r="X3481">
        <v>0.98472519999999997</v>
      </c>
      <c r="Y3481">
        <v>-0.1043915</v>
      </c>
      <c r="Z3481">
        <v>2.084214E-3</v>
      </c>
      <c r="AA3481">
        <v>0.99453409999999998</v>
      </c>
      <c r="AB3481">
        <v>34</v>
      </c>
      <c r="AC3481">
        <v>20.320399999999999</v>
      </c>
      <c r="AD3481">
        <v>-1.1101465039179901</v>
      </c>
      <c r="AE3481">
        <v>2.4431999999999898</v>
      </c>
      <c r="AF3481">
        <v>-2.1670357891049101</v>
      </c>
      <c r="AG3481">
        <v>-1.1101465039179901</v>
      </c>
      <c r="AH3481">
        <v>20.291323839067498</v>
      </c>
      <c r="AI3481">
        <v>93.113881115211001</v>
      </c>
      <c r="AJ3481">
        <v>96.095864906921193</v>
      </c>
      <c r="AK3481">
        <v>20.4368855874209</v>
      </c>
      <c r="AL3481">
        <v>80.017713676651894</v>
      </c>
      <c r="AM3481">
        <v>89.047222949235007</v>
      </c>
      <c r="AN3481">
        <v>0.99999997543614405</v>
      </c>
    </row>
    <row r="3482" spans="1:40" x14ac:dyDescent="0.25">
      <c r="A3482" t="str">
        <f>"20190312172438648"</f>
        <v>20190312172438648</v>
      </c>
      <c r="B3482" t="str">
        <f>"1552382678644036"</f>
        <v>1552382678644036</v>
      </c>
      <c r="C3482" t="s">
        <v>40</v>
      </c>
      <c r="D3482">
        <v>3.6715019999999998</v>
      </c>
      <c r="E3482">
        <v>0.45408100000000001</v>
      </c>
      <c r="F3482" t="s">
        <v>47</v>
      </c>
      <c r="G3482">
        <v>-325.34350000000001</v>
      </c>
      <c r="H3482" s="1">
        <v>1.3067459999999999E-6</v>
      </c>
      <c r="I3482">
        <v>216.46639999999999</v>
      </c>
      <c r="J3482">
        <v>-345.68579999999997</v>
      </c>
      <c r="K3482">
        <v>1.110147</v>
      </c>
      <c r="L3482">
        <v>214.01650000000001</v>
      </c>
      <c r="M3482">
        <v>0.99983679999999997</v>
      </c>
      <c r="N3482">
        <v>0</v>
      </c>
      <c r="O3482">
        <v>1.3326289999999999E-2</v>
      </c>
      <c r="P3482">
        <v>0.98681609999999997</v>
      </c>
      <c r="Q3482">
        <v>0.16180510000000001</v>
      </c>
      <c r="R3482">
        <v>-3.592432E-3</v>
      </c>
      <c r="S3482">
        <v>3.067993</v>
      </c>
      <c r="T3482">
        <v>-0.16472629999999999</v>
      </c>
      <c r="U3482">
        <v>0.36419679999999999</v>
      </c>
      <c r="V3482">
        <v>1.6725489999999999E-2</v>
      </c>
      <c r="W3482">
        <v>0.17383299999999999</v>
      </c>
      <c r="X3482">
        <v>0.98463310000000004</v>
      </c>
      <c r="Y3482">
        <v>-0.1045065</v>
      </c>
      <c r="Z3482">
        <v>2.0813709999999998E-3</v>
      </c>
      <c r="AA3482">
        <v>0.99452200000000002</v>
      </c>
      <c r="AB3482">
        <v>34</v>
      </c>
      <c r="AC3482">
        <v>20.342299999999899</v>
      </c>
      <c r="AD3482">
        <v>-1.1101456932539999</v>
      </c>
      <c r="AE3482">
        <v>2.44989999999998</v>
      </c>
      <c r="AF3482">
        <v>-2.1721980233090701</v>
      </c>
      <c r="AG3482">
        <v>-1.1101456932539999</v>
      </c>
      <c r="AH3482">
        <v>20.313510275960802</v>
      </c>
      <c r="AI3482">
        <v>93.110439450852496</v>
      </c>
      <c r="AJ3482">
        <v>96.103653286056002</v>
      </c>
      <c r="AK3482">
        <v>20.459461562912299</v>
      </c>
      <c r="AL3482">
        <v>79.989246898997806</v>
      </c>
      <c r="AM3482">
        <v>89.026837678570004</v>
      </c>
      <c r="AN3482">
        <v>0.99999999776017501</v>
      </c>
    </row>
    <row r="3483" spans="1:40" x14ac:dyDescent="0.25">
      <c r="A3483" t="str">
        <f>"20190312172438672"</f>
        <v>20190312172438672</v>
      </c>
      <c r="B3483" t="str">
        <f>"1552382678663555"</f>
        <v>1552382678663555</v>
      </c>
      <c r="C3483" t="s">
        <v>40</v>
      </c>
      <c r="D3483">
        <v>3.6658149999999998</v>
      </c>
      <c r="E3483">
        <v>0.45408959999999998</v>
      </c>
      <c r="F3483" t="s">
        <v>47</v>
      </c>
      <c r="G3483">
        <v>-324.96089999999998</v>
      </c>
      <c r="H3483" s="1">
        <v>1.103183E-6</v>
      </c>
      <c r="I3483">
        <v>216.47810000000001</v>
      </c>
      <c r="J3483">
        <v>-345.3349</v>
      </c>
      <c r="K3483">
        <v>1.110142</v>
      </c>
      <c r="L3483">
        <v>214.02119999999999</v>
      </c>
      <c r="M3483">
        <v>0.99983639999999996</v>
      </c>
      <c r="N3483">
        <v>0</v>
      </c>
      <c r="O3483">
        <v>1.3390269999999999E-2</v>
      </c>
      <c r="P3483">
        <v>0.98675380000000001</v>
      </c>
      <c r="Q3483">
        <v>0.1621851</v>
      </c>
      <c r="R3483">
        <v>-3.608619E-3</v>
      </c>
      <c r="S3483">
        <v>3.0683590000000001</v>
      </c>
      <c r="T3483">
        <v>-0.16435930000000001</v>
      </c>
      <c r="U3483">
        <v>0.36444090000000001</v>
      </c>
      <c r="V3483">
        <v>1.680396E-2</v>
      </c>
      <c r="W3483">
        <v>0.1741781</v>
      </c>
      <c r="X3483">
        <v>0.98457079999999997</v>
      </c>
      <c r="Y3483">
        <v>-0.1045077</v>
      </c>
      <c r="Z3483">
        <v>2.073105E-3</v>
      </c>
      <c r="AA3483">
        <v>0.99452189999999996</v>
      </c>
      <c r="AB3483">
        <v>34</v>
      </c>
      <c r="AC3483">
        <v>20.373999999999999</v>
      </c>
      <c r="AD3483">
        <v>-1.1101408968169999</v>
      </c>
      <c r="AE3483">
        <v>2.4569000000000099</v>
      </c>
      <c r="AF3483">
        <v>-2.1774740045133001</v>
      </c>
      <c r="AG3483">
        <v>-1.1101408968169999</v>
      </c>
      <c r="AH3483">
        <v>20.345534951964499</v>
      </c>
      <c r="AI3483">
        <v>93.105509863471596</v>
      </c>
      <c r="AJ3483">
        <v>96.108808266636998</v>
      </c>
      <c r="AK3483">
        <v>20.4918178386576</v>
      </c>
      <c r="AL3483">
        <v>79.969168056939907</v>
      </c>
      <c r="AM3483">
        <v>89.022210979298507</v>
      </c>
      <c r="AN3483">
        <v>1.00000002190196</v>
      </c>
    </row>
    <row r="3484" spans="1:40" x14ac:dyDescent="0.25">
      <c r="A3484" t="str">
        <f>"20190312172438693"</f>
        <v>20190312172438693</v>
      </c>
      <c r="B3484" t="str">
        <f>"1552382678684052"</f>
        <v>1552382678684052</v>
      </c>
      <c r="C3484" t="s">
        <v>40</v>
      </c>
      <c r="D3484">
        <v>3.600543</v>
      </c>
      <c r="E3484">
        <v>0.45417659999999999</v>
      </c>
      <c r="F3484" t="s">
        <v>47</v>
      </c>
      <c r="G3484">
        <v>-324.44600000000003</v>
      </c>
      <c r="H3484" s="1">
        <v>8.2913169999999898E-7</v>
      </c>
      <c r="I3484">
        <v>216.5052</v>
      </c>
      <c r="J3484">
        <v>-344.9982</v>
      </c>
      <c r="K3484">
        <v>1.110133</v>
      </c>
      <c r="L3484">
        <v>214.0258</v>
      </c>
      <c r="M3484">
        <v>0.99983610000000001</v>
      </c>
      <c r="N3484">
        <v>0</v>
      </c>
      <c r="O3484">
        <v>1.3451690000000001E-2</v>
      </c>
      <c r="P3484">
        <v>0.98686609999999997</v>
      </c>
      <c r="Q3484">
        <v>0.1614979</v>
      </c>
      <c r="R3484">
        <v>-3.7477869999999998E-3</v>
      </c>
      <c r="S3484">
        <v>3.0684200000000001</v>
      </c>
      <c r="T3484">
        <v>-0.1630713</v>
      </c>
      <c r="U3484">
        <v>0.36488340000000002</v>
      </c>
      <c r="V3484">
        <v>1.7005550000000001E-2</v>
      </c>
      <c r="W3484">
        <v>0.17344799999999999</v>
      </c>
      <c r="X3484">
        <v>0.98469620000000002</v>
      </c>
      <c r="Y3484">
        <v>-0.10458770000000001</v>
      </c>
      <c r="Z3484">
        <v>2.055692E-3</v>
      </c>
      <c r="AA3484">
        <v>0.99451350000000005</v>
      </c>
      <c r="AB3484">
        <v>34</v>
      </c>
      <c r="AC3484">
        <v>20.552199999999999</v>
      </c>
      <c r="AD3484">
        <v>-1.1101321708683001</v>
      </c>
      <c r="AE3484">
        <v>2.4793999999999898</v>
      </c>
      <c r="AF3484">
        <v>-2.19637718782969</v>
      </c>
      <c r="AG3484">
        <v>-1.1101321708683001</v>
      </c>
      <c r="AH3484">
        <v>20.524670065042699</v>
      </c>
      <c r="AI3484">
        <v>93.078438077248904</v>
      </c>
      <c r="AJ3484">
        <v>96.108066691863002</v>
      </c>
      <c r="AK3484">
        <v>20.671684678972799</v>
      </c>
      <c r="AL3484">
        <v>80.011646078649505</v>
      </c>
      <c r="AM3484">
        <v>89.010609165366205</v>
      </c>
      <c r="AN3484">
        <v>1.00000000186462</v>
      </c>
    </row>
    <row r="3485" spans="1:40" x14ac:dyDescent="0.25">
      <c r="A3485" t="str">
        <f>"20190312172438716"</f>
        <v>20190312172438716</v>
      </c>
      <c r="B3485" t="str">
        <f>"1552382678703572"</f>
        <v>1552382678703572</v>
      </c>
      <c r="C3485" t="s">
        <v>40</v>
      </c>
      <c r="D3485">
        <v>3.682798</v>
      </c>
      <c r="E3485">
        <v>0.48587439999999998</v>
      </c>
      <c r="F3485" t="s">
        <v>47</v>
      </c>
      <c r="G3485">
        <v>-324.40719999999999</v>
      </c>
      <c r="H3485" s="1">
        <v>8.0851230000000001E-7</v>
      </c>
      <c r="I3485">
        <v>216.4659</v>
      </c>
      <c r="J3485">
        <v>-344.666</v>
      </c>
      <c r="K3485">
        <v>1.1101190000000001</v>
      </c>
      <c r="L3485">
        <v>214.03030000000001</v>
      </c>
      <c r="M3485">
        <v>0.99983599999999995</v>
      </c>
      <c r="N3485">
        <v>0</v>
      </c>
      <c r="O3485">
        <v>1.351246E-2</v>
      </c>
      <c r="P3485">
        <v>0.9868171</v>
      </c>
      <c r="Q3485">
        <v>0.16179189999999999</v>
      </c>
      <c r="R3485">
        <v>-3.9677389999999996E-3</v>
      </c>
      <c r="S3485">
        <v>3.06839</v>
      </c>
      <c r="T3485">
        <v>-0.1654274</v>
      </c>
      <c r="U3485">
        <v>0.36361690000000002</v>
      </c>
      <c r="V3485">
        <v>1.7284569999999999E-2</v>
      </c>
      <c r="W3485">
        <v>0.17368739999999999</v>
      </c>
      <c r="X3485">
        <v>0.98464910000000005</v>
      </c>
      <c r="Y3485">
        <v>-0.104120699999999</v>
      </c>
      <c r="Z3485">
        <v>2.0696260000000002E-3</v>
      </c>
      <c r="AA3485">
        <v>0.99456250000000002</v>
      </c>
      <c r="AB3485">
        <v>34</v>
      </c>
      <c r="AC3485">
        <v>20.258800000000001</v>
      </c>
      <c r="AD3485">
        <v>-1.1101181914876901</v>
      </c>
      <c r="AE3485">
        <v>2.4355999999999902</v>
      </c>
      <c r="AF3485">
        <v>-2.1552321811710899</v>
      </c>
      <c r="AG3485">
        <v>-1.1101181914876901</v>
      </c>
      <c r="AH3485">
        <v>20.229984534576801</v>
      </c>
      <c r="AI3485">
        <v>93.123309908231704</v>
      </c>
      <c r="AJ3485">
        <v>96.081155168073906</v>
      </c>
      <c r="AK3485">
        <v>20.3747309779306</v>
      </c>
      <c r="AL3485">
        <v>79.997717642824497</v>
      </c>
      <c r="AM3485">
        <v>88.994330864998503</v>
      </c>
      <c r="AN3485">
        <v>0.99999995970482602</v>
      </c>
    </row>
    <row r="3486" spans="1:40" x14ac:dyDescent="0.25">
      <c r="A3486" t="str">
        <f>"20190312172438736"</f>
        <v>20190312172438736</v>
      </c>
      <c r="B3486" t="str">
        <f>"1552382678733828"</f>
        <v>1552382678733828</v>
      </c>
      <c r="C3486" t="s">
        <v>40</v>
      </c>
      <c r="D3486">
        <v>3.71251</v>
      </c>
      <c r="E3486">
        <v>0.49461820000000001</v>
      </c>
      <c r="F3486" t="s">
        <v>47</v>
      </c>
      <c r="G3486">
        <v>-320.93009999999998</v>
      </c>
      <c r="H3486" s="1">
        <v>-1.0418590000000001E-6</v>
      </c>
      <c r="I3486">
        <v>214.87819999999999</v>
      </c>
      <c r="J3486">
        <v>-344.34010000000001</v>
      </c>
      <c r="K3486">
        <v>1.1101019999999999</v>
      </c>
      <c r="L3486">
        <v>214.03479999999999</v>
      </c>
      <c r="M3486">
        <v>0.9998359</v>
      </c>
      <c r="N3486">
        <v>0</v>
      </c>
      <c r="O3486">
        <v>1.357189E-2</v>
      </c>
      <c r="P3486">
        <v>0.98685</v>
      </c>
      <c r="Q3486">
        <v>0.16157449999999901</v>
      </c>
      <c r="R3486">
        <v>-4.5887530000000001E-3</v>
      </c>
      <c r="S3486">
        <v>3.0640559999999999</v>
      </c>
      <c r="T3486">
        <v>-0.14330470000000001</v>
      </c>
      <c r="U3486">
        <v>0.1094513</v>
      </c>
      <c r="V3486">
        <v>1.796499E-2</v>
      </c>
      <c r="W3486">
        <v>0.1734108</v>
      </c>
      <c r="X3486">
        <v>0.9846857</v>
      </c>
      <c r="Y3486">
        <v>-2.2121439999999999E-2</v>
      </c>
      <c r="Z3486">
        <v>-1.1733740000000001E-4</v>
      </c>
      <c r="AA3486">
        <v>0.99975530000000001</v>
      </c>
      <c r="AB3486">
        <v>34</v>
      </c>
      <c r="AC3486">
        <v>23.41</v>
      </c>
      <c r="AD3486">
        <v>-1.1101030418590001</v>
      </c>
      <c r="AE3486">
        <v>0.84340000000000204</v>
      </c>
      <c r="AF3486">
        <v>-0.52440381312127504</v>
      </c>
      <c r="AG3486">
        <v>-1.1101030418590001</v>
      </c>
      <c r="AH3486">
        <v>23.366815024111698</v>
      </c>
      <c r="AI3486">
        <v>92.719260517215901</v>
      </c>
      <c r="AJ3486">
        <v>91.285630174989194</v>
      </c>
      <c r="AK3486">
        <v>23.399046401377401</v>
      </c>
      <c r="AL3486">
        <v>80.013810128331201</v>
      </c>
      <c r="AM3486">
        <v>88.954789408144705</v>
      </c>
      <c r="AN3486">
        <v>0.99999998710341398</v>
      </c>
    </row>
    <row r="3487" spans="1:40" x14ac:dyDescent="0.25">
      <c r="A3487" t="str">
        <f>"20190312172438760"</f>
        <v>20190312172438760</v>
      </c>
      <c r="B3487" t="str">
        <f>"1552382678753348"</f>
        <v>1552382678753348</v>
      </c>
      <c r="C3487" t="s">
        <v>40</v>
      </c>
      <c r="D3487">
        <v>3.716796</v>
      </c>
      <c r="E3487">
        <v>0.49693229999999999</v>
      </c>
      <c r="F3487" t="s">
        <v>47</v>
      </c>
      <c r="G3487">
        <v>-322.55759999999998</v>
      </c>
      <c r="H3487" s="1">
        <v>-1.757615E-7</v>
      </c>
      <c r="I3487">
        <v>214.3073</v>
      </c>
      <c r="J3487">
        <v>-343.98739999999998</v>
      </c>
      <c r="K3487">
        <v>1.1100840000000001</v>
      </c>
      <c r="L3487">
        <v>214.03960000000001</v>
      </c>
      <c r="M3487">
        <v>0.99983580000000005</v>
      </c>
      <c r="N3487">
        <v>0</v>
      </c>
      <c r="O3487">
        <v>1.3636280000000001E-2</v>
      </c>
      <c r="P3487">
        <v>0.986896</v>
      </c>
      <c r="Q3487">
        <v>0.16128599999999901</v>
      </c>
      <c r="R3487">
        <v>-4.8619099999999997E-3</v>
      </c>
      <c r="S3487">
        <v>3.0657350000000001</v>
      </c>
      <c r="T3487">
        <v>-0.156239299999999</v>
      </c>
      <c r="U3487">
        <v>3.8360600000000002E-2</v>
      </c>
      <c r="V3487">
        <v>1.8302140000000001E-2</v>
      </c>
      <c r="W3487">
        <v>0.17305110000000001</v>
      </c>
      <c r="X3487">
        <v>0.98474280000000003</v>
      </c>
      <c r="Y3487">
        <v>1.1065020000000001E-3</v>
      </c>
      <c r="Z3487">
        <v>-7.2266309999999897E-4</v>
      </c>
      <c r="AA3487">
        <v>0.99999910000000003</v>
      </c>
      <c r="AB3487">
        <v>34</v>
      </c>
      <c r="AC3487">
        <v>21.4298</v>
      </c>
      <c r="AD3487">
        <v>-1.1100841757615001</v>
      </c>
      <c r="AE3487">
        <v>0.26769999999999</v>
      </c>
      <c r="AF3487">
        <v>2.45027202732764E-2</v>
      </c>
      <c r="AG3487">
        <v>-1.1100841757615001</v>
      </c>
      <c r="AH3487">
        <v>21.3741128520935</v>
      </c>
      <c r="AI3487">
        <v>92.973035788041003</v>
      </c>
      <c r="AJ3487">
        <v>89.934317655522193</v>
      </c>
      <c r="AK3487">
        <v>21.402934085648301</v>
      </c>
      <c r="AL3487">
        <v>80.034736090308698</v>
      </c>
      <c r="AM3487">
        <v>88.935240084780304</v>
      </c>
      <c r="AN3487">
        <v>1.0000000168458101</v>
      </c>
    </row>
    <row r="3488" spans="1:40" x14ac:dyDescent="0.25">
      <c r="A3488" t="str">
        <f>"20190312172438784"</f>
        <v>20190312172438784</v>
      </c>
      <c r="B3488" t="str">
        <f>"1552382678773843"</f>
        <v>1552382678773843</v>
      </c>
      <c r="C3488" t="s">
        <v>40</v>
      </c>
      <c r="D3488">
        <v>3.7075290000000001</v>
      </c>
      <c r="E3488">
        <v>0.49823689999999998</v>
      </c>
      <c r="F3488" t="s">
        <v>47</v>
      </c>
      <c r="G3488">
        <v>-322.9033</v>
      </c>
      <c r="H3488" s="1">
        <v>8.1783470000000003E-9</v>
      </c>
      <c r="I3488">
        <v>214.173</v>
      </c>
      <c r="J3488">
        <v>-343.62900000000002</v>
      </c>
      <c r="K3488">
        <v>1.110069</v>
      </c>
      <c r="L3488">
        <v>214.0446</v>
      </c>
      <c r="M3488">
        <v>0.9998359</v>
      </c>
      <c r="N3488">
        <v>0</v>
      </c>
      <c r="O3488">
        <v>1.3701430000000001E-2</v>
      </c>
      <c r="P3488">
        <v>0.98698620000000004</v>
      </c>
      <c r="Q3488">
        <v>0.16071830000000001</v>
      </c>
      <c r="R3488">
        <v>-5.2847550000000004E-3</v>
      </c>
      <c r="S3488">
        <v>3.0663149999999999</v>
      </c>
      <c r="T3488">
        <v>-0.1614418</v>
      </c>
      <c r="U3488">
        <v>1.9393919999999999E-2</v>
      </c>
      <c r="V3488">
        <v>1.8790660000000001E-2</v>
      </c>
      <c r="W3488">
        <v>0.17240529999999901</v>
      </c>
      <c r="X3488">
        <v>0.98484680000000002</v>
      </c>
      <c r="Y3488">
        <v>7.3488519999999899E-3</v>
      </c>
      <c r="Z3488">
        <v>-9.1422430000000004E-4</v>
      </c>
      <c r="AA3488">
        <v>0.99997259999999999</v>
      </c>
      <c r="AB3488">
        <v>34</v>
      </c>
      <c r="AC3488">
        <v>20.7257</v>
      </c>
      <c r="AD3488">
        <v>-1.11006899182165</v>
      </c>
      <c r="AE3488">
        <v>0.12839999999999899</v>
      </c>
      <c r="AF3488">
        <v>0.15515864255072101</v>
      </c>
      <c r="AG3488">
        <v>-1.11006899182165</v>
      </c>
      <c r="AH3488">
        <v>20.666231163351299</v>
      </c>
      <c r="AI3488">
        <v>93.074552753413101</v>
      </c>
      <c r="AJ3488">
        <v>89.569840854202795</v>
      </c>
      <c r="AK3488">
        <v>20.6966045009328</v>
      </c>
      <c r="AL3488">
        <v>80.072301652157407</v>
      </c>
      <c r="AM3488">
        <v>88.906941773485698</v>
      </c>
      <c r="AN3488">
        <v>0.99999994792078095</v>
      </c>
    </row>
    <row r="3489" spans="1:40" x14ac:dyDescent="0.25">
      <c r="A3489" t="str">
        <f>"20190312172438806"</f>
        <v>20190312172438806</v>
      </c>
      <c r="B3489" t="str">
        <f>"1552382678793363"</f>
        <v>1552382678793363</v>
      </c>
      <c r="C3489" t="s">
        <v>40</v>
      </c>
      <c r="D3489">
        <v>3.6864840000000001</v>
      </c>
      <c r="E3489">
        <v>0.49900749999999999</v>
      </c>
      <c r="F3489" t="s">
        <v>47</v>
      </c>
      <c r="G3489">
        <v>-323.01600000000002</v>
      </c>
      <c r="H3489" s="1">
        <v>6.817442E-8</v>
      </c>
      <c r="I3489">
        <v>214.0975</v>
      </c>
      <c r="J3489">
        <v>-343.28449999999998</v>
      </c>
      <c r="K3489">
        <v>1.1100559999999999</v>
      </c>
      <c r="L3489">
        <v>214.04939999999999</v>
      </c>
      <c r="M3489">
        <v>0.99983610000000001</v>
      </c>
      <c r="N3489">
        <v>0</v>
      </c>
      <c r="O3489">
        <v>1.376432E-2</v>
      </c>
      <c r="P3489">
        <v>0.98693850000000005</v>
      </c>
      <c r="Q3489">
        <v>0.16100780000000001</v>
      </c>
      <c r="R3489">
        <v>-5.4142299999999999E-3</v>
      </c>
      <c r="S3489">
        <v>3.0665279999999999</v>
      </c>
      <c r="T3489">
        <v>-0.16514110000000001</v>
      </c>
      <c r="U3489">
        <v>7.8735349999999992E-3</v>
      </c>
      <c r="V3489">
        <v>1.8981479999999998E-2</v>
      </c>
      <c r="W3489">
        <v>0.1726134</v>
      </c>
      <c r="X3489">
        <v>0.98480679999999998</v>
      </c>
      <c r="Y3489">
        <v>1.116179E-2</v>
      </c>
      <c r="Z3489">
        <v>-1.041068E-3</v>
      </c>
      <c r="AA3489">
        <v>0.99993719999999997</v>
      </c>
      <c r="AB3489">
        <v>34</v>
      </c>
      <c r="AC3489">
        <v>20.2685</v>
      </c>
      <c r="AD3489">
        <v>-1.1100559318255701</v>
      </c>
      <c r="AE3489">
        <v>4.8100000000005097E-2</v>
      </c>
      <c r="AF3489">
        <v>0.23021544953248699</v>
      </c>
      <c r="AG3489">
        <v>-1.1100559318255701</v>
      </c>
      <c r="AH3489">
        <v>20.2066326296857</v>
      </c>
      <c r="AI3489">
        <v>93.144192361934998</v>
      </c>
      <c r="AJ3489">
        <v>89.347253784871299</v>
      </c>
      <c r="AK3489">
        <v>20.238409659755</v>
      </c>
      <c r="AL3489">
        <v>80.060198028361597</v>
      </c>
      <c r="AM3489">
        <v>88.895799615581097</v>
      </c>
      <c r="AN3489">
        <v>1.0000000578843899</v>
      </c>
    </row>
    <row r="3490" spans="1:40" x14ac:dyDescent="0.25">
      <c r="A3490" t="str">
        <f>"20190312172438827"</f>
        <v>20190312172438827</v>
      </c>
      <c r="B3490" t="str">
        <f>"1552382678813393"</f>
        <v>1552382678813393</v>
      </c>
      <c r="C3490" t="s">
        <v>40</v>
      </c>
      <c r="D3490">
        <v>3.7106979999999998</v>
      </c>
      <c r="E3490">
        <v>0.49962640000000003</v>
      </c>
      <c r="F3490" t="s">
        <v>47</v>
      </c>
      <c r="G3490">
        <v>-322.76130000000001</v>
      </c>
      <c r="H3490" s="1">
        <v>-6.738833E-8</v>
      </c>
      <c r="I3490">
        <v>214.05840000000001</v>
      </c>
      <c r="J3490">
        <v>-342.96980000000002</v>
      </c>
      <c r="K3490">
        <v>1.1100460000000001</v>
      </c>
      <c r="L3490">
        <v>214.05369999999999</v>
      </c>
      <c r="M3490">
        <v>0.99983610000000001</v>
      </c>
      <c r="N3490">
        <v>0</v>
      </c>
      <c r="O3490">
        <v>1.3821689999999999E-2</v>
      </c>
      <c r="P3490">
        <v>0.98680349999999994</v>
      </c>
      <c r="Q3490">
        <v>0.1618185</v>
      </c>
      <c r="R3490">
        <v>-5.8002210000000004E-3</v>
      </c>
      <c r="S3490">
        <v>3.0667420000000001</v>
      </c>
      <c r="T3490">
        <v>-0.16587349999999901</v>
      </c>
      <c r="U3490">
        <v>1.34277299999999E-3</v>
      </c>
      <c r="V3490">
        <v>1.942207E-2</v>
      </c>
      <c r="W3490">
        <v>0.17334829999999901</v>
      </c>
      <c r="X3490">
        <v>0.98466900000000002</v>
      </c>
      <c r="Y3490">
        <v>1.334511E-2</v>
      </c>
      <c r="Z3490">
        <v>-1.107713E-3</v>
      </c>
      <c r="AA3490">
        <v>0.99991039999999998</v>
      </c>
      <c r="AB3490">
        <v>34</v>
      </c>
      <c r="AC3490">
        <v>20.208500000000001</v>
      </c>
      <c r="AD3490">
        <v>-1.1100460673883299</v>
      </c>
      <c r="AE3490">
        <v>4.7000000000139101E-3</v>
      </c>
      <c r="AF3490">
        <v>0.27380901426468601</v>
      </c>
      <c r="AG3490">
        <v>-1.1100460673883299</v>
      </c>
      <c r="AH3490">
        <v>20.145848886788698</v>
      </c>
      <c r="AI3490">
        <v>93.153545468938205</v>
      </c>
      <c r="AJ3490">
        <v>89.221321716777993</v>
      </c>
      <c r="AK3490">
        <v>20.178265560184901</v>
      </c>
      <c r="AL3490">
        <v>80.017445755098393</v>
      </c>
      <c r="AM3490">
        <v>88.870017883733397</v>
      </c>
      <c r="AN3490">
        <v>0.99999994473848497</v>
      </c>
    </row>
    <row r="3491" spans="1:40" x14ac:dyDescent="0.25">
      <c r="A3491" t="str">
        <f>"20190312172438850"</f>
        <v>20190312172438850</v>
      </c>
      <c r="B3491" t="str">
        <f>"1552382678843649"</f>
        <v>1552382678843649</v>
      </c>
      <c r="C3491" t="s">
        <v>40</v>
      </c>
      <c r="D3491">
        <v>3.7191689999999999</v>
      </c>
      <c r="E3491">
        <v>0.50036970000000003</v>
      </c>
      <c r="F3491" t="s">
        <v>47</v>
      </c>
      <c r="G3491">
        <v>-322.3777</v>
      </c>
      <c r="H3491" s="1">
        <v>-2.7150010000000001E-7</v>
      </c>
      <c r="I3491">
        <v>214.02160000000001</v>
      </c>
      <c r="J3491">
        <v>-342.61380000000003</v>
      </c>
      <c r="K3491">
        <v>1.1100399999999999</v>
      </c>
      <c r="L3491">
        <v>214.05869999999999</v>
      </c>
      <c r="M3491">
        <v>0.99983630000000001</v>
      </c>
      <c r="N3491">
        <v>0</v>
      </c>
      <c r="O3491">
        <v>1.388669E-2</v>
      </c>
      <c r="P3491">
        <v>0.98678949999999999</v>
      </c>
      <c r="Q3491">
        <v>0.16190539999999901</v>
      </c>
      <c r="R3491">
        <v>-5.7944669999999898E-3</v>
      </c>
      <c r="S3491">
        <v>3.0672299999999999</v>
      </c>
      <c r="T3491">
        <v>-0.1653432</v>
      </c>
      <c r="U3491">
        <v>-4.7912600000000003E-3</v>
      </c>
      <c r="V3491">
        <v>1.9479960000000001E-2</v>
      </c>
      <c r="W3491">
        <v>0.173348799999999</v>
      </c>
      <c r="X3491">
        <v>0.98466779999999998</v>
      </c>
      <c r="Y3491">
        <v>1.540701E-2</v>
      </c>
      <c r="Z3491">
        <v>-1.1630379999999999E-3</v>
      </c>
      <c r="AA3491">
        <v>0.99988060000000001</v>
      </c>
      <c r="AB3491">
        <v>34</v>
      </c>
      <c r="AC3491">
        <v>20.2361</v>
      </c>
      <c r="AD3491">
        <v>-1.1100402715001001</v>
      </c>
      <c r="AE3491">
        <v>-3.7099999999981002E-2</v>
      </c>
      <c r="AF3491">
        <v>0.31717339913485798</v>
      </c>
      <c r="AG3491">
        <v>-1.1100402715001001</v>
      </c>
      <c r="AH3491">
        <v>20.172932864772001</v>
      </c>
      <c r="AI3491">
        <v>93.149205505527902</v>
      </c>
      <c r="AJ3491">
        <v>89.0992286528747</v>
      </c>
      <c r="AK3491">
        <v>20.205939936960799</v>
      </c>
      <c r="AL3491">
        <v>80.017416980378499</v>
      </c>
      <c r="AM3491">
        <v>88.866649321749406</v>
      </c>
      <c r="AN3491">
        <v>0.99999997582994005</v>
      </c>
    </row>
    <row r="3492" spans="1:40" x14ac:dyDescent="0.25">
      <c r="A3492" t="str">
        <f>"20190312172438873"</f>
        <v>20190312172438873</v>
      </c>
      <c r="B3492" t="str">
        <f>"1552382678864144"</f>
        <v>1552382678864144</v>
      </c>
      <c r="C3492" t="s">
        <v>40</v>
      </c>
      <c r="D3492">
        <v>3.71597</v>
      </c>
      <c r="E3492">
        <v>0.50074359999999996</v>
      </c>
      <c r="F3492" t="s">
        <v>47</v>
      </c>
      <c r="G3492">
        <v>-322.30290000000002</v>
      </c>
      <c r="H3492" s="1">
        <v>-3.1128929999999998E-7</v>
      </c>
      <c r="I3492">
        <v>213.9871</v>
      </c>
      <c r="J3492">
        <v>-342.25209999999998</v>
      </c>
      <c r="K3492">
        <v>1.110023</v>
      </c>
      <c r="L3492">
        <v>214.06379999999999</v>
      </c>
      <c r="M3492">
        <v>0.99983639999999996</v>
      </c>
      <c r="N3492">
        <v>0</v>
      </c>
      <c r="O3492">
        <v>1.3952880000000001E-2</v>
      </c>
      <c r="P3492">
        <v>0.98674019999999996</v>
      </c>
      <c r="Q3492">
        <v>0.16220989999999999</v>
      </c>
      <c r="R3492">
        <v>-5.6255489999999997E-3</v>
      </c>
      <c r="S3492">
        <v>3.067596</v>
      </c>
      <c r="T3492">
        <v>-0.16765179999999999</v>
      </c>
      <c r="U3492">
        <v>-1.081848E-2</v>
      </c>
      <c r="V3492">
        <v>1.937579E-2</v>
      </c>
      <c r="W3492">
        <v>0.173556399999999</v>
      </c>
      <c r="X3492">
        <v>0.98463330000000004</v>
      </c>
      <c r="Y3492">
        <v>1.7433210000000001E-2</v>
      </c>
      <c r="Z3492">
        <v>-1.238053E-3</v>
      </c>
      <c r="AA3492">
        <v>0.99984729999999999</v>
      </c>
      <c r="AB3492">
        <v>34</v>
      </c>
      <c r="AC3492">
        <v>19.949199999999902</v>
      </c>
      <c r="AD3492">
        <v>-1.1100233112893001</v>
      </c>
      <c r="AE3492">
        <v>-7.6699999999988194E-2</v>
      </c>
      <c r="AF3492">
        <v>0.353963880399776</v>
      </c>
      <c r="AG3492">
        <v>-1.1100233112893001</v>
      </c>
      <c r="AH3492">
        <v>19.8846238817112</v>
      </c>
      <c r="AI3492">
        <v>93.194612482871094</v>
      </c>
      <c r="AJ3492">
        <v>88.980192189882501</v>
      </c>
      <c r="AK3492">
        <v>19.918727597347999</v>
      </c>
      <c r="AL3492">
        <v>80.005339452027599</v>
      </c>
      <c r="AM3492">
        <v>88.872668911196499</v>
      </c>
      <c r="AN3492">
        <v>0.99999999034398701</v>
      </c>
    </row>
    <row r="3493" spans="1:40" x14ac:dyDescent="0.25">
      <c r="A3493" t="str">
        <f>"20190312172438895"</f>
        <v>20190312172438895</v>
      </c>
      <c r="B3493" t="str">
        <f>"1552382678883664"</f>
        <v>1552382678883664</v>
      </c>
      <c r="C3493" t="s">
        <v>40</v>
      </c>
      <c r="D3493">
        <v>3.683036</v>
      </c>
      <c r="E3493">
        <v>0.50111709999999998</v>
      </c>
      <c r="F3493" t="s">
        <v>47</v>
      </c>
      <c r="G3493">
        <v>-322.0129</v>
      </c>
      <c r="H3493" s="1">
        <v>-4.6561749999999999E-7</v>
      </c>
      <c r="I3493">
        <v>213.97749999999999</v>
      </c>
      <c r="J3493">
        <v>-341.92180000000002</v>
      </c>
      <c r="K3493">
        <v>1.110004</v>
      </c>
      <c r="L3493">
        <v>214.0685</v>
      </c>
      <c r="M3493">
        <v>0.99983670000000002</v>
      </c>
      <c r="N3493">
        <v>0</v>
      </c>
      <c r="O3493">
        <v>1.4013319999999999E-2</v>
      </c>
      <c r="P3493">
        <v>0.98669560000000001</v>
      </c>
      <c r="Q3493">
        <v>0.16248479999999901</v>
      </c>
      <c r="R3493">
        <v>-5.5162170000000003E-3</v>
      </c>
      <c r="S3493">
        <v>3.0678709999999998</v>
      </c>
      <c r="T3493">
        <v>-0.1682582</v>
      </c>
      <c r="U3493">
        <v>-1.3092039999999999E-2</v>
      </c>
      <c r="V3493">
        <v>1.93254E-2</v>
      </c>
      <c r="W3493">
        <v>0.17374049999999999</v>
      </c>
      <c r="X3493">
        <v>0.98460190000000003</v>
      </c>
      <c r="Y3493">
        <v>1.823265E-2</v>
      </c>
      <c r="Z3493">
        <v>-1.2676300000000001E-3</v>
      </c>
      <c r="AA3493">
        <v>0.99983299999999997</v>
      </c>
      <c r="AB3493">
        <v>34</v>
      </c>
      <c r="AC3493">
        <v>19.908899999999999</v>
      </c>
      <c r="AD3493">
        <v>-1.1100044656175001</v>
      </c>
      <c r="AE3493">
        <v>-9.1000000000008199E-2</v>
      </c>
      <c r="AF3493">
        <v>0.368852449427443</v>
      </c>
      <c r="AG3493">
        <v>-1.1100044656175001</v>
      </c>
      <c r="AH3493">
        <v>19.843985253076699</v>
      </c>
      <c r="AI3493">
        <v>93.201041213867796</v>
      </c>
      <c r="AJ3493">
        <v>88.935130471197695</v>
      </c>
      <c r="AK3493">
        <v>19.878428327397099</v>
      </c>
      <c r="AL3493">
        <v>79.994629350515197</v>
      </c>
      <c r="AM3493">
        <v>88.875564122496002</v>
      </c>
      <c r="AN3493">
        <v>1.0000000669544999</v>
      </c>
    </row>
    <row r="3494" spans="1:40" x14ac:dyDescent="0.25">
      <c r="A3494" t="str">
        <f>"20190312172438916"</f>
        <v>20190312172438916</v>
      </c>
      <c r="B3494" t="str">
        <f>"1552382678904161"</f>
        <v>1552382678904161</v>
      </c>
      <c r="C3494" t="s">
        <v>40</v>
      </c>
      <c r="D3494">
        <v>3.6616230000000001</v>
      </c>
      <c r="E3494">
        <v>0.50136579999999997</v>
      </c>
      <c r="F3494" t="s">
        <v>47</v>
      </c>
      <c r="G3494">
        <v>-321.70370000000003</v>
      </c>
      <c r="H3494" s="1">
        <v>-6.301772E-7</v>
      </c>
      <c r="I3494">
        <v>213.9639</v>
      </c>
      <c r="J3494">
        <v>-341.59890000000001</v>
      </c>
      <c r="K3494">
        <v>1.1099920000000001</v>
      </c>
      <c r="L3494">
        <v>214.07310000000001</v>
      </c>
      <c r="M3494">
        <v>0.99983699999999998</v>
      </c>
      <c r="N3494">
        <v>0</v>
      </c>
      <c r="O3494">
        <v>1.407241E-2</v>
      </c>
      <c r="P3494">
        <v>0.98675380000000001</v>
      </c>
      <c r="Q3494">
        <v>0.16213420000000001</v>
      </c>
      <c r="R3494">
        <v>-5.457684E-3</v>
      </c>
      <c r="S3494">
        <v>3.0681150000000001</v>
      </c>
      <c r="T3494">
        <v>-0.16844389999999901</v>
      </c>
      <c r="U3494">
        <v>-1.586914E-2</v>
      </c>
      <c r="V3494">
        <v>1.9325910000000002E-2</v>
      </c>
      <c r="W3494">
        <v>0.17330379999999901</v>
      </c>
      <c r="X3494">
        <v>0.98467879999999997</v>
      </c>
      <c r="Y3494">
        <v>1.9194719999999998E-2</v>
      </c>
      <c r="Z3494">
        <v>-1.2985550000000001E-3</v>
      </c>
      <c r="AA3494">
        <v>0.99981489999999995</v>
      </c>
      <c r="AB3494">
        <v>34</v>
      </c>
      <c r="AC3494">
        <v>19.8951999999999</v>
      </c>
      <c r="AD3494">
        <v>-1.1099926301772001</v>
      </c>
      <c r="AE3494">
        <v>-0.10920000000001499</v>
      </c>
      <c r="AF3494">
        <v>0.38797288429188997</v>
      </c>
      <c r="AG3494">
        <v>-1.1099926301772001</v>
      </c>
      <c r="AH3494">
        <v>19.829969112937999</v>
      </c>
      <c r="AI3494">
        <v>93.203205390713805</v>
      </c>
      <c r="AJ3494">
        <v>88.879152408172999</v>
      </c>
      <c r="AK3494">
        <v>19.8648000648904</v>
      </c>
      <c r="AL3494">
        <v>80.020035344894097</v>
      </c>
      <c r="AM3494">
        <v>88.875622250410402</v>
      </c>
      <c r="AN3494">
        <v>1.0000000185305999</v>
      </c>
    </row>
    <row r="3495" spans="1:40" x14ac:dyDescent="0.25">
      <c r="A3495" t="str">
        <f>"20190312172438939"</f>
        <v>20190312172438939</v>
      </c>
      <c r="B3495" t="str">
        <f>"1552382678933441"</f>
        <v>1552382678933441</v>
      </c>
      <c r="C3495" t="s">
        <v>40</v>
      </c>
      <c r="D3495">
        <v>3.6995640000000001</v>
      </c>
      <c r="E3495">
        <v>0.50176330000000002</v>
      </c>
      <c r="F3495" t="s">
        <v>47</v>
      </c>
      <c r="G3495">
        <v>-321.63229999999999</v>
      </c>
      <c r="H3495" s="1">
        <v>-6.6817870000000004E-7</v>
      </c>
      <c r="I3495">
        <v>213.95939999999999</v>
      </c>
      <c r="J3495">
        <v>-341.2491</v>
      </c>
      <c r="K3495">
        <v>1.109974</v>
      </c>
      <c r="L3495">
        <v>214.07810000000001</v>
      </c>
      <c r="M3495">
        <v>0.99983699999999998</v>
      </c>
      <c r="N3495">
        <v>0</v>
      </c>
      <c r="O3495">
        <v>1.413654E-2</v>
      </c>
      <c r="P3495">
        <v>0.9867532</v>
      </c>
      <c r="Q3495">
        <v>0.16211919999999999</v>
      </c>
      <c r="R3495">
        <v>-5.9495399999999997E-3</v>
      </c>
      <c r="S3495">
        <v>3.0681759999999998</v>
      </c>
      <c r="T3495">
        <v>-0.17056689999999999</v>
      </c>
      <c r="U3495">
        <v>-1.747131E-2</v>
      </c>
      <c r="V3495">
        <v>1.9881090000000001E-2</v>
      </c>
      <c r="W3495">
        <v>0.17319709999999999</v>
      </c>
      <c r="X3495">
        <v>0.98468650000000002</v>
      </c>
      <c r="Y3495">
        <v>1.9778540000000001E-2</v>
      </c>
      <c r="Z3495">
        <v>-1.3346460000000001E-3</v>
      </c>
      <c r="AA3495">
        <v>0.99980349999999996</v>
      </c>
      <c r="AB3495">
        <v>34</v>
      </c>
      <c r="AC3495">
        <v>19.616800000000001</v>
      </c>
      <c r="AD3495">
        <v>-1.1099746681786999</v>
      </c>
      <c r="AE3495">
        <v>-0.118700000000018</v>
      </c>
      <c r="AF3495">
        <v>0.39475549496861601</v>
      </c>
      <c r="AG3495">
        <v>-1.1099746681786999</v>
      </c>
      <c r="AH3495">
        <v>19.5505702056447</v>
      </c>
      <c r="AI3495">
        <v>93.248792484540601</v>
      </c>
      <c r="AJ3495">
        <v>88.843268990341798</v>
      </c>
      <c r="AK3495">
        <v>19.586032549514702</v>
      </c>
      <c r="AL3495">
        <v>80.026242468416399</v>
      </c>
      <c r="AM3495">
        <v>88.8433396791809</v>
      </c>
      <c r="AN3495">
        <v>0.99999999823512398</v>
      </c>
    </row>
    <row r="3496" spans="1:40" x14ac:dyDescent="0.25">
      <c r="A3496" t="str">
        <f>"20190312172438962"</f>
        <v>20190312172438962</v>
      </c>
      <c r="B3496" t="str">
        <f>"1552382678953936"</f>
        <v>1552382678953936</v>
      </c>
      <c r="C3496" t="s">
        <v>40</v>
      </c>
      <c r="D3496">
        <v>3.6791640000000001</v>
      </c>
      <c r="E3496">
        <v>0.50198759999999998</v>
      </c>
      <c r="F3496" t="s">
        <v>47</v>
      </c>
      <c r="G3496">
        <v>-321.47739999999999</v>
      </c>
      <c r="H3496" s="1">
        <v>-7.5056940000000002E-7</v>
      </c>
      <c r="I3496">
        <v>213.93860000000001</v>
      </c>
      <c r="J3496">
        <v>-340.88900000000001</v>
      </c>
      <c r="K3496">
        <v>1.1099589999999999</v>
      </c>
      <c r="L3496">
        <v>214.08320000000001</v>
      </c>
      <c r="M3496">
        <v>0.99983699999999998</v>
      </c>
      <c r="N3496">
        <v>0</v>
      </c>
      <c r="O3496">
        <v>1.420284E-2</v>
      </c>
      <c r="P3496">
        <v>0.98689890000000002</v>
      </c>
      <c r="Q3496">
        <v>0.1612266</v>
      </c>
      <c r="R3496">
        <v>-6.0568779999999999E-3</v>
      </c>
      <c r="S3496">
        <v>3.0684200000000001</v>
      </c>
      <c r="T3496">
        <v>-0.17225979999999999</v>
      </c>
      <c r="U3496">
        <v>-2.165222E-2</v>
      </c>
      <c r="V3496">
        <v>2.0055679999999999E-2</v>
      </c>
      <c r="W3496">
        <v>0.17221929999999999</v>
      </c>
      <c r="X3496">
        <v>0.98485449999999997</v>
      </c>
      <c r="Y3496">
        <v>2.1203199999999998E-2</v>
      </c>
      <c r="Z3496">
        <v>-1.3914379999999901E-3</v>
      </c>
      <c r="AA3496">
        <v>0.99977419999999995</v>
      </c>
      <c r="AB3496">
        <v>34</v>
      </c>
      <c r="AC3496">
        <v>19.4116</v>
      </c>
      <c r="AD3496">
        <v>-1.1099597505694001</v>
      </c>
      <c r="AE3496">
        <v>-0.14459999999999601</v>
      </c>
      <c r="AF3496">
        <v>0.41893273428412398</v>
      </c>
      <c r="AG3496">
        <v>-1.1099597505694001</v>
      </c>
      <c r="AH3496">
        <v>19.344343595064601</v>
      </c>
      <c r="AI3496">
        <v>93.283207490665404</v>
      </c>
      <c r="AJ3496">
        <v>88.759362086187295</v>
      </c>
      <c r="AK3496">
        <v>19.3806899879147</v>
      </c>
      <c r="AL3496">
        <v>80.083121533321204</v>
      </c>
      <c r="AM3496">
        <v>88.833384002111998</v>
      </c>
      <c r="AN3496">
        <v>1.00000005188149</v>
      </c>
    </row>
    <row r="3497" spans="1:40" x14ac:dyDescent="0.25">
      <c r="A3497" t="str">
        <f>"20190312172438986"</f>
        <v>20190312172438986</v>
      </c>
      <c r="B3497" t="str">
        <f>"1552382678973457"</f>
        <v>1552382678973457</v>
      </c>
      <c r="C3497" t="s">
        <v>40</v>
      </c>
      <c r="D3497">
        <v>3.6550539999999998</v>
      </c>
      <c r="E3497">
        <v>0.50219519999999995</v>
      </c>
      <c r="F3497" t="s">
        <v>47</v>
      </c>
      <c r="G3497">
        <v>-321.505</v>
      </c>
      <c r="H3497" s="1">
        <v>-7.3589379999999997E-7</v>
      </c>
      <c r="I3497">
        <v>213.9314</v>
      </c>
      <c r="J3497">
        <v>-340.53699999999998</v>
      </c>
      <c r="K3497">
        <v>1.1099490000000001</v>
      </c>
      <c r="L3497">
        <v>214.0883</v>
      </c>
      <c r="M3497">
        <v>0.99983690000000003</v>
      </c>
      <c r="N3497">
        <v>0</v>
      </c>
      <c r="O3497">
        <v>1.426708E-2</v>
      </c>
      <c r="P3497">
        <v>0.98689139999999997</v>
      </c>
      <c r="Q3497">
        <v>0.16127169999999999</v>
      </c>
      <c r="R3497">
        <v>-6.0353539999999997E-3</v>
      </c>
      <c r="S3497">
        <v>3.06839</v>
      </c>
      <c r="T3497">
        <v>-0.17570139999999901</v>
      </c>
      <c r="U3497">
        <v>-2.403259E-2</v>
      </c>
      <c r="V3497">
        <v>2.009739E-2</v>
      </c>
      <c r="W3497">
        <v>0.17218310000000001</v>
      </c>
      <c r="X3497">
        <v>0.98485990000000001</v>
      </c>
      <c r="Y3497">
        <v>2.2039320000000001E-2</v>
      </c>
      <c r="Z3497">
        <v>-1.4467970000000001E-3</v>
      </c>
      <c r="AA3497">
        <v>0.99975599999999998</v>
      </c>
      <c r="AB3497">
        <v>34</v>
      </c>
      <c r="AC3497">
        <v>19.031999999999901</v>
      </c>
      <c r="AD3497">
        <v>-1.1099497358938</v>
      </c>
      <c r="AE3497">
        <v>-0.15690000000000701</v>
      </c>
      <c r="AF3497">
        <v>0.42697958197310099</v>
      </c>
      <c r="AG3497">
        <v>-1.1099497358938</v>
      </c>
      <c r="AH3497">
        <v>18.963329519867699</v>
      </c>
      <c r="AI3497">
        <v>93.348931969022502</v>
      </c>
      <c r="AJ3497">
        <v>88.710142383096198</v>
      </c>
      <c r="AK3497">
        <v>19.000583318906799</v>
      </c>
      <c r="AL3497">
        <v>80.085226311925396</v>
      </c>
      <c r="AM3497">
        <v>88.830964859761096</v>
      </c>
      <c r="AN3497">
        <v>0.99999997381921502</v>
      </c>
    </row>
    <row r="3498" spans="1:40" x14ac:dyDescent="0.25">
      <c r="A3498" t="str">
        <f>"20190312172439007"</f>
        <v>20190312172439007</v>
      </c>
      <c r="B3498" t="str">
        <f>"1552382678993953"</f>
        <v>1552382678993953</v>
      </c>
      <c r="C3498" t="s">
        <v>40</v>
      </c>
      <c r="D3498">
        <v>3.6778849999999998</v>
      </c>
      <c r="E3498">
        <v>0.50234489999999998</v>
      </c>
      <c r="F3498" t="s">
        <v>47</v>
      </c>
      <c r="G3498">
        <v>-321.18329999999997</v>
      </c>
      <c r="H3498" s="1">
        <v>-9.070975E-7</v>
      </c>
      <c r="I3498">
        <v>213.9256</v>
      </c>
      <c r="J3498">
        <v>-340.19709999999998</v>
      </c>
      <c r="K3498">
        <v>1.1099429999999999</v>
      </c>
      <c r="L3498">
        <v>214.0932</v>
      </c>
      <c r="M3498">
        <v>0.99983690000000003</v>
      </c>
      <c r="N3498">
        <v>0</v>
      </c>
      <c r="O3498">
        <v>1.4329069999999999E-2</v>
      </c>
      <c r="P3498">
        <v>0.98686589999999996</v>
      </c>
      <c r="Q3498">
        <v>0.16142509999999999</v>
      </c>
      <c r="R3498">
        <v>-6.1442340000000002E-3</v>
      </c>
      <c r="S3498">
        <v>3.068451</v>
      </c>
      <c r="T3498">
        <v>-0.17597839999999901</v>
      </c>
      <c r="U3498">
        <v>-2.580261E-2</v>
      </c>
      <c r="V3498">
        <v>2.0266869999999999E-2</v>
      </c>
      <c r="W3498">
        <v>0.17226069999999999</v>
      </c>
      <c r="X3498">
        <v>0.98484289999999997</v>
      </c>
      <c r="Y3498">
        <v>2.2676470000000001E-2</v>
      </c>
      <c r="Z3498">
        <v>-1.4708499999999999E-3</v>
      </c>
      <c r="AA3498">
        <v>0.99974180000000001</v>
      </c>
      <c r="AB3498">
        <v>34</v>
      </c>
      <c r="AC3498">
        <v>19.0138</v>
      </c>
      <c r="AD3498">
        <v>-1.1099439070974999</v>
      </c>
      <c r="AE3498">
        <v>-0.167599999999993</v>
      </c>
      <c r="AF3498">
        <v>0.438554969121357</v>
      </c>
      <c r="AG3498">
        <v>-1.1099439070974999</v>
      </c>
      <c r="AH3498">
        <v>18.944892069482499</v>
      </c>
      <c r="AI3498">
        <v>93.352117900510507</v>
      </c>
      <c r="AJ3498">
        <v>88.673897861769703</v>
      </c>
      <c r="AK3498">
        <v>18.9824456133077</v>
      </c>
      <c r="AL3498">
        <v>80.080713142965394</v>
      </c>
      <c r="AM3498">
        <v>88.821088888132806</v>
      </c>
      <c r="AN3498">
        <v>1.00000001623224</v>
      </c>
    </row>
    <row r="3499" spans="1:40" x14ac:dyDescent="0.25">
      <c r="A3499" t="str">
        <f>"20190312172439031"</f>
        <v>20190312172439031</v>
      </c>
      <c r="B3499" t="str">
        <f>"1552382679024209"</f>
        <v>1552382679024209</v>
      </c>
      <c r="C3499" t="s">
        <v>40</v>
      </c>
      <c r="D3499">
        <v>3.6756829999999998</v>
      </c>
      <c r="E3499">
        <v>0.50262109999999904</v>
      </c>
      <c r="F3499" t="s">
        <v>47</v>
      </c>
      <c r="G3499">
        <v>-320.79509999999999</v>
      </c>
      <c r="H3499" s="1">
        <v>-1.11369E-6</v>
      </c>
      <c r="I3499">
        <v>213.91990000000001</v>
      </c>
      <c r="J3499">
        <v>-339.84140000000002</v>
      </c>
      <c r="K3499">
        <v>1.109934</v>
      </c>
      <c r="L3499">
        <v>214.0984</v>
      </c>
      <c r="M3499">
        <v>0.99983699999999998</v>
      </c>
      <c r="N3499">
        <v>0</v>
      </c>
      <c r="O3499">
        <v>1.439382E-2</v>
      </c>
      <c r="P3499">
        <v>0.98688609999999999</v>
      </c>
      <c r="Q3499">
        <v>0.1612981</v>
      </c>
      <c r="R3499">
        <v>-6.2296540000000003E-3</v>
      </c>
      <c r="S3499">
        <v>3.0685120000000001</v>
      </c>
      <c r="T3499">
        <v>-0.175542</v>
      </c>
      <c r="U3499">
        <v>-2.7404789999999998E-2</v>
      </c>
      <c r="V3499">
        <v>2.0416320000000002E-2</v>
      </c>
      <c r="W3499">
        <v>0.17205770000000001</v>
      </c>
      <c r="X3499">
        <v>0.98487530000000001</v>
      </c>
      <c r="Y3499">
        <v>2.326222E-2</v>
      </c>
      <c r="Z3499">
        <v>-1.487616E-3</v>
      </c>
      <c r="AA3499">
        <v>0.99972830000000001</v>
      </c>
      <c r="AB3499">
        <v>34</v>
      </c>
      <c r="AC3499">
        <v>19.046299999999999</v>
      </c>
      <c r="AD3499">
        <v>-1.10993511369</v>
      </c>
      <c r="AE3499">
        <v>-0.178499999999985</v>
      </c>
      <c r="AF3499">
        <v>0.45111493059859098</v>
      </c>
      <c r="AG3499">
        <v>-1.10993511369</v>
      </c>
      <c r="AH3499">
        <v>18.977314957836199</v>
      </c>
      <c r="AI3499">
        <v>93.346328641017806</v>
      </c>
      <c r="AJ3499">
        <v>88.638262850917499</v>
      </c>
      <c r="AK3499">
        <v>19.015097781660899</v>
      </c>
      <c r="AL3499">
        <v>80.092520491425802</v>
      </c>
      <c r="AM3499">
        <v>88.8124370140861</v>
      </c>
      <c r="AN3499">
        <v>1.0000000174008601</v>
      </c>
    </row>
    <row r="3500" spans="1:40" x14ac:dyDescent="0.25">
      <c r="A3500" t="str">
        <f>"20190312172439051"</f>
        <v>20190312172439051</v>
      </c>
      <c r="B3500" t="str">
        <f>"1552382679043729"</f>
        <v>1552382679043729</v>
      </c>
      <c r="C3500" t="s">
        <v>40</v>
      </c>
      <c r="D3500">
        <v>3.629035</v>
      </c>
      <c r="E3500">
        <v>0.50278100000000003</v>
      </c>
      <c r="F3500" t="s">
        <v>47</v>
      </c>
      <c r="G3500">
        <v>-320.4545</v>
      </c>
      <c r="H3500" s="1">
        <v>-1.2949279999999901E-6</v>
      </c>
      <c r="I3500">
        <v>213.90710000000001</v>
      </c>
      <c r="J3500">
        <v>-339.50979999999998</v>
      </c>
      <c r="K3500">
        <v>1.1099270000000001</v>
      </c>
      <c r="L3500">
        <v>214.10319999999999</v>
      </c>
      <c r="M3500">
        <v>0.99983690000000003</v>
      </c>
      <c r="N3500">
        <v>0</v>
      </c>
      <c r="O3500">
        <v>1.44543999999999E-2</v>
      </c>
      <c r="P3500">
        <v>0.9869405</v>
      </c>
      <c r="Q3500">
        <v>0.16095799999999999</v>
      </c>
      <c r="R3500">
        <v>-6.4150429999999996E-3</v>
      </c>
      <c r="S3500">
        <v>3.0684200000000001</v>
      </c>
      <c r="T3500">
        <v>-0.17567240000000001</v>
      </c>
      <c r="U3500">
        <v>-3.0273439999999999E-2</v>
      </c>
      <c r="V3500">
        <v>2.0662420000000001E-2</v>
      </c>
      <c r="W3500">
        <v>0.17164949999999901</v>
      </c>
      <c r="X3500">
        <v>0.98494139999999997</v>
      </c>
      <c r="Y3500">
        <v>2.4255769999999999E-2</v>
      </c>
      <c r="Z3500">
        <v>-1.520642E-3</v>
      </c>
      <c r="AA3500">
        <v>0.99970460000000005</v>
      </c>
      <c r="AB3500">
        <v>34</v>
      </c>
      <c r="AC3500">
        <v>19.0552999999999</v>
      </c>
      <c r="AD3500">
        <v>-1.109928294928</v>
      </c>
      <c r="AE3500">
        <v>-0.19609999999997199</v>
      </c>
      <c r="AF3500">
        <v>0.46993436261771798</v>
      </c>
      <c r="AG3500">
        <v>-1.109928294928</v>
      </c>
      <c r="AH3500">
        <v>18.986065278024299</v>
      </c>
      <c r="AI3500">
        <v>93.344690062500305</v>
      </c>
      <c r="AJ3500">
        <v>88.582130696002096</v>
      </c>
      <c r="AK3500">
        <v>19.024285896360201</v>
      </c>
      <c r="AL3500">
        <v>80.116261905604503</v>
      </c>
      <c r="AM3500">
        <v>88.7982068409014</v>
      </c>
      <c r="AN3500">
        <v>1.00000002394223</v>
      </c>
    </row>
    <row r="3501" spans="1:40" x14ac:dyDescent="0.25">
      <c r="A3501" t="str">
        <f>"20190312172439073"</f>
        <v>20190312172439073</v>
      </c>
      <c r="B3501" t="str">
        <f>"1552382679064225"</f>
        <v>1552382679064225</v>
      </c>
      <c r="C3501" t="s">
        <v>40</v>
      </c>
      <c r="D3501">
        <v>3.6286139999999998</v>
      </c>
      <c r="E3501">
        <v>0.50288829999999995</v>
      </c>
      <c r="F3501" t="s">
        <v>47</v>
      </c>
      <c r="G3501">
        <v>-320.20830000000001</v>
      </c>
      <c r="H3501" s="1">
        <v>-1.4259209999999999E-6</v>
      </c>
      <c r="I3501">
        <v>213.90450000000001</v>
      </c>
      <c r="J3501">
        <v>-339.16699999999997</v>
      </c>
      <c r="K3501">
        <v>1.1099190000000001</v>
      </c>
      <c r="L3501">
        <v>214.10820000000001</v>
      </c>
      <c r="M3501">
        <v>0.99983670000000002</v>
      </c>
      <c r="N3501">
        <v>0</v>
      </c>
      <c r="O3501">
        <v>1.451707E-2</v>
      </c>
      <c r="P3501">
        <v>0.9869348</v>
      </c>
      <c r="Q3501">
        <v>0.16098380000000001</v>
      </c>
      <c r="R3501">
        <v>-6.6310319999999898E-3</v>
      </c>
      <c r="S3501">
        <v>3.0682680000000002</v>
      </c>
      <c r="T3501">
        <v>-0.17644070000000001</v>
      </c>
      <c r="U3501">
        <v>-3.158569E-2</v>
      </c>
      <c r="V3501">
        <v>2.0940110000000001E-2</v>
      </c>
      <c r="W3501">
        <v>0.1716058</v>
      </c>
      <c r="X3501">
        <v>0.98494320000000002</v>
      </c>
      <c r="Y3501">
        <v>2.4744950000000002E-2</v>
      </c>
      <c r="Z3501">
        <v>-1.5450079999999901E-3</v>
      </c>
      <c r="AA3501">
        <v>0.99969260000000004</v>
      </c>
      <c r="AB3501">
        <v>35</v>
      </c>
      <c r="AC3501">
        <v>18.958699999999901</v>
      </c>
      <c r="AD3501">
        <v>-1.109920425921</v>
      </c>
      <c r="AE3501">
        <v>-0.20369999999999699</v>
      </c>
      <c r="AF3501">
        <v>0.47728358806005999</v>
      </c>
      <c r="AG3501">
        <v>-1.109920425921</v>
      </c>
      <c r="AH3501">
        <v>18.8890116443105</v>
      </c>
      <c r="AI3501">
        <v>93.361769041256906</v>
      </c>
      <c r="AJ3501">
        <v>88.552570239689601</v>
      </c>
      <c r="AK3501">
        <v>18.927611679084201</v>
      </c>
      <c r="AL3501">
        <v>80.118803932460807</v>
      </c>
      <c r="AM3501">
        <v>88.782062550502502</v>
      </c>
      <c r="AN3501">
        <v>1.00000007301334</v>
      </c>
    </row>
    <row r="3502" spans="1:40" x14ac:dyDescent="0.25">
      <c r="A3502" t="str">
        <f>"20190312172439095"</f>
        <v>20190312172439095</v>
      </c>
      <c r="B3502" t="str">
        <f>"1552382679083745"</f>
        <v>1552382679083745</v>
      </c>
      <c r="C3502" t="s">
        <v>40</v>
      </c>
      <c r="D3502">
        <v>3.6592859999999998</v>
      </c>
      <c r="E3502">
        <v>0.5029827</v>
      </c>
      <c r="F3502" t="s">
        <v>48</v>
      </c>
      <c r="G3502">
        <v>-319.85000000000002</v>
      </c>
      <c r="H3502" s="1">
        <v>5.2737050000000004E-6</v>
      </c>
      <c r="I3502">
        <v>213.90170000000001</v>
      </c>
      <c r="J3502">
        <v>-338.83089999999999</v>
      </c>
      <c r="K3502">
        <v>1.109909</v>
      </c>
      <c r="L3502">
        <v>214.1131</v>
      </c>
      <c r="M3502">
        <v>0.99983659999999996</v>
      </c>
      <c r="N3502">
        <v>0</v>
      </c>
      <c r="O3502">
        <v>1.457834E-2</v>
      </c>
      <c r="P3502">
        <v>0.98696640000000002</v>
      </c>
      <c r="Q3502">
        <v>0.16078489999999901</v>
      </c>
      <c r="R3502">
        <v>-6.7806359999999996E-3</v>
      </c>
      <c r="S3502">
        <v>3.0682369999999999</v>
      </c>
      <c r="T3502">
        <v>-0.1762946</v>
      </c>
      <c r="U3502">
        <v>-3.2791140000000003E-2</v>
      </c>
      <c r="V3502">
        <v>2.1150430000000001E-2</v>
      </c>
      <c r="W3502">
        <v>0.17134179999999999</v>
      </c>
      <c r="X3502">
        <v>0.98498459999999999</v>
      </c>
      <c r="Y3502">
        <v>2.5198290000000002E-2</v>
      </c>
      <c r="Z3502">
        <v>-1.5602729999999901E-3</v>
      </c>
      <c r="AA3502">
        <v>0.99968120000000005</v>
      </c>
      <c r="AB3502">
        <v>35</v>
      </c>
      <c r="AC3502">
        <v>18.980899999999899</v>
      </c>
      <c r="AD3502">
        <v>-1.109903726295</v>
      </c>
      <c r="AE3502">
        <v>-0.21139999999999701</v>
      </c>
      <c r="AF3502">
        <v>0.48644027528822498</v>
      </c>
      <c r="AG3502">
        <v>-1.109903726295</v>
      </c>
      <c r="AH3502">
        <v>18.911145806304098</v>
      </c>
      <c r="AI3502">
        <v>93.357754126097902</v>
      </c>
      <c r="AJ3502">
        <v>88.5265392900953</v>
      </c>
      <c r="AK3502">
        <v>18.949932615456898</v>
      </c>
      <c r="AL3502">
        <v>80.134156771566694</v>
      </c>
      <c r="AM3502">
        <v>88.769885159870896</v>
      </c>
      <c r="AN3502">
        <v>1.0000000076767901</v>
      </c>
    </row>
    <row r="3503" spans="1:40" x14ac:dyDescent="0.25">
      <c r="A3503" t="str">
        <f>"20190312172439117"</f>
        <v>20190312172439117</v>
      </c>
      <c r="B3503" t="str">
        <f>"1552382679114001"</f>
        <v>1552382679114001</v>
      </c>
      <c r="C3503" t="s">
        <v>40</v>
      </c>
      <c r="D3503">
        <v>3.6201880000000002</v>
      </c>
      <c r="E3503">
        <v>0.50314340000000002</v>
      </c>
      <c r="F3503" t="s">
        <v>48</v>
      </c>
      <c r="G3503">
        <v>-319.58139999999997</v>
      </c>
      <c r="H3503" s="1">
        <v>5.15461599999999E-6</v>
      </c>
      <c r="I3503">
        <v>213.89920000000001</v>
      </c>
      <c r="J3503">
        <v>-338.49090000000001</v>
      </c>
      <c r="K3503">
        <v>1.109899</v>
      </c>
      <c r="L3503">
        <v>214.1182</v>
      </c>
      <c r="M3503">
        <v>0.99983619999999995</v>
      </c>
      <c r="N3503">
        <v>0</v>
      </c>
      <c r="O3503">
        <v>1.4640459999999999E-2</v>
      </c>
      <c r="P3503">
        <v>0.98695679999999997</v>
      </c>
      <c r="Q3503">
        <v>0.16084970000000001</v>
      </c>
      <c r="R3503">
        <v>-6.6241729999999997E-3</v>
      </c>
      <c r="S3503">
        <v>3.0681759999999998</v>
      </c>
      <c r="T3503">
        <v>-0.17690810000000001</v>
      </c>
      <c r="U3503">
        <v>-3.4103389999999997E-2</v>
      </c>
      <c r="V3503">
        <v>2.105489E-2</v>
      </c>
      <c r="W3503">
        <v>0.1713385</v>
      </c>
      <c r="X3503">
        <v>0.98498719999999995</v>
      </c>
      <c r="Y3503">
        <v>2.5686730000000001E-2</v>
      </c>
      <c r="Z3503">
        <v>-1.58337E-3</v>
      </c>
      <c r="AA3503">
        <v>0.99966880000000002</v>
      </c>
      <c r="AB3503">
        <v>35</v>
      </c>
      <c r="AC3503">
        <v>18.909500000000001</v>
      </c>
      <c r="AD3503">
        <v>-1.1098938453839999</v>
      </c>
      <c r="AE3503">
        <v>-0.21899999999999401</v>
      </c>
      <c r="AF3503">
        <v>0.49413386270551701</v>
      </c>
      <c r="AG3503">
        <v>-1.1098938453839999</v>
      </c>
      <c r="AH3503">
        <v>18.839371700552402</v>
      </c>
      <c r="AI3503">
        <v>93.370442899897995</v>
      </c>
      <c r="AJ3503">
        <v>88.497545692134906</v>
      </c>
      <c r="AK3503">
        <v>18.878505202845599</v>
      </c>
      <c r="AL3503">
        <v>80.134348480338502</v>
      </c>
      <c r="AM3503">
        <v>88.775443328192296</v>
      </c>
      <c r="AN3503">
        <v>0.9999999870695</v>
      </c>
    </row>
    <row r="3504" spans="1:40" x14ac:dyDescent="0.25">
      <c r="A3504" t="str">
        <f>"20190312172439141"</f>
        <v>20190312172439141</v>
      </c>
      <c r="B3504" t="str">
        <f>"1552382679133521"</f>
        <v>1552382679133521</v>
      </c>
      <c r="C3504" t="s">
        <v>40</v>
      </c>
      <c r="D3504">
        <v>3.640422</v>
      </c>
      <c r="E3504">
        <v>0.50325189999999997</v>
      </c>
      <c r="F3504" t="s">
        <v>48</v>
      </c>
      <c r="G3504">
        <v>-319.209</v>
      </c>
      <c r="H3504" s="1">
        <v>4.9894720000000003E-6</v>
      </c>
      <c r="I3504">
        <v>213.89879999999999</v>
      </c>
      <c r="J3504">
        <v>-338.13760000000002</v>
      </c>
      <c r="K3504">
        <v>1.1098870000000001</v>
      </c>
      <c r="L3504">
        <v>214.1234</v>
      </c>
      <c r="M3504">
        <v>0.99983610000000001</v>
      </c>
      <c r="N3504">
        <v>0</v>
      </c>
      <c r="O3504">
        <v>1.470493E-2</v>
      </c>
      <c r="P3504">
        <v>0.98693509999999995</v>
      </c>
      <c r="Q3504">
        <v>0.160976799999999</v>
      </c>
      <c r="R3504">
        <v>-6.7559530000000003E-3</v>
      </c>
      <c r="S3504">
        <v>3.0681759999999998</v>
      </c>
      <c r="T3504">
        <v>-0.1766093</v>
      </c>
      <c r="U3504">
        <v>-3.4912110000000003E-2</v>
      </c>
      <c r="V3504">
        <v>2.1250049999999999E-2</v>
      </c>
      <c r="W3504">
        <v>0.17139209999999999</v>
      </c>
      <c r="X3504">
        <v>0.98497369999999995</v>
      </c>
      <c r="Y3504">
        <v>2.6014220000000001E-2</v>
      </c>
      <c r="Z3504">
        <v>-1.5938219999999999E-3</v>
      </c>
      <c r="AA3504">
        <v>0.99966029999999995</v>
      </c>
      <c r="AB3504">
        <v>35</v>
      </c>
      <c r="AC3504">
        <v>18.928599999999999</v>
      </c>
      <c r="AD3504">
        <v>-1.1098820105280001</v>
      </c>
      <c r="AE3504">
        <v>-0.22460000000000899</v>
      </c>
      <c r="AF3504">
        <v>0.50121200805133703</v>
      </c>
      <c r="AG3504">
        <v>-1.1098820105280001</v>
      </c>
      <c r="AH3504">
        <v>18.8584225006969</v>
      </c>
      <c r="AI3504">
        <v>93.366979173385303</v>
      </c>
      <c r="AJ3504">
        <v>88.477572878698297</v>
      </c>
      <c r="AK3504">
        <v>18.8977022616269</v>
      </c>
      <c r="AL3504">
        <v>80.131231476124995</v>
      </c>
      <c r="AM3504">
        <v>88.764079353418495</v>
      </c>
      <c r="AN3504">
        <v>1.00000000312955</v>
      </c>
    </row>
    <row r="3505" spans="1:40" x14ac:dyDescent="0.25">
      <c r="A3505" t="str">
        <f>"20190312172439163"</f>
        <v>20190312172439163</v>
      </c>
      <c r="B3505" t="str">
        <f>"1552382679154017"</f>
        <v>1552382679154017</v>
      </c>
      <c r="C3505" t="s">
        <v>40</v>
      </c>
      <c r="D3505">
        <v>3.6423869999999998</v>
      </c>
      <c r="E3505">
        <v>0.50333739999999905</v>
      </c>
      <c r="F3505" t="s">
        <v>48</v>
      </c>
      <c r="G3505">
        <v>-318.81889999999999</v>
      </c>
      <c r="H3505" s="1">
        <v>4.8164619999999998E-6</v>
      </c>
      <c r="I3505">
        <v>213.89570000000001</v>
      </c>
      <c r="J3505">
        <v>-337.78469999999999</v>
      </c>
      <c r="K3505">
        <v>1.109874</v>
      </c>
      <c r="L3505">
        <v>214.12860000000001</v>
      </c>
      <c r="M3505">
        <v>0.99983599999999995</v>
      </c>
      <c r="N3505">
        <v>0</v>
      </c>
      <c r="O3505">
        <v>1.4769300000000001E-2</v>
      </c>
      <c r="P3505">
        <v>0.9869</v>
      </c>
      <c r="Q3505">
        <v>0.16118829999999901</v>
      </c>
      <c r="R3505">
        <v>-6.860924E-3</v>
      </c>
      <c r="S3505">
        <v>3.0682070000000001</v>
      </c>
      <c r="T3505">
        <v>-0.17627179999999901</v>
      </c>
      <c r="U3505">
        <v>-3.616333E-2</v>
      </c>
      <c r="V3505">
        <v>2.1417849999999999E-2</v>
      </c>
      <c r="W3505">
        <v>0.1715255</v>
      </c>
      <c r="X3505">
        <v>0.98494680000000001</v>
      </c>
      <c r="Y3505">
        <v>2.6485439999999999E-2</v>
      </c>
      <c r="Z3505">
        <v>-1.607982E-3</v>
      </c>
      <c r="AA3505">
        <v>0.99964790000000003</v>
      </c>
      <c r="AB3505">
        <v>35</v>
      </c>
      <c r="AC3505">
        <v>18.965800000000002</v>
      </c>
      <c r="AD3505">
        <v>-1.1098691835379999</v>
      </c>
      <c r="AE3505">
        <v>-0.2329</v>
      </c>
      <c r="AF3505">
        <v>0.511251037726696</v>
      </c>
      <c r="AG3505">
        <v>-1.1098691835379999</v>
      </c>
      <c r="AH3505">
        <v>18.895592367110201</v>
      </c>
      <c r="AI3505">
        <v>93.360289337144494</v>
      </c>
      <c r="AJ3505">
        <v>88.450147456163506</v>
      </c>
      <c r="AK3505">
        <v>18.935062665122999</v>
      </c>
      <c r="AL3505">
        <v>80.123472902195601</v>
      </c>
      <c r="AM3505">
        <v>88.754289018270001</v>
      </c>
      <c r="AN3505">
        <v>0.99999996013955506</v>
      </c>
    </row>
    <row r="3506" spans="1:40" x14ac:dyDescent="0.25">
      <c r="A3506" t="str">
        <f>"20190312172439187"</f>
        <v>20190312172439187</v>
      </c>
      <c r="B3506" t="str">
        <f>"1552382679184273"</f>
        <v>1552382679184273</v>
      </c>
      <c r="C3506" t="s">
        <v>40</v>
      </c>
      <c r="D3506">
        <v>3.6120100000000002</v>
      </c>
      <c r="E3506">
        <v>0.50348870000000001</v>
      </c>
      <c r="F3506" t="s">
        <v>41</v>
      </c>
      <c r="G3506">
        <v>-336.76260000000002</v>
      </c>
      <c r="H3506">
        <v>1.0513669999999999</v>
      </c>
      <c r="I3506">
        <v>214.11609999999999</v>
      </c>
      <c r="J3506">
        <v>-337.41579999999999</v>
      </c>
      <c r="K3506">
        <v>1.109858</v>
      </c>
      <c r="L3506">
        <v>214.13419999999999</v>
      </c>
      <c r="M3506">
        <v>0.9998359</v>
      </c>
      <c r="N3506">
        <v>0</v>
      </c>
      <c r="O3506">
        <v>1.483669E-2</v>
      </c>
      <c r="P3506">
        <v>0.98689450000000001</v>
      </c>
      <c r="Q3506">
        <v>0.161233399999999</v>
      </c>
      <c r="R3506">
        <v>-6.5664169999999997E-3</v>
      </c>
      <c r="S3506">
        <v>3.0682680000000002</v>
      </c>
      <c r="T3506">
        <v>-0.17569419999999999</v>
      </c>
      <c r="U3506">
        <v>-3.7307739999999999E-2</v>
      </c>
      <c r="V3506">
        <v>2.1189889999999999E-2</v>
      </c>
      <c r="W3506">
        <v>0.17148740000000001</v>
      </c>
      <c r="X3506">
        <v>0.98495840000000001</v>
      </c>
      <c r="Y3506">
        <v>2.6924969999999999E-2</v>
      </c>
      <c r="Z3506">
        <v>-1.6191139999999901E-3</v>
      </c>
      <c r="AA3506">
        <v>0.99963619999999997</v>
      </c>
      <c r="AB3506">
        <v>35</v>
      </c>
      <c r="AC3506">
        <v>0.65319999999996903</v>
      </c>
      <c r="AD3506">
        <v>-5.8491000000000001E-2</v>
      </c>
      <c r="AE3506">
        <v>-1.8100000000003998E-2</v>
      </c>
      <c r="AF3506">
        <v>2.75689686186496E-2</v>
      </c>
      <c r="AG3506">
        <v>-5.8491000000000001E-2</v>
      </c>
      <c r="AH3506">
        <v>0.64767026493680901</v>
      </c>
      <c r="AI3506">
        <v>95.155730617138403</v>
      </c>
      <c r="AJ3506">
        <v>87.562598355902907</v>
      </c>
      <c r="AK3506">
        <v>0.65089017291322804</v>
      </c>
      <c r="AL3506">
        <v>80.125689048327899</v>
      </c>
      <c r="AM3506">
        <v>88.767558090437205</v>
      </c>
      <c r="AN3506">
        <v>0.999999994763766</v>
      </c>
    </row>
    <row r="3507" spans="1:40" x14ac:dyDescent="0.25">
      <c r="A3507" t="str">
        <f>"20190312172439212"</f>
        <v>20190312172439212</v>
      </c>
      <c r="B3507" t="str">
        <f>"1552382679203794"</f>
        <v>1552382679203794</v>
      </c>
      <c r="C3507" t="s">
        <v>40</v>
      </c>
      <c r="D3507">
        <v>3.6325270000000001</v>
      </c>
      <c r="E3507">
        <v>0.50356140000000005</v>
      </c>
      <c r="F3507" t="s">
        <v>48</v>
      </c>
      <c r="G3507">
        <v>-318.02409999999998</v>
      </c>
      <c r="H3507" s="1">
        <v>4.4639889999999999E-6</v>
      </c>
      <c r="I3507">
        <v>213.89709999999999</v>
      </c>
      <c r="J3507">
        <v>-337.02080000000001</v>
      </c>
      <c r="K3507">
        <v>1.109842</v>
      </c>
      <c r="L3507">
        <v>214.14009999999999</v>
      </c>
      <c r="M3507">
        <v>0.99983569999999999</v>
      </c>
      <c r="N3507">
        <v>0</v>
      </c>
      <c r="O3507">
        <v>1.4908920000000001E-2</v>
      </c>
      <c r="P3507">
        <v>0.98690650000000002</v>
      </c>
      <c r="Q3507">
        <v>0.16116510000000001</v>
      </c>
      <c r="R3507">
        <v>-6.4445229999999997E-3</v>
      </c>
      <c r="S3507">
        <v>3.0682680000000002</v>
      </c>
      <c r="T3507">
        <v>-0.17560719999999999</v>
      </c>
      <c r="U3507">
        <v>-3.7506100000000001E-2</v>
      </c>
      <c r="V3507">
        <v>2.1139270000000002E-2</v>
      </c>
      <c r="W3507">
        <v>0.17133099999999901</v>
      </c>
      <c r="X3507">
        <v>0.98498669999999999</v>
      </c>
      <c r="Y3507">
        <v>2.7061519999999999E-2</v>
      </c>
      <c r="Z3507">
        <v>-1.626347E-3</v>
      </c>
      <c r="AA3507">
        <v>0.99963239999999998</v>
      </c>
      <c r="AB3507">
        <v>35</v>
      </c>
      <c r="AC3507">
        <v>18.996700000000001</v>
      </c>
      <c r="AD3507">
        <v>-1.109837536011</v>
      </c>
      <c r="AE3507">
        <v>-0.242999999999995</v>
      </c>
      <c r="AF3507">
        <v>0.52441866755828703</v>
      </c>
      <c r="AG3507">
        <v>-1.109837536011</v>
      </c>
      <c r="AH3507">
        <v>18.926376292856801</v>
      </c>
      <c r="AI3507">
        <v>93.354681159978298</v>
      </c>
      <c r="AJ3507">
        <v>88.412834560854094</v>
      </c>
      <c r="AK3507">
        <v>18.966140194410499</v>
      </c>
      <c r="AL3507">
        <v>80.134784674941699</v>
      </c>
      <c r="AM3507">
        <v>88.770536649695998</v>
      </c>
      <c r="AN3507">
        <v>0.99999998973701099</v>
      </c>
    </row>
    <row r="3508" spans="1:40" x14ac:dyDescent="0.25">
      <c r="A3508" t="str">
        <f>"20190312172439232"</f>
        <v>20190312172439232</v>
      </c>
      <c r="B3508" t="str">
        <f>"1552382679224289"</f>
        <v>1552382679224289</v>
      </c>
      <c r="C3508" t="s">
        <v>40</v>
      </c>
      <c r="D3508">
        <v>3.6217160000000002</v>
      </c>
      <c r="E3508">
        <v>0.50363899999999995</v>
      </c>
      <c r="F3508" t="s">
        <v>48</v>
      </c>
      <c r="G3508">
        <v>-317.65730000000002</v>
      </c>
      <c r="H3508" s="1">
        <v>4.3013419999999997E-6</v>
      </c>
      <c r="I3508">
        <v>213.9032</v>
      </c>
      <c r="J3508">
        <v>-336.72500000000002</v>
      </c>
      <c r="K3508">
        <v>1.109834</v>
      </c>
      <c r="L3508">
        <v>214.14449999999999</v>
      </c>
      <c r="M3508">
        <v>0.99983560000000005</v>
      </c>
      <c r="N3508">
        <v>0</v>
      </c>
      <c r="O3508">
        <v>1.4962960000000001E-2</v>
      </c>
      <c r="P3508">
        <v>0.98690580000000006</v>
      </c>
      <c r="Q3508">
        <v>0.16116340000000001</v>
      </c>
      <c r="R3508">
        <v>-6.5681769999999997E-3</v>
      </c>
      <c r="S3508">
        <v>3.068298</v>
      </c>
      <c r="T3508">
        <v>-0.175862299999999</v>
      </c>
      <c r="U3508">
        <v>-3.753662E-2</v>
      </c>
      <c r="V3508">
        <v>2.1316269999999998E-2</v>
      </c>
      <c r="W3508">
        <v>0.17126479999999999</v>
      </c>
      <c r="X3508">
        <v>0.98499440000000005</v>
      </c>
      <c r="Y3508">
        <v>2.712496E-2</v>
      </c>
      <c r="Z3508">
        <v>-1.6336009999999999E-3</v>
      </c>
      <c r="AA3508">
        <v>0.99963069999999998</v>
      </c>
      <c r="AB3508">
        <v>35</v>
      </c>
      <c r="AC3508">
        <v>19.067699999999999</v>
      </c>
      <c r="AD3508">
        <v>-1.1098296986579901</v>
      </c>
      <c r="AE3508">
        <v>-0.24129999999999499</v>
      </c>
      <c r="AF3508">
        <v>0.52481948708258197</v>
      </c>
      <c r="AG3508">
        <v>-1.1098296986579901</v>
      </c>
      <c r="AH3508">
        <v>18.997604841282801</v>
      </c>
      <c r="AI3508">
        <v>93.342115957013803</v>
      </c>
      <c r="AJ3508">
        <v>88.417574433226207</v>
      </c>
      <c r="AK3508">
        <v>19.037230553827399</v>
      </c>
      <c r="AL3508">
        <v>80.138634577797205</v>
      </c>
      <c r="AM3508">
        <v>88.760255189217304</v>
      </c>
      <c r="AN3508">
        <v>0.99999999155855601</v>
      </c>
    </row>
    <row r="3509" spans="1:40" x14ac:dyDescent="0.25">
      <c r="A3509" t="str">
        <f>"20190312172439252"</f>
        <v>20190312172439252</v>
      </c>
      <c r="B3509" t="str">
        <f>"1552382679243809"</f>
        <v>1552382679243809</v>
      </c>
      <c r="C3509" t="s">
        <v>40</v>
      </c>
      <c r="D3509">
        <v>3.5523030000000002</v>
      </c>
      <c r="E3509">
        <v>0.50357350000000001</v>
      </c>
      <c r="F3509" t="s">
        <v>48</v>
      </c>
      <c r="G3509">
        <v>-317.32650000000001</v>
      </c>
      <c r="H3509" s="1">
        <v>4.1546650000000003E-6</v>
      </c>
      <c r="I3509">
        <v>213.90190000000001</v>
      </c>
      <c r="J3509">
        <v>-336.38569999999999</v>
      </c>
      <c r="K3509">
        <v>1.109826</v>
      </c>
      <c r="L3509">
        <v>214.1497</v>
      </c>
      <c r="M3509">
        <v>0.99983549999999999</v>
      </c>
      <c r="N3509">
        <v>0</v>
      </c>
      <c r="O3509">
        <v>1.502507E-2</v>
      </c>
      <c r="P3509">
        <v>0.98689000000000004</v>
      </c>
      <c r="Q3509">
        <v>0.16125610000000001</v>
      </c>
      <c r="R3509">
        <v>-6.6868639999999998E-3</v>
      </c>
      <c r="S3509">
        <v>3.0682369999999999</v>
      </c>
      <c r="T3509">
        <v>-0.175541</v>
      </c>
      <c r="U3509">
        <v>-3.8375850000000003E-2</v>
      </c>
      <c r="V3509">
        <v>2.1495819999999999E-2</v>
      </c>
      <c r="W3509">
        <v>0.171287299999999</v>
      </c>
      <c r="X3509">
        <v>0.98498660000000005</v>
      </c>
      <c r="Y3509">
        <v>2.746028E-2</v>
      </c>
      <c r="Z3509">
        <v>-1.643785E-3</v>
      </c>
      <c r="AA3509">
        <v>0.9996216</v>
      </c>
      <c r="AB3509">
        <v>35</v>
      </c>
      <c r="AC3509">
        <v>19.059199999999901</v>
      </c>
      <c r="AD3509">
        <v>-1.1098218453349999</v>
      </c>
      <c r="AE3509">
        <v>-0.24779999999998301</v>
      </c>
      <c r="AF3509">
        <v>0.532347860045707</v>
      </c>
      <c r="AG3509">
        <v>-1.1098218453349999</v>
      </c>
      <c r="AH3509">
        <v>18.988948810360199</v>
      </c>
      <c r="AI3509">
        <v>93.343574436348405</v>
      </c>
      <c r="AJ3509">
        <v>88.394155518499701</v>
      </c>
      <c r="AK3509">
        <v>19.0288012153935</v>
      </c>
      <c r="AL3509">
        <v>80.137326229139802</v>
      </c>
      <c r="AM3509">
        <v>88.749806044258094</v>
      </c>
      <c r="AN3509">
        <v>1.00000000579916</v>
      </c>
    </row>
    <row r="3510" spans="1:40" x14ac:dyDescent="0.25">
      <c r="A3510" t="str">
        <f>"20190312172439275"</f>
        <v>20190312172439275</v>
      </c>
      <c r="B3510" t="str">
        <f>"1552382679263330"</f>
        <v>1552382679263330</v>
      </c>
      <c r="C3510" t="s">
        <v>40</v>
      </c>
      <c r="D3510">
        <v>3.6025290000000001</v>
      </c>
      <c r="E3510">
        <v>0.48967430000000001</v>
      </c>
      <c r="F3510" t="s">
        <v>48</v>
      </c>
      <c r="G3510">
        <v>-316.90629999999999</v>
      </c>
      <c r="H3510" s="1">
        <v>3.9682999999999998E-6</v>
      </c>
      <c r="I3510">
        <v>213.90870000000001</v>
      </c>
      <c r="J3510">
        <v>-336.04379999999998</v>
      </c>
      <c r="K3510">
        <v>1.10982</v>
      </c>
      <c r="L3510">
        <v>214.1549</v>
      </c>
      <c r="M3510">
        <v>0.99983509999999998</v>
      </c>
      <c r="N3510">
        <v>0</v>
      </c>
      <c r="O3510">
        <v>1.5087450000000001E-2</v>
      </c>
      <c r="P3510">
        <v>0.98688699999999996</v>
      </c>
      <c r="Q3510">
        <v>0.16127069999999999</v>
      </c>
      <c r="R3510">
        <v>-6.7873459999999997E-3</v>
      </c>
      <c r="S3510">
        <v>3.068146</v>
      </c>
      <c r="T3510">
        <v>-0.1748054</v>
      </c>
      <c r="U3510">
        <v>-3.7948610000000001E-2</v>
      </c>
      <c r="V3510">
        <v>2.1657639999999999E-2</v>
      </c>
      <c r="W3510">
        <v>0.171238</v>
      </c>
      <c r="X3510">
        <v>0.98499159999999997</v>
      </c>
      <c r="Y3510">
        <v>2.7384430000000001E-2</v>
      </c>
      <c r="Z3510">
        <v>-1.6383490000000001E-3</v>
      </c>
      <c r="AA3510">
        <v>0.9996237</v>
      </c>
      <c r="AB3510">
        <v>35</v>
      </c>
      <c r="AC3510">
        <v>19.1374999999999</v>
      </c>
      <c r="AD3510">
        <v>-1.1098160317000001</v>
      </c>
      <c r="AE3510">
        <v>-0.24619999999998701</v>
      </c>
      <c r="AF3510">
        <v>0.53313015615718196</v>
      </c>
      <c r="AG3510">
        <v>-1.1098160317000001</v>
      </c>
      <c r="AH3510">
        <v>19.0674927251418</v>
      </c>
      <c r="AI3510">
        <v>93.329821963831407</v>
      </c>
      <c r="AJ3510">
        <v>88.398418080723005</v>
      </c>
      <c r="AK3510">
        <v>19.1072027835305</v>
      </c>
      <c r="AL3510">
        <v>80.1401930039669</v>
      </c>
      <c r="AM3510">
        <v>88.740404027853003</v>
      </c>
      <c r="AN3510">
        <v>0.99999997904246396</v>
      </c>
    </row>
    <row r="3511" spans="1:40" x14ac:dyDescent="0.25">
      <c r="A3511" t="str">
        <f>"20190312172439296"</f>
        <v>20190312172439296</v>
      </c>
      <c r="B3511" t="str">
        <f>"1552382679283825"</f>
        <v>1552382679283825</v>
      </c>
      <c r="C3511" t="s">
        <v>40</v>
      </c>
      <c r="D3511">
        <v>3.591183</v>
      </c>
      <c r="E3511">
        <v>0.48971779999999998</v>
      </c>
      <c r="F3511" t="s">
        <v>48</v>
      </c>
      <c r="G3511">
        <v>-304.74090000000001</v>
      </c>
      <c r="H3511" s="1">
        <v>1.8123020000000001E-6</v>
      </c>
      <c r="I3511">
        <v>214.88509999999999</v>
      </c>
      <c r="J3511">
        <v>-335.70729999999998</v>
      </c>
      <c r="K3511">
        <v>1.1098140000000001</v>
      </c>
      <c r="L3511">
        <v>214.16</v>
      </c>
      <c r="M3511">
        <v>0.99983480000000002</v>
      </c>
      <c r="N3511">
        <v>0</v>
      </c>
      <c r="O3511">
        <v>1.514913E-2</v>
      </c>
      <c r="P3511">
        <v>0.98688759999999998</v>
      </c>
      <c r="Q3511">
        <v>0.1612721</v>
      </c>
      <c r="R3511">
        <v>-6.6670109999999996E-3</v>
      </c>
      <c r="S3511">
        <v>3.0580440000000002</v>
      </c>
      <c r="T3511">
        <v>-0.1084204</v>
      </c>
      <c r="U3511">
        <v>7.1334839999999997E-2</v>
      </c>
      <c r="V3511">
        <v>2.1598289999999999E-2</v>
      </c>
      <c r="W3511">
        <v>0.171183</v>
      </c>
      <c r="X3511">
        <v>0.9850025</v>
      </c>
      <c r="Y3511">
        <v>-8.1765280000000006E-3</v>
      </c>
      <c r="Z3511">
        <v>-3.9196519999999999E-4</v>
      </c>
      <c r="AA3511">
        <v>0.99996649999999998</v>
      </c>
      <c r="AB3511">
        <v>35</v>
      </c>
      <c r="AC3511">
        <v>30.966399999999901</v>
      </c>
      <c r="AD3511">
        <v>-1.1098121876979901</v>
      </c>
      <c r="AE3511">
        <v>0.72509999999999697</v>
      </c>
      <c r="AF3511">
        <v>-0.255551037765893</v>
      </c>
      <c r="AG3511">
        <v>-1.1098121876979901</v>
      </c>
      <c r="AH3511">
        <v>30.934119703909101</v>
      </c>
      <c r="AI3511">
        <v>92.054628587229203</v>
      </c>
      <c r="AJ3511">
        <v>90.473317585245596</v>
      </c>
      <c r="AK3511">
        <v>30.9550763410566</v>
      </c>
      <c r="AL3511">
        <v>80.143391860456703</v>
      </c>
      <c r="AM3511">
        <v>88.74386857847</v>
      </c>
      <c r="AN3511">
        <v>1.0000000153130799</v>
      </c>
    </row>
    <row r="3512" spans="1:40" x14ac:dyDescent="0.25">
      <c r="A3512" t="str">
        <f>"20190312172439318"</f>
        <v>20190312172439318</v>
      </c>
      <c r="B3512" t="str">
        <f>"1552382679314081"</f>
        <v>1552382679314081</v>
      </c>
      <c r="C3512" t="s">
        <v>40</v>
      </c>
      <c r="D3512">
        <v>3.58182</v>
      </c>
      <c r="E3512">
        <v>0.489782</v>
      </c>
      <c r="F3512" t="s">
        <v>48</v>
      </c>
      <c r="G3512">
        <v>-303.9264</v>
      </c>
      <c r="H3512" s="1">
        <v>1.9567900000000002E-6</v>
      </c>
      <c r="I3512">
        <v>214.8997</v>
      </c>
      <c r="J3512">
        <v>-335.35890000000001</v>
      </c>
      <c r="K3512">
        <v>1.1098059999999901</v>
      </c>
      <c r="L3512">
        <v>214.16540000000001</v>
      </c>
      <c r="M3512">
        <v>0.99983440000000001</v>
      </c>
      <c r="N3512">
        <v>0</v>
      </c>
      <c r="O3512">
        <v>1.521283E-2</v>
      </c>
      <c r="P3512">
        <v>0.98684819999999995</v>
      </c>
      <c r="Q3512">
        <v>0.16151769999999999</v>
      </c>
      <c r="R3512">
        <v>-6.5645060000000003E-3</v>
      </c>
      <c r="S3512">
        <v>3.0577700000000001</v>
      </c>
      <c r="T3512">
        <v>-0.1067792</v>
      </c>
      <c r="U3512">
        <v>7.1166989999999999E-2</v>
      </c>
      <c r="V3512">
        <v>2.155787E-2</v>
      </c>
      <c r="W3512">
        <v>0.17137279999999999</v>
      </c>
      <c r="X3512">
        <v>0.98497029999999997</v>
      </c>
      <c r="Y3512">
        <v>-8.0600419999999999E-3</v>
      </c>
      <c r="Z3512">
        <v>-3.903267E-4</v>
      </c>
      <c r="AA3512">
        <v>0.99996750000000001</v>
      </c>
      <c r="AB3512">
        <v>35</v>
      </c>
      <c r="AC3512">
        <v>31.432500000000001</v>
      </c>
      <c r="AD3512">
        <v>-1.10980404320999</v>
      </c>
      <c r="AE3512">
        <v>0.73429999999998996</v>
      </c>
      <c r="AF3512">
        <v>-0.255695307471141</v>
      </c>
      <c r="AG3512">
        <v>-1.10980404320999</v>
      </c>
      <c r="AH3512">
        <v>31.4009098392753</v>
      </c>
      <c r="AI3512">
        <v>92.0240982282115</v>
      </c>
      <c r="AJ3512">
        <v>90.466545021817595</v>
      </c>
      <c r="AK3512">
        <v>31.421556037836201</v>
      </c>
      <c r="AL3512">
        <v>80.132353213370195</v>
      </c>
      <c r="AM3512">
        <v>88.746177632862498</v>
      </c>
      <c r="AN3512">
        <v>0.99999993511043095</v>
      </c>
    </row>
    <row r="3513" spans="1:40" x14ac:dyDescent="0.25">
      <c r="A3513" t="str">
        <f>"20190312172439342"</f>
        <v>20190312172439342</v>
      </c>
      <c r="B3513" t="str">
        <f>"1552382679333601"</f>
        <v>1552382679333601</v>
      </c>
      <c r="C3513" t="s">
        <v>40</v>
      </c>
      <c r="D3513">
        <v>3.5716929999999998</v>
      </c>
      <c r="E3513">
        <v>0.48976950000000002</v>
      </c>
      <c r="F3513" t="s">
        <v>48</v>
      </c>
      <c r="G3513">
        <v>-303.8186</v>
      </c>
      <c r="H3513" s="1">
        <v>1.9759060000000002E-6</v>
      </c>
      <c r="I3513">
        <v>214.89830000000001</v>
      </c>
      <c r="J3513">
        <v>-334.98930000000001</v>
      </c>
      <c r="K3513">
        <v>1.1097950000000001</v>
      </c>
      <c r="L3513">
        <v>214.1711</v>
      </c>
      <c r="M3513">
        <v>0.99983390000000005</v>
      </c>
      <c r="N3513">
        <v>0</v>
      </c>
      <c r="O3513">
        <v>1.5280230000000001E-2</v>
      </c>
      <c r="P3513">
        <v>0.98680939999999995</v>
      </c>
      <c r="Q3513">
        <v>0.16176670000000001</v>
      </c>
      <c r="R3513">
        <v>-6.2174999999999999E-3</v>
      </c>
      <c r="S3513">
        <v>3.0580750000000001</v>
      </c>
      <c r="T3513">
        <v>-0.1076039</v>
      </c>
      <c r="U3513">
        <v>7.1060180000000001E-2</v>
      </c>
      <c r="V3513">
        <v>2.1277000000000001E-2</v>
      </c>
      <c r="W3513">
        <v>0.17156589999999999</v>
      </c>
      <c r="X3513">
        <v>0.98494289999999995</v>
      </c>
      <c r="Y3513">
        <v>-7.9555819999999992E-3</v>
      </c>
      <c r="Z3513">
        <v>-3.9750730000000001E-4</v>
      </c>
      <c r="AA3513">
        <v>0.99996830000000003</v>
      </c>
      <c r="AB3513">
        <v>35</v>
      </c>
      <c r="AC3513">
        <v>31.1707</v>
      </c>
      <c r="AD3513">
        <v>-1.1097930240939999</v>
      </c>
      <c r="AE3513">
        <v>0.72720000000000995</v>
      </c>
      <c r="AF3513">
        <v>-0.25047878177908001</v>
      </c>
      <c r="AG3513">
        <v>-1.1097930240939999</v>
      </c>
      <c r="AH3513">
        <v>31.138722050366901</v>
      </c>
      <c r="AI3513">
        <v>92.041108147723904</v>
      </c>
      <c r="AJ3513">
        <v>90.460875289142393</v>
      </c>
      <c r="AK3513">
        <v>31.1594992114196</v>
      </c>
      <c r="AL3513">
        <v>80.121124144776203</v>
      </c>
      <c r="AM3513">
        <v>88.762473720770004</v>
      </c>
      <c r="AN3513">
        <v>1.0000000425161</v>
      </c>
    </row>
    <row r="3514" spans="1:40" x14ac:dyDescent="0.25">
      <c r="A3514" t="str">
        <f>"20190312172439364"</f>
        <v>20190312172439364</v>
      </c>
      <c r="B3514" t="str">
        <f>"1552382679354097"</f>
        <v>1552382679354097</v>
      </c>
      <c r="C3514" t="s">
        <v>40</v>
      </c>
      <c r="D3514">
        <v>3.5636019999999902</v>
      </c>
      <c r="E3514">
        <v>0.48967759999999999</v>
      </c>
      <c r="F3514" t="s">
        <v>48</v>
      </c>
      <c r="G3514">
        <v>-303.173</v>
      </c>
      <c r="H3514" s="1">
        <v>2.0904139999999999E-6</v>
      </c>
      <c r="I3514">
        <v>214.92310000000001</v>
      </c>
      <c r="J3514">
        <v>-334.64010000000002</v>
      </c>
      <c r="K3514">
        <v>1.109788</v>
      </c>
      <c r="L3514">
        <v>214.1764</v>
      </c>
      <c r="M3514">
        <v>0.99983339999999998</v>
      </c>
      <c r="N3514">
        <v>0</v>
      </c>
      <c r="O3514">
        <v>1.534437E-2</v>
      </c>
      <c r="P3514">
        <v>0.98681129999999995</v>
      </c>
      <c r="Q3514">
        <v>0.16175419999999999</v>
      </c>
      <c r="R3514">
        <v>-6.2415559999999997E-3</v>
      </c>
      <c r="S3514">
        <v>3.058014</v>
      </c>
      <c r="T3514">
        <v>-0.1066675</v>
      </c>
      <c r="U3514">
        <v>7.2280880000000006E-2</v>
      </c>
      <c r="V3514">
        <v>2.136422E-2</v>
      </c>
      <c r="W3514">
        <v>0.17150570000000001</v>
      </c>
      <c r="X3514">
        <v>0.98495140000000003</v>
      </c>
      <c r="Y3514">
        <v>-8.2906179999999996E-3</v>
      </c>
      <c r="Z3514">
        <v>-3.9045079999999998E-4</v>
      </c>
      <c r="AA3514">
        <v>0.99996549999999995</v>
      </c>
      <c r="AB3514">
        <v>35</v>
      </c>
      <c r="AC3514">
        <v>31.467099999999999</v>
      </c>
      <c r="AD3514">
        <v>-1.1097859095860001</v>
      </c>
      <c r="AE3514">
        <v>0.74670000000000403</v>
      </c>
      <c r="AF3514">
        <v>-0.26341819578021802</v>
      </c>
      <c r="AG3514">
        <v>-1.1097859095860001</v>
      </c>
      <c r="AH3514">
        <v>31.435774052393299</v>
      </c>
      <c r="AI3514">
        <v>92.021818284886294</v>
      </c>
      <c r="AJ3514">
        <v>90.480102624424404</v>
      </c>
      <c r="AK3514">
        <v>31.456460452252202</v>
      </c>
      <c r="AL3514">
        <v>80.124624298469001</v>
      </c>
      <c r="AM3514">
        <v>88.757413083561104</v>
      </c>
      <c r="AN3514">
        <v>0.99999994769532796</v>
      </c>
    </row>
    <row r="3515" spans="1:40" x14ac:dyDescent="0.25">
      <c r="A3515" t="str">
        <f>"20190312172439387"</f>
        <v>20190312172439387</v>
      </c>
      <c r="B3515" t="str">
        <f>"1552382679373617"</f>
        <v>1552382679373617</v>
      </c>
      <c r="C3515" t="s">
        <v>40</v>
      </c>
      <c r="D3515">
        <v>3.5733079999999999</v>
      </c>
      <c r="E3515">
        <v>0.48958230000000003</v>
      </c>
      <c r="F3515" t="s">
        <v>48</v>
      </c>
      <c r="G3515">
        <v>-302.75540000000001</v>
      </c>
      <c r="H3515" s="1">
        <v>2.1645030000000001E-6</v>
      </c>
      <c r="I3515">
        <v>214.93610000000001</v>
      </c>
      <c r="J3515">
        <v>-334.29149999999998</v>
      </c>
      <c r="K3515">
        <v>1.109783</v>
      </c>
      <c r="L3515">
        <v>214.18180000000001</v>
      </c>
      <c r="M3515">
        <v>0.99983290000000002</v>
      </c>
      <c r="N3515">
        <v>0</v>
      </c>
      <c r="O3515">
        <v>1.5407830000000001E-2</v>
      </c>
      <c r="P3515">
        <v>0.98679609999999995</v>
      </c>
      <c r="Q3515">
        <v>0.16185959999999999</v>
      </c>
      <c r="R3515">
        <v>-5.9369969999999899E-3</v>
      </c>
      <c r="S3515">
        <v>3.058014</v>
      </c>
      <c r="T3515">
        <v>-0.1064378</v>
      </c>
      <c r="U3515">
        <v>7.2860720000000004E-2</v>
      </c>
      <c r="V3515">
        <v>2.1121859999999999E-2</v>
      </c>
      <c r="W3515">
        <v>0.1715682</v>
      </c>
      <c r="X3515">
        <v>0.98494579999999998</v>
      </c>
      <c r="Y3515">
        <v>-8.4165980000000008E-3</v>
      </c>
      <c r="Z3515">
        <v>-3.8962509999999998E-4</v>
      </c>
      <c r="AA3515">
        <v>0.99996450000000003</v>
      </c>
      <c r="AB3515">
        <v>35</v>
      </c>
      <c r="AC3515">
        <v>31.536099999999902</v>
      </c>
      <c r="AD3515">
        <v>-1.109780835497</v>
      </c>
      <c r="AE3515">
        <v>0.75429999999999997</v>
      </c>
      <c r="AF3515">
        <v>-0.267952429490318</v>
      </c>
      <c r="AG3515">
        <v>-1.109780835497</v>
      </c>
      <c r="AH3515">
        <v>31.5049855055208</v>
      </c>
      <c r="AI3515">
        <v>92.017368993242499</v>
      </c>
      <c r="AJ3515">
        <v>90.487293452362493</v>
      </c>
      <c r="AK3515">
        <v>31.525664524485101</v>
      </c>
      <c r="AL3515">
        <v>80.120990002564895</v>
      </c>
      <c r="AM3515">
        <v>88.771497911731601</v>
      </c>
      <c r="AN3515">
        <v>1.00000000457936</v>
      </c>
    </row>
    <row r="3516" spans="1:40" x14ac:dyDescent="0.25">
      <c r="A3516" t="str">
        <f>"20190312172439409"</f>
        <v>20190312172439409</v>
      </c>
      <c r="B3516" t="str">
        <f>"1552382679403873"</f>
        <v>1552382679403873</v>
      </c>
      <c r="C3516" t="s">
        <v>40</v>
      </c>
      <c r="D3516">
        <v>3.5752959999999998</v>
      </c>
      <c r="E3516">
        <v>0.48966510000000002</v>
      </c>
      <c r="F3516" t="s">
        <v>48</v>
      </c>
      <c r="G3516">
        <v>-302.0204</v>
      </c>
      <c r="H3516" s="1">
        <v>2.2948789999999999E-6</v>
      </c>
      <c r="I3516">
        <v>214.96799999999999</v>
      </c>
      <c r="J3516">
        <v>-333.93939999999998</v>
      </c>
      <c r="K3516">
        <v>1.10978</v>
      </c>
      <c r="L3516">
        <v>214.18729999999999</v>
      </c>
      <c r="M3516">
        <v>0.99983230000000001</v>
      </c>
      <c r="N3516">
        <v>0</v>
      </c>
      <c r="O3516">
        <v>1.547223E-2</v>
      </c>
      <c r="P3516">
        <v>0.9868363</v>
      </c>
      <c r="Q3516">
        <v>0.16162299999999999</v>
      </c>
      <c r="R3516">
        <v>-5.6777819999999897E-3</v>
      </c>
      <c r="S3516">
        <v>3.0578609999999999</v>
      </c>
      <c r="T3516">
        <v>-0.1051575</v>
      </c>
      <c r="U3516">
        <v>7.4493409999999996E-2</v>
      </c>
      <c r="V3516">
        <v>2.0927009999999999E-2</v>
      </c>
      <c r="W3516">
        <v>0.1712892</v>
      </c>
      <c r="X3516">
        <v>0.9849985</v>
      </c>
      <c r="Y3516">
        <v>-8.8866409999999903E-3</v>
      </c>
      <c r="Z3516">
        <v>-3.7909210000000002E-4</v>
      </c>
      <c r="AA3516">
        <v>0.99996039999999997</v>
      </c>
      <c r="AB3516">
        <v>35</v>
      </c>
      <c r="AC3516">
        <v>31.918999999999901</v>
      </c>
      <c r="AD3516">
        <v>-1.109777705121</v>
      </c>
      <c r="AE3516">
        <v>0.78069999999999595</v>
      </c>
      <c r="AF3516">
        <v>-0.286378744989574</v>
      </c>
      <c r="AG3516">
        <v>-1.109777705121</v>
      </c>
      <c r="AH3516">
        <v>31.8887328728825</v>
      </c>
      <c r="AI3516">
        <v>91.993097882406403</v>
      </c>
      <c r="AJ3516">
        <v>90.514534472240598</v>
      </c>
      <c r="AK3516">
        <v>31.9093231451001</v>
      </c>
      <c r="AL3516">
        <v>80.137215550800803</v>
      </c>
      <c r="AM3516">
        <v>88.782892569545993</v>
      </c>
      <c r="AN3516">
        <v>0.99999998739321405</v>
      </c>
    </row>
    <row r="3517" spans="1:40" x14ac:dyDescent="0.25">
      <c r="A3517" t="str">
        <f>"20190312172439431"</f>
        <v>20190312172439431</v>
      </c>
      <c r="B3517" t="str">
        <f>"1552382679423393"</f>
        <v>1552382679423393</v>
      </c>
      <c r="C3517" t="s">
        <v>40</v>
      </c>
      <c r="D3517">
        <v>3.5959979999999998</v>
      </c>
      <c r="E3517">
        <v>0.48979159999999999</v>
      </c>
      <c r="F3517" t="s">
        <v>48</v>
      </c>
      <c r="G3517">
        <v>-302.05</v>
      </c>
      <c r="H3517" s="1">
        <v>2.289612E-6</v>
      </c>
      <c r="I3517">
        <v>214.9639</v>
      </c>
      <c r="J3517">
        <v>-333.59530000000001</v>
      </c>
      <c r="K3517">
        <v>1.109777</v>
      </c>
      <c r="L3517">
        <v>214.1927</v>
      </c>
      <c r="M3517">
        <v>0.99983169999999999</v>
      </c>
      <c r="N3517">
        <v>0</v>
      </c>
      <c r="O3517">
        <v>1.553502E-2</v>
      </c>
      <c r="P3517">
        <v>0.98683860000000001</v>
      </c>
      <c r="Q3517">
        <v>0.16160849999999999</v>
      </c>
      <c r="R3517">
        <v>-5.7241439999999996E-3</v>
      </c>
      <c r="S3517">
        <v>3.0578609999999999</v>
      </c>
      <c r="T3517">
        <v>-0.1064162</v>
      </c>
      <c r="U3517">
        <v>7.4462890000000004E-2</v>
      </c>
      <c r="V3517">
        <v>2.1035100000000001E-2</v>
      </c>
      <c r="W3517">
        <v>0.1712361</v>
      </c>
      <c r="X3517">
        <v>0.98500540000000003</v>
      </c>
      <c r="Y3517">
        <v>-8.8140579999999996E-3</v>
      </c>
      <c r="Z3517">
        <v>-3.8707299999999999E-4</v>
      </c>
      <c r="AA3517">
        <v>0.99996110000000005</v>
      </c>
      <c r="AB3517">
        <v>35</v>
      </c>
      <c r="AC3517">
        <v>31.545300000000001</v>
      </c>
      <c r="AD3517">
        <v>-1.109774710388</v>
      </c>
      <c r="AE3517">
        <v>0.771199999999993</v>
      </c>
      <c r="AF3517">
        <v>-0.28067954519673199</v>
      </c>
      <c r="AG3517">
        <v>-1.109774710388</v>
      </c>
      <c r="AH3517">
        <v>31.514493226850099</v>
      </c>
      <c r="AI3517">
        <v>92.016742707764095</v>
      </c>
      <c r="AJ3517">
        <v>90.510283570817904</v>
      </c>
      <c r="AK3517">
        <v>31.5352765052106</v>
      </c>
      <c r="AL3517">
        <v>80.140303285451907</v>
      </c>
      <c r="AM3517">
        <v>88.776616566698905</v>
      </c>
      <c r="AN3517">
        <v>0.99999995770218897</v>
      </c>
    </row>
    <row r="3518" spans="1:40" x14ac:dyDescent="0.25">
      <c r="A3518" t="str">
        <f>"20190312172439453"</f>
        <v>20190312172439453</v>
      </c>
      <c r="B3518" t="str">
        <f>"1552382679443889"</f>
        <v>1552382679443889</v>
      </c>
      <c r="C3518" t="s">
        <v>40</v>
      </c>
      <c r="D3518">
        <v>3.5621679999999998</v>
      </c>
      <c r="E3518">
        <v>0.48987360000000002</v>
      </c>
      <c r="F3518" t="s">
        <v>48</v>
      </c>
      <c r="G3518">
        <v>-301.84620000000001</v>
      </c>
      <c r="H3518" s="1">
        <v>2.3257820000000002E-6</v>
      </c>
      <c r="I3518">
        <v>214.9529</v>
      </c>
      <c r="J3518">
        <v>-333.238</v>
      </c>
      <c r="K3518">
        <v>1.1097699999999999</v>
      </c>
      <c r="L3518">
        <v>214.19829999999999</v>
      </c>
      <c r="M3518">
        <v>0.99983109999999997</v>
      </c>
      <c r="N3518">
        <v>0</v>
      </c>
      <c r="O3518">
        <v>1.560047E-2</v>
      </c>
      <c r="P3518">
        <v>0.98681779999999997</v>
      </c>
      <c r="Q3518">
        <v>0.16174549999999999</v>
      </c>
      <c r="R3518">
        <v>-5.4243130000000001E-3</v>
      </c>
      <c r="S3518">
        <v>3.0579830000000001</v>
      </c>
      <c r="T3518">
        <v>-0.10689029999999999</v>
      </c>
      <c r="U3518">
        <v>7.3211670000000006E-2</v>
      </c>
      <c r="V3518">
        <v>2.0799459999999999E-2</v>
      </c>
      <c r="W3518">
        <v>0.17133570000000001</v>
      </c>
      <c r="X3518">
        <v>0.98499309999999995</v>
      </c>
      <c r="Y3518">
        <v>-8.3390870000000002E-3</v>
      </c>
      <c r="Z3518">
        <v>-3.9936689999999999E-4</v>
      </c>
      <c r="AA3518">
        <v>0.99996510000000005</v>
      </c>
      <c r="AB3518">
        <v>35</v>
      </c>
      <c r="AC3518">
        <v>31.3918</v>
      </c>
      <c r="AD3518">
        <v>-1.109767674218</v>
      </c>
      <c r="AE3518">
        <v>0.75460000000001004</v>
      </c>
      <c r="AF3518">
        <v>-0.26442792591040398</v>
      </c>
      <c r="AG3518">
        <v>-1.109767674218</v>
      </c>
      <c r="AH3518">
        <v>31.360581068572301</v>
      </c>
      <c r="AI3518">
        <v>92.026627779615197</v>
      </c>
      <c r="AJ3518">
        <v>90.483098354334899</v>
      </c>
      <c r="AK3518">
        <v>31.381324882439799</v>
      </c>
      <c r="AL3518">
        <v>80.134511179657594</v>
      </c>
      <c r="AM3518">
        <v>88.790301991039797</v>
      </c>
      <c r="AN3518">
        <v>0.99999997333919499</v>
      </c>
    </row>
    <row r="3519" spans="1:40" x14ac:dyDescent="0.25">
      <c r="A3519" t="str">
        <f>"20190312172439475"</f>
        <v>20190312172439475</v>
      </c>
      <c r="B3519" t="str">
        <f>"1552382679463409"</f>
        <v>1552382679463409</v>
      </c>
      <c r="C3519" t="s">
        <v>40</v>
      </c>
      <c r="D3519">
        <v>3.592203</v>
      </c>
      <c r="E3519">
        <v>0.48990909999999899</v>
      </c>
      <c r="F3519" t="s">
        <v>48</v>
      </c>
      <c r="G3519">
        <v>-301.47190000000001</v>
      </c>
      <c r="H3519" s="1">
        <v>2.392173E-6</v>
      </c>
      <c r="I3519">
        <v>214.96039999999999</v>
      </c>
      <c r="J3519">
        <v>-332.89490000000001</v>
      </c>
      <c r="K3519">
        <v>1.1097669999999999</v>
      </c>
      <c r="L3519">
        <v>214.2037</v>
      </c>
      <c r="M3519">
        <v>0.99983040000000001</v>
      </c>
      <c r="N3519">
        <v>0</v>
      </c>
      <c r="O3519">
        <v>1.5663139999999999E-2</v>
      </c>
      <c r="P3519">
        <v>0.98688140000000002</v>
      </c>
      <c r="Q3519">
        <v>0.16134089999999901</v>
      </c>
      <c r="R3519">
        <v>-5.8424219999999999E-3</v>
      </c>
      <c r="S3519">
        <v>3.0579830000000001</v>
      </c>
      <c r="T3519">
        <v>-0.10683239999999899</v>
      </c>
      <c r="U3519">
        <v>7.3364260000000001E-2</v>
      </c>
      <c r="V3519">
        <v>2.1280440000000001E-2</v>
      </c>
      <c r="W3519">
        <v>0.17090069999999999</v>
      </c>
      <c r="X3519">
        <v>0.9850584</v>
      </c>
      <c r="Y3519">
        <v>-8.3263130000000001E-3</v>
      </c>
      <c r="Z3519">
        <v>-4.0156170000000001E-4</v>
      </c>
      <c r="AA3519">
        <v>0.99996529999999995</v>
      </c>
      <c r="AB3519">
        <v>35</v>
      </c>
      <c r="AC3519">
        <v>31.422999999999998</v>
      </c>
      <c r="AD3519">
        <v>-1.109764607827</v>
      </c>
      <c r="AE3519">
        <v>0.75669999999999404</v>
      </c>
      <c r="AF3519">
        <v>-0.26407203832815401</v>
      </c>
      <c r="AG3519">
        <v>-1.109764607827</v>
      </c>
      <c r="AH3519">
        <v>31.391865713227102</v>
      </c>
      <c r="AI3519">
        <v>92.024604502353299</v>
      </c>
      <c r="AJ3519">
        <v>90.481967416240593</v>
      </c>
      <c r="AK3519">
        <v>31.412585765637001</v>
      </c>
      <c r="AL3519">
        <v>80.159808014576697</v>
      </c>
      <c r="AM3519">
        <v>88.762418784219406</v>
      </c>
      <c r="AN3519">
        <v>0.99999997889882097</v>
      </c>
    </row>
    <row r="3520" spans="1:40" x14ac:dyDescent="0.25">
      <c r="A3520" t="str">
        <f>"20190312172439497"</f>
        <v>20190312172439497</v>
      </c>
      <c r="B3520" t="str">
        <f>"1552382679493665"</f>
        <v>1552382679493665</v>
      </c>
      <c r="C3520" t="s">
        <v>40</v>
      </c>
      <c r="D3520">
        <v>3.5755469999999998</v>
      </c>
      <c r="E3520">
        <v>0.4899811</v>
      </c>
      <c r="F3520" t="s">
        <v>48</v>
      </c>
      <c r="G3520">
        <v>-301.46570000000003</v>
      </c>
      <c r="H3520" s="1">
        <v>2.3932659999999999E-6</v>
      </c>
      <c r="I3520">
        <v>214.9427</v>
      </c>
      <c r="J3520">
        <v>-332.54539999999997</v>
      </c>
      <c r="K3520">
        <v>1.109761</v>
      </c>
      <c r="L3520">
        <v>214.20930000000001</v>
      </c>
      <c r="M3520">
        <v>0.99982969999999904</v>
      </c>
      <c r="N3520">
        <v>0</v>
      </c>
      <c r="O3520">
        <v>1.57267E-2</v>
      </c>
      <c r="P3520">
        <v>0.98690979999999995</v>
      </c>
      <c r="Q3520">
        <v>0.16116739999999999</v>
      </c>
      <c r="R3520">
        <v>-5.8701179999999997E-3</v>
      </c>
      <c r="S3520">
        <v>3.0579529999999999</v>
      </c>
      <c r="T3520">
        <v>-0.10797619999999999</v>
      </c>
      <c r="U3520">
        <v>7.1899409999999997E-2</v>
      </c>
      <c r="V3520">
        <v>2.137114E-2</v>
      </c>
      <c r="W3520">
        <v>0.17069999999999999</v>
      </c>
      <c r="X3520">
        <v>0.9850913</v>
      </c>
      <c r="Y3520">
        <v>-7.784727E-3</v>
      </c>
      <c r="Z3520">
        <v>-4.176653E-4</v>
      </c>
      <c r="AA3520">
        <v>0.99996960000000001</v>
      </c>
      <c r="AB3520">
        <v>35</v>
      </c>
      <c r="AC3520">
        <v>31.0796999999999</v>
      </c>
      <c r="AD3520">
        <v>-1.109758606734</v>
      </c>
      <c r="AE3520">
        <v>0.73339999999998895</v>
      </c>
      <c r="AF3520">
        <v>-0.24419421383620399</v>
      </c>
      <c r="AG3520">
        <v>-1.109758606734</v>
      </c>
      <c r="AH3520">
        <v>31.047827114903399</v>
      </c>
      <c r="AI3520">
        <v>92.047018053535894</v>
      </c>
      <c r="AJ3520">
        <v>90.450627649199404</v>
      </c>
      <c r="AK3520">
        <v>31.0686138013305</v>
      </c>
      <c r="AL3520">
        <v>80.171479403005904</v>
      </c>
      <c r="AM3520">
        <v>88.757187199000199</v>
      </c>
      <c r="AN3520">
        <v>1.00000004248029</v>
      </c>
    </row>
    <row r="3521" spans="1:40" x14ac:dyDescent="0.25">
      <c r="A3521" t="str">
        <f>"20190312172439532"</f>
        <v>20190312172439532</v>
      </c>
      <c r="B3521" t="str">
        <f>"1552382679523921"</f>
        <v>1552382679523921</v>
      </c>
      <c r="C3521" t="s">
        <v>40</v>
      </c>
      <c r="D3521">
        <v>3.6016949999999999</v>
      </c>
      <c r="E3521">
        <v>0.4900777</v>
      </c>
      <c r="F3521" t="s">
        <v>48</v>
      </c>
      <c r="G3521">
        <v>-301.18520000000001</v>
      </c>
      <c r="H3521" s="1">
        <v>2.443026E-6</v>
      </c>
      <c r="I3521">
        <v>214.94069999999999</v>
      </c>
      <c r="J3521">
        <v>-331.9864</v>
      </c>
      <c r="K3521">
        <v>1.109753</v>
      </c>
      <c r="L3521">
        <v>214.2182</v>
      </c>
      <c r="M3521">
        <v>0.99982839999999995</v>
      </c>
      <c r="N3521">
        <v>0</v>
      </c>
      <c r="O3521">
        <v>1.582838E-2</v>
      </c>
      <c r="P3521">
        <v>0.98688969999999998</v>
      </c>
      <c r="Q3521">
        <v>0.16129450000000001</v>
      </c>
      <c r="R3521">
        <v>-5.7442930000000001E-3</v>
      </c>
      <c r="S3521">
        <v>3.0578609999999999</v>
      </c>
      <c r="T3521">
        <v>-0.1082101</v>
      </c>
      <c r="U3521">
        <v>7.1319579999999994E-2</v>
      </c>
      <c r="V3521">
        <v>2.1345260000000001E-2</v>
      </c>
      <c r="W3521">
        <v>0.17079069999999999</v>
      </c>
      <c r="X3521">
        <v>0.98507610000000001</v>
      </c>
      <c r="Y3521">
        <v>-7.4944909999999998E-3</v>
      </c>
      <c r="Z3521">
        <v>-4.2731220000000002E-4</v>
      </c>
      <c r="AA3521">
        <v>0.99997179999999997</v>
      </c>
      <c r="AB3521">
        <v>35</v>
      </c>
      <c r="AC3521">
        <v>30.801199999999898</v>
      </c>
      <c r="AD3521">
        <v>-1.109750556974</v>
      </c>
      <c r="AE3521">
        <v>0.72249999999999603</v>
      </c>
      <c r="AF3521">
        <v>-0.23454949240397899</v>
      </c>
      <c r="AG3521">
        <v>-1.109750556974</v>
      </c>
      <c r="AH3521">
        <v>30.7688577429135</v>
      </c>
      <c r="AI3521">
        <v>92.065550472575296</v>
      </c>
      <c r="AJ3521">
        <v>90.4367544553741</v>
      </c>
      <c r="AK3521">
        <v>30.789757494445102</v>
      </c>
      <c r="AL3521">
        <v>80.166204834251204</v>
      </c>
      <c r="AM3521">
        <v>88.758672600180205</v>
      </c>
      <c r="AN3521">
        <v>1.0000000030610801</v>
      </c>
    </row>
    <row r="3522" spans="1:40" x14ac:dyDescent="0.25">
      <c r="A3522" t="str">
        <f>"20190312172439554"</f>
        <v>20190312172439554</v>
      </c>
      <c r="B3522" t="str">
        <f>"1552382679543442"</f>
        <v>1552382679543442</v>
      </c>
      <c r="C3522" t="s">
        <v>40</v>
      </c>
      <c r="D3522">
        <v>3.5796160000000001</v>
      </c>
      <c r="E3522">
        <v>0.4900465</v>
      </c>
      <c r="F3522" t="s">
        <v>48</v>
      </c>
      <c r="G3522">
        <v>-300.44220000000001</v>
      </c>
      <c r="H3522" s="1">
        <v>2.574827E-6</v>
      </c>
      <c r="I3522">
        <v>214.95150000000001</v>
      </c>
      <c r="J3522">
        <v>-331.64060000000001</v>
      </c>
      <c r="K3522">
        <v>1.109753</v>
      </c>
      <c r="L3522">
        <v>214.22370000000001</v>
      </c>
      <c r="M3522">
        <v>0.99982760000000004</v>
      </c>
      <c r="N3522">
        <v>0</v>
      </c>
      <c r="O3522">
        <v>1.5891180000000001E-2</v>
      </c>
      <c r="P3522">
        <v>0.98689660000000001</v>
      </c>
      <c r="Q3522">
        <v>0.16124669999999999</v>
      </c>
      <c r="R3522">
        <v>-5.9106000000000002E-3</v>
      </c>
      <c r="S3522">
        <v>3.0578609999999999</v>
      </c>
      <c r="T3522">
        <v>-0.1075778</v>
      </c>
      <c r="U3522">
        <v>7.1090699999999896E-2</v>
      </c>
      <c r="V3522">
        <v>2.1573510000000001E-2</v>
      </c>
      <c r="W3522">
        <v>0.1707254</v>
      </c>
      <c r="X3522">
        <v>0.98508240000000002</v>
      </c>
      <c r="Y3522">
        <v>-7.3569509999999996E-3</v>
      </c>
      <c r="Z3522">
        <v>-4.294433E-4</v>
      </c>
      <c r="AA3522">
        <v>0.9999728</v>
      </c>
      <c r="AB3522">
        <v>36</v>
      </c>
      <c r="AC3522">
        <v>31.1983999999999</v>
      </c>
      <c r="AD3522">
        <v>-1.1097504251729999</v>
      </c>
      <c r="AE3522">
        <v>0.727800000000002</v>
      </c>
      <c r="AF3522">
        <v>-0.231612937603008</v>
      </c>
      <c r="AG3522">
        <v>-1.1097504251729999</v>
      </c>
      <c r="AH3522">
        <v>31.1666132772128</v>
      </c>
      <c r="AI3522">
        <v>92.039214533465397</v>
      </c>
      <c r="AJ3522">
        <v>90.4257825321789</v>
      </c>
      <c r="AK3522">
        <v>31.187224527526901</v>
      </c>
      <c r="AL3522">
        <v>80.170001557308296</v>
      </c>
      <c r="AM3522">
        <v>88.745411028878706</v>
      </c>
      <c r="AN3522">
        <v>0.99999995666431896</v>
      </c>
    </row>
    <row r="3523" spans="1:40" x14ac:dyDescent="0.25">
      <c r="A3523" t="str">
        <f>"20190312172439575"</f>
        <v>20190312172439575</v>
      </c>
      <c r="B3523" t="str">
        <f>"1552382679563938"</f>
        <v>1552382679563938</v>
      </c>
      <c r="C3523" t="s">
        <v>40</v>
      </c>
      <c r="D3523">
        <v>3.351521</v>
      </c>
      <c r="E3523">
        <v>0.49034270000000002</v>
      </c>
      <c r="F3523" t="s">
        <v>48</v>
      </c>
      <c r="G3523">
        <v>-300.32909999999998</v>
      </c>
      <c r="H3523" s="1">
        <v>2.5948740000000001E-6</v>
      </c>
      <c r="I3523">
        <v>214.9496</v>
      </c>
      <c r="J3523">
        <v>-331.2971</v>
      </c>
      <c r="K3523">
        <v>1.1097410000000001</v>
      </c>
      <c r="L3523">
        <v>214.22919999999999</v>
      </c>
      <c r="M3523">
        <v>0.99982669999999996</v>
      </c>
      <c r="N3523">
        <v>0</v>
      </c>
      <c r="O3523">
        <v>1.5953660000000001E-2</v>
      </c>
      <c r="P3523">
        <v>0.98693470000000005</v>
      </c>
      <c r="Q3523">
        <v>0.16099069999999999</v>
      </c>
      <c r="R3523">
        <v>-6.4733000000000004E-3</v>
      </c>
      <c r="S3523">
        <v>3.0579830000000001</v>
      </c>
      <c r="T3523">
        <v>-0.1083819</v>
      </c>
      <c r="U3523">
        <v>7.0892330000000003E-2</v>
      </c>
      <c r="V3523">
        <v>2.2198499999999999E-2</v>
      </c>
      <c r="W3523">
        <v>0.17045479999999999</v>
      </c>
      <c r="X3523">
        <v>0.98511539999999997</v>
      </c>
      <c r="Y3523">
        <v>-7.2288989999999996E-3</v>
      </c>
      <c r="Z3523">
        <v>-4.3711560000000001E-4</v>
      </c>
      <c r="AA3523">
        <v>0.99997380000000002</v>
      </c>
      <c r="AB3523">
        <v>36</v>
      </c>
      <c r="AC3523">
        <v>30.968</v>
      </c>
      <c r="AD3523">
        <v>-1.109738405126</v>
      </c>
      <c r="AE3523">
        <v>0.72040000000001203</v>
      </c>
      <c r="AF3523">
        <v>-0.225942637726225</v>
      </c>
      <c r="AG3523">
        <v>-1.109738405126</v>
      </c>
      <c r="AH3523">
        <v>30.935847250701801</v>
      </c>
      <c r="AI3523">
        <v>92.0543927732149</v>
      </c>
      <c r="AJ3523">
        <v>90.418457243918994</v>
      </c>
      <c r="AK3523">
        <v>30.956569811949599</v>
      </c>
      <c r="AL3523">
        <v>80.185736685509198</v>
      </c>
      <c r="AM3523">
        <v>88.709120627005902</v>
      </c>
      <c r="AN3523">
        <v>0.99999998178122396</v>
      </c>
    </row>
    <row r="3524" spans="1:40" x14ac:dyDescent="0.25">
      <c r="A3524" t="str">
        <f>"20190312172439687"</f>
        <v>20190312172439687</v>
      </c>
      <c r="B3524" t="str">
        <f>"1552382679683986"</f>
        <v>1552382679683986</v>
      </c>
      <c r="C3524" t="s">
        <v>40</v>
      </c>
      <c r="D3524">
        <v>3.5315279999999998</v>
      </c>
      <c r="E3524">
        <v>0.49084810000000001</v>
      </c>
      <c r="F3524" t="s">
        <v>48</v>
      </c>
      <c r="G3524">
        <v>-302.59379999999999</v>
      </c>
      <c r="H3524" s="1">
        <v>2.193161E-6</v>
      </c>
      <c r="I3524">
        <v>214.85679999999999</v>
      </c>
      <c r="J3524">
        <v>-329.50729999999999</v>
      </c>
      <c r="K3524">
        <v>1.1097129999999999</v>
      </c>
      <c r="L3524">
        <v>214.25829999999999</v>
      </c>
      <c r="M3524">
        <v>0.99982210000000005</v>
      </c>
      <c r="N3524">
        <v>0</v>
      </c>
      <c r="O3524">
        <v>1.627986E-2</v>
      </c>
      <c r="P3524">
        <v>0.98701110000000003</v>
      </c>
      <c r="Q3524">
        <v>0.1604932</v>
      </c>
      <c r="R3524">
        <v>-7.120459E-3</v>
      </c>
      <c r="S3524">
        <v>3.0594790000000001</v>
      </c>
      <c r="T3524">
        <v>-0.118287</v>
      </c>
      <c r="U3524">
        <v>6.6894529999999994E-2</v>
      </c>
      <c r="V3524">
        <v>2.3168540000000001E-2</v>
      </c>
      <c r="W3524">
        <v>0.1698886</v>
      </c>
      <c r="X3524">
        <v>0.98519089999999998</v>
      </c>
      <c r="Y3524">
        <v>-5.5878400000000002E-3</v>
      </c>
      <c r="Z3524">
        <v>-5.2112220000000002E-4</v>
      </c>
      <c r="AA3524">
        <v>0.99998430000000005</v>
      </c>
      <c r="AB3524">
        <v>36</v>
      </c>
      <c r="AC3524">
        <v>26.913499999999999</v>
      </c>
      <c r="AD3524">
        <v>-1.109710806839</v>
      </c>
      <c r="AE3524">
        <v>0.59850000000000103</v>
      </c>
      <c r="AF3524">
        <v>-0.159980932978841</v>
      </c>
      <c r="AG3524">
        <v>-1.109710806839</v>
      </c>
      <c r="AH3524">
        <v>26.874010456733199</v>
      </c>
      <c r="AI3524">
        <v>92.3645343121579</v>
      </c>
      <c r="AJ3524">
        <v>90.341077637113202</v>
      </c>
      <c r="AK3524">
        <v>26.897388163209101</v>
      </c>
      <c r="AL3524">
        <v>80.218658043046503</v>
      </c>
      <c r="AM3524">
        <v>88.652834767453797</v>
      </c>
      <c r="AN3524">
        <v>1.0000000135492499</v>
      </c>
    </row>
    <row r="3525" spans="1:40" x14ac:dyDescent="0.25">
      <c r="A3525" t="str">
        <f>"20190312172439710"</f>
        <v>20190312172439710</v>
      </c>
      <c r="B3525" t="str">
        <f>"1552382679703506"</f>
        <v>1552382679703506</v>
      </c>
      <c r="C3525" t="s">
        <v>40</v>
      </c>
      <c r="D3525">
        <v>3.5437829999999999</v>
      </c>
      <c r="E3525">
        <v>0.49164960000000002</v>
      </c>
      <c r="F3525" t="s">
        <v>48</v>
      </c>
      <c r="G3525">
        <v>-300.90989999999999</v>
      </c>
      <c r="H3525" s="1">
        <v>2.4918640000000001E-6</v>
      </c>
      <c r="I3525">
        <v>214.8398</v>
      </c>
      <c r="J3525">
        <v>-329.14839999999998</v>
      </c>
      <c r="K3525">
        <v>1.109712</v>
      </c>
      <c r="L3525">
        <v>214.26419999999999</v>
      </c>
      <c r="M3525">
        <v>0.99982119999999997</v>
      </c>
      <c r="N3525">
        <v>0</v>
      </c>
      <c r="O3525">
        <v>1.6345180000000001E-2</v>
      </c>
      <c r="P3525">
        <v>0.98702599999999996</v>
      </c>
      <c r="Q3525">
        <v>0.16039429999999999</v>
      </c>
      <c r="R3525">
        <v>-7.3064459999999899E-3</v>
      </c>
      <c r="S3525">
        <v>3.0592649999999999</v>
      </c>
      <c r="T3525">
        <v>-0.1187136</v>
      </c>
      <c r="U3525">
        <v>6.2210080000000001E-2</v>
      </c>
      <c r="V3525">
        <v>2.3418979999999999E-2</v>
      </c>
      <c r="W3525">
        <v>0.1697786</v>
      </c>
      <c r="X3525">
        <v>0.98520390000000002</v>
      </c>
      <c r="Y3525">
        <v>-3.9948079999999999E-3</v>
      </c>
      <c r="Z3525">
        <v>-5.5647409999999998E-4</v>
      </c>
      <c r="AA3525">
        <v>0.99999190000000004</v>
      </c>
      <c r="AB3525">
        <v>36</v>
      </c>
      <c r="AC3525">
        <v>28.238499999999899</v>
      </c>
      <c r="AD3525">
        <v>-1.109709508136</v>
      </c>
      <c r="AE3525">
        <v>0.57560000000000799</v>
      </c>
      <c r="AF3525">
        <v>-0.11376325449734299</v>
      </c>
      <c r="AG3525">
        <v>-1.109709508136</v>
      </c>
      <c r="AH3525">
        <v>28.200603474387101</v>
      </c>
      <c r="AI3525">
        <v>92.253439974710304</v>
      </c>
      <c r="AJ3525">
        <v>90.2311340250005</v>
      </c>
      <c r="AK3525">
        <v>28.222658159538</v>
      </c>
      <c r="AL3525">
        <v>80.2250530877118</v>
      </c>
      <c r="AM3525">
        <v>88.638296019409495</v>
      </c>
      <c r="AN3525">
        <v>0.99999997310870403</v>
      </c>
    </row>
    <row r="3526" spans="1:40" x14ac:dyDescent="0.25">
      <c r="A3526" t="str">
        <f>"20190312172439734"</f>
        <v>20190312172439734</v>
      </c>
      <c r="B3526" t="str">
        <f>"1552382679724001"</f>
        <v>1552382679724001</v>
      </c>
      <c r="C3526" t="s">
        <v>40</v>
      </c>
      <c r="D3526">
        <v>3.5902970000000001</v>
      </c>
      <c r="E3526">
        <v>0.49248370000000002</v>
      </c>
      <c r="F3526" t="s">
        <v>48</v>
      </c>
      <c r="G3526">
        <v>-300.10219999999998</v>
      </c>
      <c r="H3526" s="1">
        <v>2.6351380000000002E-6</v>
      </c>
      <c r="I3526">
        <v>214.7903</v>
      </c>
      <c r="J3526">
        <v>-328.76859999999999</v>
      </c>
      <c r="K3526">
        <v>1.1097109999999999</v>
      </c>
      <c r="L3526">
        <v>214.2705</v>
      </c>
      <c r="M3526">
        <v>0.99982020000000005</v>
      </c>
      <c r="N3526">
        <v>0</v>
      </c>
      <c r="O3526">
        <v>1.6414249999999998E-2</v>
      </c>
      <c r="P3526">
        <v>0.98704840000000005</v>
      </c>
      <c r="Q3526">
        <v>0.16025610000000001</v>
      </c>
      <c r="R3526">
        <v>-7.3078250000000004E-3</v>
      </c>
      <c r="S3526">
        <v>3.0588679999999999</v>
      </c>
      <c r="T3526">
        <v>-0.116864</v>
      </c>
      <c r="U3526">
        <v>5.5404660000000001E-2</v>
      </c>
      <c r="V3526">
        <v>2.348888E-2</v>
      </c>
      <c r="W3526">
        <v>0.16963110000000001</v>
      </c>
      <c r="X3526">
        <v>0.98522770000000004</v>
      </c>
      <c r="Y3526">
        <v>-1.7058129999999901E-3</v>
      </c>
      <c r="Z3526">
        <v>-5.9423899999999999E-4</v>
      </c>
      <c r="AA3526">
        <v>0.99999839999999995</v>
      </c>
      <c r="AB3526">
        <v>36</v>
      </c>
      <c r="AC3526">
        <v>28.666399999999999</v>
      </c>
      <c r="AD3526">
        <v>-1.1097083648620001</v>
      </c>
      <c r="AE3526">
        <v>0.51980000000000304</v>
      </c>
      <c r="AF3526">
        <v>-4.9097748685674403E-2</v>
      </c>
      <c r="AG3526">
        <v>-1.1097083648620001</v>
      </c>
      <c r="AH3526">
        <v>28.628183463675299</v>
      </c>
      <c r="AI3526">
        <v>92.219829848987203</v>
      </c>
      <c r="AJ3526">
        <v>90.098262994186499</v>
      </c>
      <c r="AK3526">
        <v>28.649725158783301</v>
      </c>
      <c r="AL3526">
        <v>80.233629157130807</v>
      </c>
      <c r="AM3526">
        <v>88.634266179125504</v>
      </c>
      <c r="AN3526">
        <v>1.0000000292090701</v>
      </c>
    </row>
    <row r="3527" spans="1:40" x14ac:dyDescent="0.25">
      <c r="A3527" t="str">
        <f>"20190312172439755"</f>
        <v>20190312172439755</v>
      </c>
      <c r="B3527" t="str">
        <f>"1552382679743521"</f>
        <v>1552382679743521</v>
      </c>
      <c r="C3527" t="s">
        <v>40</v>
      </c>
      <c r="D3527">
        <v>3.5874790000000001</v>
      </c>
      <c r="E3527">
        <v>0.4932899</v>
      </c>
      <c r="F3527" t="s">
        <v>48</v>
      </c>
      <c r="G3527">
        <v>-299.95519999999999</v>
      </c>
      <c r="H3527" s="1">
        <v>2.6602949999999998E-6</v>
      </c>
      <c r="I3527">
        <v>214.72739999999999</v>
      </c>
      <c r="J3527">
        <v>-328.42500000000001</v>
      </c>
      <c r="K3527">
        <v>1.1097109999999999</v>
      </c>
      <c r="L3527">
        <v>214.27619999999999</v>
      </c>
      <c r="M3527">
        <v>0.99981920000000002</v>
      </c>
      <c r="N3527">
        <v>0</v>
      </c>
      <c r="O3527">
        <v>1.647651E-2</v>
      </c>
      <c r="P3527">
        <v>0.98699219999999999</v>
      </c>
      <c r="Q3527">
        <v>0.16059949999999901</v>
      </c>
      <c r="R3527">
        <v>-7.3855450000000003E-3</v>
      </c>
      <c r="S3527">
        <v>3.0588380000000002</v>
      </c>
      <c r="T3527">
        <v>-0.11780690000000001</v>
      </c>
      <c r="U3527">
        <v>4.8507689999999999E-2</v>
      </c>
      <c r="V3527">
        <v>2.362682E-2</v>
      </c>
      <c r="W3527">
        <v>0.16996610000000001</v>
      </c>
      <c r="X3527">
        <v>0.9851666</v>
      </c>
      <c r="Y3527">
        <v>6.0845729999999996E-4</v>
      </c>
      <c r="Z3527">
        <v>-6.4599329999999997E-4</v>
      </c>
      <c r="AA3527">
        <v>0.99999959999999999</v>
      </c>
      <c r="AB3527">
        <v>36</v>
      </c>
      <c r="AC3527">
        <v>28.469799999999999</v>
      </c>
      <c r="AD3527">
        <v>-1.109708339705</v>
      </c>
      <c r="AE3527">
        <v>0.45119999999999999</v>
      </c>
      <c r="AF3527">
        <v>1.7938083820301601E-2</v>
      </c>
      <c r="AG3527">
        <v>-1.109708339705</v>
      </c>
      <c r="AH3527">
        <v>28.4301858358474</v>
      </c>
      <c r="AI3527">
        <v>92.235276671600005</v>
      </c>
      <c r="AJ3527">
        <v>89.963849115689797</v>
      </c>
      <c r="AK3527">
        <v>28.451840731925898</v>
      </c>
      <c r="AL3527">
        <v>80.214151616038805</v>
      </c>
      <c r="AM3527">
        <v>88.626163714130399</v>
      </c>
      <c r="AN3527">
        <v>0.99999996576404004</v>
      </c>
    </row>
    <row r="3528" spans="1:40" x14ac:dyDescent="0.25">
      <c r="A3528" t="str">
        <f>"20190312172439776"</f>
        <v>20190312172439776</v>
      </c>
      <c r="B3528" t="str">
        <f>"1552382679773778"</f>
        <v>1552382679773778</v>
      </c>
      <c r="C3528" t="s">
        <v>40</v>
      </c>
      <c r="D3528">
        <v>3.5873840000000001</v>
      </c>
      <c r="E3528">
        <v>0.49434919999999999</v>
      </c>
      <c r="F3528" t="s">
        <v>48</v>
      </c>
      <c r="G3528">
        <v>-299.71350000000001</v>
      </c>
      <c r="H3528" s="1">
        <v>2.6174309999999999E-6</v>
      </c>
      <c r="I3528">
        <v>214.66820000000001</v>
      </c>
      <c r="J3528">
        <v>-328.07389999999998</v>
      </c>
      <c r="K3528">
        <v>1.109712</v>
      </c>
      <c r="L3528">
        <v>214.28200000000001</v>
      </c>
      <c r="M3528">
        <v>0.99981830000000005</v>
      </c>
      <c r="N3528">
        <v>0</v>
      </c>
      <c r="O3528">
        <v>1.6538520000000001E-2</v>
      </c>
      <c r="P3528">
        <v>0.986873</v>
      </c>
      <c r="Q3528">
        <v>0.1613338</v>
      </c>
      <c r="R3528">
        <v>-7.2898559999999999E-3</v>
      </c>
      <c r="S3528">
        <v>3.0590820000000001</v>
      </c>
      <c r="T3528">
        <v>-0.1182349</v>
      </c>
      <c r="U3528">
        <v>4.1763309999999998E-2</v>
      </c>
      <c r="V3528">
        <v>2.3590659999999999E-2</v>
      </c>
      <c r="W3528">
        <v>0.17069389999999901</v>
      </c>
      <c r="X3528">
        <v>0.98504170000000002</v>
      </c>
      <c r="Y3528">
        <v>2.8741410000000002E-3</v>
      </c>
      <c r="Z3528">
        <v>-6.9446179999999903E-4</v>
      </c>
      <c r="AA3528">
        <v>0.99999559999999998</v>
      </c>
      <c r="AB3528">
        <v>36</v>
      </c>
      <c r="AC3528">
        <v>28.360399999999899</v>
      </c>
      <c r="AD3528">
        <v>-1.1097093825689901</v>
      </c>
      <c r="AE3528">
        <v>0.38620000000000199</v>
      </c>
      <c r="AF3528">
        <v>8.2786212235482701E-2</v>
      </c>
      <c r="AG3528">
        <v>-1.1097093825689901</v>
      </c>
      <c r="AH3528">
        <v>28.319557181587101</v>
      </c>
      <c r="AI3528">
        <v>92.243992711320601</v>
      </c>
      <c r="AJ3528">
        <v>89.832508431499903</v>
      </c>
      <c r="AK3528">
        <v>28.3414118814127</v>
      </c>
      <c r="AL3528">
        <v>80.171834075973194</v>
      </c>
      <c r="AM3528">
        <v>88.628091652391902</v>
      </c>
      <c r="AN3528">
        <v>1.00000003873766</v>
      </c>
    </row>
    <row r="3529" spans="1:40" x14ac:dyDescent="0.25">
      <c r="A3529" t="str">
        <f>"20190312172439800"</f>
        <v>20190312172439800</v>
      </c>
      <c r="B3529" t="str">
        <f>"1552382679794274"</f>
        <v>1552382679794274</v>
      </c>
      <c r="C3529" t="s">
        <v>40</v>
      </c>
      <c r="D3529">
        <v>3.5840049999999999</v>
      </c>
      <c r="E3529">
        <v>0.4949964</v>
      </c>
      <c r="F3529" t="s">
        <v>48</v>
      </c>
      <c r="G3529">
        <v>-299.51510000000002</v>
      </c>
      <c r="H3529" s="1">
        <v>2.5822360000000002E-6</v>
      </c>
      <c r="I3529">
        <v>214.59479999999999</v>
      </c>
      <c r="J3529">
        <v>-327.69619999999998</v>
      </c>
      <c r="K3529">
        <v>1.1097090000000001</v>
      </c>
      <c r="L3529">
        <v>214.28829999999999</v>
      </c>
      <c r="M3529">
        <v>0.99981710000000001</v>
      </c>
      <c r="N3529">
        <v>0</v>
      </c>
      <c r="O3529">
        <v>1.6600739999999999E-2</v>
      </c>
      <c r="P3529">
        <v>0.98678359999999998</v>
      </c>
      <c r="Q3529">
        <v>0.16189000000000001</v>
      </c>
      <c r="R3529">
        <v>-7.0408170000000004E-3</v>
      </c>
      <c r="S3529">
        <v>3.0595699999999999</v>
      </c>
      <c r="T3529">
        <v>-0.11888559999999999</v>
      </c>
      <c r="U3529">
        <v>3.3508299999999998E-2</v>
      </c>
      <c r="V3529">
        <v>2.340246E-2</v>
      </c>
      <c r="W3529">
        <v>0.17124410000000001</v>
      </c>
      <c r="X3529">
        <v>0.98495069999999996</v>
      </c>
      <c r="Y3529">
        <v>5.6339199999999997E-3</v>
      </c>
      <c r="Z3529">
        <v>-7.5419810000000001E-4</v>
      </c>
      <c r="AA3529">
        <v>0.99998379999999998</v>
      </c>
      <c r="AB3529">
        <v>36</v>
      </c>
      <c r="AC3529">
        <v>28.181099999999901</v>
      </c>
      <c r="AD3529">
        <v>-1.1097064177639999</v>
      </c>
      <c r="AE3529">
        <v>0.306499999999999</v>
      </c>
      <c r="AF3529">
        <v>0.161140614891499</v>
      </c>
      <c r="AG3529">
        <v>-1.1097064177639999</v>
      </c>
      <c r="AH3529">
        <v>28.138677873313998</v>
      </c>
      <c r="AI3529">
        <v>92.258369137563406</v>
      </c>
      <c r="AJ3529">
        <v>89.671890191231199</v>
      </c>
      <c r="AK3529">
        <v>28.161012181552099</v>
      </c>
      <c r="AL3529">
        <v>80.139838958259801</v>
      </c>
      <c r="AM3529">
        <v>88.638906545671006</v>
      </c>
      <c r="AN3529">
        <v>1.0000000491746699</v>
      </c>
    </row>
    <row r="3530" spans="1:40" x14ac:dyDescent="0.25">
      <c r="A3530" t="str">
        <f>"20190312172439823"</f>
        <v>20190312172439823</v>
      </c>
      <c r="B3530" t="str">
        <f>"1552382679814285"</f>
        <v>1552382679814285</v>
      </c>
      <c r="C3530" t="s">
        <v>40</v>
      </c>
      <c r="D3530">
        <v>3.598427</v>
      </c>
      <c r="E3530">
        <v>0.49556699999999998</v>
      </c>
      <c r="F3530" t="s">
        <v>48</v>
      </c>
      <c r="G3530">
        <v>-299.2527</v>
      </c>
      <c r="H3530" s="1">
        <v>2.5356910000000001E-6</v>
      </c>
      <c r="I3530">
        <v>214.55779999999999</v>
      </c>
      <c r="J3530">
        <v>-327.3304</v>
      </c>
      <c r="K3530">
        <v>1.109701</v>
      </c>
      <c r="L3530">
        <v>214.2944</v>
      </c>
      <c r="M3530">
        <v>0.9998165</v>
      </c>
      <c r="N3530">
        <v>0</v>
      </c>
      <c r="O3530">
        <v>1.664877E-2</v>
      </c>
      <c r="P3530">
        <v>0.98673679999999997</v>
      </c>
      <c r="Q3530">
        <v>0.162179399999999</v>
      </c>
      <c r="R3530">
        <v>-6.9595269999999897E-3</v>
      </c>
      <c r="S3530">
        <v>3.0599370000000001</v>
      </c>
      <c r="T3530">
        <v>-0.11938169999999999</v>
      </c>
      <c r="U3530">
        <v>2.8991699999999999E-2</v>
      </c>
      <c r="V3530">
        <v>2.3370930000000002E-2</v>
      </c>
      <c r="W3530">
        <v>0.17152970000000001</v>
      </c>
      <c r="X3530">
        <v>0.98490169999999999</v>
      </c>
      <c r="Y3530">
        <v>7.1577960000000001E-3</v>
      </c>
      <c r="Z3530">
        <v>-7.888471E-4</v>
      </c>
      <c r="AA3530">
        <v>0.99997409999999998</v>
      </c>
      <c r="AB3530">
        <v>36</v>
      </c>
      <c r="AC3530">
        <v>28.0777</v>
      </c>
      <c r="AD3530">
        <v>-1.109698464309</v>
      </c>
      <c r="AE3530">
        <v>0.26339999999998998</v>
      </c>
      <c r="AF3530">
        <v>0.20379835748755201</v>
      </c>
      <c r="AG3530">
        <v>-1.109698464309</v>
      </c>
      <c r="AH3530">
        <v>28.034407070202899</v>
      </c>
      <c r="AI3530">
        <v>92.2667212089776</v>
      </c>
      <c r="AJ3530">
        <v>89.583491099366896</v>
      </c>
      <c r="AK3530">
        <v>28.057101493740301</v>
      </c>
      <c r="AL3530">
        <v>80.123229022520704</v>
      </c>
      <c r="AM3530">
        <v>88.640672051228606</v>
      </c>
      <c r="AN3530">
        <v>0.99999999850702204</v>
      </c>
    </row>
    <row r="3531" spans="1:40" x14ac:dyDescent="0.25">
      <c r="A3531" t="str">
        <f>"20190312172439845"</f>
        <v>20190312172439845</v>
      </c>
      <c r="B3531" t="str">
        <f>"1552382679833805"</f>
        <v>1552382679833805</v>
      </c>
      <c r="C3531" t="s">
        <v>40</v>
      </c>
      <c r="D3531">
        <v>3.6109680000000002</v>
      </c>
      <c r="E3531">
        <v>0.49609320000000001</v>
      </c>
      <c r="F3531" t="s">
        <v>48</v>
      </c>
      <c r="G3531">
        <v>-299.13630000000001</v>
      </c>
      <c r="H3531" s="1">
        <v>2.5150390000000001E-6</v>
      </c>
      <c r="I3531">
        <v>214.51939999999999</v>
      </c>
      <c r="J3531">
        <v>-326.96620000000001</v>
      </c>
      <c r="K3531">
        <v>1.109683</v>
      </c>
      <c r="L3531">
        <v>214.3006</v>
      </c>
      <c r="M3531">
        <v>0.99981589999999998</v>
      </c>
      <c r="N3531">
        <v>0</v>
      </c>
      <c r="O3531">
        <v>1.6683489999999999E-2</v>
      </c>
      <c r="P3531">
        <v>0.98674229999999996</v>
      </c>
      <c r="Q3531">
        <v>0.1621591</v>
      </c>
      <c r="R3531">
        <v>-6.6520219999999996E-3</v>
      </c>
      <c r="S3531">
        <v>3.0603030000000002</v>
      </c>
      <c r="T3531">
        <v>-0.1204513</v>
      </c>
      <c r="U3531">
        <v>2.4414060000000001E-2</v>
      </c>
      <c r="V3531">
        <v>2.3101940000000001E-2</v>
      </c>
      <c r="W3531">
        <v>0.17150299999999999</v>
      </c>
      <c r="X3531">
        <v>0.98491269999999997</v>
      </c>
      <c r="Y3531">
        <v>8.6877689999999997E-3</v>
      </c>
      <c r="Z3531">
        <v>-8.2728479999999904E-4</v>
      </c>
      <c r="AA3531">
        <v>0.99996189999999996</v>
      </c>
      <c r="AB3531">
        <v>36</v>
      </c>
      <c r="AC3531">
        <v>27.829899999999999</v>
      </c>
      <c r="AD3531">
        <v>-1.109680484961</v>
      </c>
      <c r="AE3531">
        <v>0.218799999999987</v>
      </c>
      <c r="AF3531">
        <v>0.24516140773418901</v>
      </c>
      <c r="AG3531">
        <v>-1.109680484961</v>
      </c>
      <c r="AH3531">
        <v>27.785503097684899</v>
      </c>
      <c r="AI3531">
        <v>92.286939574176699</v>
      </c>
      <c r="AJ3531">
        <v>89.494472012600895</v>
      </c>
      <c r="AK3531">
        <v>27.808733831046801</v>
      </c>
      <c r="AL3531">
        <v>80.124781871606004</v>
      </c>
      <c r="AM3531">
        <v>88.656326601204597</v>
      </c>
      <c r="AN3531">
        <v>1.0000000026310201</v>
      </c>
    </row>
    <row r="3532" spans="1:40" x14ac:dyDescent="0.25">
      <c r="A3532" t="str">
        <f>"20190312172439866"</f>
        <v>20190312172439866</v>
      </c>
      <c r="B3532" t="str">
        <f>"1552382679853325"</f>
        <v>1552382679853325</v>
      </c>
      <c r="C3532" t="s">
        <v>40</v>
      </c>
      <c r="D3532">
        <v>3.6215820000000001</v>
      </c>
      <c r="E3532">
        <v>0.49657230000000002</v>
      </c>
      <c r="F3532" t="s">
        <v>48</v>
      </c>
      <c r="G3532">
        <v>-299.23340000000002</v>
      </c>
      <c r="H3532" s="1">
        <v>2.532265E-6</v>
      </c>
      <c r="I3532">
        <v>214.4896</v>
      </c>
      <c r="J3532">
        <v>-326.61799999999999</v>
      </c>
      <c r="K3532">
        <v>1.109674</v>
      </c>
      <c r="L3532">
        <v>214.3064</v>
      </c>
      <c r="M3532">
        <v>0.99981569999999997</v>
      </c>
      <c r="N3532">
        <v>0</v>
      </c>
      <c r="O3532">
        <v>1.6706950000000002E-2</v>
      </c>
      <c r="P3532">
        <v>0.9867321</v>
      </c>
      <c r="Q3532">
        <v>0.16221340000000001</v>
      </c>
      <c r="R3532">
        <v>-6.8444090000000001E-3</v>
      </c>
      <c r="S3532">
        <v>3.060638</v>
      </c>
      <c r="T3532">
        <v>-0.1224663</v>
      </c>
      <c r="U3532">
        <v>2.085876E-2</v>
      </c>
      <c r="V3532">
        <v>2.332182E-2</v>
      </c>
      <c r="W3532">
        <v>0.17154810000000001</v>
      </c>
      <c r="X3532">
        <v>0.98489959999999999</v>
      </c>
      <c r="Y3532">
        <v>9.8719879999999999E-3</v>
      </c>
      <c r="Z3532">
        <v>-8.6564689999999995E-4</v>
      </c>
      <c r="AA3532">
        <v>0.99995089999999998</v>
      </c>
      <c r="AB3532">
        <v>36</v>
      </c>
      <c r="AC3532">
        <v>27.384599999999899</v>
      </c>
      <c r="AD3532">
        <v>-1.1096714677349999</v>
      </c>
      <c r="AE3532">
        <v>0.183199999999999</v>
      </c>
      <c r="AF3532">
        <v>0.27390943472644602</v>
      </c>
      <c r="AG3532">
        <v>-1.1096714677349999</v>
      </c>
      <c r="AH3532">
        <v>27.338949572696698</v>
      </c>
      <c r="AI3532">
        <v>92.324208717071798</v>
      </c>
      <c r="AJ3532">
        <v>89.425971745975104</v>
      </c>
      <c r="AK3532">
        <v>27.362831740943601</v>
      </c>
      <c r="AL3532">
        <v>80.122158334586203</v>
      </c>
      <c r="AM3532">
        <v>88.643524486181803</v>
      </c>
      <c r="AN3532">
        <v>0.99999993999093895</v>
      </c>
    </row>
    <row r="3533" spans="1:40" x14ac:dyDescent="0.25">
      <c r="A3533" t="str">
        <f>"20190312172439888"</f>
        <v>20190312172439888</v>
      </c>
      <c r="B3533" t="str">
        <f>"1552382679883581"</f>
        <v>1552382679883581</v>
      </c>
      <c r="C3533" t="s">
        <v>40</v>
      </c>
      <c r="D3533">
        <v>3.6232600000000001</v>
      </c>
      <c r="E3533">
        <v>0.49721759999999898</v>
      </c>
      <c r="F3533" t="s">
        <v>48</v>
      </c>
      <c r="G3533">
        <v>-299.23480000000001</v>
      </c>
      <c r="H3533" s="1">
        <v>2.532513E-6</v>
      </c>
      <c r="I3533">
        <v>214.4537</v>
      </c>
      <c r="J3533">
        <v>-326.25790000000001</v>
      </c>
      <c r="K3533">
        <v>1.109661</v>
      </c>
      <c r="L3533">
        <v>214.3124</v>
      </c>
      <c r="M3533">
        <v>0.99981560000000003</v>
      </c>
      <c r="N3533">
        <v>0</v>
      </c>
      <c r="O3533">
        <v>1.6722629999999999E-2</v>
      </c>
      <c r="P3533">
        <v>0.98673949999999999</v>
      </c>
      <c r="Q3533">
        <v>0.16216649999999999</v>
      </c>
      <c r="R3533">
        <v>-6.884065E-3</v>
      </c>
      <c r="S3533">
        <v>3.0608520000000001</v>
      </c>
      <c r="T3533">
        <v>-0.1240377</v>
      </c>
      <c r="U3533">
        <v>1.646423E-2</v>
      </c>
      <c r="V3533">
        <v>2.3380729999999999E-2</v>
      </c>
      <c r="W3533">
        <v>0.1714926</v>
      </c>
      <c r="X3533">
        <v>0.98490789999999995</v>
      </c>
      <c r="Y3533">
        <v>1.1321980000000001E-2</v>
      </c>
      <c r="Z3533">
        <v>-9.0669229999999995E-4</v>
      </c>
      <c r="AA3533">
        <v>0.99993549999999998</v>
      </c>
      <c r="AB3533">
        <v>36</v>
      </c>
      <c r="AC3533">
        <v>27.023099999999999</v>
      </c>
      <c r="AD3533">
        <v>-1.109658467487</v>
      </c>
      <c r="AE3533">
        <v>0.14130000000000101</v>
      </c>
      <c r="AF3533">
        <v>0.31011430119500299</v>
      </c>
      <c r="AG3533">
        <v>-1.109658467487</v>
      </c>
      <c r="AH3533">
        <v>26.97619801422</v>
      </c>
      <c r="AI3533">
        <v>92.355362672532493</v>
      </c>
      <c r="AJ3533">
        <v>89.3413653784758</v>
      </c>
      <c r="AK3533">
        <v>27.0007920642465</v>
      </c>
      <c r="AL3533">
        <v>80.125386392563499</v>
      </c>
      <c r="AM3533">
        <v>88.640110823268401</v>
      </c>
      <c r="AN3533">
        <v>0.99999997093625004</v>
      </c>
    </row>
    <row r="3534" spans="1:40" x14ac:dyDescent="0.25">
      <c r="A3534" t="str">
        <f>"20190312172439934"</f>
        <v>20190312172439934</v>
      </c>
      <c r="B3534" t="str">
        <f>"1552382679923597"</f>
        <v>1552382679923597</v>
      </c>
      <c r="C3534" t="s">
        <v>40</v>
      </c>
      <c r="D3534">
        <v>3.6267</v>
      </c>
      <c r="E3534">
        <v>0.49798550000000003</v>
      </c>
      <c r="F3534" t="s">
        <v>48</v>
      </c>
      <c r="G3534">
        <v>-299.41469999999998</v>
      </c>
      <c r="H3534" s="1">
        <v>2.5644299999999999E-6</v>
      </c>
      <c r="I3534">
        <v>214.4128</v>
      </c>
      <c r="J3534">
        <v>-325.51769999999999</v>
      </c>
      <c r="K3534">
        <v>1.10964</v>
      </c>
      <c r="L3534">
        <v>214.32480000000001</v>
      </c>
      <c r="M3534">
        <v>0.99981549999999997</v>
      </c>
      <c r="N3534">
        <v>0</v>
      </c>
      <c r="O3534">
        <v>1.6732219999999999E-2</v>
      </c>
      <c r="P3534">
        <v>0.98677300000000001</v>
      </c>
      <c r="Q3534">
        <v>0.16190979999999999</v>
      </c>
      <c r="R3534">
        <v>-8.0403839999999994E-3</v>
      </c>
      <c r="S3534">
        <v>3.0611570000000001</v>
      </c>
      <c r="T3534">
        <v>-0.12654380000000001</v>
      </c>
      <c r="U3534">
        <v>1.1444090000000001E-2</v>
      </c>
      <c r="V3534">
        <v>2.4551480000000001E-2</v>
      </c>
      <c r="W3534">
        <v>0.17122200000000001</v>
      </c>
      <c r="X3534">
        <v>0.98492650000000004</v>
      </c>
      <c r="Y3534">
        <v>1.296955E-2</v>
      </c>
      <c r="Z3534">
        <v>-9.5934480000000005E-4</v>
      </c>
      <c r="AA3534">
        <v>0.99991540000000001</v>
      </c>
      <c r="AB3534">
        <v>36</v>
      </c>
      <c r="AC3534">
        <v>26.103000000000002</v>
      </c>
      <c r="AD3534">
        <v>-1.1096374355700001</v>
      </c>
      <c r="AE3534">
        <v>8.7999999999993805E-2</v>
      </c>
      <c r="AF3534">
        <v>0.34816373774178899</v>
      </c>
      <c r="AG3534">
        <v>-1.1096374355700001</v>
      </c>
      <c r="AH3534">
        <v>26.0537368456053</v>
      </c>
      <c r="AI3534">
        <v>92.438555221509404</v>
      </c>
      <c r="AJ3534">
        <v>89.234385241672001</v>
      </c>
      <c r="AK3534">
        <v>26.079680152309201</v>
      </c>
      <c r="AL3534">
        <v>80.141123482401994</v>
      </c>
      <c r="AM3534">
        <v>88.572071179424498</v>
      </c>
      <c r="AN3534">
        <v>0.99999997942822005</v>
      </c>
    </row>
    <row r="3535" spans="1:40" x14ac:dyDescent="0.25">
      <c r="A3535" t="str">
        <f>"20190312172439956"</f>
        <v>20190312172439956</v>
      </c>
      <c r="B3535" t="str">
        <f>"1552382679944093"</f>
        <v>1552382679944093</v>
      </c>
      <c r="C3535" t="s">
        <v>40</v>
      </c>
      <c r="D3535">
        <v>3.6235719999999998</v>
      </c>
      <c r="E3535">
        <v>0.4983728</v>
      </c>
      <c r="F3535" t="s">
        <v>48</v>
      </c>
      <c r="G3535">
        <v>-299.45569999999998</v>
      </c>
      <c r="H3535" s="1">
        <v>2.5716890000000002E-6</v>
      </c>
      <c r="I3535">
        <v>214.34719999999999</v>
      </c>
      <c r="J3535">
        <v>-325.15910000000002</v>
      </c>
      <c r="K3535">
        <v>1.1096330000000001</v>
      </c>
      <c r="L3535">
        <v>214.33080000000001</v>
      </c>
      <c r="M3535">
        <v>0.99981560000000003</v>
      </c>
      <c r="N3535">
        <v>0</v>
      </c>
      <c r="O3535">
        <v>1.6726350000000001E-2</v>
      </c>
      <c r="P3535">
        <v>0.98686209999999996</v>
      </c>
      <c r="Q3535">
        <v>0.16133549999999999</v>
      </c>
      <c r="R3535">
        <v>-8.6247189999999994E-3</v>
      </c>
      <c r="S3535">
        <v>3.0616150000000002</v>
      </c>
      <c r="T3535">
        <v>-0.13035369999999999</v>
      </c>
      <c r="U3535">
        <v>2.639771E-3</v>
      </c>
      <c r="V3535">
        <v>2.5133450000000002E-2</v>
      </c>
      <c r="W3535">
        <v>0.17064319999999999</v>
      </c>
      <c r="X3535">
        <v>0.98501229999999995</v>
      </c>
      <c r="Y3535">
        <v>1.5835490000000001E-2</v>
      </c>
      <c r="Z3535">
        <v>-1.0487960000000001E-3</v>
      </c>
      <c r="AA3535">
        <v>0.99987409999999999</v>
      </c>
      <c r="AB3535">
        <v>36</v>
      </c>
      <c r="AC3535">
        <v>25.703399999999998</v>
      </c>
      <c r="AD3535">
        <v>-1.1096304283109999</v>
      </c>
      <c r="AE3535">
        <v>1.6399999999975899E-2</v>
      </c>
      <c r="AF3535">
        <v>0.41277620103048002</v>
      </c>
      <c r="AG3535">
        <v>-1.1096304283109999</v>
      </c>
      <c r="AH3535">
        <v>25.6522701545905</v>
      </c>
      <c r="AI3535">
        <v>92.476557305649607</v>
      </c>
      <c r="AJ3535">
        <v>89.0781208392591</v>
      </c>
      <c r="AK3535">
        <v>25.679576086136301</v>
      </c>
      <c r="AL3535">
        <v>80.174781956222702</v>
      </c>
      <c r="AM3535">
        <v>88.538365242656596</v>
      </c>
      <c r="AN3535">
        <v>1.0000000115832099</v>
      </c>
    </row>
    <row r="3536" spans="1:40" x14ac:dyDescent="0.25">
      <c r="A3536" t="str">
        <f>"20190312172439979"</f>
        <v>20190312172439979</v>
      </c>
      <c r="B3536" t="str">
        <f>"1552382679973373"</f>
        <v>1552382679973373</v>
      </c>
      <c r="C3536" t="s">
        <v>40</v>
      </c>
      <c r="D3536">
        <v>3.602128</v>
      </c>
      <c r="E3536">
        <v>0.49895329999999899</v>
      </c>
      <c r="F3536" t="s">
        <v>48</v>
      </c>
      <c r="G3536">
        <v>-299.73509999999999</v>
      </c>
      <c r="H3536" s="1">
        <v>2.6212640000000001E-6</v>
      </c>
      <c r="I3536">
        <v>214.3135</v>
      </c>
      <c r="J3536">
        <v>-324.79140000000001</v>
      </c>
      <c r="K3536">
        <v>1.109626</v>
      </c>
      <c r="L3536">
        <v>214.33690000000001</v>
      </c>
      <c r="M3536">
        <v>0.99981580000000003</v>
      </c>
      <c r="N3536">
        <v>0</v>
      </c>
      <c r="O3536">
        <v>1.6714969999999999E-2</v>
      </c>
      <c r="P3536">
        <v>0.98689539999999998</v>
      </c>
      <c r="Q3536">
        <v>0.16111059999999999</v>
      </c>
      <c r="R3536">
        <v>-9.0024690000000008E-3</v>
      </c>
      <c r="S3536">
        <v>3.061798</v>
      </c>
      <c r="T3536">
        <v>-0.13363249999999999</v>
      </c>
      <c r="U3536">
        <v>-2.0751950000000002E-3</v>
      </c>
      <c r="V3536">
        <v>2.550289E-2</v>
      </c>
      <c r="W3536">
        <v>0.17041529999999999</v>
      </c>
      <c r="X3536">
        <v>0.98504230000000004</v>
      </c>
      <c r="Y3536">
        <v>1.736095E-2</v>
      </c>
      <c r="Z3536">
        <v>-1.1078679999999999E-3</v>
      </c>
      <c r="AA3536">
        <v>0.99984870000000003</v>
      </c>
      <c r="AB3536">
        <v>37</v>
      </c>
      <c r="AC3536">
        <v>25.0563</v>
      </c>
      <c r="AD3536">
        <v>-1.1096233787359999</v>
      </c>
      <c r="AE3536">
        <v>-2.3400000000009399E-2</v>
      </c>
      <c r="AF3536">
        <v>0.441365071574849</v>
      </c>
      <c r="AG3536">
        <v>-1.1096233787359999</v>
      </c>
      <c r="AH3536">
        <v>25.003371999080599</v>
      </c>
      <c r="AI3536">
        <v>92.540663885524495</v>
      </c>
      <c r="AJ3536">
        <v>88.988707215471393</v>
      </c>
      <c r="AK3536">
        <v>25.031873251785498</v>
      </c>
      <c r="AL3536">
        <v>80.188034172424395</v>
      </c>
      <c r="AM3536">
        <v>88.516935149686802</v>
      </c>
      <c r="AN3536">
        <v>1.0000000523308601</v>
      </c>
    </row>
    <row r="3537" spans="1:40" x14ac:dyDescent="0.25">
      <c r="A3537" t="str">
        <f>"20190312172440002"</f>
        <v>20190312172440002</v>
      </c>
      <c r="B3537" t="str">
        <f>"1552382679993870"</f>
        <v>1552382679993870</v>
      </c>
      <c r="C3537" t="s">
        <v>40</v>
      </c>
      <c r="D3537">
        <v>3.641902</v>
      </c>
      <c r="E3537">
        <v>0.49930920000000001</v>
      </c>
      <c r="F3537" t="s">
        <v>48</v>
      </c>
      <c r="G3537">
        <v>-299.94029999999998</v>
      </c>
      <c r="H3537" s="1">
        <v>2.657663E-6</v>
      </c>
      <c r="I3537">
        <v>214.2764</v>
      </c>
      <c r="J3537">
        <v>-324.41039999999998</v>
      </c>
      <c r="K3537">
        <v>1.1096170000000001</v>
      </c>
      <c r="L3537">
        <v>214.3433</v>
      </c>
      <c r="M3537">
        <v>0.99981609999999999</v>
      </c>
      <c r="N3537">
        <v>0</v>
      </c>
      <c r="O3537">
        <v>1.6698999999999999E-2</v>
      </c>
      <c r="P3537">
        <v>0.98695710000000003</v>
      </c>
      <c r="Q3537">
        <v>0.16070909999999999</v>
      </c>
      <c r="R3537">
        <v>-9.4076779999999992E-3</v>
      </c>
      <c r="S3537">
        <v>3.062103</v>
      </c>
      <c r="T3537">
        <v>-0.13672590000000001</v>
      </c>
      <c r="U3537">
        <v>-7.4615480000000001E-3</v>
      </c>
      <c r="V3537">
        <v>2.5895910000000001E-2</v>
      </c>
      <c r="W3537">
        <v>0.17001069999999999</v>
      </c>
      <c r="X3537">
        <v>0.98510189999999997</v>
      </c>
      <c r="Y3537">
        <v>1.910042E-2</v>
      </c>
      <c r="Z3537">
        <v>-1.1714780000000001E-3</v>
      </c>
      <c r="AA3537">
        <v>0.99981690000000001</v>
      </c>
      <c r="AB3537">
        <v>37</v>
      </c>
      <c r="AC3537">
        <v>24.470099999999999</v>
      </c>
      <c r="AD3537">
        <v>-1.109614342337</v>
      </c>
      <c r="AE3537">
        <v>-6.6900000000003901E-2</v>
      </c>
      <c r="AF3537">
        <v>0.47455923949818901</v>
      </c>
      <c r="AG3537">
        <v>-1.109614342337</v>
      </c>
      <c r="AH3537">
        <v>24.4153670773836</v>
      </c>
      <c r="AI3537">
        <v>92.601661486875997</v>
      </c>
      <c r="AJ3537">
        <v>88.886487426375297</v>
      </c>
      <c r="AK3537">
        <v>24.445175392782598</v>
      </c>
      <c r="AL3537">
        <v>80.211558771177096</v>
      </c>
      <c r="AM3537">
        <v>88.494181442201807</v>
      </c>
      <c r="AN3537">
        <v>0.999999994826414</v>
      </c>
    </row>
    <row r="3538" spans="1:40" x14ac:dyDescent="0.25">
      <c r="A3538" t="str">
        <f>"20190312172440024"</f>
        <v>20190312172440024</v>
      </c>
      <c r="B3538" t="str">
        <f>"1552382680013389"</f>
        <v>1552382680013389</v>
      </c>
      <c r="C3538" t="s">
        <v>40</v>
      </c>
      <c r="D3538">
        <v>3.6111979999999999</v>
      </c>
      <c r="E3538">
        <v>0.49966260000000001</v>
      </c>
      <c r="F3538" t="s">
        <v>48</v>
      </c>
      <c r="G3538">
        <v>-300.029</v>
      </c>
      <c r="H3538" s="1">
        <v>2.6481110000000002E-6</v>
      </c>
      <c r="I3538">
        <v>214.2535</v>
      </c>
      <c r="J3538">
        <v>-324.05259999999998</v>
      </c>
      <c r="K3538">
        <v>1.109612</v>
      </c>
      <c r="L3538">
        <v>214.3492</v>
      </c>
      <c r="M3538">
        <v>0.9998165</v>
      </c>
      <c r="N3538">
        <v>0</v>
      </c>
      <c r="O3538">
        <v>1.6680400000000001E-2</v>
      </c>
      <c r="P3538">
        <v>0.98691580000000001</v>
      </c>
      <c r="Q3538">
        <v>0.16097410000000001</v>
      </c>
      <c r="R3538">
        <v>-9.2176559999999994E-3</v>
      </c>
      <c r="S3538">
        <v>3.0622250000000002</v>
      </c>
      <c r="T3538">
        <v>-0.13936419999999999</v>
      </c>
      <c r="U3538">
        <v>-1.127625E-2</v>
      </c>
      <c r="V3538">
        <v>2.568929E-2</v>
      </c>
      <c r="W3538">
        <v>0.17027429999999999</v>
      </c>
      <c r="X3538">
        <v>0.98506179999999999</v>
      </c>
      <c r="Y3538">
        <v>2.0324559999999998E-2</v>
      </c>
      <c r="Z3538">
        <v>-1.221008E-3</v>
      </c>
      <c r="AA3538">
        <v>0.99979269999999998</v>
      </c>
      <c r="AB3538">
        <v>37</v>
      </c>
      <c r="AC3538">
        <v>24.023599999999899</v>
      </c>
      <c r="AD3538">
        <v>-1.109609351889</v>
      </c>
      <c r="AE3538">
        <v>-9.5699999999993596E-2</v>
      </c>
      <c r="AF3538">
        <v>0.49537093363583201</v>
      </c>
      <c r="AG3538">
        <v>-1.109609351889</v>
      </c>
      <c r="AH3538">
        <v>23.967530426986599</v>
      </c>
      <c r="AI3538">
        <v>92.650127992467802</v>
      </c>
      <c r="AJ3538">
        <v>88.815955470354893</v>
      </c>
      <c r="AK3538">
        <v>23.998315358462499</v>
      </c>
      <c r="AL3538">
        <v>80.196232316341394</v>
      </c>
      <c r="AM3538">
        <v>88.506129918587504</v>
      </c>
      <c r="AN3538">
        <v>1.00000001334021</v>
      </c>
    </row>
    <row r="3539" spans="1:40" x14ac:dyDescent="0.25">
      <c r="A3539" t="str">
        <f>"20190312172440046"</f>
        <v>20190312172440046</v>
      </c>
      <c r="B3539" t="str">
        <f>"1552382680033885"</f>
        <v>1552382680033885</v>
      </c>
      <c r="C3539" t="s">
        <v>40</v>
      </c>
      <c r="D3539">
        <v>3.6072579999999999</v>
      </c>
      <c r="E3539">
        <v>0.49998799999999999</v>
      </c>
      <c r="F3539" t="s">
        <v>48</v>
      </c>
      <c r="G3539">
        <v>-299.78550000000001</v>
      </c>
      <c r="H3539" s="1">
        <v>2.6301980000000002E-6</v>
      </c>
      <c r="I3539">
        <v>214.23920000000001</v>
      </c>
      <c r="J3539">
        <v>-323.68360000000001</v>
      </c>
      <c r="K3539">
        <v>1.1096029999999999</v>
      </c>
      <c r="L3539">
        <v>214.3554</v>
      </c>
      <c r="M3539">
        <v>0.99981679999999995</v>
      </c>
      <c r="N3539">
        <v>0</v>
      </c>
      <c r="O3539">
        <v>1.6659130000000001E-2</v>
      </c>
      <c r="P3539">
        <v>0.98687239999999998</v>
      </c>
      <c r="Q3539">
        <v>0.16124240000000001</v>
      </c>
      <c r="R3539">
        <v>-9.1549179999999997E-3</v>
      </c>
      <c r="S3539">
        <v>3.0624690000000001</v>
      </c>
      <c r="T3539">
        <v>-0.14003090000000001</v>
      </c>
      <c r="U3539">
        <v>-1.38855E-2</v>
      </c>
      <c r="V3539">
        <v>2.5606830000000001E-2</v>
      </c>
      <c r="W3539">
        <v>0.1705422</v>
      </c>
      <c r="X3539">
        <v>0.98501760000000005</v>
      </c>
      <c r="Y3539">
        <v>2.1153600000000002E-2</v>
      </c>
      <c r="Z3539">
        <v>-1.2447160000000001E-3</v>
      </c>
      <c r="AA3539">
        <v>0.99977550000000004</v>
      </c>
      <c r="AB3539">
        <v>37</v>
      </c>
      <c r="AC3539">
        <v>23.898099999999999</v>
      </c>
      <c r="AD3539">
        <v>-1.1096003698019901</v>
      </c>
      <c r="AE3539">
        <v>-0.116199999999992</v>
      </c>
      <c r="AF3539">
        <v>0.51321675216245</v>
      </c>
      <c r="AG3539">
        <v>-1.1096003698019901</v>
      </c>
      <c r="AH3539">
        <v>23.841451473222399</v>
      </c>
      <c r="AI3539">
        <v>92.664052669447798</v>
      </c>
      <c r="AJ3539">
        <v>88.766827881250904</v>
      </c>
      <c r="AK3539">
        <v>23.8727755563818</v>
      </c>
      <c r="AL3539">
        <v>80.180654922222203</v>
      </c>
      <c r="AM3539">
        <v>88.510856138493594</v>
      </c>
      <c r="AN3539">
        <v>1.0000000120166199</v>
      </c>
    </row>
    <row r="3540" spans="1:40" x14ac:dyDescent="0.25">
      <c r="A3540" t="str">
        <f>"20190312172440068"</f>
        <v>20190312172440068</v>
      </c>
      <c r="B3540" t="str">
        <f>"1552382680064141"</f>
        <v>1552382680064141</v>
      </c>
      <c r="C3540" t="s">
        <v>40</v>
      </c>
      <c r="D3540">
        <v>3.5849269999999902</v>
      </c>
      <c r="E3540">
        <v>0.50046619999999997</v>
      </c>
      <c r="F3540" t="s">
        <v>48</v>
      </c>
      <c r="G3540">
        <v>-299.4984</v>
      </c>
      <c r="H3540" s="1">
        <v>2.5792760000000002E-6</v>
      </c>
      <c r="I3540">
        <v>214.22559999999999</v>
      </c>
      <c r="J3540">
        <v>-323.32209999999998</v>
      </c>
      <c r="K3540">
        <v>1.1096010000000001</v>
      </c>
      <c r="L3540">
        <v>214.3614</v>
      </c>
      <c r="M3540">
        <v>0.99981710000000001</v>
      </c>
      <c r="N3540">
        <v>0</v>
      </c>
      <c r="O3540">
        <v>1.6636140000000001E-2</v>
      </c>
      <c r="P3540">
        <v>0.98676810000000004</v>
      </c>
      <c r="Q3540">
        <v>0.16185929999999901</v>
      </c>
      <c r="R3540">
        <v>-9.5289699999999995E-3</v>
      </c>
      <c r="S3540">
        <v>3.0627439999999999</v>
      </c>
      <c r="T3540">
        <v>-0.1405168</v>
      </c>
      <c r="U3540">
        <v>-1.6433719999999999E-2</v>
      </c>
      <c r="V3540">
        <v>2.5957560000000001E-2</v>
      </c>
      <c r="W3540">
        <v>0.17115810000000001</v>
      </c>
      <c r="X3540">
        <v>0.98490149999999999</v>
      </c>
      <c r="Y3540">
        <v>2.196091E-2</v>
      </c>
      <c r="Z3540">
        <v>-1.2663730000000001E-3</v>
      </c>
      <c r="AA3540">
        <v>0.99975800000000004</v>
      </c>
      <c r="AB3540">
        <v>37</v>
      </c>
      <c r="AC3540">
        <v>23.823699999999899</v>
      </c>
      <c r="AD3540">
        <v>-1.1095984207239999</v>
      </c>
      <c r="AE3540">
        <v>-0.13580000000001699</v>
      </c>
      <c r="AF3540">
        <v>0.53098144887755205</v>
      </c>
      <c r="AG3540">
        <v>-1.1095984207239999</v>
      </c>
      <c r="AH3540">
        <v>23.7665890235522</v>
      </c>
      <c r="AI3540">
        <v>92.672379647232404</v>
      </c>
      <c r="AJ3540">
        <v>88.7201387756066</v>
      </c>
      <c r="AK3540">
        <v>23.798401285984699</v>
      </c>
      <c r="AL3540">
        <v>80.144839021356802</v>
      </c>
      <c r="AM3540">
        <v>88.4902912401691</v>
      </c>
      <c r="AN3540">
        <v>0.99999992740950405</v>
      </c>
    </row>
    <row r="3541" spans="1:40" x14ac:dyDescent="0.25">
      <c r="A3541" t="str">
        <f>"20190312172440090"</f>
        <v>20190312172440090</v>
      </c>
      <c r="B3541" t="str">
        <f>"1552382680083661"</f>
        <v>1552382680083661</v>
      </c>
      <c r="C3541" t="s">
        <v>40</v>
      </c>
      <c r="D3541">
        <v>3.5923090000000002</v>
      </c>
      <c r="E3541">
        <v>0.50077519999999998</v>
      </c>
      <c r="F3541" t="s">
        <v>48</v>
      </c>
      <c r="G3541">
        <v>-299.13749999999999</v>
      </c>
      <c r="H3541" s="1">
        <v>2.515258E-6</v>
      </c>
      <c r="I3541">
        <v>214.19720000000001</v>
      </c>
      <c r="J3541">
        <v>-322.96080000000001</v>
      </c>
      <c r="K3541">
        <v>1.1095980000000001</v>
      </c>
      <c r="L3541">
        <v>214.3674</v>
      </c>
      <c r="M3541">
        <v>0.99981759999999997</v>
      </c>
      <c r="N3541">
        <v>0</v>
      </c>
      <c r="O3541">
        <v>1.6611549999999999E-2</v>
      </c>
      <c r="P3541">
        <v>0.9866876</v>
      </c>
      <c r="Q3541">
        <v>0.16233919999999999</v>
      </c>
      <c r="R3541">
        <v>-9.6935170000000005E-3</v>
      </c>
      <c r="S3541">
        <v>3.0630799999999998</v>
      </c>
      <c r="T3541">
        <v>-0.1405352</v>
      </c>
      <c r="U3541">
        <v>-2.079773E-2</v>
      </c>
      <c r="V3541">
        <v>2.609757E-2</v>
      </c>
      <c r="W3541">
        <v>0.17163870000000001</v>
      </c>
      <c r="X3541">
        <v>0.98481419999999997</v>
      </c>
      <c r="Y3541">
        <v>2.335858E-2</v>
      </c>
      <c r="Z3541">
        <v>-1.297316E-3</v>
      </c>
      <c r="AA3541">
        <v>0.99972629999999996</v>
      </c>
      <c r="AB3541">
        <v>37</v>
      </c>
      <c r="AC3541">
        <v>23.8233</v>
      </c>
      <c r="AD3541">
        <v>-1.10959548474199</v>
      </c>
      <c r="AE3541">
        <v>-0.17019999999999399</v>
      </c>
      <c r="AF3541">
        <v>0.56471104748915801</v>
      </c>
      <c r="AG3541">
        <v>-1.10959548474199</v>
      </c>
      <c r="AH3541">
        <v>23.765632270416798</v>
      </c>
      <c r="AI3541">
        <v>92.672392700339998</v>
      </c>
      <c r="AJ3541">
        <v>88.638812893270398</v>
      </c>
      <c r="AK3541">
        <v>23.798222158799899</v>
      </c>
      <c r="AL3541">
        <v>80.116889458538296</v>
      </c>
      <c r="AM3541">
        <v>88.482017477152297</v>
      </c>
      <c r="AN3541">
        <v>0.99999996750961695</v>
      </c>
    </row>
    <row r="3542" spans="1:40" x14ac:dyDescent="0.25">
      <c r="A3542" t="str">
        <f>"20190312172440113"</f>
        <v>20190312172440113</v>
      </c>
      <c r="B3542" t="str">
        <f>"1552382680104157"</f>
        <v>1552382680104157</v>
      </c>
      <c r="C3542" t="s">
        <v>40</v>
      </c>
      <c r="D3542">
        <v>3.6127090000000002</v>
      </c>
      <c r="E3542">
        <v>0.50108809999999904</v>
      </c>
      <c r="F3542" t="s">
        <v>48</v>
      </c>
      <c r="G3542">
        <v>-298.70249999999999</v>
      </c>
      <c r="H3542" s="1">
        <v>2.4380819999999999E-6</v>
      </c>
      <c r="I3542">
        <v>214.18</v>
      </c>
      <c r="J3542">
        <v>-322.56450000000001</v>
      </c>
      <c r="K3542">
        <v>1.1095919999999999</v>
      </c>
      <c r="L3542">
        <v>214.37389999999999</v>
      </c>
      <c r="M3542">
        <v>0.99981799999999998</v>
      </c>
      <c r="N3542">
        <v>0</v>
      </c>
      <c r="O3542">
        <v>1.6583750000000001E-2</v>
      </c>
      <c r="P3542">
        <v>0.98669459999999998</v>
      </c>
      <c r="Q3542">
        <v>0.1623269</v>
      </c>
      <c r="R3542">
        <v>-9.1745730000000001E-3</v>
      </c>
      <c r="S3542">
        <v>3.0632929999999998</v>
      </c>
      <c r="T3542">
        <v>-0.1401172</v>
      </c>
      <c r="U3542">
        <v>-2.3666380000000001E-2</v>
      </c>
      <c r="V3542">
        <v>2.5552020000000002E-2</v>
      </c>
      <c r="W3542">
        <v>0.171628799999999</v>
      </c>
      <c r="X3542">
        <v>0.98483030000000005</v>
      </c>
      <c r="Y3542">
        <v>2.4265789999999999E-2</v>
      </c>
      <c r="Z3542">
        <v>-1.31283299999999E-3</v>
      </c>
      <c r="AA3542">
        <v>0.9997047</v>
      </c>
      <c r="AB3542">
        <v>37</v>
      </c>
      <c r="AC3542">
        <v>23.861999999999998</v>
      </c>
      <c r="AD3542">
        <v>-1.1095895619179901</v>
      </c>
      <c r="AE3542">
        <v>-0.193899999999985</v>
      </c>
      <c r="AF3542">
        <v>0.58834030527053505</v>
      </c>
      <c r="AG3542">
        <v>-1.1095895619179901</v>
      </c>
      <c r="AH3542">
        <v>23.804034992526901</v>
      </c>
      <c r="AI3542">
        <v>92.668011788849995</v>
      </c>
      <c r="AJ3542">
        <v>88.584166306402594</v>
      </c>
      <c r="AK3542">
        <v>23.837143604806499</v>
      </c>
      <c r="AL3542">
        <v>80.1174659069911</v>
      </c>
      <c r="AM3542">
        <v>88.513759657526606</v>
      </c>
      <c r="AN3542">
        <v>1.0000000352567999</v>
      </c>
    </row>
    <row r="3543" spans="1:40" x14ac:dyDescent="0.25">
      <c r="A3543" t="str">
        <f>"20190312172440134"</f>
        <v>20190312172440134</v>
      </c>
      <c r="B3543" t="str">
        <f>"1552382680123677"</f>
        <v>1552382680123677</v>
      </c>
      <c r="C3543" t="s">
        <v>40</v>
      </c>
      <c r="D3543">
        <v>3.5960890000000001</v>
      </c>
      <c r="E3543">
        <v>0.50138269999999996</v>
      </c>
      <c r="F3543" t="s">
        <v>48</v>
      </c>
      <c r="G3543">
        <v>-298.51670000000001</v>
      </c>
      <c r="H3543" s="1">
        <v>2.4051360000000002E-6</v>
      </c>
      <c r="I3543">
        <v>214.17779999999999</v>
      </c>
      <c r="J3543">
        <v>-322.22309999999999</v>
      </c>
      <c r="K3543">
        <v>1.1095930000000001</v>
      </c>
      <c r="L3543">
        <v>214.37960000000001</v>
      </c>
      <c r="M3543">
        <v>0.9998184</v>
      </c>
      <c r="N3543">
        <v>0</v>
      </c>
      <c r="O3543">
        <v>1.6559520000000001E-2</v>
      </c>
      <c r="P3543">
        <v>0.98674240000000002</v>
      </c>
      <c r="Q3543">
        <v>0.16205749999999999</v>
      </c>
      <c r="R3543">
        <v>-8.7667730000000003E-3</v>
      </c>
      <c r="S3543">
        <v>3.063507</v>
      </c>
      <c r="T3543">
        <v>-0.1413537</v>
      </c>
      <c r="U3543">
        <v>-2.497864E-2</v>
      </c>
      <c r="V3543">
        <v>2.5121729999999998E-2</v>
      </c>
      <c r="W3543">
        <v>0.17136289999999901</v>
      </c>
      <c r="X3543">
        <v>0.98488770000000003</v>
      </c>
      <c r="Y3543">
        <v>2.466807E-2</v>
      </c>
      <c r="Z3543">
        <v>-1.332471E-3</v>
      </c>
      <c r="AA3543">
        <v>0.99969479999999999</v>
      </c>
      <c r="AB3543">
        <v>37</v>
      </c>
      <c r="AC3543">
        <v>23.706399999999899</v>
      </c>
      <c r="AD3543">
        <v>-1.1095905948639999</v>
      </c>
      <c r="AE3543">
        <v>-0.20180000000001999</v>
      </c>
      <c r="AF3543">
        <v>0.59305724194071296</v>
      </c>
      <c r="AG3543">
        <v>-1.1095905948639999</v>
      </c>
      <c r="AH3543">
        <v>23.648003981348101</v>
      </c>
      <c r="AI3543">
        <v>92.685568115545493</v>
      </c>
      <c r="AJ3543">
        <v>88.5634070409439</v>
      </c>
      <c r="AK3543">
        <v>23.681448445614201</v>
      </c>
      <c r="AL3543">
        <v>80.132930235199595</v>
      </c>
      <c r="AM3543">
        <v>88.538861775458599</v>
      </c>
      <c r="AN3543">
        <v>1.00000006321294</v>
      </c>
    </row>
    <row r="3544" spans="1:40" x14ac:dyDescent="0.25">
      <c r="A3544" t="str">
        <f>"20190312172440156"</f>
        <v>20190312172440156</v>
      </c>
      <c r="B3544" t="str">
        <f>"1552382680153933"</f>
        <v>1552382680153933</v>
      </c>
      <c r="C3544" t="s">
        <v>40</v>
      </c>
      <c r="D3544">
        <v>3.5983309999999999</v>
      </c>
      <c r="E3544">
        <v>0.50180369999999996</v>
      </c>
      <c r="F3544" t="s">
        <v>48</v>
      </c>
      <c r="G3544">
        <v>-298.50839999999999</v>
      </c>
      <c r="H3544" s="1">
        <v>2.4036639999999998E-6</v>
      </c>
      <c r="I3544">
        <v>214.17449999999999</v>
      </c>
      <c r="J3544">
        <v>-321.86270000000002</v>
      </c>
      <c r="K3544">
        <v>1.109591</v>
      </c>
      <c r="L3544">
        <v>214.38550000000001</v>
      </c>
      <c r="M3544">
        <v>0.99981869999999995</v>
      </c>
      <c r="N3544">
        <v>0</v>
      </c>
      <c r="O3544">
        <v>1.6534219999999999E-2</v>
      </c>
      <c r="P3544">
        <v>0.98673960000000005</v>
      </c>
      <c r="Q3544">
        <v>0.1620751</v>
      </c>
      <c r="R3544">
        <v>-8.7475490000000003E-3</v>
      </c>
      <c r="S3544">
        <v>3.0636290000000002</v>
      </c>
      <c r="T3544">
        <v>-0.14334450000000001</v>
      </c>
      <c r="U3544">
        <v>-2.6489260000000001E-2</v>
      </c>
      <c r="V3544">
        <v>2.5078050000000001E-2</v>
      </c>
      <c r="W3544">
        <v>0.17138410000000001</v>
      </c>
      <c r="X3544">
        <v>0.98488500000000001</v>
      </c>
      <c r="Y3544">
        <v>2.5133619999999999E-2</v>
      </c>
      <c r="Z3544">
        <v>-1.360864E-3</v>
      </c>
      <c r="AA3544">
        <v>0.99968319999999999</v>
      </c>
      <c r="AB3544">
        <v>37</v>
      </c>
      <c r="AC3544">
        <v>23.354299999999999</v>
      </c>
      <c r="AD3544">
        <v>-1.1095885963359999</v>
      </c>
      <c r="AE3544">
        <v>-0.21100000000001201</v>
      </c>
      <c r="AF3544">
        <v>0.59578874143585103</v>
      </c>
      <c r="AG3544">
        <v>-1.1095885963359999</v>
      </c>
      <c r="AH3544">
        <v>23.295038599514601</v>
      </c>
      <c r="AI3544">
        <v>92.726159629927295</v>
      </c>
      <c r="AJ3544">
        <v>88.534935236014803</v>
      </c>
      <c r="AK3544">
        <v>23.329058584315302</v>
      </c>
      <c r="AL3544">
        <v>80.131696104898793</v>
      </c>
      <c r="AM3544">
        <v>88.541397210433203</v>
      </c>
      <c r="AN3544">
        <v>0.99999994077480403</v>
      </c>
    </row>
    <row r="3545" spans="1:40" x14ac:dyDescent="0.25">
      <c r="A3545" t="str">
        <f>"20190312172440179"</f>
        <v>20190312172440179</v>
      </c>
      <c r="B3545" t="str">
        <f>"1552382680173453"</f>
        <v>1552382680173453</v>
      </c>
      <c r="C3545" t="s">
        <v>40</v>
      </c>
      <c r="D3545">
        <v>3.6040809999999999</v>
      </c>
      <c r="E3545">
        <v>0.50207009999999996</v>
      </c>
      <c r="F3545" t="s">
        <v>48</v>
      </c>
      <c r="G3545">
        <v>-298.42829999999998</v>
      </c>
      <c r="H3545" s="1">
        <v>2.3894489999999998E-6</v>
      </c>
      <c r="I3545">
        <v>214.1585</v>
      </c>
      <c r="J3545">
        <v>-321.48790000000002</v>
      </c>
      <c r="K3545">
        <v>1.109586</v>
      </c>
      <c r="L3545">
        <v>214.39169999999999</v>
      </c>
      <c r="M3545">
        <v>0.99981929999999997</v>
      </c>
      <c r="N3545">
        <v>0</v>
      </c>
      <c r="O3545">
        <v>1.6507959999999999E-2</v>
      </c>
      <c r="P3545">
        <v>0.98675480000000004</v>
      </c>
      <c r="Q3545">
        <v>0.1619739</v>
      </c>
      <c r="R3545">
        <v>-8.947913E-3</v>
      </c>
      <c r="S3545">
        <v>3.0638730000000001</v>
      </c>
      <c r="T3545">
        <v>-0.14507020000000001</v>
      </c>
      <c r="U3545">
        <v>-2.9678340000000001E-2</v>
      </c>
      <c r="V3545">
        <v>2.5252859999999999E-2</v>
      </c>
      <c r="W3545">
        <v>0.17128689999999999</v>
      </c>
      <c r="X3545">
        <v>0.98489749999999998</v>
      </c>
      <c r="Y3545">
        <v>2.614491E-2</v>
      </c>
      <c r="Z3545">
        <v>-1.399799E-3</v>
      </c>
      <c r="AA3545">
        <v>0.99965720000000002</v>
      </c>
      <c r="AB3545">
        <v>37</v>
      </c>
      <c r="AC3545">
        <v>23.0596</v>
      </c>
      <c r="AD3545">
        <v>-1.109583610551</v>
      </c>
      <c r="AE3545">
        <v>-0.23319999999998201</v>
      </c>
      <c r="AF3545">
        <v>0.61243423337964698</v>
      </c>
      <c r="AG3545">
        <v>-1.109583610551</v>
      </c>
      <c r="AH3545">
        <v>22.999361550809201</v>
      </c>
      <c r="AI3545">
        <v>92.761064843868297</v>
      </c>
      <c r="AJ3545">
        <v>88.474670414061606</v>
      </c>
      <c r="AK3545">
        <v>23.034254561931402</v>
      </c>
      <c r="AL3545">
        <v>80.137349406357302</v>
      </c>
      <c r="AM3545">
        <v>88.531252890113606</v>
      </c>
      <c r="AN3545">
        <v>0.99999999727801903</v>
      </c>
    </row>
    <row r="3546" spans="1:40" x14ac:dyDescent="0.25">
      <c r="A3546" t="str">
        <f>"20190312172440202"</f>
        <v>20190312172440202</v>
      </c>
      <c r="B3546" t="str">
        <f>"1552382680193949"</f>
        <v>1552382680193949</v>
      </c>
      <c r="C3546" t="s">
        <v>40</v>
      </c>
      <c r="D3546">
        <v>3.5865879999999999</v>
      </c>
      <c r="E3546">
        <v>0.50232860000000001</v>
      </c>
      <c r="F3546" t="s">
        <v>48</v>
      </c>
      <c r="G3546">
        <v>-298.26569999999998</v>
      </c>
      <c r="H3546" s="1">
        <v>2.3606089999999999E-6</v>
      </c>
      <c r="I3546">
        <v>214.14609999999999</v>
      </c>
      <c r="J3546">
        <v>-321.11410000000001</v>
      </c>
      <c r="K3546">
        <v>1.1095790000000001</v>
      </c>
      <c r="L3546">
        <v>214.39779999999999</v>
      </c>
      <c r="M3546">
        <v>0.99981960000000003</v>
      </c>
      <c r="N3546">
        <v>0</v>
      </c>
      <c r="O3546">
        <v>1.6482179999999999E-2</v>
      </c>
      <c r="P3546">
        <v>0.98672839999999995</v>
      </c>
      <c r="Q3546">
        <v>0.1621147</v>
      </c>
      <c r="R3546">
        <v>-9.2749919999999993E-3</v>
      </c>
      <c r="S3546">
        <v>3.0639949999999998</v>
      </c>
      <c r="T3546">
        <v>-0.14640129999999901</v>
      </c>
      <c r="U3546">
        <v>-3.2394409999999998E-2</v>
      </c>
      <c r="V3546">
        <v>2.555462E-2</v>
      </c>
      <c r="W3546">
        <v>0.17143149999999999</v>
      </c>
      <c r="X3546">
        <v>0.98486450000000003</v>
      </c>
      <c r="Y3546">
        <v>2.7002970000000001E-2</v>
      </c>
      <c r="Z3546">
        <v>-1.4318239999999999E-3</v>
      </c>
      <c r="AA3546">
        <v>0.99963429999999998</v>
      </c>
      <c r="AB3546">
        <v>37</v>
      </c>
      <c r="AC3546">
        <v>22.848400000000002</v>
      </c>
      <c r="AD3546">
        <v>-1.109576639391</v>
      </c>
      <c r="AE3546">
        <v>-0.25169999999999898</v>
      </c>
      <c r="AF3546">
        <v>0.62679601948705999</v>
      </c>
      <c r="AG3546">
        <v>-1.109576639391</v>
      </c>
      <c r="AH3546">
        <v>22.787413710628101</v>
      </c>
      <c r="AI3546">
        <v>92.786621921328106</v>
      </c>
      <c r="AJ3546">
        <v>88.424405947066006</v>
      </c>
      <c r="AK3546">
        <v>22.8230203344791</v>
      </c>
      <c r="AL3546">
        <v>80.128939485336701</v>
      </c>
      <c r="AM3546">
        <v>88.513660088310701</v>
      </c>
      <c r="AN3546">
        <v>0.99999994057791997</v>
      </c>
    </row>
    <row r="3547" spans="1:40" x14ac:dyDescent="0.25">
      <c r="A3547" t="str">
        <f>"20190312172440226"</f>
        <v>20190312172440226</v>
      </c>
      <c r="B3547" t="str">
        <f>"1552382680213469"</f>
        <v>1552382680213469</v>
      </c>
      <c r="C3547" t="s">
        <v>40</v>
      </c>
      <c r="D3547">
        <v>3.6076350000000001</v>
      </c>
      <c r="E3547">
        <v>0.50255839999999996</v>
      </c>
      <c r="F3547" t="s">
        <v>48</v>
      </c>
      <c r="G3547">
        <v>-297.99540000000002</v>
      </c>
      <c r="H3547" s="1">
        <v>2.312667E-6</v>
      </c>
      <c r="I3547">
        <v>214.12979999999999</v>
      </c>
      <c r="J3547">
        <v>-320.72329999999999</v>
      </c>
      <c r="K3547">
        <v>1.10958</v>
      </c>
      <c r="L3547">
        <v>214.40430000000001</v>
      </c>
      <c r="M3547">
        <v>0.99981989999999998</v>
      </c>
      <c r="N3547">
        <v>0</v>
      </c>
      <c r="O3547">
        <v>1.645539E-2</v>
      </c>
      <c r="P3547">
        <v>0.98678569999999999</v>
      </c>
      <c r="Q3547">
        <v>0.16177040000000001</v>
      </c>
      <c r="R3547">
        <v>-9.2039960000000007E-3</v>
      </c>
      <c r="S3547">
        <v>3.0641780000000001</v>
      </c>
      <c r="T3547">
        <v>-0.1470649</v>
      </c>
      <c r="U3547">
        <v>-3.5522459999999999E-2</v>
      </c>
      <c r="V3547">
        <v>2.5458069999999999E-2</v>
      </c>
      <c r="W3547">
        <v>0.1710933</v>
      </c>
      <c r="X3547">
        <v>0.98492590000000002</v>
      </c>
      <c r="Y3547">
        <v>2.7994330000000001E-2</v>
      </c>
      <c r="Z3547">
        <v>-1.460704E-3</v>
      </c>
      <c r="AA3547">
        <v>0.99960700000000002</v>
      </c>
      <c r="AB3547">
        <v>37</v>
      </c>
      <c r="AC3547">
        <v>22.727899999999899</v>
      </c>
      <c r="AD3547">
        <v>-1.1095776873330001</v>
      </c>
      <c r="AE3547">
        <v>-0.27450000000001701</v>
      </c>
      <c r="AF3547">
        <v>0.64693432652399496</v>
      </c>
      <c r="AG3547">
        <v>-1.1095776873330001</v>
      </c>
      <c r="AH3547">
        <v>22.6662902398627</v>
      </c>
      <c r="AI3547">
        <v>92.801410875419904</v>
      </c>
      <c r="AJ3547">
        <v>88.365125219542406</v>
      </c>
      <c r="AK3547">
        <v>22.7026518253872</v>
      </c>
      <c r="AL3547">
        <v>80.148608390731397</v>
      </c>
      <c r="AM3547">
        <v>88.5193655128637</v>
      </c>
      <c r="AN3547">
        <v>1.00000002956191</v>
      </c>
    </row>
    <row r="3548" spans="1:40" x14ac:dyDescent="0.25">
      <c r="A3548" t="str">
        <f>"20190312172440246"</f>
        <v>20190312172440246</v>
      </c>
      <c r="B3548" t="str">
        <f>"1552382680233968"</f>
        <v>1552382680233968</v>
      </c>
      <c r="C3548" t="s">
        <v>40</v>
      </c>
      <c r="D3548">
        <v>3.5988150000000001</v>
      </c>
      <c r="E3548">
        <v>0.50278809999999996</v>
      </c>
      <c r="F3548" t="s">
        <v>48</v>
      </c>
      <c r="G3548">
        <v>-297.93709999999999</v>
      </c>
      <c r="H3548" s="1">
        <v>2.3023270000000001E-6</v>
      </c>
      <c r="I3548">
        <v>214.1268</v>
      </c>
      <c r="J3548">
        <v>-320.37529999999998</v>
      </c>
      <c r="K3548">
        <v>1.1095820000000001</v>
      </c>
      <c r="L3548">
        <v>214.40989999999999</v>
      </c>
      <c r="M3548">
        <v>0.99982020000000005</v>
      </c>
      <c r="N3548">
        <v>0</v>
      </c>
      <c r="O3548">
        <v>1.6431279999999999E-2</v>
      </c>
      <c r="P3548">
        <v>0.98674890000000004</v>
      </c>
      <c r="Q3548">
        <v>0.16198360000000001</v>
      </c>
      <c r="R3548">
        <v>-9.3874609999999997E-3</v>
      </c>
      <c r="S3548">
        <v>3.0643310000000001</v>
      </c>
      <c r="T3548">
        <v>-0.14921870000000001</v>
      </c>
      <c r="U3548">
        <v>-3.7307739999999999E-2</v>
      </c>
      <c r="V3548">
        <v>2.5617379999999999E-2</v>
      </c>
      <c r="W3548">
        <v>0.17131080000000001</v>
      </c>
      <c r="X3548">
        <v>0.98488390000000003</v>
      </c>
      <c r="Y3548">
        <v>2.8549789999999999E-2</v>
      </c>
      <c r="Z3548">
        <v>-1.494336E-3</v>
      </c>
      <c r="AA3548">
        <v>0.99959120000000001</v>
      </c>
      <c r="AB3548">
        <v>37</v>
      </c>
      <c r="AC3548">
        <v>22.438199999999899</v>
      </c>
      <c r="AD3548">
        <v>-1.1095796976729999</v>
      </c>
      <c r="AE3548">
        <v>-0.28309999999999003</v>
      </c>
      <c r="AF3548">
        <v>0.65017698199396501</v>
      </c>
      <c r="AG3548">
        <v>-1.1095796976729999</v>
      </c>
      <c r="AH3548">
        <v>22.3758106366401</v>
      </c>
      <c r="AI3548">
        <v>92.837682443680904</v>
      </c>
      <c r="AJ3548">
        <v>88.335617035822295</v>
      </c>
      <c r="AK3548">
        <v>22.412737424513299</v>
      </c>
      <c r="AL3548">
        <v>80.135959205541198</v>
      </c>
      <c r="AM3548">
        <v>88.510040742047906</v>
      </c>
      <c r="AN3548">
        <v>0.99999996841695604</v>
      </c>
    </row>
    <row r="3549" spans="1:40" x14ac:dyDescent="0.25">
      <c r="A3549" t="str">
        <f>"20190312172440268"</f>
        <v>20190312172440268</v>
      </c>
      <c r="B3549" t="str">
        <f>"1552382680264221"</f>
        <v>1552382680264221</v>
      </c>
      <c r="C3549" t="s">
        <v>40</v>
      </c>
      <c r="D3549">
        <v>3.5848390000000001</v>
      </c>
      <c r="E3549">
        <v>0.50311189999999995</v>
      </c>
      <c r="F3549" t="s">
        <v>48</v>
      </c>
      <c r="G3549">
        <v>-297.65769999999998</v>
      </c>
      <c r="H3549" s="1">
        <v>2.2527559999999999E-6</v>
      </c>
      <c r="I3549">
        <v>214.11580000000001</v>
      </c>
      <c r="J3549">
        <v>-320.01639999999998</v>
      </c>
      <c r="K3549">
        <v>1.109586</v>
      </c>
      <c r="L3549">
        <v>214.41579999999999</v>
      </c>
      <c r="M3549">
        <v>0.9998205</v>
      </c>
      <c r="N3549">
        <v>0</v>
      </c>
      <c r="O3549">
        <v>1.6406690000000002E-2</v>
      </c>
      <c r="P3549">
        <v>0.98679079999999997</v>
      </c>
      <c r="Q3549">
        <v>0.16173589999999999</v>
      </c>
      <c r="R3549">
        <v>-9.2410540000000003E-3</v>
      </c>
      <c r="S3549">
        <v>3.0644840000000002</v>
      </c>
      <c r="T3549">
        <v>-0.14967629999999901</v>
      </c>
      <c r="U3549">
        <v>-3.9672850000000003E-2</v>
      </c>
      <c r="V3549">
        <v>2.54478E-2</v>
      </c>
      <c r="W3549">
        <v>0.17106840000000001</v>
      </c>
      <c r="X3549">
        <v>0.98493050000000004</v>
      </c>
      <c r="Y3549">
        <v>2.9294770000000001E-2</v>
      </c>
      <c r="Z3549">
        <v>-1.515815E-3</v>
      </c>
      <c r="AA3549">
        <v>0.99956970000000001</v>
      </c>
      <c r="AB3549">
        <v>37</v>
      </c>
      <c r="AC3549">
        <v>22.358699999999999</v>
      </c>
      <c r="AD3549">
        <v>-1.109583747244</v>
      </c>
      <c r="AE3549">
        <v>-0.299999999999982</v>
      </c>
      <c r="AF3549">
        <v>0.66517046701874905</v>
      </c>
      <c r="AG3549">
        <v>-1.109583747244</v>
      </c>
      <c r="AH3549">
        <v>22.295867929477801</v>
      </c>
      <c r="AI3549">
        <v>92.847785758269296</v>
      </c>
      <c r="AJ3549">
        <v>88.291156035488399</v>
      </c>
      <c r="AK3549">
        <v>22.333368634647499</v>
      </c>
      <c r="AL3549">
        <v>80.150056496726293</v>
      </c>
      <c r="AM3549">
        <v>88.519969456833607</v>
      </c>
      <c r="AN3549">
        <v>1.00000003891682</v>
      </c>
    </row>
    <row r="3550" spans="1:40" x14ac:dyDescent="0.25">
      <c r="A3550" t="str">
        <f>"20190312172440290"</f>
        <v>20190312172440290</v>
      </c>
      <c r="B3550" t="str">
        <f>"1552382680283741"</f>
        <v>1552382680283741</v>
      </c>
      <c r="C3550" t="s">
        <v>40</v>
      </c>
      <c r="D3550">
        <v>3.607278</v>
      </c>
      <c r="E3550">
        <v>0.5033396</v>
      </c>
      <c r="F3550" t="s">
        <v>48</v>
      </c>
      <c r="G3550">
        <v>-297.59879999999998</v>
      </c>
      <c r="H3550" s="1">
        <v>2.2423160000000001E-6</v>
      </c>
      <c r="I3550">
        <v>214.11089999999999</v>
      </c>
      <c r="J3550">
        <v>-319.64089999999999</v>
      </c>
      <c r="K3550">
        <v>1.1095839999999999</v>
      </c>
      <c r="L3550">
        <v>214.422</v>
      </c>
      <c r="M3550">
        <v>0.99982110000000002</v>
      </c>
      <c r="N3550">
        <v>0</v>
      </c>
      <c r="O3550">
        <v>1.638038E-2</v>
      </c>
      <c r="P3550">
        <v>0.98672439999999995</v>
      </c>
      <c r="Q3550">
        <v>0.16214379999999901</v>
      </c>
      <c r="R3550">
        <v>-9.2111880000000004E-3</v>
      </c>
      <c r="S3550">
        <v>3.0646360000000001</v>
      </c>
      <c r="T3550">
        <v>-0.1516874</v>
      </c>
      <c r="U3550">
        <v>-4.1687009999999997E-2</v>
      </c>
      <c r="V3550">
        <v>2.5390719999999999E-2</v>
      </c>
      <c r="W3550">
        <v>0.171481299999999</v>
      </c>
      <c r="X3550">
        <v>0.98486010000000002</v>
      </c>
      <c r="Y3550">
        <v>2.9922440000000002E-2</v>
      </c>
      <c r="Z3550">
        <v>-1.5502960000000001E-3</v>
      </c>
      <c r="AA3550">
        <v>0.99955099999999997</v>
      </c>
      <c r="AB3550">
        <v>37</v>
      </c>
      <c r="AC3550">
        <v>22.042100000000001</v>
      </c>
      <c r="AD3550">
        <v>-1.1095817576839999</v>
      </c>
      <c r="AE3550">
        <v>-0.31110000000000998</v>
      </c>
      <c r="AF3550">
        <v>0.67043381571479099</v>
      </c>
      <c r="AG3550">
        <v>-1.1095817576839999</v>
      </c>
      <c r="AH3550">
        <v>21.9783633805596</v>
      </c>
      <c r="AI3550">
        <v>92.888792888663502</v>
      </c>
      <c r="AJ3550">
        <v>88.252776173782294</v>
      </c>
      <c r="AK3550">
        <v>22.0165644473919</v>
      </c>
      <c r="AL3550">
        <v>80.126043568123393</v>
      </c>
      <c r="AM3550">
        <v>88.523182215796197</v>
      </c>
      <c r="AN3550">
        <v>0.99999997074190805</v>
      </c>
    </row>
    <row r="3551" spans="1:40" x14ac:dyDescent="0.25">
      <c r="A3551" t="str">
        <f>"20190312172440313"</f>
        <v>20190312172440313</v>
      </c>
      <c r="B3551" t="str">
        <f>"1552382680304237"</f>
        <v>1552382680304237</v>
      </c>
      <c r="C3551" t="s">
        <v>40</v>
      </c>
      <c r="D3551">
        <v>3.5961090000000002</v>
      </c>
      <c r="E3551">
        <v>0.5035579</v>
      </c>
      <c r="F3551" t="s">
        <v>48</v>
      </c>
      <c r="G3551">
        <v>-297.19319999999999</v>
      </c>
      <c r="H3551" s="1">
        <v>2.1703690000000002E-6</v>
      </c>
      <c r="I3551">
        <v>214.10380000000001</v>
      </c>
      <c r="J3551">
        <v>-319.25400000000002</v>
      </c>
      <c r="K3551">
        <v>1.109588</v>
      </c>
      <c r="L3551">
        <v>214.42830000000001</v>
      </c>
      <c r="M3551">
        <v>0.99982119999999997</v>
      </c>
      <c r="N3551">
        <v>0</v>
      </c>
      <c r="O3551">
        <v>1.6353759999999998E-2</v>
      </c>
      <c r="P3551">
        <v>0.98673460000000002</v>
      </c>
      <c r="Q3551">
        <v>0.16210069999999999</v>
      </c>
      <c r="R3551">
        <v>-8.82496199999999E-3</v>
      </c>
      <c r="S3551">
        <v>3.06488</v>
      </c>
      <c r="T3551">
        <v>-0.1514962</v>
      </c>
      <c r="U3551">
        <v>-4.3441769999999998E-2</v>
      </c>
      <c r="V3551">
        <v>2.4978839999999999E-2</v>
      </c>
      <c r="W3551">
        <v>0.17144419999999999</v>
      </c>
      <c r="X3551">
        <v>0.98487709999999995</v>
      </c>
      <c r="Y3551">
        <v>3.0466429999999999E-2</v>
      </c>
      <c r="Z3551">
        <v>-1.560337E-3</v>
      </c>
      <c r="AA3551">
        <v>0.99953449999999999</v>
      </c>
      <c r="AB3551">
        <v>37</v>
      </c>
      <c r="AC3551">
        <v>22.0608</v>
      </c>
      <c r="AD3551">
        <v>-1.1095858296309999</v>
      </c>
      <c r="AE3551">
        <v>-0.32450000000000001</v>
      </c>
      <c r="AF3551">
        <v>0.68352111673681903</v>
      </c>
      <c r="AG3551">
        <v>-1.1095858296309999</v>
      </c>
      <c r="AH3551">
        <v>21.996907616659001</v>
      </c>
      <c r="AI3551">
        <v>92.886321766033902</v>
      </c>
      <c r="AJ3551">
        <v>88.220191745322595</v>
      </c>
      <c r="AK3551">
        <v>22.035478813181602</v>
      </c>
      <c r="AL3551">
        <v>80.128201278419397</v>
      </c>
      <c r="AM3551">
        <v>88.547153388222497</v>
      </c>
      <c r="AN3551">
        <v>0.99999997913289695</v>
      </c>
    </row>
    <row r="3552" spans="1:40" x14ac:dyDescent="0.25">
      <c r="A3552" t="str">
        <f>"20190312172440334"</f>
        <v>20190312172440334</v>
      </c>
      <c r="B3552" t="str">
        <f>"1552382680324265"</f>
        <v>1552382680324265</v>
      </c>
      <c r="C3552" t="s">
        <v>40</v>
      </c>
      <c r="D3552">
        <v>3.6409690000000001</v>
      </c>
      <c r="E3552">
        <v>0.50387999999999999</v>
      </c>
      <c r="F3552" t="s">
        <v>48</v>
      </c>
      <c r="G3552">
        <v>-296.9862</v>
      </c>
      <c r="H3552" s="1">
        <v>2.1336420000000001E-6</v>
      </c>
      <c r="I3552">
        <v>214.1103</v>
      </c>
      <c r="J3552">
        <v>-318.90789999999998</v>
      </c>
      <c r="K3552">
        <v>1.1095900000000001</v>
      </c>
      <c r="L3552">
        <v>214.43389999999999</v>
      </c>
      <c r="M3552">
        <v>0.99982170000000004</v>
      </c>
      <c r="N3552">
        <v>0</v>
      </c>
      <c r="O3552">
        <v>1.6329659999999999E-2</v>
      </c>
      <c r="P3552">
        <v>0.98668359999999999</v>
      </c>
      <c r="Q3552">
        <v>0.16239319999999999</v>
      </c>
      <c r="R3552">
        <v>-9.1652299999999999E-3</v>
      </c>
      <c r="S3552">
        <v>3.0650019999999998</v>
      </c>
      <c r="T3552">
        <v>-0.15272639999999901</v>
      </c>
      <c r="U3552">
        <v>-4.3762210000000003E-2</v>
      </c>
      <c r="V3552">
        <v>2.529468E-2</v>
      </c>
      <c r="W3552">
        <v>0.1717397</v>
      </c>
      <c r="X3552">
        <v>0.98481759999999996</v>
      </c>
      <c r="Y3552">
        <v>3.0545260000000001E-2</v>
      </c>
      <c r="Z3552">
        <v>-1.573692E-3</v>
      </c>
      <c r="AA3552">
        <v>0.99953219999999998</v>
      </c>
      <c r="AB3552">
        <v>37</v>
      </c>
      <c r="AC3552">
        <v>21.921699999999898</v>
      </c>
      <c r="AD3552">
        <v>-1.1095878663580001</v>
      </c>
      <c r="AE3552">
        <v>-0.323599999999998</v>
      </c>
      <c r="AF3552">
        <v>0.67980558383004697</v>
      </c>
      <c r="AG3552">
        <v>-1.1095878663580001</v>
      </c>
      <c r="AH3552">
        <v>21.857506039833801</v>
      </c>
      <c r="AI3552">
        <v>92.9047013457959</v>
      </c>
      <c r="AJ3552">
        <v>88.218578136194793</v>
      </c>
      <c r="AK3552">
        <v>21.896207231992101</v>
      </c>
      <c r="AL3552">
        <v>80.111015938651306</v>
      </c>
      <c r="AM3552">
        <v>88.528702332609896</v>
      </c>
      <c r="AN3552">
        <v>1.0000000253310699</v>
      </c>
    </row>
    <row r="3553" spans="1:40" x14ac:dyDescent="0.25">
      <c r="A3553" t="str">
        <f>"20190312172440356"</f>
        <v>20190312172440356</v>
      </c>
      <c r="B3553" t="str">
        <f>"1552382680343785"</f>
        <v>1552382680343785</v>
      </c>
      <c r="C3553" t="s">
        <v>40</v>
      </c>
      <c r="D3553">
        <v>3.6544379999999999</v>
      </c>
      <c r="E3553">
        <v>0.55262330000000004</v>
      </c>
      <c r="F3553" t="s">
        <v>48</v>
      </c>
      <c r="G3553">
        <v>-296.65690000000001</v>
      </c>
      <c r="H3553" s="1">
        <v>2.075237E-6</v>
      </c>
      <c r="I3553">
        <v>214.09</v>
      </c>
      <c r="J3553">
        <v>-318.53370000000001</v>
      </c>
      <c r="K3553">
        <v>1.1095839999999999</v>
      </c>
      <c r="L3553">
        <v>214.44</v>
      </c>
      <c r="M3553">
        <v>0.99982210000000005</v>
      </c>
      <c r="N3553">
        <v>0</v>
      </c>
      <c r="O3553">
        <v>1.6304269999999999E-2</v>
      </c>
      <c r="P3553">
        <v>0.98663820000000002</v>
      </c>
      <c r="Q3553">
        <v>0.16265769999999999</v>
      </c>
      <c r="R3553">
        <v>-9.3616589999999996E-3</v>
      </c>
      <c r="S3553">
        <v>3.0652469999999998</v>
      </c>
      <c r="T3553">
        <v>-0.1528542</v>
      </c>
      <c r="U3553">
        <v>-4.7378539999999997E-2</v>
      </c>
      <c r="V3553">
        <v>2.5465160000000001E-2</v>
      </c>
      <c r="W3553">
        <v>0.17200370000000001</v>
      </c>
      <c r="X3553">
        <v>0.98476710000000001</v>
      </c>
      <c r="Y3553">
        <v>3.1696210000000002E-2</v>
      </c>
      <c r="Z3553">
        <v>-1.602282E-3</v>
      </c>
      <c r="AA3553">
        <v>0.9994963</v>
      </c>
      <c r="AB3553">
        <v>37</v>
      </c>
      <c r="AC3553">
        <v>21.876799999999999</v>
      </c>
      <c r="AD3553">
        <v>-1.1095819247630001</v>
      </c>
      <c r="AE3553">
        <v>-0.34999999999999398</v>
      </c>
      <c r="AF3553">
        <v>0.70484204309225196</v>
      </c>
      <c r="AG3553">
        <v>-1.1095819247630001</v>
      </c>
      <c r="AH3553">
        <v>21.8120883552326</v>
      </c>
      <c r="AI3553">
        <v>92.910612032384506</v>
      </c>
      <c r="AJ3553">
        <v>88.1491718825487</v>
      </c>
      <c r="AK3553">
        <v>21.851662929167301</v>
      </c>
      <c r="AL3553">
        <v>80.095661055791595</v>
      </c>
      <c r="AM3553">
        <v>88.518714622150597</v>
      </c>
      <c r="AN3553">
        <v>0.999999994214962</v>
      </c>
    </row>
    <row r="3554" spans="1:40" x14ac:dyDescent="0.25">
      <c r="A3554" t="str">
        <f>"20190312172440378"</f>
        <v>20190312172440378</v>
      </c>
      <c r="B3554" t="str">
        <f>"1552382680374042"</f>
        <v>1552382680374042</v>
      </c>
      <c r="C3554" t="s">
        <v>40</v>
      </c>
      <c r="D3554">
        <v>3.6127470000000002</v>
      </c>
      <c r="E3554">
        <v>0.56907479999999999</v>
      </c>
      <c r="F3554" t="s">
        <v>48</v>
      </c>
      <c r="G3554">
        <v>-301.65190000000001</v>
      </c>
      <c r="H3554" s="1">
        <v>2.3602490000000002E-6</v>
      </c>
      <c r="I3554">
        <v>212.04069999999999</v>
      </c>
      <c r="J3554">
        <v>-318.1506</v>
      </c>
      <c r="K3554">
        <v>1.109575</v>
      </c>
      <c r="L3554">
        <v>214.4462</v>
      </c>
      <c r="M3554">
        <v>0.99982260000000001</v>
      </c>
      <c r="N3554">
        <v>0</v>
      </c>
      <c r="O3554">
        <v>1.6278049999999999E-2</v>
      </c>
      <c r="P3554">
        <v>0.98673949999999999</v>
      </c>
      <c r="Q3554">
        <v>0.1620366</v>
      </c>
      <c r="R3554">
        <v>-9.4548819999999995E-3</v>
      </c>
      <c r="S3554">
        <v>3.069763</v>
      </c>
      <c r="T3554">
        <v>-0.20176430000000001</v>
      </c>
      <c r="U3554">
        <v>-0.43629459999999998</v>
      </c>
      <c r="V3554">
        <v>2.5534230000000002E-2</v>
      </c>
      <c r="W3554">
        <v>0.17138129999999999</v>
      </c>
      <c r="X3554">
        <v>0.98487380000000002</v>
      </c>
      <c r="Y3554">
        <v>0.156445</v>
      </c>
      <c r="Z3554">
        <v>-6.173881E-3</v>
      </c>
      <c r="AA3554">
        <v>0.98766739999999997</v>
      </c>
      <c r="AB3554">
        <v>37</v>
      </c>
      <c r="AC3554">
        <v>16.4986999999999</v>
      </c>
      <c r="AD3554">
        <v>-1.109572639751</v>
      </c>
      <c r="AE3554">
        <v>-2.4055000000000102</v>
      </c>
      <c r="AF3554">
        <v>2.66197088909508</v>
      </c>
      <c r="AG3554">
        <v>-1.109572639751</v>
      </c>
      <c r="AH3554">
        <v>16.384791765666499</v>
      </c>
      <c r="AI3554">
        <v>93.824147004277194</v>
      </c>
      <c r="AJ3554">
        <v>80.772014056019799</v>
      </c>
      <c r="AK3554">
        <v>16.636665581225301</v>
      </c>
      <c r="AL3554">
        <v>80.131859277574804</v>
      </c>
      <c r="AM3554">
        <v>88.514859523534298</v>
      </c>
      <c r="AN3554">
        <v>0.99999997440891097</v>
      </c>
    </row>
    <row r="3555" spans="1:40" x14ac:dyDescent="0.25">
      <c r="A3555" t="str">
        <f>"20190312172440402"</f>
        <v>20190312172440402</v>
      </c>
      <c r="B3555" t="str">
        <f>"1552382680393561"</f>
        <v>1552382680393561</v>
      </c>
      <c r="C3555" t="s">
        <v>40</v>
      </c>
      <c r="D3555">
        <v>3.608562</v>
      </c>
      <c r="E3555">
        <v>0.57314969999999998</v>
      </c>
      <c r="F3555" t="s">
        <v>48</v>
      </c>
      <c r="G3555">
        <v>-299.94040000000001</v>
      </c>
      <c r="H3555" s="1">
        <v>2.6576659999999999E-6</v>
      </c>
      <c r="I3555">
        <v>211.0728</v>
      </c>
      <c r="J3555">
        <v>-317.76850000000002</v>
      </c>
      <c r="K3555">
        <v>1.109572</v>
      </c>
      <c r="L3555">
        <v>214.45240000000001</v>
      </c>
      <c r="M3555">
        <v>0.99982309999999996</v>
      </c>
      <c r="N3555">
        <v>0</v>
      </c>
      <c r="O3555">
        <v>1.6251950000000001E-2</v>
      </c>
      <c r="P3555">
        <v>0.98674629999999997</v>
      </c>
      <c r="Q3555">
        <v>0.161969</v>
      </c>
      <c r="R3555">
        <v>-9.9123430000000005E-3</v>
      </c>
      <c r="S3555">
        <v>3.0655519999999998</v>
      </c>
      <c r="T3555">
        <v>-0.18678810000000001</v>
      </c>
      <c r="U3555">
        <v>-0.56790160000000001</v>
      </c>
      <c r="V3555">
        <v>2.5966059999999999E-2</v>
      </c>
      <c r="W3555">
        <v>0.171311299999999</v>
      </c>
      <c r="X3555">
        <v>0.98487469999999999</v>
      </c>
      <c r="Y3555">
        <v>0.19772609999999999</v>
      </c>
      <c r="Z3555">
        <v>-6.9490359999999996E-3</v>
      </c>
      <c r="AA3555">
        <v>0.98023269999999996</v>
      </c>
      <c r="AB3555">
        <v>37</v>
      </c>
      <c r="AC3555">
        <v>17.828099999999999</v>
      </c>
      <c r="AD3555">
        <v>-1.1095693423340001</v>
      </c>
      <c r="AE3555">
        <v>-3.3796000000000102</v>
      </c>
      <c r="AF3555">
        <v>3.6552407060140699</v>
      </c>
      <c r="AG3555">
        <v>-1.1095693423340001</v>
      </c>
      <c r="AH3555">
        <v>17.704618449857499</v>
      </c>
      <c r="AI3555">
        <v>93.512223138816793</v>
      </c>
      <c r="AJ3555">
        <v>78.334788883561302</v>
      </c>
      <c r="AK3555">
        <v>18.112024823287499</v>
      </c>
      <c r="AL3555">
        <v>80.135930305358002</v>
      </c>
      <c r="AM3555">
        <v>88.489756027501898</v>
      </c>
      <c r="AN3555">
        <v>0.99999998623985098</v>
      </c>
    </row>
    <row r="3556" spans="1:40" x14ac:dyDescent="0.25">
      <c r="A3556" t="str">
        <f>"20190312172440425"</f>
        <v>20190312172440425</v>
      </c>
      <c r="B3556" t="str">
        <f>"1552382680413589"</f>
        <v>1552382680413589</v>
      </c>
      <c r="C3556" t="s">
        <v>40</v>
      </c>
      <c r="D3556">
        <v>3.5966830000000001</v>
      </c>
      <c r="E3556">
        <v>0.57560140000000004</v>
      </c>
      <c r="F3556" t="s">
        <v>48</v>
      </c>
      <c r="G3556">
        <v>-299.48439999999999</v>
      </c>
      <c r="H3556" s="1">
        <v>2.5767790000000001E-6</v>
      </c>
      <c r="I3556">
        <v>210.86240000000001</v>
      </c>
      <c r="J3556">
        <v>-317.3732</v>
      </c>
      <c r="K3556">
        <v>1.1095699999999999</v>
      </c>
      <c r="L3556">
        <v>214.4588</v>
      </c>
      <c r="M3556">
        <v>0.99982329999999997</v>
      </c>
      <c r="N3556">
        <v>0</v>
      </c>
      <c r="O3556">
        <v>1.622502E-2</v>
      </c>
      <c r="P3556">
        <v>0.98671869999999995</v>
      </c>
      <c r="Q3556">
        <v>0.16208330000000001</v>
      </c>
      <c r="R3556">
        <v>-1.073475E-2</v>
      </c>
      <c r="S3556">
        <v>3.0647579999999999</v>
      </c>
      <c r="T3556">
        <v>-0.18598410000000001</v>
      </c>
      <c r="U3556">
        <v>-0.60176090000000004</v>
      </c>
      <c r="V3556">
        <v>2.6761299999999998E-2</v>
      </c>
      <c r="W3556">
        <v>0.17142349999999901</v>
      </c>
      <c r="X3556">
        <v>0.98483390000000004</v>
      </c>
      <c r="Y3556">
        <v>0.2081683</v>
      </c>
      <c r="Z3556">
        <v>-7.2258269999999998E-3</v>
      </c>
      <c r="AA3556">
        <v>0.97806630000000006</v>
      </c>
      <c r="AB3556">
        <v>38</v>
      </c>
      <c r="AC3556">
        <v>17.8888</v>
      </c>
      <c r="AD3556">
        <v>-1.109567423221</v>
      </c>
      <c r="AE3556">
        <v>-3.5963999999999801</v>
      </c>
      <c r="AF3556">
        <v>3.8718685749064501</v>
      </c>
      <c r="AG3556">
        <v>-1.109567423221</v>
      </c>
      <c r="AH3556">
        <v>17.7624098227273</v>
      </c>
      <c r="AI3556">
        <v>93.492655613297401</v>
      </c>
      <c r="AJ3556">
        <v>77.702965624463005</v>
      </c>
      <c r="AK3556">
        <v>18.213338761428101</v>
      </c>
      <c r="AL3556">
        <v>80.129405301960105</v>
      </c>
      <c r="AM3556">
        <v>88.443461059135103</v>
      </c>
      <c r="AN3556">
        <v>0.99999999705957499</v>
      </c>
    </row>
    <row r="3557" spans="1:40" x14ac:dyDescent="0.25">
      <c r="A3557" t="str">
        <f>"20190312172440447"</f>
        <v>20190312172440447</v>
      </c>
      <c r="B3557" t="str">
        <f>"1552382680443845"</f>
        <v>1552382680443845</v>
      </c>
      <c r="C3557" t="s">
        <v>40</v>
      </c>
      <c r="D3557">
        <v>3.5912069999999998</v>
      </c>
      <c r="E3557">
        <v>0.57802830000000005</v>
      </c>
      <c r="F3557" t="s">
        <v>48</v>
      </c>
      <c r="G3557">
        <v>-298.88260000000002</v>
      </c>
      <c r="H3557" s="1">
        <v>2.4700289999999998E-6</v>
      </c>
      <c r="I3557">
        <v>210.69200000000001</v>
      </c>
      <c r="J3557">
        <v>-317.0027</v>
      </c>
      <c r="K3557">
        <v>1.1095699999999999</v>
      </c>
      <c r="L3557">
        <v>214.4648</v>
      </c>
      <c r="M3557">
        <v>0.99982389999999999</v>
      </c>
      <c r="N3557">
        <v>0</v>
      </c>
      <c r="O3557">
        <v>1.6199160000000001E-2</v>
      </c>
      <c r="P3557">
        <v>0.98673230000000001</v>
      </c>
      <c r="Q3557">
        <v>0.1619517</v>
      </c>
      <c r="R3557">
        <v>-1.146848E-2</v>
      </c>
      <c r="S3557">
        <v>3.063812</v>
      </c>
      <c r="T3557">
        <v>-0.1838504</v>
      </c>
      <c r="U3557">
        <v>-0.62414550000000002</v>
      </c>
      <c r="V3557">
        <v>2.7469480000000001E-2</v>
      </c>
      <c r="W3557">
        <v>0.1712911</v>
      </c>
      <c r="X3557">
        <v>0.98483750000000003</v>
      </c>
      <c r="Y3557">
        <v>0.21506330000000001</v>
      </c>
      <c r="Z3557">
        <v>-7.3432469999999998E-3</v>
      </c>
      <c r="AA3557">
        <v>0.97657249999999995</v>
      </c>
      <c r="AB3557">
        <v>38</v>
      </c>
      <c r="AC3557">
        <v>18.120099999999901</v>
      </c>
      <c r="AD3557">
        <v>-1.1095675299709999</v>
      </c>
      <c r="AE3557">
        <v>-3.7727999999999802</v>
      </c>
      <c r="AF3557">
        <v>4.0512889031409696</v>
      </c>
      <c r="AG3557">
        <v>-1.1095675299709999</v>
      </c>
      <c r="AH3557">
        <v>17.991943530703001</v>
      </c>
      <c r="AI3557">
        <v>93.442985581365704</v>
      </c>
      <c r="AJ3557">
        <v>77.310215643615905</v>
      </c>
      <c r="AK3557">
        <v>18.4757709958823</v>
      </c>
      <c r="AL3557">
        <v>80.137105752529493</v>
      </c>
      <c r="AM3557">
        <v>88.402297529975002</v>
      </c>
      <c r="AN3557">
        <v>1.00000005733846</v>
      </c>
    </row>
    <row r="3558" spans="1:40" x14ac:dyDescent="0.25">
      <c r="A3558" t="str">
        <f>"20190312172440469"</f>
        <v>20190312172440469</v>
      </c>
      <c r="B3558" t="str">
        <f>"1552382680464341"</f>
        <v>1552382680464341</v>
      </c>
      <c r="C3558" t="s">
        <v>40</v>
      </c>
      <c r="D3558">
        <v>3.5922010000000002</v>
      </c>
      <c r="E3558">
        <v>0.57920090000000002</v>
      </c>
      <c r="F3558" t="s">
        <v>48</v>
      </c>
      <c r="G3558">
        <v>-298.46929999999998</v>
      </c>
      <c r="H3558" s="1">
        <v>2.39672E-6</v>
      </c>
      <c r="I3558">
        <v>210.55969999999999</v>
      </c>
      <c r="J3558">
        <v>-316.64249999999998</v>
      </c>
      <c r="K3558">
        <v>1.109567</v>
      </c>
      <c r="L3558">
        <v>214.47059999999999</v>
      </c>
      <c r="M3558">
        <v>0.9998243</v>
      </c>
      <c r="N3558">
        <v>0</v>
      </c>
      <c r="O3558">
        <v>1.6174250000000001E-2</v>
      </c>
      <c r="P3558">
        <v>0.98671699999999996</v>
      </c>
      <c r="Q3558">
        <v>0.1619679</v>
      </c>
      <c r="R3558">
        <v>-1.2479540000000001E-2</v>
      </c>
      <c r="S3558">
        <v>3.0629270000000002</v>
      </c>
      <c r="T3558">
        <v>-0.18337239999999999</v>
      </c>
      <c r="U3558">
        <v>-0.64537049999999996</v>
      </c>
      <c r="V3558">
        <v>2.8455859999999999E-2</v>
      </c>
      <c r="W3558">
        <v>0.1713056</v>
      </c>
      <c r="X3558">
        <v>0.98480690000000004</v>
      </c>
      <c r="Y3558">
        <v>0.2215694</v>
      </c>
      <c r="Z3558">
        <v>-7.5121869999999896E-3</v>
      </c>
      <c r="AA3558">
        <v>0.97511570000000003</v>
      </c>
      <c r="AB3558">
        <v>38</v>
      </c>
      <c r="AC3558">
        <v>18.173200000000001</v>
      </c>
      <c r="AD3558">
        <v>-1.10956460328</v>
      </c>
      <c r="AE3558">
        <v>-3.9108999999999901</v>
      </c>
      <c r="AF3558">
        <v>4.1894137411698598</v>
      </c>
      <c r="AG3558">
        <v>-1.10956460328</v>
      </c>
      <c r="AH3558">
        <v>18.0432807063731</v>
      </c>
      <c r="AI3558">
        <v>93.427987016808601</v>
      </c>
      <c r="AJ3558">
        <v>76.928286705192093</v>
      </c>
      <c r="AK3558">
        <v>18.5564624794849</v>
      </c>
      <c r="AL3558">
        <v>80.136261803311598</v>
      </c>
      <c r="AM3558">
        <v>88.344906844209603</v>
      </c>
      <c r="AN3558">
        <v>0.99999998742365404</v>
      </c>
    </row>
    <row r="3559" spans="1:40" x14ac:dyDescent="0.25">
      <c r="A3559" t="str">
        <f>"20190312172440491"</f>
        <v>20190312172440491</v>
      </c>
      <c r="B3559" t="str">
        <f>"1552382680483864"</f>
        <v>1552382680483864</v>
      </c>
      <c r="C3559" t="s">
        <v>40</v>
      </c>
      <c r="D3559">
        <v>3.5768620000000002</v>
      </c>
      <c r="E3559">
        <v>0.58020579999999999</v>
      </c>
      <c r="F3559" t="s">
        <v>48</v>
      </c>
      <c r="G3559">
        <v>-297.99720000000002</v>
      </c>
      <c r="H3559" s="1">
        <v>2.3129829999999999E-6</v>
      </c>
      <c r="I3559">
        <v>210.4622</v>
      </c>
      <c r="J3559">
        <v>-316.25479999999999</v>
      </c>
      <c r="K3559">
        <v>1.109569</v>
      </c>
      <c r="L3559">
        <v>214.4769</v>
      </c>
      <c r="M3559">
        <v>0.99982479999999996</v>
      </c>
      <c r="N3559">
        <v>0</v>
      </c>
      <c r="O3559">
        <v>1.6147160000000001E-2</v>
      </c>
      <c r="P3559">
        <v>0.98671379999999997</v>
      </c>
      <c r="Q3559">
        <v>0.16196749999999999</v>
      </c>
      <c r="R3559">
        <v>-1.275168E-2</v>
      </c>
      <c r="S3559">
        <v>3.0619809999999998</v>
      </c>
      <c r="T3559">
        <v>-0.1822153</v>
      </c>
      <c r="U3559">
        <v>-0.65827939999999996</v>
      </c>
      <c r="V3559">
        <v>2.8701029999999999E-2</v>
      </c>
      <c r="W3559">
        <v>0.17130000000000001</v>
      </c>
      <c r="X3559">
        <v>0.98480080000000003</v>
      </c>
      <c r="Y3559">
        <v>0.22553329999999999</v>
      </c>
      <c r="Z3559">
        <v>-7.578815E-3</v>
      </c>
      <c r="AA3559">
        <v>0.97420600000000002</v>
      </c>
      <c r="AB3559">
        <v>38</v>
      </c>
      <c r="AC3559">
        <v>18.257599999999901</v>
      </c>
      <c r="AD3559">
        <v>-1.109566687017</v>
      </c>
      <c r="AE3559">
        <v>-4.0147000000000004</v>
      </c>
      <c r="AF3559">
        <v>4.2938708548937097</v>
      </c>
      <c r="AG3559">
        <v>-1.109566687017</v>
      </c>
      <c r="AH3559">
        <v>18.126530873188202</v>
      </c>
      <c r="AI3559">
        <v>93.408734684524205</v>
      </c>
      <c r="AJ3559">
        <v>76.673238616553803</v>
      </c>
      <c r="AK3559">
        <v>18.661178597507998</v>
      </c>
      <c r="AL3559">
        <v>80.136587871863298</v>
      </c>
      <c r="AM3559">
        <v>88.330644592402706</v>
      </c>
      <c r="AN3559">
        <v>1.0000000274018499</v>
      </c>
    </row>
    <row r="3560" spans="1:40" x14ac:dyDescent="0.25">
      <c r="A3560" t="str">
        <f>"20190312172440513"</f>
        <v>20190312172440513</v>
      </c>
      <c r="B3560" t="str">
        <f>"1552382680504373"</f>
        <v>1552382680504373</v>
      </c>
      <c r="C3560" t="s">
        <v>40</v>
      </c>
      <c r="D3560">
        <v>3.5673469999999998</v>
      </c>
      <c r="E3560">
        <v>0.58096749999999997</v>
      </c>
      <c r="F3560" t="s">
        <v>48</v>
      </c>
      <c r="G3560">
        <v>-297.62529999999998</v>
      </c>
      <c r="H3560" s="1">
        <v>2.2470089999999999E-6</v>
      </c>
      <c r="I3560">
        <v>210.41669999999999</v>
      </c>
      <c r="J3560">
        <v>-315.89</v>
      </c>
      <c r="K3560">
        <v>1.1095660000000001</v>
      </c>
      <c r="L3560">
        <v>214.48269999999999</v>
      </c>
      <c r="M3560">
        <v>0.99982519999999997</v>
      </c>
      <c r="N3560">
        <v>0</v>
      </c>
      <c r="O3560">
        <v>1.612191E-2</v>
      </c>
      <c r="P3560">
        <v>0.98670670000000005</v>
      </c>
      <c r="Q3560">
        <v>0.16200580000000001</v>
      </c>
      <c r="R3560">
        <v>-1.281785E-2</v>
      </c>
      <c r="S3560">
        <v>3.0617070000000002</v>
      </c>
      <c r="T3560">
        <v>-0.1823545</v>
      </c>
      <c r="U3560">
        <v>-0.66728209999999999</v>
      </c>
      <c r="V3560">
        <v>2.8742400000000001E-2</v>
      </c>
      <c r="W3560">
        <v>0.1713315</v>
      </c>
      <c r="X3560">
        <v>0.98479410000000001</v>
      </c>
      <c r="Y3560">
        <v>0.22825709999999999</v>
      </c>
      <c r="Z3560">
        <v>-7.6615540000000001E-3</v>
      </c>
      <c r="AA3560">
        <v>0.97357079999999996</v>
      </c>
      <c r="AB3560">
        <v>38</v>
      </c>
      <c r="AC3560">
        <v>18.264700000000001</v>
      </c>
      <c r="AD3560">
        <v>-1.1095637529910001</v>
      </c>
      <c r="AE3560">
        <v>-4.0659999999999998</v>
      </c>
      <c r="AF3560">
        <v>4.3446698446995402</v>
      </c>
      <c r="AG3560">
        <v>-1.1095637529910001</v>
      </c>
      <c r="AH3560">
        <v>18.1330121235459</v>
      </c>
      <c r="AI3560">
        <v>93.405428678697604</v>
      </c>
      <c r="AJ3560">
        <v>76.525938380615997</v>
      </c>
      <c r="AK3560">
        <v>18.679224193045499</v>
      </c>
      <c r="AL3560">
        <v>80.134755838072394</v>
      </c>
      <c r="AM3560">
        <v>88.328228361188806</v>
      </c>
      <c r="AN3560">
        <v>1.0000000139224099</v>
      </c>
    </row>
    <row r="3561" spans="1:40" x14ac:dyDescent="0.25">
      <c r="A3561" t="str">
        <f>"20190312172440534"</f>
        <v>20190312172440534</v>
      </c>
      <c r="B3561" t="str">
        <f>"1552382680524385"</f>
        <v>1552382680524385</v>
      </c>
      <c r="C3561" t="s">
        <v>40</v>
      </c>
      <c r="D3561">
        <v>3.5684719999999999</v>
      </c>
      <c r="E3561">
        <v>0.58167609999999903</v>
      </c>
      <c r="F3561" t="s">
        <v>48</v>
      </c>
      <c r="G3561">
        <v>-297.3306</v>
      </c>
      <c r="H3561" s="1">
        <v>2.1947310000000001E-6</v>
      </c>
      <c r="I3561">
        <v>210.40190000000001</v>
      </c>
      <c r="J3561">
        <v>-315.536</v>
      </c>
      <c r="K3561">
        <v>1.109564</v>
      </c>
      <c r="L3561">
        <v>214.48840000000001</v>
      </c>
      <c r="M3561">
        <v>0.99982579999999999</v>
      </c>
      <c r="N3561">
        <v>0</v>
      </c>
      <c r="O3561">
        <v>1.6097210000000001E-2</v>
      </c>
      <c r="P3561">
        <v>0.98668060000000002</v>
      </c>
      <c r="Q3561">
        <v>0.16218560000000001</v>
      </c>
      <c r="R3561">
        <v>-1.255589E-2</v>
      </c>
      <c r="S3561">
        <v>3.0617679999999998</v>
      </c>
      <c r="T3561">
        <v>-0.18304599999999999</v>
      </c>
      <c r="U3561">
        <v>-0.67321779999999998</v>
      </c>
      <c r="V3561">
        <v>2.845555E-2</v>
      </c>
      <c r="W3561">
        <v>0.1715043</v>
      </c>
      <c r="X3561">
        <v>0.98477230000000004</v>
      </c>
      <c r="Y3561">
        <v>0.2300238</v>
      </c>
      <c r="Z3561">
        <v>-7.739526E-3</v>
      </c>
      <c r="AA3561">
        <v>0.97315419999999997</v>
      </c>
      <c r="AB3561">
        <v>38</v>
      </c>
      <c r="AC3561">
        <v>18.205400000000001</v>
      </c>
      <c r="AD3561">
        <v>-1.1095618052689999</v>
      </c>
      <c r="AE3561">
        <v>-4.0865</v>
      </c>
      <c r="AF3561">
        <v>4.3636084946903102</v>
      </c>
      <c r="AG3561">
        <v>-1.1095618052689999</v>
      </c>
      <c r="AH3561">
        <v>18.073343278327702</v>
      </c>
      <c r="AI3561">
        <v>93.415214231835293</v>
      </c>
      <c r="AJ3561">
        <v>76.426338276640394</v>
      </c>
      <c r="AK3561">
        <v>18.625733374847801</v>
      </c>
      <c r="AL3561">
        <v>80.124705872061099</v>
      </c>
      <c r="AM3561">
        <v>88.344866746111805</v>
      </c>
      <c r="AN3561">
        <v>0.99999996304578997</v>
      </c>
    </row>
    <row r="3562" spans="1:40" x14ac:dyDescent="0.25">
      <c r="A3562" t="str">
        <f>"20190312172440557"</f>
        <v>20190312172440557</v>
      </c>
      <c r="B3562" t="str">
        <f>"1552382680553665"</f>
        <v>1552382680553665</v>
      </c>
      <c r="C3562" t="s">
        <v>40</v>
      </c>
      <c r="D3562">
        <v>3.5706380000000002</v>
      </c>
      <c r="E3562">
        <v>0.58254719999999904</v>
      </c>
      <c r="F3562" t="s">
        <v>48</v>
      </c>
      <c r="G3562">
        <v>-296.97070000000002</v>
      </c>
      <c r="H3562" s="1">
        <v>2.1309019999999998E-6</v>
      </c>
      <c r="I3562">
        <v>210.38030000000001</v>
      </c>
      <c r="J3562">
        <v>-315.14370000000002</v>
      </c>
      <c r="K3562">
        <v>1.109561</v>
      </c>
      <c r="L3562">
        <v>214.49469999999999</v>
      </c>
      <c r="M3562">
        <v>0.9998262</v>
      </c>
      <c r="N3562">
        <v>0</v>
      </c>
      <c r="O3562">
        <v>1.607018E-2</v>
      </c>
      <c r="P3562">
        <v>0.98664929999999995</v>
      </c>
      <c r="Q3562">
        <v>0.16239500000000001</v>
      </c>
      <c r="R3562">
        <v>-1.229762E-2</v>
      </c>
      <c r="S3562">
        <v>3.0619510000000001</v>
      </c>
      <c r="T3562">
        <v>-0.1829991</v>
      </c>
      <c r="U3562">
        <v>-0.67755129999999997</v>
      </c>
      <c r="V3562">
        <v>2.8170190000000001E-2</v>
      </c>
      <c r="W3562">
        <v>0.17170820000000001</v>
      </c>
      <c r="X3562">
        <v>0.98474499999999998</v>
      </c>
      <c r="Y3562">
        <v>0.2312968</v>
      </c>
      <c r="Z3562">
        <v>-7.771895E-3</v>
      </c>
      <c r="AA3562">
        <v>0.97285219999999994</v>
      </c>
      <c r="AB3562">
        <v>38</v>
      </c>
      <c r="AC3562">
        <v>18.172999999999998</v>
      </c>
      <c r="AD3562">
        <v>-1.1095588690979901</v>
      </c>
      <c r="AE3562">
        <v>-4.1143999999999803</v>
      </c>
      <c r="AF3562">
        <v>4.3903568821587804</v>
      </c>
      <c r="AG3562">
        <v>-1.1095588690979901</v>
      </c>
      <c r="AH3562">
        <v>18.0405591942258</v>
      </c>
      <c r="AI3562">
        <v>93.419895552569201</v>
      </c>
      <c r="AJ3562">
        <v>76.322357887052803</v>
      </c>
      <c r="AK3562">
        <v>18.600218559927601</v>
      </c>
      <c r="AL3562">
        <v>80.112847620337504</v>
      </c>
      <c r="AM3562">
        <v>88.361410378289506</v>
      </c>
      <c r="AN3562">
        <v>0.999999990288438</v>
      </c>
    </row>
    <row r="3563" spans="1:40" x14ac:dyDescent="0.25">
      <c r="A3563" t="str">
        <f>"20190312172440580"</f>
        <v>20190312172440580</v>
      </c>
      <c r="B3563" t="str">
        <f>"1552382680574160"</f>
        <v>1552382680574160</v>
      </c>
      <c r="C3563" t="s">
        <v>40</v>
      </c>
      <c r="D3563">
        <v>3.5367470000000001</v>
      </c>
      <c r="E3563">
        <v>0.58307980000000004</v>
      </c>
      <c r="F3563" t="s">
        <v>48</v>
      </c>
      <c r="G3563">
        <v>-296.62099999999998</v>
      </c>
      <c r="H3563" s="1">
        <v>2.0688699999999998E-6</v>
      </c>
      <c r="I3563">
        <v>210.36340000000001</v>
      </c>
      <c r="J3563">
        <v>-314.74720000000002</v>
      </c>
      <c r="K3563">
        <v>1.1095539999999999</v>
      </c>
      <c r="L3563">
        <v>214.50110000000001</v>
      </c>
      <c r="M3563">
        <v>0.99982669999999996</v>
      </c>
      <c r="N3563">
        <v>0</v>
      </c>
      <c r="O3563">
        <v>1.604278E-2</v>
      </c>
      <c r="P3563">
        <v>0.98670709999999995</v>
      </c>
      <c r="Q3563">
        <v>0.16207639999999901</v>
      </c>
      <c r="R3563">
        <v>-1.185721E-2</v>
      </c>
      <c r="S3563">
        <v>3.0623170000000002</v>
      </c>
      <c r="T3563">
        <v>-0.1834412</v>
      </c>
      <c r="U3563">
        <v>-0.683029199999999</v>
      </c>
      <c r="V3563">
        <v>2.770386E-2</v>
      </c>
      <c r="W3563">
        <v>0.1713855</v>
      </c>
      <c r="X3563">
        <v>0.98481450000000004</v>
      </c>
      <c r="Y3563">
        <v>0.2328993</v>
      </c>
      <c r="Z3563">
        <v>-7.8339929999999992E-3</v>
      </c>
      <c r="AA3563">
        <v>0.97246929999999998</v>
      </c>
      <c r="AB3563">
        <v>38</v>
      </c>
      <c r="AC3563">
        <v>18.126200000000001</v>
      </c>
      <c r="AD3563">
        <v>-1.1095519311299999</v>
      </c>
      <c r="AE3563">
        <v>-4.1376999999999899</v>
      </c>
      <c r="AF3563">
        <v>4.4122612150168896</v>
      </c>
      <c r="AG3563">
        <v>-1.1095519311299999</v>
      </c>
      <c r="AH3563">
        <v>17.993402094632899</v>
      </c>
      <c r="AI3563">
        <v>93.427353078284199</v>
      </c>
      <c r="AJ3563">
        <v>76.222051457974601</v>
      </c>
      <c r="AK3563">
        <v>18.559678700251201</v>
      </c>
      <c r="AL3563">
        <v>80.131615739321006</v>
      </c>
      <c r="AM3563">
        <v>88.388634871956299</v>
      </c>
      <c r="AN3563">
        <v>1.0000000464396901</v>
      </c>
    </row>
    <row r="3564" spans="1:40" x14ac:dyDescent="0.25">
      <c r="A3564" t="str">
        <f>"20190312172440603"</f>
        <v>20190312172440603</v>
      </c>
      <c r="B3564" t="str">
        <f>"1552382680593683"</f>
        <v>1552382680593683</v>
      </c>
      <c r="C3564" t="s">
        <v>40</v>
      </c>
      <c r="D3564">
        <v>3.5956250000000001</v>
      </c>
      <c r="E3564">
        <v>0.58371680000000004</v>
      </c>
      <c r="F3564" t="s">
        <v>48</v>
      </c>
      <c r="G3564">
        <v>-296.29140000000001</v>
      </c>
      <c r="H3564" s="1">
        <v>2.010392E-6</v>
      </c>
      <c r="I3564">
        <v>210.36529999999999</v>
      </c>
      <c r="J3564">
        <v>-314.37</v>
      </c>
      <c r="K3564">
        <v>1.1095520000000001</v>
      </c>
      <c r="L3564">
        <v>214.50710000000001</v>
      </c>
      <c r="M3564">
        <v>0.99982709999999997</v>
      </c>
      <c r="N3564">
        <v>0</v>
      </c>
      <c r="O3564">
        <v>1.6016869999999999E-2</v>
      </c>
      <c r="P3564">
        <v>0.98674600000000001</v>
      </c>
      <c r="Q3564">
        <v>0.16187860000000001</v>
      </c>
      <c r="R3564">
        <v>-1.1287220000000001E-2</v>
      </c>
      <c r="S3564">
        <v>3.062408</v>
      </c>
      <c r="T3564">
        <v>-0.1841102</v>
      </c>
      <c r="U3564">
        <v>-0.68624879999999999</v>
      </c>
      <c r="V3564">
        <v>2.7109210000000002E-2</v>
      </c>
      <c r="W3564">
        <v>0.17118449999999999</v>
      </c>
      <c r="X3564">
        <v>0.98486600000000002</v>
      </c>
      <c r="Y3564">
        <v>0.23383689999999999</v>
      </c>
      <c r="Z3564">
        <v>-7.8876750000000002E-3</v>
      </c>
      <c r="AA3564">
        <v>0.97224379999999999</v>
      </c>
      <c r="AB3564">
        <v>38</v>
      </c>
      <c r="AC3564">
        <v>18.078599999999899</v>
      </c>
      <c r="AD3564">
        <v>-1.1095499896080001</v>
      </c>
      <c r="AE3564">
        <v>-4.1418000000000097</v>
      </c>
      <c r="AF3564">
        <v>4.4150432295731701</v>
      </c>
      <c r="AG3564">
        <v>-1.1095499896080001</v>
      </c>
      <c r="AH3564">
        <v>17.9457134500873</v>
      </c>
      <c r="AI3564">
        <v>93.435792550634105</v>
      </c>
      <c r="AJ3564">
        <v>76.178463123849696</v>
      </c>
      <c r="AK3564">
        <v>18.5141118915028</v>
      </c>
      <c r="AL3564">
        <v>80.143304876248493</v>
      </c>
      <c r="AM3564">
        <v>88.423286806725102</v>
      </c>
      <c r="AN3564">
        <v>1.0000000401315301</v>
      </c>
    </row>
    <row r="3565" spans="1:40" x14ac:dyDescent="0.25">
      <c r="A3565" t="str">
        <f>"20190312172440625"</f>
        <v>20190312172440625</v>
      </c>
      <c r="B3565" t="str">
        <f>"1552382680614176"</f>
        <v>1552382680614176</v>
      </c>
      <c r="C3565" t="s">
        <v>40</v>
      </c>
      <c r="D3565">
        <v>3.5831849999999998</v>
      </c>
      <c r="E3565">
        <v>0.58410309999999999</v>
      </c>
      <c r="F3565" t="s">
        <v>48</v>
      </c>
      <c r="G3565">
        <v>-295.93209999999999</v>
      </c>
      <c r="H3565" s="1">
        <v>1.9466699999999999E-6</v>
      </c>
      <c r="I3565">
        <v>210.35300000000001</v>
      </c>
      <c r="J3565">
        <v>-313.97649999999999</v>
      </c>
      <c r="K3565">
        <v>1.109551</v>
      </c>
      <c r="L3565">
        <v>214.51339999999999</v>
      </c>
      <c r="M3565">
        <v>0.99982749999999998</v>
      </c>
      <c r="N3565">
        <v>0</v>
      </c>
      <c r="O3565">
        <v>1.5989940000000001E-2</v>
      </c>
      <c r="P3565">
        <v>0.98673829999999996</v>
      </c>
      <c r="Q3565">
        <v>0.1619302</v>
      </c>
      <c r="R3565">
        <v>-1.122457E-2</v>
      </c>
      <c r="S3565">
        <v>3.0626530000000001</v>
      </c>
      <c r="T3565">
        <v>-0.18430389999999999</v>
      </c>
      <c r="U3565">
        <v>-0.69001769999999996</v>
      </c>
      <c r="V3565">
        <v>2.7019850000000002E-2</v>
      </c>
      <c r="W3565">
        <v>0.17123369999999999</v>
      </c>
      <c r="X3565">
        <v>0.98485990000000001</v>
      </c>
      <c r="Y3565">
        <v>0.23493049999999999</v>
      </c>
      <c r="Z3565">
        <v>-7.9251689999999993E-3</v>
      </c>
      <c r="AA3565">
        <v>0.97197990000000001</v>
      </c>
      <c r="AB3565">
        <v>38</v>
      </c>
      <c r="AC3565">
        <v>18.0444</v>
      </c>
      <c r="AD3565">
        <v>-1.1095490533300001</v>
      </c>
      <c r="AE3565">
        <v>-4.1604000000000099</v>
      </c>
      <c r="AF3565">
        <v>4.4324964431092999</v>
      </c>
      <c r="AG3565">
        <v>-1.1095490533300001</v>
      </c>
      <c r="AH3565">
        <v>17.9112610649514</v>
      </c>
      <c r="AI3565">
        <v>93.441226458933698</v>
      </c>
      <c r="AJ3565">
        <v>76.100278946425405</v>
      </c>
      <c r="AK3565">
        <v>18.484896449717201</v>
      </c>
      <c r="AL3565">
        <v>80.140443651084695</v>
      </c>
      <c r="AM3565">
        <v>88.428471781945802</v>
      </c>
      <c r="AN3565">
        <v>1.00000003746886</v>
      </c>
    </row>
    <row r="3566" spans="1:40" x14ac:dyDescent="0.25">
      <c r="A3566" t="str">
        <f>"20190312172440647"</f>
        <v>20190312172440647</v>
      </c>
      <c r="B3566" t="str">
        <f>"1552382680644432"</f>
        <v>1552382680644432</v>
      </c>
      <c r="C3566" t="s">
        <v>40</v>
      </c>
      <c r="D3566">
        <v>3.528645</v>
      </c>
      <c r="E3566">
        <v>0.5442051</v>
      </c>
      <c r="F3566" t="s">
        <v>48</v>
      </c>
      <c r="G3566">
        <v>-295.52659999999997</v>
      </c>
      <c r="H3566" s="1">
        <v>1.8747330000000001E-6</v>
      </c>
      <c r="I3566">
        <v>210.339</v>
      </c>
      <c r="J3566">
        <v>-313.60629999999998</v>
      </c>
      <c r="K3566">
        <v>1.1095459999999999</v>
      </c>
      <c r="L3566">
        <v>214.51929999999999</v>
      </c>
      <c r="M3566">
        <v>0.99982800000000005</v>
      </c>
      <c r="N3566">
        <v>0</v>
      </c>
      <c r="O3566">
        <v>1.5964200000000001E-2</v>
      </c>
      <c r="P3566">
        <v>0.986788</v>
      </c>
      <c r="Q3566">
        <v>0.1616552</v>
      </c>
      <c r="R3566">
        <v>-1.083406E-2</v>
      </c>
      <c r="S3566">
        <v>3.0626829999999998</v>
      </c>
      <c r="T3566">
        <v>-0.18418490000000001</v>
      </c>
      <c r="U3566">
        <v>-0.69294739999999999</v>
      </c>
      <c r="V3566">
        <v>2.6604550000000001E-2</v>
      </c>
      <c r="W3566">
        <v>0.17095839999999901</v>
      </c>
      <c r="X3566">
        <v>0.98491899999999999</v>
      </c>
      <c r="Y3566">
        <v>0.2357872</v>
      </c>
      <c r="Z3566">
        <v>-7.9430539999999997E-3</v>
      </c>
      <c r="AA3566">
        <v>0.97177230000000003</v>
      </c>
      <c r="AB3566">
        <v>38</v>
      </c>
      <c r="AC3566">
        <v>18.079699999999999</v>
      </c>
      <c r="AD3566">
        <v>-1.109544125267</v>
      </c>
      <c r="AE3566">
        <v>-4.1802999999999599</v>
      </c>
      <c r="AF3566">
        <v>4.4524899325098701</v>
      </c>
      <c r="AG3566">
        <v>-1.109544125267</v>
      </c>
      <c r="AH3566">
        <v>17.9464971063463</v>
      </c>
      <c r="AI3566">
        <v>93.433968527539506</v>
      </c>
      <c r="AJ3566">
        <v>76.066368850850196</v>
      </c>
      <c r="AK3566">
        <v>18.523836350851099</v>
      </c>
      <c r="AL3566">
        <v>80.156452943498707</v>
      </c>
      <c r="AM3566">
        <v>88.452707426484807</v>
      </c>
      <c r="AN3566">
        <v>1.0000000065861301</v>
      </c>
    </row>
    <row r="3567" spans="1:40" x14ac:dyDescent="0.25">
      <c r="A3567" t="str">
        <f>"20190312172440669"</f>
        <v>20190312172440669</v>
      </c>
      <c r="B3567" t="str">
        <f>"1552382680663952"</f>
        <v>1552382680663952</v>
      </c>
      <c r="C3567" t="s">
        <v>40</v>
      </c>
      <c r="D3567">
        <v>3.5506880000000001</v>
      </c>
      <c r="E3567">
        <v>0.53640940000000004</v>
      </c>
      <c r="F3567" t="s">
        <v>48</v>
      </c>
      <c r="G3567">
        <v>-288.49310000000003</v>
      </c>
      <c r="H3567" s="1">
        <v>3.7023780000000001E-6</v>
      </c>
      <c r="I3567">
        <v>211.44720000000001</v>
      </c>
      <c r="J3567">
        <v>-313.22770000000003</v>
      </c>
      <c r="K3567">
        <v>1.1095440000000001</v>
      </c>
      <c r="L3567">
        <v>214.52529999999999</v>
      </c>
      <c r="M3567">
        <v>0.99982850000000001</v>
      </c>
      <c r="N3567">
        <v>0</v>
      </c>
      <c r="O3567">
        <v>1.5938089999999999E-2</v>
      </c>
      <c r="P3567">
        <v>0.98679190000000006</v>
      </c>
      <c r="Q3567">
        <v>0.16162609999999999</v>
      </c>
      <c r="R3567">
        <v>-1.0897830000000001E-2</v>
      </c>
      <c r="S3567">
        <v>3.0582280000000002</v>
      </c>
      <c r="T3567">
        <v>-0.1351174</v>
      </c>
      <c r="U3567">
        <v>-0.37411499999999998</v>
      </c>
      <c r="V3567">
        <v>2.6642989999999998E-2</v>
      </c>
      <c r="W3567">
        <v>0.17092929999999901</v>
      </c>
      <c r="X3567">
        <v>0.98492299999999999</v>
      </c>
      <c r="Y3567">
        <v>0.13708380000000001</v>
      </c>
      <c r="Z3567">
        <v>-3.7169870000000002E-3</v>
      </c>
      <c r="AA3567">
        <v>0.99055249999999995</v>
      </c>
      <c r="AB3567">
        <v>38</v>
      </c>
      <c r="AC3567">
        <v>24.7346</v>
      </c>
      <c r="AD3567">
        <v>-1.1095402976219999</v>
      </c>
      <c r="AE3567">
        <v>-3.0780999999999699</v>
      </c>
      <c r="AF3567">
        <v>3.4650826120202498</v>
      </c>
      <c r="AG3567">
        <v>-1.1095402976219999</v>
      </c>
      <c r="AH3567">
        <v>24.633584370124499</v>
      </c>
      <c r="AI3567">
        <v>92.553851837363496</v>
      </c>
      <c r="AJ3567">
        <v>81.993024983485697</v>
      </c>
      <c r="AK3567">
        <v>24.900830429931698</v>
      </c>
      <c r="AL3567">
        <v>80.158145045814194</v>
      </c>
      <c r="AM3567">
        <v>88.450479175683</v>
      </c>
      <c r="AN3567">
        <v>0.99999999522181504</v>
      </c>
    </row>
    <row r="3568" spans="1:40" x14ac:dyDescent="0.25">
      <c r="A3568" t="str">
        <f>"20190312172440692"</f>
        <v>20190312172440692</v>
      </c>
      <c r="B3568" t="str">
        <f>"1552382680683476"</f>
        <v>1552382680683476</v>
      </c>
      <c r="C3568" t="s">
        <v>40</v>
      </c>
      <c r="D3568">
        <v>3.5091809999999999</v>
      </c>
      <c r="E3568">
        <v>0.53292169999999905</v>
      </c>
      <c r="F3568" t="s">
        <v>48</v>
      </c>
      <c r="G3568">
        <v>-285.55889999999999</v>
      </c>
      <c r="H3568" s="1">
        <v>4.973787E-6</v>
      </c>
      <c r="I3568">
        <v>211.6969</v>
      </c>
      <c r="J3568">
        <v>-312.84190000000001</v>
      </c>
      <c r="K3568">
        <v>1.1095429999999999</v>
      </c>
      <c r="L3568">
        <v>214.53139999999999</v>
      </c>
      <c r="M3568">
        <v>0.99982899999999997</v>
      </c>
      <c r="N3568">
        <v>0</v>
      </c>
      <c r="O3568">
        <v>1.591186E-2</v>
      </c>
      <c r="P3568">
        <v>0.98680219999999996</v>
      </c>
      <c r="Q3568">
        <v>0.16154449999999901</v>
      </c>
      <c r="R3568">
        <v>-1.11836E-2</v>
      </c>
      <c r="S3568">
        <v>3.0567929999999999</v>
      </c>
      <c r="T3568">
        <v>-0.1225796</v>
      </c>
      <c r="U3568">
        <v>-0.31246950000000001</v>
      </c>
      <c r="V3568">
        <v>2.6902780000000001E-2</v>
      </c>
      <c r="W3568">
        <v>0.17084849999999999</v>
      </c>
      <c r="X3568">
        <v>0.98492999999999997</v>
      </c>
      <c r="Y3568">
        <v>0.11740250000000001</v>
      </c>
      <c r="Z3568">
        <v>-2.9832109999999999E-3</v>
      </c>
      <c r="AA3568">
        <v>0.99307990000000002</v>
      </c>
      <c r="AB3568">
        <v>38</v>
      </c>
      <c r="AC3568">
        <v>27.283000000000001</v>
      </c>
      <c r="AD3568">
        <v>-1.1095380262129999</v>
      </c>
      <c r="AE3568">
        <v>-2.83449999999999</v>
      </c>
      <c r="AF3568">
        <v>3.2629448193381601</v>
      </c>
      <c r="AG3568">
        <v>-1.1095380262129999</v>
      </c>
      <c r="AH3568">
        <v>27.189953122553401</v>
      </c>
      <c r="AI3568">
        <v>92.320138914213004</v>
      </c>
      <c r="AJ3568">
        <v>83.156914064829706</v>
      </c>
      <c r="AK3568">
        <v>27.407506897423399</v>
      </c>
      <c r="AL3568">
        <v>80.162844077178804</v>
      </c>
      <c r="AM3568">
        <v>88.435388723611396</v>
      </c>
      <c r="AN3568">
        <v>1.0000000372119799</v>
      </c>
    </row>
    <row r="3569" spans="1:40" x14ac:dyDescent="0.25">
      <c r="A3569" t="str">
        <f>"20190312172440714"</f>
        <v>20190312172440714</v>
      </c>
      <c r="B3569" t="str">
        <f>"1552382680703972"</f>
        <v>1552382680703972</v>
      </c>
      <c r="C3569" t="s">
        <v>40</v>
      </c>
      <c r="D3569">
        <v>3.5264890000000002</v>
      </c>
      <c r="E3569">
        <v>0.5310743</v>
      </c>
      <c r="F3569" t="s">
        <v>48</v>
      </c>
      <c r="G3569">
        <v>-284.3947</v>
      </c>
      <c r="H3569" s="1">
        <v>5.4689689999999998E-6</v>
      </c>
      <c r="I3569">
        <v>211.87379999999999</v>
      </c>
      <c r="J3569">
        <v>-312.46559999999999</v>
      </c>
      <c r="K3569">
        <v>1.1095469999999901</v>
      </c>
      <c r="L3569">
        <v>214.53739999999999</v>
      </c>
      <c r="M3569">
        <v>0.99982930000000003</v>
      </c>
      <c r="N3569">
        <v>0</v>
      </c>
      <c r="O3569">
        <v>1.58861E-2</v>
      </c>
      <c r="P3569">
        <v>0.98681589999999997</v>
      </c>
      <c r="Q3569">
        <v>0.16144979999999901</v>
      </c>
      <c r="R3569">
        <v>-1.133866E-2</v>
      </c>
      <c r="S3569">
        <v>3.0563660000000001</v>
      </c>
      <c r="T3569">
        <v>-0.1192087</v>
      </c>
      <c r="U3569">
        <v>-0.28553770000000001</v>
      </c>
      <c r="V3569">
        <v>2.703262E-2</v>
      </c>
      <c r="W3569">
        <v>0.1707555</v>
      </c>
      <c r="X3569">
        <v>0.9849426</v>
      </c>
      <c r="Y3569">
        <v>0.1087311</v>
      </c>
      <c r="Z3569">
        <v>-2.7331909999999998E-3</v>
      </c>
      <c r="AA3569">
        <v>0.99406740000000005</v>
      </c>
      <c r="AB3569">
        <v>38</v>
      </c>
      <c r="AC3569">
        <v>28.070899999999899</v>
      </c>
      <c r="AD3569">
        <v>-1.10954153103099</v>
      </c>
      <c r="AE3569">
        <v>-2.6636000000000002</v>
      </c>
      <c r="AF3569">
        <v>3.1044139576777301</v>
      </c>
      <c r="AG3569">
        <v>-1.10954153103099</v>
      </c>
      <c r="AH3569">
        <v>27.981714524881301</v>
      </c>
      <c r="AI3569">
        <v>92.2568916102869</v>
      </c>
      <c r="AJ3569">
        <v>83.6692449393164</v>
      </c>
      <c r="AK3569">
        <v>28.175251838832999</v>
      </c>
      <c r="AL3569">
        <v>80.168252321719805</v>
      </c>
      <c r="AM3569">
        <v>88.427861374381905</v>
      </c>
      <c r="AN3569">
        <v>1.0000000643095299</v>
      </c>
    </row>
    <row r="3570" spans="1:40" x14ac:dyDescent="0.25">
      <c r="A3570" t="str">
        <f>"20190312172440736"</f>
        <v>20190312172440736</v>
      </c>
      <c r="B3570" t="str">
        <f>"1552382680723488"</f>
        <v>1552382680723488</v>
      </c>
      <c r="C3570" t="s">
        <v>40</v>
      </c>
      <c r="D3570">
        <v>3.4765069999999998</v>
      </c>
      <c r="E3570">
        <v>0.53013520000000003</v>
      </c>
      <c r="F3570" t="s">
        <v>48</v>
      </c>
      <c r="G3570">
        <v>-283.60329999999999</v>
      </c>
      <c r="H3570" s="1">
        <v>5.8076430000000002E-6</v>
      </c>
      <c r="I3570">
        <v>211.9768</v>
      </c>
      <c r="J3570">
        <v>-312.08890000000002</v>
      </c>
      <c r="K3570">
        <v>1.1095459999999999</v>
      </c>
      <c r="L3570">
        <v>214.54329999999999</v>
      </c>
      <c r="M3570">
        <v>0.99982959999999999</v>
      </c>
      <c r="N3570">
        <v>0</v>
      </c>
      <c r="O3570">
        <v>1.5860160000000002E-2</v>
      </c>
      <c r="P3570">
        <v>0.9867186</v>
      </c>
      <c r="Q3570">
        <v>0.16204170000000001</v>
      </c>
      <c r="R3570">
        <v>-1.136445E-2</v>
      </c>
      <c r="S3570">
        <v>3.0561829999999999</v>
      </c>
      <c r="T3570">
        <v>-0.11748740000000001</v>
      </c>
      <c r="U3570">
        <v>-0.27113340000000002</v>
      </c>
      <c r="V3570">
        <v>2.7031260000000001E-2</v>
      </c>
      <c r="W3570">
        <v>0.17134929999999901</v>
      </c>
      <c r="X3570">
        <v>0.98483940000000003</v>
      </c>
      <c r="Y3570">
        <v>0.1040691</v>
      </c>
      <c r="Z3570">
        <v>-2.6040880000000001E-3</v>
      </c>
      <c r="AA3570">
        <v>0.99456670000000003</v>
      </c>
      <c r="AB3570">
        <v>38</v>
      </c>
      <c r="AC3570">
        <v>28.485600000000002</v>
      </c>
      <c r="AD3570">
        <v>-1.1095401923570001</v>
      </c>
      <c r="AE3570">
        <v>-2.5664999999999898</v>
      </c>
      <c r="AF3570">
        <v>3.0134483764673798</v>
      </c>
      <c r="AG3570">
        <v>-1.1095401923570001</v>
      </c>
      <c r="AH3570">
        <v>28.398571207868098</v>
      </c>
      <c r="AI3570">
        <v>92.2249456646461</v>
      </c>
      <c r="AJ3570">
        <v>83.942857938519694</v>
      </c>
      <c r="AK3570">
        <v>28.579552081942101</v>
      </c>
      <c r="AL3570">
        <v>80.133720104802507</v>
      </c>
      <c r="AM3570">
        <v>88.427775777002495</v>
      </c>
      <c r="AN3570">
        <v>0.99999995771001804</v>
      </c>
    </row>
    <row r="3571" spans="1:40" x14ac:dyDescent="0.25">
      <c r="A3571" t="str">
        <f>"20190312172440757"</f>
        <v>20190312172440757</v>
      </c>
      <c r="B3571" t="str">
        <f>"1552382680753745"</f>
        <v>1552382680753745</v>
      </c>
      <c r="C3571" t="s">
        <v>40</v>
      </c>
      <c r="D3571">
        <v>3.524559</v>
      </c>
      <c r="E3571">
        <v>0.52897659999999902</v>
      </c>
      <c r="F3571" t="s">
        <v>48</v>
      </c>
      <c r="G3571">
        <v>-282.6232</v>
      </c>
      <c r="H3571" s="1">
        <v>6.2396270000000001E-6</v>
      </c>
      <c r="I3571">
        <v>211.99889999999999</v>
      </c>
      <c r="J3571">
        <v>-311.7269</v>
      </c>
      <c r="K3571">
        <v>1.109542</v>
      </c>
      <c r="L3571">
        <v>214.54900000000001</v>
      </c>
      <c r="M3571">
        <v>0.99983010000000005</v>
      </c>
      <c r="N3571">
        <v>0</v>
      </c>
      <c r="O3571">
        <v>1.583505E-2</v>
      </c>
      <c r="P3571">
        <v>0.98667380000000005</v>
      </c>
      <c r="Q3571">
        <v>0.16232389999999999</v>
      </c>
      <c r="R3571">
        <v>-1.123307E-2</v>
      </c>
      <c r="S3571">
        <v>3.056305</v>
      </c>
      <c r="T3571">
        <v>-0.11508640000000001</v>
      </c>
      <c r="U3571">
        <v>-0.26391599999999998</v>
      </c>
      <c r="V3571">
        <v>2.6874510000000001E-2</v>
      </c>
      <c r="W3571">
        <v>0.17163399999999901</v>
      </c>
      <c r="X3571">
        <v>0.98479410000000001</v>
      </c>
      <c r="Y3571">
        <v>0.10171470000000001</v>
      </c>
      <c r="Z3571">
        <v>-2.5058939999999998E-3</v>
      </c>
      <c r="AA3571">
        <v>0.99481050000000004</v>
      </c>
      <c r="AB3571">
        <v>38</v>
      </c>
      <c r="AC3571">
        <v>29.1037</v>
      </c>
      <c r="AD3571">
        <v>-1.1095357603730001</v>
      </c>
      <c r="AE3571">
        <v>-2.5501000000000098</v>
      </c>
      <c r="AF3571">
        <v>3.0063231833698598</v>
      </c>
      <c r="AG3571">
        <v>-1.1095357603730001</v>
      </c>
      <c r="AH3571">
        <v>29.017814562961998</v>
      </c>
      <c r="AI3571">
        <v>92.178068991001595</v>
      </c>
      <c r="AJ3571">
        <v>84.085106328331094</v>
      </c>
      <c r="AK3571">
        <v>29.194222214281801</v>
      </c>
      <c r="AL3571">
        <v>80.117162573584494</v>
      </c>
      <c r="AM3571">
        <v>88.436816453635004</v>
      </c>
      <c r="AN3571">
        <v>0.99999994431927297</v>
      </c>
    </row>
    <row r="3572" spans="1:40" x14ac:dyDescent="0.25">
      <c r="A3572" t="str">
        <f>"20190312172440782"</f>
        <v>20190312172440782</v>
      </c>
      <c r="B3572" t="str">
        <f>"1552382680774240"</f>
        <v>1552382680774240</v>
      </c>
      <c r="C3572" t="s">
        <v>40</v>
      </c>
      <c r="D3572">
        <v>3.522532</v>
      </c>
      <c r="E3572">
        <v>0.52838409999999902</v>
      </c>
      <c r="F3572" t="s">
        <v>48</v>
      </c>
      <c r="G3572">
        <v>-282.42869999999999</v>
      </c>
      <c r="H3572" s="1">
        <v>6.312666E-6</v>
      </c>
      <c r="I3572">
        <v>212.10990000000001</v>
      </c>
      <c r="J3572">
        <v>-311.30650000000003</v>
      </c>
      <c r="K3572">
        <v>1.1095389999999901</v>
      </c>
      <c r="L3572">
        <v>214.5557</v>
      </c>
      <c r="M3572">
        <v>0.99983040000000001</v>
      </c>
      <c r="N3572">
        <v>0</v>
      </c>
      <c r="O3572">
        <v>1.5806239999999999E-2</v>
      </c>
      <c r="P3572">
        <v>0.98668129999999998</v>
      </c>
      <c r="Q3572">
        <v>0.1622789</v>
      </c>
      <c r="R3572">
        <v>-1.120904E-2</v>
      </c>
      <c r="S3572">
        <v>3.05661</v>
      </c>
      <c r="T3572">
        <v>-0.1157551</v>
      </c>
      <c r="U3572">
        <v>-0.2544708</v>
      </c>
      <c r="V3572">
        <v>2.682234E-2</v>
      </c>
      <c r="W3572">
        <v>0.1715931</v>
      </c>
      <c r="X3572">
        <v>0.98480270000000003</v>
      </c>
      <c r="Y3572">
        <v>9.8626199999999997E-2</v>
      </c>
      <c r="Z3572">
        <v>-2.461066E-3</v>
      </c>
      <c r="AA3572">
        <v>0.99512149999999999</v>
      </c>
      <c r="AB3572">
        <v>38</v>
      </c>
      <c r="AC3572">
        <v>28.877800000000001</v>
      </c>
      <c r="AD3572">
        <v>-1.1095326873339999</v>
      </c>
      <c r="AE3572">
        <v>-2.44579999999999</v>
      </c>
      <c r="AF3572">
        <v>2.8977170440768401</v>
      </c>
      <c r="AG3572">
        <v>-1.1095326873339999</v>
      </c>
      <c r="AH3572">
        <v>28.7933288006931</v>
      </c>
      <c r="AI3572">
        <v>92.195684618481394</v>
      </c>
      <c r="AJ3572">
        <v>84.253188754770505</v>
      </c>
      <c r="AK3572">
        <v>28.960034707793699</v>
      </c>
      <c r="AL3572">
        <v>80.119541755360402</v>
      </c>
      <c r="AM3572">
        <v>88.4398630917985</v>
      </c>
      <c r="AN3572">
        <v>0.99999999390898697</v>
      </c>
    </row>
    <row r="3573" spans="1:40" x14ac:dyDescent="0.25">
      <c r="A3573" t="str">
        <f>"20190312172440803"</f>
        <v>20190312172440803</v>
      </c>
      <c r="B3573" t="str">
        <f>"1552382680793760"</f>
        <v>1552382680793760</v>
      </c>
      <c r="C3573" t="s">
        <v>40</v>
      </c>
      <c r="D3573">
        <v>3.5413749999999999</v>
      </c>
      <c r="E3573">
        <v>0.52794960000000002</v>
      </c>
      <c r="F3573" t="s">
        <v>48</v>
      </c>
      <c r="G3573">
        <v>-282.1386</v>
      </c>
      <c r="H3573" s="1">
        <v>6.4337489999999998E-6</v>
      </c>
      <c r="I3573">
        <v>212.17339999999999</v>
      </c>
      <c r="J3573">
        <v>-310.93329999999997</v>
      </c>
      <c r="K3573">
        <v>1.10954</v>
      </c>
      <c r="L3573">
        <v>214.5616</v>
      </c>
      <c r="M3573">
        <v>0.99983080000000002</v>
      </c>
      <c r="N3573">
        <v>0</v>
      </c>
      <c r="O3573">
        <v>1.5780470000000001E-2</v>
      </c>
      <c r="P3573">
        <v>0.98669229999999997</v>
      </c>
      <c r="Q3573">
        <v>0.1622239</v>
      </c>
      <c r="R3573">
        <v>-1.103989E-2</v>
      </c>
      <c r="S3573">
        <v>3.0567929999999999</v>
      </c>
      <c r="T3573">
        <v>-0.1162791</v>
      </c>
      <c r="U3573">
        <v>-0.24966430000000001</v>
      </c>
      <c r="V3573">
        <v>2.6627890000000001E-2</v>
      </c>
      <c r="W3573">
        <v>0.1715429</v>
      </c>
      <c r="X3573">
        <v>0.98481669999999999</v>
      </c>
      <c r="Y3573">
        <v>9.7041769999999999E-2</v>
      </c>
      <c r="Z3573">
        <v>-2.4411580000000001E-3</v>
      </c>
      <c r="AA3573">
        <v>0.99527730000000003</v>
      </c>
      <c r="AB3573">
        <v>38</v>
      </c>
      <c r="AC3573">
        <v>28.794699999999899</v>
      </c>
      <c r="AD3573">
        <v>-1.109533566251</v>
      </c>
      <c r="AE3573">
        <v>-2.3882000000000101</v>
      </c>
      <c r="AF3573">
        <v>2.8381316461738599</v>
      </c>
      <c r="AG3573">
        <v>-1.109533566251</v>
      </c>
      <c r="AH3573">
        <v>28.7110877879967</v>
      </c>
      <c r="AI3573">
        <v>92.202357861171393</v>
      </c>
      <c r="AJ3573">
        <v>84.354571758503695</v>
      </c>
      <c r="AK3573">
        <v>28.872350405633799</v>
      </c>
      <c r="AL3573">
        <v>80.122461073358906</v>
      </c>
      <c r="AM3573">
        <v>88.451189866437105</v>
      </c>
      <c r="AN3573">
        <v>0.99999997183257505</v>
      </c>
    </row>
    <row r="3574" spans="1:40" x14ac:dyDescent="0.25">
      <c r="A3574" t="str">
        <f>"20190312172440826"</f>
        <v>20190312172440826</v>
      </c>
      <c r="B3574" t="str">
        <f>"1552382680824016"</f>
        <v>1552382680824016</v>
      </c>
      <c r="C3574" t="s">
        <v>40</v>
      </c>
      <c r="D3574">
        <v>3.5414979999999998</v>
      </c>
      <c r="E3574">
        <v>0.5273909</v>
      </c>
      <c r="F3574" t="s">
        <v>48</v>
      </c>
      <c r="G3574">
        <v>-281.8032</v>
      </c>
      <c r="H3574" s="1">
        <v>6.5768019999999999E-6</v>
      </c>
      <c r="I3574">
        <v>212.22110000000001</v>
      </c>
      <c r="J3574">
        <v>-310.53629999999998</v>
      </c>
      <c r="K3574">
        <v>1.10954</v>
      </c>
      <c r="L3574">
        <v>214.56780000000001</v>
      </c>
      <c r="M3574">
        <v>0.99983129999999998</v>
      </c>
      <c r="N3574">
        <v>0</v>
      </c>
      <c r="O3574">
        <v>1.5753030000000001E-2</v>
      </c>
      <c r="P3574">
        <v>0.98669830000000003</v>
      </c>
      <c r="Q3574">
        <v>0.16219909999999901</v>
      </c>
      <c r="R3574">
        <v>-1.086812E-2</v>
      </c>
      <c r="S3574">
        <v>3.056854</v>
      </c>
      <c r="T3574">
        <v>-0.1164322</v>
      </c>
      <c r="U3574">
        <v>-0.2456055</v>
      </c>
      <c r="V3574">
        <v>2.642922E-2</v>
      </c>
      <c r="W3574">
        <v>0.17152310000000001</v>
      </c>
      <c r="X3574">
        <v>0.98482559999999997</v>
      </c>
      <c r="Y3574">
        <v>9.5700610000000005E-2</v>
      </c>
      <c r="Z3574">
        <v>-2.4179140000000002E-3</v>
      </c>
      <c r="AA3574">
        <v>0.99540720000000005</v>
      </c>
      <c r="AB3574">
        <v>39</v>
      </c>
      <c r="AC3574">
        <v>28.733099999999901</v>
      </c>
      <c r="AD3574">
        <v>-1.1095334231980001</v>
      </c>
      <c r="AE3574">
        <v>-2.34669999999999</v>
      </c>
      <c r="AF3574">
        <v>2.7949223776958401</v>
      </c>
      <c r="AG3574">
        <v>-1.1095334231980001</v>
      </c>
      <c r="AH3574">
        <v>28.650126986252801</v>
      </c>
      <c r="AI3574">
        <v>92.207317396793698</v>
      </c>
      <c r="AJ3574">
        <v>84.428222091463496</v>
      </c>
      <c r="AK3574">
        <v>28.807506519012499</v>
      </c>
      <c r="AL3574">
        <v>80.123613576135</v>
      </c>
      <c r="AM3574">
        <v>88.4627538189565</v>
      </c>
      <c r="AN3574">
        <v>1.0000000699593801</v>
      </c>
    </row>
    <row r="3575" spans="1:40" x14ac:dyDescent="0.25">
      <c r="A3575" t="str">
        <f>"20190312172440849"</f>
        <v>20190312172440849</v>
      </c>
      <c r="B3575" t="str">
        <f>"1552382680843536"</f>
        <v>1552382680843536</v>
      </c>
      <c r="C3575" t="s">
        <v>40</v>
      </c>
      <c r="D3575">
        <v>3.5246300000000002</v>
      </c>
      <c r="E3575">
        <v>0.52709899999999998</v>
      </c>
      <c r="F3575" t="s">
        <v>48</v>
      </c>
      <c r="G3575">
        <v>-281.42649999999998</v>
      </c>
      <c r="H3575" s="1">
        <v>6.7371310000000001E-6</v>
      </c>
      <c r="I3575">
        <v>212.2775</v>
      </c>
      <c r="J3575">
        <v>-310.149</v>
      </c>
      <c r="K3575">
        <v>1.1095389999999901</v>
      </c>
      <c r="L3575">
        <v>214.57390000000001</v>
      </c>
      <c r="M3575">
        <v>0.99983149999999998</v>
      </c>
      <c r="N3575">
        <v>0</v>
      </c>
      <c r="O3575">
        <v>1.57266E-2</v>
      </c>
      <c r="P3575">
        <v>0.98676920000000001</v>
      </c>
      <c r="Q3575">
        <v>0.16175619999999999</v>
      </c>
      <c r="R3575">
        <v>-1.103644E-2</v>
      </c>
      <c r="S3575">
        <v>3.0569459999999999</v>
      </c>
      <c r="T3575">
        <v>-0.11651690000000001</v>
      </c>
      <c r="U3575">
        <v>-0.240509</v>
      </c>
      <c r="V3575">
        <v>2.6572350000000002E-2</v>
      </c>
      <c r="W3575">
        <v>0.17108579999999901</v>
      </c>
      <c r="X3575">
        <v>0.98489769999999999</v>
      </c>
      <c r="Y3575">
        <v>9.4023809999999999E-2</v>
      </c>
      <c r="Z3575">
        <v>-2.386857E-3</v>
      </c>
      <c r="AA3575">
        <v>0.99556710000000004</v>
      </c>
      <c r="AB3575">
        <v>39</v>
      </c>
      <c r="AC3575">
        <v>28.7225</v>
      </c>
      <c r="AD3575">
        <v>-1.1095322628690001</v>
      </c>
      <c r="AE3575">
        <v>-2.2964000000000002</v>
      </c>
      <c r="AF3575">
        <v>2.7437751595134201</v>
      </c>
      <c r="AG3575">
        <v>-1.1095322628690001</v>
      </c>
      <c r="AH3575">
        <v>28.640364848697399</v>
      </c>
      <c r="AI3575">
        <v>92.208437039944698</v>
      </c>
      <c r="AJ3575">
        <v>84.527708368460793</v>
      </c>
      <c r="AK3575">
        <v>28.792878679194502</v>
      </c>
      <c r="AL3575">
        <v>80.149043848841004</v>
      </c>
      <c r="AM3575">
        <v>88.454545829806094</v>
      </c>
      <c r="AN3575">
        <v>0.99999996010572501</v>
      </c>
    </row>
    <row r="3576" spans="1:40" x14ac:dyDescent="0.25">
      <c r="A3576" t="str">
        <f>"20190312172440870"</f>
        <v>20190312172440870</v>
      </c>
      <c r="B3576" t="str">
        <f>"1552382680864032"</f>
        <v>1552382680864032</v>
      </c>
      <c r="C3576" t="s">
        <v>40</v>
      </c>
      <c r="D3576">
        <v>3.540629</v>
      </c>
      <c r="E3576">
        <v>0.52692969999999995</v>
      </c>
      <c r="F3576" t="s">
        <v>48</v>
      </c>
      <c r="G3576">
        <v>-281.4375</v>
      </c>
      <c r="H3576" s="1">
        <v>6.7260529999999996E-6</v>
      </c>
      <c r="I3576">
        <v>212.32929999999999</v>
      </c>
      <c r="J3576">
        <v>-309.77010000000001</v>
      </c>
      <c r="K3576">
        <v>1.1095330000000001</v>
      </c>
      <c r="L3576">
        <v>214.57980000000001</v>
      </c>
      <c r="M3576">
        <v>0.99983200000000005</v>
      </c>
      <c r="N3576">
        <v>0</v>
      </c>
      <c r="O3576">
        <v>1.5700639999999998E-2</v>
      </c>
      <c r="P3576">
        <v>0.98680460000000003</v>
      </c>
      <c r="Q3576">
        <v>0.1615519</v>
      </c>
      <c r="R3576">
        <v>-1.0856940000000001E-2</v>
      </c>
      <c r="S3576">
        <v>3.056915</v>
      </c>
      <c r="T3576">
        <v>-0.1181321</v>
      </c>
      <c r="U3576">
        <v>-0.23898320000000001</v>
      </c>
      <c r="V3576">
        <v>2.6368039999999999E-2</v>
      </c>
      <c r="W3576">
        <v>0.1708875</v>
      </c>
      <c r="X3576">
        <v>0.98493770000000003</v>
      </c>
      <c r="Y3576">
        <v>9.3503009999999998E-2</v>
      </c>
      <c r="Z3576">
        <v>-2.408945E-3</v>
      </c>
      <c r="AA3576">
        <v>0.9956161</v>
      </c>
      <c r="AB3576">
        <v>39</v>
      </c>
      <c r="AC3576">
        <v>28.332599999999999</v>
      </c>
      <c r="AD3576">
        <v>-1.109526273947</v>
      </c>
      <c r="AE3576">
        <v>-2.2505000000000099</v>
      </c>
      <c r="AF3576">
        <v>2.69098150273412</v>
      </c>
      <c r="AG3576">
        <v>-1.109526273947</v>
      </c>
      <c r="AH3576">
        <v>28.250718773386499</v>
      </c>
      <c r="AI3576">
        <v>92.238969800974104</v>
      </c>
      <c r="AJ3576">
        <v>84.5587899356279</v>
      </c>
      <c r="AK3576">
        <v>28.400273611597601</v>
      </c>
      <c r="AL3576">
        <v>80.160576238088396</v>
      </c>
      <c r="AM3576">
        <v>88.466485102768402</v>
      </c>
      <c r="AN3576">
        <v>1.00000004203549</v>
      </c>
    </row>
    <row r="3577" spans="1:40" x14ac:dyDescent="0.25">
      <c r="A3577" t="str">
        <f>"20190312172440893"</f>
        <v>20190312172440893</v>
      </c>
      <c r="B3577" t="str">
        <f>"1552382680883556"</f>
        <v>1552382680883556</v>
      </c>
      <c r="C3577" t="s">
        <v>40</v>
      </c>
      <c r="D3577">
        <v>3.5398830000000001</v>
      </c>
      <c r="E3577">
        <v>0.52681739999999999</v>
      </c>
      <c r="F3577" t="s">
        <v>48</v>
      </c>
      <c r="G3577">
        <v>-281.17169999999999</v>
      </c>
      <c r="H3577" s="1">
        <v>6.8405080000000002E-6</v>
      </c>
      <c r="I3577">
        <v>212.35820000000001</v>
      </c>
      <c r="J3577">
        <v>-309.38170000000002</v>
      </c>
      <c r="K3577">
        <v>1.1095330000000001</v>
      </c>
      <c r="L3577">
        <v>214.58590000000001</v>
      </c>
      <c r="M3577">
        <v>0.99983230000000001</v>
      </c>
      <c r="N3577">
        <v>0</v>
      </c>
      <c r="O3577">
        <v>1.5673969999999999E-2</v>
      </c>
      <c r="P3577">
        <v>0.98675579999999996</v>
      </c>
      <c r="Q3577">
        <v>0.1618376</v>
      </c>
      <c r="R3577">
        <v>-1.103779E-2</v>
      </c>
      <c r="S3577">
        <v>3.0568849999999999</v>
      </c>
      <c r="T3577">
        <v>-0.11859749999999999</v>
      </c>
      <c r="U3577">
        <v>-0.2374725</v>
      </c>
      <c r="V3577">
        <v>2.6521889999999999E-2</v>
      </c>
      <c r="W3577">
        <v>0.17117879999999999</v>
      </c>
      <c r="X3577">
        <v>0.98488299999999995</v>
      </c>
      <c r="Y3577">
        <v>9.2987929999999996E-2</v>
      </c>
      <c r="Z3577">
        <v>-2.4074919999999998E-3</v>
      </c>
      <c r="AA3577">
        <v>0.99566429999999995</v>
      </c>
      <c r="AB3577">
        <v>39</v>
      </c>
      <c r="AC3577">
        <v>28.21</v>
      </c>
      <c r="AD3577">
        <v>-1.1095261594920001</v>
      </c>
      <c r="AE3577">
        <v>-2.2276999999999898</v>
      </c>
      <c r="AF3577">
        <v>2.66551105250704</v>
      </c>
      <c r="AG3577">
        <v>-1.1095261594920001</v>
      </c>
      <c r="AH3577">
        <v>28.128372997994202</v>
      </c>
      <c r="AI3577">
        <v>92.248802003750598</v>
      </c>
      <c r="AJ3577">
        <v>84.586681699572495</v>
      </c>
      <c r="AK3577">
        <v>28.276162486870899</v>
      </c>
      <c r="AL3577">
        <v>80.143636532391199</v>
      </c>
      <c r="AM3577">
        <v>88.457456164169301</v>
      </c>
      <c r="AN3577">
        <v>1.0000000579538</v>
      </c>
    </row>
    <row r="3578" spans="1:40" x14ac:dyDescent="0.25">
      <c r="A3578" t="str">
        <f>"20190312172440915"</f>
        <v>20190312172440915</v>
      </c>
      <c r="B3578" t="str">
        <f>"1552382680904048"</f>
        <v>1552382680904048</v>
      </c>
      <c r="C3578" t="s">
        <v>40</v>
      </c>
      <c r="D3578">
        <v>3.5409799999999998</v>
      </c>
      <c r="E3578">
        <v>0.52676610000000001</v>
      </c>
      <c r="F3578" t="s">
        <v>48</v>
      </c>
      <c r="G3578">
        <v>-280.58949999999999</v>
      </c>
      <c r="H3578" s="1">
        <v>7.0991809999999901E-6</v>
      </c>
      <c r="I3578">
        <v>212.35400000000001</v>
      </c>
      <c r="J3578">
        <v>-309.00029999999998</v>
      </c>
      <c r="K3578">
        <v>1.109531</v>
      </c>
      <c r="L3578">
        <v>214.59190000000001</v>
      </c>
      <c r="M3578">
        <v>0.99983259999999996</v>
      </c>
      <c r="N3578">
        <v>0</v>
      </c>
      <c r="O3578">
        <v>1.5647890000000001E-2</v>
      </c>
      <c r="P3578">
        <v>0.98677769999999998</v>
      </c>
      <c r="Q3578">
        <v>0.16173129999999999</v>
      </c>
      <c r="R3578">
        <v>-1.0617959999999999E-2</v>
      </c>
      <c r="S3578">
        <v>3.0569459999999999</v>
      </c>
      <c r="T3578">
        <v>-0.1178014</v>
      </c>
      <c r="U3578">
        <v>-0.23696900000000001</v>
      </c>
      <c r="V3578">
        <v>2.6076749999999999E-2</v>
      </c>
      <c r="W3578">
        <v>0.17107820000000001</v>
      </c>
      <c r="X3578">
        <v>0.98491229999999996</v>
      </c>
      <c r="Y3578">
        <v>9.2798640000000002E-2</v>
      </c>
      <c r="Z3578">
        <v>-2.3866669999999999E-3</v>
      </c>
      <c r="AA3578">
        <v>0.99568210000000001</v>
      </c>
      <c r="AB3578">
        <v>39</v>
      </c>
      <c r="AC3578">
        <v>28.410799999999899</v>
      </c>
      <c r="AD3578">
        <v>-1.1095239008190001</v>
      </c>
      <c r="AE3578">
        <v>-2.23789999999999</v>
      </c>
      <c r="AF3578">
        <v>2.6781556932704098</v>
      </c>
      <c r="AG3578">
        <v>-1.1095239008190001</v>
      </c>
      <c r="AH3578">
        <v>28.329361712422799</v>
      </c>
      <c r="AI3578">
        <v>92.232906346995605</v>
      </c>
      <c r="AJ3578">
        <v>84.599513746680103</v>
      </c>
      <c r="AK3578">
        <v>28.4772943981196</v>
      </c>
      <c r="AL3578">
        <v>80.149486140487497</v>
      </c>
      <c r="AM3578">
        <v>88.483378924522199</v>
      </c>
      <c r="AN3578">
        <v>0.99999999304854603</v>
      </c>
    </row>
    <row r="3579" spans="1:40" x14ac:dyDescent="0.25">
      <c r="A3579" t="str">
        <f>"20190312172440937"</f>
        <v>20190312172440937</v>
      </c>
      <c r="B3579" t="str">
        <f>"1552382680934305"</f>
        <v>1552382680934305</v>
      </c>
      <c r="C3579" t="s">
        <v>40</v>
      </c>
      <c r="D3579">
        <v>3.5739489999999998</v>
      </c>
      <c r="E3579">
        <v>0.52666969999999902</v>
      </c>
      <c r="F3579" t="s">
        <v>48</v>
      </c>
      <c r="G3579">
        <v>-280.26170000000002</v>
      </c>
      <c r="H3579" s="1">
        <v>7.2417319999999997E-6</v>
      </c>
      <c r="I3579">
        <v>212.3775</v>
      </c>
      <c r="J3579">
        <v>-308.62020000000001</v>
      </c>
      <c r="K3579">
        <v>1.109532</v>
      </c>
      <c r="L3579">
        <v>214.59780000000001</v>
      </c>
      <c r="M3579">
        <v>0.99983299999999997</v>
      </c>
      <c r="N3579">
        <v>0</v>
      </c>
      <c r="O3579">
        <v>1.5621579999999999E-2</v>
      </c>
      <c r="P3579">
        <v>0.98684780000000005</v>
      </c>
      <c r="Q3579">
        <v>0.16130429999999901</v>
      </c>
      <c r="R3579">
        <v>-1.059533E-2</v>
      </c>
      <c r="S3579">
        <v>3.057007</v>
      </c>
      <c r="T3579">
        <v>-0.1180234</v>
      </c>
      <c r="U3579">
        <v>-0.23554990000000001</v>
      </c>
      <c r="V3579">
        <v>2.6029389999999999E-2</v>
      </c>
      <c r="W3579">
        <v>0.1706587</v>
      </c>
      <c r="X3579">
        <v>0.98498640000000004</v>
      </c>
      <c r="Y3579">
        <v>9.2311519999999994E-2</v>
      </c>
      <c r="Z3579">
        <v>-2.380755E-3</v>
      </c>
      <c r="AA3579">
        <v>0.99572729999999998</v>
      </c>
      <c r="AB3579">
        <v>39</v>
      </c>
      <c r="AC3579">
        <v>28.3584999999999</v>
      </c>
      <c r="AD3579">
        <v>-1.1095247582679999</v>
      </c>
      <c r="AE3579">
        <v>-2.2202999999999999</v>
      </c>
      <c r="AF3579">
        <v>2.6590080364016999</v>
      </c>
      <c r="AG3579">
        <v>-1.1095247582679999</v>
      </c>
      <c r="AH3579">
        <v>28.2773309863754</v>
      </c>
      <c r="AI3579">
        <v>92.237117577284394</v>
      </c>
      <c r="AJ3579">
        <v>84.628090352822795</v>
      </c>
      <c r="AK3579">
        <v>28.4237368521433</v>
      </c>
      <c r="AL3579">
        <v>80.173881177083004</v>
      </c>
      <c r="AM3579">
        <v>88.486245928744594</v>
      </c>
      <c r="AN3579">
        <v>1.0000000646072</v>
      </c>
    </row>
    <row r="3580" spans="1:40" x14ac:dyDescent="0.25">
      <c r="A3580" t="str">
        <f>"20190312172440960"</f>
        <v>20190312172440960</v>
      </c>
      <c r="B3580" t="str">
        <f>"1552382680953825"</f>
        <v>1552382680953825</v>
      </c>
      <c r="C3580" t="s">
        <v>40</v>
      </c>
      <c r="D3580">
        <v>3.6093160000000002</v>
      </c>
      <c r="E3580">
        <v>0.52661630000000004</v>
      </c>
      <c r="F3580" t="s">
        <v>48</v>
      </c>
      <c r="G3580">
        <v>-280.2645</v>
      </c>
      <c r="H3580" s="1">
        <v>7.2352989999999998E-6</v>
      </c>
      <c r="I3580">
        <v>212.4212</v>
      </c>
      <c r="J3580">
        <v>-308.21949999999998</v>
      </c>
      <c r="K3580">
        <v>1.1095280000000001</v>
      </c>
      <c r="L3580">
        <v>214.60400000000001</v>
      </c>
      <c r="M3580">
        <v>0.99983339999999998</v>
      </c>
      <c r="N3580">
        <v>0</v>
      </c>
      <c r="O3580">
        <v>1.559412E-2</v>
      </c>
      <c r="P3580">
        <v>0.98682369999999997</v>
      </c>
      <c r="Q3580">
        <v>0.16145019999999999</v>
      </c>
      <c r="R3580">
        <v>-1.063713E-2</v>
      </c>
      <c r="S3580">
        <v>3.057007</v>
      </c>
      <c r="T3580">
        <v>-0.119617</v>
      </c>
      <c r="U3580">
        <v>-0.23464969999999999</v>
      </c>
      <c r="V3580">
        <v>2.6043509999999999E-2</v>
      </c>
      <c r="W3580">
        <v>0.1708114</v>
      </c>
      <c r="X3580">
        <v>0.98495949999999999</v>
      </c>
      <c r="Y3580">
        <v>9.1990769999999999E-2</v>
      </c>
      <c r="Z3580">
        <v>-2.4055679999999999E-3</v>
      </c>
      <c r="AA3580">
        <v>0.995757</v>
      </c>
      <c r="AB3580">
        <v>39</v>
      </c>
      <c r="AC3580">
        <v>27.954999999999899</v>
      </c>
      <c r="AD3580">
        <v>-1.1095207647009999</v>
      </c>
      <c r="AE3580">
        <v>-2.1828000000000101</v>
      </c>
      <c r="AF3580">
        <v>2.6143944085977102</v>
      </c>
      <c r="AG3580">
        <v>-1.1095207647009999</v>
      </c>
      <c r="AH3580">
        <v>27.873917563942499</v>
      </c>
      <c r="AI3580">
        <v>92.269503715833693</v>
      </c>
      <c r="AJ3580">
        <v>84.6416999925205</v>
      </c>
      <c r="AK3580">
        <v>28.018232899533</v>
      </c>
      <c r="AL3580">
        <v>80.165001169932495</v>
      </c>
      <c r="AM3580">
        <v>88.485383809507894</v>
      </c>
      <c r="AN3580">
        <v>1.00000000771166</v>
      </c>
    </row>
    <row r="3581" spans="1:40" x14ac:dyDescent="0.25">
      <c r="A3581" t="str">
        <f>"20190312172440985"</f>
        <v>20190312172440985</v>
      </c>
      <c r="B3581" t="str">
        <f>"1552382680974321"</f>
        <v>1552382680974321</v>
      </c>
      <c r="C3581" t="s">
        <v>40</v>
      </c>
      <c r="D3581">
        <v>3.5627520000000001</v>
      </c>
      <c r="E3581">
        <v>0.52656159999999996</v>
      </c>
      <c r="F3581" t="s">
        <v>47</v>
      </c>
      <c r="G3581">
        <v>-279.75020000000001</v>
      </c>
      <c r="H3581" s="1">
        <v>3.7477499999999998E-6</v>
      </c>
      <c r="I3581">
        <v>212.4211</v>
      </c>
      <c r="J3581">
        <v>-307.80720000000002</v>
      </c>
      <c r="K3581">
        <v>1.109526</v>
      </c>
      <c r="L3581">
        <v>214.6104</v>
      </c>
      <c r="M3581">
        <v>0.99983379999999999</v>
      </c>
      <c r="N3581">
        <v>0</v>
      </c>
      <c r="O3581">
        <v>1.5566129999999999E-2</v>
      </c>
      <c r="P3581">
        <v>0.98681640000000004</v>
      </c>
      <c r="Q3581">
        <v>0.16149059999999901</v>
      </c>
      <c r="R3581">
        <v>-1.069374E-2</v>
      </c>
      <c r="S3581">
        <v>3.0570680000000001</v>
      </c>
      <c r="T3581">
        <v>-0.11914230000000001</v>
      </c>
      <c r="U3581">
        <v>-0.23440549999999999</v>
      </c>
      <c r="V3581">
        <v>2.6072600000000001E-2</v>
      </c>
      <c r="W3581">
        <v>0.17085839999999999</v>
      </c>
      <c r="X3581">
        <v>0.98495060000000001</v>
      </c>
      <c r="Y3581">
        <v>9.1883069999999997E-2</v>
      </c>
      <c r="Z3581">
        <v>-2.3928040000000001E-3</v>
      </c>
      <c r="AA3581">
        <v>0.99576690000000001</v>
      </c>
      <c r="AB3581">
        <v>39</v>
      </c>
      <c r="AC3581">
        <v>28.056999999999999</v>
      </c>
      <c r="AD3581">
        <v>-1.1095222522499999</v>
      </c>
      <c r="AE3581">
        <v>-2.1892999999999998</v>
      </c>
      <c r="AF3581">
        <v>2.6217181908431701</v>
      </c>
      <c r="AG3581">
        <v>-1.1095222522499999</v>
      </c>
      <c r="AH3581">
        <v>27.976034861031401</v>
      </c>
      <c r="AI3581">
        <v>92.261248199165806</v>
      </c>
      <c r="AJ3581">
        <v>84.646276365319494</v>
      </c>
      <c r="AK3581">
        <v>28.120508040326701</v>
      </c>
      <c r="AL3581">
        <v>80.162268301480296</v>
      </c>
      <c r="AM3581">
        <v>88.483679112594004</v>
      </c>
      <c r="AN3581">
        <v>1.0000000288808299</v>
      </c>
    </row>
    <row r="3582" spans="1:40" x14ac:dyDescent="0.25">
      <c r="A3582" t="str">
        <f>"20190312172441005"</f>
        <v>20190312172441005</v>
      </c>
      <c r="B3582" t="str">
        <f>"1552382680993840"</f>
        <v>1552382680993840</v>
      </c>
      <c r="C3582" t="s">
        <v>40</v>
      </c>
      <c r="D3582">
        <v>3.5837870000000001</v>
      </c>
      <c r="E3582">
        <v>0.52655209999999997</v>
      </c>
      <c r="F3582" t="s">
        <v>47</v>
      </c>
      <c r="G3582">
        <v>-279.4237</v>
      </c>
      <c r="H3582" s="1">
        <v>3.57328E-6</v>
      </c>
      <c r="I3582">
        <v>212.43770000000001</v>
      </c>
      <c r="J3582">
        <v>-307.43680000000001</v>
      </c>
      <c r="K3582">
        <v>1.1095219999999999</v>
      </c>
      <c r="L3582">
        <v>214.61619999999999</v>
      </c>
      <c r="M3582">
        <v>0.99983409999999995</v>
      </c>
      <c r="N3582">
        <v>0</v>
      </c>
      <c r="O3582">
        <v>1.554053E-2</v>
      </c>
      <c r="P3582">
        <v>0.98677130000000002</v>
      </c>
      <c r="Q3582">
        <v>0.16173390000000001</v>
      </c>
      <c r="R3582">
        <v>-1.117902E-2</v>
      </c>
      <c r="S3582">
        <v>3.057159</v>
      </c>
      <c r="T3582">
        <v>-0.1195056</v>
      </c>
      <c r="U3582">
        <v>-0.23402400000000001</v>
      </c>
      <c r="V3582">
        <v>2.6531740000000002E-2</v>
      </c>
      <c r="W3582">
        <v>0.17110829999999999</v>
      </c>
      <c r="X3582">
        <v>0.98489490000000002</v>
      </c>
      <c r="Y3582">
        <v>9.1731419999999994E-2</v>
      </c>
      <c r="Z3582">
        <v>-2.3960779999999998E-3</v>
      </c>
      <c r="AA3582">
        <v>0.99578089999999997</v>
      </c>
      <c r="AB3582">
        <v>39</v>
      </c>
      <c r="AC3582">
        <v>28.013100000000001</v>
      </c>
      <c r="AD3582">
        <v>-1.10951842672</v>
      </c>
      <c r="AE3582">
        <v>-2.1784999999999801</v>
      </c>
      <c r="AF3582">
        <v>2.6095259486615201</v>
      </c>
      <c r="AG3582">
        <v>-1.10951842672</v>
      </c>
      <c r="AH3582">
        <v>27.932305536337498</v>
      </c>
      <c r="AI3582">
        <v>92.264837616487895</v>
      </c>
      <c r="AJ3582">
        <v>84.662735462422702</v>
      </c>
      <c r="AK3582">
        <v>28.0758677406644</v>
      </c>
      <c r="AL3582">
        <v>80.147735535868904</v>
      </c>
      <c r="AM3582">
        <v>88.456902189404602</v>
      </c>
      <c r="AN3582">
        <v>0.99999997380116301</v>
      </c>
    </row>
    <row r="3583" spans="1:40" x14ac:dyDescent="0.25">
      <c r="A3583" t="str">
        <f>"20190312172441028"</f>
        <v>20190312172441028</v>
      </c>
      <c r="B3583" t="str">
        <f>"1552382681024097"</f>
        <v>1552382681024097</v>
      </c>
      <c r="C3583" t="s">
        <v>40</v>
      </c>
      <c r="D3583">
        <v>3.5746950000000002</v>
      </c>
      <c r="E3583">
        <v>0.52650079999999999</v>
      </c>
      <c r="F3583" t="s">
        <v>47</v>
      </c>
      <c r="G3583">
        <v>-279.03370000000001</v>
      </c>
      <c r="H3583" s="1">
        <v>3.365816E-6</v>
      </c>
      <c r="I3583">
        <v>212.43530000000001</v>
      </c>
      <c r="J3583">
        <v>-307.04880000000003</v>
      </c>
      <c r="K3583">
        <v>1.1095189999999999</v>
      </c>
      <c r="L3583">
        <v>214.62219999999999</v>
      </c>
      <c r="M3583">
        <v>0.99983440000000001</v>
      </c>
      <c r="N3583">
        <v>0</v>
      </c>
      <c r="O3583">
        <v>1.5514210000000001E-2</v>
      </c>
      <c r="P3583">
        <v>0.98676750000000002</v>
      </c>
      <c r="Q3583">
        <v>0.16174179999999999</v>
      </c>
      <c r="R3583">
        <v>-1.1391139999999999E-2</v>
      </c>
      <c r="S3583">
        <v>3.057159</v>
      </c>
      <c r="T3583">
        <v>-0.1194226</v>
      </c>
      <c r="U3583">
        <v>-0.23474120000000001</v>
      </c>
      <c r="V3583">
        <v>2.671782E-2</v>
      </c>
      <c r="W3583">
        <v>0.17112289999999999</v>
      </c>
      <c r="X3583">
        <v>0.98488739999999997</v>
      </c>
      <c r="Y3583">
        <v>9.1937420000000006E-2</v>
      </c>
      <c r="Z3583">
        <v>-2.397382E-3</v>
      </c>
      <c r="AA3583">
        <v>0.99576189999999998</v>
      </c>
      <c r="AB3583">
        <v>39</v>
      </c>
      <c r="AC3583">
        <v>28.0151</v>
      </c>
      <c r="AD3583">
        <v>-1.109515634184</v>
      </c>
      <c r="AE3583">
        <v>-2.1868999999999801</v>
      </c>
      <c r="AF3583">
        <v>2.6172083770869898</v>
      </c>
      <c r="AG3583">
        <v>-1.109515634184</v>
      </c>
      <c r="AH3583">
        <v>27.934249150075601</v>
      </c>
      <c r="AI3583">
        <v>92.264618163540703</v>
      </c>
      <c r="AJ3583">
        <v>84.647484008230094</v>
      </c>
      <c r="AK3583">
        <v>28.078516346311702</v>
      </c>
      <c r="AL3583">
        <v>80.146887151152896</v>
      </c>
      <c r="AM3583">
        <v>88.446073154079897</v>
      </c>
      <c r="AN3583">
        <v>1.00000003974436</v>
      </c>
    </row>
    <row r="3584" spans="1:40" x14ac:dyDescent="0.25">
      <c r="A3584" t="str">
        <f>"20190312172441050"</f>
        <v>20190312172441050</v>
      </c>
      <c r="B3584" t="str">
        <f>"1552382681043617"</f>
        <v>1552382681043617</v>
      </c>
      <c r="C3584" t="s">
        <v>40</v>
      </c>
      <c r="D3584">
        <v>3.5425849999999999</v>
      </c>
      <c r="E3584">
        <v>0.50387190000000004</v>
      </c>
      <c r="F3584" t="s">
        <v>47</v>
      </c>
      <c r="G3584">
        <v>-278.70389999999998</v>
      </c>
      <c r="H3584" s="1">
        <v>3.1901900000000001E-6</v>
      </c>
      <c r="I3584">
        <v>212.4384</v>
      </c>
      <c r="J3584">
        <v>-306.65260000000001</v>
      </c>
      <c r="K3584">
        <v>1.1095189999999999</v>
      </c>
      <c r="L3584">
        <v>214.6283</v>
      </c>
      <c r="M3584">
        <v>0.99983480000000002</v>
      </c>
      <c r="N3584">
        <v>0</v>
      </c>
      <c r="O3584">
        <v>1.5487229999999999E-2</v>
      </c>
      <c r="P3584">
        <v>0.98675489999999999</v>
      </c>
      <c r="Q3584">
        <v>0.16178519999999999</v>
      </c>
      <c r="R3584">
        <v>-1.185635E-2</v>
      </c>
      <c r="S3584">
        <v>3.0571290000000002</v>
      </c>
      <c r="T3584">
        <v>-0.1196665</v>
      </c>
      <c r="U3584">
        <v>-0.23553470000000001</v>
      </c>
      <c r="V3584">
        <v>2.7156429999999999E-2</v>
      </c>
      <c r="W3584">
        <v>0.17117360000000001</v>
      </c>
      <c r="X3584">
        <v>0.98486660000000004</v>
      </c>
      <c r="Y3584">
        <v>9.2167719999999995E-2</v>
      </c>
      <c r="Z3584">
        <v>-2.4057190000000002E-3</v>
      </c>
      <c r="AA3584">
        <v>0.99574059999999998</v>
      </c>
      <c r="AB3584">
        <v>39</v>
      </c>
      <c r="AC3584">
        <v>27.948699999999999</v>
      </c>
      <c r="AD3584">
        <v>-1.10951580981</v>
      </c>
      <c r="AE3584">
        <v>-2.18989999999999</v>
      </c>
      <c r="AF3584">
        <v>2.6184035625806001</v>
      </c>
      <c r="AG3584">
        <v>-1.10951580981</v>
      </c>
      <c r="AH3584">
        <v>27.867780291382399</v>
      </c>
      <c r="AI3584">
        <v>92.269958159320495</v>
      </c>
      <c r="AJ3584">
        <v>84.632356069729795</v>
      </c>
      <c r="AK3584">
        <v>28.012501511245102</v>
      </c>
      <c r="AL3584">
        <v>80.143938818842301</v>
      </c>
      <c r="AM3584">
        <v>88.420542770865495</v>
      </c>
      <c r="AN3584">
        <v>1.00000004641143</v>
      </c>
    </row>
    <row r="3585" spans="1:40" x14ac:dyDescent="0.25">
      <c r="A3585" t="str">
        <f>"20190312172441071"</f>
        <v>20190312172441071</v>
      </c>
      <c r="B3585" t="str">
        <f>"1552382681064112"</f>
        <v>1552382681064112</v>
      </c>
      <c r="C3585" t="s">
        <v>40</v>
      </c>
      <c r="D3585">
        <v>3.533792</v>
      </c>
      <c r="E3585">
        <v>0.50157719999999995</v>
      </c>
      <c r="F3585" t="s">
        <v>47</v>
      </c>
      <c r="G3585">
        <v>-276.64780000000002</v>
      </c>
      <c r="H3585" s="1">
        <v>2.0245700000000001E-6</v>
      </c>
      <c r="I3585">
        <v>214.07390000000001</v>
      </c>
      <c r="J3585">
        <v>-306.26490000000001</v>
      </c>
      <c r="K3585">
        <v>1.109521</v>
      </c>
      <c r="L3585">
        <v>214.6343</v>
      </c>
      <c r="M3585">
        <v>0.99983500000000003</v>
      </c>
      <c r="N3585">
        <v>0</v>
      </c>
      <c r="O3585">
        <v>1.5460969999999999E-2</v>
      </c>
      <c r="P3585">
        <v>0.98676090000000005</v>
      </c>
      <c r="Q3585">
        <v>0.16173409999999999</v>
      </c>
      <c r="R3585">
        <v>-1.204153E-2</v>
      </c>
      <c r="S3585">
        <v>3.0581360000000002</v>
      </c>
      <c r="T3585">
        <v>-0.113084</v>
      </c>
      <c r="U3585">
        <v>-5.6503299999999999E-2</v>
      </c>
      <c r="V3585">
        <v>2.7315740000000002E-2</v>
      </c>
      <c r="W3585">
        <v>0.1711299</v>
      </c>
      <c r="X3585">
        <v>0.98486969999999996</v>
      </c>
      <c r="Y3585">
        <v>3.3896330000000002E-2</v>
      </c>
      <c r="Z3585">
        <v>-1.197945E-3</v>
      </c>
      <c r="AA3585">
        <v>0.9994246</v>
      </c>
      <c r="AB3585">
        <v>39</v>
      </c>
      <c r="AC3585">
        <v>29.617099999999901</v>
      </c>
      <c r="AD3585">
        <v>-1.1095189754300001</v>
      </c>
      <c r="AE3585">
        <v>-0.56039999999998702</v>
      </c>
      <c r="AF3585">
        <v>1.01683639845711</v>
      </c>
      <c r="AG3585">
        <v>-1.1095189754300001</v>
      </c>
      <c r="AH3585">
        <v>29.563420150468399</v>
      </c>
      <c r="AI3585">
        <v>92.148040250593297</v>
      </c>
      <c r="AJ3585">
        <v>88.030083270944303</v>
      </c>
      <c r="AK3585">
        <v>29.601702647165201</v>
      </c>
      <c r="AL3585">
        <v>80.146479273938695</v>
      </c>
      <c r="AM3585">
        <v>88.4112868038724</v>
      </c>
      <c r="AN3585">
        <v>0.99999995915192197</v>
      </c>
    </row>
    <row r="3586" spans="1:40" x14ac:dyDescent="0.25">
      <c r="A3586" t="str">
        <f>"20190312172441094"</f>
        <v>20190312172441094</v>
      </c>
      <c r="B3586" t="str">
        <f>"1552382681083633"</f>
        <v>1552382681083633</v>
      </c>
      <c r="C3586" t="s">
        <v>40</v>
      </c>
      <c r="D3586">
        <v>3.538818</v>
      </c>
      <c r="E3586">
        <v>0.4999036</v>
      </c>
      <c r="F3586" t="s">
        <v>47</v>
      </c>
      <c r="G3586">
        <v>-275.19060000000002</v>
      </c>
      <c r="H3586" s="1">
        <v>1.2417999999999999E-6</v>
      </c>
      <c r="I3586">
        <v>214.2407</v>
      </c>
      <c r="J3586">
        <v>-305.87700000000001</v>
      </c>
      <c r="K3586">
        <v>1.109524</v>
      </c>
      <c r="L3586">
        <v>214.6403</v>
      </c>
      <c r="M3586">
        <v>0.99983540000000004</v>
      </c>
      <c r="N3586">
        <v>0</v>
      </c>
      <c r="O3586">
        <v>1.543447E-2</v>
      </c>
      <c r="P3586">
        <v>0.98676430000000004</v>
      </c>
      <c r="Q3586">
        <v>0.16172010000000001</v>
      </c>
      <c r="R3586">
        <v>-1.1955520000000001E-2</v>
      </c>
      <c r="S3586">
        <v>3.0576780000000001</v>
      </c>
      <c r="T3586">
        <v>-0.1091757</v>
      </c>
      <c r="U3586">
        <v>-3.872681E-2</v>
      </c>
      <c r="V3586">
        <v>2.7203709999999999E-2</v>
      </c>
      <c r="W3586">
        <v>0.17112289999999999</v>
      </c>
      <c r="X3586">
        <v>0.98487409999999997</v>
      </c>
      <c r="Y3586">
        <v>2.8069119999999999E-2</v>
      </c>
      <c r="Z3586">
        <v>-1.0518490000000001E-3</v>
      </c>
      <c r="AA3586">
        <v>0.99960539999999998</v>
      </c>
      <c r="AB3586">
        <v>39</v>
      </c>
      <c r="AC3586">
        <v>30.6863999999999</v>
      </c>
      <c r="AD3586">
        <v>-1.1095227582</v>
      </c>
      <c r="AE3586">
        <v>-0.39959999999999202</v>
      </c>
      <c r="AF3586">
        <v>0.87206238810113901</v>
      </c>
      <c r="AG3586">
        <v>-1.1095227582</v>
      </c>
      <c r="AH3586">
        <v>30.636531619441499</v>
      </c>
      <c r="AI3586">
        <v>92.073260008274801</v>
      </c>
      <c r="AJ3586">
        <v>88.369528028264696</v>
      </c>
      <c r="AK3586">
        <v>30.669016991562401</v>
      </c>
      <c r="AL3586">
        <v>80.146887161623098</v>
      </c>
      <c r="AM3586">
        <v>88.417806336936096</v>
      </c>
      <c r="AN3586">
        <v>1.00000004079649</v>
      </c>
    </row>
    <row r="3587" spans="1:40" x14ac:dyDescent="0.25">
      <c r="A3587" t="str">
        <f>"20190312172441127"</f>
        <v>20190312172441127</v>
      </c>
      <c r="B3587" t="str">
        <f>"1552382681113888"</f>
        <v>1552382681113888</v>
      </c>
      <c r="C3587" t="s">
        <v>40</v>
      </c>
      <c r="D3587">
        <v>3.5662259999999999</v>
      </c>
      <c r="E3587">
        <v>0.49887169999999997</v>
      </c>
      <c r="F3587" t="s">
        <v>47</v>
      </c>
      <c r="G3587">
        <v>-274.10649999999998</v>
      </c>
      <c r="H3587" s="1">
        <v>6.5873879999999997E-7</v>
      </c>
      <c r="I3587">
        <v>214.38200000000001</v>
      </c>
      <c r="J3587">
        <v>-305.31270000000001</v>
      </c>
      <c r="K3587">
        <v>1.1095219999999999</v>
      </c>
      <c r="L3587">
        <v>214.6489</v>
      </c>
      <c r="M3587">
        <v>0.9998359</v>
      </c>
      <c r="N3587">
        <v>0</v>
      </c>
      <c r="O3587">
        <v>1.539597E-2</v>
      </c>
      <c r="P3587">
        <v>0.98681010000000002</v>
      </c>
      <c r="Q3587">
        <v>0.1614284</v>
      </c>
      <c r="R3587">
        <v>-1.213032E-2</v>
      </c>
      <c r="S3587">
        <v>3.0574340000000002</v>
      </c>
      <c r="T3587">
        <v>-0.1067752</v>
      </c>
      <c r="U3587">
        <v>-2.4856570000000001E-2</v>
      </c>
      <c r="V3587">
        <v>2.7341000000000001E-2</v>
      </c>
      <c r="W3587">
        <v>0.17084289999999999</v>
      </c>
      <c r="X3587">
        <v>0.98491890000000004</v>
      </c>
      <c r="Y3587">
        <v>2.35011E-2</v>
      </c>
      <c r="Z3587">
        <v>-9.4775369999999999E-4</v>
      </c>
      <c r="AA3587">
        <v>0.99972340000000004</v>
      </c>
      <c r="AB3587">
        <v>39</v>
      </c>
      <c r="AC3587">
        <v>31.206199999999999</v>
      </c>
      <c r="AD3587">
        <v>-1.1095213412611999</v>
      </c>
      <c r="AE3587">
        <v>-0.26689999999999198</v>
      </c>
      <c r="AF3587">
        <v>0.74639650828947002</v>
      </c>
      <c r="AG3587">
        <v>-1.1095213412611999</v>
      </c>
      <c r="AH3587">
        <v>31.159005623469</v>
      </c>
      <c r="AI3587">
        <v>92.038763204393902</v>
      </c>
      <c r="AJ3587">
        <v>88.627774156396796</v>
      </c>
      <c r="AK3587">
        <v>31.187686300808998</v>
      </c>
      <c r="AL3587">
        <v>80.163169681054399</v>
      </c>
      <c r="AM3587">
        <v>88.409897802844398</v>
      </c>
      <c r="AN3587">
        <v>1.0000000331693</v>
      </c>
    </row>
    <row r="3588" spans="1:40" x14ac:dyDescent="0.25">
      <c r="A3588" t="str">
        <f>"20190312172441150"</f>
        <v>20190312172441150</v>
      </c>
      <c r="B3588" t="str">
        <f>"1552382681144145"</f>
        <v>1552382681144145</v>
      </c>
      <c r="C3588" t="s">
        <v>40</v>
      </c>
      <c r="D3588">
        <v>3.5940850000000002</v>
      </c>
      <c r="E3588">
        <v>0.49841370000000002</v>
      </c>
      <c r="F3588" t="s">
        <v>47</v>
      </c>
      <c r="G3588">
        <v>-274.01549999999997</v>
      </c>
      <c r="H3588" s="1">
        <v>6.0624749999999995E-7</v>
      </c>
      <c r="I3588">
        <v>214.4751</v>
      </c>
      <c r="J3588">
        <v>-304.90469999999999</v>
      </c>
      <c r="K3588">
        <v>1.109523</v>
      </c>
      <c r="L3588">
        <v>214.65520000000001</v>
      </c>
      <c r="M3588">
        <v>0.99983630000000001</v>
      </c>
      <c r="N3588">
        <v>0</v>
      </c>
      <c r="O3588">
        <v>1.536797E-2</v>
      </c>
      <c r="P3588">
        <v>0.98680730000000005</v>
      </c>
      <c r="Q3588">
        <v>0.1614217</v>
      </c>
      <c r="R3588">
        <v>-1.243028E-2</v>
      </c>
      <c r="S3588">
        <v>3.057617</v>
      </c>
      <c r="T3588">
        <v>-0.1083961</v>
      </c>
      <c r="U3588">
        <v>-1.698303E-2</v>
      </c>
      <c r="V3588">
        <v>2.7613329999999998E-2</v>
      </c>
      <c r="W3588">
        <v>0.17084379999999999</v>
      </c>
      <c r="X3588">
        <v>0.98491110000000004</v>
      </c>
      <c r="Y3588">
        <v>2.0899250000000001E-2</v>
      </c>
      <c r="Z3588">
        <v>-9.1498380000000002E-4</v>
      </c>
      <c r="AA3588">
        <v>0.99978120000000004</v>
      </c>
      <c r="AB3588">
        <v>39</v>
      </c>
      <c r="AC3588">
        <v>30.889199999999999</v>
      </c>
      <c r="AD3588">
        <v>-1.1095223937525001</v>
      </c>
      <c r="AE3588">
        <v>-0.18010000000001</v>
      </c>
      <c r="AF3588">
        <v>0.65396096068444298</v>
      </c>
      <c r="AG3588">
        <v>-1.1095223937525001</v>
      </c>
      <c r="AH3588">
        <v>30.842991495072098</v>
      </c>
      <c r="AI3588">
        <v>92.059764001017996</v>
      </c>
      <c r="AJ3588">
        <v>88.785345137163503</v>
      </c>
      <c r="AK3588">
        <v>30.869869278074798</v>
      </c>
      <c r="AL3588">
        <v>80.163116891196694</v>
      </c>
      <c r="AM3588">
        <v>88.394055133147305</v>
      </c>
      <c r="AN3588">
        <v>0.99999998744766905</v>
      </c>
    </row>
    <row r="3589" spans="1:40" x14ac:dyDescent="0.25">
      <c r="A3589" t="str">
        <f>"20190312172441172"</f>
        <v>20190312172441172</v>
      </c>
      <c r="B3589" t="str">
        <f>"1552382681163667"</f>
        <v>1552382681163667</v>
      </c>
      <c r="C3589" t="s">
        <v>40</v>
      </c>
      <c r="D3589">
        <v>3.5561919999999998</v>
      </c>
      <c r="E3589">
        <v>0.49816919999999998</v>
      </c>
      <c r="F3589" t="s">
        <v>47</v>
      </c>
      <c r="G3589">
        <v>-273.81700000000001</v>
      </c>
      <c r="H3589" s="1">
        <v>4.990129E-7</v>
      </c>
      <c r="I3589">
        <v>214.511</v>
      </c>
      <c r="J3589">
        <v>-304.5093</v>
      </c>
      <c r="K3589">
        <v>1.109521</v>
      </c>
      <c r="L3589">
        <v>214.66120000000001</v>
      </c>
      <c r="M3589">
        <v>0.99983659999999996</v>
      </c>
      <c r="N3589">
        <v>0</v>
      </c>
      <c r="O3589">
        <v>1.5340879999999999E-2</v>
      </c>
      <c r="P3589">
        <v>0.98678030000000005</v>
      </c>
      <c r="Q3589">
        <v>0.1615713</v>
      </c>
      <c r="R3589">
        <v>-1.263013E-2</v>
      </c>
      <c r="S3589">
        <v>3.0577390000000002</v>
      </c>
      <c r="T3589">
        <v>-0.1091307</v>
      </c>
      <c r="U3589">
        <v>-1.4175419999999999E-2</v>
      </c>
      <c r="V3589">
        <v>2.7786040000000001E-2</v>
      </c>
      <c r="W3589">
        <v>0.17100070000000001</v>
      </c>
      <c r="X3589">
        <v>0.98487899999999995</v>
      </c>
      <c r="Y3589">
        <v>1.9954260000000001E-2</v>
      </c>
      <c r="Z3589">
        <v>-9.0332119999999997E-4</v>
      </c>
      <c r="AA3589">
        <v>0.99980049999999998</v>
      </c>
      <c r="AB3589">
        <v>39</v>
      </c>
      <c r="AC3589">
        <v>30.6922999999999</v>
      </c>
      <c r="AD3589">
        <v>-1.1095205009871001</v>
      </c>
      <c r="AE3589">
        <v>-0.15020000000001199</v>
      </c>
      <c r="AF3589">
        <v>0.62024022525112898</v>
      </c>
      <c r="AG3589">
        <v>-1.1095205009871001</v>
      </c>
      <c r="AH3589">
        <v>30.646335630549199</v>
      </c>
      <c r="AI3589">
        <v>92.073007731209898</v>
      </c>
      <c r="AJ3589">
        <v>88.840569496623999</v>
      </c>
      <c r="AK3589">
        <v>30.672685263266398</v>
      </c>
      <c r="AL3589">
        <v>80.153992786214701</v>
      </c>
      <c r="AM3589">
        <v>88.383963277642707</v>
      </c>
      <c r="AN3589">
        <v>0.99999997403018503</v>
      </c>
    </row>
    <row r="3590" spans="1:40" x14ac:dyDescent="0.25">
      <c r="A3590" t="str">
        <f>"20190312172441194"</f>
        <v>20190312172441194</v>
      </c>
      <c r="B3590" t="str">
        <f>"1552382681184161"</f>
        <v>1552382681184161</v>
      </c>
      <c r="C3590" t="s">
        <v>40</v>
      </c>
      <c r="D3590">
        <v>3.5628649999999999</v>
      </c>
      <c r="E3590">
        <v>0.497971</v>
      </c>
      <c r="F3590" t="s">
        <v>47</v>
      </c>
      <c r="G3590">
        <v>-273.50259999999997</v>
      </c>
      <c r="H3590" s="1">
        <v>3.3077630000000003E-7</v>
      </c>
      <c r="I3590">
        <v>214.53270000000001</v>
      </c>
      <c r="J3590">
        <v>-304.12020000000001</v>
      </c>
      <c r="K3590">
        <v>1.1095139999999999</v>
      </c>
      <c r="L3590">
        <v>214.66720000000001</v>
      </c>
      <c r="M3590">
        <v>0.99983690000000003</v>
      </c>
      <c r="N3590">
        <v>0</v>
      </c>
      <c r="O3590">
        <v>1.5314370000000001E-2</v>
      </c>
      <c r="P3590">
        <v>0.98679410000000001</v>
      </c>
      <c r="Q3590">
        <v>0.16147739999999999</v>
      </c>
      <c r="R3590">
        <v>-1.2759639999999999E-2</v>
      </c>
      <c r="S3590">
        <v>3.057922</v>
      </c>
      <c r="T3590">
        <v>-0.1094224</v>
      </c>
      <c r="U3590">
        <v>-1.268005E-2</v>
      </c>
      <c r="V3590">
        <v>2.7889549999999999E-2</v>
      </c>
      <c r="W3590">
        <v>0.17091479999999901</v>
      </c>
      <c r="X3590">
        <v>0.98489099999999996</v>
      </c>
      <c r="Y3590">
        <v>1.9438799999999999E-2</v>
      </c>
      <c r="Z3590">
        <v>-8.9551319999999998E-4</v>
      </c>
      <c r="AA3590">
        <v>0.99981059999999999</v>
      </c>
      <c r="AB3590">
        <v>39</v>
      </c>
      <c r="AC3590">
        <v>30.617599999999999</v>
      </c>
      <c r="AD3590">
        <v>-1.1095136692237</v>
      </c>
      <c r="AE3590">
        <v>-0.13450000000000201</v>
      </c>
      <c r="AF3590">
        <v>0.60260365764996604</v>
      </c>
      <c r="AG3590">
        <v>-1.1095136692237</v>
      </c>
      <c r="AH3590">
        <v>30.571803819006799</v>
      </c>
      <c r="AI3590">
        <v>92.078066232149396</v>
      </c>
      <c r="AJ3590">
        <v>88.870783809960002</v>
      </c>
      <c r="AK3590">
        <v>30.597864966337902</v>
      </c>
      <c r="AL3590">
        <v>80.158988179504306</v>
      </c>
      <c r="AM3590">
        <v>88.3779660965115</v>
      </c>
      <c r="AN3590">
        <v>0.99999998886962105</v>
      </c>
    </row>
    <row r="3591" spans="1:40" x14ac:dyDescent="0.25">
      <c r="A3591" t="str">
        <f>"20190312172441216"</f>
        <v>20190312172441216</v>
      </c>
      <c r="B3591" t="str">
        <f>"1552382681203681"</f>
        <v>1552382681203681</v>
      </c>
      <c r="C3591" t="s">
        <v>40</v>
      </c>
      <c r="D3591">
        <v>3.594239</v>
      </c>
      <c r="E3591">
        <v>0.49786649999999999</v>
      </c>
      <c r="F3591" t="s">
        <v>47</v>
      </c>
      <c r="G3591">
        <v>-273.3537</v>
      </c>
      <c r="H3591" s="1">
        <v>2.5063800000000002E-7</v>
      </c>
      <c r="I3591">
        <v>214.553</v>
      </c>
      <c r="J3591">
        <v>-303.73520000000002</v>
      </c>
      <c r="K3591">
        <v>1.109513</v>
      </c>
      <c r="L3591">
        <v>214.673</v>
      </c>
      <c r="M3591">
        <v>0.99983719999999998</v>
      </c>
      <c r="N3591">
        <v>0</v>
      </c>
      <c r="O3591">
        <v>1.5288410000000001E-2</v>
      </c>
      <c r="P3591">
        <v>0.98680049999999997</v>
      </c>
      <c r="Q3591">
        <v>0.1614527</v>
      </c>
      <c r="R3591">
        <v>-1.257371E-2</v>
      </c>
      <c r="S3591">
        <v>3.058014</v>
      </c>
      <c r="T3591">
        <v>-0.11027919999999999</v>
      </c>
      <c r="U3591">
        <v>-1.135254E-2</v>
      </c>
      <c r="V3591">
        <v>2.7678210000000002E-2</v>
      </c>
      <c r="W3591">
        <v>0.17089779999999999</v>
      </c>
      <c r="X3591">
        <v>0.98489990000000005</v>
      </c>
      <c r="Y3591">
        <v>1.8978660000000001E-2</v>
      </c>
      <c r="Z3591">
        <v>-8.9326339999999996E-4</v>
      </c>
      <c r="AA3591">
        <v>0.99981949999999997</v>
      </c>
      <c r="AB3591">
        <v>39</v>
      </c>
      <c r="AC3591">
        <v>30.381499999999999</v>
      </c>
      <c r="AD3591">
        <v>-1.1095127493619901</v>
      </c>
      <c r="AE3591">
        <v>-0.12000000000000401</v>
      </c>
      <c r="AF3591">
        <v>0.58371366703384597</v>
      </c>
      <c r="AG3591">
        <v>-1.1095127493619901</v>
      </c>
      <c r="AH3591">
        <v>30.335657236906801</v>
      </c>
      <c r="AI3591">
        <v>92.094245879658303</v>
      </c>
      <c r="AJ3591">
        <v>88.897660180771894</v>
      </c>
      <c r="AK3591">
        <v>30.3615520054752</v>
      </c>
      <c r="AL3591">
        <v>80.159976636253802</v>
      </c>
      <c r="AM3591">
        <v>88.390265508710996</v>
      </c>
      <c r="AN3591">
        <v>0.99999997718682598</v>
      </c>
    </row>
    <row r="3592" spans="1:40" x14ac:dyDescent="0.25">
      <c r="A3592" t="str">
        <f>"20190312172441240"</f>
        <v>20190312172441240</v>
      </c>
      <c r="B3592" t="str">
        <f>"1552382681233937"</f>
        <v>1552382681233937</v>
      </c>
      <c r="C3592" t="s">
        <v>40</v>
      </c>
      <c r="D3592">
        <v>3.5594749999999999</v>
      </c>
      <c r="E3592">
        <v>0.49770360000000002</v>
      </c>
      <c r="F3592" t="s">
        <v>47</v>
      </c>
      <c r="G3592">
        <v>-273.02370000000002</v>
      </c>
      <c r="H3592" s="1">
        <v>7.4281859999999998E-8</v>
      </c>
      <c r="I3592">
        <v>214.56989999999999</v>
      </c>
      <c r="J3592">
        <v>-303.31380000000001</v>
      </c>
      <c r="K3592">
        <v>1.10951</v>
      </c>
      <c r="L3592">
        <v>214.67949999999999</v>
      </c>
      <c r="M3592">
        <v>0.99983759999999999</v>
      </c>
      <c r="N3592">
        <v>0</v>
      </c>
      <c r="O3592">
        <v>1.525958E-2</v>
      </c>
      <c r="P3592">
        <v>0.98676509999999995</v>
      </c>
      <c r="Q3592">
        <v>0.16166639999999999</v>
      </c>
      <c r="R3592">
        <v>-1.25979E-2</v>
      </c>
      <c r="S3592">
        <v>3.0580440000000002</v>
      </c>
      <c r="T3592">
        <v>-0.1104776</v>
      </c>
      <c r="U3592">
        <v>-1.0269169999999999E-2</v>
      </c>
      <c r="V3592">
        <v>2.7673509999999998E-2</v>
      </c>
      <c r="W3592">
        <v>0.17111960000000001</v>
      </c>
      <c r="X3592">
        <v>0.9848616</v>
      </c>
      <c r="Y3592">
        <v>1.8595779999999999E-2</v>
      </c>
      <c r="Z3592">
        <v>-8.8690539999999895E-4</v>
      </c>
      <c r="AA3592">
        <v>0.99982669999999996</v>
      </c>
      <c r="AB3592">
        <v>39</v>
      </c>
      <c r="AC3592">
        <v>30.290099999999899</v>
      </c>
      <c r="AD3592">
        <v>-1.10950992571813</v>
      </c>
      <c r="AE3592">
        <v>-0.1096</v>
      </c>
      <c r="AF3592">
        <v>0.57105650009658104</v>
      </c>
      <c r="AG3592">
        <v>-1.10950992571813</v>
      </c>
      <c r="AH3592">
        <v>30.244321552812</v>
      </c>
      <c r="AI3592">
        <v>92.100573765965294</v>
      </c>
      <c r="AJ3592">
        <v>88.918301411635397</v>
      </c>
      <c r="AK3592">
        <v>30.270052923499499</v>
      </c>
      <c r="AL3592">
        <v>80.147079218685604</v>
      </c>
      <c r="AM3592">
        <v>88.390476154843597</v>
      </c>
      <c r="AN3592">
        <v>1.00000005590721</v>
      </c>
    </row>
    <row r="3593" spans="1:40" x14ac:dyDescent="0.25">
      <c r="A3593" t="str">
        <f>"20190312172441263"</f>
        <v>20190312172441263</v>
      </c>
      <c r="B3593" t="str">
        <f>"1552382681253457"</f>
        <v>1552382681253457</v>
      </c>
      <c r="C3593" t="s">
        <v>40</v>
      </c>
      <c r="D3593">
        <v>3.6057610000000002</v>
      </c>
      <c r="E3593">
        <v>0.49762519999999999</v>
      </c>
      <c r="F3593" t="s">
        <v>47</v>
      </c>
      <c r="G3593">
        <v>-272.51310000000001</v>
      </c>
      <c r="H3593" s="1">
        <v>-1.9838400000000001E-7</v>
      </c>
      <c r="I3593">
        <v>214.5917</v>
      </c>
      <c r="J3593">
        <v>-302.9144</v>
      </c>
      <c r="K3593">
        <v>1.1095090000000001</v>
      </c>
      <c r="L3593">
        <v>214.68549999999999</v>
      </c>
      <c r="M3593">
        <v>0.99983789999999995</v>
      </c>
      <c r="N3593">
        <v>0</v>
      </c>
      <c r="O3593">
        <v>1.52321E-2</v>
      </c>
      <c r="P3593">
        <v>0.98680730000000005</v>
      </c>
      <c r="Q3593">
        <v>0.16144149999999999</v>
      </c>
      <c r="R3593">
        <v>-1.2177199999999999E-2</v>
      </c>
      <c r="S3593">
        <v>3.0581670000000001</v>
      </c>
      <c r="T3593">
        <v>-0.11016189999999999</v>
      </c>
      <c r="U3593">
        <v>-8.7127690000000004E-3</v>
      </c>
      <c r="V3593">
        <v>2.7226319999999998E-2</v>
      </c>
      <c r="W3593">
        <v>0.1709068</v>
      </c>
      <c r="X3593">
        <v>0.98491099999999998</v>
      </c>
      <c r="Y3593">
        <v>1.8059820000000001E-2</v>
      </c>
      <c r="Z3593">
        <v>-8.736983E-4</v>
      </c>
      <c r="AA3593">
        <v>0.99983650000000002</v>
      </c>
      <c r="AB3593">
        <v>39</v>
      </c>
      <c r="AC3593">
        <v>30.4012999999999</v>
      </c>
      <c r="AD3593">
        <v>-1.109509198384</v>
      </c>
      <c r="AE3593">
        <v>-9.3799999999987393E-2</v>
      </c>
      <c r="AF3593">
        <v>0.55614536477864596</v>
      </c>
      <c r="AG3593">
        <v>-1.109509198384</v>
      </c>
      <c r="AH3593">
        <v>30.355912623229901</v>
      </c>
      <c r="AI3593">
        <v>92.092879173998696</v>
      </c>
      <c r="AJ3593">
        <v>88.950411468603704</v>
      </c>
      <c r="AK3593">
        <v>30.3812728422829</v>
      </c>
      <c r="AL3593">
        <v>80.159453922179097</v>
      </c>
      <c r="AM3593">
        <v>88.416551283491401</v>
      </c>
      <c r="AN3593">
        <v>1.0000000423539901</v>
      </c>
    </row>
    <row r="3594" spans="1:40" x14ac:dyDescent="0.25">
      <c r="A3594" t="str">
        <f>"20190312172441284"</f>
        <v>20190312172441284</v>
      </c>
      <c r="B3594" t="str">
        <f>"1552382681273953"</f>
        <v>1552382681273953</v>
      </c>
      <c r="C3594" t="s">
        <v>40</v>
      </c>
      <c r="D3594">
        <v>3.5679150000000002</v>
      </c>
      <c r="E3594">
        <v>0.49755149999999998</v>
      </c>
      <c r="F3594" t="s">
        <v>47</v>
      </c>
      <c r="G3594">
        <v>-272.37520000000001</v>
      </c>
      <c r="H3594" s="1">
        <v>-2.7280579999999998E-7</v>
      </c>
      <c r="I3594">
        <v>214.61529999999999</v>
      </c>
      <c r="J3594">
        <v>-302.53289999999998</v>
      </c>
      <c r="K3594">
        <v>1.1095090000000001</v>
      </c>
      <c r="L3594">
        <v>214.69130000000001</v>
      </c>
      <c r="M3594">
        <v>0.99983820000000001</v>
      </c>
      <c r="N3594">
        <v>0</v>
      </c>
      <c r="O3594">
        <v>1.5206280000000001E-2</v>
      </c>
      <c r="P3594">
        <v>0.98683259999999995</v>
      </c>
      <c r="Q3594">
        <v>0.16127639999999999</v>
      </c>
      <c r="R3594">
        <v>-1.230584E-2</v>
      </c>
      <c r="S3594">
        <v>3.0582579999999999</v>
      </c>
      <c r="T3594">
        <v>-0.111108399999999</v>
      </c>
      <c r="U3594">
        <v>-7.0343019999999897E-3</v>
      </c>
      <c r="V3594">
        <v>2.733004E-2</v>
      </c>
      <c r="W3594">
        <v>0.170756399999999</v>
      </c>
      <c r="X3594">
        <v>0.98493419999999998</v>
      </c>
      <c r="Y3594">
        <v>1.7485199999999999E-2</v>
      </c>
      <c r="Z3594">
        <v>-8.6980169999999895E-4</v>
      </c>
      <c r="AA3594">
        <v>0.99984680000000004</v>
      </c>
      <c r="AB3594">
        <v>40</v>
      </c>
      <c r="AC3594">
        <v>30.157699999999899</v>
      </c>
      <c r="AD3594">
        <v>-1.1095092728058</v>
      </c>
      <c r="AE3594">
        <v>-7.60000000000218E-2</v>
      </c>
      <c r="AF3594">
        <v>0.53387620851623596</v>
      </c>
      <c r="AG3594">
        <v>-1.1095092728058</v>
      </c>
      <c r="AH3594">
        <v>30.112299636458001</v>
      </c>
      <c r="AI3594">
        <v>92.109818239520493</v>
      </c>
      <c r="AJ3594">
        <v>88.984280528193096</v>
      </c>
      <c r="AK3594">
        <v>30.137462136488701</v>
      </c>
      <c r="AL3594">
        <v>80.168199634094904</v>
      </c>
      <c r="AM3594">
        <v>88.410559567348699</v>
      </c>
      <c r="AN3594">
        <v>1.0000000287785</v>
      </c>
    </row>
    <row r="3595" spans="1:40" x14ac:dyDescent="0.25">
      <c r="A3595" t="str">
        <f>"20190312172441305"</f>
        <v>20190312172441305</v>
      </c>
      <c r="B3595" t="str">
        <f>"1552382681293473"</f>
        <v>1552382681293473</v>
      </c>
      <c r="C3595" t="s">
        <v>40</v>
      </c>
      <c r="D3595">
        <v>3.5687269999999902</v>
      </c>
      <c r="E3595">
        <v>0.49748680000000001</v>
      </c>
      <c r="F3595" t="s">
        <v>47</v>
      </c>
      <c r="G3595">
        <v>-272.21600000000001</v>
      </c>
      <c r="H3595" s="1">
        <v>-3.57737E-7</v>
      </c>
      <c r="I3595">
        <v>214.6207</v>
      </c>
      <c r="J3595">
        <v>-302.15690000000001</v>
      </c>
      <c r="K3595">
        <v>1.1095170000000001</v>
      </c>
      <c r="L3595">
        <v>214.697</v>
      </c>
      <c r="M3595">
        <v>0.99983840000000002</v>
      </c>
      <c r="N3595">
        <v>0</v>
      </c>
      <c r="O3595">
        <v>1.5180569999999999E-2</v>
      </c>
      <c r="P3595">
        <v>0.98681059999999998</v>
      </c>
      <c r="Q3595">
        <v>0.16141329999999901</v>
      </c>
      <c r="R3595">
        <v>-1.2281749999999999E-2</v>
      </c>
      <c r="S3595">
        <v>3.0582579999999999</v>
      </c>
      <c r="T3595">
        <v>-0.1119232</v>
      </c>
      <c r="U3595">
        <v>-7.125854E-3</v>
      </c>
      <c r="V3595">
        <v>2.7280269999999999E-2</v>
      </c>
      <c r="W3595">
        <v>0.17090859999999999</v>
      </c>
      <c r="X3595">
        <v>0.98490909999999998</v>
      </c>
      <c r="Y3595">
        <v>1.7489129999999999E-2</v>
      </c>
      <c r="Z3595">
        <v>-8.7530729999999997E-4</v>
      </c>
      <c r="AA3595">
        <v>0.99984669999999998</v>
      </c>
      <c r="AB3595">
        <v>40</v>
      </c>
      <c r="AC3595">
        <v>29.940899999999999</v>
      </c>
      <c r="AD3595">
        <v>-1.1095173577369899</v>
      </c>
      <c r="AE3595">
        <v>-7.6300000000003296E-2</v>
      </c>
      <c r="AF3595">
        <v>0.53010426695493196</v>
      </c>
      <c r="AG3595">
        <v>-1.1095173577369899</v>
      </c>
      <c r="AH3595">
        <v>29.8952388940208</v>
      </c>
      <c r="AI3595">
        <v>92.125138404029798</v>
      </c>
      <c r="AJ3595">
        <v>88.984134076342201</v>
      </c>
      <c r="AK3595">
        <v>29.920517171859402</v>
      </c>
      <c r="AL3595">
        <v>80.159348321676205</v>
      </c>
      <c r="AM3595">
        <v>88.413412161977405</v>
      </c>
      <c r="AN3595">
        <v>0.99999994897402</v>
      </c>
    </row>
    <row r="3596" spans="1:40" x14ac:dyDescent="0.25">
      <c r="A3596" t="str">
        <f>"20190312172441328"</f>
        <v>20190312172441328</v>
      </c>
      <c r="B3596" t="str">
        <f>"1552382681323729"</f>
        <v>1552382681323729</v>
      </c>
      <c r="C3596" t="s">
        <v>40</v>
      </c>
      <c r="D3596">
        <v>3.6011340000000001</v>
      </c>
      <c r="E3596">
        <v>0.49744559999999999</v>
      </c>
      <c r="F3596" t="s">
        <v>47</v>
      </c>
      <c r="G3596">
        <v>-271.85340000000002</v>
      </c>
      <c r="H3596" s="1">
        <v>-5.5124069999999995E-7</v>
      </c>
      <c r="I3596">
        <v>214.63290000000001</v>
      </c>
      <c r="J3596">
        <v>-301.75189999999998</v>
      </c>
      <c r="K3596">
        <v>1.1095189999999999</v>
      </c>
      <c r="L3596">
        <v>214.70320000000001</v>
      </c>
      <c r="M3596">
        <v>0.99983869999999997</v>
      </c>
      <c r="N3596">
        <v>0</v>
      </c>
      <c r="O3596">
        <v>1.5153430000000001E-2</v>
      </c>
      <c r="P3596">
        <v>0.98679329999999998</v>
      </c>
      <c r="Q3596">
        <v>0.1615183</v>
      </c>
      <c r="R3596">
        <v>-1.228313E-2</v>
      </c>
      <c r="S3596">
        <v>3.0583800000000001</v>
      </c>
      <c r="T3596">
        <v>-0.1119778</v>
      </c>
      <c r="U3596">
        <v>-6.4697269999999998E-3</v>
      </c>
      <c r="V3596">
        <v>2.725462E-2</v>
      </c>
      <c r="W3596">
        <v>0.17102989999999901</v>
      </c>
      <c r="X3596">
        <v>0.98488880000000001</v>
      </c>
      <c r="Y3596">
        <v>1.724755E-2</v>
      </c>
      <c r="Z3596">
        <v>-8.7028460000000002E-4</v>
      </c>
      <c r="AA3596">
        <v>0.99985089999999999</v>
      </c>
      <c r="AB3596">
        <v>40</v>
      </c>
      <c r="AC3596">
        <v>29.898499999999899</v>
      </c>
      <c r="AD3596">
        <v>-1.1095195512406999</v>
      </c>
      <c r="AE3596">
        <v>-7.0300000000003096E-2</v>
      </c>
      <c r="AF3596">
        <v>0.52265805359735795</v>
      </c>
      <c r="AG3596">
        <v>-1.1095195512406999</v>
      </c>
      <c r="AH3596">
        <v>29.8528906827258</v>
      </c>
      <c r="AI3596">
        <v>92.128162880151095</v>
      </c>
      <c r="AJ3596">
        <v>88.996980166459196</v>
      </c>
      <c r="AK3596">
        <v>29.878073686072099</v>
      </c>
      <c r="AL3596">
        <v>80.152294939774904</v>
      </c>
      <c r="AM3596">
        <v>88.4148705193616</v>
      </c>
      <c r="AN3596">
        <v>0.99999999468539702</v>
      </c>
    </row>
    <row r="3597" spans="1:40" x14ac:dyDescent="0.25">
      <c r="A3597" t="str">
        <f>"20190312172441351"</f>
        <v>20190312172441351</v>
      </c>
      <c r="B3597" t="str">
        <f>"1552382681344225"</f>
        <v>1552382681344225</v>
      </c>
      <c r="C3597" t="s">
        <v>40</v>
      </c>
      <c r="D3597">
        <v>3.6057760000000001</v>
      </c>
      <c r="E3597">
        <v>0.49743589999999999</v>
      </c>
      <c r="F3597" t="s">
        <v>47</v>
      </c>
      <c r="G3597">
        <v>-271.59739999999999</v>
      </c>
      <c r="H3597" s="1">
        <v>-6.8792119999999899E-7</v>
      </c>
      <c r="I3597">
        <v>214.64400000000001</v>
      </c>
      <c r="J3597">
        <v>-301.34410000000003</v>
      </c>
      <c r="K3597">
        <v>1.1095200000000001</v>
      </c>
      <c r="L3597">
        <v>214.70930000000001</v>
      </c>
      <c r="M3597">
        <v>0.99983889999999997</v>
      </c>
      <c r="N3597">
        <v>0</v>
      </c>
      <c r="O3597">
        <v>1.5125690000000001E-2</v>
      </c>
      <c r="P3597">
        <v>0.98686030000000002</v>
      </c>
      <c r="Q3597">
        <v>0.16112870000000001</v>
      </c>
      <c r="R3597">
        <v>-1.201487E-2</v>
      </c>
      <c r="S3597">
        <v>3.0584720000000001</v>
      </c>
      <c r="T3597">
        <v>-0.1125352</v>
      </c>
      <c r="U3597">
        <v>-5.9967040000000003E-3</v>
      </c>
      <c r="V3597">
        <v>2.6960069999999999E-2</v>
      </c>
      <c r="W3597">
        <v>0.17065629999999901</v>
      </c>
      <c r="X3597">
        <v>0.98496170000000005</v>
      </c>
      <c r="Y3597">
        <v>1.706504E-2</v>
      </c>
      <c r="Z3597">
        <v>-8.7021129999999996E-4</v>
      </c>
      <c r="AA3597">
        <v>0.99985400000000002</v>
      </c>
      <c r="AB3597">
        <v>40</v>
      </c>
      <c r="AC3597">
        <v>29.746700000000001</v>
      </c>
      <c r="AD3597">
        <v>-1.1095206879211901</v>
      </c>
      <c r="AE3597">
        <v>-6.5300000000007602E-2</v>
      </c>
      <c r="AF3597">
        <v>0.51453707600625498</v>
      </c>
      <c r="AG3597">
        <v>-1.1095206879211901</v>
      </c>
      <c r="AH3597">
        <v>29.7009887481987</v>
      </c>
      <c r="AI3597">
        <v>92.139046045164505</v>
      </c>
      <c r="AJ3597">
        <v>89.007512699236202</v>
      </c>
      <c r="AK3597">
        <v>29.7261588029825</v>
      </c>
      <c r="AL3597">
        <v>80.174019937121102</v>
      </c>
      <c r="AM3597">
        <v>88.4321089519445</v>
      </c>
      <c r="AN3597">
        <v>0.99999998428549197</v>
      </c>
    </row>
    <row r="3598" spans="1:40" x14ac:dyDescent="0.25">
      <c r="A3598" t="str">
        <f>"20190312172441373"</f>
        <v>20190312172441373</v>
      </c>
      <c r="B3598" t="str">
        <f>"1552382681363748"</f>
        <v>1552382681363748</v>
      </c>
      <c r="C3598" t="s">
        <v>40</v>
      </c>
      <c r="D3598">
        <v>3.6197949999999999</v>
      </c>
      <c r="E3598">
        <v>0.49742550000000002</v>
      </c>
      <c r="F3598" t="s">
        <v>47</v>
      </c>
      <c r="G3598">
        <v>-271.57339999999999</v>
      </c>
      <c r="H3598" s="1">
        <v>-7.013083E-7</v>
      </c>
      <c r="I3598">
        <v>214.65809999999999</v>
      </c>
      <c r="J3598">
        <v>-300.95299999999997</v>
      </c>
      <c r="K3598">
        <v>1.1095200000000001</v>
      </c>
      <c r="L3598">
        <v>214.71520000000001</v>
      </c>
      <c r="M3598">
        <v>0.99983920000000004</v>
      </c>
      <c r="N3598">
        <v>0</v>
      </c>
      <c r="O3598">
        <v>1.5099029999999999E-2</v>
      </c>
      <c r="P3598">
        <v>0.98693940000000002</v>
      </c>
      <c r="Q3598">
        <v>0.160694899999999</v>
      </c>
      <c r="R3598">
        <v>-1.1307029999999999E-2</v>
      </c>
      <c r="S3598">
        <v>3.0585019999999998</v>
      </c>
      <c r="T3598">
        <v>-0.1139872</v>
      </c>
      <c r="U3598">
        <v>-5.2642820000000003E-3</v>
      </c>
      <c r="V3598">
        <v>2.6227179999999999E-2</v>
      </c>
      <c r="W3598">
        <v>0.17023820000000001</v>
      </c>
      <c r="X3598">
        <v>0.98505379999999998</v>
      </c>
      <c r="Y3598">
        <v>1.6798569999999999E-2</v>
      </c>
      <c r="Z3598">
        <v>-8.7546569999999999E-4</v>
      </c>
      <c r="AA3598">
        <v>0.99985849999999998</v>
      </c>
      <c r="AB3598">
        <v>40</v>
      </c>
      <c r="AC3598">
        <v>29.3795999999999</v>
      </c>
      <c r="AD3598">
        <v>-1.1095207013082999</v>
      </c>
      <c r="AE3598">
        <v>-5.71000000000196E-2</v>
      </c>
      <c r="AF3598">
        <v>0.50000461096902604</v>
      </c>
      <c r="AG3598">
        <v>-1.1095207013082999</v>
      </c>
      <c r="AH3598">
        <v>29.3335530862302</v>
      </c>
      <c r="AI3598">
        <v>92.165825013610203</v>
      </c>
      <c r="AJ3598">
        <v>89.0234602748139</v>
      </c>
      <c r="AK3598">
        <v>29.3587870570347</v>
      </c>
      <c r="AL3598">
        <v>80.198330706198604</v>
      </c>
      <c r="AM3598">
        <v>88.474853063594594</v>
      </c>
      <c r="AN3598">
        <v>0.99999994930221403</v>
      </c>
    </row>
    <row r="3599" spans="1:40" x14ac:dyDescent="0.25">
      <c r="A3599" t="str">
        <f>"20190312172441394"</f>
        <v>20190312172441394</v>
      </c>
      <c r="B3599" t="str">
        <f>"1552382681384241"</f>
        <v>1552382681384241</v>
      </c>
      <c r="C3599" t="s">
        <v>40</v>
      </c>
      <c r="D3599">
        <v>3.6035110000000001</v>
      </c>
      <c r="E3599">
        <v>0.49748369999999997</v>
      </c>
      <c r="F3599" t="s">
        <v>47</v>
      </c>
      <c r="G3599">
        <v>-271.57380000000001</v>
      </c>
      <c r="H3599" s="1">
        <v>-7.0203550000000004E-7</v>
      </c>
      <c r="I3599">
        <v>214.67859999999999</v>
      </c>
      <c r="J3599">
        <v>-300.56709999999998</v>
      </c>
      <c r="K3599">
        <v>1.109523</v>
      </c>
      <c r="L3599">
        <v>214.721</v>
      </c>
      <c r="M3599">
        <v>0.99983940000000004</v>
      </c>
      <c r="N3599">
        <v>0</v>
      </c>
      <c r="O3599">
        <v>1.507286E-2</v>
      </c>
      <c r="P3599">
        <v>0.986846</v>
      </c>
      <c r="Q3599">
        <v>0.161278799999999</v>
      </c>
      <c r="R3599">
        <v>-1.114365E-2</v>
      </c>
      <c r="S3599">
        <v>3.0584720000000001</v>
      </c>
      <c r="T3599">
        <v>-0.1155045</v>
      </c>
      <c r="U3599">
        <v>-3.8146970000000001E-3</v>
      </c>
      <c r="V3599">
        <v>2.60366E-2</v>
      </c>
      <c r="W3599">
        <v>0.1708354</v>
      </c>
      <c r="X3599">
        <v>0.98495549999999998</v>
      </c>
      <c r="Y3599">
        <v>1.629831E-2</v>
      </c>
      <c r="Z3599">
        <v>-8.7668830000000003E-4</v>
      </c>
      <c r="AA3599">
        <v>0.99986679999999994</v>
      </c>
      <c r="AB3599">
        <v>40</v>
      </c>
      <c r="AC3599">
        <v>28.993299999999898</v>
      </c>
      <c r="AD3599">
        <v>-1.1095237020355</v>
      </c>
      <c r="AE3599">
        <v>-4.23999999999864E-2</v>
      </c>
      <c r="AF3599">
        <v>0.47872659694920899</v>
      </c>
      <c r="AG3599">
        <v>-1.1095237020355</v>
      </c>
      <c r="AH3599">
        <v>28.9469752425919</v>
      </c>
      <c r="AI3599">
        <v>92.194745440806798</v>
      </c>
      <c r="AJ3599">
        <v>89.052525763092703</v>
      </c>
      <c r="AK3599">
        <v>28.972186622608099</v>
      </c>
      <c r="AL3599">
        <v>80.163605359325501</v>
      </c>
      <c r="AM3599">
        <v>88.485779341753002</v>
      </c>
      <c r="AN3599">
        <v>0.99999998770648402</v>
      </c>
    </row>
    <row r="3600" spans="1:40" x14ac:dyDescent="0.25">
      <c r="A3600" t="str">
        <f>"20190312172441417"</f>
        <v>20190312172441417</v>
      </c>
      <c r="B3600" t="str">
        <f>"1552382681413522"</f>
        <v>1552382681413522</v>
      </c>
      <c r="C3600" t="s">
        <v>40</v>
      </c>
      <c r="D3600">
        <v>3.6217380000000001</v>
      </c>
      <c r="E3600">
        <v>0.49755359999999998</v>
      </c>
      <c r="F3600" t="s">
        <v>47</v>
      </c>
      <c r="G3600">
        <v>-270.8768</v>
      </c>
      <c r="H3600" s="1">
        <v>-1.073241E-6</v>
      </c>
      <c r="I3600">
        <v>214.68559999999999</v>
      </c>
      <c r="J3600">
        <v>-300.1617</v>
      </c>
      <c r="K3600">
        <v>1.109523</v>
      </c>
      <c r="L3600">
        <v>214.72710000000001</v>
      </c>
      <c r="M3600">
        <v>0.9998397</v>
      </c>
      <c r="N3600">
        <v>0</v>
      </c>
      <c r="O3600">
        <v>1.5045370000000001E-2</v>
      </c>
      <c r="P3600">
        <v>0.98679510000000004</v>
      </c>
      <c r="Q3600">
        <v>0.16157070000000001</v>
      </c>
      <c r="R3600">
        <v>-1.142106E-2</v>
      </c>
      <c r="S3600">
        <v>3.058624</v>
      </c>
      <c r="T3600">
        <v>-0.1143004</v>
      </c>
      <c r="U3600">
        <v>-3.646851E-3</v>
      </c>
      <c r="V3600">
        <v>2.628629E-2</v>
      </c>
      <c r="W3600">
        <v>0.17114070000000001</v>
      </c>
      <c r="X3600">
        <v>0.98489590000000005</v>
      </c>
      <c r="Y3600">
        <v>1.621643E-2</v>
      </c>
      <c r="Z3600">
        <v>-8.6495579999999999E-4</v>
      </c>
      <c r="AA3600">
        <v>0.99986819999999998</v>
      </c>
      <c r="AB3600">
        <v>40</v>
      </c>
      <c r="AC3600">
        <v>29.2849</v>
      </c>
      <c r="AD3600">
        <v>-1.1095240732410001</v>
      </c>
      <c r="AE3600">
        <v>-4.1500000000013401E-2</v>
      </c>
      <c r="AF3600">
        <v>0.48142715457501101</v>
      </c>
      <c r="AG3600">
        <v>-1.1095240732410001</v>
      </c>
      <c r="AH3600">
        <v>29.2389897560981</v>
      </c>
      <c r="AI3600">
        <v>92.172850612826807</v>
      </c>
      <c r="AJ3600">
        <v>89.056696142894495</v>
      </c>
      <c r="AK3600">
        <v>29.2639938786809</v>
      </c>
      <c r="AL3600">
        <v>80.145851829979705</v>
      </c>
      <c r="AM3600">
        <v>88.471172415597195</v>
      </c>
      <c r="AN3600">
        <v>1.0000000210376301</v>
      </c>
    </row>
    <row r="3601" spans="1:40" x14ac:dyDescent="0.25">
      <c r="A3601" t="str">
        <f>"20190312172441440"</f>
        <v>20190312172441440</v>
      </c>
      <c r="B3601" t="str">
        <f>"1552382681434017"</f>
        <v>1552382681434017</v>
      </c>
      <c r="C3601" t="s">
        <v>40</v>
      </c>
      <c r="D3601">
        <v>3.5776490000000001</v>
      </c>
      <c r="E3601">
        <v>0.4975678</v>
      </c>
      <c r="F3601" t="s">
        <v>47</v>
      </c>
      <c r="G3601">
        <v>-270.39850000000001</v>
      </c>
      <c r="H3601" s="1">
        <v>-1.3275410000000001E-6</v>
      </c>
      <c r="I3601">
        <v>214.68020000000001</v>
      </c>
      <c r="J3601">
        <v>-299.74720000000002</v>
      </c>
      <c r="K3601">
        <v>1.109518</v>
      </c>
      <c r="L3601">
        <v>214.73330000000001</v>
      </c>
      <c r="M3601">
        <v>0.99983999999999995</v>
      </c>
      <c r="N3601">
        <v>0</v>
      </c>
      <c r="O3601">
        <v>1.501716E-2</v>
      </c>
      <c r="P3601">
        <v>0.98681160000000001</v>
      </c>
      <c r="Q3601">
        <v>0.16148019999999999</v>
      </c>
      <c r="R3601">
        <v>-1.1264639999999999E-2</v>
      </c>
      <c r="S3601">
        <v>3.0587460000000002</v>
      </c>
      <c r="T3601">
        <v>-0.1140249</v>
      </c>
      <c r="U3601">
        <v>-4.8217770000000002E-3</v>
      </c>
      <c r="V3601">
        <v>2.6102259999999999E-2</v>
      </c>
      <c r="W3601">
        <v>0.1710642</v>
      </c>
      <c r="X3601">
        <v>0.98491410000000001</v>
      </c>
      <c r="Y3601">
        <v>1.6572119999999999E-2</v>
      </c>
      <c r="Z3601">
        <v>-8.6841459999999996E-4</v>
      </c>
      <c r="AA3601">
        <v>0.99986229999999998</v>
      </c>
      <c r="AB3601">
        <v>40</v>
      </c>
      <c r="AC3601">
        <v>29.348700000000001</v>
      </c>
      <c r="AD3601">
        <v>-1.109519327541</v>
      </c>
      <c r="AE3601">
        <v>-5.3100000000000501E-2</v>
      </c>
      <c r="AF3601">
        <v>0.49314415486378399</v>
      </c>
      <c r="AG3601">
        <v>-1.109519327541</v>
      </c>
      <c r="AH3601">
        <v>29.3027135599134</v>
      </c>
      <c r="AI3601">
        <v>92.168107500470896</v>
      </c>
      <c r="AJ3601">
        <v>89.035843160305504</v>
      </c>
      <c r="AK3601">
        <v>29.327857853413001</v>
      </c>
      <c r="AL3601">
        <v>80.150300714591296</v>
      </c>
      <c r="AM3601">
        <v>88.481898732660895</v>
      </c>
      <c r="AN3601">
        <v>1.00000003643877</v>
      </c>
    </row>
    <row r="3602" spans="1:40" x14ac:dyDescent="0.25">
      <c r="A3602" t="str">
        <f>"20190312172441464"</f>
        <v>20190312172441464</v>
      </c>
      <c r="B3602" t="str">
        <f>"1552382681453537"</f>
        <v>1552382681453537</v>
      </c>
      <c r="C3602" t="s">
        <v>40</v>
      </c>
      <c r="D3602">
        <v>3.605966</v>
      </c>
      <c r="E3602">
        <v>0.49758629999999998</v>
      </c>
      <c r="F3602" t="s">
        <v>47</v>
      </c>
      <c r="G3602">
        <v>-270.1737</v>
      </c>
      <c r="H3602" s="1">
        <v>-1.447551E-6</v>
      </c>
      <c r="I3602">
        <v>214.68940000000001</v>
      </c>
      <c r="J3602">
        <v>-299.34410000000003</v>
      </c>
      <c r="K3602">
        <v>1.1095109999999999</v>
      </c>
      <c r="L3602">
        <v>214.73929999999999</v>
      </c>
      <c r="M3602">
        <v>0.99984030000000002</v>
      </c>
      <c r="N3602">
        <v>0</v>
      </c>
      <c r="O3602">
        <v>1.4989499999999999E-2</v>
      </c>
      <c r="P3602">
        <v>0.986846</v>
      </c>
      <c r="Q3602">
        <v>0.16128629999999999</v>
      </c>
      <c r="R3602">
        <v>-1.1037440000000001E-2</v>
      </c>
      <c r="S3602">
        <v>3.0588069999999998</v>
      </c>
      <c r="T3602">
        <v>-0.11475829999999999</v>
      </c>
      <c r="U3602">
        <v>-4.5471189999999996E-3</v>
      </c>
      <c r="V3602">
        <v>2.5848139999999999E-2</v>
      </c>
      <c r="W3602">
        <v>0.17088329999999999</v>
      </c>
      <c r="X3602">
        <v>0.98495220000000006</v>
      </c>
      <c r="Y3602">
        <v>1.6454469999999999E-2</v>
      </c>
      <c r="Z3602">
        <v>-8.7073539999999903E-4</v>
      </c>
      <c r="AA3602">
        <v>0.99986419999999998</v>
      </c>
      <c r="AB3602">
        <v>40</v>
      </c>
      <c r="AC3602">
        <v>29.170400000000001</v>
      </c>
      <c r="AD3602">
        <v>-1.1095124475509901</v>
      </c>
      <c r="AE3602">
        <v>-4.98999999999796E-2</v>
      </c>
      <c r="AF3602">
        <v>0.48646104405644702</v>
      </c>
      <c r="AG3602">
        <v>-1.1095124475509901</v>
      </c>
      <c r="AH3602">
        <v>29.124240394069499</v>
      </c>
      <c r="AI3602">
        <v>92.181371955256907</v>
      </c>
      <c r="AJ3602">
        <v>89.043079827301995</v>
      </c>
      <c r="AK3602">
        <v>29.1494260792593</v>
      </c>
      <c r="AL3602">
        <v>80.160820377298407</v>
      </c>
      <c r="AM3602">
        <v>88.496729601390498</v>
      </c>
      <c r="AN3602">
        <v>1.0000000324225899</v>
      </c>
    </row>
    <row r="3603" spans="1:40" x14ac:dyDescent="0.25">
      <c r="A3603" t="str">
        <f>"20190312172441484"</f>
        <v>20190312172441484</v>
      </c>
      <c r="B3603" t="str">
        <f>"1552382681474033"</f>
        <v>1552382681474033</v>
      </c>
      <c r="C3603" t="s">
        <v>40</v>
      </c>
      <c r="D3603">
        <v>3.6063969999999999</v>
      </c>
      <c r="E3603">
        <v>0.4976121</v>
      </c>
      <c r="F3603" t="s">
        <v>47</v>
      </c>
      <c r="G3603">
        <v>-269.9255</v>
      </c>
      <c r="H3603" s="1">
        <v>3.7415929999999999E-6</v>
      </c>
      <c r="I3603">
        <v>214.69589999999999</v>
      </c>
      <c r="J3603">
        <v>-298.96190000000001</v>
      </c>
      <c r="K3603">
        <v>1.1095120000000001</v>
      </c>
      <c r="L3603">
        <v>214.74510000000001</v>
      </c>
      <c r="M3603">
        <v>0.99984059999999997</v>
      </c>
      <c r="N3603">
        <v>0</v>
      </c>
      <c r="O3603">
        <v>1.496334E-2</v>
      </c>
      <c r="P3603">
        <v>0.98682159999999997</v>
      </c>
      <c r="Q3603">
        <v>0.1614256</v>
      </c>
      <c r="R3603">
        <v>-1.12008E-2</v>
      </c>
      <c r="S3603">
        <v>3.0588069999999998</v>
      </c>
      <c r="T3603">
        <v>-0.1153613</v>
      </c>
      <c r="U3603">
        <v>-4.5166019999999998E-3</v>
      </c>
      <c r="V3603">
        <v>2.5985230000000002E-2</v>
      </c>
      <c r="W3603">
        <v>0.17103360000000001</v>
      </c>
      <c r="X3603">
        <v>0.98492250000000003</v>
      </c>
      <c r="Y3603">
        <v>1.6418140000000001E-2</v>
      </c>
      <c r="Z3603">
        <v>-8.7363689999999999E-4</v>
      </c>
      <c r="AA3603">
        <v>0.9998648</v>
      </c>
      <c r="AB3603">
        <v>40</v>
      </c>
      <c r="AC3603">
        <v>29.0364</v>
      </c>
      <c r="AD3603">
        <v>-1.109508258407</v>
      </c>
      <c r="AE3603">
        <v>-4.9200000000013198E-2</v>
      </c>
      <c r="AF3603">
        <v>0.48299142624021102</v>
      </c>
      <c r="AG3603">
        <v>-1.109508258407</v>
      </c>
      <c r="AH3603">
        <v>28.990085017759601</v>
      </c>
      <c r="AI3603">
        <v>92.191449998721595</v>
      </c>
      <c r="AJ3603">
        <v>89.045507793501301</v>
      </c>
      <c r="AK3603">
        <v>29.015329028467399</v>
      </c>
      <c r="AL3603">
        <v>80.152080103977596</v>
      </c>
      <c r="AM3603">
        <v>88.488714889312803</v>
      </c>
      <c r="AN3603">
        <v>1.0000000277566801</v>
      </c>
    </row>
    <row r="3604" spans="1:40" x14ac:dyDescent="0.25">
      <c r="A3604" t="str">
        <f>"20190312172441506"</f>
        <v>20190312172441506</v>
      </c>
      <c r="B3604" t="str">
        <f>"1552382681493553"</f>
        <v>1552382681493553</v>
      </c>
      <c r="C3604" t="s">
        <v>40</v>
      </c>
      <c r="D3604">
        <v>3.561026</v>
      </c>
      <c r="E3604">
        <v>0.49767630000000002</v>
      </c>
      <c r="F3604" t="s">
        <v>47</v>
      </c>
      <c r="G3604">
        <v>-269.4599</v>
      </c>
      <c r="H3604" s="1">
        <v>3.4937900000000001E-6</v>
      </c>
      <c r="I3604">
        <v>214.69649999999999</v>
      </c>
      <c r="J3604">
        <v>-298.57470000000001</v>
      </c>
      <c r="K3604">
        <v>1.1095120000000001</v>
      </c>
      <c r="L3604">
        <v>214.7508</v>
      </c>
      <c r="M3604">
        <v>0.99984079999999997</v>
      </c>
      <c r="N3604">
        <v>0</v>
      </c>
      <c r="O3604">
        <v>1.493717E-2</v>
      </c>
      <c r="P3604">
        <v>0.98681629999999998</v>
      </c>
      <c r="Q3604">
        <v>0.1614275</v>
      </c>
      <c r="R3604">
        <v>-1.1615449999999999E-2</v>
      </c>
      <c r="S3604">
        <v>3.0588380000000002</v>
      </c>
      <c r="T3604">
        <v>-0.11503620000000001</v>
      </c>
      <c r="U3604">
        <v>-5.0353999999999998E-3</v>
      </c>
      <c r="V3604">
        <v>2.6374140000000001E-2</v>
      </c>
      <c r="W3604">
        <v>0.17104629999999901</v>
      </c>
      <c r="X3604">
        <v>0.98490999999999995</v>
      </c>
      <c r="Y3604">
        <v>1.6561590000000001E-2</v>
      </c>
      <c r="Z3604">
        <v>-8.7288120000000001E-4</v>
      </c>
      <c r="AA3604">
        <v>0.99986249999999999</v>
      </c>
      <c r="AB3604">
        <v>40</v>
      </c>
      <c r="AC3604">
        <v>29.114799999999999</v>
      </c>
      <c r="AD3604">
        <v>-1.1095085062100001</v>
      </c>
      <c r="AE3604">
        <v>-5.4300000000011998E-2</v>
      </c>
      <c r="AF3604">
        <v>0.48849796691398201</v>
      </c>
      <c r="AG3604">
        <v>-1.1095085062100001</v>
      </c>
      <c r="AH3604">
        <v>29.068526480280401</v>
      </c>
      <c r="AI3604">
        <v>92.185537320821993</v>
      </c>
      <c r="AJ3604">
        <v>89.037232331171296</v>
      </c>
      <c r="AK3604">
        <v>29.0937943748112</v>
      </c>
      <c r="AL3604">
        <v>80.151341985257105</v>
      </c>
      <c r="AM3604">
        <v>88.466087389321999</v>
      </c>
      <c r="AN3604">
        <v>1.00000007005221</v>
      </c>
    </row>
    <row r="3605" spans="1:40" x14ac:dyDescent="0.25">
      <c r="A3605" t="str">
        <f>"20190312172441528"</f>
        <v>20190312172441528</v>
      </c>
      <c r="B3605" t="str">
        <f>"1552382681523810"</f>
        <v>1552382681523810</v>
      </c>
      <c r="C3605" t="s">
        <v>40</v>
      </c>
      <c r="D3605">
        <v>3.6188069999999999</v>
      </c>
      <c r="E3605">
        <v>0.4977685</v>
      </c>
      <c r="F3605" t="s">
        <v>47</v>
      </c>
      <c r="G3605">
        <v>-269.11130000000003</v>
      </c>
      <c r="H3605" s="1">
        <v>3.3085869999999998E-6</v>
      </c>
      <c r="I3605">
        <v>214.6893</v>
      </c>
      <c r="J3605">
        <v>-298.16759999999999</v>
      </c>
      <c r="K3605">
        <v>1.1095109999999999</v>
      </c>
      <c r="L3605">
        <v>214.7569</v>
      </c>
      <c r="M3605">
        <v>0.99984119999999999</v>
      </c>
      <c r="N3605">
        <v>0</v>
      </c>
      <c r="O3605">
        <v>1.4909520000000001E-2</v>
      </c>
      <c r="P3605">
        <v>0.98686910000000005</v>
      </c>
      <c r="Q3605">
        <v>0.1611408</v>
      </c>
      <c r="R3605">
        <v>-1.111035E-2</v>
      </c>
      <c r="S3605">
        <v>3.0588380000000002</v>
      </c>
      <c r="T3605">
        <v>-0.11518689999999999</v>
      </c>
      <c r="U3605">
        <v>-6.3934329999999996E-3</v>
      </c>
      <c r="V3605">
        <v>2.5842560000000001E-2</v>
      </c>
      <c r="W3605">
        <v>0.17077139999999999</v>
      </c>
      <c r="X3605">
        <v>0.98497170000000001</v>
      </c>
      <c r="Y3605">
        <v>1.6977510000000001E-2</v>
      </c>
      <c r="Z3605">
        <v>-8.8081100000000001E-4</v>
      </c>
      <c r="AA3605">
        <v>0.99985550000000001</v>
      </c>
      <c r="AB3605">
        <v>40</v>
      </c>
      <c r="AC3605">
        <v>29.056299999999901</v>
      </c>
      <c r="AD3605">
        <v>-1.109507691413</v>
      </c>
      <c r="AE3605">
        <v>-6.7599999999998703E-2</v>
      </c>
      <c r="AF3605">
        <v>0.50009943260513201</v>
      </c>
      <c r="AG3605">
        <v>-1.109507691413</v>
      </c>
      <c r="AH3605">
        <v>29.009763866659299</v>
      </c>
      <c r="AI3605">
        <v>92.189942308925197</v>
      </c>
      <c r="AJ3605">
        <v>89.012375660571905</v>
      </c>
      <c r="AK3605">
        <v>29.035280373351402</v>
      </c>
      <c r="AL3605">
        <v>80.167326895310694</v>
      </c>
      <c r="AM3605">
        <v>88.497083713895407</v>
      </c>
      <c r="AN3605">
        <v>0.99999997938310103</v>
      </c>
    </row>
    <row r="3606" spans="1:40" x14ac:dyDescent="0.25">
      <c r="A3606" t="str">
        <f>"20190312172441552"</f>
        <v>20190312172441552</v>
      </c>
      <c r="B3606" t="str">
        <f>"1552382681544309"</f>
        <v>1552382681544309</v>
      </c>
      <c r="C3606" t="s">
        <v>40</v>
      </c>
      <c r="D3606">
        <v>3.5688849999999999</v>
      </c>
      <c r="E3606">
        <v>0.49781530000000002</v>
      </c>
      <c r="F3606" t="s">
        <v>47</v>
      </c>
      <c r="G3606">
        <v>-268.95830000000001</v>
      </c>
      <c r="H3606" s="1">
        <v>3.2266729999999998E-6</v>
      </c>
      <c r="I3606">
        <v>214.7002</v>
      </c>
      <c r="J3606">
        <v>-297.75689999999997</v>
      </c>
      <c r="K3606">
        <v>1.1095060000000001</v>
      </c>
      <c r="L3606">
        <v>214.76300000000001</v>
      </c>
      <c r="M3606">
        <v>0.99984150000000005</v>
      </c>
      <c r="N3606">
        <v>0</v>
      </c>
      <c r="O3606">
        <v>1.4881510000000001E-2</v>
      </c>
      <c r="P3606">
        <v>0.98688920000000002</v>
      </c>
      <c r="Q3606">
        <v>0.161039299999999</v>
      </c>
      <c r="R3606">
        <v>-1.078459E-2</v>
      </c>
      <c r="S3606">
        <v>3.0588380000000002</v>
      </c>
      <c r="T3606">
        <v>-0.116188899999999</v>
      </c>
      <c r="U3606">
        <v>-5.9356690000000002E-3</v>
      </c>
      <c r="V3606">
        <v>2.5489620000000001E-2</v>
      </c>
      <c r="W3606">
        <v>0.17068129999999901</v>
      </c>
      <c r="X3606">
        <v>0.9849966</v>
      </c>
      <c r="Y3606">
        <v>1.6799620000000001E-2</v>
      </c>
      <c r="Z3606">
        <v>-8.8402659999999998E-4</v>
      </c>
      <c r="AA3606">
        <v>0.99985849999999998</v>
      </c>
      <c r="AB3606">
        <v>40</v>
      </c>
      <c r="AC3606">
        <v>28.798599999999901</v>
      </c>
      <c r="AD3606">
        <v>-1.109502773327</v>
      </c>
      <c r="AE3606">
        <v>-6.2800000000009903E-2</v>
      </c>
      <c r="AF3606">
        <v>0.49065190953665699</v>
      </c>
      <c r="AG3606">
        <v>-1.109502773327</v>
      </c>
      <c r="AH3606">
        <v>28.751800713157898</v>
      </c>
      <c r="AI3606">
        <v>92.209568033221601</v>
      </c>
      <c r="AJ3606">
        <v>89.022337576082606</v>
      </c>
      <c r="AK3606">
        <v>28.7773831324097</v>
      </c>
      <c r="AL3606">
        <v>80.172567009920499</v>
      </c>
      <c r="AM3606">
        <v>88.517637751220605</v>
      </c>
      <c r="AN3606">
        <v>1.00000006445449</v>
      </c>
    </row>
    <row r="3607" spans="1:40" x14ac:dyDescent="0.25">
      <c r="A3607" t="str">
        <f>"20190312172441573"</f>
        <v>20190312172441573</v>
      </c>
      <c r="B3607" t="str">
        <f>"1552382681563828"</f>
        <v>1552382681563828</v>
      </c>
      <c r="C3607" t="s">
        <v>40</v>
      </c>
      <c r="D3607">
        <v>3.5873699999999902</v>
      </c>
      <c r="E3607">
        <v>0.49788300000000002</v>
      </c>
      <c r="F3607" t="s">
        <v>47</v>
      </c>
      <c r="G3607">
        <v>-268.68849999999998</v>
      </c>
      <c r="H3607" s="1">
        <v>3.0828840000000001E-6</v>
      </c>
      <c r="I3607">
        <v>214.70590000000001</v>
      </c>
      <c r="J3607">
        <v>-297.35840000000002</v>
      </c>
      <c r="K3607">
        <v>1.1095079999999999</v>
      </c>
      <c r="L3607">
        <v>214.7689</v>
      </c>
      <c r="M3607">
        <v>0.99984189999999995</v>
      </c>
      <c r="N3607">
        <v>0</v>
      </c>
      <c r="O3607">
        <v>1.4854040000000001E-2</v>
      </c>
      <c r="P3607">
        <v>0.9868574</v>
      </c>
      <c r="Q3607">
        <v>0.161236299999999</v>
      </c>
      <c r="R3607">
        <v>-1.0770470000000001E-2</v>
      </c>
      <c r="S3607">
        <v>3.0588380000000002</v>
      </c>
      <c r="T3607">
        <v>-0.11675190000000001</v>
      </c>
      <c r="U3607">
        <v>-6.0119630000000004E-3</v>
      </c>
      <c r="V3607">
        <v>2.5447850000000001E-2</v>
      </c>
      <c r="W3607">
        <v>0.1708875</v>
      </c>
      <c r="X3607">
        <v>0.98496189999999995</v>
      </c>
      <c r="Y3607">
        <v>1.6796889999999998E-2</v>
      </c>
      <c r="Z3607">
        <v>-8.8720719999999995E-4</v>
      </c>
      <c r="AA3607">
        <v>0.99985860000000004</v>
      </c>
      <c r="AB3607">
        <v>40</v>
      </c>
      <c r="AC3607">
        <v>28.669899999999998</v>
      </c>
      <c r="AD3607">
        <v>-1.1095049171160001</v>
      </c>
      <c r="AE3607">
        <v>-6.2999999999988093E-2</v>
      </c>
      <c r="AF3607">
        <v>0.488146172012829</v>
      </c>
      <c r="AG3607">
        <v>-1.1095049171160001</v>
      </c>
      <c r="AH3607">
        <v>28.6229342612761</v>
      </c>
      <c r="AI3607">
        <v>92.219510734445805</v>
      </c>
      <c r="AJ3607">
        <v>89.022951173430698</v>
      </c>
      <c r="AK3607">
        <v>28.648589032824798</v>
      </c>
      <c r="AL3607">
        <v>80.160576193899701</v>
      </c>
      <c r="AM3607">
        <v>88.520013711755297</v>
      </c>
      <c r="AN3607">
        <v>1.0000000375887399</v>
      </c>
    </row>
    <row r="3608" spans="1:40" x14ac:dyDescent="0.25">
      <c r="A3608" t="str">
        <f>"20190312172441595"</f>
        <v>20190312172441595</v>
      </c>
      <c r="B3608" t="str">
        <f>"1552382681584322"</f>
        <v>1552382681584322</v>
      </c>
      <c r="C3608" t="s">
        <v>40</v>
      </c>
      <c r="D3608">
        <v>3.6165069999999999</v>
      </c>
      <c r="E3608">
        <v>0.49795270000000003</v>
      </c>
      <c r="F3608" t="s">
        <v>47</v>
      </c>
      <c r="G3608">
        <v>-268.23</v>
      </c>
      <c r="H3608" s="1">
        <v>2.8386889999999999E-6</v>
      </c>
      <c r="I3608">
        <v>214.71080000000001</v>
      </c>
      <c r="J3608">
        <v>-296.9742</v>
      </c>
      <c r="K3608">
        <v>1.1095139999999999</v>
      </c>
      <c r="L3608">
        <v>214.77459999999999</v>
      </c>
      <c r="M3608">
        <v>0.99984200000000001</v>
      </c>
      <c r="N3608">
        <v>0</v>
      </c>
      <c r="O3608">
        <v>1.482723E-2</v>
      </c>
      <c r="P3608">
        <v>0.98687440000000004</v>
      </c>
      <c r="Q3608">
        <v>0.16111389999999901</v>
      </c>
      <c r="R3608">
        <v>-1.102005E-2</v>
      </c>
      <c r="S3608">
        <v>3.0588989999999998</v>
      </c>
      <c r="T3608">
        <v>-0.1165141</v>
      </c>
      <c r="U3608">
        <v>-6.1035159999999998E-3</v>
      </c>
      <c r="V3608">
        <v>2.56715E-2</v>
      </c>
      <c r="W3608">
        <v>0.17077479999999901</v>
      </c>
      <c r="X3608">
        <v>0.98497559999999995</v>
      </c>
      <c r="Y3608">
        <v>1.6800079999999998E-2</v>
      </c>
      <c r="Z3608">
        <v>-8.8442350000000002E-4</v>
      </c>
      <c r="AA3608">
        <v>0.99985849999999998</v>
      </c>
      <c r="AB3608">
        <v>40</v>
      </c>
      <c r="AC3608">
        <v>28.7441999999999</v>
      </c>
      <c r="AD3608">
        <v>-1.10951116131099</v>
      </c>
      <c r="AE3608">
        <v>-6.3799999999986298E-2</v>
      </c>
      <c r="AF3608">
        <v>0.48928135026672398</v>
      </c>
      <c r="AG3608">
        <v>-1.10951116131099</v>
      </c>
      <c r="AH3608">
        <v>28.6973373191618</v>
      </c>
      <c r="AI3608">
        <v>92.213774604758299</v>
      </c>
      <c r="AJ3608">
        <v>89.023218073372306</v>
      </c>
      <c r="AK3608">
        <v>28.722945191371799</v>
      </c>
      <c r="AL3608">
        <v>80.167129344541905</v>
      </c>
      <c r="AM3608">
        <v>88.507033378812494</v>
      </c>
      <c r="AN3608">
        <v>0.99999999541132401</v>
      </c>
    </row>
    <row r="3609" spans="1:40" x14ac:dyDescent="0.25">
      <c r="A3609" t="str">
        <f>"20190312172441618"</f>
        <v>20190312172441618</v>
      </c>
      <c r="B3609" t="str">
        <f>"1552382681613602"</f>
        <v>1552382681613602</v>
      </c>
      <c r="C3609" t="s">
        <v>40</v>
      </c>
      <c r="D3609">
        <v>3.6078730000000001</v>
      </c>
      <c r="E3609">
        <v>0.49806099999999998</v>
      </c>
      <c r="F3609" t="s">
        <v>47</v>
      </c>
      <c r="G3609">
        <v>-268.0052</v>
      </c>
      <c r="H3609" s="1">
        <v>2.7190909999999999E-6</v>
      </c>
      <c r="I3609">
        <v>214.7098</v>
      </c>
      <c r="J3609">
        <v>-296.56319999999999</v>
      </c>
      <c r="K3609">
        <v>1.10951</v>
      </c>
      <c r="L3609">
        <v>214.7807</v>
      </c>
      <c r="M3609">
        <v>0.99984249999999997</v>
      </c>
      <c r="N3609">
        <v>0</v>
      </c>
      <c r="O3609">
        <v>1.479802E-2</v>
      </c>
      <c r="P3609">
        <v>0.98684720000000004</v>
      </c>
      <c r="Q3609">
        <v>0.16125909999999999</v>
      </c>
      <c r="R3609">
        <v>-1.133491E-2</v>
      </c>
      <c r="S3609">
        <v>3.058929</v>
      </c>
      <c r="T3609">
        <v>-0.1171566</v>
      </c>
      <c r="U3609">
        <v>-6.8359379999999997E-3</v>
      </c>
      <c r="V3609">
        <v>2.5957350000000001E-2</v>
      </c>
      <c r="W3609">
        <v>0.17092929999999901</v>
      </c>
      <c r="X3609">
        <v>0.98494130000000002</v>
      </c>
      <c r="Y3609">
        <v>1.700987E-2</v>
      </c>
      <c r="Z3609">
        <v>-8.9218649999999995E-4</v>
      </c>
      <c r="AA3609">
        <v>0.99985489999999999</v>
      </c>
      <c r="AB3609">
        <v>40</v>
      </c>
      <c r="AC3609">
        <v>28.558</v>
      </c>
      <c r="AD3609">
        <v>-1.1095072809090001</v>
      </c>
      <c r="AE3609">
        <v>-7.0899999999994606E-2</v>
      </c>
      <c r="AF3609">
        <v>0.49277059212469698</v>
      </c>
      <c r="AG3609">
        <v>-1.1095072809090001</v>
      </c>
      <c r="AH3609">
        <v>28.5107895042823</v>
      </c>
      <c r="AI3609">
        <v>92.228228190118003</v>
      </c>
      <c r="AJ3609">
        <v>89.009818218767904</v>
      </c>
      <c r="AK3609">
        <v>28.5366246676152</v>
      </c>
      <c r="AL3609">
        <v>80.158144964405096</v>
      </c>
      <c r="AM3609">
        <v>88.490364424596606</v>
      </c>
      <c r="AN3609">
        <v>0.99999998703160098</v>
      </c>
    </row>
    <row r="3610" spans="1:40" x14ac:dyDescent="0.25">
      <c r="A3610" t="str">
        <f>"20190312172441643"</f>
        <v>20190312172441643</v>
      </c>
      <c r="B3610" t="str">
        <f>"1552382681634097"</f>
        <v>1552382681634097</v>
      </c>
      <c r="C3610" t="s">
        <v>40</v>
      </c>
      <c r="D3610">
        <v>3.6122019999999999</v>
      </c>
      <c r="E3610">
        <v>0.49814380000000003</v>
      </c>
      <c r="F3610" t="s">
        <v>47</v>
      </c>
      <c r="G3610">
        <v>-267.6379</v>
      </c>
      <c r="H3610" s="1">
        <v>2.5239760000000001E-6</v>
      </c>
      <c r="I3610">
        <v>214.70160000000001</v>
      </c>
      <c r="J3610">
        <v>-296.1148</v>
      </c>
      <c r="K3610">
        <v>1.10951</v>
      </c>
      <c r="L3610">
        <v>214.78729999999999</v>
      </c>
      <c r="M3610">
        <v>0.99984289999999998</v>
      </c>
      <c r="N3610">
        <v>0</v>
      </c>
      <c r="O3610">
        <v>1.4765840000000001E-2</v>
      </c>
      <c r="P3610">
        <v>0.9868131</v>
      </c>
      <c r="Q3610">
        <v>0.16143759999999999</v>
      </c>
      <c r="R3610">
        <v>-1.1762369999999999E-2</v>
      </c>
      <c r="S3610">
        <v>3.0590519999999999</v>
      </c>
      <c r="T3610">
        <v>-0.1173381</v>
      </c>
      <c r="U3610">
        <v>-8.3618159999999993E-3</v>
      </c>
      <c r="V3610">
        <v>2.6352739999999999E-2</v>
      </c>
      <c r="W3610">
        <v>0.171117299999999</v>
      </c>
      <c r="X3610">
        <v>0.9848981</v>
      </c>
      <c r="Y3610">
        <v>1.7475939999999999E-2</v>
      </c>
      <c r="Z3610">
        <v>-9.0123269999999999E-4</v>
      </c>
      <c r="AA3610">
        <v>0.99984689999999998</v>
      </c>
      <c r="AB3610">
        <v>40</v>
      </c>
      <c r="AC3610">
        <v>28.476900000000001</v>
      </c>
      <c r="AD3610">
        <v>-1.109507476024</v>
      </c>
      <c r="AE3610">
        <v>-8.5699999999974297E-2</v>
      </c>
      <c r="AF3610">
        <v>0.50542898037444794</v>
      </c>
      <c r="AG3610">
        <v>-1.109507476024</v>
      </c>
      <c r="AH3610">
        <v>28.429373905147699</v>
      </c>
      <c r="AI3610">
        <v>92.234583931991594</v>
      </c>
      <c r="AJ3610">
        <v>88.981479611227996</v>
      </c>
      <c r="AK3610">
        <v>28.4555050198068</v>
      </c>
      <c r="AL3610">
        <v>80.147211741983497</v>
      </c>
      <c r="AM3610">
        <v>88.467312903858499</v>
      </c>
      <c r="AN3610">
        <v>0.99999993232420104</v>
      </c>
    </row>
    <row r="3611" spans="1:40" x14ac:dyDescent="0.25">
      <c r="A3611" t="str">
        <f>"20190312172441664"</f>
        <v>20190312172441664</v>
      </c>
      <c r="B3611" t="str">
        <f>"1552382681653618"</f>
        <v>1552382681653618</v>
      </c>
      <c r="C3611" t="s">
        <v>40</v>
      </c>
      <c r="D3611">
        <v>3.6246170000000002</v>
      </c>
      <c r="E3611">
        <v>0.4982163</v>
      </c>
      <c r="F3611" t="s">
        <v>47</v>
      </c>
      <c r="G3611">
        <v>-267.16300000000001</v>
      </c>
      <c r="H3611" s="1">
        <v>2.2719339999999999E-6</v>
      </c>
      <c r="I3611">
        <v>214.68629999999999</v>
      </c>
      <c r="J3611">
        <v>-295.73200000000003</v>
      </c>
      <c r="K3611">
        <v>1.109507</v>
      </c>
      <c r="L3611">
        <v>214.7929</v>
      </c>
      <c r="M3611">
        <v>0.99984309999999998</v>
      </c>
      <c r="N3611">
        <v>0</v>
      </c>
      <c r="O3611">
        <v>1.4738370000000001E-2</v>
      </c>
      <c r="P3611">
        <v>0.98680109999999999</v>
      </c>
      <c r="Q3611">
        <v>0.1615086</v>
      </c>
      <c r="R3611">
        <v>-1.1773260000000001E-2</v>
      </c>
      <c r="S3611">
        <v>3.0591430000000002</v>
      </c>
      <c r="T3611">
        <v>-0.11723409999999999</v>
      </c>
      <c r="U3611">
        <v>-1.0665890000000001E-2</v>
      </c>
      <c r="V3611">
        <v>2.6336559999999998E-2</v>
      </c>
      <c r="W3611">
        <v>0.17119709999999999</v>
      </c>
      <c r="X3611">
        <v>0.98488469999999995</v>
      </c>
      <c r="Y3611">
        <v>1.8200979999999999E-2</v>
      </c>
      <c r="Z3611">
        <v>-9.1324329999999999E-4</v>
      </c>
      <c r="AA3611">
        <v>0.99983390000000005</v>
      </c>
      <c r="AB3611">
        <v>40</v>
      </c>
      <c r="AC3611">
        <v>28.568999999999999</v>
      </c>
      <c r="AD3611">
        <v>-1.109504728066</v>
      </c>
      <c r="AE3611">
        <v>-0.106600000000014</v>
      </c>
      <c r="AF3611">
        <v>0.52687460414543497</v>
      </c>
      <c r="AG3611">
        <v>-1.109504728066</v>
      </c>
      <c r="AH3611">
        <v>28.521309312099</v>
      </c>
      <c r="AI3611">
        <v>92.227354738169396</v>
      </c>
      <c r="AJ3611">
        <v>88.941694518664704</v>
      </c>
      <c r="AK3611">
        <v>28.547743912024298</v>
      </c>
      <c r="AL3611">
        <v>80.142571403212898</v>
      </c>
      <c r="AM3611">
        <v>88.468232660930795</v>
      </c>
      <c r="AN3611">
        <v>0.99999996686756598</v>
      </c>
    </row>
    <row r="3612" spans="1:40" x14ac:dyDescent="0.25">
      <c r="A3612" t="str">
        <f>"20190312172441685"</f>
        <v>20190312172441685</v>
      </c>
      <c r="B3612" t="str">
        <f>"1552382681674114"</f>
        <v>1552382681674114</v>
      </c>
      <c r="C3612" t="s">
        <v>40</v>
      </c>
      <c r="D3612">
        <v>3.6102850000000002</v>
      </c>
      <c r="E3612">
        <v>0.49829299999999999</v>
      </c>
      <c r="F3612" t="s">
        <v>47</v>
      </c>
      <c r="G3612">
        <v>-266.81760000000003</v>
      </c>
      <c r="H3612" s="1">
        <v>2.0881949999999998E-6</v>
      </c>
      <c r="I3612">
        <v>214.68549999999999</v>
      </c>
      <c r="J3612">
        <v>-295.34410000000003</v>
      </c>
      <c r="K3612">
        <v>1.109507</v>
      </c>
      <c r="L3612">
        <v>214.79859999999999</v>
      </c>
      <c r="M3612">
        <v>0.99984340000000005</v>
      </c>
      <c r="N3612">
        <v>0</v>
      </c>
      <c r="O3612">
        <v>1.47099E-2</v>
      </c>
      <c r="P3612">
        <v>0.98672990000000005</v>
      </c>
      <c r="Q3612">
        <v>0.16192670000000001</v>
      </c>
      <c r="R3612">
        <v>-1.2008700000000001E-2</v>
      </c>
      <c r="S3612">
        <v>3.0592350000000001</v>
      </c>
      <c r="T3612">
        <v>-0.1173893</v>
      </c>
      <c r="U3612">
        <v>-1.1367800000000001E-2</v>
      </c>
      <c r="V3612">
        <v>2.6542960000000001E-2</v>
      </c>
      <c r="W3612">
        <v>0.17162269999999999</v>
      </c>
      <c r="X3612">
        <v>0.98480509999999999</v>
      </c>
      <c r="Y3612">
        <v>1.8401609999999999E-2</v>
      </c>
      <c r="Z3612">
        <v>-9.1717960000000005E-4</v>
      </c>
      <c r="AA3612">
        <v>0.9998302</v>
      </c>
      <c r="AB3612">
        <v>40</v>
      </c>
      <c r="AC3612">
        <v>28.526499999999999</v>
      </c>
      <c r="AD3612">
        <v>-1.109504911805</v>
      </c>
      <c r="AE3612">
        <v>-0.113100000000002</v>
      </c>
      <c r="AF3612">
        <v>0.53192538718320104</v>
      </c>
      <c r="AG3612">
        <v>-1.109504911805</v>
      </c>
      <c r="AH3612">
        <v>28.478669598975898</v>
      </c>
      <c r="AI3612">
        <v>92.230678166244104</v>
      </c>
      <c r="AJ3612">
        <v>88.929952251787896</v>
      </c>
      <c r="AK3612">
        <v>28.5052375519743</v>
      </c>
      <c r="AL3612">
        <v>80.117820147957104</v>
      </c>
      <c r="AM3612">
        <v>88.456109245336094</v>
      </c>
      <c r="AN3612">
        <v>0.99999998243343002</v>
      </c>
    </row>
    <row r="3613" spans="1:40" x14ac:dyDescent="0.25">
      <c r="A3613" t="str">
        <f>"20190312172441708"</f>
        <v>20190312172441708</v>
      </c>
      <c r="B3613" t="str">
        <f>"1552382681704370"</f>
        <v>1552382681704370</v>
      </c>
      <c r="C3613" t="s">
        <v>40</v>
      </c>
      <c r="D3613">
        <v>3.625197</v>
      </c>
      <c r="E3613">
        <v>0.49845739999999999</v>
      </c>
      <c r="F3613" t="s">
        <v>47</v>
      </c>
      <c r="G3613">
        <v>-266.21319999999997</v>
      </c>
      <c r="H3613" s="1">
        <v>1.7668709999999901E-6</v>
      </c>
      <c r="I3613">
        <v>214.67840000000001</v>
      </c>
      <c r="J3613">
        <v>-294.94150000000002</v>
      </c>
      <c r="K3613">
        <v>1.109504</v>
      </c>
      <c r="L3613">
        <v>214.80449999999999</v>
      </c>
      <c r="M3613">
        <v>0.99984379999999995</v>
      </c>
      <c r="N3613">
        <v>0</v>
      </c>
      <c r="O3613">
        <v>1.4679869999999999E-2</v>
      </c>
      <c r="P3613">
        <v>0.98674430000000002</v>
      </c>
      <c r="Q3613">
        <v>0.16182149999999901</v>
      </c>
      <c r="R3613">
        <v>-1.2239420000000001E-2</v>
      </c>
      <c r="S3613">
        <v>3.059326</v>
      </c>
      <c r="T3613">
        <v>-0.1165204</v>
      </c>
      <c r="U3613">
        <v>-1.261902E-2</v>
      </c>
      <c r="V3613">
        <v>2.6744259999999999E-2</v>
      </c>
      <c r="W3613">
        <v>0.17152600000000001</v>
      </c>
      <c r="X3613">
        <v>0.98481660000000004</v>
      </c>
      <c r="Y3613">
        <v>1.878049E-2</v>
      </c>
      <c r="Z3613">
        <v>-9.1643750000000004E-4</v>
      </c>
      <c r="AA3613">
        <v>0.99982320000000002</v>
      </c>
      <c r="AB3613">
        <v>40</v>
      </c>
      <c r="AC3613">
        <v>28.728300000000001</v>
      </c>
      <c r="AD3613">
        <v>-1.1095022331290001</v>
      </c>
      <c r="AE3613">
        <v>-0.12609999999997901</v>
      </c>
      <c r="AF3613">
        <v>0.54701866192749504</v>
      </c>
      <c r="AG3613">
        <v>-1.1095022331290001</v>
      </c>
      <c r="AH3613">
        <v>28.680575299132599</v>
      </c>
      <c r="AI3613">
        <v>92.214968495783495</v>
      </c>
      <c r="AJ3613">
        <v>88.907341965025395</v>
      </c>
      <c r="AK3613">
        <v>28.707239924991601</v>
      </c>
      <c r="AL3613">
        <v>80.123445017795703</v>
      </c>
      <c r="AM3613">
        <v>88.444424370742894</v>
      </c>
      <c r="AN3613">
        <v>1.0000000798772499</v>
      </c>
    </row>
    <row r="3614" spans="1:40" x14ac:dyDescent="0.25">
      <c r="A3614" t="str">
        <f>"20190312172441731"</f>
        <v>20190312172441731</v>
      </c>
      <c r="B3614" t="str">
        <f>"1552382681723889"</f>
        <v>1552382681723889</v>
      </c>
      <c r="C3614" t="s">
        <v>40</v>
      </c>
      <c r="D3614">
        <v>3.6325020000000001</v>
      </c>
      <c r="E3614">
        <v>0.49858570000000002</v>
      </c>
      <c r="F3614" t="s">
        <v>47</v>
      </c>
      <c r="G3614">
        <v>-266.02879999999999</v>
      </c>
      <c r="H3614" s="1">
        <v>1.669154E-6</v>
      </c>
      <c r="I3614">
        <v>214.66839999999999</v>
      </c>
      <c r="J3614">
        <v>-294.524</v>
      </c>
      <c r="K3614">
        <v>1.1095010000000001</v>
      </c>
      <c r="L3614">
        <v>214.81059999999999</v>
      </c>
      <c r="M3614">
        <v>0.99984430000000002</v>
      </c>
      <c r="N3614">
        <v>0</v>
      </c>
      <c r="O3614">
        <v>1.4648349999999999E-2</v>
      </c>
      <c r="P3614">
        <v>0.98677510000000002</v>
      </c>
      <c r="Q3614">
        <v>0.16163640000000001</v>
      </c>
      <c r="R3614">
        <v>-1.220337E-2</v>
      </c>
      <c r="S3614">
        <v>3.0593870000000001</v>
      </c>
      <c r="T3614">
        <v>-0.11740159999999999</v>
      </c>
      <c r="U3614">
        <v>-1.44043E-2</v>
      </c>
      <c r="V3614">
        <v>2.667773E-2</v>
      </c>
      <c r="W3614">
        <v>0.171349799999999</v>
      </c>
      <c r="X3614">
        <v>0.98484899999999997</v>
      </c>
      <c r="Y3614">
        <v>1.9331560000000001E-2</v>
      </c>
      <c r="Z3614">
        <v>-9.3270430000000001E-4</v>
      </c>
      <c r="AA3614">
        <v>0.9998127</v>
      </c>
      <c r="AB3614">
        <v>40</v>
      </c>
      <c r="AC3614">
        <v>28.495200000000001</v>
      </c>
      <c r="AD3614">
        <v>-1.1094993308459999</v>
      </c>
      <c r="AE3614">
        <v>-0.14220000000000199</v>
      </c>
      <c r="AF3614">
        <v>0.558765518931575</v>
      </c>
      <c r="AG3614">
        <v>-1.1094993308459999</v>
      </c>
      <c r="AH3614">
        <v>28.446933660673299</v>
      </c>
      <c r="AI3614">
        <v>92.233111808032206</v>
      </c>
      <c r="AJ3614">
        <v>88.874719154512803</v>
      </c>
      <c r="AK3614">
        <v>28.474045065024502</v>
      </c>
      <c r="AL3614">
        <v>80.133691488331394</v>
      </c>
      <c r="AM3614">
        <v>88.448343207172897</v>
      </c>
      <c r="AN3614">
        <v>1.0000000040194901</v>
      </c>
    </row>
    <row r="3615" spans="1:40" x14ac:dyDescent="0.25">
      <c r="A3615" t="str">
        <f>"20190312172441753"</f>
        <v>20190312172441753</v>
      </c>
      <c r="B3615" t="str">
        <f>"1552382681744385"</f>
        <v>1552382681744385</v>
      </c>
      <c r="C3615" t="s">
        <v>40</v>
      </c>
      <c r="D3615">
        <v>3.5920719999999999</v>
      </c>
      <c r="E3615">
        <v>0.4986428</v>
      </c>
      <c r="F3615" t="s">
        <v>47</v>
      </c>
      <c r="G3615">
        <v>-265.875</v>
      </c>
      <c r="H3615" s="1">
        <v>1.587468E-6</v>
      </c>
      <c r="I3615">
        <v>214.66480000000001</v>
      </c>
      <c r="J3615">
        <v>-294.11880000000002</v>
      </c>
      <c r="K3615">
        <v>1.10949599999999</v>
      </c>
      <c r="L3615">
        <v>214.81649999999999</v>
      </c>
      <c r="M3615">
        <v>0.99984450000000002</v>
      </c>
      <c r="N3615">
        <v>0</v>
      </c>
      <c r="O3615">
        <v>1.4617369999999999E-2</v>
      </c>
      <c r="P3615">
        <v>0.98678060000000001</v>
      </c>
      <c r="Q3615">
        <v>0.16159419999999999</v>
      </c>
      <c r="R3615">
        <v>-1.230184E-2</v>
      </c>
      <c r="S3615">
        <v>3.059418</v>
      </c>
      <c r="T3615">
        <v>-0.1184829</v>
      </c>
      <c r="U3615">
        <v>-1.556396E-2</v>
      </c>
      <c r="V3615">
        <v>2.6745939999999999E-2</v>
      </c>
      <c r="W3615">
        <v>0.171316</v>
      </c>
      <c r="X3615">
        <v>0.98485299999999998</v>
      </c>
      <c r="Y3615">
        <v>1.96788E-2</v>
      </c>
      <c r="Z3615">
        <v>-9.4680090000000001E-4</v>
      </c>
      <c r="AA3615">
        <v>0.99980590000000003</v>
      </c>
      <c r="AB3615">
        <v>41</v>
      </c>
      <c r="AC3615">
        <v>28.2438</v>
      </c>
      <c r="AD3615">
        <v>-1.1094944125320001</v>
      </c>
      <c r="AE3615">
        <v>-0.15169999999997599</v>
      </c>
      <c r="AF3615">
        <v>0.56368413826658703</v>
      </c>
      <c r="AG3615">
        <v>-1.1094944125320001</v>
      </c>
      <c r="AH3615">
        <v>28.195057060572399</v>
      </c>
      <c r="AI3615">
        <v>92.253014953798399</v>
      </c>
      <c r="AJ3615">
        <v>88.854677961906106</v>
      </c>
      <c r="AK3615">
        <v>28.222508044256202</v>
      </c>
      <c r="AL3615">
        <v>80.135656856311599</v>
      </c>
      <c r="AM3615">
        <v>88.444384170995605</v>
      </c>
      <c r="AN3615">
        <v>0.99999997438574095</v>
      </c>
    </row>
    <row r="3616" spans="1:40" x14ac:dyDescent="0.25">
      <c r="A3616" t="str">
        <f>"20190312172441774"</f>
        <v>20190312172441774</v>
      </c>
      <c r="B3616" t="str">
        <f>"1552382681763905"</f>
        <v>1552382681763905</v>
      </c>
      <c r="C3616" t="s">
        <v>40</v>
      </c>
      <c r="D3616">
        <v>3.6313360000000001</v>
      </c>
      <c r="E3616">
        <v>0.49876860000000001</v>
      </c>
      <c r="F3616" t="s">
        <v>47</v>
      </c>
      <c r="G3616">
        <v>-265.53289999999998</v>
      </c>
      <c r="H3616" s="1">
        <v>1.4053809999999901E-6</v>
      </c>
      <c r="I3616">
        <v>214.66550000000001</v>
      </c>
      <c r="J3616">
        <v>-293.73410000000001</v>
      </c>
      <c r="K3616">
        <v>1.109494</v>
      </c>
      <c r="L3616">
        <v>214.82210000000001</v>
      </c>
      <c r="M3616">
        <v>0.99984479999999998</v>
      </c>
      <c r="N3616">
        <v>0</v>
      </c>
      <c r="O3616">
        <v>1.458752E-2</v>
      </c>
      <c r="P3616">
        <v>0.98679939999999999</v>
      </c>
      <c r="Q3616">
        <v>0.1614477</v>
      </c>
      <c r="R3616">
        <v>-1.271765E-2</v>
      </c>
      <c r="S3616">
        <v>3.0594480000000002</v>
      </c>
      <c r="T3616">
        <v>-0.1187452</v>
      </c>
      <c r="U3616">
        <v>-1.6159059999999999E-2</v>
      </c>
      <c r="V3616">
        <v>2.7132839999999998E-2</v>
      </c>
      <c r="W3616">
        <v>0.17117689999999999</v>
      </c>
      <c r="X3616">
        <v>0.98486660000000004</v>
      </c>
      <c r="Y3616">
        <v>1.9843159999999999E-2</v>
      </c>
      <c r="Z3616">
        <v>-9.5091559999999997E-4</v>
      </c>
      <c r="AA3616">
        <v>0.99980259999999999</v>
      </c>
      <c r="AB3616">
        <v>41</v>
      </c>
      <c r="AC3616">
        <v>28.2012</v>
      </c>
      <c r="AD3616">
        <v>-1.109492594619</v>
      </c>
      <c r="AE3616">
        <v>-0.15659999999999699</v>
      </c>
      <c r="AF3616">
        <v>0.56711123234447602</v>
      </c>
      <c r="AG3616">
        <v>-1.109492594619</v>
      </c>
      <c r="AH3616">
        <v>28.1523417525847</v>
      </c>
      <c r="AI3616">
        <v>92.256419333827694</v>
      </c>
      <c r="AJ3616">
        <v>88.845968612521702</v>
      </c>
      <c r="AK3616">
        <v>28.179903036058999</v>
      </c>
      <c r="AL3616">
        <v>80.143746159110606</v>
      </c>
      <c r="AM3616">
        <v>88.421914105288096</v>
      </c>
      <c r="AN3616">
        <v>0.99999997094781701</v>
      </c>
    </row>
    <row r="3617" spans="1:40" x14ac:dyDescent="0.25">
      <c r="A3617" t="str">
        <f>"20190312172441909"</f>
        <v>20190312172441909</v>
      </c>
      <c r="B3617" t="str">
        <f>"1552382681903474"</f>
        <v>1552382681903474</v>
      </c>
      <c r="C3617" t="s">
        <v>40</v>
      </c>
      <c r="D3617">
        <v>3.8080069999999999</v>
      </c>
      <c r="E3617">
        <v>0.48761159999999998</v>
      </c>
      <c r="F3617" t="s">
        <v>47</v>
      </c>
      <c r="G3617">
        <v>-265.16989999999998</v>
      </c>
      <c r="H3617" s="1">
        <v>1.212752E-6</v>
      </c>
      <c r="I3617">
        <v>214.65379999999999</v>
      </c>
      <c r="J3617">
        <v>-291.28800000000001</v>
      </c>
      <c r="K3617">
        <v>1.109497</v>
      </c>
      <c r="L3617">
        <v>214.85740000000001</v>
      </c>
      <c r="M3617">
        <v>0.99984720000000005</v>
      </c>
      <c r="N3617">
        <v>0</v>
      </c>
      <c r="O3617">
        <v>1.439414E-2</v>
      </c>
      <c r="P3617">
        <v>0.98674209999999996</v>
      </c>
      <c r="Q3617">
        <v>0.1617644</v>
      </c>
      <c r="R3617">
        <v>-1.313347E-2</v>
      </c>
      <c r="S3617">
        <v>3.059326</v>
      </c>
      <c r="T3617">
        <v>-0.1188308</v>
      </c>
      <c r="U3617">
        <v>-1.8020629999999999E-2</v>
      </c>
      <c r="V3617">
        <v>2.735785E-2</v>
      </c>
      <c r="W3617">
        <v>0.171541</v>
      </c>
      <c r="X3617">
        <v>0.98479709999999998</v>
      </c>
      <c r="Y3617">
        <v>2.0258140000000001E-2</v>
      </c>
      <c r="Z3617">
        <v>-9.5218570000000005E-4</v>
      </c>
      <c r="AA3617">
        <v>0.99979430000000002</v>
      </c>
      <c r="AB3617">
        <v>41</v>
      </c>
      <c r="AC3617">
        <v>26.118099999999998</v>
      </c>
      <c r="AD3617">
        <v>-1.109495787248</v>
      </c>
      <c r="AE3617">
        <v>-0.20360000000002201</v>
      </c>
      <c r="AF3617">
        <v>0.57850111901305201</v>
      </c>
      <c r="AG3617">
        <v>-1.109495787248</v>
      </c>
      <c r="AH3617">
        <v>26.0654296513285</v>
      </c>
      <c r="AI3617">
        <v>92.436769826403506</v>
      </c>
      <c r="AJ3617">
        <v>88.728575270289497</v>
      </c>
      <c r="AK3617">
        <v>26.0954453373568</v>
      </c>
      <c r="AL3617">
        <v>80.122572327229307</v>
      </c>
      <c r="AM3617">
        <v>88.408721657165898</v>
      </c>
      <c r="AN3617">
        <v>1.00000004740301</v>
      </c>
    </row>
    <row r="3618" spans="1:40" x14ac:dyDescent="0.25">
      <c r="A3618" t="str">
        <f>"20190312172441931"</f>
        <v>20190312172441931</v>
      </c>
      <c r="B3618" t="str">
        <f>"1552382681924370"</f>
        <v>1552382681924370</v>
      </c>
      <c r="C3618" t="s">
        <v>40</v>
      </c>
      <c r="D3618">
        <v>3.6001259999999999</v>
      </c>
      <c r="E3618">
        <v>0.4870698</v>
      </c>
      <c r="F3618" t="s">
        <v>41</v>
      </c>
      <c r="G3618">
        <v>-290.36470000000003</v>
      </c>
      <c r="H3618">
        <v>0.95400240000000003</v>
      </c>
      <c r="I3618">
        <v>214.87970000000001</v>
      </c>
      <c r="J3618">
        <v>-290.87139999999999</v>
      </c>
      <c r="K3618">
        <v>1.109497</v>
      </c>
      <c r="L3618">
        <v>214.86340000000001</v>
      </c>
      <c r="M3618">
        <v>0.99984770000000001</v>
      </c>
      <c r="N3618">
        <v>0</v>
      </c>
      <c r="O3618">
        <v>1.436113E-2</v>
      </c>
      <c r="P3618">
        <v>0.98675389999999996</v>
      </c>
      <c r="Q3618">
        <v>0.1616911</v>
      </c>
      <c r="R3618">
        <v>-1.3153450000000001E-2</v>
      </c>
      <c r="S3618">
        <v>3.1276860000000002</v>
      </c>
      <c r="T3618">
        <v>-0.526806</v>
      </c>
      <c r="U3618">
        <v>7.6309199999999994E-2</v>
      </c>
      <c r="V3618">
        <v>2.7345310000000001E-2</v>
      </c>
      <c r="W3618">
        <v>0.17147519999999999</v>
      </c>
      <c r="X3618">
        <v>0.98480889999999999</v>
      </c>
      <c r="Y3618">
        <v>-1.0090750000000001E-2</v>
      </c>
      <c r="Z3618">
        <v>-1.5578339999999999E-3</v>
      </c>
      <c r="AA3618">
        <v>0.99994780000000005</v>
      </c>
      <c r="AB3618">
        <v>41</v>
      </c>
      <c r="AC3618">
        <v>0.50669999999996596</v>
      </c>
      <c r="AD3618">
        <v>-0.15549460000000001</v>
      </c>
      <c r="AE3618">
        <v>1.6300000000001001E-2</v>
      </c>
      <c r="AF3618">
        <v>-8.2454739050571504E-3</v>
      </c>
      <c r="AG3618">
        <v>-0.15549460000000001</v>
      </c>
      <c r="AH3618">
        <v>0.46329666367578398</v>
      </c>
      <c r="AI3618">
        <v>108.550376482244</v>
      </c>
      <c r="AJ3618">
        <v>91.019607998422003</v>
      </c>
      <c r="AK3618">
        <v>0.48876411185989399</v>
      </c>
      <c r="AL3618">
        <v>80.126399016359997</v>
      </c>
      <c r="AM3618">
        <v>88.409469723835599</v>
      </c>
      <c r="AN3618">
        <v>1.00000003985662</v>
      </c>
    </row>
    <row r="3619" spans="1:40" x14ac:dyDescent="0.25">
      <c r="A3619" t="str">
        <f>"20190312172441953"</f>
        <v>20190312172441953</v>
      </c>
      <c r="B3619" t="str">
        <f>"1552382681943891"</f>
        <v>1552382681943891</v>
      </c>
      <c r="C3619" t="s">
        <v>40</v>
      </c>
      <c r="D3619">
        <v>3.554834</v>
      </c>
      <c r="E3619">
        <v>0.48756709999999898</v>
      </c>
      <c r="F3619" t="s">
        <v>41</v>
      </c>
      <c r="G3619">
        <v>-289.9828</v>
      </c>
      <c r="H3619">
        <v>0.98711479999999996</v>
      </c>
      <c r="I3619">
        <v>214.88579999999999</v>
      </c>
      <c r="J3619">
        <v>-290.4588</v>
      </c>
      <c r="K3619">
        <v>1.1094949999999999</v>
      </c>
      <c r="L3619">
        <v>214.86930000000001</v>
      </c>
      <c r="M3619">
        <v>0.99984799999999996</v>
      </c>
      <c r="N3619">
        <v>0</v>
      </c>
      <c r="O3619">
        <v>1.432843E-2</v>
      </c>
      <c r="P3619">
        <v>0.98670990000000003</v>
      </c>
      <c r="Q3619">
        <v>0.16193920000000001</v>
      </c>
      <c r="R3619">
        <v>-1.339867E-2</v>
      </c>
      <c r="S3619">
        <v>3.1115719999999998</v>
      </c>
      <c r="T3619">
        <v>-0.42854049999999999</v>
      </c>
      <c r="U3619">
        <v>7.8735349999999996E-2</v>
      </c>
      <c r="V3619">
        <v>2.7557769999999999E-2</v>
      </c>
      <c r="W3619">
        <v>0.17173079999999999</v>
      </c>
      <c r="X3619">
        <v>0.98475840000000003</v>
      </c>
      <c r="Y3619">
        <v>-1.100019E-2</v>
      </c>
      <c r="Z3619">
        <v>-1.2099350000000001E-3</v>
      </c>
      <c r="AA3619">
        <v>0.99993880000000002</v>
      </c>
      <c r="AB3619">
        <v>41</v>
      </c>
      <c r="AC3619">
        <v>0.47599999999999898</v>
      </c>
      <c r="AD3619">
        <v>-0.12238019999999999</v>
      </c>
      <c r="AE3619">
        <v>1.6499999999979299E-2</v>
      </c>
      <c r="AF3619">
        <v>-9.0782734934155493E-3</v>
      </c>
      <c r="AG3619">
        <v>-0.12238019999999999</v>
      </c>
      <c r="AH3619">
        <v>0.44669592448486201</v>
      </c>
      <c r="AI3619">
        <v>105.31822772362899</v>
      </c>
      <c r="AJ3619">
        <v>91.164271114745006</v>
      </c>
      <c r="AK3619">
        <v>0.46324569868812299</v>
      </c>
      <c r="AL3619">
        <v>80.1115333319255</v>
      </c>
      <c r="AM3619">
        <v>88.397036329505099</v>
      </c>
      <c r="AN3619">
        <v>1.00000000236328</v>
      </c>
    </row>
    <row r="3620" spans="1:40" x14ac:dyDescent="0.25">
      <c r="A3620" t="str">
        <f>"20190312172441976"</f>
        <v>20190312172441976</v>
      </c>
      <c r="B3620" t="str">
        <f>"1552382681964386"</f>
        <v>1552382681964386</v>
      </c>
      <c r="C3620" t="s">
        <v>40</v>
      </c>
      <c r="D3620">
        <v>3.5843970000000001</v>
      </c>
      <c r="E3620">
        <v>0.48861110000000002</v>
      </c>
      <c r="F3620" t="s">
        <v>41</v>
      </c>
      <c r="G3620">
        <v>-289.60289999999998</v>
      </c>
      <c r="H3620">
        <v>1.014737</v>
      </c>
      <c r="I3620">
        <v>214.88910000000001</v>
      </c>
      <c r="J3620">
        <v>-290.05759999999998</v>
      </c>
      <c r="K3620">
        <v>1.1094930000000001</v>
      </c>
      <c r="L3620">
        <v>214.875</v>
      </c>
      <c r="M3620">
        <v>0.99984839999999997</v>
      </c>
      <c r="N3620">
        <v>0</v>
      </c>
      <c r="O3620">
        <v>1.4296619999999999E-2</v>
      </c>
      <c r="P3620">
        <v>0.98669300000000004</v>
      </c>
      <c r="Q3620">
        <v>0.16203689999999901</v>
      </c>
      <c r="R3620">
        <v>-1.347419E-2</v>
      </c>
      <c r="S3620">
        <v>3.0977480000000002</v>
      </c>
      <c r="T3620">
        <v>-0.34316869999999999</v>
      </c>
      <c r="U3620">
        <v>7.2647089999999998E-2</v>
      </c>
      <c r="V3620">
        <v>2.7601730000000001E-2</v>
      </c>
      <c r="W3620">
        <v>0.17183499999999999</v>
      </c>
      <c r="X3620">
        <v>0.98473900000000003</v>
      </c>
      <c r="Y3620">
        <v>-9.1806230000000006E-3</v>
      </c>
      <c r="Z3620">
        <v>-1.0718119999999999E-3</v>
      </c>
      <c r="AA3620">
        <v>0.99995730000000005</v>
      </c>
      <c r="AB3620">
        <v>41</v>
      </c>
      <c r="AC3620">
        <v>0.45470000000000199</v>
      </c>
      <c r="AD3620">
        <v>-9.4756000000000007E-2</v>
      </c>
      <c r="AE3620">
        <v>1.41000000000133E-2</v>
      </c>
      <c r="AF3620">
        <v>-7.2816456553361003E-3</v>
      </c>
      <c r="AG3620">
        <v>-9.4756000000000007E-2</v>
      </c>
      <c r="AH3620">
        <v>0.43594151025578898</v>
      </c>
      <c r="AI3620">
        <v>102.261371508256</v>
      </c>
      <c r="AJ3620">
        <v>90.956937480090801</v>
      </c>
      <c r="AK3620">
        <v>0.44618014552818003</v>
      </c>
      <c r="AL3620">
        <v>80.105473104757806</v>
      </c>
      <c r="AM3620">
        <v>88.394449014900502</v>
      </c>
      <c r="AN3620">
        <v>1.00000001042249</v>
      </c>
    </row>
    <row r="3621" spans="1:40" x14ac:dyDescent="0.25">
      <c r="A3621" t="str">
        <f>"20190312172441999"</f>
        <v>20190312172441999</v>
      </c>
      <c r="B3621" t="str">
        <f>"1552382681993667"</f>
        <v>1552382681993667</v>
      </c>
      <c r="C3621" t="s">
        <v>40</v>
      </c>
      <c r="D3621">
        <v>3.5646949999999902</v>
      </c>
      <c r="E3621">
        <v>0.48867850000000002</v>
      </c>
      <c r="F3621" t="s">
        <v>41</v>
      </c>
      <c r="G3621">
        <v>-289.22559999999999</v>
      </c>
      <c r="H3621">
        <v>1.0337689999999999</v>
      </c>
      <c r="I3621">
        <v>214.89179999999999</v>
      </c>
      <c r="J3621">
        <v>-289.63260000000002</v>
      </c>
      <c r="K3621">
        <v>1.1094930000000001</v>
      </c>
      <c r="L3621">
        <v>214.881</v>
      </c>
      <c r="M3621">
        <v>0.99984890000000004</v>
      </c>
      <c r="N3621">
        <v>0</v>
      </c>
      <c r="O3621">
        <v>1.42628999999999E-2</v>
      </c>
      <c r="P3621">
        <v>0.98669689999999999</v>
      </c>
      <c r="Q3621">
        <v>0.1620386</v>
      </c>
      <c r="R3621">
        <v>-1.316443E-2</v>
      </c>
      <c r="S3621">
        <v>3.087494</v>
      </c>
      <c r="T3621">
        <v>-0.28108100000000003</v>
      </c>
      <c r="U3621">
        <v>6.2881469999999995E-2</v>
      </c>
      <c r="V3621">
        <v>2.7258810000000001E-2</v>
      </c>
      <c r="W3621">
        <v>0.17184440000000001</v>
      </c>
      <c r="X3621">
        <v>0.98474689999999998</v>
      </c>
      <c r="Y3621">
        <v>-6.1331659999999998E-3</v>
      </c>
      <c r="Z3621">
        <v>-1.0170730000000001E-3</v>
      </c>
      <c r="AA3621">
        <v>0.99998069999999895</v>
      </c>
      <c r="AB3621">
        <v>41</v>
      </c>
      <c r="AC3621">
        <v>0.407000000000039</v>
      </c>
      <c r="AD3621">
        <v>-7.5723999999999902E-2</v>
      </c>
      <c r="AE3621">
        <v>1.08000000000174E-2</v>
      </c>
      <c r="AF3621">
        <v>-4.8266520204970796E-3</v>
      </c>
      <c r="AG3621">
        <v>-7.5723999999999902E-2</v>
      </c>
      <c r="AH3621">
        <v>0.39350076128239297</v>
      </c>
      <c r="AI3621">
        <v>100.89185683697499</v>
      </c>
      <c r="AJ3621">
        <v>90.702750666113602</v>
      </c>
      <c r="AK3621">
        <v>0.40074963490382498</v>
      </c>
      <c r="AL3621">
        <v>80.104926275848797</v>
      </c>
      <c r="AM3621">
        <v>88.414398620818304</v>
      </c>
      <c r="AN3621">
        <v>0.99999999879679202</v>
      </c>
    </row>
    <row r="3622" spans="1:40" x14ac:dyDescent="0.25">
      <c r="A3622" t="str">
        <f>"20190312172442021"</f>
        <v>20190312172442021</v>
      </c>
      <c r="B3622" t="str">
        <f>"1552382682014162"</f>
        <v>1552382682014162</v>
      </c>
      <c r="C3622" t="s">
        <v>40</v>
      </c>
      <c r="D3622">
        <v>3.5581969999999998</v>
      </c>
      <c r="E3622">
        <v>0.48868669999999997</v>
      </c>
      <c r="F3622" t="s">
        <v>47</v>
      </c>
      <c r="G3622">
        <v>-275.00650000000002</v>
      </c>
      <c r="H3622" s="1">
        <v>1.1028719999999999E-6</v>
      </c>
      <c r="I3622">
        <v>215.1781</v>
      </c>
      <c r="J3622">
        <v>-289.2253</v>
      </c>
      <c r="K3622">
        <v>1.1094930000000001</v>
      </c>
      <c r="L3622">
        <v>214.8869</v>
      </c>
      <c r="M3622">
        <v>0.99984919999999999</v>
      </c>
      <c r="N3622">
        <v>0</v>
      </c>
      <c r="O3622">
        <v>1.423074E-2</v>
      </c>
      <c r="P3622">
        <v>0.98665009999999997</v>
      </c>
      <c r="Q3622">
        <v>0.16233399999999901</v>
      </c>
      <c r="R3622">
        <v>-1.301427E-2</v>
      </c>
      <c r="S3622">
        <v>3.0796510000000001</v>
      </c>
      <c r="T3622">
        <v>-0.2336133</v>
      </c>
      <c r="U3622">
        <v>6.2545779999999995E-2</v>
      </c>
      <c r="V3622">
        <v>2.707656E-2</v>
      </c>
      <c r="W3622">
        <v>0.17214689999999999</v>
      </c>
      <c r="X3622">
        <v>0.98469910000000005</v>
      </c>
      <c r="Y3622">
        <v>-6.0979719999999897E-3</v>
      </c>
      <c r="Z3622">
        <v>-8.4689849999999996E-4</v>
      </c>
      <c r="AA3622">
        <v>0.99998100000000001</v>
      </c>
      <c r="AB3622">
        <v>41</v>
      </c>
      <c r="AC3622">
        <v>14.2187999999999</v>
      </c>
      <c r="AD3622">
        <v>-1.1094918971279999</v>
      </c>
      <c r="AE3622">
        <v>0.29120000000000301</v>
      </c>
      <c r="AF3622">
        <v>-8.8279163189499105E-2</v>
      </c>
      <c r="AG3622">
        <v>-1.1094918971279999</v>
      </c>
      <c r="AH3622">
        <v>14.1354740862946</v>
      </c>
      <c r="AI3622">
        <v>94.487851504315501</v>
      </c>
      <c r="AJ3622">
        <v>90.357820167994305</v>
      </c>
      <c r="AK3622">
        <v>14.179223995859299</v>
      </c>
      <c r="AL3622">
        <v>80.087332185296304</v>
      </c>
      <c r="AM3622">
        <v>88.424918037584206</v>
      </c>
      <c r="AN3622">
        <v>1.00000000641092</v>
      </c>
    </row>
    <row r="3623" spans="1:40" x14ac:dyDescent="0.25">
      <c r="A3623" t="str">
        <f>"20190312172442043"</f>
        <v>20190312172442043</v>
      </c>
      <c r="B3623" t="str">
        <f>"1552382682034187"</f>
        <v>1552382682034187</v>
      </c>
      <c r="C3623" t="s">
        <v>40</v>
      </c>
      <c r="D3623">
        <v>3.646401</v>
      </c>
      <c r="E3623">
        <v>0.48867359999999999</v>
      </c>
      <c r="F3623" t="s">
        <v>47</v>
      </c>
      <c r="G3623">
        <v>-273.22539999999998</v>
      </c>
      <c r="H3623" s="1">
        <v>1.535743E-7</v>
      </c>
      <c r="I3623">
        <v>215.2116</v>
      </c>
      <c r="J3623">
        <v>-288.80779999999999</v>
      </c>
      <c r="K3623">
        <v>1.1094980000000001</v>
      </c>
      <c r="L3623">
        <v>214.89279999999999</v>
      </c>
      <c r="M3623">
        <v>0.99984969999999995</v>
      </c>
      <c r="N3623">
        <v>0</v>
      </c>
      <c r="O3623">
        <v>1.419774E-2</v>
      </c>
      <c r="P3623">
        <v>0.9866511</v>
      </c>
      <c r="Q3623">
        <v>0.1623184</v>
      </c>
      <c r="R3623">
        <v>-1.314422E-2</v>
      </c>
      <c r="S3623">
        <v>3.076508</v>
      </c>
      <c r="T3623">
        <v>-0.21333650000000001</v>
      </c>
      <c r="U3623">
        <v>6.2438960000000002E-2</v>
      </c>
      <c r="V3623">
        <v>2.7173880000000001E-2</v>
      </c>
      <c r="W3623">
        <v>0.1721385</v>
      </c>
      <c r="X3623">
        <v>0.98469790000000001</v>
      </c>
      <c r="Y3623">
        <v>-6.11307E-3</v>
      </c>
      <c r="Z3623">
        <v>-7.715555E-4</v>
      </c>
      <c r="AA3623">
        <v>0.99998100000000001</v>
      </c>
      <c r="AB3623">
        <v>41</v>
      </c>
      <c r="AC3623">
        <v>15.5824</v>
      </c>
      <c r="AD3623">
        <v>-1.1094978464256999</v>
      </c>
      <c r="AE3623">
        <v>0.31880000000001002</v>
      </c>
      <c r="AF3623">
        <v>-9.7030337007430204E-2</v>
      </c>
      <c r="AG3623">
        <v>-1.1094978464256999</v>
      </c>
      <c r="AH3623">
        <v>15.506773557075601</v>
      </c>
      <c r="AI3623">
        <v>94.092415521477093</v>
      </c>
      <c r="AJ3623">
        <v>90.358511473660201</v>
      </c>
      <c r="AK3623">
        <v>15.5467175476993</v>
      </c>
      <c r="AL3623">
        <v>80.087820885367293</v>
      </c>
      <c r="AM3623">
        <v>88.419257736698299</v>
      </c>
      <c r="AN3623">
        <v>1.0000000186004501</v>
      </c>
    </row>
    <row r="3624" spans="1:40" x14ac:dyDescent="0.25">
      <c r="A3624" t="str">
        <f>"20190312172442065"</f>
        <v>20190312172442065</v>
      </c>
      <c r="B3624" t="str">
        <f>"1552382682053709"</f>
        <v>1552382682053709</v>
      </c>
      <c r="C3624" t="s">
        <v>40</v>
      </c>
      <c r="D3624">
        <v>3.6188380000000002</v>
      </c>
      <c r="E3624">
        <v>0.48858020000000002</v>
      </c>
      <c r="F3624" t="s">
        <v>41</v>
      </c>
      <c r="G3624">
        <v>-287.7439</v>
      </c>
      <c r="H3624">
        <v>1.040786</v>
      </c>
      <c r="I3624">
        <v>214.91409999999999</v>
      </c>
      <c r="J3624">
        <v>-288.40730000000002</v>
      </c>
      <c r="K3624">
        <v>1.109499</v>
      </c>
      <c r="L3624">
        <v>214.89840000000001</v>
      </c>
      <c r="M3624">
        <v>0.99985000000000002</v>
      </c>
      <c r="N3624">
        <v>0</v>
      </c>
      <c r="O3624">
        <v>1.416623E-2</v>
      </c>
      <c r="P3624">
        <v>0.98662890000000003</v>
      </c>
      <c r="Q3624">
        <v>0.16245509999999999</v>
      </c>
      <c r="R3624">
        <v>-1.312378E-2</v>
      </c>
      <c r="S3624">
        <v>3.0740970000000001</v>
      </c>
      <c r="T3624">
        <v>-0.1985875</v>
      </c>
      <c r="U3624">
        <v>6.2179570000000003E-2</v>
      </c>
      <c r="V3624">
        <v>2.712208E-2</v>
      </c>
      <c r="W3624">
        <v>0.17228179999999901</v>
      </c>
      <c r="X3624">
        <v>0.9846743</v>
      </c>
      <c r="Y3624">
        <v>-6.0735959999999997E-3</v>
      </c>
      <c r="Z3624">
        <v>-7.1813249999999997E-4</v>
      </c>
      <c r="AA3624">
        <v>0.99998129999999996</v>
      </c>
      <c r="AB3624">
        <v>41</v>
      </c>
      <c r="AC3624">
        <v>0.66340000000002397</v>
      </c>
      <c r="AD3624">
        <v>-6.8712999999999996E-2</v>
      </c>
      <c r="AE3624">
        <v>1.5699999999981101E-2</v>
      </c>
      <c r="AF3624">
        <v>-6.2332467213535104E-3</v>
      </c>
      <c r="AG3624">
        <v>-6.8712999999999996E-2</v>
      </c>
      <c r="AH3624">
        <v>0.65651654600380904</v>
      </c>
      <c r="AI3624">
        <v>95.974727576353899</v>
      </c>
      <c r="AJ3624">
        <v>90.543974102763499</v>
      </c>
      <c r="AK3624">
        <v>0.660132035967397</v>
      </c>
      <c r="AL3624">
        <v>80.079486206496895</v>
      </c>
      <c r="AM3624">
        <v>88.422231695179903</v>
      </c>
      <c r="AN3624">
        <v>1.0000000514576199</v>
      </c>
    </row>
    <row r="3625" spans="1:40" x14ac:dyDescent="0.25">
      <c r="A3625" t="str">
        <f>"20190312172442087"</f>
        <v>20190312172442087</v>
      </c>
      <c r="B3625" t="str">
        <f>"1552382682083964"</f>
        <v>1552382682083964</v>
      </c>
      <c r="C3625" t="s">
        <v>40</v>
      </c>
      <c r="D3625">
        <v>3.612295</v>
      </c>
      <c r="E3625">
        <v>0.48847940000000001</v>
      </c>
      <c r="F3625" t="s">
        <v>47</v>
      </c>
      <c r="G3625">
        <v>-270.16230000000002</v>
      </c>
      <c r="H3625" s="1">
        <v>-1.47911E-6</v>
      </c>
      <c r="I3625">
        <v>215.27209999999999</v>
      </c>
      <c r="J3625">
        <v>-287.99950000000001</v>
      </c>
      <c r="K3625">
        <v>1.109497</v>
      </c>
      <c r="L3625">
        <v>214.9042</v>
      </c>
      <c r="M3625">
        <v>0.99985040000000003</v>
      </c>
      <c r="N3625">
        <v>0</v>
      </c>
      <c r="O3625">
        <v>1.413389E-2</v>
      </c>
      <c r="P3625">
        <v>0.98660360000000003</v>
      </c>
      <c r="Q3625">
        <v>0.16258829999999999</v>
      </c>
      <c r="R3625">
        <v>-1.3368420000000001E-2</v>
      </c>
      <c r="S3625">
        <v>3.0722960000000001</v>
      </c>
      <c r="T3625">
        <v>-0.1868293</v>
      </c>
      <c r="U3625">
        <v>6.2927250000000004E-2</v>
      </c>
      <c r="V3625">
        <v>2.7334669999999998E-2</v>
      </c>
      <c r="W3625">
        <v>0.1724213</v>
      </c>
      <c r="X3625">
        <v>0.98464390000000002</v>
      </c>
      <c r="Y3625">
        <v>-6.3585450000000002E-3</v>
      </c>
      <c r="Z3625">
        <v>-6.6546679999999895E-4</v>
      </c>
      <c r="AA3625">
        <v>0.99997959999999997</v>
      </c>
      <c r="AB3625">
        <v>41</v>
      </c>
      <c r="AC3625">
        <v>17.8371999999999</v>
      </c>
      <c r="AD3625">
        <v>-1.10949847911</v>
      </c>
      <c r="AE3625">
        <v>0.36789999999999101</v>
      </c>
      <c r="AF3625">
        <v>-0.11529580144559499</v>
      </c>
      <c r="AG3625">
        <v>-1.10949847911</v>
      </c>
      <c r="AH3625">
        <v>17.7718878040513</v>
      </c>
      <c r="AI3625">
        <v>93.572262749130701</v>
      </c>
      <c r="AJ3625">
        <v>90.371703344967997</v>
      </c>
      <c r="AK3625">
        <v>17.806860366633</v>
      </c>
      <c r="AL3625">
        <v>80.071370996835398</v>
      </c>
      <c r="AM3625">
        <v>88.409821988034196</v>
      </c>
      <c r="AN3625">
        <v>0.99999994934245295</v>
      </c>
    </row>
    <row r="3626" spans="1:40" x14ac:dyDescent="0.25">
      <c r="A3626" t="str">
        <f>"20190312172442110"</f>
        <v>20190312172442110</v>
      </c>
      <c r="B3626" t="str">
        <f>"1552382682103487"</f>
        <v>1552382682103487</v>
      </c>
      <c r="C3626" t="s">
        <v>40</v>
      </c>
      <c r="D3626">
        <v>3.6059220000000001</v>
      </c>
      <c r="E3626">
        <v>0.48864780000000002</v>
      </c>
      <c r="F3626" t="s">
        <v>47</v>
      </c>
      <c r="G3626">
        <v>-268.351</v>
      </c>
      <c r="H3626" s="1">
        <v>2.8770269999999998E-6</v>
      </c>
      <c r="I3626">
        <v>215.30699999999999</v>
      </c>
      <c r="J3626">
        <v>-287.58190000000002</v>
      </c>
      <c r="K3626">
        <v>1.1094949999999999</v>
      </c>
      <c r="L3626">
        <v>214.91</v>
      </c>
      <c r="M3626">
        <v>0.99985069999999998</v>
      </c>
      <c r="N3626">
        <v>0</v>
      </c>
      <c r="O3626">
        <v>1.410083E-2</v>
      </c>
      <c r="P3626">
        <v>0.98660959999999998</v>
      </c>
      <c r="Q3626">
        <v>0.16252369999999999</v>
      </c>
      <c r="R3626">
        <v>-1.370589E-2</v>
      </c>
      <c r="S3626">
        <v>3.07016</v>
      </c>
      <c r="T3626">
        <v>-0.17336379999999901</v>
      </c>
      <c r="U3626">
        <v>6.2942499999999998E-2</v>
      </c>
      <c r="V3626">
        <v>2.7639609999999998E-2</v>
      </c>
      <c r="W3626">
        <v>0.17236399999999999</v>
      </c>
      <c r="X3626">
        <v>0.98464549999999995</v>
      </c>
      <c r="Y3626">
        <v>-6.4087119999999996E-3</v>
      </c>
      <c r="Z3626">
        <v>-6.14732E-4</v>
      </c>
      <c r="AA3626">
        <v>0.99997930000000002</v>
      </c>
      <c r="AB3626">
        <v>41</v>
      </c>
      <c r="AC3626">
        <v>19.230899999999998</v>
      </c>
      <c r="AD3626">
        <v>-1.1094921229729999</v>
      </c>
      <c r="AE3626">
        <v>0.397000000000019</v>
      </c>
      <c r="AF3626">
        <v>-0.12535827119673701</v>
      </c>
      <c r="AG3626">
        <v>-1.1094921229729999</v>
      </c>
      <c r="AH3626">
        <v>19.1708032161917</v>
      </c>
      <c r="AI3626">
        <v>93.312173730490898</v>
      </c>
      <c r="AJ3626">
        <v>90.374652924898299</v>
      </c>
      <c r="AK3626">
        <v>19.203290952882099</v>
      </c>
      <c r="AL3626">
        <v>80.0747047396911</v>
      </c>
      <c r="AM3626">
        <v>88.392094159182605</v>
      </c>
      <c r="AN3626">
        <v>1.0000000286035999</v>
      </c>
    </row>
    <row r="3627" spans="1:40" x14ac:dyDescent="0.25">
      <c r="A3627" t="str">
        <f>"20190312172442133"</f>
        <v>20190312172442133</v>
      </c>
      <c r="B3627" t="str">
        <f>"1552382682123512"</f>
        <v>1552382682123512</v>
      </c>
      <c r="C3627" t="s">
        <v>40</v>
      </c>
      <c r="D3627">
        <v>3.6151559999999998</v>
      </c>
      <c r="E3627">
        <v>0.4888363</v>
      </c>
      <c r="F3627" t="s">
        <v>47</v>
      </c>
      <c r="G3627">
        <v>-267.23020000000002</v>
      </c>
      <c r="H3627" s="1">
        <v>2.2804229999999998E-6</v>
      </c>
      <c r="I3627">
        <v>215.31010000000001</v>
      </c>
      <c r="J3627">
        <v>-287.15969999999999</v>
      </c>
      <c r="K3627">
        <v>1.1094949999999999</v>
      </c>
      <c r="L3627">
        <v>214.916</v>
      </c>
      <c r="M3627">
        <v>0.99985119999999905</v>
      </c>
      <c r="N3627">
        <v>0</v>
      </c>
      <c r="O3627">
        <v>1.4067349999999999E-2</v>
      </c>
      <c r="P3627">
        <v>0.98658069999999998</v>
      </c>
      <c r="Q3627">
        <v>0.16266920000000001</v>
      </c>
      <c r="R3627">
        <v>-1.40553E-2</v>
      </c>
      <c r="S3627">
        <v>3.0690919999999999</v>
      </c>
      <c r="T3627">
        <v>-0.167314299999999</v>
      </c>
      <c r="U3627">
        <v>6.0333249999999998E-2</v>
      </c>
      <c r="V3627">
        <v>2.7955580000000001E-2</v>
      </c>
      <c r="W3627">
        <v>0.17251659999999999</v>
      </c>
      <c r="X3627">
        <v>0.98460979999999998</v>
      </c>
      <c r="Y3627">
        <v>-5.5998280000000003E-3</v>
      </c>
      <c r="Z3627">
        <v>-6.1373250000000003E-4</v>
      </c>
      <c r="AA3627">
        <v>0.99998410000000004</v>
      </c>
      <c r="AB3627">
        <v>41</v>
      </c>
      <c r="AC3627">
        <v>19.929499999999901</v>
      </c>
      <c r="AD3627">
        <v>-1.1094927195769999</v>
      </c>
      <c r="AE3627">
        <v>0.394100000000008</v>
      </c>
      <c r="AF3627">
        <v>-0.113340639797169</v>
      </c>
      <c r="AG3627">
        <v>-1.1094927195769999</v>
      </c>
      <c r="AH3627">
        <v>19.871509366321</v>
      </c>
      <c r="AI3627">
        <v>93.195644852493501</v>
      </c>
      <c r="AJ3627">
        <v>90.326792986342994</v>
      </c>
      <c r="AK3627">
        <v>19.902781330537898</v>
      </c>
      <c r="AL3627">
        <v>80.065827898723001</v>
      </c>
      <c r="AM3627">
        <v>88.373663811157599</v>
      </c>
      <c r="AN3627">
        <v>0.99999997499236704</v>
      </c>
    </row>
    <row r="3628" spans="1:40" x14ac:dyDescent="0.25">
      <c r="A3628" t="str">
        <f>"20190312172442153"</f>
        <v>20190312172442153</v>
      </c>
      <c r="B3628" t="str">
        <f>"1552382682144007"</f>
        <v>1552382682144007</v>
      </c>
      <c r="C3628" t="s">
        <v>40</v>
      </c>
      <c r="D3628">
        <v>3.6145</v>
      </c>
      <c r="E3628">
        <v>0.48873640000000002</v>
      </c>
      <c r="F3628" t="s">
        <v>47</v>
      </c>
      <c r="G3628">
        <v>-266.12939999999998</v>
      </c>
      <c r="H3628" s="1">
        <v>1.6945480000000001E-6</v>
      </c>
      <c r="I3628">
        <v>215.31229999999999</v>
      </c>
      <c r="J3628">
        <v>-286.77010000000001</v>
      </c>
      <c r="K3628">
        <v>1.1094980000000001</v>
      </c>
      <c r="L3628">
        <v>214.92140000000001</v>
      </c>
      <c r="M3628">
        <v>0.99985159999999995</v>
      </c>
      <c r="N3628">
        <v>0</v>
      </c>
      <c r="O3628">
        <v>1.40365E-2</v>
      </c>
      <c r="P3628">
        <v>0.98661730000000003</v>
      </c>
      <c r="Q3628">
        <v>0.16243929999999901</v>
      </c>
      <c r="R3628">
        <v>-1.414081E-2</v>
      </c>
      <c r="S3628">
        <v>3.0683590000000001</v>
      </c>
      <c r="T3628">
        <v>-0.16187699999999999</v>
      </c>
      <c r="U3628">
        <v>5.7830810000000003E-2</v>
      </c>
      <c r="V3628">
        <v>2.801118E-2</v>
      </c>
      <c r="W3628">
        <v>0.17229349999999999</v>
      </c>
      <c r="X3628">
        <v>0.9846473</v>
      </c>
      <c r="Y3628">
        <v>-4.8203710000000004E-3</v>
      </c>
      <c r="Z3628">
        <v>-6.1288169999999895E-4</v>
      </c>
      <c r="AA3628">
        <v>0.99998819999999999</v>
      </c>
      <c r="AB3628">
        <v>41</v>
      </c>
      <c r="AC3628">
        <v>20.640699999999999</v>
      </c>
      <c r="AD3628">
        <v>-1.109496305452</v>
      </c>
      <c r="AE3628">
        <v>0.39089999999998698</v>
      </c>
      <c r="AF3628">
        <v>-0.10083261072654701</v>
      </c>
      <c r="AG3628">
        <v>-1.109496305452</v>
      </c>
      <c r="AH3628">
        <v>20.584698042633001</v>
      </c>
      <c r="AI3628">
        <v>93.085167604772195</v>
      </c>
      <c r="AJ3628">
        <v>90.280656865250194</v>
      </c>
      <c r="AK3628">
        <v>20.614823374784901</v>
      </c>
      <c r="AL3628">
        <v>80.078805062468305</v>
      </c>
      <c r="AM3628">
        <v>88.370493011236405</v>
      </c>
      <c r="AN3628">
        <v>0.99999999087226599</v>
      </c>
    </row>
    <row r="3629" spans="1:40" x14ac:dyDescent="0.25">
      <c r="A3629" t="str">
        <f>"20190312172442187"</f>
        <v>20190312172442187</v>
      </c>
      <c r="B3629" t="str">
        <f>"1552382682184023"</f>
        <v>1552382682184023</v>
      </c>
      <c r="C3629" t="s">
        <v>40</v>
      </c>
      <c r="D3629">
        <v>3.6375489999999999</v>
      </c>
      <c r="E3629">
        <v>0.48859710000000001</v>
      </c>
      <c r="F3629" t="s">
        <v>47</v>
      </c>
      <c r="G3629">
        <v>-265.28149999999999</v>
      </c>
      <c r="H3629" s="1">
        <v>1.242593E-6</v>
      </c>
      <c r="I3629">
        <v>215.32980000000001</v>
      </c>
      <c r="J3629">
        <v>-286.15260000000001</v>
      </c>
      <c r="K3629">
        <v>1.10949599999999</v>
      </c>
      <c r="L3629">
        <v>214.93</v>
      </c>
      <c r="M3629">
        <v>0.99985210000000002</v>
      </c>
      <c r="N3629">
        <v>0</v>
      </c>
      <c r="O3629">
        <v>1.398757E-2</v>
      </c>
      <c r="P3629">
        <v>0.98661180000000004</v>
      </c>
      <c r="Q3629">
        <v>0.162458299999999</v>
      </c>
      <c r="R3629">
        <v>-1.4301329999999999E-2</v>
      </c>
      <c r="S3629">
        <v>3.0675659999999998</v>
      </c>
      <c r="T3629">
        <v>-0.15838459999999999</v>
      </c>
      <c r="U3629">
        <v>5.8303830000000001E-2</v>
      </c>
      <c r="V3629">
        <v>2.81234E-2</v>
      </c>
      <c r="W3629">
        <v>0.17232359999999999</v>
      </c>
      <c r="X3629">
        <v>0.98463889999999998</v>
      </c>
      <c r="Y3629">
        <v>-5.0274400000000002E-3</v>
      </c>
      <c r="Z3629">
        <v>-5.9196460000000004E-4</v>
      </c>
      <c r="AA3629">
        <v>0.99998719999999996</v>
      </c>
      <c r="AB3629">
        <v>41</v>
      </c>
      <c r="AC3629">
        <v>20.871099999999998</v>
      </c>
      <c r="AD3629">
        <v>-1.10949475740699</v>
      </c>
      <c r="AE3629">
        <v>0.39979999999999899</v>
      </c>
      <c r="AF3629">
        <v>-0.107506601200737</v>
      </c>
      <c r="AG3629">
        <v>-1.10949475740699</v>
      </c>
      <c r="AH3629">
        <v>20.815848128419599</v>
      </c>
      <c r="AI3629">
        <v>93.050965046448795</v>
      </c>
      <c r="AJ3629">
        <v>90.2959101024625</v>
      </c>
      <c r="AK3629">
        <v>20.845672682632401</v>
      </c>
      <c r="AL3629">
        <v>80.077054926465195</v>
      </c>
      <c r="AM3629">
        <v>88.363954377988406</v>
      </c>
      <c r="AN3629">
        <v>1.00000005606886</v>
      </c>
    </row>
    <row r="3630" spans="1:40" x14ac:dyDescent="0.25">
      <c r="A3630" t="str">
        <f>"20190312172442210"</f>
        <v>20190312172442210</v>
      </c>
      <c r="B3630" t="str">
        <f>"1552382682203547"</f>
        <v>1552382682203547</v>
      </c>
      <c r="C3630" t="s">
        <v>40</v>
      </c>
      <c r="D3630">
        <v>3.658134</v>
      </c>
      <c r="E3630">
        <v>0.48857630000000002</v>
      </c>
      <c r="F3630" t="s">
        <v>47</v>
      </c>
      <c r="G3630">
        <v>-263.83159999999998</v>
      </c>
      <c r="H3630" s="1">
        <v>4.6973449999999998E-7</v>
      </c>
      <c r="I3630">
        <v>215.35849999999999</v>
      </c>
      <c r="J3630">
        <v>-285.72340000000003</v>
      </c>
      <c r="K3630">
        <v>1.10949599999999</v>
      </c>
      <c r="L3630">
        <v>214.93600000000001</v>
      </c>
      <c r="M3630">
        <v>0.99985250000000003</v>
      </c>
      <c r="N3630">
        <v>0</v>
      </c>
      <c r="O3630">
        <v>1.3953729999999999E-2</v>
      </c>
      <c r="P3630">
        <v>0.98656710000000003</v>
      </c>
      <c r="Q3630">
        <v>0.1627507</v>
      </c>
      <c r="R3630">
        <v>-1.406285E-2</v>
      </c>
      <c r="S3630">
        <v>3.066681</v>
      </c>
      <c r="T3630">
        <v>-0.15243329999999999</v>
      </c>
      <c r="U3630">
        <v>5.8868410000000003E-2</v>
      </c>
      <c r="V3630">
        <v>2.785106E-2</v>
      </c>
      <c r="W3630">
        <v>0.1726232</v>
      </c>
      <c r="X3630">
        <v>0.98459410000000003</v>
      </c>
      <c r="Y3630">
        <v>-5.2496060000000004E-3</v>
      </c>
      <c r="Z3630">
        <v>-5.6271439999999999E-4</v>
      </c>
      <c r="AA3630">
        <v>0.99998609999999999</v>
      </c>
      <c r="AB3630">
        <v>41</v>
      </c>
      <c r="AC3630">
        <v>21.8918</v>
      </c>
      <c r="AD3630">
        <v>-1.1094955302655001</v>
      </c>
      <c r="AE3630">
        <v>0.42250000000001298</v>
      </c>
      <c r="AF3630">
        <v>-0.116671713783188</v>
      </c>
      <c r="AG3630">
        <v>-1.1094955302655001</v>
      </c>
      <c r="AH3630">
        <v>21.8394892375163</v>
      </c>
      <c r="AI3630">
        <v>92.908213750544405</v>
      </c>
      <c r="AJ3630">
        <v>90.306084685550999</v>
      </c>
      <c r="AK3630">
        <v>21.867964760719399</v>
      </c>
      <c r="AL3630">
        <v>80.059627353519403</v>
      </c>
      <c r="AM3630">
        <v>88.379715268553994</v>
      </c>
      <c r="AN3630">
        <v>0.999999996238086</v>
      </c>
    </row>
    <row r="3631" spans="1:40" x14ac:dyDescent="0.25">
      <c r="A3631" t="str">
        <f>"20190312172442232"</f>
        <v>20190312172442232</v>
      </c>
      <c r="B3631" t="str">
        <f>"1552382682223569"</f>
        <v>1552382682223569</v>
      </c>
      <c r="C3631" t="s">
        <v>40</v>
      </c>
      <c r="D3631">
        <v>3.651732</v>
      </c>
      <c r="E3631">
        <v>0.48858220000000002</v>
      </c>
      <c r="F3631" t="s">
        <v>47</v>
      </c>
      <c r="G3631">
        <v>-262.90550000000002</v>
      </c>
      <c r="H3631" s="1">
        <v>-2.402237E-8</v>
      </c>
      <c r="I3631">
        <v>215.37979999999999</v>
      </c>
      <c r="J3631">
        <v>-285.31569999999999</v>
      </c>
      <c r="K3631">
        <v>1.10949599999999</v>
      </c>
      <c r="L3631">
        <v>214.9417</v>
      </c>
      <c r="M3631">
        <v>0.99985279999999999</v>
      </c>
      <c r="N3631">
        <v>0</v>
      </c>
      <c r="O3631">
        <v>1.3921390000000001E-2</v>
      </c>
      <c r="P3631">
        <v>0.98650139999999997</v>
      </c>
      <c r="Q3631">
        <v>0.1631398</v>
      </c>
      <c r="R3631">
        <v>-1.41636E-2</v>
      </c>
      <c r="S3631">
        <v>3.066284</v>
      </c>
      <c r="T3631">
        <v>-0.14909459999999999</v>
      </c>
      <c r="U3631">
        <v>5.963135E-2</v>
      </c>
      <c r="V3631">
        <v>2.7918829999999999E-2</v>
      </c>
      <c r="W3631">
        <v>0.1730187</v>
      </c>
      <c r="X3631">
        <v>0.98452280000000003</v>
      </c>
      <c r="Y3631">
        <v>-5.532319E-3</v>
      </c>
      <c r="Z3631">
        <v>-5.4203369999999995E-4</v>
      </c>
      <c r="AA3631">
        <v>0.9999846</v>
      </c>
      <c r="AB3631">
        <v>41</v>
      </c>
      <c r="AC3631">
        <v>22.4101999999999</v>
      </c>
      <c r="AD3631">
        <v>-1.1094960240223699</v>
      </c>
      <c r="AE3631">
        <v>0.438099999999991</v>
      </c>
      <c r="AF3631">
        <v>-0.12575260307998801</v>
      </c>
      <c r="AG3631">
        <v>-1.1094960240223699</v>
      </c>
      <c r="AH3631">
        <v>22.359343414013601</v>
      </c>
      <c r="AI3631">
        <v>92.840706798362902</v>
      </c>
      <c r="AJ3631">
        <v>90.3222374341982</v>
      </c>
      <c r="AK3631">
        <v>22.387206905960699</v>
      </c>
      <c r="AL3631">
        <v>80.036621114236496</v>
      </c>
      <c r="AM3631">
        <v>88.375657173346795</v>
      </c>
      <c r="AN3631">
        <v>1.0000000376690401</v>
      </c>
    </row>
    <row r="3632" spans="1:40" x14ac:dyDescent="0.25">
      <c r="A3632" t="str">
        <f>"20190312172442255"</f>
        <v>20190312172442255</v>
      </c>
      <c r="B3632" t="str">
        <f>"1552382682244065"</f>
        <v>1552382682244065</v>
      </c>
      <c r="C3632" t="s">
        <v>40</v>
      </c>
      <c r="D3632">
        <v>3.6640069999999998</v>
      </c>
      <c r="E3632">
        <v>0.48865819999999999</v>
      </c>
      <c r="F3632" t="s">
        <v>47</v>
      </c>
      <c r="G3632">
        <v>-261.9418</v>
      </c>
      <c r="H3632" s="1">
        <v>-5.375086E-7</v>
      </c>
      <c r="I3632">
        <v>215.39510000000001</v>
      </c>
      <c r="J3632">
        <v>-284.8931</v>
      </c>
      <c r="K3632">
        <v>1.1094999999999999</v>
      </c>
      <c r="L3632">
        <v>214.94749999999999</v>
      </c>
      <c r="M3632">
        <v>0.99985329999999994</v>
      </c>
      <c r="N3632">
        <v>0</v>
      </c>
      <c r="O3632">
        <v>1.388785E-2</v>
      </c>
      <c r="P3632">
        <v>0.98654660000000005</v>
      </c>
      <c r="Q3632">
        <v>0.16288759999999999</v>
      </c>
      <c r="R3632">
        <v>-1.3911649999999999E-2</v>
      </c>
      <c r="S3632">
        <v>3.0659480000000001</v>
      </c>
      <c r="T3632">
        <v>-0.14553250000000001</v>
      </c>
      <c r="U3632">
        <v>5.9478759999999999E-2</v>
      </c>
      <c r="V3632">
        <v>2.7634700000000002E-2</v>
      </c>
      <c r="W3632">
        <v>0.17277500000000001</v>
      </c>
      <c r="X3632">
        <v>0.98457360000000005</v>
      </c>
      <c r="Y3632">
        <v>-5.5177550000000001E-3</v>
      </c>
      <c r="Z3632">
        <v>-5.2791139999999997E-4</v>
      </c>
      <c r="AA3632">
        <v>0.9999846</v>
      </c>
      <c r="AB3632">
        <v>42</v>
      </c>
      <c r="AC3632">
        <v>22.9513</v>
      </c>
      <c r="AD3632">
        <v>-1.1095005375086</v>
      </c>
      <c r="AE3632">
        <v>0.44760000000002198</v>
      </c>
      <c r="AF3632">
        <v>-0.12849642859505001</v>
      </c>
      <c r="AG3632">
        <v>-1.1095005375086</v>
      </c>
      <c r="AH3632">
        <v>22.901803930647901</v>
      </c>
      <c r="AI3632">
        <v>92.773538584570204</v>
      </c>
      <c r="AJ3632">
        <v>90.321469252301199</v>
      </c>
      <c r="AK3632">
        <v>22.929023661131598</v>
      </c>
      <c r="AL3632">
        <v>80.050797472007105</v>
      </c>
      <c r="AM3632">
        <v>88.392262306138207</v>
      </c>
      <c r="AN3632">
        <v>1.0000000255430199</v>
      </c>
    </row>
    <row r="3633" spans="1:40" x14ac:dyDescent="0.25">
      <c r="A3633" t="str">
        <f>"20190312172442278"</f>
        <v>20190312172442278</v>
      </c>
      <c r="B3633" t="str">
        <f>"1552382682274321"</f>
        <v>1552382682274321</v>
      </c>
      <c r="C3633" t="s">
        <v>40</v>
      </c>
      <c r="D3633">
        <v>3.6325379999999998</v>
      </c>
      <c r="E3633">
        <v>0.48869960000000001</v>
      </c>
      <c r="F3633" t="s">
        <v>47</v>
      </c>
      <c r="G3633">
        <v>-261.34879999999998</v>
      </c>
      <c r="H3633" s="1">
        <v>-8.5340090000000004E-7</v>
      </c>
      <c r="I3633">
        <v>215.40219999999999</v>
      </c>
      <c r="J3633">
        <v>-284.4821</v>
      </c>
      <c r="K3633">
        <v>1.109497</v>
      </c>
      <c r="L3633">
        <v>214.95320000000001</v>
      </c>
      <c r="M3633">
        <v>0.99985360000000001</v>
      </c>
      <c r="N3633">
        <v>0</v>
      </c>
      <c r="O3633">
        <v>1.385551E-2</v>
      </c>
      <c r="P3633">
        <v>0.98658069999999998</v>
      </c>
      <c r="Q3633">
        <v>0.16270780000000001</v>
      </c>
      <c r="R3633">
        <v>-1.36004E-2</v>
      </c>
      <c r="S3633">
        <v>3.0656129999999999</v>
      </c>
      <c r="T3633">
        <v>-0.1444637</v>
      </c>
      <c r="U3633">
        <v>5.9204100000000003E-2</v>
      </c>
      <c r="V3633">
        <v>2.7291889999999999E-2</v>
      </c>
      <c r="W3633">
        <v>0.17260259999999999</v>
      </c>
      <c r="X3633">
        <v>0.98461339999999997</v>
      </c>
      <c r="Y3633">
        <v>-5.4625530000000002E-3</v>
      </c>
      <c r="Z3633">
        <v>-5.238733E-4</v>
      </c>
      <c r="AA3633">
        <v>0.99998489999999995</v>
      </c>
      <c r="AB3633">
        <v>42</v>
      </c>
      <c r="AC3633">
        <v>23.133299999999998</v>
      </c>
      <c r="AD3633">
        <v>-1.1094978534008999</v>
      </c>
      <c r="AE3633">
        <v>0.44899999999998302</v>
      </c>
      <c r="AF3633">
        <v>-0.128122464961136</v>
      </c>
      <c r="AG3633">
        <v>-1.1094978534008999</v>
      </c>
      <c r="AH3633">
        <v>23.084220783218999</v>
      </c>
      <c r="AI3633">
        <v>92.751649541343099</v>
      </c>
      <c r="AJ3633">
        <v>90.318000819478996</v>
      </c>
      <c r="AK3633">
        <v>23.111223464393401</v>
      </c>
      <c r="AL3633">
        <v>80.060825933117897</v>
      </c>
      <c r="AM3633">
        <v>88.412260257924103</v>
      </c>
      <c r="AN3633">
        <v>1.00000002612304</v>
      </c>
    </row>
    <row r="3634" spans="1:40" x14ac:dyDescent="0.25">
      <c r="A3634" t="str">
        <f>"20190312172442300"</f>
        <v>20190312172442300</v>
      </c>
      <c r="B3634" t="str">
        <f>"1552382682293845"</f>
        <v>1552382682293845</v>
      </c>
      <c r="C3634" t="s">
        <v>40</v>
      </c>
      <c r="D3634">
        <v>3.6371009999999999</v>
      </c>
      <c r="E3634">
        <v>0.48877179999999998</v>
      </c>
      <c r="F3634" t="s">
        <v>47</v>
      </c>
      <c r="G3634">
        <v>-260.68270000000001</v>
      </c>
      <c r="H3634" s="1">
        <v>-1.2084599999999999E-6</v>
      </c>
      <c r="I3634">
        <v>215.41650000000001</v>
      </c>
      <c r="J3634">
        <v>-284.0575</v>
      </c>
      <c r="K3634">
        <v>1.109499</v>
      </c>
      <c r="L3634">
        <v>214.95910000000001</v>
      </c>
      <c r="M3634">
        <v>0.99985400000000002</v>
      </c>
      <c r="N3634">
        <v>0</v>
      </c>
      <c r="O3634">
        <v>1.382179E-2</v>
      </c>
      <c r="P3634">
        <v>0.98654580000000003</v>
      </c>
      <c r="Q3634">
        <v>0.16290009999999999</v>
      </c>
      <c r="R3634">
        <v>-1.383037E-2</v>
      </c>
      <c r="S3634">
        <v>3.0651860000000002</v>
      </c>
      <c r="T3634">
        <v>-0.1428951</v>
      </c>
      <c r="U3634">
        <v>5.9661869999999999E-2</v>
      </c>
      <c r="V3634">
        <v>2.7488060000000002E-2</v>
      </c>
      <c r="W3634">
        <v>0.17280219999999999</v>
      </c>
      <c r="X3634">
        <v>0.98457289999999997</v>
      </c>
      <c r="Y3634">
        <v>-5.6478129999999998E-3</v>
      </c>
      <c r="Z3634">
        <v>-5.123765E-4</v>
      </c>
      <c r="AA3634">
        <v>0.99998390000000004</v>
      </c>
      <c r="AB3634">
        <v>42</v>
      </c>
      <c r="AC3634">
        <v>23.3748</v>
      </c>
      <c r="AD3634">
        <v>-1.1095002084600001</v>
      </c>
      <c r="AE3634">
        <v>0.45740000000000602</v>
      </c>
      <c r="AF3634">
        <v>-0.13395673123513999</v>
      </c>
      <c r="AG3634">
        <v>-1.1095002084600001</v>
      </c>
      <c r="AH3634">
        <v>23.326355396919599</v>
      </c>
      <c r="AI3634">
        <v>92.723132623084695</v>
      </c>
      <c r="AJ3634">
        <v>90.329030010717602</v>
      </c>
      <c r="AK3634">
        <v>23.353110953828299</v>
      </c>
      <c r="AL3634">
        <v>80.049214917078004</v>
      </c>
      <c r="AM3634">
        <v>88.400787982146397</v>
      </c>
      <c r="AN3634">
        <v>0.99999999459090605</v>
      </c>
    </row>
    <row r="3635" spans="1:40" x14ac:dyDescent="0.25">
      <c r="A3635" t="str">
        <f>"20190312172442322"</f>
        <v>20190312172442322</v>
      </c>
      <c r="B3635" t="str">
        <f>"1552382682314338"</f>
        <v>1552382682314338</v>
      </c>
      <c r="C3635" t="s">
        <v>40</v>
      </c>
      <c r="D3635">
        <v>3.6272950000000002</v>
      </c>
      <c r="E3635">
        <v>0.48886210000000002</v>
      </c>
      <c r="F3635" t="s">
        <v>47</v>
      </c>
      <c r="G3635">
        <v>-259.91840000000002</v>
      </c>
      <c r="H3635" s="1">
        <v>3.706224E-6</v>
      </c>
      <c r="I3635">
        <v>215.41839999999999</v>
      </c>
      <c r="J3635">
        <v>-283.64870000000002</v>
      </c>
      <c r="K3635">
        <v>1.1095010000000001</v>
      </c>
      <c r="L3635">
        <v>214.96469999999999</v>
      </c>
      <c r="M3635">
        <v>0.99985429999999997</v>
      </c>
      <c r="N3635">
        <v>0</v>
      </c>
      <c r="O3635">
        <v>1.3789269999999999E-2</v>
      </c>
      <c r="P3635">
        <v>0.9865294</v>
      </c>
      <c r="Q3635">
        <v>0.16301749999999901</v>
      </c>
      <c r="R3635">
        <v>-1.361557E-2</v>
      </c>
      <c r="S3635">
        <v>3.0650330000000001</v>
      </c>
      <c r="T3635">
        <v>-0.140877</v>
      </c>
      <c r="U3635">
        <v>5.8319089999999997E-2</v>
      </c>
      <c r="V3635">
        <v>2.7241000000000001E-2</v>
      </c>
      <c r="W3635">
        <v>0.17292660000000001</v>
      </c>
      <c r="X3635">
        <v>0.98455789999999999</v>
      </c>
      <c r="Y3635">
        <v>-5.2435249999999997E-3</v>
      </c>
      <c r="Z3635">
        <v>-5.1296739999999897E-4</v>
      </c>
      <c r="AA3635">
        <v>0.99998609999999999</v>
      </c>
      <c r="AB3635">
        <v>42</v>
      </c>
      <c r="AC3635">
        <v>23.7303</v>
      </c>
      <c r="AD3635">
        <v>-1.1094972937759999</v>
      </c>
      <c r="AE3635">
        <v>0.45369999999999699</v>
      </c>
      <c r="AF3635">
        <v>-0.126141139921225</v>
      </c>
      <c r="AG3635">
        <v>-1.1094972937759999</v>
      </c>
      <c r="AH3635">
        <v>23.682549440959701</v>
      </c>
      <c r="AI3635">
        <v>92.682235135390499</v>
      </c>
      <c r="AJ3635">
        <v>90.305173503949803</v>
      </c>
      <c r="AK3635">
        <v>23.708860028596501</v>
      </c>
      <c r="AL3635">
        <v>80.0419781308007</v>
      </c>
      <c r="AM3635">
        <v>88.415130046677504</v>
      </c>
      <c r="AN3635">
        <v>0.999999969760484</v>
      </c>
    </row>
    <row r="3636" spans="1:40" x14ac:dyDescent="0.25">
      <c r="A3636" t="str">
        <f>"20190312172442344"</f>
        <v>20190312172442344</v>
      </c>
      <c r="B3636" t="str">
        <f>"1552382682334367"</f>
        <v>1552382682334367</v>
      </c>
      <c r="C3636" t="s">
        <v>40</v>
      </c>
      <c r="D3636">
        <v>3.6364969999999999</v>
      </c>
      <c r="E3636">
        <v>0.4889541</v>
      </c>
      <c r="F3636" t="s">
        <v>47</v>
      </c>
      <c r="G3636">
        <v>-259.26139999999998</v>
      </c>
      <c r="H3636" s="1">
        <v>3.3561649999999998E-6</v>
      </c>
      <c r="I3636">
        <v>215.4289</v>
      </c>
      <c r="J3636">
        <v>-283.24009999999998</v>
      </c>
      <c r="K3636">
        <v>1.109504</v>
      </c>
      <c r="L3636">
        <v>214.97030000000001</v>
      </c>
      <c r="M3636">
        <v>0.99985469999999999</v>
      </c>
      <c r="N3636">
        <v>0</v>
      </c>
      <c r="O3636">
        <v>1.3757109999999999E-2</v>
      </c>
      <c r="P3636">
        <v>0.98650610000000005</v>
      </c>
      <c r="Q3636">
        <v>0.16317290000000001</v>
      </c>
      <c r="R3636">
        <v>-1.3432629999999999E-2</v>
      </c>
      <c r="S3636">
        <v>3.064819</v>
      </c>
      <c r="T3636">
        <v>-0.13943349999999999</v>
      </c>
      <c r="U3636">
        <v>5.833435E-2</v>
      </c>
      <c r="V3636">
        <v>2.7026109999999999E-2</v>
      </c>
      <c r="W3636">
        <v>0.1730892</v>
      </c>
      <c r="X3636">
        <v>0.9845353</v>
      </c>
      <c r="Y3636">
        <v>-5.28174E-3</v>
      </c>
      <c r="Z3636">
        <v>-5.054209E-4</v>
      </c>
      <c r="AA3636">
        <v>0.99998589999999998</v>
      </c>
      <c r="AB3636">
        <v>42</v>
      </c>
      <c r="AC3636">
        <v>23.9787</v>
      </c>
      <c r="AD3636">
        <v>-1.1095006438349999</v>
      </c>
      <c r="AE3636">
        <v>0.45859999999998902</v>
      </c>
      <c r="AF3636">
        <v>-0.12838750108854799</v>
      </c>
      <c r="AG3636">
        <v>-1.1095006438349999</v>
      </c>
      <c r="AH3636">
        <v>23.931522767776499</v>
      </c>
      <c r="AI3636">
        <v>92.654377885808103</v>
      </c>
      <c r="AJ3636">
        <v>90.307376653619897</v>
      </c>
      <c r="AK3636">
        <v>23.9575720183351</v>
      </c>
      <c r="AL3636">
        <v>80.03251969966</v>
      </c>
      <c r="AM3636">
        <v>88.427589879896004</v>
      </c>
      <c r="AN3636">
        <v>1.00000001936223</v>
      </c>
    </row>
    <row r="3637" spans="1:40" x14ac:dyDescent="0.25">
      <c r="A3637" t="str">
        <f>"20190312172442366"</f>
        <v>20190312172442366</v>
      </c>
      <c r="B3637" t="str">
        <f>"1552382682353884"</f>
        <v>1552382682353884</v>
      </c>
      <c r="C3637" t="s">
        <v>40</v>
      </c>
      <c r="D3637">
        <v>3.6286489999999998</v>
      </c>
      <c r="E3637">
        <v>0.48900310000000002</v>
      </c>
      <c r="F3637" t="s">
        <v>47</v>
      </c>
      <c r="G3637">
        <v>-258.57780000000002</v>
      </c>
      <c r="H3637" s="1">
        <v>2.9919620000000001E-6</v>
      </c>
      <c r="I3637">
        <v>215.43780000000001</v>
      </c>
      <c r="J3637">
        <v>-282.82209999999998</v>
      </c>
      <c r="K3637">
        <v>1.109499</v>
      </c>
      <c r="L3637">
        <v>214.976</v>
      </c>
      <c r="M3637">
        <v>0.9998551</v>
      </c>
      <c r="N3637">
        <v>0</v>
      </c>
      <c r="O3637">
        <v>1.3724109999999999E-2</v>
      </c>
      <c r="P3637">
        <v>0.98651279999999997</v>
      </c>
      <c r="Q3637">
        <v>0.1631251</v>
      </c>
      <c r="R3637">
        <v>-1.351086E-2</v>
      </c>
      <c r="S3637">
        <v>3.064667</v>
      </c>
      <c r="T3637">
        <v>-0.1378723</v>
      </c>
      <c r="U3637">
        <v>5.8090210000000003E-2</v>
      </c>
      <c r="V3637">
        <v>2.707211E-2</v>
      </c>
      <c r="W3637">
        <v>0.17304829999999999</v>
      </c>
      <c r="X3637">
        <v>0.98454120000000001</v>
      </c>
      <c r="Y3637">
        <v>-5.2358739999999997E-3</v>
      </c>
      <c r="Z3637">
        <v>-4.9934070000000005E-4</v>
      </c>
      <c r="AA3637">
        <v>0.99998620000000005</v>
      </c>
      <c r="AB3637">
        <v>42</v>
      </c>
      <c r="AC3637">
        <v>24.2442999999999</v>
      </c>
      <c r="AD3637">
        <v>-1.1094960080380001</v>
      </c>
      <c r="AE3637">
        <v>0.46180000000000998</v>
      </c>
      <c r="AF3637">
        <v>-0.12873867232694899</v>
      </c>
      <c r="AG3637">
        <v>-1.1094960080380001</v>
      </c>
      <c r="AH3637">
        <v>24.197696480966901</v>
      </c>
      <c r="AI3637">
        <v>92.625210577015807</v>
      </c>
      <c r="AJ3637">
        <v>90.304827072942899</v>
      </c>
      <c r="AK3637">
        <v>24.223461148700501</v>
      </c>
      <c r="AL3637">
        <v>80.034898744787398</v>
      </c>
      <c r="AM3637">
        <v>88.424924328255102</v>
      </c>
      <c r="AN3637">
        <v>0.99999999388509098</v>
      </c>
    </row>
    <row r="3638" spans="1:40" x14ac:dyDescent="0.25">
      <c r="A3638" t="str">
        <f>"20190312172442389"</f>
        <v>20190312172442389</v>
      </c>
      <c r="B3638" t="str">
        <f>"1552382682384140"</f>
        <v>1552382682384140</v>
      </c>
      <c r="C3638" t="s">
        <v>40</v>
      </c>
      <c r="D3638">
        <v>3.6382919999999999</v>
      </c>
      <c r="E3638">
        <v>0.48904310000000001</v>
      </c>
      <c r="F3638" t="s">
        <v>47</v>
      </c>
      <c r="G3638">
        <v>-258.0598</v>
      </c>
      <c r="H3638" s="1">
        <v>2.7163140000000001E-6</v>
      </c>
      <c r="I3638">
        <v>215.4375</v>
      </c>
      <c r="J3638">
        <v>-282.40370000000001</v>
      </c>
      <c r="K3638">
        <v>1.109499</v>
      </c>
      <c r="L3638">
        <v>214.98179999999999</v>
      </c>
      <c r="M3638">
        <v>0.99985550000000001</v>
      </c>
      <c r="N3638">
        <v>0</v>
      </c>
      <c r="O3638">
        <v>1.369105E-2</v>
      </c>
      <c r="P3638">
        <v>0.9864271</v>
      </c>
      <c r="Q3638">
        <v>0.1636272</v>
      </c>
      <c r="R3638">
        <v>-1.3699909999999999E-2</v>
      </c>
      <c r="S3638">
        <v>3.064514</v>
      </c>
      <c r="T3638">
        <v>-0.13730789999999901</v>
      </c>
      <c r="U3638">
        <v>5.7113650000000002E-2</v>
      </c>
      <c r="V3638">
        <v>2.722749E-2</v>
      </c>
      <c r="W3638">
        <v>0.17355689999999999</v>
      </c>
      <c r="X3638">
        <v>0.98444739999999997</v>
      </c>
      <c r="Y3638">
        <v>-4.9515139999999997E-3</v>
      </c>
      <c r="Z3638">
        <v>-5.0221140000000005E-4</v>
      </c>
      <c r="AA3638">
        <v>0.99998759999999998</v>
      </c>
      <c r="AB3638">
        <v>42</v>
      </c>
      <c r="AC3638">
        <v>24.343900000000001</v>
      </c>
      <c r="AD3638">
        <v>-1.1094962836860001</v>
      </c>
      <c r="AE3638">
        <v>0.45570000000000699</v>
      </c>
      <c r="AF3638">
        <v>-0.12209329130247901</v>
      </c>
      <c r="AG3638">
        <v>-1.1094962836860001</v>
      </c>
      <c r="AH3638">
        <v>24.297405333169699</v>
      </c>
      <c r="AI3638">
        <v>92.614457160345907</v>
      </c>
      <c r="AJ3638">
        <v>90.287906108694699</v>
      </c>
      <c r="AK3638">
        <v>24.3230301298921</v>
      </c>
      <c r="AL3638">
        <v>80.005310546587296</v>
      </c>
      <c r="AM3638">
        <v>88.415737936165499</v>
      </c>
      <c r="AN3638">
        <v>1.0000000085580301</v>
      </c>
    </row>
    <row r="3639" spans="1:40" x14ac:dyDescent="0.25">
      <c r="A3639" t="str">
        <f>"20190312172442423"</f>
        <v>20190312172442423</v>
      </c>
      <c r="B3639" t="str">
        <f>"1552382682414396"</f>
        <v>1552382682414396</v>
      </c>
      <c r="C3639" t="s">
        <v>40</v>
      </c>
      <c r="D3639">
        <v>3.7382070000000001</v>
      </c>
      <c r="E3639">
        <v>0.48907869999999998</v>
      </c>
      <c r="F3639" t="s">
        <v>47</v>
      </c>
      <c r="G3639">
        <v>-257.10140000000001</v>
      </c>
      <c r="H3639" s="1">
        <v>2.2059419999999998E-6</v>
      </c>
      <c r="I3639">
        <v>215.44669999999999</v>
      </c>
      <c r="J3639">
        <v>-281.76690000000002</v>
      </c>
      <c r="K3639">
        <v>1.109504</v>
      </c>
      <c r="L3639">
        <v>214.99039999999999</v>
      </c>
      <c r="M3639">
        <v>0.99985619999999997</v>
      </c>
      <c r="N3639">
        <v>0</v>
      </c>
      <c r="O3639">
        <v>1.3640799999999899E-2</v>
      </c>
      <c r="P3639">
        <v>0.98639480000000002</v>
      </c>
      <c r="Q3639">
        <v>0.1638201</v>
      </c>
      <c r="R3639">
        <v>-1.373303E-2</v>
      </c>
      <c r="S3639">
        <v>3.0643310000000001</v>
      </c>
      <c r="T3639">
        <v>-0.13437009999999999</v>
      </c>
      <c r="U3639">
        <v>5.6304930000000003E-2</v>
      </c>
      <c r="V3639">
        <v>2.7210459999999999E-2</v>
      </c>
      <c r="W3639">
        <v>0.17376069999999999</v>
      </c>
      <c r="X3639">
        <v>0.98441190000000001</v>
      </c>
      <c r="Y3639">
        <v>-4.7388439999999999E-3</v>
      </c>
      <c r="Z3639">
        <v>-4.9396569999999999E-4</v>
      </c>
      <c r="AA3639">
        <v>0.99998869999999895</v>
      </c>
      <c r="AB3639">
        <v>42</v>
      </c>
      <c r="AC3639">
        <v>24.665500000000002</v>
      </c>
      <c r="AD3639">
        <v>-1.1095017940580001</v>
      </c>
      <c r="AE3639">
        <v>0.45629999999999798</v>
      </c>
      <c r="AF3639">
        <v>-0.119541516840071</v>
      </c>
      <c r="AG3639">
        <v>-1.1095017940580001</v>
      </c>
      <c r="AH3639">
        <v>24.6196318197129</v>
      </c>
      <c r="AI3639">
        <v>92.580300148560994</v>
      </c>
      <c r="AJ3639">
        <v>90.278199552947896</v>
      </c>
      <c r="AK3639">
        <v>24.644909319035499</v>
      </c>
      <c r="AL3639">
        <v>79.993453316180606</v>
      </c>
      <c r="AM3639">
        <v>88.416671274207701</v>
      </c>
      <c r="AN3639">
        <v>0.99999998942975499</v>
      </c>
    </row>
    <row r="3640" spans="1:40" x14ac:dyDescent="0.25">
      <c r="A3640" t="str">
        <f>"20190312172442444"</f>
        <v>20190312172442444</v>
      </c>
      <c r="B3640" t="str">
        <f>"1552382682433916"</f>
        <v>1552382682433916</v>
      </c>
      <c r="C3640" t="s">
        <v>40</v>
      </c>
      <c r="D3640">
        <v>3.6380490000000001</v>
      </c>
      <c r="E3640">
        <v>0.48905470000000001</v>
      </c>
      <c r="F3640" t="s">
        <v>47</v>
      </c>
      <c r="G3640">
        <v>-256.08920000000001</v>
      </c>
      <c r="H3640" s="1">
        <v>1.666707E-6</v>
      </c>
      <c r="I3640">
        <v>215.46019999999999</v>
      </c>
      <c r="J3640">
        <v>-281.36250000000001</v>
      </c>
      <c r="K3640">
        <v>1.10949599999999</v>
      </c>
      <c r="L3640">
        <v>214.99590000000001</v>
      </c>
      <c r="M3640">
        <v>0.99985639999999998</v>
      </c>
      <c r="N3640">
        <v>0</v>
      </c>
      <c r="O3640">
        <v>1.3609120000000001E-2</v>
      </c>
      <c r="P3640">
        <v>0.98639030000000005</v>
      </c>
      <c r="Q3640">
        <v>0.16385229999999901</v>
      </c>
      <c r="R3640">
        <v>-1.3661929999999999E-2</v>
      </c>
      <c r="S3640">
        <v>3.0641479999999999</v>
      </c>
      <c r="T3640">
        <v>-0.13239799999999999</v>
      </c>
      <c r="U3640">
        <v>5.6060789999999999E-2</v>
      </c>
      <c r="V3640">
        <v>2.710829E-2</v>
      </c>
      <c r="W3640">
        <v>0.1737996</v>
      </c>
      <c r="X3640">
        <v>0.98440780000000006</v>
      </c>
      <c r="Y3640">
        <v>-4.6917490000000003E-3</v>
      </c>
      <c r="Z3640">
        <v>-4.864011E-4</v>
      </c>
      <c r="AA3640">
        <v>0.99998889999999996</v>
      </c>
      <c r="AB3640">
        <v>42</v>
      </c>
      <c r="AC3640">
        <v>25.273299999999999</v>
      </c>
      <c r="AD3640">
        <v>-1.1094943332929901</v>
      </c>
      <c r="AE3640">
        <v>0.46429999999998001</v>
      </c>
      <c r="AF3640">
        <v>-0.120060784541704</v>
      </c>
      <c r="AG3640">
        <v>-1.1094943332929901</v>
      </c>
      <c r="AH3640">
        <v>25.228674039990601</v>
      </c>
      <c r="AI3640">
        <v>92.518074876055806</v>
      </c>
      <c r="AJ3640">
        <v>90.272662935013599</v>
      </c>
      <c r="AK3640">
        <v>25.253344057444899</v>
      </c>
      <c r="AL3640">
        <v>79.991189559156496</v>
      </c>
      <c r="AM3640">
        <v>88.422606790904098</v>
      </c>
      <c r="AN3640">
        <v>0.99999993852386004</v>
      </c>
    </row>
    <row r="3641" spans="1:40" x14ac:dyDescent="0.25">
      <c r="A3641" t="str">
        <f>"20190312172442467"</f>
        <v>20190312172442467</v>
      </c>
      <c r="B3641" t="str">
        <f>"1552382682454412"</f>
        <v>1552382682454412</v>
      </c>
      <c r="C3641" t="s">
        <v>40</v>
      </c>
      <c r="D3641">
        <v>3.6421579999999998</v>
      </c>
      <c r="E3641">
        <v>0.48901470000000002</v>
      </c>
      <c r="F3641" t="s">
        <v>47</v>
      </c>
      <c r="G3641">
        <v>-255.51310000000001</v>
      </c>
      <c r="H3641" s="1">
        <v>1.359575E-6</v>
      </c>
      <c r="I3641">
        <v>215.47309999999999</v>
      </c>
      <c r="J3641">
        <v>-280.93830000000003</v>
      </c>
      <c r="K3641">
        <v>1.109502</v>
      </c>
      <c r="L3641">
        <v>215.0017</v>
      </c>
      <c r="M3641">
        <v>0.99985690000000005</v>
      </c>
      <c r="N3641">
        <v>0</v>
      </c>
      <c r="O3641">
        <v>1.35754E-2</v>
      </c>
      <c r="P3641">
        <v>0.98641849999999998</v>
      </c>
      <c r="Q3641">
        <v>0.16369529999999999</v>
      </c>
      <c r="R3641">
        <v>-1.351338E-2</v>
      </c>
      <c r="S3641">
        <v>3.0639949999999998</v>
      </c>
      <c r="T3641">
        <v>-0.1315114</v>
      </c>
      <c r="U3641">
        <v>5.6564330000000003E-2</v>
      </c>
      <c r="V3641">
        <v>2.6926909999999998E-2</v>
      </c>
      <c r="W3641">
        <v>0.17365029999999901</v>
      </c>
      <c r="X3641">
        <v>0.98443919999999996</v>
      </c>
      <c r="Y3641">
        <v>-4.8903410000000003E-3</v>
      </c>
      <c r="Z3641">
        <v>-4.7746440000000001E-4</v>
      </c>
      <c r="AA3641">
        <v>0.99998790000000004</v>
      </c>
      <c r="AB3641">
        <v>42</v>
      </c>
      <c r="AC3641">
        <v>25.4252</v>
      </c>
      <c r="AD3641">
        <v>-1.1095006404250001</v>
      </c>
      <c r="AE3641">
        <v>0.471399999999988</v>
      </c>
      <c r="AF3641">
        <v>-0.12594196704754501</v>
      </c>
      <c r="AG3641">
        <v>-1.1095006404250001</v>
      </c>
      <c r="AH3641">
        <v>25.380941283724599</v>
      </c>
      <c r="AI3641">
        <v>92.502999265110603</v>
      </c>
      <c r="AJ3641">
        <v>90.284303244377895</v>
      </c>
      <c r="AK3641">
        <v>25.4054921916117</v>
      </c>
      <c r="AL3641">
        <v>79.999876642923994</v>
      </c>
      <c r="AM3641">
        <v>88.433205710461706</v>
      </c>
      <c r="AN3641">
        <v>1.0000000118344301</v>
      </c>
    </row>
    <row r="3642" spans="1:40" x14ac:dyDescent="0.25">
      <c r="A3642" t="str">
        <f>"20190312172442490"</f>
        <v>20190312172442490</v>
      </c>
      <c r="B3642" t="str">
        <f>"1552382682483692"</f>
        <v>1552382682483692</v>
      </c>
      <c r="C3642" t="s">
        <v>40</v>
      </c>
      <c r="D3642">
        <v>3.6216270000000002</v>
      </c>
      <c r="E3642">
        <v>0.48902180000000001</v>
      </c>
      <c r="F3642" t="s">
        <v>47</v>
      </c>
      <c r="G3642">
        <v>-255.10900000000001</v>
      </c>
      <c r="H3642" s="1">
        <v>1.1441059999999999E-6</v>
      </c>
      <c r="I3642">
        <v>215.48249999999999</v>
      </c>
      <c r="J3642">
        <v>-280.50709999999998</v>
      </c>
      <c r="K3642">
        <v>1.109502</v>
      </c>
      <c r="L3642">
        <v>215.00749999999999</v>
      </c>
      <c r="M3642">
        <v>0.9998572</v>
      </c>
      <c r="N3642">
        <v>0</v>
      </c>
      <c r="O3642">
        <v>1.3541569999999999E-2</v>
      </c>
      <c r="P3642">
        <v>0.98643170000000002</v>
      </c>
      <c r="Q3642">
        <v>0.16363150000000001</v>
      </c>
      <c r="R3642">
        <v>-1.3318389999999999E-2</v>
      </c>
      <c r="S3642">
        <v>3.063965</v>
      </c>
      <c r="T3642">
        <v>-0.13161310000000001</v>
      </c>
      <c r="U3642">
        <v>5.7037350000000001E-2</v>
      </c>
      <c r="V3642">
        <v>2.6698820000000002E-2</v>
      </c>
      <c r="W3642">
        <v>0.173594</v>
      </c>
      <c r="X3642">
        <v>0.98445530000000003</v>
      </c>
      <c r="Y3642">
        <v>-5.0784970000000004E-3</v>
      </c>
      <c r="Z3642">
        <v>-4.7234579999999999E-4</v>
      </c>
      <c r="AA3642">
        <v>0.99998699999999996</v>
      </c>
      <c r="AB3642">
        <v>42</v>
      </c>
      <c r="AC3642">
        <v>25.3980999999999</v>
      </c>
      <c r="AD3642">
        <v>-1.1095008558939901</v>
      </c>
      <c r="AE3642">
        <v>0.47499999999999398</v>
      </c>
      <c r="AF3642">
        <v>-0.13075927184109201</v>
      </c>
      <c r="AG3642">
        <v>-1.1095008558939901</v>
      </c>
      <c r="AH3642">
        <v>25.3538370545938</v>
      </c>
      <c r="AI3642">
        <v>92.505669672368995</v>
      </c>
      <c r="AJ3642">
        <v>90.295493260788902</v>
      </c>
      <c r="AK3642">
        <v>25.378438555736601</v>
      </c>
      <c r="AL3642">
        <v>80.003151727622594</v>
      </c>
      <c r="AM3642">
        <v>88.446496430557005</v>
      </c>
      <c r="AN3642">
        <v>0.99999997076173996</v>
      </c>
    </row>
    <row r="3643" spans="1:40" x14ac:dyDescent="0.25">
      <c r="A3643" t="str">
        <f>"20190312172442511"</f>
        <v>20190312172442511</v>
      </c>
      <c r="B3643" t="str">
        <f>"1552382682504188"</f>
        <v>1552382682504188</v>
      </c>
      <c r="C3643" t="s">
        <v>40</v>
      </c>
      <c r="D3643">
        <v>3.6382159999999999</v>
      </c>
      <c r="E3643">
        <v>0.489066</v>
      </c>
      <c r="F3643" t="s">
        <v>47</v>
      </c>
      <c r="G3643">
        <v>-254.56899999999999</v>
      </c>
      <c r="H3643" s="1">
        <v>8.5630539999999996E-7</v>
      </c>
      <c r="I3643">
        <v>215.49260000000001</v>
      </c>
      <c r="J3643">
        <v>-280.08890000000002</v>
      </c>
      <c r="K3643">
        <v>1.1094980000000001</v>
      </c>
      <c r="L3643">
        <v>215.01310000000001</v>
      </c>
      <c r="M3643">
        <v>0.99985760000000001</v>
      </c>
      <c r="N3643">
        <v>0</v>
      </c>
      <c r="O3643">
        <v>1.350868E-2</v>
      </c>
      <c r="P3643">
        <v>0.98643060000000005</v>
      </c>
      <c r="Q3643">
        <v>0.16363259999999999</v>
      </c>
      <c r="R3643">
        <v>-1.3375400000000001E-2</v>
      </c>
      <c r="S3643">
        <v>3.063812</v>
      </c>
      <c r="T3643">
        <v>-0.13105449999999999</v>
      </c>
      <c r="U3643">
        <v>5.729675E-2</v>
      </c>
      <c r="V3643">
        <v>2.672341E-2</v>
      </c>
      <c r="W3643">
        <v>0.17360239999999999</v>
      </c>
      <c r="X3643">
        <v>0.98445320000000003</v>
      </c>
      <c r="Y3643">
        <v>-5.1967389999999997E-3</v>
      </c>
      <c r="Z3643">
        <v>-4.6643269999999999E-4</v>
      </c>
      <c r="AA3643">
        <v>0.99998640000000005</v>
      </c>
      <c r="AB3643">
        <v>42</v>
      </c>
      <c r="AC3643">
        <v>25.5199</v>
      </c>
      <c r="AD3643">
        <v>-1.1094971436946</v>
      </c>
      <c r="AE3643">
        <v>0.47950000000000098</v>
      </c>
      <c r="AF3643">
        <v>-0.134444416790334</v>
      </c>
      <c r="AG3643">
        <v>-1.1094971436946</v>
      </c>
      <c r="AH3643">
        <v>25.475912806754899</v>
      </c>
      <c r="AI3643">
        <v>92.493668279309404</v>
      </c>
      <c r="AJ3643">
        <v>90.302365069713005</v>
      </c>
      <c r="AK3643">
        <v>25.500415536819201</v>
      </c>
      <c r="AL3643">
        <v>80.002663504587105</v>
      </c>
      <c r="AM3643">
        <v>88.445063018069703</v>
      </c>
      <c r="AN3643">
        <v>1.0000000184590101</v>
      </c>
    </row>
    <row r="3644" spans="1:40" x14ac:dyDescent="0.25">
      <c r="A3644" t="str">
        <f>"20190312172442534"</f>
        <v>20190312172442534</v>
      </c>
      <c r="B3644" t="str">
        <f>"1552382682523709"</f>
        <v>1552382682523709</v>
      </c>
      <c r="C3644" t="s">
        <v>40</v>
      </c>
      <c r="D3644">
        <v>3.6372080000000002</v>
      </c>
      <c r="E3644">
        <v>0.48908220000000002</v>
      </c>
      <c r="F3644" t="s">
        <v>47</v>
      </c>
      <c r="G3644">
        <v>-254.0788</v>
      </c>
      <c r="H3644" s="1">
        <v>5.9520969999999996E-7</v>
      </c>
      <c r="I3644">
        <v>215.4984</v>
      </c>
      <c r="J3644">
        <v>-279.673</v>
      </c>
      <c r="K3644">
        <v>1.1095010000000001</v>
      </c>
      <c r="L3644">
        <v>215.0187</v>
      </c>
      <c r="M3644">
        <v>0.99985800000000002</v>
      </c>
      <c r="N3644">
        <v>0</v>
      </c>
      <c r="O3644">
        <v>1.3475799999999901E-2</v>
      </c>
      <c r="P3644">
        <v>0.98641250000000003</v>
      </c>
      <c r="Q3644">
        <v>0.16370789999999999</v>
      </c>
      <c r="R3644">
        <v>-1.3785530000000001E-2</v>
      </c>
      <c r="S3644">
        <v>3.0637210000000001</v>
      </c>
      <c r="T3644">
        <v>-0.13068750000000001</v>
      </c>
      <c r="U3644">
        <v>5.7159420000000002E-2</v>
      </c>
      <c r="V3644">
        <v>2.7100909999999999E-2</v>
      </c>
      <c r="W3644">
        <v>0.17368510000000001</v>
      </c>
      <c r="X3644">
        <v>0.98442830000000003</v>
      </c>
      <c r="Y3644">
        <v>-5.1853130000000004E-3</v>
      </c>
      <c r="Z3644">
        <v>-4.6398359999999999E-4</v>
      </c>
      <c r="AA3644">
        <v>0.9999865</v>
      </c>
      <c r="AB3644">
        <v>42</v>
      </c>
      <c r="AC3644">
        <v>25.594200000000001</v>
      </c>
      <c r="AD3644">
        <v>-1.1095004047902901</v>
      </c>
      <c r="AE3644">
        <v>0.47970000000000801</v>
      </c>
      <c r="AF3644">
        <v>-0.13448382718565699</v>
      </c>
      <c r="AG3644">
        <v>-1.1095004047902901</v>
      </c>
      <c r="AH3644">
        <v>25.5503431988299</v>
      </c>
      <c r="AI3644">
        <v>92.486420614821398</v>
      </c>
      <c r="AJ3644">
        <v>90.301572644040505</v>
      </c>
      <c r="AK3644">
        <v>25.574774967260101</v>
      </c>
      <c r="AL3644">
        <v>79.997852122454503</v>
      </c>
      <c r="AM3644">
        <v>88.423068828382299</v>
      </c>
      <c r="AN3644">
        <v>1.0000000255628601</v>
      </c>
    </row>
    <row r="3645" spans="1:40" x14ac:dyDescent="0.25">
      <c r="A3645" t="str">
        <f>"20190312172442555"</f>
        <v>20190312172442555</v>
      </c>
      <c r="B3645" t="str">
        <f>"1552382682544204"</f>
        <v>1552382682544204</v>
      </c>
      <c r="C3645" t="s">
        <v>40</v>
      </c>
      <c r="D3645">
        <v>3.6612650000000002</v>
      </c>
      <c r="E3645">
        <v>0.48913119999999999</v>
      </c>
      <c r="F3645" t="s">
        <v>47</v>
      </c>
      <c r="G3645">
        <v>-253.5394</v>
      </c>
      <c r="H3645" s="1">
        <v>3.0820820000000001E-7</v>
      </c>
      <c r="I3645">
        <v>215.49680000000001</v>
      </c>
      <c r="J3645">
        <v>-279.26870000000002</v>
      </c>
      <c r="K3645">
        <v>1.1094980000000001</v>
      </c>
      <c r="L3645">
        <v>215.0241</v>
      </c>
      <c r="M3645">
        <v>0.99985829999999998</v>
      </c>
      <c r="N3645">
        <v>0</v>
      </c>
      <c r="O3645">
        <v>1.3443999999999999E-2</v>
      </c>
      <c r="P3645">
        <v>0.98643289999999995</v>
      </c>
      <c r="Q3645">
        <v>0.1636099</v>
      </c>
      <c r="R3645">
        <v>-1.349236E-2</v>
      </c>
      <c r="S3645">
        <v>3.0636899999999998</v>
      </c>
      <c r="T3645">
        <v>-0.1300685</v>
      </c>
      <c r="U3645">
        <v>5.6045530000000003E-2</v>
      </c>
      <c r="V3645">
        <v>2.6776520000000002E-2</v>
      </c>
      <c r="W3645">
        <v>0.173594</v>
      </c>
      <c r="X3645">
        <v>0.98445320000000003</v>
      </c>
      <c r="Y3645">
        <v>-4.8540529999999997E-3</v>
      </c>
      <c r="Z3645">
        <v>-4.674732E-4</v>
      </c>
      <c r="AA3645">
        <v>0.99998810000000005</v>
      </c>
      <c r="AB3645">
        <v>42</v>
      </c>
      <c r="AC3645">
        <v>25.729299999999999</v>
      </c>
      <c r="AD3645">
        <v>-1.10949769179179</v>
      </c>
      <c r="AE3645">
        <v>0.47270000000000301</v>
      </c>
      <c r="AF3645">
        <v>-0.12649966620168601</v>
      </c>
      <c r="AG3645">
        <v>-1.10949769179179</v>
      </c>
      <c r="AH3645">
        <v>25.6855834881687</v>
      </c>
      <c r="AI3645">
        <v>92.473343579897303</v>
      </c>
      <c r="AJ3645">
        <v>90.282175345103695</v>
      </c>
      <c r="AK3645">
        <v>25.7098460987484</v>
      </c>
      <c r="AL3645">
        <v>80.003151830264599</v>
      </c>
      <c r="AM3645">
        <v>88.441974264074702</v>
      </c>
      <c r="AN3645">
        <v>0.99999998092477504</v>
      </c>
    </row>
    <row r="3646" spans="1:40" x14ac:dyDescent="0.25">
      <c r="A3646" t="str">
        <f>"20190312172442578"</f>
        <v>20190312172442578</v>
      </c>
      <c r="B3646" t="str">
        <f>"1552382682574461"</f>
        <v>1552382682574461</v>
      </c>
      <c r="C3646" t="s">
        <v>40</v>
      </c>
      <c r="D3646">
        <v>3.6620940000000002</v>
      </c>
      <c r="E3646">
        <v>0.4891491</v>
      </c>
      <c r="F3646" t="s">
        <v>47</v>
      </c>
      <c r="G3646">
        <v>-253.11330000000001</v>
      </c>
      <c r="H3646" s="1">
        <v>8.1126879999999997E-8</v>
      </c>
      <c r="I3646">
        <v>215.50470000000001</v>
      </c>
      <c r="J3646">
        <v>-278.8383</v>
      </c>
      <c r="K3646">
        <v>1.1094949999999999</v>
      </c>
      <c r="L3646">
        <v>215.0299</v>
      </c>
      <c r="M3646">
        <v>0.99985869999999999</v>
      </c>
      <c r="N3646">
        <v>0</v>
      </c>
      <c r="O3646">
        <v>1.3410099999999999E-2</v>
      </c>
      <c r="P3646">
        <v>0.98650300000000002</v>
      </c>
      <c r="Q3646">
        <v>0.16316910000000001</v>
      </c>
      <c r="R3646">
        <v>-1.3700850000000001E-2</v>
      </c>
      <c r="S3646">
        <v>3.063599</v>
      </c>
      <c r="T3646">
        <v>-0.129956399999999</v>
      </c>
      <c r="U3646">
        <v>5.628967E-2</v>
      </c>
      <c r="V3646">
        <v>2.6952500000000001E-2</v>
      </c>
      <c r="W3646">
        <v>0.17316189999999901</v>
      </c>
      <c r="X3646">
        <v>0.98452450000000002</v>
      </c>
      <c r="Y3646">
        <v>-4.9680180000000003E-3</v>
      </c>
      <c r="Z3646">
        <v>-4.632312E-4</v>
      </c>
      <c r="AA3646">
        <v>0.99998750000000003</v>
      </c>
      <c r="AB3646">
        <v>42</v>
      </c>
      <c r="AC3646">
        <v>25.724999999999898</v>
      </c>
      <c r="AD3646">
        <v>-1.10949491887312</v>
      </c>
      <c r="AE3646">
        <v>0.47480000000001599</v>
      </c>
      <c r="AF3646">
        <v>-0.129523907687811</v>
      </c>
      <c r="AG3646">
        <v>-1.10949491887312</v>
      </c>
      <c r="AH3646">
        <v>25.681300115274698</v>
      </c>
      <c r="AI3646">
        <v>92.473747960276398</v>
      </c>
      <c r="AJ3646">
        <v>90.288969417439006</v>
      </c>
      <c r="AK3646">
        <v>25.705581709591399</v>
      </c>
      <c r="AL3646">
        <v>80.028290097414896</v>
      </c>
      <c r="AM3646">
        <v>88.431853259539096</v>
      </c>
      <c r="AN3646">
        <v>0.99999998598405404</v>
      </c>
    </row>
    <row r="3647" spans="1:40" x14ac:dyDescent="0.25">
      <c r="A3647" t="str">
        <f>"20190312172442600"</f>
        <v>20190312172442600</v>
      </c>
      <c r="B3647" t="str">
        <f>"1552382682593980"</f>
        <v>1552382682593980</v>
      </c>
      <c r="C3647" t="s">
        <v>40</v>
      </c>
      <c r="D3647">
        <v>3.5984470000000002</v>
      </c>
      <c r="E3647">
        <v>0.47401310000000002</v>
      </c>
      <c r="F3647" t="s">
        <v>47</v>
      </c>
      <c r="G3647">
        <v>-252.89869999999999</v>
      </c>
      <c r="H3647" s="1">
        <v>-3.2803159999999997E-8</v>
      </c>
      <c r="I3647">
        <v>215.4982</v>
      </c>
      <c r="J3647">
        <v>-278.4117</v>
      </c>
      <c r="K3647">
        <v>1.1094999999999999</v>
      </c>
      <c r="L3647">
        <v>215.03559999999999</v>
      </c>
      <c r="M3647">
        <v>0.9998591</v>
      </c>
      <c r="N3647">
        <v>0</v>
      </c>
      <c r="O3647">
        <v>1.3376559999999999E-2</v>
      </c>
      <c r="P3647">
        <v>0.98639540000000003</v>
      </c>
      <c r="Q3647">
        <v>0.1638193</v>
      </c>
      <c r="R3647">
        <v>-1.369126E-2</v>
      </c>
      <c r="S3647">
        <v>3.0634769999999998</v>
      </c>
      <c r="T3647">
        <v>-0.1310316</v>
      </c>
      <c r="U3647">
        <v>5.5313109999999999E-2</v>
      </c>
      <c r="V3647">
        <v>2.690853E-2</v>
      </c>
      <c r="W3647">
        <v>0.173818</v>
      </c>
      <c r="X3647">
        <v>0.98441009999999995</v>
      </c>
      <c r="Y3647">
        <v>-4.6839819999999997E-3</v>
      </c>
      <c r="Z3647">
        <v>-4.7171829999999998E-4</v>
      </c>
      <c r="AA3647">
        <v>0.99998889999999996</v>
      </c>
      <c r="AB3647">
        <v>42</v>
      </c>
      <c r="AC3647">
        <v>25.513000000000002</v>
      </c>
      <c r="AD3647">
        <v>-1.1095000328031599</v>
      </c>
      <c r="AE3647">
        <v>0.462600000000008</v>
      </c>
      <c r="AF3647">
        <v>-0.121036055393329</v>
      </c>
      <c r="AG3647">
        <v>-1.1095000328031599</v>
      </c>
      <c r="AH3647">
        <v>25.46875539925</v>
      </c>
      <c r="AI3647">
        <v>92.494381227907496</v>
      </c>
      <c r="AJ3647">
        <v>90.272286683340695</v>
      </c>
      <c r="AK3647">
        <v>25.493197948400301</v>
      </c>
      <c r="AL3647">
        <v>79.990119700353404</v>
      </c>
      <c r="AM3647">
        <v>88.434228392608404</v>
      </c>
      <c r="AN3647">
        <v>1.00000000554638</v>
      </c>
    </row>
    <row r="3648" spans="1:40" x14ac:dyDescent="0.25">
      <c r="A3648" t="str">
        <f>"20190312172442623"</f>
        <v>20190312172442623</v>
      </c>
      <c r="B3648" t="str">
        <f>"1552382682614493"</f>
        <v>1552382682614493</v>
      </c>
      <c r="C3648" t="s">
        <v>40</v>
      </c>
      <c r="D3648">
        <v>3.6513499999999999</v>
      </c>
      <c r="E3648">
        <v>0.47116130000000001</v>
      </c>
      <c r="F3648" t="s">
        <v>47</v>
      </c>
      <c r="G3648">
        <v>-250.0368</v>
      </c>
      <c r="H3648" s="1">
        <v>-1.606831E-6</v>
      </c>
      <c r="I3648">
        <v>216.66630000000001</v>
      </c>
      <c r="J3648">
        <v>-277.99770000000001</v>
      </c>
      <c r="K3648">
        <v>1.1095010000000001</v>
      </c>
      <c r="L3648">
        <v>215.0411</v>
      </c>
      <c r="M3648">
        <v>0.99985939999999995</v>
      </c>
      <c r="N3648">
        <v>0</v>
      </c>
      <c r="O3648">
        <v>1.3343860000000001E-2</v>
      </c>
      <c r="P3648">
        <v>0.98633040000000005</v>
      </c>
      <c r="Q3648">
        <v>0.16419320000000001</v>
      </c>
      <c r="R3648">
        <v>-1.39013E-2</v>
      </c>
      <c r="S3648">
        <v>3.0637210000000001</v>
      </c>
      <c r="T3648">
        <v>-0.11979579999999999</v>
      </c>
      <c r="U3648">
        <v>0.17607120000000001</v>
      </c>
      <c r="V3648">
        <v>2.708545E-2</v>
      </c>
      <c r="W3648">
        <v>0.1741983</v>
      </c>
      <c r="X3648">
        <v>0.98433800000000005</v>
      </c>
      <c r="Y3648">
        <v>-4.4024000000000001E-2</v>
      </c>
      <c r="Z3648">
        <v>3.385625E-4</v>
      </c>
      <c r="AA3648">
        <v>0.99903039999999999</v>
      </c>
      <c r="AB3648">
        <v>42</v>
      </c>
      <c r="AC3648">
        <v>27.960899999999999</v>
      </c>
      <c r="AD3648">
        <v>-1.1095026068310001</v>
      </c>
      <c r="AE3648">
        <v>1.6252</v>
      </c>
      <c r="AF3648">
        <v>-1.2499682127718099</v>
      </c>
      <c r="AG3648">
        <v>-1.1095026068310001</v>
      </c>
      <c r="AH3648">
        <v>27.936259132785999</v>
      </c>
      <c r="AI3648">
        <v>92.272064668008795</v>
      </c>
      <c r="AJ3648">
        <v>92.561909501897603</v>
      </c>
      <c r="AK3648">
        <v>27.986210727815099</v>
      </c>
      <c r="AL3648">
        <v>79.9679923276708</v>
      </c>
      <c r="AM3648">
        <v>88.423823444398394</v>
      </c>
      <c r="AN3648">
        <v>0.999999983784296</v>
      </c>
    </row>
    <row r="3649" spans="1:40" x14ac:dyDescent="0.25">
      <c r="A3649" t="str">
        <f>"20190312172442644"</f>
        <v>20190312172442644</v>
      </c>
      <c r="B3649" t="str">
        <f>"1552382682633997"</f>
        <v>1552382682633997</v>
      </c>
      <c r="C3649" t="s">
        <v>40</v>
      </c>
      <c r="D3649">
        <v>3.6145109999999998</v>
      </c>
      <c r="E3649">
        <v>0.4700628</v>
      </c>
      <c r="F3649" t="s">
        <v>47</v>
      </c>
      <c r="G3649">
        <v>-249.52209999999999</v>
      </c>
      <c r="H3649" s="1">
        <v>3.4313769999999999E-6</v>
      </c>
      <c r="I3649">
        <v>216.88220000000001</v>
      </c>
      <c r="J3649">
        <v>-277.5797</v>
      </c>
      <c r="K3649">
        <v>1.109499</v>
      </c>
      <c r="L3649">
        <v>215.04669999999999</v>
      </c>
      <c r="M3649">
        <v>0.99985979999999997</v>
      </c>
      <c r="N3649">
        <v>0</v>
      </c>
      <c r="O3649">
        <v>1.331122E-2</v>
      </c>
      <c r="P3649">
        <v>0.98632070000000005</v>
      </c>
      <c r="Q3649">
        <v>0.16425129999999999</v>
      </c>
      <c r="R3649">
        <v>-1.390009E-2</v>
      </c>
      <c r="S3649">
        <v>3.0642399999999999</v>
      </c>
      <c r="T3649">
        <v>-0.1193924</v>
      </c>
      <c r="U3649">
        <v>0.19812009999999999</v>
      </c>
      <c r="V3649">
        <v>2.70519E-2</v>
      </c>
      <c r="W3649">
        <v>0.17426359999999999</v>
      </c>
      <c r="X3649">
        <v>0.98432739999999996</v>
      </c>
      <c r="Y3649">
        <v>-5.1202329999999997E-2</v>
      </c>
      <c r="Z3649">
        <v>4.7821479999999997E-4</v>
      </c>
      <c r="AA3649">
        <v>0.99868820000000003</v>
      </c>
      <c r="AB3649">
        <v>42</v>
      </c>
      <c r="AC3649">
        <v>28.057600000000001</v>
      </c>
      <c r="AD3649">
        <v>-1.1094955686229999</v>
      </c>
      <c r="AE3649">
        <v>1.8355000000000199</v>
      </c>
      <c r="AF3649">
        <v>-1.4595646254826</v>
      </c>
      <c r="AG3649">
        <v>-1.1094955686229999</v>
      </c>
      <c r="AH3649">
        <v>28.035895319508398</v>
      </c>
      <c r="AI3649">
        <v>92.2631851459995</v>
      </c>
      <c r="AJ3649">
        <v>92.980160370817501</v>
      </c>
      <c r="AK3649">
        <v>28.095777897740899</v>
      </c>
      <c r="AL3649">
        <v>79.9641931556353</v>
      </c>
      <c r="AM3649">
        <v>88.425757883867902</v>
      </c>
      <c r="AN3649">
        <v>1.0000000189846601</v>
      </c>
    </row>
    <row r="3650" spans="1:40" x14ac:dyDescent="0.25">
      <c r="A3650" t="str">
        <f>"20190312172442669"</f>
        <v>20190312172442669</v>
      </c>
      <c r="B3650" t="str">
        <f>"1552382682664253"</f>
        <v>1552382682664253</v>
      </c>
      <c r="C3650" t="s">
        <v>40</v>
      </c>
      <c r="D3650">
        <v>3.6139579999999998</v>
      </c>
      <c r="E3650">
        <v>0.46964240000000002</v>
      </c>
      <c r="F3650" t="s">
        <v>47</v>
      </c>
      <c r="G3650">
        <v>-248.68680000000001</v>
      </c>
      <c r="H3650" s="1">
        <v>2.9818770000000002E-6</v>
      </c>
      <c r="I3650">
        <v>216.9965</v>
      </c>
      <c r="J3650">
        <v>-277.13080000000002</v>
      </c>
      <c r="K3650">
        <v>1.1094980000000001</v>
      </c>
      <c r="L3650">
        <v>215.05260000000001</v>
      </c>
      <c r="M3650">
        <v>0.99986019999999998</v>
      </c>
      <c r="N3650">
        <v>0</v>
      </c>
      <c r="O3650">
        <v>1.3275840000000001E-2</v>
      </c>
      <c r="P3650">
        <v>0.98636259999999998</v>
      </c>
      <c r="Q3650">
        <v>0.16403960000000001</v>
      </c>
      <c r="R3650">
        <v>-1.342663E-2</v>
      </c>
      <c r="S3650">
        <v>3.064117</v>
      </c>
      <c r="T3650">
        <v>-0.1176634</v>
      </c>
      <c r="U3650">
        <v>0.2067871</v>
      </c>
      <c r="V3650">
        <v>2.6544100000000001E-2</v>
      </c>
      <c r="W3650">
        <v>0.17406070000000001</v>
      </c>
      <c r="X3650">
        <v>0.9843771</v>
      </c>
      <c r="Y3650">
        <v>-5.4051290000000002E-2</v>
      </c>
      <c r="Z3650">
        <v>5.27247E-4</v>
      </c>
      <c r="AA3650">
        <v>0.99853800000000004</v>
      </c>
      <c r="AB3650">
        <v>42</v>
      </c>
      <c r="AC3650">
        <v>28.443999999999999</v>
      </c>
      <c r="AD3650">
        <v>-1.1094950181230001</v>
      </c>
      <c r="AE3650">
        <v>1.94389999999998</v>
      </c>
      <c r="AF3650">
        <v>-1.56372303597569</v>
      </c>
      <c r="AG3650">
        <v>-1.1094950181230001</v>
      </c>
      <c r="AH3650">
        <v>28.424255073180898</v>
      </c>
      <c r="AI3650">
        <v>92.231942170929798</v>
      </c>
      <c r="AJ3650">
        <v>93.148877869234497</v>
      </c>
      <c r="AK3650">
        <v>28.4888484392355</v>
      </c>
      <c r="AL3650">
        <v>79.975998661237099</v>
      </c>
      <c r="AM3650">
        <v>88.455371992352298</v>
      </c>
      <c r="AN3650">
        <v>0.99999999576685505</v>
      </c>
    </row>
    <row r="3651" spans="1:40" x14ac:dyDescent="0.25">
      <c r="A3651" t="str">
        <f>"20190312172442691"</f>
        <v>20190312172442691</v>
      </c>
      <c r="B3651" t="str">
        <f>"1552382682683772"</f>
        <v>1552382682683772</v>
      </c>
      <c r="C3651" t="s">
        <v>40</v>
      </c>
      <c r="D3651">
        <v>3.607688</v>
      </c>
      <c r="E3651">
        <v>0.46924490000000002</v>
      </c>
      <c r="F3651" t="s">
        <v>47</v>
      </c>
      <c r="G3651">
        <v>-248.56950000000001</v>
      </c>
      <c r="H3651" s="1">
        <v>2.9182019999999999E-6</v>
      </c>
      <c r="I3651">
        <v>217.02500000000001</v>
      </c>
      <c r="J3651">
        <v>-276.7011</v>
      </c>
      <c r="K3651">
        <v>1.1094919999999999</v>
      </c>
      <c r="L3651">
        <v>215.0583</v>
      </c>
      <c r="M3651">
        <v>0.99986050000000004</v>
      </c>
      <c r="N3651">
        <v>0</v>
      </c>
      <c r="O3651">
        <v>1.324212E-2</v>
      </c>
      <c r="P3651">
        <v>0.98638329999999996</v>
      </c>
      <c r="Q3651">
        <v>0.1639022</v>
      </c>
      <c r="R3651">
        <v>-1.3577280000000001E-2</v>
      </c>
      <c r="S3651">
        <v>3.0641479999999999</v>
      </c>
      <c r="T3651">
        <v>-0.1190305</v>
      </c>
      <c r="U3651">
        <v>0.21160889999999999</v>
      </c>
      <c r="V3651">
        <v>2.6661669999999998E-2</v>
      </c>
      <c r="W3651">
        <v>0.17393020000000001</v>
      </c>
      <c r="X3651">
        <v>0.98439699999999997</v>
      </c>
      <c r="Y3651">
        <v>-5.5646330000000001E-2</v>
      </c>
      <c r="Z3651">
        <v>5.6557489999999998E-4</v>
      </c>
      <c r="AA3651">
        <v>0.99845039999999996</v>
      </c>
      <c r="AB3651">
        <v>42</v>
      </c>
      <c r="AC3651">
        <v>28.131599999999899</v>
      </c>
      <c r="AD3651">
        <v>-1.1094890817980001</v>
      </c>
      <c r="AE3651">
        <v>1.9666999999999999</v>
      </c>
      <c r="AF3651">
        <v>-1.5915227141928201</v>
      </c>
      <c r="AG3651">
        <v>-1.1094890817980001</v>
      </c>
      <c r="AH3651">
        <v>28.111664043165899</v>
      </c>
      <c r="AI3651">
        <v>92.256522171187001</v>
      </c>
      <c r="AJ3651">
        <v>93.240302570645397</v>
      </c>
      <c r="AK3651">
        <v>28.1785302286732</v>
      </c>
      <c r="AL3651">
        <v>79.983591686651906</v>
      </c>
      <c r="AM3651">
        <v>88.448565159842701</v>
      </c>
      <c r="AN3651">
        <v>1.0000000063641099</v>
      </c>
    </row>
    <row r="3652" spans="1:40" x14ac:dyDescent="0.25">
      <c r="A3652" t="str">
        <f>"20190312172442713"</f>
        <v>20190312172442713</v>
      </c>
      <c r="B3652" t="str">
        <f>"1552382682704268"</f>
        <v>1552382682704268</v>
      </c>
      <c r="C3652" t="s">
        <v>40</v>
      </c>
      <c r="D3652">
        <v>3.6108630000000002</v>
      </c>
      <c r="E3652">
        <v>0.46929029999999999</v>
      </c>
      <c r="F3652" t="s">
        <v>47</v>
      </c>
      <c r="G3652">
        <v>-247.80029999999999</v>
      </c>
      <c r="H3652" s="1">
        <v>2.506558E-6</v>
      </c>
      <c r="I3652">
        <v>217.07810000000001</v>
      </c>
      <c r="J3652">
        <v>-276.29640000000001</v>
      </c>
      <c r="K3652">
        <v>1.10949599999999</v>
      </c>
      <c r="L3652">
        <v>215.06360000000001</v>
      </c>
      <c r="M3652">
        <v>0.99986090000000005</v>
      </c>
      <c r="N3652">
        <v>0</v>
      </c>
      <c r="O3652">
        <v>1.321025E-2</v>
      </c>
      <c r="P3652">
        <v>0.98639330000000003</v>
      </c>
      <c r="Q3652">
        <v>0.16381760000000001</v>
      </c>
      <c r="R3652">
        <v>-1.3860519999999999E-2</v>
      </c>
      <c r="S3652">
        <v>3.063904</v>
      </c>
      <c r="T3652">
        <v>-0.11762209999999999</v>
      </c>
      <c r="U3652">
        <v>0.2141266</v>
      </c>
      <c r="V3652">
        <v>2.6913900000000001E-2</v>
      </c>
      <c r="W3652">
        <v>0.1738527</v>
      </c>
      <c r="X3652">
        <v>0.98440380000000005</v>
      </c>
      <c r="Y3652">
        <v>-5.6500199999999903E-2</v>
      </c>
      <c r="Z3652">
        <v>5.7650269999999905E-4</v>
      </c>
      <c r="AA3652">
        <v>0.99840240000000002</v>
      </c>
      <c r="AB3652">
        <v>42</v>
      </c>
      <c r="AC3652">
        <v>28.496099999999998</v>
      </c>
      <c r="AD3652">
        <v>-1.10949349344199</v>
      </c>
      <c r="AE3652">
        <v>2.0144999999999902</v>
      </c>
      <c r="AF3652">
        <v>-1.6353972620641299</v>
      </c>
      <c r="AG3652">
        <v>-1.10949349344199</v>
      </c>
      <c r="AH3652">
        <v>28.477271793904698</v>
      </c>
      <c r="AI3652">
        <v>92.227486919518597</v>
      </c>
      <c r="AJ3652">
        <v>93.286780986411898</v>
      </c>
      <c r="AK3652">
        <v>28.5457616615966</v>
      </c>
      <c r="AL3652">
        <v>79.988100543957302</v>
      </c>
      <c r="AM3652">
        <v>88.433906057386807</v>
      </c>
      <c r="AN3652">
        <v>0.99999998038246996</v>
      </c>
    </row>
    <row r="3653" spans="1:40" x14ac:dyDescent="0.25">
      <c r="A3653" t="str">
        <f>"20190312172442735"</f>
        <v>20190312172442735</v>
      </c>
      <c r="B3653" t="str">
        <f>"1552382682723789"</f>
        <v>1552382682723789</v>
      </c>
      <c r="C3653" t="s">
        <v>40</v>
      </c>
      <c r="D3653">
        <v>3.7045050000000002</v>
      </c>
      <c r="E3653">
        <v>0.46917180000000003</v>
      </c>
      <c r="F3653" t="s">
        <v>47</v>
      </c>
      <c r="G3653">
        <v>-247.71789999999999</v>
      </c>
      <c r="H3653" s="1">
        <v>2.4639849999999998E-6</v>
      </c>
      <c r="I3653">
        <v>217.0488</v>
      </c>
      <c r="J3653">
        <v>-275.87430000000001</v>
      </c>
      <c r="K3653">
        <v>1.109497</v>
      </c>
      <c r="L3653">
        <v>215.0692</v>
      </c>
      <c r="M3653">
        <v>0.99986120000000001</v>
      </c>
      <c r="N3653">
        <v>0</v>
      </c>
      <c r="O3653">
        <v>1.317726E-2</v>
      </c>
      <c r="P3653">
        <v>0.98643689999999995</v>
      </c>
      <c r="Q3653">
        <v>0.1635472</v>
      </c>
      <c r="R3653">
        <v>-1.3956929999999999E-2</v>
      </c>
      <c r="S3653">
        <v>3.0640869999999998</v>
      </c>
      <c r="T3653">
        <v>-0.11895600000000001</v>
      </c>
      <c r="U3653">
        <v>0.2128448</v>
      </c>
      <c r="V3653">
        <v>2.6978160000000001E-2</v>
      </c>
      <c r="W3653">
        <v>0.173589299999999</v>
      </c>
      <c r="X3653">
        <v>0.98444860000000001</v>
      </c>
      <c r="Y3653">
        <v>-5.6112910000000002E-2</v>
      </c>
      <c r="Z3653">
        <v>5.7678129999999897E-4</v>
      </c>
      <c r="AA3653">
        <v>0.99842430000000004</v>
      </c>
      <c r="AB3653">
        <v>42</v>
      </c>
      <c r="AC3653">
        <v>28.156400000000001</v>
      </c>
      <c r="AD3653">
        <v>-1.1094945360149999</v>
      </c>
      <c r="AE3653">
        <v>1.9796</v>
      </c>
      <c r="AF3653">
        <v>-1.6059033485182399</v>
      </c>
      <c r="AG3653">
        <v>-1.1094945360149999</v>
      </c>
      <c r="AH3653">
        <v>28.136568545202</v>
      </c>
      <c r="AI3653">
        <v>92.254479162816097</v>
      </c>
      <c r="AJ3653">
        <v>93.266630290520794</v>
      </c>
      <c r="AK3653">
        <v>28.2041910571652</v>
      </c>
      <c r="AL3653">
        <v>80.003426031284405</v>
      </c>
      <c r="AM3653">
        <v>88.430240102329407</v>
      </c>
      <c r="AN3653">
        <v>1.0000000561167099</v>
      </c>
    </row>
    <row r="3654" spans="1:40" x14ac:dyDescent="0.25">
      <c r="A3654" t="str">
        <f>"20190312172442756"</f>
        <v>20190312172442756</v>
      </c>
      <c r="B3654" t="str">
        <f>"1552382682744285"</f>
        <v>1552382682744285</v>
      </c>
      <c r="C3654" t="s">
        <v>40</v>
      </c>
      <c r="D3654">
        <v>3.6094379999999999</v>
      </c>
      <c r="E3654">
        <v>0.46913949999999999</v>
      </c>
      <c r="F3654" t="s">
        <v>47</v>
      </c>
      <c r="G3654">
        <v>-247.87129999999999</v>
      </c>
      <c r="H3654" s="1">
        <v>2.546751E-6</v>
      </c>
      <c r="I3654">
        <v>217.023</v>
      </c>
      <c r="J3654">
        <v>-275.45650000000001</v>
      </c>
      <c r="K3654">
        <v>1.1094930000000001</v>
      </c>
      <c r="L3654">
        <v>215.0746</v>
      </c>
      <c r="M3654">
        <v>0.99986169999999996</v>
      </c>
      <c r="N3654">
        <v>0</v>
      </c>
      <c r="O3654">
        <v>1.314455E-2</v>
      </c>
      <c r="P3654">
        <v>0.98646469999999997</v>
      </c>
      <c r="Q3654">
        <v>0.16339819999999999</v>
      </c>
      <c r="R3654">
        <v>-1.3730610000000001E-2</v>
      </c>
      <c r="S3654">
        <v>3.064362</v>
      </c>
      <c r="T3654">
        <v>-0.1214118</v>
      </c>
      <c r="U3654">
        <v>0.2138062</v>
      </c>
      <c r="V3654">
        <v>2.6720109999999998E-2</v>
      </c>
      <c r="W3654">
        <v>0.1734484</v>
      </c>
      <c r="X3654">
        <v>0.98448040000000003</v>
      </c>
      <c r="Y3654">
        <v>-5.6449449999999998E-2</v>
      </c>
      <c r="Z3654">
        <v>5.9657039999999996E-4</v>
      </c>
      <c r="AA3654">
        <v>0.99840530000000005</v>
      </c>
      <c r="AB3654">
        <v>42</v>
      </c>
      <c r="AC3654">
        <v>27.5852</v>
      </c>
      <c r="AD3654">
        <v>-1.109490453249</v>
      </c>
      <c r="AE3654">
        <v>1.9483999999999899</v>
      </c>
      <c r="AF3654">
        <v>-1.5830695920639899</v>
      </c>
      <c r="AG3654">
        <v>-1.109490453249</v>
      </c>
      <c r="AH3654">
        <v>27.564060036945701</v>
      </c>
      <c r="AI3654">
        <v>92.301199806723801</v>
      </c>
      <c r="AJ3654">
        <v>93.287022142739502</v>
      </c>
      <c r="AK3654">
        <v>27.631765852357599</v>
      </c>
      <c r="AL3654">
        <v>80.011622636054099</v>
      </c>
      <c r="AM3654">
        <v>88.445297873326794</v>
      </c>
      <c r="AN3654">
        <v>0.99999998486256503</v>
      </c>
    </row>
    <row r="3655" spans="1:40" x14ac:dyDescent="0.25">
      <c r="A3655" t="str">
        <f>"20190312172442779"</f>
        <v>20190312172442779</v>
      </c>
      <c r="B3655" t="str">
        <f>"1552382682773565"</f>
        <v>1552382682773565</v>
      </c>
      <c r="C3655" t="s">
        <v>40</v>
      </c>
      <c r="D3655">
        <v>3.6160070000000002</v>
      </c>
      <c r="E3655">
        <v>0.46916819999999998</v>
      </c>
      <c r="F3655" t="s">
        <v>47</v>
      </c>
      <c r="G3655">
        <v>-247.53360000000001</v>
      </c>
      <c r="H3655" s="1">
        <v>2.3667600000000001E-6</v>
      </c>
      <c r="I3655">
        <v>217.02940000000001</v>
      </c>
      <c r="J3655">
        <v>-275.0265</v>
      </c>
      <c r="K3655">
        <v>1.109494</v>
      </c>
      <c r="L3655">
        <v>215.08029999999999</v>
      </c>
      <c r="M3655">
        <v>0.99986200000000003</v>
      </c>
      <c r="N3655">
        <v>0</v>
      </c>
      <c r="O3655">
        <v>1.3111019999999999E-2</v>
      </c>
      <c r="P3655">
        <v>0.98645799999999995</v>
      </c>
      <c r="Q3655">
        <v>0.1634341</v>
      </c>
      <c r="R3655">
        <v>-1.3785800000000001E-2</v>
      </c>
      <c r="S3655">
        <v>3.0643310000000001</v>
      </c>
      <c r="T3655">
        <v>-0.12175850000000001</v>
      </c>
      <c r="U3655">
        <v>0.2145233</v>
      </c>
      <c r="V3655">
        <v>2.6742209999999999E-2</v>
      </c>
      <c r="W3655">
        <v>0.1734907</v>
      </c>
      <c r="X3655">
        <v>0.98447240000000003</v>
      </c>
      <c r="Y3655">
        <v>-5.6715729999999999E-2</v>
      </c>
      <c r="Z3655">
        <v>6.0488529999999999E-4</v>
      </c>
      <c r="AA3655">
        <v>0.99839020000000001</v>
      </c>
      <c r="AB3655">
        <v>42</v>
      </c>
      <c r="AC3655">
        <v>27.492899999999899</v>
      </c>
      <c r="AD3655">
        <v>-1.10949163324</v>
      </c>
      <c r="AE3655">
        <v>1.94910000000001</v>
      </c>
      <c r="AF3655">
        <v>-1.58588391929178</v>
      </c>
      <c r="AG3655">
        <v>-1.10949163324</v>
      </c>
      <c r="AH3655">
        <v>27.471576970474299</v>
      </c>
      <c r="AI3655">
        <v>92.308901726004606</v>
      </c>
      <c r="AJ3655">
        <v>93.303913724485497</v>
      </c>
      <c r="AK3655">
        <v>27.539672124671199</v>
      </c>
      <c r="AL3655">
        <v>80.009162247108094</v>
      </c>
      <c r="AM3655">
        <v>88.443999984868896</v>
      </c>
      <c r="AN3655">
        <v>1.00000003757196</v>
      </c>
    </row>
    <row r="3656" spans="1:40" x14ac:dyDescent="0.25">
      <c r="A3656" t="str">
        <f>"20190312172442802"</f>
        <v>20190312172442802</v>
      </c>
      <c r="B3656" t="str">
        <f>"1552382682794060"</f>
        <v>1552382682794060</v>
      </c>
      <c r="C3656" t="s">
        <v>40</v>
      </c>
      <c r="D3656">
        <v>3.6298629999999998</v>
      </c>
      <c r="E3656">
        <v>0.46916989999999997</v>
      </c>
      <c r="F3656" t="s">
        <v>47</v>
      </c>
      <c r="G3656">
        <v>-247.07230000000001</v>
      </c>
      <c r="H3656" s="1">
        <v>2.1212070000000001E-6</v>
      </c>
      <c r="I3656">
        <v>217.03110000000001</v>
      </c>
      <c r="J3656">
        <v>-274.5915</v>
      </c>
      <c r="K3656">
        <v>1.1094930000000001</v>
      </c>
      <c r="L3656">
        <v>215.08600000000001</v>
      </c>
      <c r="M3656">
        <v>0.99986229999999998</v>
      </c>
      <c r="N3656">
        <v>0</v>
      </c>
      <c r="O3656">
        <v>1.307695E-2</v>
      </c>
      <c r="P3656">
        <v>0.98643740000000002</v>
      </c>
      <c r="Q3656">
        <v>0.1635375</v>
      </c>
      <c r="R3656">
        <v>-1.4023539999999999E-2</v>
      </c>
      <c r="S3656">
        <v>3.0643310000000001</v>
      </c>
      <c r="T3656">
        <v>-0.12162240000000001</v>
      </c>
      <c r="U3656">
        <v>0.21385190000000001</v>
      </c>
      <c r="V3656">
        <v>2.694597E-2</v>
      </c>
      <c r="W3656">
        <v>0.17360149999999999</v>
      </c>
      <c r="X3656">
        <v>0.98444730000000003</v>
      </c>
      <c r="Y3656">
        <v>-5.6532249999999999E-2</v>
      </c>
      <c r="Z3656">
        <v>6.0192899999999996E-4</v>
      </c>
      <c r="AA3656">
        <v>0.99840059999999997</v>
      </c>
      <c r="AB3656">
        <v>43</v>
      </c>
      <c r="AC3656">
        <v>27.519199999999898</v>
      </c>
      <c r="AD3656">
        <v>-1.109490878793</v>
      </c>
      <c r="AE3656">
        <v>1.94510000000002</v>
      </c>
      <c r="AF3656">
        <v>-1.58248819677751</v>
      </c>
      <c r="AG3656">
        <v>-1.109490878793</v>
      </c>
      <c r="AH3656">
        <v>27.497809616667201</v>
      </c>
      <c r="AI3656">
        <v>92.306723506431794</v>
      </c>
      <c r="AJ3656">
        <v>93.293716708011203</v>
      </c>
      <c r="AK3656">
        <v>27.565644788713701</v>
      </c>
      <c r="AL3656">
        <v>80.002715944932802</v>
      </c>
      <c r="AM3656">
        <v>88.432110115135302</v>
      </c>
      <c r="AN3656">
        <v>1.00000002628939</v>
      </c>
    </row>
    <row r="3657" spans="1:40" x14ac:dyDescent="0.25">
      <c r="A3657" t="str">
        <f>"20190312172442824"</f>
        <v>20190312172442824</v>
      </c>
      <c r="B3657" t="str">
        <f>"1552382682813581"</f>
        <v>1552382682813581</v>
      </c>
      <c r="C3657" t="s">
        <v>40</v>
      </c>
      <c r="D3657">
        <v>3.6149450000000001</v>
      </c>
      <c r="E3657">
        <v>0.46917199999999998</v>
      </c>
      <c r="F3657" t="s">
        <v>47</v>
      </c>
      <c r="G3657">
        <v>-246.55760000000001</v>
      </c>
      <c r="H3657" s="1">
        <v>1.8470230000000001E-6</v>
      </c>
      <c r="I3657">
        <v>217.0376</v>
      </c>
      <c r="J3657">
        <v>-274.18259999999998</v>
      </c>
      <c r="K3657">
        <v>1.10949599999999</v>
      </c>
      <c r="L3657">
        <v>215.09129999999999</v>
      </c>
      <c r="M3657">
        <v>0.99986269999999999</v>
      </c>
      <c r="N3657">
        <v>0</v>
      </c>
      <c r="O3657">
        <v>1.304496E-2</v>
      </c>
      <c r="P3657">
        <v>0.98651610000000001</v>
      </c>
      <c r="Q3657">
        <v>0.16306389999999901</v>
      </c>
      <c r="R3657">
        <v>-1.4019999999999999E-2</v>
      </c>
      <c r="S3657">
        <v>3.0643919999999998</v>
      </c>
      <c r="T3657">
        <v>-0.121279</v>
      </c>
      <c r="U3657">
        <v>0.2133331</v>
      </c>
      <c r="V3657">
        <v>2.691172E-2</v>
      </c>
      <c r="W3657">
        <v>0.1731356</v>
      </c>
      <c r="X3657">
        <v>0.98453029999999997</v>
      </c>
      <c r="Y3657">
        <v>-5.6394880000000001E-2</v>
      </c>
      <c r="Z3657">
        <v>5.9877149999999996E-4</v>
      </c>
      <c r="AA3657">
        <v>0.99840839999999997</v>
      </c>
      <c r="AB3657">
        <v>43</v>
      </c>
      <c r="AC3657">
        <v>27.624999999999901</v>
      </c>
      <c r="AD3657">
        <v>-1.1094941529769899</v>
      </c>
      <c r="AE3657">
        <v>1.9462999999999999</v>
      </c>
      <c r="AF3657">
        <v>-1.58320737442572</v>
      </c>
      <c r="AG3657">
        <v>-1.1094941529769899</v>
      </c>
      <c r="AH3657">
        <v>27.603733865498999</v>
      </c>
      <c r="AI3657">
        <v>92.297913763259501</v>
      </c>
      <c r="AJ3657">
        <v>93.282593214672005</v>
      </c>
      <c r="AK3657">
        <v>27.671350638941</v>
      </c>
      <c r="AL3657">
        <v>80.029820671608803</v>
      </c>
      <c r="AM3657">
        <v>88.434233953620804</v>
      </c>
      <c r="AN3657">
        <v>1.0000000441393999</v>
      </c>
    </row>
    <row r="3658" spans="1:40" x14ac:dyDescent="0.25">
      <c r="A3658" t="str">
        <f>"20190312172442846"</f>
        <v>20190312172442846</v>
      </c>
      <c r="B3658" t="str">
        <f>"1552382682834076"</f>
        <v>1552382682834076</v>
      </c>
      <c r="C3658" t="s">
        <v>40</v>
      </c>
      <c r="D3658">
        <v>3.618986</v>
      </c>
      <c r="E3658">
        <v>0.46910809999999997</v>
      </c>
      <c r="F3658" t="s">
        <v>47</v>
      </c>
      <c r="G3658">
        <v>-246.43680000000001</v>
      </c>
      <c r="H3658" s="1">
        <v>1.7832909999999999E-6</v>
      </c>
      <c r="I3658">
        <v>217.0247</v>
      </c>
      <c r="J3658">
        <v>-273.75150000000002</v>
      </c>
      <c r="K3658">
        <v>1.1094930000000001</v>
      </c>
      <c r="L3658">
        <v>215.09690000000001</v>
      </c>
      <c r="M3658">
        <v>0.9998631</v>
      </c>
      <c r="N3658">
        <v>0</v>
      </c>
      <c r="O3658">
        <v>1.3010890000000001E-2</v>
      </c>
      <c r="P3658">
        <v>0.98655899999999996</v>
      </c>
      <c r="Q3658">
        <v>0.1628183</v>
      </c>
      <c r="R3658">
        <v>-1.385686E-2</v>
      </c>
      <c r="S3658">
        <v>3.0643009999999999</v>
      </c>
      <c r="T3658">
        <v>-0.12253500000000001</v>
      </c>
      <c r="U3658">
        <v>0.21353150000000001</v>
      </c>
      <c r="V3658">
        <v>2.6715719999999998E-2</v>
      </c>
      <c r="W3658">
        <v>0.17289749999999901</v>
      </c>
      <c r="X3658">
        <v>0.98457740000000005</v>
      </c>
      <c r="Y3658">
        <v>-5.6494490000000001E-2</v>
      </c>
      <c r="Z3658">
        <v>6.0833260000000004E-4</v>
      </c>
      <c r="AA3658">
        <v>0.99840269999999998</v>
      </c>
      <c r="AB3658">
        <v>43</v>
      </c>
      <c r="AC3658">
        <v>27.314699999999998</v>
      </c>
      <c r="AD3658">
        <v>-1.1094912167090001</v>
      </c>
      <c r="AE3658">
        <v>1.92779999999999</v>
      </c>
      <c r="AF3658">
        <v>-1.5696527590720599</v>
      </c>
      <c r="AG3658">
        <v>-1.1094912167090001</v>
      </c>
      <c r="AH3658">
        <v>27.292664711974801</v>
      </c>
      <c r="AI3658">
        <v>92.324048746194805</v>
      </c>
      <c r="AJ3658">
        <v>93.291562746792493</v>
      </c>
      <c r="AK3658">
        <v>27.3602691438569</v>
      </c>
      <c r="AL3658">
        <v>80.043670897444002</v>
      </c>
      <c r="AM3658">
        <v>88.445706247000402</v>
      </c>
      <c r="AN3658">
        <v>0.99999996589606299</v>
      </c>
    </row>
    <row r="3659" spans="1:40" x14ac:dyDescent="0.25">
      <c r="A3659" t="str">
        <f>"20190312172442870"</f>
        <v>20190312172442870</v>
      </c>
      <c r="B3659" t="str">
        <f>"1552382682864333"</f>
        <v>1552382682864333</v>
      </c>
      <c r="C3659" t="s">
        <v>40</v>
      </c>
      <c r="D3659">
        <v>3.611694</v>
      </c>
      <c r="E3659">
        <v>0.46912559999999898</v>
      </c>
      <c r="F3659" t="s">
        <v>47</v>
      </c>
      <c r="G3659">
        <v>-246.20840000000001</v>
      </c>
      <c r="H3659" s="1">
        <v>1.661627E-6</v>
      </c>
      <c r="I3659">
        <v>217.0273</v>
      </c>
      <c r="J3659">
        <v>-273.31290000000001</v>
      </c>
      <c r="K3659">
        <v>1.1094930000000001</v>
      </c>
      <c r="L3659">
        <v>215.1026</v>
      </c>
      <c r="M3659">
        <v>0.99986339999999996</v>
      </c>
      <c r="N3659">
        <v>0</v>
      </c>
      <c r="O3659">
        <v>1.2976700000000001E-2</v>
      </c>
      <c r="P3659">
        <v>0.98648139999999995</v>
      </c>
      <c r="Q3659">
        <v>0.1632796</v>
      </c>
      <c r="R3659">
        <v>-1.394039E-2</v>
      </c>
      <c r="S3659">
        <v>3.06427</v>
      </c>
      <c r="T3659">
        <v>-0.123435</v>
      </c>
      <c r="U3659">
        <v>0.2147675</v>
      </c>
      <c r="V3659">
        <v>2.6764409999999999E-2</v>
      </c>
      <c r="W3659">
        <v>0.17336480000000001</v>
      </c>
      <c r="X3659">
        <v>0.98449390000000003</v>
      </c>
      <c r="Y3659">
        <v>-5.6929159999999999E-2</v>
      </c>
      <c r="Z3659">
        <v>6.2291019999999905E-4</v>
      </c>
      <c r="AA3659">
        <v>0.99837799999999999</v>
      </c>
      <c r="AB3659">
        <v>43</v>
      </c>
      <c r="AC3659">
        <v>27.104500000000002</v>
      </c>
      <c r="AD3659">
        <v>-1.1094913383730001</v>
      </c>
      <c r="AE3659">
        <v>1.9247000000000001</v>
      </c>
      <c r="AF3659">
        <v>-1.57017477409255</v>
      </c>
      <c r="AG3659">
        <v>-1.1094913383730001</v>
      </c>
      <c r="AH3659">
        <v>27.082044651870898</v>
      </c>
      <c r="AI3659">
        <v>92.342040518755994</v>
      </c>
      <c r="AJ3659">
        <v>93.318205347659003</v>
      </c>
      <c r="AK3659">
        <v>27.150203726253199</v>
      </c>
      <c r="AL3659">
        <v>80.016486028249105</v>
      </c>
      <c r="AM3659">
        <v>88.442742902277402</v>
      </c>
      <c r="AN3659">
        <v>0.99999996332944796</v>
      </c>
    </row>
    <row r="3660" spans="1:40" x14ac:dyDescent="0.25">
      <c r="A3660" t="str">
        <f>"20190312172442892"</f>
        <v>20190312172442892</v>
      </c>
      <c r="B3660" t="str">
        <f>"1552382682883852"</f>
        <v>1552382682883852</v>
      </c>
      <c r="C3660" t="s">
        <v>40</v>
      </c>
      <c r="D3660">
        <v>3.607288</v>
      </c>
      <c r="E3660">
        <v>0.46912480000000001</v>
      </c>
      <c r="F3660" t="s">
        <v>47</v>
      </c>
      <c r="G3660">
        <v>-245.4571</v>
      </c>
      <c r="H3660" s="1">
        <v>1.2608160000000001E-6</v>
      </c>
      <c r="I3660">
        <v>217.05019999999999</v>
      </c>
      <c r="J3660">
        <v>-272.87729999999999</v>
      </c>
      <c r="K3660">
        <v>1.1094930000000001</v>
      </c>
      <c r="L3660">
        <v>215.10820000000001</v>
      </c>
      <c r="M3660">
        <v>0.99986379999999997</v>
      </c>
      <c r="N3660">
        <v>0</v>
      </c>
      <c r="O3660">
        <v>1.294233E-2</v>
      </c>
      <c r="P3660">
        <v>0.98646719999999999</v>
      </c>
      <c r="Q3660">
        <v>0.16333879999999901</v>
      </c>
      <c r="R3660">
        <v>-1.4249899999999999E-2</v>
      </c>
      <c r="S3660">
        <v>3.0643310000000001</v>
      </c>
      <c r="T3660">
        <v>-0.12205199999999999</v>
      </c>
      <c r="U3660">
        <v>0.21424869999999999</v>
      </c>
      <c r="V3660">
        <v>2.7040100000000001E-2</v>
      </c>
      <c r="W3660">
        <v>0.173431</v>
      </c>
      <c r="X3660">
        <v>0.98447470000000004</v>
      </c>
      <c r="Y3660">
        <v>-5.679476E-2</v>
      </c>
      <c r="Z3660">
        <v>6.146217E-4</v>
      </c>
      <c r="AA3660">
        <v>0.99838570000000004</v>
      </c>
      <c r="AB3660">
        <v>43</v>
      </c>
      <c r="AC3660">
        <v>27.420199999999902</v>
      </c>
      <c r="AD3660">
        <v>-1.109491739184</v>
      </c>
      <c r="AE3660">
        <v>1.94199999999997</v>
      </c>
      <c r="AF3660">
        <v>-1.58435644873912</v>
      </c>
      <c r="AG3660">
        <v>-1.109491739184</v>
      </c>
      <c r="AH3660">
        <v>27.398405167856701</v>
      </c>
      <c r="AI3660">
        <v>92.315048429541505</v>
      </c>
      <c r="AJ3660">
        <v>93.309534123385603</v>
      </c>
      <c r="AK3660">
        <v>27.466593582350502</v>
      </c>
      <c r="AL3660">
        <v>80.012634641784302</v>
      </c>
      <c r="AM3660">
        <v>88.426679542409303</v>
      </c>
      <c r="AN3660">
        <v>0.99999995685454901</v>
      </c>
    </row>
    <row r="3661" spans="1:40" x14ac:dyDescent="0.25">
      <c r="A3661" t="str">
        <f>"20190312172442914"</f>
        <v>20190312172442914</v>
      </c>
      <c r="B3661" t="str">
        <f>"1552382682904349"</f>
        <v>1552382682904349</v>
      </c>
      <c r="C3661" t="s">
        <v>40</v>
      </c>
      <c r="D3661">
        <v>3.6091820000000001</v>
      </c>
      <c r="E3661">
        <v>0.46911019999999998</v>
      </c>
      <c r="F3661" t="s">
        <v>47</v>
      </c>
      <c r="G3661">
        <v>-244.98060000000001</v>
      </c>
      <c r="H3661" s="1">
        <v>1.007312E-6</v>
      </c>
      <c r="I3661">
        <v>217.0487</v>
      </c>
      <c r="J3661">
        <v>-272.4649</v>
      </c>
      <c r="K3661">
        <v>1.1094889999999999</v>
      </c>
      <c r="L3661">
        <v>215.11349999999999</v>
      </c>
      <c r="M3661">
        <v>0.99986419999999998</v>
      </c>
      <c r="N3661">
        <v>0</v>
      </c>
      <c r="O3661">
        <v>1.291017E-2</v>
      </c>
      <c r="P3661">
        <v>0.98644980000000004</v>
      </c>
      <c r="Q3661">
        <v>0.16343009999999999</v>
      </c>
      <c r="R3661">
        <v>-1.4405609999999999E-2</v>
      </c>
      <c r="S3661">
        <v>3.0644230000000001</v>
      </c>
      <c r="T3661">
        <v>-0.1218762</v>
      </c>
      <c r="U3661">
        <v>0.2131653</v>
      </c>
      <c r="V3661">
        <v>2.7163719999999999E-2</v>
      </c>
      <c r="W3661">
        <v>0.17352870000000001</v>
      </c>
      <c r="X3661">
        <v>0.9844541</v>
      </c>
      <c r="Y3661">
        <v>-5.6473870000000002E-2</v>
      </c>
      <c r="Z3661">
        <v>6.0863200000000001E-4</v>
      </c>
      <c r="AA3661">
        <v>0.99840390000000001</v>
      </c>
      <c r="AB3661">
        <v>43</v>
      </c>
      <c r="AC3661">
        <v>27.484299999999902</v>
      </c>
      <c r="AD3661">
        <v>-1.1094879926879999</v>
      </c>
      <c r="AE3661">
        <v>1.9352</v>
      </c>
      <c r="AF3661">
        <v>-1.57763490455584</v>
      </c>
      <c r="AG3661">
        <v>-1.1094879926879999</v>
      </c>
      <c r="AH3661">
        <v>27.462462775233998</v>
      </c>
      <c r="AI3661">
        <v>92.309696840290798</v>
      </c>
      <c r="AJ3661">
        <v>93.287854523577906</v>
      </c>
      <c r="AK3661">
        <v>27.530106377911199</v>
      </c>
      <c r="AL3661">
        <v>80.006950855418907</v>
      </c>
      <c r="AM3661">
        <v>88.419457332318302</v>
      </c>
      <c r="AN3661">
        <v>0.99999997620736902</v>
      </c>
    </row>
    <row r="3662" spans="1:40" x14ac:dyDescent="0.25">
      <c r="A3662" t="str">
        <f>"20190312172442935"</f>
        <v>20190312172442935</v>
      </c>
      <c r="B3662" t="str">
        <f>"1552382682923869"</f>
        <v>1552382682923869</v>
      </c>
      <c r="C3662" t="s">
        <v>40</v>
      </c>
      <c r="D3662">
        <v>3.584416</v>
      </c>
      <c r="E3662">
        <v>0.46910230000000003</v>
      </c>
      <c r="F3662" t="s">
        <v>47</v>
      </c>
      <c r="G3662">
        <v>-244.58359999999999</v>
      </c>
      <c r="H3662" s="1">
        <v>7.9605789999999995E-7</v>
      </c>
      <c r="I3662">
        <v>217.04839999999999</v>
      </c>
      <c r="J3662">
        <v>-272.05369999999999</v>
      </c>
      <c r="K3662">
        <v>1.1094889999999999</v>
      </c>
      <c r="L3662">
        <v>215.11879999999999</v>
      </c>
      <c r="M3662">
        <v>0.99986459999999999</v>
      </c>
      <c r="N3662">
        <v>0</v>
      </c>
      <c r="O3662">
        <v>1.2877950000000001E-2</v>
      </c>
      <c r="P3662">
        <v>0.98643639999999999</v>
      </c>
      <c r="Q3662">
        <v>0.1635315</v>
      </c>
      <c r="R3662">
        <v>-1.4177560000000001E-2</v>
      </c>
      <c r="S3662">
        <v>3.0645449999999999</v>
      </c>
      <c r="T3662">
        <v>-0.12194820000000001</v>
      </c>
      <c r="U3662">
        <v>0.212677</v>
      </c>
      <c r="V3662">
        <v>2.690381E-2</v>
      </c>
      <c r="W3662">
        <v>0.1736367</v>
      </c>
      <c r="X3662">
        <v>0.98444219999999905</v>
      </c>
      <c r="Y3662">
        <v>-5.6344999999999999E-2</v>
      </c>
      <c r="Z3662">
        <v>6.0769030000000003E-4</v>
      </c>
      <c r="AA3662">
        <v>0.99841120000000005</v>
      </c>
      <c r="AB3662">
        <v>43</v>
      </c>
      <c r="AC3662">
        <v>27.470099999999999</v>
      </c>
      <c r="AD3662">
        <v>-1.1094882039420999</v>
      </c>
      <c r="AE3662">
        <v>1.92959999999999</v>
      </c>
      <c r="AF3662">
        <v>-1.5731092744783499</v>
      </c>
      <c r="AG3662">
        <v>-1.1094882039420999</v>
      </c>
      <c r="AH3662">
        <v>27.4481170719672</v>
      </c>
      <c r="AI3662">
        <v>92.310920933480404</v>
      </c>
      <c r="AJ3662">
        <v>93.2801532626777</v>
      </c>
      <c r="AK3662">
        <v>27.515536841220399</v>
      </c>
      <c r="AL3662">
        <v>80.000667582814103</v>
      </c>
      <c r="AM3662">
        <v>88.434553927680795</v>
      </c>
      <c r="AN3662">
        <v>0.99999998186012196</v>
      </c>
    </row>
    <row r="3663" spans="1:40" x14ac:dyDescent="0.25">
      <c r="A3663" t="str">
        <f>"20190312172442959"</f>
        <v>20190312172442959</v>
      </c>
      <c r="B3663" t="str">
        <f>"1552382682954126"</f>
        <v>1552382682954126</v>
      </c>
      <c r="C3663" t="s">
        <v>40</v>
      </c>
      <c r="D3663">
        <v>3.604921</v>
      </c>
      <c r="E3663">
        <v>0.46905590000000003</v>
      </c>
      <c r="F3663" t="s">
        <v>47</v>
      </c>
      <c r="G3663">
        <v>-244.09950000000001</v>
      </c>
      <c r="H3663" s="1">
        <v>5.3767790000000004E-7</v>
      </c>
      <c r="I3663">
        <v>217.06649999999999</v>
      </c>
      <c r="J3663">
        <v>-271.6105</v>
      </c>
      <c r="K3663">
        <v>1.1094900000000001</v>
      </c>
      <c r="L3663">
        <v>215.12450000000001</v>
      </c>
      <c r="M3663">
        <v>0.9998648</v>
      </c>
      <c r="N3663">
        <v>0</v>
      </c>
      <c r="O3663">
        <v>1.28434E-2</v>
      </c>
      <c r="P3663">
        <v>0.98641509999999999</v>
      </c>
      <c r="Q3663">
        <v>0.16365060000000001</v>
      </c>
      <c r="R3663">
        <v>-1.4270969999999999E-2</v>
      </c>
      <c r="S3663">
        <v>3.0644840000000002</v>
      </c>
      <c r="T3663">
        <v>-0.1216279</v>
      </c>
      <c r="U3663">
        <v>0.21351619999999999</v>
      </c>
      <c r="V3663">
        <v>2.6963020000000001E-2</v>
      </c>
      <c r="W3663">
        <v>0.17376259999999999</v>
      </c>
      <c r="X3663">
        <v>0.98441840000000003</v>
      </c>
      <c r="Y3663">
        <v>-5.6652889999999997E-2</v>
      </c>
      <c r="Z3663">
        <v>6.1357100000000004E-4</v>
      </c>
      <c r="AA3663">
        <v>0.9983938</v>
      </c>
      <c r="AB3663">
        <v>43</v>
      </c>
      <c r="AC3663">
        <v>27.510999999999999</v>
      </c>
      <c r="AD3663">
        <v>-1.1094894623221001</v>
      </c>
      <c r="AE3663">
        <v>1.94199999999997</v>
      </c>
      <c r="AF3663">
        <v>-1.58591981459603</v>
      </c>
      <c r="AG3663">
        <v>-1.1094894623221001</v>
      </c>
      <c r="AH3663">
        <v>27.4891864771825</v>
      </c>
      <c r="AI3663">
        <v>92.307424467960303</v>
      </c>
      <c r="AJ3663">
        <v>93.301876497924297</v>
      </c>
      <c r="AK3663">
        <v>27.557240095892102</v>
      </c>
      <c r="AL3663">
        <v>79.993343040512897</v>
      </c>
      <c r="AM3663">
        <v>88.431072496795494</v>
      </c>
      <c r="AN3663">
        <v>1.00000001593242</v>
      </c>
    </row>
    <row r="3664" spans="1:40" x14ac:dyDescent="0.25">
      <c r="A3664" t="str">
        <f>"20190312172442982"</f>
        <v>20190312172442982</v>
      </c>
      <c r="B3664" t="str">
        <f>"1552382682973645"</f>
        <v>1552382682973645</v>
      </c>
      <c r="C3664" t="s">
        <v>40</v>
      </c>
      <c r="D3664">
        <v>3.5907879999999999</v>
      </c>
      <c r="E3664">
        <v>0.46900770000000003</v>
      </c>
      <c r="F3664" t="s">
        <v>47</v>
      </c>
      <c r="G3664">
        <v>-243.53210000000001</v>
      </c>
      <c r="H3664" s="1">
        <v>2.3516080000000001E-7</v>
      </c>
      <c r="I3664">
        <v>217.07939999999999</v>
      </c>
      <c r="J3664">
        <v>-271.16890000000001</v>
      </c>
      <c r="K3664">
        <v>1.109491</v>
      </c>
      <c r="L3664">
        <v>215.1301</v>
      </c>
      <c r="M3664">
        <v>0.99986540000000002</v>
      </c>
      <c r="N3664">
        <v>0</v>
      </c>
      <c r="O3664">
        <v>1.2808669999999999E-2</v>
      </c>
      <c r="P3664">
        <v>0.98641900000000005</v>
      </c>
      <c r="Q3664">
        <v>0.16363369999999999</v>
      </c>
      <c r="R3664">
        <v>-1.4203510000000001E-2</v>
      </c>
      <c r="S3664">
        <v>3.0644529999999999</v>
      </c>
      <c r="T3664">
        <v>-0.121089</v>
      </c>
      <c r="U3664">
        <v>0.21336359999999999</v>
      </c>
      <c r="V3664">
        <v>2.6861409999999999E-2</v>
      </c>
      <c r="W3664">
        <v>0.17375270000000001</v>
      </c>
      <c r="X3664">
        <v>0.98442289999999999</v>
      </c>
      <c r="Y3664">
        <v>-5.6639080000000001E-2</v>
      </c>
      <c r="Z3664">
        <v>6.119586E-4</v>
      </c>
      <c r="AA3664">
        <v>0.99839449999999996</v>
      </c>
      <c r="AB3664">
        <v>43</v>
      </c>
      <c r="AC3664">
        <v>27.636799999999901</v>
      </c>
      <c r="AD3664">
        <v>-1.1094907648391901</v>
      </c>
      <c r="AE3664">
        <v>1.94929999999999</v>
      </c>
      <c r="AF3664">
        <v>-1.59257683784316</v>
      </c>
      <c r="AG3664">
        <v>-1.1094907648391901</v>
      </c>
      <c r="AH3664">
        <v>27.615215983652199</v>
      </c>
      <c r="AI3664">
        <v>92.296910843118695</v>
      </c>
      <c r="AJ3664">
        <v>93.300606938293498</v>
      </c>
      <c r="AK3664">
        <v>27.683342004993801</v>
      </c>
      <c r="AL3664">
        <v>79.993918779132898</v>
      </c>
      <c r="AM3664">
        <v>88.436989194782498</v>
      </c>
      <c r="AN3664">
        <v>0.99999999107444404</v>
      </c>
    </row>
    <row r="3665" spans="1:40" x14ac:dyDescent="0.25">
      <c r="A3665" t="str">
        <f>"20190312172443005"</f>
        <v>20190312172443005</v>
      </c>
      <c r="B3665" t="str">
        <f>"1552382682994141"</f>
        <v>1552382682994141</v>
      </c>
      <c r="C3665" t="s">
        <v>40</v>
      </c>
      <c r="D3665">
        <v>5.4591159999999999</v>
      </c>
      <c r="E3665">
        <v>0.46893699999999999</v>
      </c>
      <c r="F3665" t="s">
        <v>47</v>
      </c>
      <c r="G3665">
        <v>-243.07599999999999</v>
      </c>
      <c r="H3665" s="1">
        <v>-8.1481700000000008E-9</v>
      </c>
      <c r="I3665">
        <v>217.09280000000001</v>
      </c>
      <c r="J3665">
        <v>-270.72019999999998</v>
      </c>
      <c r="K3665">
        <v>1.1094809999999999</v>
      </c>
      <c r="L3665">
        <v>215.13579999999999</v>
      </c>
      <c r="M3665">
        <v>0.99986569999999997</v>
      </c>
      <c r="N3665">
        <v>0</v>
      </c>
      <c r="O3665">
        <v>1.277346E-2</v>
      </c>
      <c r="P3665">
        <v>0.98643020000000003</v>
      </c>
      <c r="Q3665">
        <v>0.1635559</v>
      </c>
      <c r="R3665">
        <v>-1.4330910000000001E-2</v>
      </c>
      <c r="S3665">
        <v>3.0644529999999999</v>
      </c>
      <c r="T3665">
        <v>-0.1210263</v>
      </c>
      <c r="U3665">
        <v>0.21409610000000001</v>
      </c>
      <c r="V3665">
        <v>2.6954059999999998E-2</v>
      </c>
      <c r="W3665">
        <v>0.17368220000000001</v>
      </c>
      <c r="X3665">
        <v>0.9844328</v>
      </c>
      <c r="Y3665">
        <v>-5.6911499999999997E-2</v>
      </c>
      <c r="Z3665">
        <v>6.1839570000000001E-4</v>
      </c>
      <c r="AA3665">
        <v>0.99837909999999996</v>
      </c>
      <c r="AB3665">
        <v>43</v>
      </c>
      <c r="AC3665">
        <v>27.644199999999898</v>
      </c>
      <c r="AD3665">
        <v>-1.1094810081481701</v>
      </c>
      <c r="AE3665">
        <v>1.9570000000000201</v>
      </c>
      <c r="AF3665">
        <v>-1.60114342410859</v>
      </c>
      <c r="AG3665">
        <v>-1.1094810081481701</v>
      </c>
      <c r="AH3665">
        <v>27.622671705935002</v>
      </c>
      <c r="AI3665">
        <v>92.296232433592905</v>
      </c>
      <c r="AJ3665">
        <v>93.317427915710397</v>
      </c>
      <c r="AK3665">
        <v>27.691273003346598</v>
      </c>
      <c r="AL3665">
        <v>79.998020412741198</v>
      </c>
      <c r="AM3665">
        <v>88.431616532656193</v>
      </c>
      <c r="AN3665">
        <v>0.99999998283158098</v>
      </c>
    </row>
    <row r="3666" spans="1:40" x14ac:dyDescent="0.25">
      <c r="A3666" t="str">
        <f>"20190312172443136"</f>
        <v>20190312172443136</v>
      </c>
      <c r="B3666" t="str">
        <f>"1552382683133709"</f>
        <v>1552382683133709</v>
      </c>
      <c r="C3666" t="s">
        <v>40</v>
      </c>
      <c r="D3666">
        <v>3.662776</v>
      </c>
      <c r="E3666">
        <v>0.50251309999999905</v>
      </c>
      <c r="F3666" t="s">
        <v>47</v>
      </c>
      <c r="G3666">
        <v>-242.6182</v>
      </c>
      <c r="H3666" s="1">
        <v>-2.5200230000000001E-7</v>
      </c>
      <c r="I3666">
        <v>217.0985</v>
      </c>
      <c r="J3666">
        <v>-268.1859</v>
      </c>
      <c r="K3666">
        <v>1.1094839999999999</v>
      </c>
      <c r="L3666">
        <v>215.1678</v>
      </c>
      <c r="M3666">
        <v>0.99986779999999997</v>
      </c>
      <c r="N3666">
        <v>0</v>
      </c>
      <c r="O3666">
        <v>1.2575960000000001E-2</v>
      </c>
      <c r="P3666">
        <v>0.98639290000000002</v>
      </c>
      <c r="Q3666">
        <v>0.16371859999999999</v>
      </c>
      <c r="R3666">
        <v>-1.501715E-2</v>
      </c>
      <c r="S3666">
        <v>3.0644529999999999</v>
      </c>
      <c r="T3666">
        <v>-0.1209865</v>
      </c>
      <c r="U3666">
        <v>0.21401980000000001</v>
      </c>
      <c r="V3666">
        <v>2.7445339999999999E-2</v>
      </c>
      <c r="W3666">
        <v>0.17388419999999999</v>
      </c>
      <c r="X3666">
        <v>0.98438360000000003</v>
      </c>
      <c r="Y3666">
        <v>-5.7083700000000001E-2</v>
      </c>
      <c r="Z3666">
        <v>6.2936959999999897E-4</v>
      </c>
      <c r="AA3666">
        <v>0.99836919999999996</v>
      </c>
      <c r="AB3666">
        <v>43</v>
      </c>
      <c r="AC3666">
        <v>25.567699999999999</v>
      </c>
      <c r="AD3666">
        <v>-1.1094842520022901</v>
      </c>
      <c r="AE3666">
        <v>1.9307000000000001</v>
      </c>
      <c r="AF3666">
        <v>-1.6059848679281501</v>
      </c>
      <c r="AG3666">
        <v>-1.1094842520022901</v>
      </c>
      <c r="AH3666">
        <v>25.5421354809883</v>
      </c>
      <c r="AI3666">
        <v>92.482321054595005</v>
      </c>
      <c r="AJ3666">
        <v>93.597787801462601</v>
      </c>
      <c r="AK3666">
        <v>25.616612337126401</v>
      </c>
      <c r="AL3666">
        <v>79.986268180993306</v>
      </c>
      <c r="AM3666">
        <v>88.4029651801104</v>
      </c>
      <c r="AN3666">
        <v>1.00000001682315</v>
      </c>
    </row>
    <row r="3667" spans="1:40" x14ac:dyDescent="0.25">
      <c r="A3667" t="str">
        <f>"20190312172443160"</f>
        <v>20190312172443160</v>
      </c>
      <c r="B3667" t="str">
        <f>"1552382683154205"</f>
        <v>1552382683154205</v>
      </c>
      <c r="C3667" t="s">
        <v>40</v>
      </c>
      <c r="D3667">
        <v>3.6458910000000002</v>
      </c>
      <c r="E3667">
        <v>0.50258610000000004</v>
      </c>
      <c r="F3667" t="s">
        <v>41</v>
      </c>
      <c r="G3667">
        <v>-267.38400000000001</v>
      </c>
      <c r="H3667">
        <v>0.98632220000000004</v>
      </c>
      <c r="I3667">
        <v>215.1549</v>
      </c>
      <c r="J3667">
        <v>-267.73899999999998</v>
      </c>
      <c r="K3667">
        <v>1.1094809999999999</v>
      </c>
      <c r="L3667">
        <v>215.17339999999999</v>
      </c>
      <c r="M3667">
        <v>0.99986810000000004</v>
      </c>
      <c r="N3667">
        <v>0</v>
      </c>
      <c r="O3667">
        <v>1.254123E-2</v>
      </c>
      <c r="P3667">
        <v>0.98637960000000002</v>
      </c>
      <c r="Q3667">
        <v>0.16378589999999901</v>
      </c>
      <c r="R3667">
        <v>-1.5150729999999999E-2</v>
      </c>
      <c r="S3667">
        <v>3.1201780000000001</v>
      </c>
      <c r="T3667">
        <v>-0.47932200000000003</v>
      </c>
      <c r="U3667">
        <v>-5.000305E-2</v>
      </c>
      <c r="V3667">
        <v>2.7544470000000001E-2</v>
      </c>
      <c r="W3667">
        <v>0.1739588</v>
      </c>
      <c r="X3667">
        <v>0.98436760000000001</v>
      </c>
      <c r="Y3667">
        <v>2.808619E-2</v>
      </c>
      <c r="Z3667">
        <v>-4.059928E-3</v>
      </c>
      <c r="AA3667">
        <v>0.99959730000000002</v>
      </c>
      <c r="AB3667">
        <v>43</v>
      </c>
      <c r="AC3667">
        <v>0.35500000000001802</v>
      </c>
      <c r="AD3667">
        <v>-0.1231588</v>
      </c>
      <c r="AE3667">
        <v>-1.84999999999888E-2</v>
      </c>
      <c r="AF3667">
        <v>2.04913096406352E-2</v>
      </c>
      <c r="AG3667">
        <v>-0.1231588</v>
      </c>
      <c r="AH3667">
        <v>0.31672319422166501</v>
      </c>
      <c r="AI3667">
        <v>111.20833598377899</v>
      </c>
      <c r="AJ3667">
        <v>86.298245460847795</v>
      </c>
      <c r="AK3667">
        <v>0.34044318989547001</v>
      </c>
      <c r="AL3667">
        <v>79.981927260888099</v>
      </c>
      <c r="AM3667">
        <v>88.397173804779499</v>
      </c>
      <c r="AN3667">
        <v>0.99999996692738902</v>
      </c>
    </row>
    <row r="3668" spans="1:40" x14ac:dyDescent="0.25">
      <c r="A3668" t="str">
        <f>"20190312172443195"</f>
        <v>20190312172443195</v>
      </c>
      <c r="B3668" t="str">
        <f>"1552382683173725"</f>
        <v>1552382683173725</v>
      </c>
      <c r="C3668" t="s">
        <v>40</v>
      </c>
      <c r="D3668">
        <v>3.6949019999999999</v>
      </c>
      <c r="E3668">
        <v>0.50268639999999998</v>
      </c>
      <c r="F3668" t="s">
        <v>41</v>
      </c>
      <c r="G3668">
        <v>-266.98230000000001</v>
      </c>
      <c r="H3668">
        <v>1.017468</v>
      </c>
      <c r="I3668">
        <v>215.16030000000001</v>
      </c>
      <c r="J3668">
        <v>-267.29320000000001</v>
      </c>
      <c r="K3668">
        <v>1.10948</v>
      </c>
      <c r="L3668">
        <v>215.179</v>
      </c>
      <c r="M3668">
        <v>0.99986830000000004</v>
      </c>
      <c r="N3668">
        <v>0</v>
      </c>
      <c r="O3668">
        <v>1.2506679999999999E-2</v>
      </c>
      <c r="P3668">
        <v>0.98641840000000003</v>
      </c>
      <c r="Q3668">
        <v>0.16356039999999999</v>
      </c>
      <c r="R3668">
        <v>-1.5048270000000001E-2</v>
      </c>
      <c r="S3668">
        <v>3.1032410000000001</v>
      </c>
      <c r="T3668">
        <v>-0.3775191</v>
      </c>
      <c r="U3668">
        <v>-5.2871700000000001E-2</v>
      </c>
      <c r="V3668">
        <v>2.7408350000000001E-2</v>
      </c>
      <c r="W3668">
        <v>0.17374049999999999</v>
      </c>
      <c r="X3668">
        <v>0.98441000000000001</v>
      </c>
      <c r="Y3668">
        <v>2.923166E-2</v>
      </c>
      <c r="Z3668">
        <v>-3.2872779999999998E-3</v>
      </c>
      <c r="AA3668">
        <v>0.99956730000000005</v>
      </c>
      <c r="AB3668">
        <v>43</v>
      </c>
      <c r="AC3668">
        <v>0.31090000000000301</v>
      </c>
      <c r="AD3668">
        <v>-9.2011999999999899E-2</v>
      </c>
      <c r="AE3668">
        <v>-1.8699999999995401E-2</v>
      </c>
      <c r="AF3668">
        <v>2.0774060624336101E-2</v>
      </c>
      <c r="AG3668">
        <v>-9.2011999999999899E-2</v>
      </c>
      <c r="AH3668">
        <v>0.28570730370181502</v>
      </c>
      <c r="AI3668">
        <v>107.80711749312201</v>
      </c>
      <c r="AJ3668">
        <v>85.841285785848299</v>
      </c>
      <c r="AK3668">
        <v>0.300876109266563</v>
      </c>
      <c r="AL3668">
        <v>79.994628810634097</v>
      </c>
      <c r="AM3668">
        <v>88.405159252591702</v>
      </c>
      <c r="AN3668">
        <v>1.00000001354498</v>
      </c>
    </row>
    <row r="3669" spans="1:40" x14ac:dyDescent="0.25">
      <c r="A3669" t="str">
        <f>"20190312172443208"</f>
        <v>20190312172443208</v>
      </c>
      <c r="B3669" t="str">
        <f>"1552382683203982"</f>
        <v>1552382683203982</v>
      </c>
      <c r="C3669" t="s">
        <v>40</v>
      </c>
      <c r="D3669">
        <v>3.6706780000000001</v>
      </c>
      <c r="E3669">
        <v>0.50311490000000003</v>
      </c>
      <c r="F3669" t="s">
        <v>41</v>
      </c>
      <c r="G3669">
        <v>-266.21469999999999</v>
      </c>
      <c r="H3669">
        <v>1.0044409999999999</v>
      </c>
      <c r="I3669">
        <v>215.15969999999999</v>
      </c>
      <c r="J3669">
        <v>-266.79289999999997</v>
      </c>
      <c r="K3669">
        <v>1.10948</v>
      </c>
      <c r="L3669">
        <v>215.18520000000001</v>
      </c>
      <c r="M3669">
        <v>0.9998688</v>
      </c>
      <c r="N3669">
        <v>0</v>
      </c>
      <c r="O3669">
        <v>1.2467600000000001E-2</v>
      </c>
      <c r="P3669">
        <v>0.98639390000000005</v>
      </c>
      <c r="Q3669">
        <v>0.16370290000000001</v>
      </c>
      <c r="R3669">
        <v>-1.51193E-2</v>
      </c>
      <c r="S3669">
        <v>3.0903930000000002</v>
      </c>
      <c r="T3669">
        <v>-0.3011104</v>
      </c>
      <c r="U3669">
        <v>-5.4641719999999998E-2</v>
      </c>
      <c r="V3669">
        <v>2.7440630000000001E-2</v>
      </c>
      <c r="W3669">
        <v>0.17389079999999901</v>
      </c>
      <c r="X3669">
        <v>0.9843826</v>
      </c>
      <c r="Y3669">
        <v>2.994256E-2</v>
      </c>
      <c r="Z3669">
        <v>-2.6670420000000001E-3</v>
      </c>
      <c r="AA3669">
        <v>0.99954810000000005</v>
      </c>
      <c r="AB3669">
        <v>43</v>
      </c>
      <c r="AC3669">
        <v>0.57819999999998095</v>
      </c>
      <c r="AD3669">
        <v>-0.10503899999999999</v>
      </c>
      <c r="AE3669">
        <v>-2.5500000000022199E-2</v>
      </c>
      <c r="AF3669">
        <v>3.1664204786393799E-2</v>
      </c>
      <c r="AG3669">
        <v>-0.10503899999999999</v>
      </c>
      <c r="AH3669">
        <v>0.55941106883463099</v>
      </c>
      <c r="AI3669">
        <v>100.617830964113</v>
      </c>
      <c r="AJ3669">
        <v>86.760358172889099</v>
      </c>
      <c r="AK3669">
        <v>0.57006715158870402</v>
      </c>
      <c r="AL3669">
        <v>79.985884522953995</v>
      </c>
      <c r="AM3669">
        <v>88.403237490224399</v>
      </c>
      <c r="AN3669">
        <v>1.00000005084109</v>
      </c>
    </row>
    <row r="3670" spans="1:40" x14ac:dyDescent="0.25">
      <c r="A3670" t="str">
        <f>"20190312172443225"</f>
        <v>20190312172443225</v>
      </c>
      <c r="B3670" t="str">
        <f>"1552382683213742"</f>
        <v>1552382683213742</v>
      </c>
      <c r="C3670" t="s">
        <v>40</v>
      </c>
      <c r="D3670">
        <v>3.6494360000000001</v>
      </c>
      <c r="E3670">
        <v>0.50309369999999998</v>
      </c>
      <c r="F3670" t="s">
        <v>41</v>
      </c>
      <c r="G3670">
        <v>-265.81349999999998</v>
      </c>
      <c r="H3670">
        <v>1.0324850000000001</v>
      </c>
      <c r="I3670">
        <v>215.16640000000001</v>
      </c>
      <c r="J3670">
        <v>-266.4588</v>
      </c>
      <c r="K3670">
        <v>1.1094809999999999</v>
      </c>
      <c r="L3670">
        <v>215.1893</v>
      </c>
      <c r="M3670">
        <v>0.99986920000000001</v>
      </c>
      <c r="N3670">
        <v>0</v>
      </c>
      <c r="O3670">
        <v>1.244111E-2</v>
      </c>
      <c r="P3670">
        <v>0.98641489999999998</v>
      </c>
      <c r="Q3670">
        <v>0.1636145</v>
      </c>
      <c r="R3670">
        <v>-1.4715239999999999E-2</v>
      </c>
      <c r="S3670">
        <v>3.0806269999999998</v>
      </c>
      <c r="T3670">
        <v>-0.24220340000000001</v>
      </c>
      <c r="U3670">
        <v>-5.8975220000000002E-2</v>
      </c>
      <c r="V3670">
        <v>2.7010510000000001E-2</v>
      </c>
      <c r="W3670">
        <v>0.17380760000000001</v>
      </c>
      <c r="X3670">
        <v>0.98440919999999998</v>
      </c>
      <c r="Y3670">
        <v>3.1443029999999997E-2</v>
      </c>
      <c r="Z3670">
        <v>-2.2106360000000002E-3</v>
      </c>
      <c r="AA3670">
        <v>0.99950309999999998</v>
      </c>
      <c r="AB3670">
        <v>43</v>
      </c>
      <c r="AC3670">
        <v>0.64530000000001997</v>
      </c>
      <c r="AD3670">
        <v>-7.6995999999999801E-2</v>
      </c>
      <c r="AE3670">
        <v>-2.2899999999992801E-2</v>
      </c>
      <c r="AF3670">
        <v>3.0493322614006599E-2</v>
      </c>
      <c r="AG3670">
        <v>-7.6995999999999801E-2</v>
      </c>
      <c r="AH3670">
        <v>0.63592300180232197</v>
      </c>
      <c r="AI3670">
        <v>96.895781513203104</v>
      </c>
      <c r="AJ3670">
        <v>87.254696797524701</v>
      </c>
      <c r="AK3670">
        <v>0.64129267184439098</v>
      </c>
      <c r="AL3670">
        <v>79.990725350009697</v>
      </c>
      <c r="AM3670">
        <v>88.428295846487401</v>
      </c>
      <c r="AN3670">
        <v>1.0000000612564199</v>
      </c>
    </row>
    <row r="3671" spans="1:40" x14ac:dyDescent="0.25">
      <c r="A3671" t="str">
        <f>"20190312172443262"</f>
        <v>20190312172443262</v>
      </c>
      <c r="B3671" t="str">
        <f>"1552382683253760"</f>
        <v>1552382683253760</v>
      </c>
      <c r="C3671" t="s">
        <v>40</v>
      </c>
      <c r="D3671">
        <v>3.6621519999999999</v>
      </c>
      <c r="E3671">
        <v>0.50346449999999998</v>
      </c>
      <c r="F3671" t="s">
        <v>41</v>
      </c>
      <c r="G3671">
        <v>-265.42579999999998</v>
      </c>
      <c r="H3671">
        <v>1.0322789999999999</v>
      </c>
      <c r="I3671">
        <v>215.16970000000001</v>
      </c>
      <c r="J3671">
        <v>-265.75900000000001</v>
      </c>
      <c r="K3671">
        <v>1.109478</v>
      </c>
      <c r="L3671">
        <v>215.19800000000001</v>
      </c>
      <c r="M3671">
        <v>0.99986969999999997</v>
      </c>
      <c r="N3671">
        <v>0</v>
      </c>
      <c r="O3671">
        <v>1.238657E-2</v>
      </c>
      <c r="P3671">
        <v>0.98645249999999995</v>
      </c>
      <c r="Q3671">
        <v>0.1633616</v>
      </c>
      <c r="R3671">
        <v>-1.4988420000000001E-2</v>
      </c>
      <c r="S3671">
        <v>3.0787049999999998</v>
      </c>
      <c r="T3671">
        <v>-0.23022590000000001</v>
      </c>
      <c r="U3671">
        <v>-5.7922359999999999E-2</v>
      </c>
      <c r="V3671">
        <v>2.7230460000000001E-2</v>
      </c>
      <c r="W3671">
        <v>0.17356629999999901</v>
      </c>
      <c r="X3671">
        <v>0.98444560000000003</v>
      </c>
      <c r="Y3671">
        <v>3.1072840000000001E-2</v>
      </c>
      <c r="Z3671">
        <v>-2.0850489999999998E-3</v>
      </c>
      <c r="AA3671">
        <v>0.99951489999999998</v>
      </c>
      <c r="AB3671">
        <v>43</v>
      </c>
      <c r="AC3671">
        <v>0.33320000000003303</v>
      </c>
      <c r="AD3671">
        <v>-7.7198999999999796E-2</v>
      </c>
      <c r="AE3671">
        <v>-2.82999999999731E-2</v>
      </c>
      <c r="AF3671">
        <v>3.07845714342527E-2</v>
      </c>
      <c r="AG3671">
        <v>-7.7198999999999796E-2</v>
      </c>
      <c r="AH3671">
        <v>0.31598334129824701</v>
      </c>
      <c r="AI3671">
        <v>103.666925316429</v>
      </c>
      <c r="AJ3671">
        <v>84.435538637319496</v>
      </c>
      <c r="AK3671">
        <v>0.32673054252303302</v>
      </c>
      <c r="AL3671">
        <v>80.004763063885207</v>
      </c>
      <c r="AM3671">
        <v>88.415562315898796</v>
      </c>
      <c r="AN3671">
        <v>0.99999994890342903</v>
      </c>
    </row>
    <row r="3672" spans="1:40" x14ac:dyDescent="0.25">
      <c r="A3672" t="str">
        <f>"20190312172443283"</f>
        <v>20190312172443283</v>
      </c>
      <c r="B3672" t="str">
        <f>"1552382683274254"</f>
        <v>1552382683274254</v>
      </c>
      <c r="C3672" t="s">
        <v>40</v>
      </c>
      <c r="D3672">
        <v>3.6326019999999999</v>
      </c>
      <c r="E3672">
        <v>0.50354120000000002</v>
      </c>
      <c r="F3672" t="s">
        <v>41</v>
      </c>
      <c r="G3672">
        <v>-264.64749999999998</v>
      </c>
      <c r="H3672">
        <v>1.035925</v>
      </c>
      <c r="I3672">
        <v>215.17529999999999</v>
      </c>
      <c r="J3672">
        <v>-265.33909999999997</v>
      </c>
      <c r="K3672">
        <v>1.109478</v>
      </c>
      <c r="L3672">
        <v>215.20320000000001</v>
      </c>
      <c r="M3672">
        <v>0.99987009999999998</v>
      </c>
      <c r="N3672">
        <v>0</v>
      </c>
      <c r="O3672">
        <v>1.2353869999999999E-2</v>
      </c>
      <c r="P3672">
        <v>0.98646670000000003</v>
      </c>
      <c r="Q3672">
        <v>0.1632509</v>
      </c>
      <c r="R3672">
        <v>-1.526343E-2</v>
      </c>
      <c r="S3672">
        <v>3.0739749999999999</v>
      </c>
      <c r="T3672">
        <v>-0.2035682</v>
      </c>
      <c r="U3672">
        <v>-6.2210080000000001E-2</v>
      </c>
      <c r="V3672">
        <v>2.747345E-2</v>
      </c>
      <c r="W3672">
        <v>0.17346249999999999</v>
      </c>
      <c r="X3672">
        <v>0.98445720000000003</v>
      </c>
      <c r="Y3672">
        <v>3.2485800000000002E-2</v>
      </c>
      <c r="Z3672">
        <v>-1.8915570000000001E-3</v>
      </c>
      <c r="AA3672">
        <v>0.99947039999999998</v>
      </c>
      <c r="AB3672">
        <v>43</v>
      </c>
      <c r="AC3672">
        <v>0.691599999999994</v>
      </c>
      <c r="AD3672">
        <v>-7.3552999999999896E-2</v>
      </c>
      <c r="AE3672">
        <v>-2.7900000000016599E-2</v>
      </c>
      <c r="AF3672">
        <v>3.60353410571633E-2</v>
      </c>
      <c r="AG3672">
        <v>-7.3552999999999896E-2</v>
      </c>
      <c r="AH3672">
        <v>0.68348437579253296</v>
      </c>
      <c r="AI3672">
        <v>96.133778738422905</v>
      </c>
      <c r="AJ3672">
        <v>86.981989425622203</v>
      </c>
      <c r="AK3672">
        <v>0.68837452129390597</v>
      </c>
      <c r="AL3672">
        <v>80.010802524229007</v>
      </c>
      <c r="AM3672">
        <v>88.401449775094406</v>
      </c>
      <c r="AN3672">
        <v>1.00000000399649</v>
      </c>
    </row>
    <row r="3673" spans="1:40" x14ac:dyDescent="0.25">
      <c r="A3673" t="str">
        <f>"20190312172443303"</f>
        <v>20190312172443303</v>
      </c>
      <c r="B3673" t="str">
        <f>"1552382683293773"</f>
        <v>1552382683293773</v>
      </c>
      <c r="C3673" t="s">
        <v>40</v>
      </c>
      <c r="D3673">
        <v>3.7105049999999999</v>
      </c>
      <c r="E3673">
        <v>0.50349330000000003</v>
      </c>
      <c r="F3673" t="s">
        <v>41</v>
      </c>
      <c r="G3673">
        <v>-264.25639999999999</v>
      </c>
      <c r="H3673">
        <v>1.04074</v>
      </c>
      <c r="I3673">
        <v>215.1806</v>
      </c>
      <c r="J3673">
        <v>-264.93799999999999</v>
      </c>
      <c r="K3673">
        <v>1.109472</v>
      </c>
      <c r="L3673">
        <v>215.2081</v>
      </c>
      <c r="M3673">
        <v>0.99987029999999999</v>
      </c>
      <c r="N3673">
        <v>0</v>
      </c>
      <c r="O3673">
        <v>1.2323020000000001E-2</v>
      </c>
      <c r="P3673">
        <v>0.98644849999999995</v>
      </c>
      <c r="Q3673">
        <v>0.16333320000000001</v>
      </c>
      <c r="R3673">
        <v>-1.5546849999999999E-2</v>
      </c>
      <c r="S3673">
        <v>3.0724490000000002</v>
      </c>
      <c r="T3673">
        <v>-0.1951261</v>
      </c>
      <c r="U3673">
        <v>-6.3888550000000002E-2</v>
      </c>
      <c r="V3673">
        <v>2.7726319999999999E-2</v>
      </c>
      <c r="W3673">
        <v>0.17355079999999901</v>
      </c>
      <c r="X3673">
        <v>0.98443449999999999</v>
      </c>
      <c r="Y3673">
        <v>3.3017650000000003E-2</v>
      </c>
      <c r="Z3673">
        <v>-1.8290750000000001E-3</v>
      </c>
      <c r="AA3673">
        <v>0.99945309999999998</v>
      </c>
      <c r="AB3673">
        <v>43</v>
      </c>
      <c r="AC3673">
        <v>0.68160000000000298</v>
      </c>
      <c r="AD3673">
        <v>-6.8732000000000001E-2</v>
      </c>
      <c r="AE3673">
        <v>-2.75000000000034E-2</v>
      </c>
      <c r="AF3673">
        <v>3.55369617993921E-2</v>
      </c>
      <c r="AG3673">
        <v>-6.8732000000000001E-2</v>
      </c>
      <c r="AH3673">
        <v>0.67436319048308402</v>
      </c>
      <c r="AI3673">
        <v>95.811558608423297</v>
      </c>
      <c r="AJ3673">
        <v>86.983470721409901</v>
      </c>
      <c r="AK3673">
        <v>0.67878765174129096</v>
      </c>
      <c r="AL3673">
        <v>80.005664914882701</v>
      </c>
      <c r="AM3673">
        <v>88.386707024264695</v>
      </c>
      <c r="AN3673">
        <v>0.999999956895815</v>
      </c>
    </row>
    <row r="3674" spans="1:40" x14ac:dyDescent="0.25">
      <c r="A3674" t="str">
        <f>"20190312172443326"</f>
        <v>20190312172443326</v>
      </c>
      <c r="B3674" t="str">
        <f>"1552382683314270"</f>
        <v>1552382683314270</v>
      </c>
      <c r="C3674" t="s">
        <v>40</v>
      </c>
      <c r="D3674">
        <v>3.6973090000000002</v>
      </c>
      <c r="E3674">
        <v>0.50341999999999998</v>
      </c>
      <c r="F3674" t="s">
        <v>41</v>
      </c>
      <c r="G3674">
        <v>-263.86529999999999</v>
      </c>
      <c r="H3674">
        <v>1.044198</v>
      </c>
      <c r="I3674">
        <v>215.18539999999999</v>
      </c>
      <c r="J3674">
        <v>-264.4973</v>
      </c>
      <c r="K3674">
        <v>1.109475</v>
      </c>
      <c r="L3674">
        <v>215.21350000000001</v>
      </c>
      <c r="M3674">
        <v>0.99987060000000005</v>
      </c>
      <c r="N3674">
        <v>0</v>
      </c>
      <c r="O3674">
        <v>1.228865E-2</v>
      </c>
      <c r="P3674">
        <v>0.98641789999999996</v>
      </c>
      <c r="Q3674">
        <v>0.16352</v>
      </c>
      <c r="R3674">
        <v>-1.552415E-2</v>
      </c>
      <c r="S3674">
        <v>3.0711979999999999</v>
      </c>
      <c r="T3674">
        <v>-0.18700459999999999</v>
      </c>
      <c r="U3674">
        <v>-6.4559939999999996E-2</v>
      </c>
      <c r="V3674">
        <v>2.7669180000000002E-2</v>
      </c>
      <c r="W3674">
        <v>0.17374429999999999</v>
      </c>
      <c r="X3674">
        <v>0.984402</v>
      </c>
      <c r="Y3674">
        <v>3.3217219999999999E-2</v>
      </c>
      <c r="Z3674">
        <v>-1.7577770000000001E-3</v>
      </c>
      <c r="AA3674">
        <v>0.99944659999999996</v>
      </c>
      <c r="AB3674">
        <v>43</v>
      </c>
      <c r="AC3674">
        <v>0.632000000000005</v>
      </c>
      <c r="AD3674">
        <v>-6.5277000000000002E-2</v>
      </c>
      <c r="AE3674">
        <v>-2.8100000000023301E-2</v>
      </c>
      <c r="AF3674">
        <v>3.5486893270392603E-2</v>
      </c>
      <c r="AG3674">
        <v>-6.5277000000000002E-2</v>
      </c>
      <c r="AH3674">
        <v>0.62495304941346697</v>
      </c>
      <c r="AI3674">
        <v>95.953460214547704</v>
      </c>
      <c r="AJ3674">
        <v>86.750046847560796</v>
      </c>
      <c r="AK3674">
        <v>0.62935420892703597</v>
      </c>
      <c r="AL3674">
        <v>79.994407399809404</v>
      </c>
      <c r="AM3674">
        <v>88.389976914763693</v>
      </c>
      <c r="AN3674">
        <v>0.99999998145418101</v>
      </c>
    </row>
    <row r="3675" spans="1:40" x14ac:dyDescent="0.25">
      <c r="A3675" t="str">
        <f>"20190312172443350"</f>
        <v>20190312172443350</v>
      </c>
      <c r="B3675" t="str">
        <f>"1552382683344526"</f>
        <v>1552382683344526</v>
      </c>
      <c r="C3675" t="s">
        <v>40</v>
      </c>
      <c r="D3675">
        <v>3.69937</v>
      </c>
      <c r="E3675">
        <v>0.50340909999999905</v>
      </c>
      <c r="F3675" t="s">
        <v>41</v>
      </c>
      <c r="G3675">
        <v>-263.47190000000001</v>
      </c>
      <c r="H3675">
        <v>1.0487089999999999</v>
      </c>
      <c r="I3675">
        <v>215.19220000000001</v>
      </c>
      <c r="J3675">
        <v>-264.04169999999999</v>
      </c>
      <c r="K3675">
        <v>1.1094759999999999</v>
      </c>
      <c r="L3675">
        <v>215.2191</v>
      </c>
      <c r="M3675">
        <v>0.99987099999999995</v>
      </c>
      <c r="N3675">
        <v>0</v>
      </c>
      <c r="O3675">
        <v>1.225327E-2</v>
      </c>
      <c r="P3675">
        <v>0.98645499999999997</v>
      </c>
      <c r="Q3675">
        <v>0.16330259999999999</v>
      </c>
      <c r="R3675">
        <v>-1.546056E-2</v>
      </c>
      <c r="S3675">
        <v>3.0704959999999999</v>
      </c>
      <c r="T3675">
        <v>-0.182063</v>
      </c>
      <c r="U3675">
        <v>-6.3674930000000005E-2</v>
      </c>
      <c r="V3675">
        <v>2.7571350000000001E-2</v>
      </c>
      <c r="W3675">
        <v>0.173534299999999</v>
      </c>
      <c r="X3675">
        <v>0.98444180000000003</v>
      </c>
      <c r="Y3675">
        <v>3.2903670000000003E-2</v>
      </c>
      <c r="Z3675">
        <v>-1.700423E-3</v>
      </c>
      <c r="AA3675">
        <v>0.99945709999999999</v>
      </c>
      <c r="AB3675">
        <v>44</v>
      </c>
      <c r="AC3675">
        <v>0.56979999999998598</v>
      </c>
      <c r="AD3675">
        <v>-6.0767000000000002E-2</v>
      </c>
      <c r="AE3675">
        <v>-2.6899999999983399E-2</v>
      </c>
      <c r="AF3675">
        <v>3.3500106860378999E-2</v>
      </c>
      <c r="AG3675">
        <v>-6.0767000000000002E-2</v>
      </c>
      <c r="AH3675">
        <v>0.56303816379080995</v>
      </c>
      <c r="AI3675">
        <v>96.149124898224301</v>
      </c>
      <c r="AJ3675">
        <v>86.594982935622198</v>
      </c>
      <c r="AK3675">
        <v>0.56729785768464103</v>
      </c>
      <c r="AL3675">
        <v>80.006625246885093</v>
      </c>
      <c r="AM3675">
        <v>88.395731325452701</v>
      </c>
      <c r="AN3675">
        <v>0.999999995102276</v>
      </c>
    </row>
    <row r="3676" spans="1:40" x14ac:dyDescent="0.25">
      <c r="A3676" t="str">
        <f>"20190312172443371"</f>
        <v>20190312172443371</v>
      </c>
      <c r="B3676" t="str">
        <f>"1552382683364045"</f>
        <v>1552382683364045</v>
      </c>
      <c r="C3676" t="s">
        <v>40</v>
      </c>
      <c r="D3676">
        <v>3.7289629999999998</v>
      </c>
      <c r="E3676">
        <v>0.50341519999999995</v>
      </c>
      <c r="F3676" t="s">
        <v>47</v>
      </c>
      <c r="G3676">
        <v>-244.70529999999999</v>
      </c>
      <c r="H3676" s="1">
        <v>9.5829409999999998E-7</v>
      </c>
      <c r="I3676">
        <v>214.8184</v>
      </c>
      <c r="J3676">
        <v>-263.61259999999999</v>
      </c>
      <c r="K3676">
        <v>1.1094729999999999</v>
      </c>
      <c r="L3676">
        <v>215.2243</v>
      </c>
      <c r="M3676">
        <v>0.99987139999999997</v>
      </c>
      <c r="N3676">
        <v>0</v>
      </c>
      <c r="O3676">
        <v>1.221967E-2</v>
      </c>
      <c r="P3676">
        <v>0.98642989999999997</v>
      </c>
      <c r="Q3676">
        <v>0.163473799999999</v>
      </c>
      <c r="R3676">
        <v>-1.526599E-2</v>
      </c>
      <c r="S3676">
        <v>3.0693359999999998</v>
      </c>
      <c r="T3676">
        <v>-0.1761103</v>
      </c>
      <c r="U3676">
        <v>-6.3598630000000003E-2</v>
      </c>
      <c r="V3676">
        <v>2.7343200000000002E-2</v>
      </c>
      <c r="W3676">
        <v>0.17371229999999999</v>
      </c>
      <c r="X3676">
        <v>0.98441679999999998</v>
      </c>
      <c r="Y3676">
        <v>3.285826E-2</v>
      </c>
      <c r="Z3676">
        <v>-1.6423119999999999E-3</v>
      </c>
      <c r="AA3676">
        <v>0.99945870000000003</v>
      </c>
      <c r="AB3676">
        <v>44</v>
      </c>
      <c r="AC3676">
        <v>18.9072999999999</v>
      </c>
      <c r="AD3676">
        <v>-1.1094720417059001</v>
      </c>
      <c r="AE3676">
        <v>-0.40590000000000198</v>
      </c>
      <c r="AF3676">
        <v>0.63473853652021595</v>
      </c>
      <c r="AG3676">
        <v>-1.1094720417059001</v>
      </c>
      <c r="AH3676">
        <v>18.836099651153798</v>
      </c>
      <c r="AI3676">
        <v>93.368997212724594</v>
      </c>
      <c r="AJ3676">
        <v>88.069978212021994</v>
      </c>
      <c r="AK3676">
        <v>18.8794192519068</v>
      </c>
      <c r="AL3676">
        <v>79.996269615150695</v>
      </c>
      <c r="AM3676">
        <v>88.408959243421805</v>
      </c>
      <c r="AN3676">
        <v>1.0000000249398799</v>
      </c>
    </row>
    <row r="3677" spans="1:40" x14ac:dyDescent="0.25">
      <c r="A3677" t="str">
        <f>"20190312172443393"</f>
        <v>20190312172443393</v>
      </c>
      <c r="B3677" t="str">
        <f>"1552382683384543"</f>
        <v>1552382683384543</v>
      </c>
      <c r="C3677" t="s">
        <v>40</v>
      </c>
      <c r="D3677">
        <v>3.6894390000000001</v>
      </c>
      <c r="E3677">
        <v>0.5034227</v>
      </c>
      <c r="F3677" t="s">
        <v>47</v>
      </c>
      <c r="G3677">
        <v>-243.8306</v>
      </c>
      <c r="H3677" s="1">
        <v>4.9295580000000005E-7</v>
      </c>
      <c r="I3677">
        <v>214.816</v>
      </c>
      <c r="J3677">
        <v>-263.18860000000001</v>
      </c>
      <c r="K3677">
        <v>1.1094740000000001</v>
      </c>
      <c r="L3677">
        <v>215.2295</v>
      </c>
      <c r="M3677">
        <v>0.99987170000000003</v>
      </c>
      <c r="N3677">
        <v>0</v>
      </c>
      <c r="O3677">
        <v>1.218668E-2</v>
      </c>
      <c r="P3677">
        <v>0.98644690000000002</v>
      </c>
      <c r="Q3677">
        <v>0.16337009999999999</v>
      </c>
      <c r="R3677">
        <v>-1.526308E-2</v>
      </c>
      <c r="S3677">
        <v>3.068848</v>
      </c>
      <c r="T3677">
        <v>-0.17211660000000001</v>
      </c>
      <c r="U3677">
        <v>-6.3339229999999996E-2</v>
      </c>
      <c r="V3677">
        <v>2.7308120000000002E-2</v>
      </c>
      <c r="W3677">
        <v>0.17361559999999901</v>
      </c>
      <c r="X3677">
        <v>0.98443480000000005</v>
      </c>
      <c r="Y3677">
        <v>3.2747640000000001E-2</v>
      </c>
      <c r="Z3677">
        <v>-1.600436E-3</v>
      </c>
      <c r="AA3677">
        <v>0.99946239999999997</v>
      </c>
      <c r="AB3677">
        <v>44</v>
      </c>
      <c r="AC3677">
        <v>19.358000000000001</v>
      </c>
      <c r="AD3677">
        <v>-1.1094735070441999</v>
      </c>
      <c r="AE3677">
        <v>-0.41350000000002701</v>
      </c>
      <c r="AF3677">
        <v>0.64726659861727998</v>
      </c>
      <c r="AG3677">
        <v>-1.1094735070441999</v>
      </c>
      <c r="AH3677">
        <v>19.2881933078814</v>
      </c>
      <c r="AI3677">
        <v>93.290227059144797</v>
      </c>
      <c r="AJ3677">
        <v>88.078009059248501</v>
      </c>
      <c r="AK3677">
        <v>19.330915306697701</v>
      </c>
      <c r="AL3677">
        <v>80.001895278461504</v>
      </c>
      <c r="AM3677">
        <v>88.411028463764595</v>
      </c>
      <c r="AN3677">
        <v>0.99999999271616702</v>
      </c>
    </row>
    <row r="3678" spans="1:40" x14ac:dyDescent="0.25">
      <c r="A3678" t="str">
        <f>"20190312172443415"</f>
        <v>20190312172443415</v>
      </c>
      <c r="B3678" t="str">
        <f>"1552382683404061"</f>
        <v>1552382683404061</v>
      </c>
      <c r="C3678" t="s">
        <v>40</v>
      </c>
      <c r="D3678">
        <v>3.6917970000000002</v>
      </c>
      <c r="E3678">
        <v>0.50347969999999997</v>
      </c>
      <c r="F3678" t="s">
        <v>47</v>
      </c>
      <c r="G3678">
        <v>-243.06890000000001</v>
      </c>
      <c r="H3678" s="1">
        <v>8.7603569999999997E-8</v>
      </c>
      <c r="I3678">
        <v>214.81549999999999</v>
      </c>
      <c r="J3678">
        <v>-262.7568</v>
      </c>
      <c r="K3678">
        <v>1.1094759999999999</v>
      </c>
      <c r="L3678">
        <v>215.2347</v>
      </c>
      <c r="M3678">
        <v>0.99987210000000004</v>
      </c>
      <c r="N3678">
        <v>0</v>
      </c>
      <c r="O3678">
        <v>1.2152960000000001E-2</v>
      </c>
      <c r="P3678">
        <v>0.98638369999999997</v>
      </c>
      <c r="Q3678">
        <v>0.1637062</v>
      </c>
      <c r="R3678">
        <v>-1.574219E-2</v>
      </c>
      <c r="S3678">
        <v>3.068298</v>
      </c>
      <c r="T3678">
        <v>-0.16919719999999999</v>
      </c>
      <c r="U3678">
        <v>-6.3140870000000002E-2</v>
      </c>
      <c r="V3678">
        <v>2.7753099999999999E-2</v>
      </c>
      <c r="W3678">
        <v>0.1739579</v>
      </c>
      <c r="X3678">
        <v>0.98436190000000001</v>
      </c>
      <c r="Y3678">
        <v>3.2655589999999998E-2</v>
      </c>
      <c r="Z3678">
        <v>-1.5692200000000001E-3</v>
      </c>
      <c r="AA3678">
        <v>0.99946539999999995</v>
      </c>
      <c r="AB3678">
        <v>44</v>
      </c>
      <c r="AC3678">
        <v>19.6878999999999</v>
      </c>
      <c r="AD3678">
        <v>-1.10947591239643</v>
      </c>
      <c r="AE3678">
        <v>-0.419200000000017</v>
      </c>
      <c r="AF3678">
        <v>0.65636477100794799</v>
      </c>
      <c r="AG3678">
        <v>-1.10947591239643</v>
      </c>
      <c r="AH3678">
        <v>19.619075391019098</v>
      </c>
      <c r="AI3678">
        <v>93.234873206151207</v>
      </c>
      <c r="AJ3678">
        <v>88.083859247131201</v>
      </c>
      <c r="AK3678">
        <v>19.661380183275501</v>
      </c>
      <c r="AL3678">
        <v>79.981979634850404</v>
      </c>
      <c r="AM3678">
        <v>88.385030581278897</v>
      </c>
      <c r="AN3678">
        <v>0.999999967851814</v>
      </c>
    </row>
    <row r="3679" spans="1:40" x14ac:dyDescent="0.25">
      <c r="A3679" t="str">
        <f>"20190312172443437"</f>
        <v>20190312172443437</v>
      </c>
      <c r="B3679" t="str">
        <f>"1552382683434317"</f>
        <v>1552382683434317</v>
      </c>
      <c r="C3679" t="s">
        <v>40</v>
      </c>
      <c r="D3679">
        <v>3.674553</v>
      </c>
      <c r="E3679">
        <v>0.50363579999999997</v>
      </c>
      <c r="F3679" t="s">
        <v>47</v>
      </c>
      <c r="G3679">
        <v>-242.2167</v>
      </c>
      <c r="H3679" s="1">
        <v>-3.6527139999999998E-7</v>
      </c>
      <c r="I3679">
        <v>214.8014</v>
      </c>
      <c r="J3679">
        <v>-262.33609999999999</v>
      </c>
      <c r="K3679">
        <v>1.109475</v>
      </c>
      <c r="L3679">
        <v>215.2398</v>
      </c>
      <c r="M3679">
        <v>0.99987239999999999</v>
      </c>
      <c r="N3679">
        <v>0</v>
      </c>
      <c r="O3679">
        <v>1.2120199999999999E-2</v>
      </c>
      <c r="P3679">
        <v>0.98640640000000002</v>
      </c>
      <c r="Q3679">
        <v>0.16356080000000001</v>
      </c>
      <c r="R3679">
        <v>-1.5831339999999999E-2</v>
      </c>
      <c r="S3679">
        <v>3.0678709999999998</v>
      </c>
      <c r="T3679">
        <v>-0.165711</v>
      </c>
      <c r="U3679">
        <v>-6.4727779999999999E-2</v>
      </c>
      <c r="V3679">
        <v>2.7810430000000001E-2</v>
      </c>
      <c r="W3679">
        <v>0.17381940000000001</v>
      </c>
      <c r="X3679">
        <v>0.98438479999999995</v>
      </c>
      <c r="Y3679">
        <v>3.3144560000000003E-2</v>
      </c>
      <c r="Z3679">
        <v>-1.5485679999999999E-3</v>
      </c>
      <c r="AA3679">
        <v>0.99944940000000004</v>
      </c>
      <c r="AB3679">
        <v>44</v>
      </c>
      <c r="AC3679">
        <v>20.119399999999899</v>
      </c>
      <c r="AD3679">
        <v>-1.1094753652714</v>
      </c>
      <c r="AE3679">
        <v>-0.43840000000000101</v>
      </c>
      <c r="AF3679">
        <v>0.68016480409045799</v>
      </c>
      <c r="AG3679">
        <v>-1.1094753652714</v>
      </c>
      <c r="AH3679">
        <v>20.051661638864001</v>
      </c>
      <c r="AI3679">
        <v>93.165177848959402</v>
      </c>
      <c r="AJ3679">
        <v>88.0572365006186</v>
      </c>
      <c r="AK3679">
        <v>20.093847173360299</v>
      </c>
      <c r="AL3679">
        <v>79.990038383938099</v>
      </c>
      <c r="AM3679">
        <v>88.381733913589699</v>
      </c>
      <c r="AN3679">
        <v>1.0000000191520899</v>
      </c>
    </row>
    <row r="3680" spans="1:40" x14ac:dyDescent="0.25">
      <c r="A3680" t="str">
        <f>"20190312172443461"</f>
        <v>20190312172443461</v>
      </c>
      <c r="B3680" t="str">
        <f>"1552382683453847"</f>
        <v>1552382683453847</v>
      </c>
      <c r="C3680" t="s">
        <v>40</v>
      </c>
      <c r="D3680">
        <v>3.6621459999999999</v>
      </c>
      <c r="E3680">
        <v>0.503803</v>
      </c>
      <c r="F3680" t="s">
        <v>47</v>
      </c>
      <c r="G3680">
        <v>-241.4521</v>
      </c>
      <c r="H3680" s="1">
        <v>-7.7165700000000004E-7</v>
      </c>
      <c r="I3680">
        <v>214.78980000000001</v>
      </c>
      <c r="J3680">
        <v>-261.8716</v>
      </c>
      <c r="K3680">
        <v>1.1094759999999999</v>
      </c>
      <c r="L3680">
        <v>215.24539999999999</v>
      </c>
      <c r="M3680">
        <v>0.99987269999999995</v>
      </c>
      <c r="N3680">
        <v>0</v>
      </c>
      <c r="O3680">
        <v>1.2084340000000001E-2</v>
      </c>
      <c r="P3680">
        <v>0.98648480000000005</v>
      </c>
      <c r="Q3680">
        <v>0.1630549</v>
      </c>
      <c r="R3680">
        <v>-1.6144490000000001E-2</v>
      </c>
      <c r="S3680">
        <v>3.067291</v>
      </c>
      <c r="T3680">
        <v>-0.1629516</v>
      </c>
      <c r="U3680">
        <v>-6.6101069999999998E-2</v>
      </c>
      <c r="V3680">
        <v>2.808915E-2</v>
      </c>
      <c r="W3680">
        <v>0.17332159999999999</v>
      </c>
      <c r="X3680">
        <v>0.98446460000000002</v>
      </c>
      <c r="Y3680">
        <v>3.3561590000000002E-2</v>
      </c>
      <c r="Z3680">
        <v>-1.5322630000000001E-3</v>
      </c>
      <c r="AA3680">
        <v>0.99943550000000003</v>
      </c>
      <c r="AB3680">
        <v>44</v>
      </c>
      <c r="AC3680">
        <v>20.419499999999999</v>
      </c>
      <c r="AD3680">
        <v>-1.109476771657</v>
      </c>
      <c r="AE3680">
        <v>-0.45559999999997502</v>
      </c>
      <c r="AF3680">
        <v>0.70026999344111396</v>
      </c>
      <c r="AG3680">
        <v>-1.109476771657</v>
      </c>
      <c r="AH3680">
        <v>20.352448254158901</v>
      </c>
      <c r="AI3680">
        <v>93.118445321250604</v>
      </c>
      <c r="AJ3680">
        <v>88.029392197495199</v>
      </c>
      <c r="AK3680">
        <v>20.394692120960698</v>
      </c>
      <c r="AL3680">
        <v>80.018999249329795</v>
      </c>
      <c r="AM3680">
        <v>88.365656597144394</v>
      </c>
      <c r="AN3680">
        <v>0.99999996301371996</v>
      </c>
    </row>
    <row r="3681" spans="1:40" x14ac:dyDescent="0.25">
      <c r="A3681" t="str">
        <f>"20190312172443485"</f>
        <v>20190312172443485</v>
      </c>
      <c r="B3681" t="str">
        <f>"1552382683474334"</f>
        <v>1552382683474334</v>
      </c>
      <c r="C3681" t="s">
        <v>40</v>
      </c>
      <c r="D3681">
        <v>3.6914220000000002</v>
      </c>
      <c r="E3681">
        <v>0.50400049999999996</v>
      </c>
      <c r="F3681" t="s">
        <v>47</v>
      </c>
      <c r="G3681">
        <v>-241.01560000000001</v>
      </c>
      <c r="H3681" s="1">
        <v>-1.0033439999999999E-6</v>
      </c>
      <c r="I3681">
        <v>214.77629999999999</v>
      </c>
      <c r="J3681">
        <v>-261.4221</v>
      </c>
      <c r="K3681">
        <v>1.1094729999999999</v>
      </c>
      <c r="L3681">
        <v>215.2508</v>
      </c>
      <c r="M3681">
        <v>0.99987309999999996</v>
      </c>
      <c r="N3681">
        <v>0</v>
      </c>
      <c r="O3681">
        <v>1.2049259999999999E-2</v>
      </c>
      <c r="P3681">
        <v>0.98641820000000002</v>
      </c>
      <c r="Q3681">
        <v>0.16347610000000001</v>
      </c>
      <c r="R3681">
        <v>-1.5961349999999999E-2</v>
      </c>
      <c r="S3681">
        <v>3.0669249999999999</v>
      </c>
      <c r="T3681">
        <v>-0.1631513</v>
      </c>
      <c r="U3681">
        <v>-6.8984989999999996E-2</v>
      </c>
      <c r="V3681">
        <v>2.787069E-2</v>
      </c>
      <c r="W3681">
        <v>0.17374890000000001</v>
      </c>
      <c r="X3681">
        <v>0.98439549999999998</v>
      </c>
      <c r="Y3681">
        <v>3.4467020000000001E-2</v>
      </c>
      <c r="Z3681">
        <v>-1.556504E-3</v>
      </c>
      <c r="AA3681">
        <v>0.99940459999999998</v>
      </c>
      <c r="AB3681">
        <v>44</v>
      </c>
      <c r="AC3681">
        <v>20.406499999999902</v>
      </c>
      <c r="AD3681">
        <v>-1.109474003344</v>
      </c>
      <c r="AE3681">
        <v>-0.47450000000000597</v>
      </c>
      <c r="AF3681">
        <v>0.71824019113329995</v>
      </c>
      <c r="AG3681">
        <v>-1.109474003344</v>
      </c>
      <c r="AH3681">
        <v>20.339211523862399</v>
      </c>
      <c r="AI3681">
        <v>93.120364791223594</v>
      </c>
      <c r="AJ3681">
        <v>87.977549984569293</v>
      </c>
      <c r="AK3681">
        <v>20.382108010425998</v>
      </c>
      <c r="AL3681">
        <v>79.994139733900695</v>
      </c>
      <c r="AM3681">
        <v>88.378246922852099</v>
      </c>
      <c r="AN3681">
        <v>0.99999997801626705</v>
      </c>
    </row>
    <row r="3682" spans="1:40" x14ac:dyDescent="0.25">
      <c r="A3682" t="str">
        <f>"20190312172443505"</f>
        <v>20190312172443505</v>
      </c>
      <c r="B3682" t="str">
        <f>"1552382683493853"</f>
        <v>1552382683493853</v>
      </c>
      <c r="C3682" t="s">
        <v>40</v>
      </c>
      <c r="D3682">
        <v>3.6914690000000001</v>
      </c>
      <c r="E3682">
        <v>0.5041987</v>
      </c>
      <c r="F3682" t="s">
        <v>41</v>
      </c>
      <c r="G3682">
        <v>-260.3383</v>
      </c>
      <c r="H3682">
        <v>1.052678</v>
      </c>
      <c r="I3682">
        <v>215.226</v>
      </c>
      <c r="J3682">
        <v>-261.01339999999999</v>
      </c>
      <c r="K3682">
        <v>1.1094740000000001</v>
      </c>
      <c r="L3682">
        <v>215.25569999999999</v>
      </c>
      <c r="M3682">
        <v>0.99987340000000002</v>
      </c>
      <c r="N3682">
        <v>0</v>
      </c>
      <c r="O3682">
        <v>1.2017389999999999E-2</v>
      </c>
      <c r="P3682">
        <v>0.98640950000000005</v>
      </c>
      <c r="Q3682">
        <v>0.16350139999999999</v>
      </c>
      <c r="R3682">
        <v>-1.6245249999999999E-2</v>
      </c>
      <c r="S3682">
        <v>3.0668030000000002</v>
      </c>
      <c r="T3682">
        <v>-0.16077339999999901</v>
      </c>
      <c r="U3682">
        <v>-7.0053099999999993E-2</v>
      </c>
      <c r="V3682">
        <v>2.812299E-2</v>
      </c>
      <c r="W3682">
        <v>0.173780399999999</v>
      </c>
      <c r="X3682">
        <v>0.9843828</v>
      </c>
      <c r="Y3682">
        <v>3.4785459999999997E-2</v>
      </c>
      <c r="Z3682">
        <v>-1.5405760000000001E-3</v>
      </c>
      <c r="AA3682">
        <v>0.99939359999999999</v>
      </c>
      <c r="AB3682">
        <v>44</v>
      </c>
      <c r="AC3682">
        <v>0.67509999999998604</v>
      </c>
      <c r="AD3682">
        <v>-5.6795999999999999E-2</v>
      </c>
      <c r="AE3682">
        <v>-2.9699999999991102E-2</v>
      </c>
      <c r="AF3682">
        <v>3.7546005921424402E-2</v>
      </c>
      <c r="AG3682">
        <v>-5.6795999999999999E-2</v>
      </c>
      <c r="AH3682">
        <v>0.66996160352261802</v>
      </c>
      <c r="AI3682">
        <v>94.838108559758993</v>
      </c>
      <c r="AJ3682">
        <v>86.792383662702207</v>
      </c>
      <c r="AK3682">
        <v>0.67341223509173698</v>
      </c>
      <c r="AL3682">
        <v>79.992307394754704</v>
      </c>
      <c r="AM3682">
        <v>88.363552815333904</v>
      </c>
      <c r="AN3682">
        <v>1.0000000134632701</v>
      </c>
    </row>
    <row r="3683" spans="1:40" x14ac:dyDescent="0.25">
      <c r="A3683" t="str">
        <f>"20190312172443528"</f>
        <v>20190312172443528</v>
      </c>
      <c r="B3683" t="str">
        <f>"1552382683524111"</f>
        <v>1552382683524111</v>
      </c>
      <c r="C3683" t="s">
        <v>40</v>
      </c>
      <c r="D3683">
        <v>3.7234799999999999</v>
      </c>
      <c r="E3683">
        <v>0.50446150000000001</v>
      </c>
      <c r="F3683" t="s">
        <v>47</v>
      </c>
      <c r="G3683">
        <v>-239.72989999999999</v>
      </c>
      <c r="H3683" s="1">
        <v>3.6349449999999999E-6</v>
      </c>
      <c r="I3683">
        <v>214.7544</v>
      </c>
      <c r="J3683">
        <v>-260.5711</v>
      </c>
      <c r="K3683">
        <v>1.109472</v>
      </c>
      <c r="L3683">
        <v>215.261</v>
      </c>
      <c r="M3683">
        <v>0.99987369999999998</v>
      </c>
      <c r="N3683">
        <v>0</v>
      </c>
      <c r="O3683">
        <v>1.1983199999999999E-2</v>
      </c>
      <c r="P3683">
        <v>0.98646089999999997</v>
      </c>
      <c r="Q3683">
        <v>0.1631976</v>
      </c>
      <c r="R3683">
        <v>-1.6172180000000001E-2</v>
      </c>
      <c r="S3683">
        <v>3.0666500000000001</v>
      </c>
      <c r="T3683">
        <v>-0.15985869999999999</v>
      </c>
      <c r="U3683">
        <v>-7.2235110000000005E-2</v>
      </c>
      <c r="V3683">
        <v>2.8016739999999998E-2</v>
      </c>
      <c r="W3683">
        <v>0.17348450000000001</v>
      </c>
      <c r="X3683">
        <v>0.98443800000000004</v>
      </c>
      <c r="Y3683">
        <v>3.5462970000000003E-2</v>
      </c>
      <c r="Z3683">
        <v>-1.5477500000000001E-3</v>
      </c>
      <c r="AA3683">
        <v>0.99936979999999997</v>
      </c>
      <c r="AB3683">
        <v>44</v>
      </c>
      <c r="AC3683">
        <v>20.841200000000001</v>
      </c>
      <c r="AD3683">
        <v>-1.1094683650549999</v>
      </c>
      <c r="AE3683">
        <v>-0.50659999999999095</v>
      </c>
      <c r="AF3683">
        <v>0.75418547642115696</v>
      </c>
      <c r="AG3683">
        <v>-1.1094683650549999</v>
      </c>
      <c r="AH3683">
        <v>20.774793489602299</v>
      </c>
      <c r="AI3683">
        <v>93.054942397635799</v>
      </c>
      <c r="AJ3683">
        <v>87.920909447680799</v>
      </c>
      <c r="AK3683">
        <v>20.818063318222599</v>
      </c>
      <c r="AL3683">
        <v>80.009522497242301</v>
      </c>
      <c r="AM3683">
        <v>88.369823412289506</v>
      </c>
      <c r="AN3683">
        <v>0.99999999265223805</v>
      </c>
    </row>
    <row r="3684" spans="1:40" x14ac:dyDescent="0.25">
      <c r="A3684" t="str">
        <f>"20190312172443550"</f>
        <v>20190312172443550</v>
      </c>
      <c r="B3684" t="str">
        <f>"1552382683543632"</f>
        <v>1552382683543632</v>
      </c>
      <c r="C3684" t="s">
        <v>40</v>
      </c>
      <c r="D3684">
        <v>3.7497959999999999</v>
      </c>
      <c r="E3684">
        <v>0.50462289999999999</v>
      </c>
      <c r="F3684" t="s">
        <v>47</v>
      </c>
      <c r="G3684">
        <v>-239.339</v>
      </c>
      <c r="H3684" s="1">
        <v>3.4271569999999999E-6</v>
      </c>
      <c r="I3684">
        <v>214.74860000000001</v>
      </c>
      <c r="J3684">
        <v>-260.12150000000003</v>
      </c>
      <c r="K3684">
        <v>1.10947</v>
      </c>
      <c r="L3684">
        <v>215.2664</v>
      </c>
      <c r="M3684">
        <v>0.99987400000000004</v>
      </c>
      <c r="N3684">
        <v>0</v>
      </c>
      <c r="O3684">
        <v>1.194829E-2</v>
      </c>
      <c r="P3684">
        <v>0.98649549999999997</v>
      </c>
      <c r="Q3684">
        <v>0.16299149999999901</v>
      </c>
      <c r="R3684">
        <v>-1.6134490000000001E-2</v>
      </c>
      <c r="S3684">
        <v>3.0664669999999998</v>
      </c>
      <c r="T3684">
        <v>-0.1602355</v>
      </c>
      <c r="U3684">
        <v>-7.4005130000000002E-2</v>
      </c>
      <c r="V3684">
        <v>2.7945060000000001E-2</v>
      </c>
      <c r="W3684">
        <v>0.17328589999999999</v>
      </c>
      <c r="X3684">
        <v>0.98447499999999999</v>
      </c>
      <c r="Y3684">
        <v>3.6005009999999997E-2</v>
      </c>
      <c r="Z3684">
        <v>-1.563804E-3</v>
      </c>
      <c r="AA3684">
        <v>0.99935039999999997</v>
      </c>
      <c r="AB3684">
        <v>44</v>
      </c>
      <c r="AC3684">
        <v>20.782499999999999</v>
      </c>
      <c r="AD3684">
        <v>-1.109466572843</v>
      </c>
      <c r="AE3684">
        <v>-0.51779999999999304</v>
      </c>
      <c r="AF3684">
        <v>0.76391618214541601</v>
      </c>
      <c r="AG3684">
        <v>-1.109466572843</v>
      </c>
      <c r="AH3684">
        <v>20.7158272998707</v>
      </c>
      <c r="AI3684">
        <v>93.063552573241296</v>
      </c>
      <c r="AJ3684">
        <v>87.8881195990989</v>
      </c>
      <c r="AK3684">
        <v>20.759575735733801</v>
      </c>
      <c r="AL3684">
        <v>80.021076282050799</v>
      </c>
      <c r="AM3684">
        <v>88.374053007211003</v>
      </c>
      <c r="AN3684">
        <v>0.99999997757110604</v>
      </c>
    </row>
    <row r="3685" spans="1:40" x14ac:dyDescent="0.25">
      <c r="A3685" t="str">
        <f>"20190312172443571"</f>
        <v>20190312172443571</v>
      </c>
      <c r="B3685" t="str">
        <f>"1552382683564125"</f>
        <v>1552382683564125</v>
      </c>
      <c r="C3685" t="s">
        <v>40</v>
      </c>
      <c r="D3685">
        <v>3.7341519999999999</v>
      </c>
      <c r="E3685">
        <v>0.50478639999999997</v>
      </c>
      <c r="F3685" t="s">
        <v>47</v>
      </c>
      <c r="G3685">
        <v>-238.94630000000001</v>
      </c>
      <c r="H3685" s="1">
        <v>3.2182730000000001E-6</v>
      </c>
      <c r="I3685">
        <v>214.74719999999999</v>
      </c>
      <c r="J3685">
        <v>-259.68799999999999</v>
      </c>
      <c r="K3685">
        <v>1.1094679999999999</v>
      </c>
      <c r="L3685">
        <v>215.2715</v>
      </c>
      <c r="M3685">
        <v>0.9998745</v>
      </c>
      <c r="N3685">
        <v>0</v>
      </c>
      <c r="O3685">
        <v>1.1914579999999999E-2</v>
      </c>
      <c r="P3685">
        <v>0.98648389999999997</v>
      </c>
      <c r="Q3685">
        <v>0.16304630000000001</v>
      </c>
      <c r="R3685">
        <v>-1.6299359999999999E-2</v>
      </c>
      <c r="S3685">
        <v>3.0663450000000001</v>
      </c>
      <c r="T3685">
        <v>-0.16066040000000001</v>
      </c>
      <c r="U3685">
        <v>-7.5180049999999998E-2</v>
      </c>
      <c r="V3685">
        <v>2.807664E-2</v>
      </c>
      <c r="W3685">
        <v>0.173347</v>
      </c>
      <c r="X3685">
        <v>0.98446049999999996</v>
      </c>
      <c r="Y3685">
        <v>3.635418E-2</v>
      </c>
      <c r="Z3685">
        <v>-1.575375E-3</v>
      </c>
      <c r="AA3685">
        <v>0.9993377</v>
      </c>
      <c r="AB3685">
        <v>44</v>
      </c>
      <c r="AC3685">
        <v>20.741699999999899</v>
      </c>
      <c r="AD3685">
        <v>-1.109464781727</v>
      </c>
      <c r="AE3685">
        <v>-0.52430000000000998</v>
      </c>
      <c r="AF3685">
        <v>0.76920550203706795</v>
      </c>
      <c r="AG3685">
        <v>-1.109464781727</v>
      </c>
      <c r="AH3685">
        <v>20.674864609754302</v>
      </c>
      <c r="AI3685">
        <v>93.069568513047997</v>
      </c>
      <c r="AJ3685">
        <v>87.869301125048295</v>
      </c>
      <c r="AK3685">
        <v>20.718895140376699</v>
      </c>
      <c r="AL3685">
        <v>80.017521720949603</v>
      </c>
      <c r="AM3685">
        <v>88.366377286532796</v>
      </c>
      <c r="AN3685">
        <v>0.99999997809146901</v>
      </c>
    </row>
    <row r="3686" spans="1:40" x14ac:dyDescent="0.25">
      <c r="A3686" t="str">
        <f>"20190312172443606"</f>
        <v>20190312172443606</v>
      </c>
      <c r="B3686" t="str">
        <f>"1552382683594381"</f>
        <v>1552382683594381</v>
      </c>
      <c r="C3686" t="s">
        <v>40</v>
      </c>
      <c r="D3686">
        <v>3.761298</v>
      </c>
      <c r="E3686">
        <v>0.50508419999999998</v>
      </c>
      <c r="F3686" t="s">
        <v>47</v>
      </c>
      <c r="G3686">
        <v>-238.41730000000001</v>
      </c>
      <c r="H3686" s="1">
        <v>2.9371370000000002E-6</v>
      </c>
      <c r="I3686">
        <v>214.73840000000001</v>
      </c>
      <c r="J3686">
        <v>-259.03769999999997</v>
      </c>
      <c r="K3686">
        <v>1.1094759999999999</v>
      </c>
      <c r="L3686">
        <v>215.2792</v>
      </c>
      <c r="M3686">
        <v>0.99987479999999995</v>
      </c>
      <c r="N3686">
        <v>0</v>
      </c>
      <c r="O3686">
        <v>1.18642E-2</v>
      </c>
      <c r="P3686">
        <v>0.98639849999999996</v>
      </c>
      <c r="Q3686">
        <v>0.16351250000000001</v>
      </c>
      <c r="R3686">
        <v>-1.6786829999999999E-2</v>
      </c>
      <c r="S3686">
        <v>3.066284</v>
      </c>
      <c r="T3686">
        <v>-0.1599352</v>
      </c>
      <c r="U3686">
        <v>-7.685852E-2</v>
      </c>
      <c r="V3686">
        <v>2.8513449999999999E-2</v>
      </c>
      <c r="W3686">
        <v>0.17382549999999999</v>
      </c>
      <c r="X3686">
        <v>0.98436360000000001</v>
      </c>
      <c r="Y3686">
        <v>3.6851000000000002E-2</v>
      </c>
      <c r="Z3686">
        <v>-1.578615E-3</v>
      </c>
      <c r="AA3686">
        <v>0.99931959999999997</v>
      </c>
      <c r="AB3686">
        <v>44</v>
      </c>
      <c r="AC3686">
        <v>20.620399999999901</v>
      </c>
      <c r="AD3686">
        <v>-1.1094730628630001</v>
      </c>
      <c r="AE3686">
        <v>-0.54079999999998996</v>
      </c>
      <c r="AF3686">
        <v>0.78315426841532598</v>
      </c>
      <c r="AG3686">
        <v>-1.1094730628630001</v>
      </c>
      <c r="AH3686">
        <v>20.553073036283902</v>
      </c>
      <c r="AI3686">
        <v>93.087641609775105</v>
      </c>
      <c r="AJ3686">
        <v>87.817857377883598</v>
      </c>
      <c r="AK3686">
        <v>20.597889996797601</v>
      </c>
      <c r="AL3686">
        <v>79.989683375718002</v>
      </c>
      <c r="AM3686">
        <v>88.340812627717398</v>
      </c>
      <c r="AN3686">
        <v>1.0000000091430501</v>
      </c>
    </row>
    <row r="3687" spans="1:40" x14ac:dyDescent="0.25">
      <c r="A3687" t="str">
        <f>"20190312172443628"</f>
        <v>20190312172443628</v>
      </c>
      <c r="B3687" t="str">
        <f>"1552382683623661"</f>
        <v>1552382683623661</v>
      </c>
      <c r="C3687" t="s">
        <v>40</v>
      </c>
      <c r="D3687">
        <v>3.7469670000000002</v>
      </c>
      <c r="E3687">
        <v>0.50534409999999996</v>
      </c>
      <c r="F3687" t="s">
        <v>47</v>
      </c>
      <c r="G3687">
        <v>-237.51560000000001</v>
      </c>
      <c r="H3687" s="1">
        <v>2.4585100000000001E-6</v>
      </c>
      <c r="I3687">
        <v>214.7105</v>
      </c>
      <c r="J3687">
        <v>-258.59280000000001</v>
      </c>
      <c r="K3687">
        <v>1.1094740000000001</v>
      </c>
      <c r="L3687">
        <v>215.28450000000001</v>
      </c>
      <c r="M3687">
        <v>0.99987510000000002</v>
      </c>
      <c r="N3687">
        <v>0</v>
      </c>
      <c r="O3687">
        <v>1.182979E-2</v>
      </c>
      <c r="P3687">
        <v>0.9863982</v>
      </c>
      <c r="Q3687">
        <v>0.16348470000000001</v>
      </c>
      <c r="R3687">
        <v>-1.7069959999999999E-2</v>
      </c>
      <c r="S3687">
        <v>3.0661619999999998</v>
      </c>
      <c r="T3687">
        <v>-0.1580616</v>
      </c>
      <c r="U3687">
        <v>-8.1024170000000006E-2</v>
      </c>
      <c r="V3687">
        <v>2.8762659999999999E-2</v>
      </c>
      <c r="W3687">
        <v>0.1738114</v>
      </c>
      <c r="X3687">
        <v>0.98435879999999998</v>
      </c>
      <c r="Y3687">
        <v>3.8174159999999999E-2</v>
      </c>
      <c r="Z3687">
        <v>-1.5924859999999999E-3</v>
      </c>
      <c r="AA3687">
        <v>0.99926979999999999</v>
      </c>
      <c r="AB3687">
        <v>44</v>
      </c>
      <c r="AC3687">
        <v>21.077200000000001</v>
      </c>
      <c r="AD3687">
        <v>-1.1094715414899901</v>
      </c>
      <c r="AE3687">
        <v>-0.57400000000001195</v>
      </c>
      <c r="AF3687">
        <v>0.82103911878122204</v>
      </c>
      <c r="AG3687">
        <v>-1.1094715414899901</v>
      </c>
      <c r="AH3687">
        <v>21.010760652445999</v>
      </c>
      <c r="AI3687">
        <v>93.020390763054607</v>
      </c>
      <c r="AJ3687">
        <v>87.762186990043602</v>
      </c>
      <c r="AK3687">
        <v>21.056046531348599</v>
      </c>
      <c r="AL3687">
        <v>79.990503340708699</v>
      </c>
      <c r="AM3687">
        <v>88.326311243259596</v>
      </c>
      <c r="AN3687">
        <v>0.99999997025883702</v>
      </c>
    </row>
    <row r="3688" spans="1:40" x14ac:dyDescent="0.25">
      <c r="A3688" t="str">
        <f>"20190312172443650"</f>
        <v>20190312172443650</v>
      </c>
      <c r="B3688" t="str">
        <f>"1552382683644157"</f>
        <v>1552382683644157</v>
      </c>
      <c r="C3688" t="s">
        <v>40</v>
      </c>
      <c r="D3688">
        <v>3.7775720000000002</v>
      </c>
      <c r="E3688">
        <v>0.50553970000000004</v>
      </c>
      <c r="F3688" t="s">
        <v>47</v>
      </c>
      <c r="G3688">
        <v>-237.02930000000001</v>
      </c>
      <c r="H3688" s="1">
        <v>2.20044E-6</v>
      </c>
      <c r="I3688">
        <v>214.69450000000001</v>
      </c>
      <c r="J3688">
        <v>-258.14569999999998</v>
      </c>
      <c r="K3688">
        <v>1.109475</v>
      </c>
      <c r="L3688">
        <v>215.28970000000001</v>
      </c>
      <c r="M3688">
        <v>0.99987539999999997</v>
      </c>
      <c r="N3688">
        <v>0</v>
      </c>
      <c r="O3688">
        <v>1.179502E-2</v>
      </c>
      <c r="P3688">
        <v>0.98637129999999995</v>
      </c>
      <c r="Q3688">
        <v>0.16365439999999901</v>
      </c>
      <c r="R3688">
        <v>-1.7000109999999999E-2</v>
      </c>
      <c r="S3688">
        <v>3.066055</v>
      </c>
      <c r="T3688">
        <v>-0.157753</v>
      </c>
      <c r="U3688">
        <v>-8.3892820000000007E-2</v>
      </c>
      <c r="V3688">
        <v>2.8658380000000001E-2</v>
      </c>
      <c r="W3688">
        <v>0.1739955</v>
      </c>
      <c r="X3688">
        <v>0.98432929999999996</v>
      </c>
      <c r="Y3688">
        <v>3.9073690000000001E-2</v>
      </c>
      <c r="Z3688">
        <v>-1.6107509999999999E-3</v>
      </c>
      <c r="AA3688">
        <v>0.99923499999999998</v>
      </c>
      <c r="AB3688">
        <v>44</v>
      </c>
      <c r="AC3688">
        <v>21.116399999999899</v>
      </c>
      <c r="AD3688">
        <v>-1.10947279956</v>
      </c>
      <c r="AE3688">
        <v>-0.59520000000000495</v>
      </c>
      <c r="AF3688">
        <v>0.84191835741871102</v>
      </c>
      <c r="AG3688">
        <v>-1.10947279956</v>
      </c>
      <c r="AH3688">
        <v>21.049847371177499</v>
      </c>
      <c r="AI3688">
        <v>93.014686868728305</v>
      </c>
      <c r="AJ3688">
        <v>87.709595234990601</v>
      </c>
      <c r="AK3688">
        <v>21.095872363175499</v>
      </c>
      <c r="AL3688">
        <v>79.979791808541705</v>
      </c>
      <c r="AM3688">
        <v>88.332325876179297</v>
      </c>
      <c r="AN3688">
        <v>0.99999995380148099</v>
      </c>
    </row>
    <row r="3689" spans="1:40" x14ac:dyDescent="0.25">
      <c r="A3689" t="str">
        <f>"20190312172443673"</f>
        <v>20190312172443673</v>
      </c>
      <c r="B3689" t="str">
        <f>"1552382683663677"</f>
        <v>1552382683663677</v>
      </c>
      <c r="C3689" t="s">
        <v>40</v>
      </c>
      <c r="D3689">
        <v>3.7661370000000001</v>
      </c>
      <c r="E3689">
        <v>0.50568900000000006</v>
      </c>
      <c r="F3689" t="s">
        <v>47</v>
      </c>
      <c r="G3689">
        <v>-236.49510000000001</v>
      </c>
      <c r="H3689" s="1">
        <v>1.9163779999999998E-6</v>
      </c>
      <c r="I3689">
        <v>214.68950000000001</v>
      </c>
      <c r="J3689">
        <v>-257.70850000000002</v>
      </c>
      <c r="K3689">
        <v>1.1094790000000001</v>
      </c>
      <c r="L3689">
        <v>215.29490000000001</v>
      </c>
      <c r="M3689">
        <v>0.99987550000000003</v>
      </c>
      <c r="N3689">
        <v>0</v>
      </c>
      <c r="O3689">
        <v>1.1761270000000001E-2</v>
      </c>
      <c r="P3689">
        <v>0.98637940000000002</v>
      </c>
      <c r="Q3689">
        <v>0.16356879999999999</v>
      </c>
      <c r="R3689">
        <v>-1.734318E-2</v>
      </c>
      <c r="S3689">
        <v>3.066055</v>
      </c>
      <c r="T3689">
        <v>-0.15711810000000001</v>
      </c>
      <c r="U3689">
        <v>-8.5006709999999999E-2</v>
      </c>
      <c r="V3689">
        <v>2.8968109999999998E-2</v>
      </c>
      <c r="W3689">
        <v>0.17392460000000001</v>
      </c>
      <c r="X3689">
        <v>0.98433280000000001</v>
      </c>
      <c r="Y3689">
        <v>3.9402859999999998E-2</v>
      </c>
      <c r="Z3689">
        <v>-1.6109679999999999E-3</v>
      </c>
      <c r="AA3689">
        <v>0.9992221</v>
      </c>
      <c r="AB3689">
        <v>44</v>
      </c>
      <c r="AC3689">
        <v>21.2134</v>
      </c>
      <c r="AD3689">
        <v>-1.109477083622</v>
      </c>
      <c r="AE3689">
        <v>-0.60540000000000205</v>
      </c>
      <c r="AF3689">
        <v>0.85253834241409299</v>
      </c>
      <c r="AG3689">
        <v>-1.109477083622</v>
      </c>
      <c r="AH3689">
        <v>21.147014083447601</v>
      </c>
      <c r="AI3689">
        <v>93.000833630752993</v>
      </c>
      <c r="AJ3689">
        <v>87.691380394676997</v>
      </c>
      <c r="AK3689">
        <v>21.193252833623699</v>
      </c>
      <c r="AL3689">
        <v>79.983917338582103</v>
      </c>
      <c r="AM3689">
        <v>88.314318556500297</v>
      </c>
      <c r="AN3689">
        <v>0.99999998951898605</v>
      </c>
    </row>
    <row r="3690" spans="1:40" x14ac:dyDescent="0.25">
      <c r="A3690" t="str">
        <f>"20190312172443695"</f>
        <v>20190312172443695</v>
      </c>
      <c r="B3690" t="str">
        <f>"1552382683684174"</f>
        <v>1552382683684174</v>
      </c>
      <c r="C3690" t="s">
        <v>40</v>
      </c>
      <c r="D3690">
        <v>3.7847409999999999</v>
      </c>
      <c r="E3690">
        <v>0.50581189999999998</v>
      </c>
      <c r="F3690" t="s">
        <v>47</v>
      </c>
      <c r="G3690">
        <v>-236.07820000000001</v>
      </c>
      <c r="H3690" s="1">
        <v>1.6949869999999999E-6</v>
      </c>
      <c r="I3690">
        <v>214.67930000000001</v>
      </c>
      <c r="J3690">
        <v>-257.26229999999998</v>
      </c>
      <c r="K3690">
        <v>1.109478</v>
      </c>
      <c r="L3690">
        <v>215.30009999999999</v>
      </c>
      <c r="M3690">
        <v>0.99987590000000004</v>
      </c>
      <c r="N3690">
        <v>0</v>
      </c>
      <c r="O3690">
        <v>1.1726500000000001E-2</v>
      </c>
      <c r="P3690">
        <v>0.98637549999999996</v>
      </c>
      <c r="Q3690">
        <v>0.1635807</v>
      </c>
      <c r="R3690">
        <v>-1.746644E-2</v>
      </c>
      <c r="S3690">
        <v>3.0659640000000001</v>
      </c>
      <c r="T3690">
        <v>-0.15726180000000001</v>
      </c>
      <c r="U3690">
        <v>-8.7249759999999996E-2</v>
      </c>
      <c r="V3690">
        <v>2.905713E-2</v>
      </c>
      <c r="W3690">
        <v>0.17395039999999901</v>
      </c>
      <c r="X3690">
        <v>0.98432560000000002</v>
      </c>
      <c r="Y3690">
        <v>4.0098380000000003E-2</v>
      </c>
      <c r="Z3690">
        <v>-1.6285119999999999E-3</v>
      </c>
      <c r="AA3690">
        <v>0.99919440000000004</v>
      </c>
      <c r="AB3690">
        <v>44</v>
      </c>
      <c r="AC3690">
        <v>21.184099999999901</v>
      </c>
      <c r="AD3690">
        <v>-1.1094763050130001</v>
      </c>
      <c r="AE3690">
        <v>-0.62079999999997404</v>
      </c>
      <c r="AF3690">
        <v>0.86681083829357597</v>
      </c>
      <c r="AG3690">
        <v>-1.1094763050130001</v>
      </c>
      <c r="AH3690">
        <v>21.117488787483499</v>
      </c>
      <c r="AI3690">
        <v>93.004930240067907</v>
      </c>
      <c r="AJ3690">
        <v>87.649496174489002</v>
      </c>
      <c r="AK3690">
        <v>21.1643717457017</v>
      </c>
      <c r="AL3690">
        <v>79.982416054694596</v>
      </c>
      <c r="AM3690">
        <v>88.309129040968301</v>
      </c>
      <c r="AN3690">
        <v>0.99999997263967799</v>
      </c>
    </row>
    <row r="3691" spans="1:40" x14ac:dyDescent="0.25">
      <c r="A3691" t="str">
        <f>"20190312172443717"</f>
        <v>20190312172443717</v>
      </c>
      <c r="B3691" t="str">
        <f>"1552382683714429"</f>
        <v>1552382683714429</v>
      </c>
      <c r="C3691" t="s">
        <v>40</v>
      </c>
      <c r="D3691">
        <v>3.7883969999999998</v>
      </c>
      <c r="E3691">
        <v>0.50601739999999995</v>
      </c>
      <c r="F3691" t="s">
        <v>47</v>
      </c>
      <c r="G3691">
        <v>-235.5872</v>
      </c>
      <c r="H3691" s="1">
        <v>1.4339210000000001E-6</v>
      </c>
      <c r="I3691">
        <v>214.67400000000001</v>
      </c>
      <c r="J3691">
        <v>-256.83640000000003</v>
      </c>
      <c r="K3691">
        <v>1.109475</v>
      </c>
      <c r="L3691">
        <v>215.30510000000001</v>
      </c>
      <c r="M3691">
        <v>0.99987619999999999</v>
      </c>
      <c r="N3691">
        <v>0</v>
      </c>
      <c r="O3691">
        <v>1.169341E-2</v>
      </c>
      <c r="P3691">
        <v>0.98637160000000002</v>
      </c>
      <c r="Q3691">
        <v>0.16358010000000001</v>
      </c>
      <c r="R3691">
        <v>-1.7701930000000001E-2</v>
      </c>
      <c r="S3691">
        <v>3.065903</v>
      </c>
      <c r="T3691">
        <v>-0.15693319999999999</v>
      </c>
      <c r="U3691">
        <v>-8.8562009999999997E-2</v>
      </c>
      <c r="V3691">
        <v>2.925968E-2</v>
      </c>
      <c r="W3691">
        <v>0.17396310000000001</v>
      </c>
      <c r="X3691">
        <v>0.98431740000000001</v>
      </c>
      <c r="Y3691">
        <v>4.0493010000000003E-2</v>
      </c>
      <c r="Z3691">
        <v>-1.633535E-3</v>
      </c>
      <c r="AA3691">
        <v>0.99917849999999997</v>
      </c>
      <c r="AB3691">
        <v>44</v>
      </c>
      <c r="AC3691">
        <v>21.249199999999998</v>
      </c>
      <c r="AD3691">
        <v>-1.1094735660789901</v>
      </c>
      <c r="AE3691">
        <v>-0.63110000000000299</v>
      </c>
      <c r="AF3691">
        <v>0.87715707844159296</v>
      </c>
      <c r="AG3691">
        <v>-1.1094735660789901</v>
      </c>
      <c r="AH3691">
        <v>21.1826707932502</v>
      </c>
      <c r="AI3691">
        <v>92.995648573813099</v>
      </c>
      <c r="AJ3691">
        <v>87.628783321161094</v>
      </c>
      <c r="AK3691">
        <v>21.229834621807701</v>
      </c>
      <c r="AL3691">
        <v>79.981677575968405</v>
      </c>
      <c r="AM3691">
        <v>88.297335139662493</v>
      </c>
      <c r="AN3691">
        <v>1.0000000164890299</v>
      </c>
    </row>
    <row r="3692" spans="1:40" x14ac:dyDescent="0.25">
      <c r="A3692" t="str">
        <f>"20190312172443740"</f>
        <v>20190312172443740</v>
      </c>
      <c r="B3692" t="str">
        <f>"1552382683733953"</f>
        <v>1552382683733953</v>
      </c>
      <c r="C3692" t="s">
        <v>40</v>
      </c>
      <c r="D3692">
        <v>3.788484</v>
      </c>
      <c r="E3692">
        <v>0.50614789999999998</v>
      </c>
      <c r="F3692" t="s">
        <v>47</v>
      </c>
      <c r="G3692">
        <v>-235.1285</v>
      </c>
      <c r="H3692" s="1">
        <v>1.190367E-6</v>
      </c>
      <c r="I3692">
        <v>214.6617</v>
      </c>
      <c r="J3692">
        <v>-256.38490000000002</v>
      </c>
      <c r="K3692">
        <v>1.1094729999999999</v>
      </c>
      <c r="L3692">
        <v>215.31030000000001</v>
      </c>
      <c r="M3692">
        <v>0.9998764</v>
      </c>
      <c r="N3692">
        <v>0</v>
      </c>
      <c r="O3692">
        <v>1.165829E-2</v>
      </c>
      <c r="P3692">
        <v>0.98639730000000003</v>
      </c>
      <c r="Q3692">
        <v>0.16339329999999999</v>
      </c>
      <c r="R3692">
        <v>-1.7985379999999999E-2</v>
      </c>
      <c r="S3692">
        <v>3.0658110000000001</v>
      </c>
      <c r="T3692">
        <v>-0.15669159999999999</v>
      </c>
      <c r="U3692">
        <v>-9.0866089999999997E-2</v>
      </c>
      <c r="V3692">
        <v>2.950879E-2</v>
      </c>
      <c r="W3692">
        <v>0.17378879999999999</v>
      </c>
      <c r="X3692">
        <v>0.98434069999999996</v>
      </c>
      <c r="Y3692">
        <v>4.1208370000000001E-2</v>
      </c>
      <c r="Z3692">
        <v>-1.6475260000000001E-3</v>
      </c>
      <c r="AA3692">
        <v>0.99914919999999996</v>
      </c>
      <c r="AB3692">
        <v>44</v>
      </c>
      <c r="AC3692">
        <v>21.256399999999999</v>
      </c>
      <c r="AD3692">
        <v>-1.1094718096330001</v>
      </c>
      <c r="AE3692">
        <v>-0.64860000000001605</v>
      </c>
      <c r="AF3692">
        <v>0.89394986770952201</v>
      </c>
      <c r="AG3692">
        <v>-1.1094718096330001</v>
      </c>
      <c r="AH3692">
        <v>21.189720046745201</v>
      </c>
      <c r="AI3692">
        <v>92.994551958178903</v>
      </c>
      <c r="AJ3692">
        <v>87.584243697901599</v>
      </c>
      <c r="AK3692">
        <v>21.237568357083202</v>
      </c>
      <c r="AL3692">
        <v>79.991818180468997</v>
      </c>
      <c r="AM3692">
        <v>88.282888317357404</v>
      </c>
      <c r="AN3692">
        <v>0.99999996468459595</v>
      </c>
    </row>
    <row r="3693" spans="1:40" x14ac:dyDescent="0.25">
      <c r="A3693" t="str">
        <f>"20190312172443763"</f>
        <v>20190312172443763</v>
      </c>
      <c r="B3693" t="str">
        <f>"1552382683754449"</f>
        <v>1552382683754449</v>
      </c>
      <c r="C3693" t="s">
        <v>40</v>
      </c>
      <c r="D3693">
        <v>3.7749009999999998</v>
      </c>
      <c r="E3693">
        <v>0.50627540000000004</v>
      </c>
      <c r="F3693" t="s">
        <v>47</v>
      </c>
      <c r="G3693">
        <v>-234.7379</v>
      </c>
      <c r="H3693" s="1">
        <v>9.8287559999999994E-7</v>
      </c>
      <c r="I3693">
        <v>214.65350000000001</v>
      </c>
      <c r="J3693">
        <v>-255.9384</v>
      </c>
      <c r="K3693">
        <v>1.10947</v>
      </c>
      <c r="L3693">
        <v>215.31549999999999</v>
      </c>
      <c r="M3693">
        <v>0.99987669999999995</v>
      </c>
      <c r="N3693">
        <v>0</v>
      </c>
      <c r="O3693">
        <v>1.1623710000000001E-2</v>
      </c>
      <c r="P3693">
        <v>0.98643619999999999</v>
      </c>
      <c r="Q3693">
        <v>0.16311589999999901</v>
      </c>
      <c r="R3693">
        <v>-1.8358490000000002E-2</v>
      </c>
      <c r="S3693">
        <v>3.0657040000000002</v>
      </c>
      <c r="T3693">
        <v>-0.1571265</v>
      </c>
      <c r="U3693">
        <v>-9.3017580000000002E-2</v>
      </c>
      <c r="V3693">
        <v>2.984848E-2</v>
      </c>
      <c r="W3693">
        <v>0.17352400000000001</v>
      </c>
      <c r="X3693">
        <v>0.98437719999999995</v>
      </c>
      <c r="Y3693">
        <v>4.1874189999999999E-2</v>
      </c>
      <c r="Z3693">
        <v>-1.6674109999999999E-3</v>
      </c>
      <c r="AA3693">
        <v>0.9991215</v>
      </c>
      <c r="AB3693">
        <v>44</v>
      </c>
      <c r="AC3693">
        <v>21.200500000000002</v>
      </c>
      <c r="AD3693">
        <v>-1.1094690171243999</v>
      </c>
      <c r="AE3693">
        <v>-0.66199999999997705</v>
      </c>
      <c r="AF3693">
        <v>0.90591888482609695</v>
      </c>
      <c r="AG3693">
        <v>-1.1094690171243999</v>
      </c>
      <c r="AH3693">
        <v>21.133551023639001</v>
      </c>
      <c r="AI3693">
        <v>93.002402512574804</v>
      </c>
      <c r="AJ3693">
        <v>87.545439895422405</v>
      </c>
      <c r="AK3693">
        <v>21.1820345905344</v>
      </c>
      <c r="AL3693">
        <v>80.007224444279501</v>
      </c>
      <c r="AM3693">
        <v>88.263198212348101</v>
      </c>
      <c r="AN3693">
        <v>0.99999999110707505</v>
      </c>
    </row>
    <row r="3694" spans="1:40" x14ac:dyDescent="0.25">
      <c r="A3694" t="str">
        <f>"20190312172443783"</f>
        <v>20190312172443783</v>
      </c>
      <c r="B3694" t="str">
        <f>"1552382683773966"</f>
        <v>1552382683773966</v>
      </c>
      <c r="C3694" t="s">
        <v>40</v>
      </c>
      <c r="D3694">
        <v>3.8046519999999999</v>
      </c>
      <c r="E3694">
        <v>0.50644199999999995</v>
      </c>
      <c r="F3694" t="s">
        <v>41</v>
      </c>
      <c r="G3694">
        <v>-254.82939999999999</v>
      </c>
      <c r="H3694">
        <v>1.0524180000000001</v>
      </c>
      <c r="I3694">
        <v>215.28100000000001</v>
      </c>
      <c r="J3694">
        <v>-255.51329999999999</v>
      </c>
      <c r="K3694">
        <v>1.109469</v>
      </c>
      <c r="L3694">
        <v>215.32040000000001</v>
      </c>
      <c r="M3694">
        <v>0.99987689999999996</v>
      </c>
      <c r="N3694">
        <v>0</v>
      </c>
      <c r="O3694">
        <v>1.159081E-2</v>
      </c>
      <c r="P3694">
        <v>0.9864115</v>
      </c>
      <c r="Q3694">
        <v>0.16323699999999999</v>
      </c>
      <c r="R3694">
        <v>-1.8605420000000001E-2</v>
      </c>
      <c r="S3694">
        <v>3.065582</v>
      </c>
      <c r="T3694">
        <v>-0.15772720000000001</v>
      </c>
      <c r="U3694">
        <v>-9.5108029999999996E-2</v>
      </c>
      <c r="V3694">
        <v>3.0062450000000001E-2</v>
      </c>
      <c r="W3694">
        <v>0.173656</v>
      </c>
      <c r="X3694">
        <v>0.98434739999999998</v>
      </c>
      <c r="Y3694">
        <v>4.2521829999999997E-2</v>
      </c>
      <c r="Z3694">
        <v>-1.688782E-3</v>
      </c>
      <c r="AA3694">
        <v>0.99909409999999998</v>
      </c>
      <c r="AB3694">
        <v>44</v>
      </c>
      <c r="AC3694">
        <v>0.68389999999999396</v>
      </c>
      <c r="AD3694">
        <v>-5.70509999999999E-2</v>
      </c>
      <c r="AE3694">
        <v>-3.9400000000028898E-2</v>
      </c>
      <c r="AF3694">
        <v>4.6998772865120997E-2</v>
      </c>
      <c r="AG3694">
        <v>-5.70509999999999E-2</v>
      </c>
      <c r="AH3694">
        <v>0.67869002967655001</v>
      </c>
      <c r="AI3694">
        <v>94.793587201546501</v>
      </c>
      <c r="AJ3694">
        <v>86.038634576189196</v>
      </c>
      <c r="AK3694">
        <v>0.68270334526365395</v>
      </c>
      <c r="AL3694">
        <v>79.999544702615097</v>
      </c>
      <c r="AM3694">
        <v>88.250702664675501</v>
      </c>
      <c r="AN3694">
        <v>0.99999998056138095</v>
      </c>
    </row>
    <row r="3695" spans="1:40" x14ac:dyDescent="0.25">
      <c r="A3695" t="str">
        <f>"20190312172443807"</f>
        <v>20190312172443807</v>
      </c>
      <c r="B3695" t="str">
        <f>"1552382683794461"</f>
        <v>1552382683794461</v>
      </c>
      <c r="C3695" t="s">
        <v>40</v>
      </c>
      <c r="D3695">
        <v>3.7799839999999998</v>
      </c>
      <c r="E3695">
        <v>0.50658449999999999</v>
      </c>
      <c r="F3695" t="s">
        <v>41</v>
      </c>
      <c r="G3695">
        <v>-254.42400000000001</v>
      </c>
      <c r="H3695">
        <v>1.053617</v>
      </c>
      <c r="I3695">
        <v>215.28569999999999</v>
      </c>
      <c r="J3695">
        <v>-255.06780000000001</v>
      </c>
      <c r="K3695">
        <v>1.1094710000000001</v>
      </c>
      <c r="L3695">
        <v>215.32550000000001</v>
      </c>
      <c r="M3695">
        <v>0.99987729999999997</v>
      </c>
      <c r="N3695">
        <v>0</v>
      </c>
      <c r="O3695">
        <v>1.155606E-2</v>
      </c>
      <c r="P3695">
        <v>0.98638950000000003</v>
      </c>
      <c r="Q3695">
        <v>0.16329099999999999</v>
      </c>
      <c r="R3695">
        <v>-1.929815E-2</v>
      </c>
      <c r="S3695">
        <v>3.0655209999999999</v>
      </c>
      <c r="T3695">
        <v>-0.1572626</v>
      </c>
      <c r="U3695">
        <v>-9.7290039999999994E-2</v>
      </c>
      <c r="V3695">
        <v>3.072068E-2</v>
      </c>
      <c r="W3695">
        <v>0.17372079999999901</v>
      </c>
      <c r="X3695">
        <v>0.98431570000000002</v>
      </c>
      <c r="Y3695">
        <v>4.3197739999999998E-2</v>
      </c>
      <c r="Z3695">
        <v>-1.6993679999999999E-3</v>
      </c>
      <c r="AA3695">
        <v>0.99906510000000004</v>
      </c>
      <c r="AB3695">
        <v>44</v>
      </c>
      <c r="AC3695">
        <v>0.64379999999999804</v>
      </c>
      <c r="AD3695">
        <v>-5.58539999999998E-2</v>
      </c>
      <c r="AE3695">
        <v>-3.9800000000013797E-2</v>
      </c>
      <c r="AF3695">
        <v>4.6885994733504598E-2</v>
      </c>
      <c r="AG3695">
        <v>-5.58539999999998E-2</v>
      </c>
      <c r="AH3695">
        <v>0.63850945521344005</v>
      </c>
      <c r="AI3695">
        <v>94.985901370975796</v>
      </c>
      <c r="AJ3695">
        <v>85.800286378588595</v>
      </c>
      <c r="AK3695">
        <v>0.64266032257726502</v>
      </c>
      <c r="AL3695">
        <v>79.995775202880907</v>
      </c>
      <c r="AM3695">
        <v>88.212368115242597</v>
      </c>
      <c r="AN3695">
        <v>1.00000003689939</v>
      </c>
    </row>
    <row r="3696" spans="1:40" x14ac:dyDescent="0.25">
      <c r="A3696" t="str">
        <f>"20190312172443831"</f>
        <v>20190312172443831</v>
      </c>
      <c r="B3696" t="str">
        <f>"1552382683823742"</f>
        <v>1552382683823742</v>
      </c>
      <c r="C3696" t="s">
        <v>40</v>
      </c>
      <c r="D3696">
        <v>3.8174890000000001</v>
      </c>
      <c r="E3696">
        <v>0.50677079999999997</v>
      </c>
      <c r="F3696" t="s">
        <v>47</v>
      </c>
      <c r="G3696">
        <v>-233.3956</v>
      </c>
      <c r="H3696" s="1">
        <v>2.7025059999999998E-7</v>
      </c>
      <c r="I3696">
        <v>214.61490000000001</v>
      </c>
      <c r="J3696">
        <v>-254.57599999999999</v>
      </c>
      <c r="K3696">
        <v>1.1094710000000001</v>
      </c>
      <c r="L3696">
        <v>215.3312</v>
      </c>
      <c r="M3696">
        <v>0.99987749999999997</v>
      </c>
      <c r="N3696">
        <v>0</v>
      </c>
      <c r="O3696">
        <v>1.151809E-2</v>
      </c>
      <c r="P3696">
        <v>0.98639759999999999</v>
      </c>
      <c r="Q3696">
        <v>0.16318920000000001</v>
      </c>
      <c r="R3696">
        <v>-1.9726E-2</v>
      </c>
      <c r="S3696">
        <v>3.0653990000000002</v>
      </c>
      <c r="T3696">
        <v>-0.15692819999999999</v>
      </c>
      <c r="U3696">
        <v>-0.1005096</v>
      </c>
      <c r="V3696">
        <v>3.111127E-2</v>
      </c>
      <c r="W3696">
        <v>0.1736297</v>
      </c>
      <c r="X3696">
        <v>0.98431939999999996</v>
      </c>
      <c r="Y3696">
        <v>4.4208299999999999E-2</v>
      </c>
      <c r="Z3696">
        <v>-1.7197E-3</v>
      </c>
      <c r="AA3696">
        <v>0.99902089999999999</v>
      </c>
      <c r="AB3696">
        <v>44</v>
      </c>
      <c r="AC3696">
        <v>21.180399999999899</v>
      </c>
      <c r="AD3696">
        <v>-1.1094707297494</v>
      </c>
      <c r="AE3696">
        <v>-0.71629999999998895</v>
      </c>
      <c r="AF3696">
        <v>0.95759940804885801</v>
      </c>
      <c r="AG3696">
        <v>-1.1094707297494</v>
      </c>
      <c r="AH3696">
        <v>21.112879166107401</v>
      </c>
      <c r="AI3696">
        <v>93.005012636057302</v>
      </c>
      <c r="AJ3696">
        <v>87.403062505919394</v>
      </c>
      <c r="AK3696">
        <v>21.163685610240901</v>
      </c>
      <c r="AL3696">
        <v>80.001074341024406</v>
      </c>
      <c r="AM3696">
        <v>88.189661569820601</v>
      </c>
      <c r="AN3696">
        <v>0.99999993252972896</v>
      </c>
    </row>
    <row r="3697" spans="1:40" x14ac:dyDescent="0.25">
      <c r="A3697" t="str">
        <f>"20190312172443852"</f>
        <v>20190312172443852</v>
      </c>
      <c r="B3697" t="str">
        <f>"1552382683844241"</f>
        <v>1552382683844241</v>
      </c>
      <c r="C3697" t="s">
        <v>40</v>
      </c>
      <c r="D3697">
        <v>3.8009050000000002</v>
      </c>
      <c r="E3697">
        <v>0.50689759999999995</v>
      </c>
      <c r="F3697" t="s">
        <v>47</v>
      </c>
      <c r="G3697">
        <v>-232.95689999999999</v>
      </c>
      <c r="H3697" s="1">
        <v>3.7313840000000001E-8</v>
      </c>
      <c r="I3697">
        <v>214.60319999999999</v>
      </c>
      <c r="J3697">
        <v>-254.17439999999999</v>
      </c>
      <c r="K3697">
        <v>1.109472</v>
      </c>
      <c r="L3697">
        <v>215.33580000000001</v>
      </c>
      <c r="M3697">
        <v>0.99987780000000004</v>
      </c>
      <c r="N3697">
        <v>0</v>
      </c>
      <c r="O3697">
        <v>1.148705E-2</v>
      </c>
      <c r="P3697">
        <v>0.98638550000000003</v>
      </c>
      <c r="Q3697">
        <v>0.16322159999999999</v>
      </c>
      <c r="R3697">
        <v>-2.00661E-2</v>
      </c>
      <c r="S3697">
        <v>3.0653229999999998</v>
      </c>
      <c r="T3697">
        <v>-0.15730930000000001</v>
      </c>
      <c r="U3697">
        <v>-0.1032257</v>
      </c>
      <c r="V3697">
        <v>3.1420549999999998E-2</v>
      </c>
      <c r="W3697">
        <v>0.17367149999999901</v>
      </c>
      <c r="X3697">
        <v>0.98430229999999996</v>
      </c>
      <c r="Y3697">
        <v>4.5060870000000003E-2</v>
      </c>
      <c r="Z3697">
        <v>-1.7441539999999999E-3</v>
      </c>
      <c r="AA3697">
        <v>0.9989827</v>
      </c>
      <c r="AB3697">
        <v>44</v>
      </c>
      <c r="AC3697">
        <v>21.217500000000001</v>
      </c>
      <c r="AD3697">
        <v>-1.10947196268616</v>
      </c>
      <c r="AE3697">
        <v>-0.73260000000001901</v>
      </c>
      <c r="AF3697">
        <v>0.97363282239312599</v>
      </c>
      <c r="AG3697">
        <v>-1.10947196268616</v>
      </c>
      <c r="AH3697">
        <v>21.149922944966502</v>
      </c>
      <c r="AI3697">
        <v>92.999669688754807</v>
      </c>
      <c r="AJ3697">
        <v>87.364260141592993</v>
      </c>
      <c r="AK3697">
        <v>21.201370934136499</v>
      </c>
      <c r="AL3697">
        <v>79.998643408130604</v>
      </c>
      <c r="AM3697">
        <v>88.171645241831101</v>
      </c>
      <c r="AN3697">
        <v>1.00000002932992</v>
      </c>
    </row>
    <row r="3698" spans="1:40" x14ac:dyDescent="0.25">
      <c r="A3698" t="str">
        <f>"20190312172443874"</f>
        <v>20190312172443874</v>
      </c>
      <c r="B3698" t="str">
        <f>"1552382683863758"</f>
        <v>1552382683863758</v>
      </c>
      <c r="C3698" t="s">
        <v>40</v>
      </c>
      <c r="D3698">
        <v>3.8078509999999999</v>
      </c>
      <c r="E3698">
        <v>0.50699959999999999</v>
      </c>
      <c r="F3698" t="s">
        <v>47</v>
      </c>
      <c r="G3698">
        <v>-232.5341</v>
      </c>
      <c r="H3698" s="1">
        <v>-1.8728849999999999E-7</v>
      </c>
      <c r="I3698">
        <v>214.59450000000001</v>
      </c>
      <c r="J3698">
        <v>-253.72579999999999</v>
      </c>
      <c r="K3698">
        <v>1.1094759999999999</v>
      </c>
      <c r="L3698">
        <v>215.3409</v>
      </c>
      <c r="M3698">
        <v>0.99987800000000004</v>
      </c>
      <c r="N3698">
        <v>0</v>
      </c>
      <c r="O3698">
        <v>1.14523E-2</v>
      </c>
      <c r="P3698">
        <v>0.98634270000000002</v>
      </c>
      <c r="Q3698">
        <v>0.1633976</v>
      </c>
      <c r="R3698">
        <v>-2.07233E-2</v>
      </c>
      <c r="S3698">
        <v>3.0652919999999999</v>
      </c>
      <c r="T3698">
        <v>-0.15715409999999999</v>
      </c>
      <c r="U3698">
        <v>-0.10501099999999999</v>
      </c>
      <c r="V3698">
        <v>3.2043049999999997E-2</v>
      </c>
      <c r="W3698">
        <v>0.17385599999999901</v>
      </c>
      <c r="X3698">
        <v>0.98424970000000001</v>
      </c>
      <c r="Y3698">
        <v>4.5607099999999998E-2</v>
      </c>
      <c r="Z3698">
        <v>-1.754645E-3</v>
      </c>
      <c r="AA3698">
        <v>0.99895789999999995</v>
      </c>
      <c r="AB3698">
        <v>44</v>
      </c>
      <c r="AC3698">
        <v>21.191700000000001</v>
      </c>
      <c r="AD3698">
        <v>-1.1094761872884999</v>
      </c>
      <c r="AE3698">
        <v>-0.74639999999999396</v>
      </c>
      <c r="AF3698">
        <v>0.98635821527286205</v>
      </c>
      <c r="AG3698">
        <v>-1.1094761872884999</v>
      </c>
      <c r="AH3698">
        <v>21.123933276623202</v>
      </c>
      <c r="AI3698">
        <v>93.003273564930396</v>
      </c>
      <c r="AJ3698">
        <v>87.326580102753795</v>
      </c>
      <c r="AK3698">
        <v>21.176033552443801</v>
      </c>
      <c r="AL3698">
        <v>79.987909439057105</v>
      </c>
      <c r="AM3698">
        <v>88.135347852376697</v>
      </c>
      <c r="AN3698">
        <v>1.00000006886969</v>
      </c>
    </row>
    <row r="3699" spans="1:40" x14ac:dyDescent="0.25">
      <c r="A3699" t="str">
        <f>"20190312172443896"</f>
        <v>20190312172443896</v>
      </c>
      <c r="B3699" t="str">
        <f>"1552382683884253"</f>
        <v>1552382683884253</v>
      </c>
      <c r="C3699" t="s">
        <v>40</v>
      </c>
      <c r="D3699">
        <v>3.8237040000000002</v>
      </c>
      <c r="E3699">
        <v>0.50710929999999999</v>
      </c>
      <c r="F3699" t="s">
        <v>47</v>
      </c>
      <c r="G3699">
        <v>-232.00489999999999</v>
      </c>
      <c r="H3699" s="1">
        <v>-4.6828699999999999E-7</v>
      </c>
      <c r="I3699">
        <v>214.57939999999999</v>
      </c>
      <c r="J3699">
        <v>-253.28370000000001</v>
      </c>
      <c r="K3699">
        <v>1.109475</v>
      </c>
      <c r="L3699">
        <v>215.3459</v>
      </c>
      <c r="M3699">
        <v>0.9998783</v>
      </c>
      <c r="N3699">
        <v>0</v>
      </c>
      <c r="O3699">
        <v>1.1418040000000001E-2</v>
      </c>
      <c r="P3699">
        <v>0.98629489999999997</v>
      </c>
      <c r="Q3699">
        <v>0.1635984</v>
      </c>
      <c r="R3699">
        <v>-2.1408440000000001E-2</v>
      </c>
      <c r="S3699">
        <v>3.0652159999999999</v>
      </c>
      <c r="T3699">
        <v>-0.15656709999999999</v>
      </c>
      <c r="U3699">
        <v>-0.1074677</v>
      </c>
      <c r="V3699">
        <v>3.2693840000000002E-2</v>
      </c>
      <c r="W3699">
        <v>0.17406540000000001</v>
      </c>
      <c r="X3699">
        <v>0.98419120000000004</v>
      </c>
      <c r="Y3699">
        <v>4.6372990000000003E-2</v>
      </c>
      <c r="Z3699">
        <v>-1.7659129999999901E-3</v>
      </c>
      <c r="AA3699">
        <v>0.99892259999999999</v>
      </c>
      <c r="AB3699">
        <v>44</v>
      </c>
      <c r="AC3699">
        <v>21.2788</v>
      </c>
      <c r="AD3699">
        <v>-1.1094754682870001</v>
      </c>
      <c r="AE3699">
        <v>-0.76650000000000695</v>
      </c>
      <c r="AF3699">
        <v>1.0066927254943401</v>
      </c>
      <c r="AG3699">
        <v>-1.1094754682870001</v>
      </c>
      <c r="AH3699">
        <v>21.211071161180801</v>
      </c>
      <c r="AI3699">
        <v>92.990848692549804</v>
      </c>
      <c r="AJ3699">
        <v>87.2827400109921</v>
      </c>
      <c r="AK3699">
        <v>21.2639108788334</v>
      </c>
      <c r="AL3699">
        <v>79.975725081420705</v>
      </c>
      <c r="AM3699">
        <v>88.097391573293606</v>
      </c>
      <c r="AN3699">
        <v>0.99999998440427196</v>
      </c>
    </row>
    <row r="3700" spans="1:40" x14ac:dyDescent="0.25">
      <c r="A3700" t="str">
        <f>"20190312172443918"</f>
        <v>20190312172443918</v>
      </c>
      <c r="B3700" t="str">
        <f>"1552382683914510"</f>
        <v>1552382683914510</v>
      </c>
      <c r="C3700" t="s">
        <v>40</v>
      </c>
      <c r="D3700">
        <v>3.834155</v>
      </c>
      <c r="E3700">
        <v>0.5072662</v>
      </c>
      <c r="F3700" t="s">
        <v>47</v>
      </c>
      <c r="G3700">
        <v>-231.4785</v>
      </c>
      <c r="H3700" s="1">
        <v>-7.4748030000000005E-7</v>
      </c>
      <c r="I3700">
        <v>214.5591</v>
      </c>
      <c r="J3700">
        <v>-252.851</v>
      </c>
      <c r="K3700">
        <v>1.1094759999999999</v>
      </c>
      <c r="L3700">
        <v>215.3509</v>
      </c>
      <c r="M3700">
        <v>0.99987870000000001</v>
      </c>
      <c r="N3700">
        <v>0</v>
      </c>
      <c r="O3700">
        <v>1.1384679999999999E-2</v>
      </c>
      <c r="P3700">
        <v>0.98624009999999995</v>
      </c>
      <c r="Q3700">
        <v>0.16382140000000001</v>
      </c>
      <c r="R3700">
        <v>-2.220022E-2</v>
      </c>
      <c r="S3700">
        <v>3.06514</v>
      </c>
      <c r="T3700">
        <v>-0.1559585</v>
      </c>
      <c r="U3700">
        <v>-0.110611</v>
      </c>
      <c r="V3700">
        <v>3.3452379999999997E-2</v>
      </c>
      <c r="W3700">
        <v>0.17429549999999999</v>
      </c>
      <c r="X3700">
        <v>0.98412500000000003</v>
      </c>
      <c r="Y3700">
        <v>4.7362969999999997E-2</v>
      </c>
      <c r="Z3700">
        <v>-1.7825359999999999E-3</v>
      </c>
      <c r="AA3700">
        <v>0.99887619999999999</v>
      </c>
      <c r="AB3700">
        <v>44</v>
      </c>
      <c r="AC3700">
        <v>21.372499999999999</v>
      </c>
      <c r="AD3700">
        <v>-1.1094767474803</v>
      </c>
      <c r="AE3700">
        <v>-0.79179999999999495</v>
      </c>
      <c r="AF3700">
        <v>1.0323034649851499</v>
      </c>
      <c r="AG3700">
        <v>-1.1094767474803</v>
      </c>
      <c r="AH3700">
        <v>21.304766554556</v>
      </c>
      <c r="AI3700">
        <v>92.977581231985795</v>
      </c>
      <c r="AJ3700">
        <v>87.225953708566905</v>
      </c>
      <c r="AK3700">
        <v>21.3585970288581</v>
      </c>
      <c r="AL3700">
        <v>79.962336815054499</v>
      </c>
      <c r="AM3700">
        <v>88.053151290081502</v>
      </c>
      <c r="AN3700">
        <v>0.999999999336457</v>
      </c>
    </row>
    <row r="3701" spans="1:40" x14ac:dyDescent="0.25">
      <c r="A3701" t="str">
        <f>"20190312172443941"</f>
        <v>20190312172443941</v>
      </c>
      <c r="B3701" t="str">
        <f>"1552382683933563"</f>
        <v>1552382683933563</v>
      </c>
      <c r="C3701" t="s">
        <v>40</v>
      </c>
      <c r="D3701">
        <v>3.817415</v>
      </c>
      <c r="E3701">
        <v>0.50734899999999905</v>
      </c>
      <c r="F3701" t="s">
        <v>47</v>
      </c>
      <c r="G3701">
        <v>-230.95</v>
      </c>
      <c r="H3701" s="1">
        <v>-1.027604E-6</v>
      </c>
      <c r="I3701">
        <v>214.53270000000001</v>
      </c>
      <c r="J3701">
        <v>-252.4</v>
      </c>
      <c r="K3701">
        <v>1.10947</v>
      </c>
      <c r="L3701">
        <v>215.35599999999999</v>
      </c>
      <c r="M3701">
        <v>0.99987890000000001</v>
      </c>
      <c r="N3701">
        <v>0</v>
      </c>
      <c r="O3701">
        <v>1.135004E-2</v>
      </c>
      <c r="P3701">
        <v>0.98623260000000001</v>
      </c>
      <c r="Q3701">
        <v>0.163855</v>
      </c>
      <c r="R3701">
        <v>-2.2290870000000001E-2</v>
      </c>
      <c r="S3701">
        <v>3.065048</v>
      </c>
      <c r="T3701">
        <v>-0.1552712</v>
      </c>
      <c r="U3701">
        <v>-0.11450200000000001</v>
      </c>
      <c r="V3701">
        <v>3.3508660000000003E-2</v>
      </c>
      <c r="W3701">
        <v>0.1743401</v>
      </c>
      <c r="X3701">
        <v>0.98411519999999997</v>
      </c>
      <c r="Y3701">
        <v>4.8594869999999998E-2</v>
      </c>
      <c r="Z3701">
        <v>-1.804122E-3</v>
      </c>
      <c r="AA3701">
        <v>0.99881699999999995</v>
      </c>
      <c r="AB3701">
        <v>44</v>
      </c>
      <c r="AC3701">
        <v>21.45</v>
      </c>
      <c r="AD3701">
        <v>-1.1094710276040001</v>
      </c>
      <c r="AE3701">
        <v>-0.82329999999998804</v>
      </c>
      <c r="AF3701">
        <v>1.0638770854928401</v>
      </c>
      <c r="AG3701">
        <v>-1.1094710276040001</v>
      </c>
      <c r="AH3701">
        <v>21.382152987024501</v>
      </c>
      <c r="AI3701">
        <v>92.9666199947753</v>
      </c>
      <c r="AJ3701">
        <v>87.151575850556995</v>
      </c>
      <c r="AK3701">
        <v>21.4373325480259</v>
      </c>
      <c r="AL3701">
        <v>79.959741837386105</v>
      </c>
      <c r="AM3701">
        <v>88.049859050531794</v>
      </c>
      <c r="AN3701">
        <v>1.00000001381702</v>
      </c>
    </row>
    <row r="3702" spans="1:40" x14ac:dyDescent="0.25">
      <c r="A3702" t="str">
        <f>"20190312172443964"</f>
        <v>20190312172443964</v>
      </c>
      <c r="B3702" t="str">
        <f>"1552382683954056"</f>
        <v>1552382683954056</v>
      </c>
      <c r="C3702" t="s">
        <v>40</v>
      </c>
      <c r="D3702">
        <v>3.8078340000000002</v>
      </c>
      <c r="E3702">
        <v>0.5074303</v>
      </c>
      <c r="F3702" t="s">
        <v>47</v>
      </c>
      <c r="G3702">
        <v>-230.47380000000001</v>
      </c>
      <c r="H3702" s="1">
        <v>-1.2809139999999901E-6</v>
      </c>
      <c r="I3702">
        <v>214.5301</v>
      </c>
      <c r="J3702">
        <v>-251.94300000000001</v>
      </c>
      <c r="K3702">
        <v>1.109467</v>
      </c>
      <c r="L3702">
        <v>215.36109999999999</v>
      </c>
      <c r="M3702">
        <v>0.99987919999999997</v>
      </c>
      <c r="N3702">
        <v>0</v>
      </c>
      <c r="O3702">
        <v>1.131426E-2</v>
      </c>
      <c r="P3702">
        <v>0.98624719999999999</v>
      </c>
      <c r="Q3702">
        <v>0.1637295</v>
      </c>
      <c r="R3702">
        <v>-2.2573920000000001E-2</v>
      </c>
      <c r="S3702">
        <v>3.0650330000000001</v>
      </c>
      <c r="T3702">
        <v>-0.15509129999999999</v>
      </c>
      <c r="U3702">
        <v>-0.115448</v>
      </c>
      <c r="V3702">
        <v>3.3756399999999999E-2</v>
      </c>
      <c r="W3702">
        <v>0.174229299999999</v>
      </c>
      <c r="X3702">
        <v>0.98412630000000001</v>
      </c>
      <c r="Y3702">
        <v>4.8867050000000002E-2</v>
      </c>
      <c r="Z3702">
        <v>-1.807103E-3</v>
      </c>
      <c r="AA3702">
        <v>0.99880369999999996</v>
      </c>
      <c r="AB3702">
        <v>44</v>
      </c>
      <c r="AC3702">
        <v>21.469199999999901</v>
      </c>
      <c r="AD3702">
        <v>-1.109468280914</v>
      </c>
      <c r="AE3702">
        <v>-0.83099999999998797</v>
      </c>
      <c r="AF3702">
        <v>1.0710128118682001</v>
      </c>
      <c r="AG3702">
        <v>-1.109468280914</v>
      </c>
      <c r="AH3702">
        <v>21.4013554116828</v>
      </c>
      <c r="AI3702">
        <v>92.963913082016106</v>
      </c>
      <c r="AJ3702">
        <v>87.135071021191493</v>
      </c>
      <c r="AK3702">
        <v>21.456840442308899</v>
      </c>
      <c r="AL3702">
        <v>79.966188323317198</v>
      </c>
      <c r="AM3702">
        <v>88.035474445956993</v>
      </c>
      <c r="AN3702">
        <v>0.99999995893556903</v>
      </c>
    </row>
    <row r="3703" spans="1:40" x14ac:dyDescent="0.25">
      <c r="A3703" t="str">
        <f>"20190312172443987"</f>
        <v>20190312172443987</v>
      </c>
      <c r="B3703" t="str">
        <f>"1552382683984313"</f>
        <v>1552382683984313</v>
      </c>
      <c r="C3703" t="s">
        <v>40</v>
      </c>
      <c r="D3703">
        <v>3.8206950000000002</v>
      </c>
      <c r="E3703">
        <v>0.50756199999999996</v>
      </c>
      <c r="F3703" t="s">
        <v>41</v>
      </c>
      <c r="G3703">
        <v>-250.85079999999999</v>
      </c>
      <c r="H3703">
        <v>1.054079</v>
      </c>
      <c r="I3703">
        <v>215.3194</v>
      </c>
      <c r="J3703">
        <v>-251.4906</v>
      </c>
      <c r="K3703">
        <v>1.1094630000000001</v>
      </c>
      <c r="L3703">
        <v>215.36619999999999</v>
      </c>
      <c r="M3703">
        <v>0.99987939999999997</v>
      </c>
      <c r="N3703">
        <v>0</v>
      </c>
      <c r="O3703">
        <v>1.127966E-2</v>
      </c>
      <c r="P3703">
        <v>0.98617869999999996</v>
      </c>
      <c r="Q3703">
        <v>0.16413159999999999</v>
      </c>
      <c r="R3703">
        <v>-2.2635269999999999E-2</v>
      </c>
      <c r="S3703">
        <v>3.0649570000000002</v>
      </c>
      <c r="T3703">
        <v>-0.15544620000000001</v>
      </c>
      <c r="U3703">
        <v>-0.11685180000000001</v>
      </c>
      <c r="V3703">
        <v>3.3783130000000001E-2</v>
      </c>
      <c r="W3703">
        <v>0.1746463</v>
      </c>
      <c r="X3703">
        <v>0.98405149999999997</v>
      </c>
      <c r="Y3703">
        <v>4.9289380000000001E-2</v>
      </c>
      <c r="Z3703">
        <v>-1.8202089999999999E-3</v>
      </c>
      <c r="AA3703">
        <v>0.99878290000000003</v>
      </c>
      <c r="AB3703">
        <v>45</v>
      </c>
      <c r="AC3703">
        <v>0.63980000000000803</v>
      </c>
      <c r="AD3703">
        <v>-5.5383999999999801E-2</v>
      </c>
      <c r="AE3703">
        <v>-4.6799999999990398E-2</v>
      </c>
      <c r="AF3703">
        <v>5.3614541896377203E-2</v>
      </c>
      <c r="AG3703">
        <v>-5.5383999999999801E-2</v>
      </c>
      <c r="AH3703">
        <v>0.634502087728814</v>
      </c>
      <c r="AI3703">
        <v>94.970927032541098</v>
      </c>
      <c r="AJ3703">
        <v>85.170059978213999</v>
      </c>
      <c r="AK3703">
        <v>0.63916727535988704</v>
      </c>
      <c r="AL3703">
        <v>79.941924304866006</v>
      </c>
      <c r="AM3703">
        <v>88.033770728157606</v>
      </c>
      <c r="AN3703">
        <v>0.99999999231426795</v>
      </c>
    </row>
    <row r="3704" spans="1:40" x14ac:dyDescent="0.25">
      <c r="A3704" t="str">
        <f>"20190312172444008"</f>
        <v>20190312172444008</v>
      </c>
      <c r="B3704" t="str">
        <f>"1552382684003833"</f>
        <v>1552382684003833</v>
      </c>
      <c r="C3704" t="s">
        <v>40</v>
      </c>
      <c r="D3704">
        <v>3.8212540000000002</v>
      </c>
      <c r="E3704">
        <v>0.50765420000000006</v>
      </c>
      <c r="F3704" t="s">
        <v>47</v>
      </c>
      <c r="G3704">
        <v>-229.44579999999999</v>
      </c>
      <c r="H3704" s="1">
        <v>3.494066E-6</v>
      </c>
      <c r="I3704">
        <v>214.51859999999999</v>
      </c>
      <c r="J3704">
        <v>-251.06379999999999</v>
      </c>
      <c r="K3704">
        <v>1.1094660000000001</v>
      </c>
      <c r="L3704">
        <v>215.37100000000001</v>
      </c>
      <c r="M3704">
        <v>0.99987959999999998</v>
      </c>
      <c r="N3704">
        <v>0</v>
      </c>
      <c r="O3704">
        <v>1.1246559999999999E-2</v>
      </c>
      <c r="P3704">
        <v>0.98621809999999999</v>
      </c>
      <c r="Q3704">
        <v>0.1638763</v>
      </c>
      <c r="R3704">
        <v>-2.2778409999999999E-2</v>
      </c>
      <c r="S3704">
        <v>3.0650179999999998</v>
      </c>
      <c r="T3704">
        <v>-0.15425440000000001</v>
      </c>
      <c r="U3704">
        <v>-0.11784360000000001</v>
      </c>
      <c r="V3704">
        <v>3.3893859999999998E-2</v>
      </c>
      <c r="W3704">
        <v>0.17440629999999999</v>
      </c>
      <c r="X3704">
        <v>0.98409029999999997</v>
      </c>
      <c r="Y3704">
        <v>4.9579150000000002E-2</v>
      </c>
      <c r="Z3704">
        <v>-1.8118450000000001E-3</v>
      </c>
      <c r="AA3704">
        <v>0.99876860000000001</v>
      </c>
      <c r="AB3704">
        <v>45</v>
      </c>
      <c r="AC3704">
        <v>21.617999999999899</v>
      </c>
      <c r="AD3704">
        <v>-1.109462505934</v>
      </c>
      <c r="AE3704">
        <v>-0.85239999999998795</v>
      </c>
      <c r="AF3704">
        <v>1.0926147769280601</v>
      </c>
      <c r="AG3704">
        <v>-1.109462505934</v>
      </c>
      <c r="AH3704">
        <v>21.550372751143499</v>
      </c>
      <c r="AI3704">
        <v>92.943342078052595</v>
      </c>
      <c r="AJ3704">
        <v>87.097560300737996</v>
      </c>
      <c r="AK3704">
        <v>21.6065564080921</v>
      </c>
      <c r="AL3704">
        <v>79.955890056732599</v>
      </c>
      <c r="AM3704">
        <v>88.027408873621894</v>
      </c>
      <c r="AN3704">
        <v>1.00000003488973</v>
      </c>
    </row>
    <row r="3705" spans="1:40" x14ac:dyDescent="0.25">
      <c r="A3705" t="str">
        <f>"20190312172444031"</f>
        <v>20190312172444031</v>
      </c>
      <c r="B3705" t="str">
        <f>"1552382684024332"</f>
        <v>1552382684024332</v>
      </c>
      <c r="C3705" t="s">
        <v>40</v>
      </c>
      <c r="D3705">
        <v>3.8218640000000001</v>
      </c>
      <c r="E3705">
        <v>0.50776779999999999</v>
      </c>
      <c r="F3705" t="s">
        <v>47</v>
      </c>
      <c r="G3705">
        <v>-229.14930000000001</v>
      </c>
      <c r="H3705" s="1">
        <v>3.3361780000000002E-6</v>
      </c>
      <c r="I3705">
        <v>214.5206</v>
      </c>
      <c r="J3705">
        <v>-250.61519999999999</v>
      </c>
      <c r="K3705">
        <v>1.1094679999999999</v>
      </c>
      <c r="L3705">
        <v>215.376</v>
      </c>
      <c r="M3705">
        <v>0.99987979999999999</v>
      </c>
      <c r="N3705">
        <v>0</v>
      </c>
      <c r="O3705">
        <v>1.1212079999999999E-2</v>
      </c>
      <c r="P3705">
        <v>0.98623700000000003</v>
      </c>
      <c r="Q3705">
        <v>0.16374530000000001</v>
      </c>
      <c r="R3705">
        <v>-2.2897190000000001E-2</v>
      </c>
      <c r="S3705">
        <v>3.0649570000000002</v>
      </c>
      <c r="T3705">
        <v>-0.15516920000000001</v>
      </c>
      <c r="U3705">
        <v>-0.1189423</v>
      </c>
      <c r="V3705">
        <v>3.3979009999999997E-2</v>
      </c>
      <c r="W3705">
        <v>0.17429169999999999</v>
      </c>
      <c r="X3705">
        <v>0.98410759999999997</v>
      </c>
      <c r="Y3705">
        <v>4.990166E-2</v>
      </c>
      <c r="Z3705">
        <v>-1.829011E-3</v>
      </c>
      <c r="AA3705">
        <v>0.99875250000000004</v>
      </c>
      <c r="AB3705">
        <v>45</v>
      </c>
      <c r="AC3705">
        <v>21.465899999999898</v>
      </c>
      <c r="AD3705">
        <v>-1.109464663822</v>
      </c>
      <c r="AE3705">
        <v>-0.85539999999997396</v>
      </c>
      <c r="AF3705">
        <v>1.0931219468450299</v>
      </c>
      <c r="AG3705">
        <v>-1.109464663822</v>
      </c>
      <c r="AH3705">
        <v>21.397888837312301</v>
      </c>
      <c r="AI3705">
        <v>92.964227337186401</v>
      </c>
      <c r="AJ3705">
        <v>87.075558428646403</v>
      </c>
      <c r="AK3705">
        <v>21.454497759792002</v>
      </c>
      <c r="AL3705">
        <v>79.962557616655403</v>
      </c>
      <c r="AM3705">
        <v>88.022491888979303</v>
      </c>
      <c r="AN3705">
        <v>0.99999996909361399</v>
      </c>
    </row>
    <row r="3706" spans="1:40" x14ac:dyDescent="0.25">
      <c r="A3706" t="str">
        <f>"20190312172444052"</f>
        <v>20190312172444052</v>
      </c>
      <c r="B3706" t="str">
        <f>"1552382684043848"</f>
        <v>1552382684043848</v>
      </c>
      <c r="C3706" t="s">
        <v>40</v>
      </c>
      <c r="D3706">
        <v>3.8101129999999999</v>
      </c>
      <c r="E3706">
        <v>0.50786589999999998</v>
      </c>
      <c r="F3706" t="s">
        <v>47</v>
      </c>
      <c r="G3706">
        <v>-228.77209999999999</v>
      </c>
      <c r="H3706" s="1">
        <v>3.1354789999999999E-6</v>
      </c>
      <c r="I3706">
        <v>214.5205</v>
      </c>
      <c r="J3706">
        <v>-250.17089999999999</v>
      </c>
      <c r="K3706">
        <v>1.1094679999999999</v>
      </c>
      <c r="L3706">
        <v>215.381</v>
      </c>
      <c r="M3706">
        <v>0.99987990000000004</v>
      </c>
      <c r="N3706">
        <v>0</v>
      </c>
      <c r="O3706">
        <v>1.117776E-2</v>
      </c>
      <c r="P3706">
        <v>0.98623519999999998</v>
      </c>
      <c r="Q3706">
        <v>0.16369829999999999</v>
      </c>
      <c r="R3706">
        <v>-2.3309880000000002E-2</v>
      </c>
      <c r="S3706">
        <v>3.0649259999999998</v>
      </c>
      <c r="T3706">
        <v>-0.1556749</v>
      </c>
      <c r="U3706">
        <v>-0.12004090000000001</v>
      </c>
      <c r="V3706">
        <v>3.4357739999999998E-2</v>
      </c>
      <c r="W3706">
        <v>0.17426359999999999</v>
      </c>
      <c r="X3706">
        <v>0.98409939999999996</v>
      </c>
      <c r="Y3706">
        <v>5.0224350000000001E-2</v>
      </c>
      <c r="Z3706">
        <v>-1.841416E-3</v>
      </c>
      <c r="AA3706">
        <v>0.99873630000000002</v>
      </c>
      <c r="AB3706">
        <v>45</v>
      </c>
      <c r="AC3706">
        <v>21.398799999999898</v>
      </c>
      <c r="AD3706">
        <v>-1.1094648645209999</v>
      </c>
      <c r="AE3706">
        <v>-0.86049999999997295</v>
      </c>
      <c r="AF3706">
        <v>1.0967073512634899</v>
      </c>
      <c r="AG3706">
        <v>-1.1094648645209999</v>
      </c>
      <c r="AH3706">
        <v>21.330597395406802</v>
      </c>
      <c r="AI3706">
        <v>92.973512385223103</v>
      </c>
      <c r="AJ3706">
        <v>87.056743420661206</v>
      </c>
      <c r="AK3706">
        <v>21.3875679904205</v>
      </c>
      <c r="AL3706">
        <v>79.964192383464905</v>
      </c>
      <c r="AM3706">
        <v>88.000451731874705</v>
      </c>
      <c r="AN3706">
        <v>0.99999994283161198</v>
      </c>
    </row>
    <row r="3707" spans="1:40" x14ac:dyDescent="0.25">
      <c r="A3707" t="str">
        <f>"20190312172444076"</f>
        <v>20190312172444076</v>
      </c>
      <c r="B3707" t="str">
        <f>"1552382684064344"</f>
        <v>1552382684064344</v>
      </c>
      <c r="C3707" t="s">
        <v>40</v>
      </c>
      <c r="D3707">
        <v>3.8145479999999998</v>
      </c>
      <c r="E3707">
        <v>0.50796869999999905</v>
      </c>
      <c r="F3707" t="s">
        <v>47</v>
      </c>
      <c r="G3707">
        <v>-228.36060000000001</v>
      </c>
      <c r="H3707" s="1">
        <v>2.9168580000000001E-6</v>
      </c>
      <c r="I3707">
        <v>214.512</v>
      </c>
      <c r="J3707">
        <v>-249.7251</v>
      </c>
      <c r="K3707">
        <v>1.109472</v>
      </c>
      <c r="L3707">
        <v>215.38589999999999</v>
      </c>
      <c r="M3707">
        <v>0.99988010000000005</v>
      </c>
      <c r="N3707">
        <v>0</v>
      </c>
      <c r="O3707">
        <v>1.11433E-2</v>
      </c>
      <c r="P3707">
        <v>0.98619330000000005</v>
      </c>
      <c r="Q3707">
        <v>0.16391649999999999</v>
      </c>
      <c r="R3707">
        <v>-2.3538710000000001E-2</v>
      </c>
      <c r="S3707">
        <v>3.0648499999999999</v>
      </c>
      <c r="T3707">
        <v>-0.15590509999999999</v>
      </c>
      <c r="U3707">
        <v>-0.12211610000000001</v>
      </c>
      <c r="V3707">
        <v>3.4552369999999999E-2</v>
      </c>
      <c r="W3707">
        <v>0.17450260000000001</v>
      </c>
      <c r="X3707">
        <v>0.98405030000000004</v>
      </c>
      <c r="Y3707">
        <v>5.0865069999999998E-2</v>
      </c>
      <c r="Z3707">
        <v>-1.8586849999999999E-3</v>
      </c>
      <c r="AA3707">
        <v>0.99870380000000003</v>
      </c>
      <c r="AB3707">
        <v>45</v>
      </c>
      <c r="AC3707">
        <v>21.3644999999999</v>
      </c>
      <c r="AD3707">
        <v>-1.109469083142</v>
      </c>
      <c r="AE3707">
        <v>-0.87389999999999102</v>
      </c>
      <c r="AF3707">
        <v>1.1089449493952199</v>
      </c>
      <c r="AG3707">
        <v>-1.109469083142</v>
      </c>
      <c r="AH3707">
        <v>21.296099774946999</v>
      </c>
      <c r="AI3707">
        <v>92.978230888000496</v>
      </c>
      <c r="AJ3707">
        <v>87.019147625887001</v>
      </c>
      <c r="AK3707">
        <v>21.3537946550897</v>
      </c>
      <c r="AL3707">
        <v>79.950286274934996</v>
      </c>
      <c r="AM3707">
        <v>87.989033696353104</v>
      </c>
      <c r="AN3707">
        <v>1.00000000830473</v>
      </c>
    </row>
    <row r="3708" spans="1:40" x14ac:dyDescent="0.25">
      <c r="A3708" t="str">
        <f>"20190312172444097"</f>
        <v>20190312172444097</v>
      </c>
      <c r="B3708" t="str">
        <f>"1552382684094602"</f>
        <v>1552382684094602</v>
      </c>
      <c r="C3708" t="s">
        <v>40</v>
      </c>
      <c r="D3708">
        <v>3.827798</v>
      </c>
      <c r="E3708">
        <v>0.50812279999999999</v>
      </c>
      <c r="F3708" t="s">
        <v>47</v>
      </c>
      <c r="G3708">
        <v>-227.8202</v>
      </c>
      <c r="H3708" s="1">
        <v>2.6296530000000002E-6</v>
      </c>
      <c r="I3708">
        <v>214.50409999999999</v>
      </c>
      <c r="J3708">
        <v>-249.2792</v>
      </c>
      <c r="K3708">
        <v>1.109478</v>
      </c>
      <c r="L3708">
        <v>215.39089999999999</v>
      </c>
      <c r="M3708">
        <v>0.99988030000000006</v>
      </c>
      <c r="N3708">
        <v>0</v>
      </c>
      <c r="O3708">
        <v>1.1108760000000001E-2</v>
      </c>
      <c r="P3708">
        <v>0.98619990000000002</v>
      </c>
      <c r="Q3708">
        <v>0.1638222</v>
      </c>
      <c r="R3708">
        <v>-2.3929349999999999E-2</v>
      </c>
      <c r="S3708">
        <v>3.0648650000000002</v>
      </c>
      <c r="T3708">
        <v>-0.15523390000000001</v>
      </c>
      <c r="U3708">
        <v>-0.1233826</v>
      </c>
      <c r="V3708">
        <v>3.4908830000000002E-2</v>
      </c>
      <c r="W3708">
        <v>0.1744359</v>
      </c>
      <c r="X3708">
        <v>0.98404959999999997</v>
      </c>
      <c r="Y3708">
        <v>5.1242639999999999E-2</v>
      </c>
      <c r="Z3708">
        <v>-1.858473E-3</v>
      </c>
      <c r="AA3708">
        <v>0.99868449999999998</v>
      </c>
      <c r="AB3708">
        <v>45</v>
      </c>
      <c r="AC3708">
        <v>21.459</v>
      </c>
      <c r="AD3708">
        <v>-1.1094753703469999</v>
      </c>
      <c r="AE3708">
        <v>-0.88679999999999304</v>
      </c>
      <c r="AF3708">
        <v>1.1221474738869299</v>
      </c>
      <c r="AG3708">
        <v>-1.1094753703469999</v>
      </c>
      <c r="AH3708">
        <v>21.3907416557952</v>
      </c>
      <c r="AI3708">
        <v>92.965034570789001</v>
      </c>
      <c r="AJ3708">
        <v>86.997045114682507</v>
      </c>
      <c r="AK3708">
        <v>21.448868947698099</v>
      </c>
      <c r="AL3708">
        <v>79.954167979618404</v>
      </c>
      <c r="AM3708">
        <v>87.968303388542694</v>
      </c>
      <c r="AN3708">
        <v>1.0000000624404599</v>
      </c>
    </row>
    <row r="3709" spans="1:40" x14ac:dyDescent="0.25">
      <c r="A3709" t="str">
        <f>"20190312172444120"</f>
        <v>20190312172444120</v>
      </c>
      <c r="B3709" t="str">
        <f>"1552382684114120"</f>
        <v>1552382684114120</v>
      </c>
      <c r="C3709" t="s">
        <v>40</v>
      </c>
      <c r="D3709">
        <v>3.8141430000000001</v>
      </c>
      <c r="E3709">
        <v>0.50814570000000003</v>
      </c>
      <c r="F3709" t="s">
        <v>47</v>
      </c>
      <c r="G3709">
        <v>-227.4238</v>
      </c>
      <c r="H3709" s="1">
        <v>2.4191930000000001E-6</v>
      </c>
      <c r="I3709">
        <v>214.4923</v>
      </c>
      <c r="J3709">
        <v>-248.81200000000001</v>
      </c>
      <c r="K3709">
        <v>1.1094820000000001</v>
      </c>
      <c r="L3709">
        <v>215.39599999999999</v>
      </c>
      <c r="M3709">
        <v>0.9998802</v>
      </c>
      <c r="N3709">
        <v>0</v>
      </c>
      <c r="O3709">
        <v>1.107285E-2</v>
      </c>
      <c r="P3709">
        <v>0.98623090000000002</v>
      </c>
      <c r="Q3709">
        <v>0.1636483</v>
      </c>
      <c r="R3709">
        <v>-2.3836779999999998E-2</v>
      </c>
      <c r="S3709">
        <v>3.0647579999999999</v>
      </c>
      <c r="T3709">
        <v>-0.15558</v>
      </c>
      <c r="U3709">
        <v>-0.12600710000000001</v>
      </c>
      <c r="V3709">
        <v>3.4781270000000003E-2</v>
      </c>
      <c r="W3709">
        <v>0.17429929999999999</v>
      </c>
      <c r="X3709">
        <v>0.98407829999999996</v>
      </c>
      <c r="Y3709">
        <v>5.206061E-2</v>
      </c>
      <c r="Z3709">
        <v>-1.8815640000000001E-3</v>
      </c>
      <c r="AA3709">
        <v>0.99864209999999998</v>
      </c>
      <c r="AB3709">
        <v>45</v>
      </c>
      <c r="AC3709">
        <v>21.388200000000001</v>
      </c>
      <c r="AD3709">
        <v>-1.1094795808069999</v>
      </c>
      <c r="AE3709">
        <v>-0.90369999999998596</v>
      </c>
      <c r="AF3709">
        <v>1.13743156668874</v>
      </c>
      <c r="AG3709">
        <v>-1.1094795808069999</v>
      </c>
      <c r="AH3709">
        <v>21.319615762167501</v>
      </c>
      <c r="AI3709">
        <v>92.9747802330632</v>
      </c>
      <c r="AJ3709">
        <v>86.946084693457607</v>
      </c>
      <c r="AK3709">
        <v>21.378744391464799</v>
      </c>
      <c r="AL3709">
        <v>79.962116135503294</v>
      </c>
      <c r="AM3709">
        <v>87.975780190395</v>
      </c>
      <c r="AN3709">
        <v>1.00000004162709</v>
      </c>
    </row>
    <row r="3710" spans="1:40" x14ac:dyDescent="0.25">
      <c r="A3710" t="str">
        <f>"20190312172444142"</f>
        <v>20190312172444142</v>
      </c>
      <c r="B3710" t="str">
        <f>"1552382684134148"</f>
        <v>1552382684134148</v>
      </c>
      <c r="C3710" t="s">
        <v>40</v>
      </c>
      <c r="D3710">
        <v>3.758286</v>
      </c>
      <c r="E3710">
        <v>0.50778630000000002</v>
      </c>
      <c r="F3710" t="s">
        <v>47</v>
      </c>
      <c r="G3710">
        <v>-227.02430000000001</v>
      </c>
      <c r="H3710" s="1">
        <v>2.2062690000000002E-6</v>
      </c>
      <c r="I3710">
        <v>214.5</v>
      </c>
      <c r="J3710">
        <v>-248.3854</v>
      </c>
      <c r="K3710">
        <v>1.109486</v>
      </c>
      <c r="L3710">
        <v>215.4008</v>
      </c>
      <c r="M3710">
        <v>0.99988030000000006</v>
      </c>
      <c r="N3710">
        <v>0</v>
      </c>
      <c r="O3710">
        <v>1.103997E-2</v>
      </c>
      <c r="P3710">
        <v>0.98626599999999998</v>
      </c>
      <c r="Q3710">
        <v>0.16341269999999999</v>
      </c>
      <c r="R3710">
        <v>-2.4004850000000001E-2</v>
      </c>
      <c r="S3710">
        <v>3.0647129999999998</v>
      </c>
      <c r="T3710">
        <v>-0.1560619</v>
      </c>
      <c r="U3710">
        <v>-0.1260376</v>
      </c>
      <c r="V3710">
        <v>3.4917139999999999E-2</v>
      </c>
      <c r="W3710">
        <v>0.17410210000000001</v>
      </c>
      <c r="X3710">
        <v>0.98410839999999999</v>
      </c>
      <c r="Y3710">
        <v>5.2037880000000002E-2</v>
      </c>
      <c r="Z3710">
        <v>-1.885161E-3</v>
      </c>
      <c r="AA3710">
        <v>0.99864330000000001</v>
      </c>
      <c r="AB3710">
        <v>45</v>
      </c>
      <c r="AC3710">
        <v>21.3611</v>
      </c>
      <c r="AD3710">
        <v>-1.109483793731</v>
      </c>
      <c r="AE3710">
        <v>-0.90080000000000304</v>
      </c>
      <c r="AF3710">
        <v>1.1335323471643499</v>
      </c>
      <c r="AG3710">
        <v>-1.109483793731</v>
      </c>
      <c r="AH3710">
        <v>21.292513676868399</v>
      </c>
      <c r="AI3710">
        <v>92.978589350413699</v>
      </c>
      <c r="AJ3710">
        <v>86.952667513192395</v>
      </c>
      <c r="AK3710">
        <v>21.351510217084101</v>
      </c>
      <c r="AL3710">
        <v>79.973590339238001</v>
      </c>
      <c r="AM3710">
        <v>87.967941471325801</v>
      </c>
      <c r="AN3710">
        <v>1.0000000454203699</v>
      </c>
    </row>
    <row r="3711" spans="1:40" x14ac:dyDescent="0.25">
      <c r="A3711" t="str">
        <f>"20190312172444164"</f>
        <v>20190312172444164</v>
      </c>
      <c r="B3711" t="str">
        <f>"1552382684153668"</f>
        <v>1552382684153668</v>
      </c>
      <c r="C3711" t="s">
        <v>40</v>
      </c>
      <c r="D3711">
        <v>3.7744270000000002</v>
      </c>
      <c r="E3711">
        <v>0.50748559999999998</v>
      </c>
      <c r="F3711" t="s">
        <v>41</v>
      </c>
      <c r="G3711">
        <v>-247.2629</v>
      </c>
      <c r="H3711">
        <v>1.052011</v>
      </c>
      <c r="I3711">
        <v>215.3553</v>
      </c>
      <c r="J3711">
        <v>-247.94710000000001</v>
      </c>
      <c r="K3711">
        <v>1.1094930000000001</v>
      </c>
      <c r="L3711">
        <v>215.40559999999999</v>
      </c>
      <c r="M3711">
        <v>0.99988010000000005</v>
      </c>
      <c r="N3711">
        <v>0</v>
      </c>
      <c r="O3711">
        <v>1.100635E-2</v>
      </c>
      <c r="P3711">
        <v>0.98626130000000001</v>
      </c>
      <c r="Q3711">
        <v>0.16341410000000001</v>
      </c>
      <c r="R3711">
        <v>-2.4179539999999999E-2</v>
      </c>
      <c r="S3711">
        <v>3.0647890000000002</v>
      </c>
      <c r="T3711">
        <v>-0.1570069</v>
      </c>
      <c r="U3711">
        <v>-0.12365719999999999</v>
      </c>
      <c r="V3711">
        <v>3.5059010000000002E-2</v>
      </c>
      <c r="W3711">
        <v>0.1741462</v>
      </c>
      <c r="X3711">
        <v>0.98409550000000001</v>
      </c>
      <c r="Y3711">
        <v>5.1229040000000003E-2</v>
      </c>
      <c r="Z3711">
        <v>-1.874127E-3</v>
      </c>
      <c r="AA3711">
        <v>0.99868520000000005</v>
      </c>
      <c r="AB3711">
        <v>45</v>
      </c>
      <c r="AC3711">
        <v>0.68420000000000403</v>
      </c>
      <c r="AD3711">
        <v>-5.7481999999999998E-2</v>
      </c>
      <c r="AE3711">
        <v>-5.0299999999992899E-2</v>
      </c>
      <c r="AF3711">
        <v>5.7424804019579799E-2</v>
      </c>
      <c r="AG3711">
        <v>-5.7481999999999998E-2</v>
      </c>
      <c r="AH3711">
        <v>0.67883923332093399</v>
      </c>
      <c r="AI3711">
        <v>94.822938964208603</v>
      </c>
      <c r="AJ3711">
        <v>85.164710367825293</v>
      </c>
      <c r="AK3711">
        <v>0.68368449824201905</v>
      </c>
      <c r="AL3711">
        <v>79.971023867646295</v>
      </c>
      <c r="AM3711">
        <v>87.9596653620994</v>
      </c>
      <c r="AN3711">
        <v>0.99999999313843502</v>
      </c>
    </row>
    <row r="3712" spans="1:40" x14ac:dyDescent="0.25">
      <c r="A3712" t="str">
        <f>"20190312172444185"</f>
        <v>20190312172444185</v>
      </c>
      <c r="B3712" t="str">
        <f>"1552382684174164"</f>
        <v>1552382684174164</v>
      </c>
      <c r="C3712" t="s">
        <v>40</v>
      </c>
      <c r="D3712">
        <v>3.7831100000000002</v>
      </c>
      <c r="E3712">
        <v>0.50718149999999995</v>
      </c>
      <c r="F3712" t="s">
        <v>41</v>
      </c>
      <c r="G3712">
        <v>-246.85990000000001</v>
      </c>
      <c r="H3712">
        <v>1.053812</v>
      </c>
      <c r="I3712">
        <v>215.36240000000001</v>
      </c>
      <c r="J3712">
        <v>-247.50569999999999</v>
      </c>
      <c r="K3712">
        <v>1.109499</v>
      </c>
      <c r="L3712">
        <v>215.41040000000001</v>
      </c>
      <c r="M3712">
        <v>0.99987990000000004</v>
      </c>
      <c r="N3712">
        <v>0</v>
      </c>
      <c r="O3712">
        <v>1.0972549999999999E-2</v>
      </c>
      <c r="P3712">
        <v>0.98628210000000005</v>
      </c>
      <c r="Q3712">
        <v>0.1632671</v>
      </c>
      <c r="R3712">
        <v>-2.43225E-2</v>
      </c>
      <c r="S3712">
        <v>3.064819</v>
      </c>
      <c r="T3712">
        <v>-0.15700829999999999</v>
      </c>
      <c r="U3712">
        <v>-0.12155150000000001</v>
      </c>
      <c r="V3712">
        <v>3.5168709999999999E-2</v>
      </c>
      <c r="W3712">
        <v>0.17404339999999999</v>
      </c>
      <c r="X3712">
        <v>0.98410980000000003</v>
      </c>
      <c r="Y3712">
        <v>5.051079E-2</v>
      </c>
      <c r="Z3712">
        <v>-1.8540410000000001E-3</v>
      </c>
      <c r="AA3712">
        <v>0.99872179999999999</v>
      </c>
      <c r="AB3712">
        <v>45</v>
      </c>
      <c r="AC3712">
        <v>0.64579999999997995</v>
      </c>
      <c r="AD3712">
        <v>-5.5687E-2</v>
      </c>
      <c r="AE3712">
        <v>-4.8000000000001798E-2</v>
      </c>
      <c r="AF3712">
        <v>5.4679271979782701E-2</v>
      </c>
      <c r="AG3712">
        <v>-5.5687E-2</v>
      </c>
      <c r="AH3712">
        <v>0.64049813019747903</v>
      </c>
      <c r="AI3712">
        <v>94.951067998127499</v>
      </c>
      <c r="AJ3712">
        <v>85.120495109828198</v>
      </c>
      <c r="AK3712">
        <v>0.64523539854823997</v>
      </c>
      <c r="AL3712">
        <v>79.977005496240196</v>
      </c>
      <c r="AM3712">
        <v>87.953316270726603</v>
      </c>
      <c r="AN3712">
        <v>1.00000002085133</v>
      </c>
    </row>
    <row r="3713" spans="1:40" x14ac:dyDescent="0.25">
      <c r="A3713" t="str">
        <f>"20190312172444209"</f>
        <v>20190312172444209</v>
      </c>
      <c r="B3713" t="str">
        <f>"1552382684204420"</f>
        <v>1552382684204420</v>
      </c>
      <c r="C3713" t="s">
        <v>40</v>
      </c>
      <c r="D3713">
        <v>3.7708339999999998</v>
      </c>
      <c r="E3713">
        <v>0.506772</v>
      </c>
      <c r="F3713" t="s">
        <v>47</v>
      </c>
      <c r="G3713">
        <v>-225.91669999999999</v>
      </c>
      <c r="H3713" s="1">
        <v>1.6139290000000001E-6</v>
      </c>
      <c r="I3713">
        <v>214.5668</v>
      </c>
      <c r="J3713">
        <v>-247.04239999999999</v>
      </c>
      <c r="K3713">
        <v>1.109505</v>
      </c>
      <c r="L3713">
        <v>215.41550000000001</v>
      </c>
      <c r="M3713">
        <v>0.99987999999999999</v>
      </c>
      <c r="N3713">
        <v>0</v>
      </c>
      <c r="O3713">
        <v>1.0936939999999999E-2</v>
      </c>
      <c r="P3713">
        <v>0.98632030000000004</v>
      </c>
      <c r="Q3713">
        <v>0.16302829999999999</v>
      </c>
      <c r="R3713">
        <v>-2.438193E-2</v>
      </c>
      <c r="S3713">
        <v>3.064835</v>
      </c>
      <c r="T3713">
        <v>-0.1575068</v>
      </c>
      <c r="U3713">
        <v>-0.1197662</v>
      </c>
      <c r="V3713">
        <v>3.5193439999999999E-2</v>
      </c>
      <c r="W3713">
        <v>0.17385039999999999</v>
      </c>
      <c r="X3713">
        <v>0.98414299999999999</v>
      </c>
      <c r="Y3713">
        <v>4.9894519999999998E-2</v>
      </c>
      <c r="Z3713">
        <v>-1.8422849999999999E-3</v>
      </c>
      <c r="AA3713">
        <v>0.9987528</v>
      </c>
      <c r="AB3713">
        <v>45</v>
      </c>
      <c r="AC3713">
        <v>21.125699999999899</v>
      </c>
      <c r="AD3713">
        <v>-1.109503386071</v>
      </c>
      <c r="AE3713">
        <v>-0.848700000000007</v>
      </c>
      <c r="AF3713">
        <v>1.0767484876639799</v>
      </c>
      <c r="AG3713">
        <v>-1.109503386071</v>
      </c>
      <c r="AH3713">
        <v>21.057166047514499</v>
      </c>
      <c r="AI3713">
        <v>93.012200843490902</v>
      </c>
      <c r="AJ3713">
        <v>87.072756254662096</v>
      </c>
      <c r="AK3713">
        <v>21.113849175884202</v>
      </c>
      <c r="AL3713">
        <v>79.988234480817695</v>
      </c>
      <c r="AM3713">
        <v>87.951947339467907</v>
      </c>
      <c r="AN3713">
        <v>0.99999999212409596</v>
      </c>
    </row>
    <row r="3714" spans="1:40" x14ac:dyDescent="0.25">
      <c r="A3714" t="str">
        <f>"20190312172444231"</f>
        <v>20190312172444231</v>
      </c>
      <c r="B3714" t="str">
        <f>"1552382684223939"</f>
        <v>1552382684223939</v>
      </c>
      <c r="C3714" t="s">
        <v>40</v>
      </c>
      <c r="D3714">
        <v>3.7981760000000002</v>
      </c>
      <c r="E3714">
        <v>0.50650139999999999</v>
      </c>
      <c r="F3714" t="s">
        <v>47</v>
      </c>
      <c r="G3714">
        <v>-225.60120000000001</v>
      </c>
      <c r="H3714" s="1">
        <v>1.444695E-6</v>
      </c>
      <c r="I3714">
        <v>214.59739999999999</v>
      </c>
      <c r="J3714">
        <v>-246.5865</v>
      </c>
      <c r="K3714">
        <v>1.1094999999999999</v>
      </c>
      <c r="L3714">
        <v>215.4204</v>
      </c>
      <c r="M3714">
        <v>0.99987969999999904</v>
      </c>
      <c r="N3714">
        <v>0</v>
      </c>
      <c r="O3714">
        <v>1.090199E-2</v>
      </c>
      <c r="P3714">
        <v>0.98633150000000003</v>
      </c>
      <c r="Q3714">
        <v>0.1629129</v>
      </c>
      <c r="R3714">
        <v>-2.4695129999999999E-2</v>
      </c>
      <c r="S3714">
        <v>3.0649109999999999</v>
      </c>
      <c r="T3714">
        <v>-0.15859770000000001</v>
      </c>
      <c r="U3714">
        <v>-0.1169434</v>
      </c>
      <c r="V3714">
        <v>3.547223E-2</v>
      </c>
      <c r="W3714">
        <v>0.173780399999999</v>
      </c>
      <c r="X3714">
        <v>0.9841453</v>
      </c>
      <c r="Y3714">
        <v>4.8940320000000002E-2</v>
      </c>
      <c r="Z3714">
        <v>-1.8285440000000001E-3</v>
      </c>
      <c r="AA3714">
        <v>0.99880000000000002</v>
      </c>
      <c r="AB3714">
        <v>45</v>
      </c>
      <c r="AC3714">
        <v>20.985299999999899</v>
      </c>
      <c r="AD3714">
        <v>-1.1094985553050001</v>
      </c>
      <c r="AE3714">
        <v>-0.82300000000000695</v>
      </c>
      <c r="AF3714">
        <v>1.0488193148762299</v>
      </c>
      <c r="AG3714">
        <v>-1.1094985553050001</v>
      </c>
      <c r="AH3714">
        <v>20.9167018858126</v>
      </c>
      <c r="AI3714">
        <v>93.032529829356506</v>
      </c>
      <c r="AJ3714">
        <v>87.129440733222495</v>
      </c>
      <c r="AK3714">
        <v>20.972349100170799</v>
      </c>
      <c r="AL3714">
        <v>79.992306642066296</v>
      </c>
      <c r="AM3714">
        <v>87.935742190581493</v>
      </c>
      <c r="AN3714">
        <v>0.99999993901870898</v>
      </c>
    </row>
    <row r="3715" spans="1:40" x14ac:dyDescent="0.25">
      <c r="A3715" t="str">
        <f>"20190312172444253"</f>
        <v>20190312172444253</v>
      </c>
      <c r="B3715" t="str">
        <f>"1552382684244439"</f>
        <v>1552382684244439</v>
      </c>
      <c r="C3715" t="s">
        <v>40</v>
      </c>
      <c r="D3715">
        <v>3.8083849999999999</v>
      </c>
      <c r="E3715">
        <v>0.50624440000000004</v>
      </c>
      <c r="F3715" t="s">
        <v>47</v>
      </c>
      <c r="G3715">
        <v>-225.22389999999999</v>
      </c>
      <c r="H3715" s="1">
        <v>1.2431950000000001E-6</v>
      </c>
      <c r="I3715">
        <v>214.6138</v>
      </c>
      <c r="J3715">
        <v>-246.15690000000001</v>
      </c>
      <c r="K3715">
        <v>1.1095029999999999</v>
      </c>
      <c r="L3715">
        <v>215.42509999999999</v>
      </c>
      <c r="M3715">
        <v>0.99987959999999998</v>
      </c>
      <c r="N3715">
        <v>0</v>
      </c>
      <c r="O3715">
        <v>1.0868849999999999E-2</v>
      </c>
      <c r="P3715">
        <v>0.98629610000000001</v>
      </c>
      <c r="Q3715">
        <v>0.16304979999999999</v>
      </c>
      <c r="R3715">
        <v>-2.5195309999999999E-2</v>
      </c>
      <c r="S3715">
        <v>3.064972</v>
      </c>
      <c r="T3715">
        <v>-0.159183299999999</v>
      </c>
      <c r="U3715">
        <v>-0.115722699999999</v>
      </c>
      <c r="V3715">
        <v>3.5939649999999997E-2</v>
      </c>
      <c r="W3715">
        <v>0.1739589</v>
      </c>
      <c r="X3715">
        <v>0.98409690000000005</v>
      </c>
      <c r="Y3715">
        <v>4.8509259999999998E-2</v>
      </c>
      <c r="Z3715">
        <v>-1.8223619999999999E-3</v>
      </c>
      <c r="AA3715">
        <v>0.99882110000000002</v>
      </c>
      <c r="AB3715">
        <v>45</v>
      </c>
      <c r="AC3715">
        <v>20.933</v>
      </c>
      <c r="AD3715">
        <v>-1.1095017568050001</v>
      </c>
      <c r="AE3715">
        <v>-0.81129999999998803</v>
      </c>
      <c r="AF3715">
        <v>1.0358779704579699</v>
      </c>
      <c r="AG3715">
        <v>-1.1095017568050001</v>
      </c>
      <c r="AH3715">
        <v>20.864419129933101</v>
      </c>
      <c r="AI3715">
        <v>93.040198063186907</v>
      </c>
      <c r="AJ3715">
        <v>87.157709413722102</v>
      </c>
      <c r="AK3715">
        <v>20.9195607732943</v>
      </c>
      <c r="AL3715">
        <v>79.981922110947394</v>
      </c>
      <c r="AM3715">
        <v>87.908462553201204</v>
      </c>
      <c r="AN3715">
        <v>1.0000000329604699</v>
      </c>
    </row>
    <row r="3716" spans="1:40" x14ac:dyDescent="0.25">
      <c r="A3716" t="str">
        <f>"20190312172444276"</f>
        <v>20190312172444276</v>
      </c>
      <c r="B3716" t="str">
        <f>"1552382684263956"</f>
        <v>1552382684263956</v>
      </c>
      <c r="C3716" t="s">
        <v>40</v>
      </c>
      <c r="D3716">
        <v>3.8255979999999998</v>
      </c>
      <c r="E3716">
        <v>0.5060017</v>
      </c>
      <c r="F3716" t="s">
        <v>47</v>
      </c>
      <c r="G3716">
        <v>-224.78290000000001</v>
      </c>
      <c r="H3716" s="1">
        <v>1.0082299999999999E-6</v>
      </c>
      <c r="I3716">
        <v>214.62090000000001</v>
      </c>
      <c r="J3716">
        <v>-245.69560000000001</v>
      </c>
      <c r="K3716">
        <v>1.109505</v>
      </c>
      <c r="L3716">
        <v>215.43010000000001</v>
      </c>
      <c r="M3716">
        <v>0.99987950000000003</v>
      </c>
      <c r="N3716">
        <v>0</v>
      </c>
      <c r="O3716">
        <v>1.083344E-2</v>
      </c>
      <c r="P3716">
        <v>0.98631190000000002</v>
      </c>
      <c r="Q3716">
        <v>0.16286220000000001</v>
      </c>
      <c r="R3716">
        <v>-2.578766E-2</v>
      </c>
      <c r="S3716">
        <v>3.0650330000000001</v>
      </c>
      <c r="T3716">
        <v>-0.15910239999999901</v>
      </c>
      <c r="U3716">
        <v>-0.1153259</v>
      </c>
      <c r="V3716">
        <v>3.6496960000000002E-2</v>
      </c>
      <c r="W3716">
        <v>0.1738142</v>
      </c>
      <c r="X3716">
        <v>0.98410189999999997</v>
      </c>
      <c r="Y3716">
        <v>4.8344379999999999E-2</v>
      </c>
      <c r="Z3716">
        <v>-1.815295E-3</v>
      </c>
      <c r="AA3716">
        <v>0.99882910000000003</v>
      </c>
      <c r="AB3716">
        <v>45</v>
      </c>
      <c r="AC3716">
        <v>20.912700000000001</v>
      </c>
      <c r="AD3716">
        <v>-1.10950399177</v>
      </c>
      <c r="AE3716">
        <v>-0.80920000000000403</v>
      </c>
      <c r="AF3716">
        <v>1.03282022401378</v>
      </c>
      <c r="AG3716">
        <v>-1.10950399177</v>
      </c>
      <c r="AH3716">
        <v>20.844122687448099</v>
      </c>
      <c r="AI3716">
        <v>93.043173717762102</v>
      </c>
      <c r="AJ3716">
        <v>87.163330756646502</v>
      </c>
      <c r="AK3716">
        <v>20.8991666659768</v>
      </c>
      <c r="AL3716">
        <v>79.990340499986303</v>
      </c>
      <c r="AM3716">
        <v>87.876069699172405</v>
      </c>
      <c r="AN3716">
        <v>0.99999997689724496</v>
      </c>
    </row>
    <row r="3717" spans="1:40" x14ac:dyDescent="0.25">
      <c r="A3717" t="str">
        <f>"20190312172444299"</f>
        <v>20190312172444299</v>
      </c>
      <c r="B3717" t="str">
        <f>"1552382684294213"</f>
        <v>1552382684294213</v>
      </c>
      <c r="C3717" t="s">
        <v>40</v>
      </c>
      <c r="D3717">
        <v>3.7990529999999998</v>
      </c>
      <c r="E3717">
        <v>0.50565360000000004</v>
      </c>
      <c r="F3717" t="s">
        <v>47</v>
      </c>
      <c r="G3717">
        <v>-224.4556</v>
      </c>
      <c r="H3717" s="1">
        <v>8.3375159999999899E-7</v>
      </c>
      <c r="I3717">
        <v>214.62780000000001</v>
      </c>
      <c r="J3717">
        <v>-245.25049999999999</v>
      </c>
      <c r="K3717">
        <v>1.1095109999999999</v>
      </c>
      <c r="L3717">
        <v>215.4349</v>
      </c>
      <c r="M3717">
        <v>0.99987950000000003</v>
      </c>
      <c r="N3717">
        <v>0</v>
      </c>
      <c r="O3717">
        <v>1.079929E-2</v>
      </c>
      <c r="P3717">
        <v>0.98627659999999995</v>
      </c>
      <c r="Q3717">
        <v>0.16292789999999999</v>
      </c>
      <c r="R3717">
        <v>-2.6708249999999999E-2</v>
      </c>
      <c r="S3717">
        <v>3.0650330000000001</v>
      </c>
      <c r="T3717">
        <v>-0.16010679999999999</v>
      </c>
      <c r="U3717">
        <v>-0.11576839999999999</v>
      </c>
      <c r="V3717">
        <v>3.7383550000000002E-2</v>
      </c>
      <c r="W3717">
        <v>0.17391889999999999</v>
      </c>
      <c r="X3717">
        <v>0.98405019999999999</v>
      </c>
      <c r="Y3717">
        <v>4.8453160000000002E-2</v>
      </c>
      <c r="Z3717">
        <v>-1.8277899999999999E-3</v>
      </c>
      <c r="AA3717">
        <v>0.99882380000000004</v>
      </c>
      <c r="AB3717">
        <v>45</v>
      </c>
      <c r="AC3717">
        <v>20.794899999999899</v>
      </c>
      <c r="AD3717">
        <v>-1.1095101662483999</v>
      </c>
      <c r="AE3717">
        <v>-0.80709999999999105</v>
      </c>
      <c r="AF3717">
        <v>1.0287129687754499</v>
      </c>
      <c r="AG3717">
        <v>-1.1095101662483999</v>
      </c>
      <c r="AH3717">
        <v>20.726057466866401</v>
      </c>
      <c r="AI3717">
        <v>93.060480474392193</v>
      </c>
      <c r="AJ3717">
        <v>87.158524607766097</v>
      </c>
      <c r="AK3717">
        <v>20.781210775625699</v>
      </c>
      <c r="AL3717">
        <v>79.984249640027599</v>
      </c>
      <c r="AM3717">
        <v>87.824409645684796</v>
      </c>
      <c r="AN3717">
        <v>1.0000000548539201</v>
      </c>
    </row>
    <row r="3718" spans="1:40" x14ac:dyDescent="0.25">
      <c r="A3718" t="str">
        <f>"20190312172444332"</f>
        <v>20190312172444332</v>
      </c>
      <c r="B3718" t="str">
        <f>"1552382684324472"</f>
        <v>1552382684324472</v>
      </c>
      <c r="C3718" t="s">
        <v>40</v>
      </c>
      <c r="D3718">
        <v>3.8128690000000001</v>
      </c>
      <c r="E3718">
        <v>0.50531740000000003</v>
      </c>
      <c r="F3718" t="s">
        <v>47</v>
      </c>
      <c r="G3718">
        <v>-224.0652</v>
      </c>
      <c r="H3718" s="1">
        <v>6.257575E-7</v>
      </c>
      <c r="I3718">
        <v>214.63390000000001</v>
      </c>
      <c r="J3718">
        <v>-244.5753</v>
      </c>
      <c r="K3718">
        <v>1.109521</v>
      </c>
      <c r="L3718">
        <v>215.44210000000001</v>
      </c>
      <c r="M3718">
        <v>0.99987919999999997</v>
      </c>
      <c r="N3718">
        <v>0</v>
      </c>
      <c r="O3718">
        <v>1.07475E-2</v>
      </c>
      <c r="P3718">
        <v>0.98615600000000003</v>
      </c>
      <c r="Q3718">
        <v>0.16333320000000001</v>
      </c>
      <c r="R3718">
        <v>-2.8609909999999999E-2</v>
      </c>
      <c r="S3718">
        <v>3.06514</v>
      </c>
      <c r="T3718">
        <v>-0.160527</v>
      </c>
      <c r="U3718">
        <v>-0.11589049999999999</v>
      </c>
      <c r="V3718">
        <v>3.923277E-2</v>
      </c>
      <c r="W3718">
        <v>0.17438429999999999</v>
      </c>
      <c r="X3718">
        <v>0.98389579999999999</v>
      </c>
      <c r="Y3718">
        <v>4.843952E-2</v>
      </c>
      <c r="Z3718">
        <v>-1.8294489999999999E-3</v>
      </c>
      <c r="AA3718">
        <v>0.99882439999999995</v>
      </c>
      <c r="AB3718">
        <v>45</v>
      </c>
      <c r="AC3718">
        <v>20.510099999999898</v>
      </c>
      <c r="AD3718">
        <v>-1.1095203742424999</v>
      </c>
      <c r="AE3718">
        <v>-0.80819999999999903</v>
      </c>
      <c r="AF3718">
        <v>1.02560283227935</v>
      </c>
      <c r="AG3718">
        <v>-1.1095203742424999</v>
      </c>
      <c r="AH3718">
        <v>20.440504055834602</v>
      </c>
      <c r="AI3718">
        <v>93.103097387191099</v>
      </c>
      <c r="AJ3718">
        <v>87.127591590844503</v>
      </c>
      <c r="AK3718">
        <v>20.496270457988999</v>
      </c>
      <c r="AL3718">
        <v>79.957170027626603</v>
      </c>
      <c r="AM3718">
        <v>87.716544886647597</v>
      </c>
      <c r="AN3718">
        <v>1.0000000197929999</v>
      </c>
    </row>
    <row r="3719" spans="1:40" x14ac:dyDescent="0.25">
      <c r="A3719" t="str">
        <f>"20190312172444353"</f>
        <v>20190312172444353</v>
      </c>
      <c r="B3719" t="str">
        <f>"1552382684343988"</f>
        <v>1552382684343988</v>
      </c>
      <c r="C3719" t="s">
        <v>40</v>
      </c>
      <c r="D3719">
        <v>3.826902</v>
      </c>
      <c r="E3719">
        <v>0.50511119999999998</v>
      </c>
      <c r="F3719" t="s">
        <v>47</v>
      </c>
      <c r="G3719">
        <v>-223.30449999999999</v>
      </c>
      <c r="H3719" s="1">
        <v>2.219023E-7</v>
      </c>
      <c r="I3719">
        <v>214.6112</v>
      </c>
      <c r="J3719">
        <v>-244.1438</v>
      </c>
      <c r="K3719">
        <v>1.109526</v>
      </c>
      <c r="L3719">
        <v>215.44669999999999</v>
      </c>
      <c r="M3719">
        <v>0.99987919999999997</v>
      </c>
      <c r="N3719">
        <v>0</v>
      </c>
      <c r="O3719">
        <v>1.0714359999999999E-2</v>
      </c>
      <c r="P3719">
        <v>0.98611769999999999</v>
      </c>
      <c r="Q3719">
        <v>0.16335839999999999</v>
      </c>
      <c r="R3719">
        <v>-2.9765050000000001E-2</v>
      </c>
      <c r="S3719">
        <v>3.0651250000000001</v>
      </c>
      <c r="T3719">
        <v>-0.1598821</v>
      </c>
      <c r="U3719">
        <v>-0.1197357</v>
      </c>
      <c r="V3719">
        <v>4.0354859999999999E-2</v>
      </c>
      <c r="W3719">
        <v>0.1744491</v>
      </c>
      <c r="X3719">
        <v>0.98383889999999996</v>
      </c>
      <c r="Y3719">
        <v>4.9656800000000001E-2</v>
      </c>
      <c r="Z3719">
        <v>-1.8520629999999999E-3</v>
      </c>
      <c r="AA3719">
        <v>0.9987646</v>
      </c>
      <c r="AB3719">
        <v>45</v>
      </c>
      <c r="AC3719">
        <v>20.839300000000001</v>
      </c>
      <c r="AD3719">
        <v>-1.1095257780976999</v>
      </c>
      <c r="AE3719">
        <v>-0.83549999999999602</v>
      </c>
      <c r="AF3719">
        <v>1.0557579899726099</v>
      </c>
      <c r="AG3719">
        <v>-1.1095257780976999</v>
      </c>
      <c r="AH3719">
        <v>20.770367781617502</v>
      </c>
      <c r="AI3719">
        <v>93.053823988616699</v>
      </c>
      <c r="AJ3719">
        <v>87.090159305363002</v>
      </c>
      <c r="AK3719">
        <v>20.826758033100301</v>
      </c>
      <c r="AL3719">
        <v>79.953399185516204</v>
      </c>
      <c r="AM3719">
        <v>87.651172601515697</v>
      </c>
      <c r="AN3719">
        <v>0.99999999218481905</v>
      </c>
    </row>
    <row r="3720" spans="1:40" x14ac:dyDescent="0.25">
      <c r="A3720" t="str">
        <f>"20190312172444376"</f>
        <v>20190312172444376</v>
      </c>
      <c r="B3720" t="str">
        <f>"1552382684374244"</f>
        <v>1552382684374244</v>
      </c>
      <c r="C3720" t="s">
        <v>40</v>
      </c>
      <c r="D3720">
        <v>3.8774709999999999</v>
      </c>
      <c r="E3720">
        <v>0.50481089999999995</v>
      </c>
      <c r="F3720" t="s">
        <v>47</v>
      </c>
      <c r="G3720">
        <v>-222.92740000000001</v>
      </c>
      <c r="H3720" s="1">
        <v>2.152052E-8</v>
      </c>
      <c r="I3720">
        <v>214.60489999999999</v>
      </c>
      <c r="J3720">
        <v>-243.6859</v>
      </c>
      <c r="K3720">
        <v>1.109532</v>
      </c>
      <c r="L3720">
        <v>215.45160000000001</v>
      </c>
      <c r="M3720">
        <v>0.99987910000000002</v>
      </c>
      <c r="N3720">
        <v>0</v>
      </c>
      <c r="O3720">
        <v>1.067941E-2</v>
      </c>
      <c r="P3720">
        <v>0.98599919999999996</v>
      </c>
      <c r="Q3720">
        <v>0.1638191</v>
      </c>
      <c r="R3720">
        <v>-3.112618E-2</v>
      </c>
      <c r="S3720">
        <v>3.0651090000000001</v>
      </c>
      <c r="T3720">
        <v>-0.16029170000000001</v>
      </c>
      <c r="U3720">
        <v>-0.1216125</v>
      </c>
      <c r="V3720">
        <v>4.1680229999999999E-2</v>
      </c>
      <c r="W3720">
        <v>0.17495189999999999</v>
      </c>
      <c r="X3720">
        <v>0.98369439999999997</v>
      </c>
      <c r="Y3720">
        <v>5.0231539999999998E-2</v>
      </c>
      <c r="Z3720">
        <v>-1.8699750000000001E-3</v>
      </c>
      <c r="AA3720">
        <v>0.99873579999999995</v>
      </c>
      <c r="AB3720">
        <v>45</v>
      </c>
      <c r="AC3720">
        <v>20.758500000000002</v>
      </c>
      <c r="AD3720">
        <v>-1.1095319784794799</v>
      </c>
      <c r="AE3720">
        <v>-0.84670000000002599</v>
      </c>
      <c r="AF3720">
        <v>1.0653160070127901</v>
      </c>
      <c r="AG3720">
        <v>-1.1095319784794799</v>
      </c>
      <c r="AH3720">
        <v>20.689265234969302</v>
      </c>
      <c r="AI3720">
        <v>93.065686135723595</v>
      </c>
      <c r="AJ3720">
        <v>87.0523722529054</v>
      </c>
      <c r="AK3720">
        <v>20.746364871200399</v>
      </c>
      <c r="AL3720">
        <v>79.924141416654095</v>
      </c>
      <c r="AM3720">
        <v>87.573765107297504</v>
      </c>
      <c r="AN3720">
        <v>1.00000004073891</v>
      </c>
    </row>
    <row r="3721" spans="1:40" x14ac:dyDescent="0.25">
      <c r="A3721" t="str">
        <f>"20190312172444398"</f>
        <v>20190312172444398</v>
      </c>
      <c r="B3721" t="str">
        <f>"1552382684393767"</f>
        <v>1552382684393767</v>
      </c>
      <c r="C3721" t="s">
        <v>40</v>
      </c>
      <c r="D3721">
        <v>3.9217499999999998</v>
      </c>
      <c r="E3721">
        <v>0.50485119999999895</v>
      </c>
      <c r="F3721" t="s">
        <v>47</v>
      </c>
      <c r="G3721">
        <v>-222.31739999999999</v>
      </c>
      <c r="H3721" s="1">
        <v>-3.0237129999999998E-7</v>
      </c>
      <c r="I3721">
        <v>214.58799999999999</v>
      </c>
      <c r="J3721">
        <v>-243.23689999999999</v>
      </c>
      <c r="K3721">
        <v>1.1095410000000001</v>
      </c>
      <c r="L3721">
        <v>215.4564</v>
      </c>
      <c r="M3721">
        <v>0.99987890000000001</v>
      </c>
      <c r="N3721">
        <v>0</v>
      </c>
      <c r="O3721">
        <v>1.064492E-2</v>
      </c>
      <c r="P3721">
        <v>0.98593109999999995</v>
      </c>
      <c r="Q3721">
        <v>0.16388529999999901</v>
      </c>
      <c r="R3721">
        <v>-3.2891919999999998E-2</v>
      </c>
      <c r="S3721">
        <v>3.0651090000000001</v>
      </c>
      <c r="T3721">
        <v>-0.1591513</v>
      </c>
      <c r="U3721">
        <v>-0.1238708</v>
      </c>
      <c r="V3721">
        <v>4.3411039999999998E-2</v>
      </c>
      <c r="W3721">
        <v>0.17506360000000001</v>
      </c>
      <c r="X3721">
        <v>0.98359960000000002</v>
      </c>
      <c r="Y3721">
        <v>5.0932039999999998E-2</v>
      </c>
      <c r="Z3721">
        <v>-1.8730400000000001E-3</v>
      </c>
      <c r="AA3721">
        <v>0.99870040000000004</v>
      </c>
      <c r="AB3721">
        <v>45</v>
      </c>
      <c r="AC3721">
        <v>20.919499999999999</v>
      </c>
      <c r="AD3721">
        <v>-1.1095413023713001</v>
      </c>
      <c r="AE3721">
        <v>-0.86840000000000805</v>
      </c>
      <c r="AF3721">
        <v>1.08799617422794</v>
      </c>
      <c r="AG3721">
        <v>-1.1095413023713001</v>
      </c>
      <c r="AH3721">
        <v>20.850516353560302</v>
      </c>
      <c r="AI3721">
        <v>93.041939100132296</v>
      </c>
      <c r="AJ3721">
        <v>87.012970719216298</v>
      </c>
      <c r="AK3721">
        <v>20.908344023066199</v>
      </c>
      <c r="AL3721">
        <v>79.917640518839903</v>
      </c>
      <c r="AM3721">
        <v>87.472898232027305</v>
      </c>
      <c r="AN3721">
        <v>0.9999999777795</v>
      </c>
    </row>
    <row r="3722" spans="1:40" x14ac:dyDescent="0.25">
      <c r="A3722" t="str">
        <f>"20190312172444421"</f>
        <v>20190312172444421</v>
      </c>
      <c r="B3722" t="str">
        <f>"1552382684414263"</f>
        <v>1552382684414263</v>
      </c>
      <c r="C3722" t="s">
        <v>40</v>
      </c>
      <c r="D3722">
        <v>3.889637</v>
      </c>
      <c r="E3722">
        <v>0.53775909999999905</v>
      </c>
      <c r="F3722" t="s">
        <v>47</v>
      </c>
      <c r="G3722">
        <v>-221.82939999999999</v>
      </c>
      <c r="H3722" s="1">
        <v>-5.6031129999999997E-7</v>
      </c>
      <c r="I3722">
        <v>214.54820000000001</v>
      </c>
      <c r="J3722">
        <v>-242.78530000000001</v>
      </c>
      <c r="K3722">
        <v>1.109551</v>
      </c>
      <c r="L3722">
        <v>215.46109999999999</v>
      </c>
      <c r="M3722">
        <v>0.99987859999999995</v>
      </c>
      <c r="N3722">
        <v>0</v>
      </c>
      <c r="O3722">
        <v>1.0610380000000001E-2</v>
      </c>
      <c r="P3722">
        <v>0.98583639999999995</v>
      </c>
      <c r="Q3722">
        <v>0.16402359999999999</v>
      </c>
      <c r="R3722">
        <v>-3.4970519999999998E-2</v>
      </c>
      <c r="S3722">
        <v>3.0648650000000002</v>
      </c>
      <c r="T3722">
        <v>-0.15885070000000001</v>
      </c>
      <c r="U3722">
        <v>-0.1300201</v>
      </c>
      <c r="V3722">
        <v>4.5454719999999997E-2</v>
      </c>
      <c r="W3722">
        <v>0.1752552</v>
      </c>
      <c r="X3722">
        <v>0.98347320000000005</v>
      </c>
      <c r="Y3722">
        <v>5.2898720000000003E-2</v>
      </c>
      <c r="Z3722">
        <v>-1.9187E-3</v>
      </c>
      <c r="AA3722">
        <v>0.99859799999999999</v>
      </c>
      <c r="AB3722">
        <v>45</v>
      </c>
      <c r="AC3722">
        <v>20.9559</v>
      </c>
      <c r="AD3722">
        <v>-1.1095515603113</v>
      </c>
      <c r="AE3722">
        <v>-0.91289999999997895</v>
      </c>
      <c r="AF3722">
        <v>1.13204559828991</v>
      </c>
      <c r="AG3722">
        <v>-1.1095515603113</v>
      </c>
      <c r="AH3722">
        <v>20.8865911625984</v>
      </c>
      <c r="AI3722">
        <v>93.036398454422297</v>
      </c>
      <c r="AJ3722">
        <v>86.897625185484699</v>
      </c>
      <c r="AK3722">
        <v>20.946654202882399</v>
      </c>
      <c r="AL3722">
        <v>79.906490756145701</v>
      </c>
      <c r="AM3722">
        <v>87.353754483546695</v>
      </c>
      <c r="AN3722">
        <v>1.0000000259077699</v>
      </c>
    </row>
    <row r="3723" spans="1:40" x14ac:dyDescent="0.25">
      <c r="A3723" t="str">
        <f>"20190312172444443"</f>
        <v>20190312172444443</v>
      </c>
      <c r="B3723" t="str">
        <f>"1552382684433780"</f>
        <v>1552382684433780</v>
      </c>
      <c r="C3723" t="s">
        <v>40</v>
      </c>
      <c r="D3723">
        <v>3.919972</v>
      </c>
      <c r="E3723">
        <v>0.53904099999999999</v>
      </c>
      <c r="F3723" t="s">
        <v>47</v>
      </c>
      <c r="G3723">
        <v>-222.72970000000001</v>
      </c>
      <c r="H3723" s="1">
        <v>-6.732627E-9</v>
      </c>
      <c r="I3723">
        <v>212.845</v>
      </c>
      <c r="J3723">
        <v>-242.33619999999999</v>
      </c>
      <c r="K3723">
        <v>1.109559</v>
      </c>
      <c r="L3723">
        <v>215.4659</v>
      </c>
      <c r="M3723">
        <v>0.99987820000000005</v>
      </c>
      <c r="N3723">
        <v>0</v>
      </c>
      <c r="O3723">
        <v>1.057612E-2</v>
      </c>
      <c r="P3723">
        <v>0.98577930000000002</v>
      </c>
      <c r="Q3723">
        <v>0.1639632</v>
      </c>
      <c r="R3723">
        <v>-3.6816729999999999E-2</v>
      </c>
      <c r="S3723">
        <v>3.0570979999999999</v>
      </c>
      <c r="T3723">
        <v>-0.16913010000000001</v>
      </c>
      <c r="U3723">
        <v>-0.39877319999999999</v>
      </c>
      <c r="V3723">
        <v>4.7266509999999998E-2</v>
      </c>
      <c r="W3723">
        <v>0.17526079999999999</v>
      </c>
      <c r="X3723">
        <v>0.98338680000000001</v>
      </c>
      <c r="Y3723">
        <v>0.139600799999999</v>
      </c>
      <c r="Z3723">
        <v>-4.4247619999999996E-3</v>
      </c>
      <c r="AA3723">
        <v>0.99019800000000002</v>
      </c>
      <c r="AB3723">
        <v>45</v>
      </c>
      <c r="AC3723">
        <v>19.606499999999901</v>
      </c>
      <c r="AD3723">
        <v>-1.10955900673262</v>
      </c>
      <c r="AE3723">
        <v>-2.6208999999999998</v>
      </c>
      <c r="AF3723">
        <v>2.8192573474369702</v>
      </c>
      <c r="AG3723">
        <v>-1.10955900673262</v>
      </c>
      <c r="AH3723">
        <v>19.5162772267519</v>
      </c>
      <c r="AI3723">
        <v>93.220576283831093</v>
      </c>
      <c r="AJ3723">
        <v>81.780101925599695</v>
      </c>
      <c r="AK3723">
        <v>19.750048353660599</v>
      </c>
      <c r="AL3723">
        <v>79.906164945346902</v>
      </c>
      <c r="AM3723">
        <v>87.248194803140706</v>
      </c>
      <c r="AN3723">
        <v>1.0000000346992199</v>
      </c>
    </row>
    <row r="3724" spans="1:40" x14ac:dyDescent="0.25">
      <c r="A3724" t="str">
        <f>"20190312172444465"</f>
        <v>20190312172444465</v>
      </c>
      <c r="B3724" t="str">
        <f>"1552382684454276"</f>
        <v>1552382684454276</v>
      </c>
      <c r="C3724" t="s">
        <v>40</v>
      </c>
      <c r="D3724">
        <v>3.9187129999999999</v>
      </c>
      <c r="E3724">
        <v>0.53946660000000002</v>
      </c>
      <c r="F3724" t="s">
        <v>47</v>
      </c>
      <c r="G3724">
        <v>-222.54480000000001</v>
      </c>
      <c r="H3724" s="1">
        <v>-1.0226420000000001E-7</v>
      </c>
      <c r="I3724">
        <v>212.77869999999999</v>
      </c>
      <c r="J3724">
        <v>-241.89670000000001</v>
      </c>
      <c r="K3724">
        <v>1.1095699999999999</v>
      </c>
      <c r="L3724">
        <v>215.47049999999999</v>
      </c>
      <c r="M3724">
        <v>0.99987749999999997</v>
      </c>
      <c r="N3724">
        <v>0</v>
      </c>
      <c r="O3724">
        <v>1.054245E-2</v>
      </c>
      <c r="P3724">
        <v>0.98567939999999998</v>
      </c>
      <c r="Q3724">
        <v>0.1642315</v>
      </c>
      <c r="R3724">
        <v>-3.8260710000000003E-2</v>
      </c>
      <c r="S3724">
        <v>3.0562589999999998</v>
      </c>
      <c r="T3724">
        <v>-0.1713421</v>
      </c>
      <c r="U3724">
        <v>-0.41496280000000002</v>
      </c>
      <c r="V3724">
        <v>4.867635E-2</v>
      </c>
      <c r="W3724">
        <v>0.17560580000000001</v>
      </c>
      <c r="X3724">
        <v>0.98325649999999998</v>
      </c>
      <c r="Y3724">
        <v>0.1447406</v>
      </c>
      <c r="Z3724">
        <v>-4.6236389999999997E-3</v>
      </c>
      <c r="AA3724">
        <v>0.98945890000000003</v>
      </c>
      <c r="AB3724">
        <v>45</v>
      </c>
      <c r="AC3724">
        <v>19.351900000000001</v>
      </c>
      <c r="AD3724">
        <v>-1.1095701022641999</v>
      </c>
      <c r="AE3724">
        <v>-2.6918000000000002</v>
      </c>
      <c r="AF3724">
        <v>2.8863717167789402</v>
      </c>
      <c r="AG3724">
        <v>-1.1095701022641999</v>
      </c>
      <c r="AH3724">
        <v>19.260328349599099</v>
      </c>
      <c r="AI3724">
        <v>93.260781154800796</v>
      </c>
      <c r="AJ3724">
        <v>81.477024431117997</v>
      </c>
      <c r="AK3724">
        <v>19.506986841478898</v>
      </c>
      <c r="AL3724">
        <v>79.886086815724994</v>
      </c>
      <c r="AM3724">
        <v>87.165872379522199</v>
      </c>
      <c r="AN3724">
        <v>1.0000000644175999</v>
      </c>
    </row>
    <row r="3725" spans="1:40" x14ac:dyDescent="0.25">
      <c r="A3725" t="str">
        <f>"20190312172444489"</f>
        <v>20190312172444489</v>
      </c>
      <c r="B3725" t="str">
        <f>"1552382684484532"</f>
        <v>1552382684484532</v>
      </c>
      <c r="C3725" t="s">
        <v>40</v>
      </c>
      <c r="D3725">
        <v>3.856274</v>
      </c>
      <c r="E3725">
        <v>0.54014209999999996</v>
      </c>
      <c r="F3725" t="s">
        <v>47</v>
      </c>
      <c r="G3725">
        <v>-222.4153</v>
      </c>
      <c r="H3725" s="1">
        <v>-1.70923E-7</v>
      </c>
      <c r="I3725">
        <v>212.773</v>
      </c>
      <c r="J3725">
        <v>-241.43369999999999</v>
      </c>
      <c r="K3725">
        <v>1.109586</v>
      </c>
      <c r="L3725">
        <v>215.47540000000001</v>
      </c>
      <c r="M3725">
        <v>0.99987709999999996</v>
      </c>
      <c r="N3725">
        <v>0</v>
      </c>
      <c r="O3725">
        <v>1.05065E-2</v>
      </c>
      <c r="P3725">
        <v>0.98566339999999997</v>
      </c>
      <c r="Q3725">
        <v>0.16402729999999999</v>
      </c>
      <c r="R3725">
        <v>-3.953802E-2</v>
      </c>
      <c r="S3725">
        <v>3.056168</v>
      </c>
      <c r="T3725">
        <v>-0.17406489999999999</v>
      </c>
      <c r="U3725">
        <v>-0.42317199999999999</v>
      </c>
      <c r="V3725">
        <v>4.99181E-2</v>
      </c>
      <c r="W3725">
        <v>0.1754908</v>
      </c>
      <c r="X3725">
        <v>0.9832147</v>
      </c>
      <c r="Y3725">
        <v>0.14730560000000001</v>
      </c>
      <c r="Z3725">
        <v>-4.766892E-3</v>
      </c>
      <c r="AA3725">
        <v>0.9890795</v>
      </c>
      <c r="AB3725">
        <v>45</v>
      </c>
      <c r="AC3725">
        <v>19.0183999999999</v>
      </c>
      <c r="AD3725">
        <v>-1.1095861709229999</v>
      </c>
      <c r="AE3725">
        <v>-2.7024000000000101</v>
      </c>
      <c r="AF3725">
        <v>2.89243053912781</v>
      </c>
      <c r="AG3725">
        <v>-1.1095861709229999</v>
      </c>
      <c r="AH3725">
        <v>18.925809253930801</v>
      </c>
      <c r="AI3725">
        <v>93.316882569207394</v>
      </c>
      <c r="AJ3725">
        <v>81.310724205117296</v>
      </c>
      <c r="AK3725">
        <v>19.177684735404199</v>
      </c>
      <c r="AL3725">
        <v>79.892779025768903</v>
      </c>
      <c r="AM3725">
        <v>87.093571904202506</v>
      </c>
      <c r="AN3725">
        <v>0.999999991944169</v>
      </c>
    </row>
    <row r="3726" spans="1:40" x14ac:dyDescent="0.25">
      <c r="A3726" t="str">
        <f>"20190312172444511"</f>
        <v>20190312172444511</v>
      </c>
      <c r="B3726" t="str">
        <f>"1552382684504052"</f>
        <v>1552382684504052</v>
      </c>
      <c r="C3726" t="s">
        <v>40</v>
      </c>
      <c r="D3726">
        <v>3.8975520000000001</v>
      </c>
      <c r="E3726">
        <v>0.54036049999999902</v>
      </c>
      <c r="F3726" t="s">
        <v>47</v>
      </c>
      <c r="G3726">
        <v>-222.10990000000001</v>
      </c>
      <c r="H3726" s="1">
        <v>-3.32086599999999E-7</v>
      </c>
      <c r="I3726">
        <v>212.74199999999999</v>
      </c>
      <c r="J3726">
        <v>-240.9742</v>
      </c>
      <c r="K3726">
        <v>1.1095999999999999</v>
      </c>
      <c r="L3726">
        <v>215.48009999999999</v>
      </c>
      <c r="M3726">
        <v>0.99987610000000005</v>
      </c>
      <c r="N3726">
        <v>0</v>
      </c>
      <c r="O3726">
        <v>1.047122E-2</v>
      </c>
      <c r="P3726">
        <v>0.98567210000000005</v>
      </c>
      <c r="Q3726">
        <v>0.16374530000000001</v>
      </c>
      <c r="R3726">
        <v>-4.0474959999999997E-2</v>
      </c>
      <c r="S3726">
        <v>3.0554960000000002</v>
      </c>
      <c r="T3726">
        <v>-0.17544899999999999</v>
      </c>
      <c r="U3726">
        <v>-0.43220520000000001</v>
      </c>
      <c r="V3726">
        <v>5.0820499999999998E-2</v>
      </c>
      <c r="W3726">
        <v>0.17530490000000001</v>
      </c>
      <c r="X3726">
        <v>0.98320160000000001</v>
      </c>
      <c r="Y3726">
        <v>0.15015899999999999</v>
      </c>
      <c r="Z3726">
        <v>-4.8842410000000001E-3</v>
      </c>
      <c r="AA3726">
        <v>0.98864980000000002</v>
      </c>
      <c r="AB3726">
        <v>45</v>
      </c>
      <c r="AC3726">
        <v>18.864299999999901</v>
      </c>
      <c r="AD3726">
        <v>-1.1096003320865999</v>
      </c>
      <c r="AE3726">
        <v>-2.73809999999997</v>
      </c>
      <c r="AF3726">
        <v>2.9255826413877202</v>
      </c>
      <c r="AG3726">
        <v>-1.1096003320865999</v>
      </c>
      <c r="AH3726">
        <v>18.7709884078544</v>
      </c>
      <c r="AI3726">
        <v>93.342698490110394</v>
      </c>
      <c r="AJ3726">
        <v>81.141344522025804</v>
      </c>
      <c r="AK3726">
        <v>19.029982987285099</v>
      </c>
      <c r="AL3726">
        <v>79.903597692428804</v>
      </c>
      <c r="AM3726">
        <v>87.041083812679702</v>
      </c>
      <c r="AN3726">
        <v>0.99999995871340897</v>
      </c>
    </row>
    <row r="3727" spans="1:40" x14ac:dyDescent="0.25">
      <c r="A3727" t="str">
        <f>"20190312172444533"</f>
        <v>20190312172444533</v>
      </c>
      <c r="B3727" t="str">
        <f>"1552382684524548"</f>
        <v>1552382684524548</v>
      </c>
      <c r="C3727" t="s">
        <v>40</v>
      </c>
      <c r="D3727">
        <v>3.9630000000000001</v>
      </c>
      <c r="E3727">
        <v>0.54023189999999999</v>
      </c>
      <c r="F3727" t="s">
        <v>47</v>
      </c>
      <c r="G3727">
        <v>-221.8912</v>
      </c>
      <c r="H3727" s="1">
        <v>-4.4890359999999999E-7</v>
      </c>
      <c r="I3727">
        <v>212.75200000000001</v>
      </c>
      <c r="J3727">
        <v>-240.5368</v>
      </c>
      <c r="K3727">
        <v>1.10961</v>
      </c>
      <c r="L3727">
        <v>215.4847</v>
      </c>
      <c r="M3727">
        <v>0.99987530000000002</v>
      </c>
      <c r="N3727">
        <v>0</v>
      </c>
      <c r="O3727">
        <v>1.0434880000000001E-2</v>
      </c>
      <c r="P3727">
        <v>0.98565380000000002</v>
      </c>
      <c r="Q3727">
        <v>0.16368779999999999</v>
      </c>
      <c r="R3727">
        <v>-4.1147860000000001E-2</v>
      </c>
      <c r="S3727">
        <v>3.0551910000000002</v>
      </c>
      <c r="T3727">
        <v>-0.1776471</v>
      </c>
      <c r="U3727">
        <v>-0.43678280000000003</v>
      </c>
      <c r="V3727">
        <v>5.1458440000000001E-2</v>
      </c>
      <c r="W3727">
        <v>0.1753458</v>
      </c>
      <c r="X3727">
        <v>0.98316119999999996</v>
      </c>
      <c r="Y3727">
        <v>0.15157979999999999</v>
      </c>
      <c r="Z3727">
        <v>-4.9842659999999898E-3</v>
      </c>
      <c r="AA3727">
        <v>0.98843250000000005</v>
      </c>
      <c r="AB3727">
        <v>45</v>
      </c>
      <c r="AC3727">
        <v>18.645600000000002</v>
      </c>
      <c r="AD3727">
        <v>-1.1096104489036001</v>
      </c>
      <c r="AE3727">
        <v>-2.7326999999999901</v>
      </c>
      <c r="AF3727">
        <v>2.9170160613421801</v>
      </c>
      <c r="AG3727">
        <v>-1.1096104489036001</v>
      </c>
      <c r="AH3727">
        <v>18.551747694618999</v>
      </c>
      <c r="AI3727">
        <v>93.381429897426898</v>
      </c>
      <c r="AJ3727">
        <v>81.064161319369106</v>
      </c>
      <c r="AK3727">
        <v>18.8124310118402</v>
      </c>
      <c r="AL3727">
        <v>79.901218183028803</v>
      </c>
      <c r="AM3727">
        <v>87.003885467220499</v>
      </c>
      <c r="AN3727">
        <v>1.0000000329051499</v>
      </c>
    </row>
    <row r="3728" spans="1:40" x14ac:dyDescent="0.25">
      <c r="A3728" t="str">
        <f>"20190312172444554"</f>
        <v>20190312172444554</v>
      </c>
      <c r="B3728" t="str">
        <f>"1552382684544068"</f>
        <v>1552382684544068</v>
      </c>
      <c r="C3728" t="s">
        <v>40</v>
      </c>
      <c r="D3728">
        <v>3.953039</v>
      </c>
      <c r="E3728">
        <v>0.54016299999999995</v>
      </c>
      <c r="F3728" t="s">
        <v>47</v>
      </c>
      <c r="G3728">
        <v>-221.7628</v>
      </c>
      <c r="H3728" s="1">
        <v>-5.1914559999999996E-7</v>
      </c>
      <c r="I3728">
        <v>212.79650000000001</v>
      </c>
      <c r="J3728">
        <v>-240.10220000000001</v>
      </c>
      <c r="K3728">
        <v>1.1096250000000001</v>
      </c>
      <c r="L3728">
        <v>215.48920000000001</v>
      </c>
      <c r="M3728">
        <v>0.99987440000000005</v>
      </c>
      <c r="N3728">
        <v>0</v>
      </c>
      <c r="O3728">
        <v>1.0395440000000001E-2</v>
      </c>
      <c r="P3728">
        <v>0.98562119999999998</v>
      </c>
      <c r="Q3728">
        <v>0.1637865</v>
      </c>
      <c r="R3728">
        <v>-4.1532550000000001E-2</v>
      </c>
      <c r="S3728">
        <v>3.0553889999999999</v>
      </c>
      <c r="T3728">
        <v>-0.18058489999999999</v>
      </c>
      <c r="U3728">
        <v>-0.4374847</v>
      </c>
      <c r="V3728">
        <v>5.1805169999999998E-2</v>
      </c>
      <c r="W3728">
        <v>0.17554719999999999</v>
      </c>
      <c r="X3728">
        <v>0.98310699999999995</v>
      </c>
      <c r="Y3728">
        <v>0.1517452</v>
      </c>
      <c r="Z3728">
        <v>-5.068688E-3</v>
      </c>
      <c r="AA3728">
        <v>0.98840669999999997</v>
      </c>
      <c r="AB3728">
        <v>45</v>
      </c>
      <c r="AC3728">
        <v>18.339400000000001</v>
      </c>
      <c r="AD3728">
        <v>-1.1096255191455999</v>
      </c>
      <c r="AE3728">
        <v>-2.6926999999999999</v>
      </c>
      <c r="AF3728">
        <v>2.8729188629823201</v>
      </c>
      <c r="AG3728">
        <v>-1.1096255191455999</v>
      </c>
      <c r="AH3728">
        <v>18.2450321850358</v>
      </c>
      <c r="AI3728">
        <v>93.438066933940405</v>
      </c>
      <c r="AJ3728">
        <v>81.051505816811698</v>
      </c>
      <c r="AK3728">
        <v>18.503138409983599</v>
      </c>
      <c r="AL3728">
        <v>79.889496508816407</v>
      </c>
      <c r="AM3728">
        <v>86.983568641189393</v>
      </c>
      <c r="AN3728">
        <v>0.99999998425778402</v>
      </c>
    </row>
    <row r="3729" spans="1:40" x14ac:dyDescent="0.25">
      <c r="A3729" t="str">
        <f>"20190312172444578"</f>
        <v>20190312172444578</v>
      </c>
      <c r="B3729" t="str">
        <f>"1552382684574325"</f>
        <v>1552382684574325</v>
      </c>
      <c r="C3729" t="s">
        <v>40</v>
      </c>
      <c r="D3729">
        <v>3.9518300000000002</v>
      </c>
      <c r="E3729">
        <v>0.54009069999999904</v>
      </c>
      <c r="F3729" t="s">
        <v>47</v>
      </c>
      <c r="G3729">
        <v>-221.45269999999999</v>
      </c>
      <c r="H3729" s="1">
        <v>-6.8496209999999996E-7</v>
      </c>
      <c r="I3729">
        <v>212.81460000000001</v>
      </c>
      <c r="J3729">
        <v>-239.6413</v>
      </c>
      <c r="K3729">
        <v>1.1096429999999999</v>
      </c>
      <c r="L3729">
        <v>215.4939</v>
      </c>
      <c r="M3729">
        <v>0.99987349999999997</v>
      </c>
      <c r="N3729">
        <v>0</v>
      </c>
      <c r="O3729">
        <v>1.0356799999999999E-2</v>
      </c>
      <c r="P3729">
        <v>0.98550420000000005</v>
      </c>
      <c r="Q3729">
        <v>0.16435439999999901</v>
      </c>
      <c r="R3729">
        <v>-4.2063490000000002E-2</v>
      </c>
      <c r="S3729">
        <v>3.0554960000000002</v>
      </c>
      <c r="T3729">
        <v>-0.18179870000000001</v>
      </c>
      <c r="U3729">
        <v>-0.43820189999999998</v>
      </c>
      <c r="V3729">
        <v>5.2298190000000001E-2</v>
      </c>
      <c r="W3729">
        <v>0.1762254</v>
      </c>
      <c r="X3729">
        <v>0.98295960000000004</v>
      </c>
      <c r="Y3729">
        <v>0.15192549999999999</v>
      </c>
      <c r="Z3729">
        <v>-5.1054830000000001E-3</v>
      </c>
      <c r="AA3729">
        <v>0.9883788</v>
      </c>
      <c r="AB3729">
        <v>45</v>
      </c>
      <c r="AC3729">
        <v>18.188600000000001</v>
      </c>
      <c r="AD3729">
        <v>-1.1096436849621001</v>
      </c>
      <c r="AE3729">
        <v>-2.67929999999998</v>
      </c>
      <c r="AF3729">
        <v>2.8571374751919398</v>
      </c>
      <c r="AG3729">
        <v>-1.1096436849621001</v>
      </c>
      <c r="AH3729">
        <v>18.093959134785798</v>
      </c>
      <c r="AI3729">
        <v>93.466524046792401</v>
      </c>
      <c r="AJ3729">
        <v>81.026766107737402</v>
      </c>
      <c r="AK3729">
        <v>18.351727461768299</v>
      </c>
      <c r="AL3729">
        <v>79.850023646859896</v>
      </c>
      <c r="AM3729">
        <v>86.954459839720002</v>
      </c>
      <c r="AN3729">
        <v>1.0000000337572901</v>
      </c>
    </row>
    <row r="3730" spans="1:40" x14ac:dyDescent="0.25">
      <c r="A3730" t="str">
        <f>"20190312172444600"</f>
        <v>20190312172444600</v>
      </c>
      <c r="B3730" t="str">
        <f>"1552382684593847"</f>
        <v>1552382684593847</v>
      </c>
      <c r="C3730" t="s">
        <v>40</v>
      </c>
      <c r="D3730">
        <v>3.919508</v>
      </c>
      <c r="E3730">
        <v>0.54031280000000004</v>
      </c>
      <c r="F3730" t="s">
        <v>47</v>
      </c>
      <c r="G3730">
        <v>-221.0975</v>
      </c>
      <c r="H3730" s="1">
        <v>-8.7459649999999997E-7</v>
      </c>
      <c r="I3730">
        <v>212.82859999999999</v>
      </c>
      <c r="J3730">
        <v>-239.1884</v>
      </c>
      <c r="K3730">
        <v>1.1096629999999901</v>
      </c>
      <c r="L3730">
        <v>215.49850000000001</v>
      </c>
      <c r="M3730">
        <v>0.9998726</v>
      </c>
      <c r="N3730">
        <v>0</v>
      </c>
      <c r="O3730">
        <v>1.0325859999999999E-2</v>
      </c>
      <c r="P3730">
        <v>0.9854136</v>
      </c>
      <c r="Q3730">
        <v>0.16475529999999999</v>
      </c>
      <c r="R3730">
        <v>-4.2615550000000002E-2</v>
      </c>
      <c r="S3730">
        <v>3.0558619999999999</v>
      </c>
      <c r="T3730">
        <v>-0.18285999999999999</v>
      </c>
      <c r="U3730">
        <v>-0.43922420000000001</v>
      </c>
      <c r="V3730">
        <v>5.281959E-2</v>
      </c>
      <c r="W3730">
        <v>0.17673520000000001</v>
      </c>
      <c r="X3730">
        <v>0.98284020000000005</v>
      </c>
      <c r="Y3730">
        <v>0.15219869999999999</v>
      </c>
      <c r="Z3730">
        <v>-5.1407909999999996E-3</v>
      </c>
      <c r="AA3730">
        <v>0.98833660000000001</v>
      </c>
      <c r="AB3730">
        <v>45</v>
      </c>
      <c r="AC3730">
        <v>18.090900000000001</v>
      </c>
      <c r="AD3730">
        <v>-1.10966387459649</v>
      </c>
      <c r="AE3730">
        <v>-2.6699000000000099</v>
      </c>
      <c r="AF3730">
        <v>2.8460957448415001</v>
      </c>
      <c r="AG3730">
        <v>-1.10966387459649</v>
      </c>
      <c r="AH3730">
        <v>17.996099458598898</v>
      </c>
      <c r="AI3730">
        <v>93.485259938057894</v>
      </c>
      <c r="AJ3730">
        <v>81.013065015458096</v>
      </c>
      <c r="AK3730">
        <v>18.253525977935698</v>
      </c>
      <c r="AL3730">
        <v>79.820348643504602</v>
      </c>
      <c r="AM3730">
        <v>86.923781624438604</v>
      </c>
      <c r="AN3730">
        <v>1.0000000493714201</v>
      </c>
    </row>
    <row r="3731" spans="1:40" x14ac:dyDescent="0.25">
      <c r="A3731" t="str">
        <f>"20190312172444623"</f>
        <v>20190312172444623</v>
      </c>
      <c r="B3731" t="str">
        <f>"1552382684614340"</f>
        <v>1552382684614340</v>
      </c>
      <c r="C3731" t="s">
        <v>40</v>
      </c>
      <c r="D3731">
        <v>3.9103520000000001</v>
      </c>
      <c r="E3731">
        <v>0.54051340000000003</v>
      </c>
      <c r="F3731" t="s">
        <v>47</v>
      </c>
      <c r="G3731">
        <v>-220.5866</v>
      </c>
      <c r="H3731" s="1">
        <v>-1.1453249999999999E-6</v>
      </c>
      <c r="I3731">
        <v>212.80179999999999</v>
      </c>
      <c r="J3731">
        <v>-238.72710000000001</v>
      </c>
      <c r="K3731">
        <v>1.109683</v>
      </c>
      <c r="L3731">
        <v>215.5033</v>
      </c>
      <c r="M3731">
        <v>0.99987130000000002</v>
      </c>
      <c r="N3731">
        <v>0</v>
      </c>
      <c r="O3731">
        <v>1.029952E-2</v>
      </c>
      <c r="P3731">
        <v>0.98530209999999996</v>
      </c>
      <c r="Q3731">
        <v>0.1651715</v>
      </c>
      <c r="R3731">
        <v>-4.3571600000000002E-2</v>
      </c>
      <c r="S3731">
        <v>3.0557249999999998</v>
      </c>
      <c r="T3731">
        <v>-0.18228440000000001</v>
      </c>
      <c r="U3731">
        <v>-0.44299319999999998</v>
      </c>
      <c r="V3731">
        <v>5.3748200000000003E-2</v>
      </c>
      <c r="W3731">
        <v>0.17726259999999999</v>
      </c>
      <c r="X3731">
        <v>0.98269479999999998</v>
      </c>
      <c r="Y3731">
        <v>0.153372799999999</v>
      </c>
      <c r="Z3731">
        <v>-5.1576620000000004E-3</v>
      </c>
      <c r="AA3731">
        <v>0.98815489999999995</v>
      </c>
      <c r="AB3731">
        <v>45</v>
      </c>
      <c r="AC3731">
        <v>18.140499999999999</v>
      </c>
      <c r="AD3731">
        <v>-1.1096841453249999</v>
      </c>
      <c r="AE3731">
        <v>-2.7014999999999998</v>
      </c>
      <c r="AF3731">
        <v>2.8776747234424498</v>
      </c>
      <c r="AG3731">
        <v>-1.1096841453249999</v>
      </c>
      <c r="AH3731">
        <v>18.045650191231601</v>
      </c>
      <c r="AI3731">
        <v>93.4750701853321</v>
      </c>
      <c r="AJ3731">
        <v>80.939535911773504</v>
      </c>
      <c r="AK3731">
        <v>18.307318250924201</v>
      </c>
      <c r="AL3731">
        <v>79.7896454163903</v>
      </c>
      <c r="AM3731">
        <v>86.869343680154898</v>
      </c>
      <c r="AN3731">
        <v>0.99999998415451896</v>
      </c>
    </row>
    <row r="3732" spans="1:40" x14ac:dyDescent="0.25">
      <c r="A3732" t="str">
        <f>"20190312172444655"</f>
        <v>20190312172444655</v>
      </c>
      <c r="B3732" t="str">
        <f>"1552382684644596"</f>
        <v>1552382684644596</v>
      </c>
      <c r="C3732" t="s">
        <v>40</v>
      </c>
      <c r="D3732">
        <v>3.957138</v>
      </c>
      <c r="E3732">
        <v>0.54041110000000003</v>
      </c>
      <c r="F3732" t="s">
        <v>47</v>
      </c>
      <c r="G3732">
        <v>-220.03100000000001</v>
      </c>
      <c r="H3732" s="1">
        <v>-1.439272E-6</v>
      </c>
      <c r="I3732">
        <v>212.76310000000001</v>
      </c>
      <c r="J3732">
        <v>-238.08330000000001</v>
      </c>
      <c r="K3732">
        <v>1.1097060000000001</v>
      </c>
      <c r="L3732">
        <v>215.50980000000001</v>
      </c>
      <c r="M3732">
        <v>0.99987009999999998</v>
      </c>
      <c r="N3732">
        <v>0</v>
      </c>
      <c r="O3732">
        <v>1.024721E-2</v>
      </c>
      <c r="P3732">
        <v>0.98525770000000001</v>
      </c>
      <c r="Q3732">
        <v>0.16507249999999901</v>
      </c>
      <c r="R3732">
        <v>-4.4931869999999999E-2</v>
      </c>
      <c r="S3732">
        <v>3.0553590000000002</v>
      </c>
      <c r="T3732">
        <v>-0.18134700000000001</v>
      </c>
      <c r="U3732">
        <v>-0.44779970000000002</v>
      </c>
      <c r="V3732">
        <v>5.5052499999999997E-2</v>
      </c>
      <c r="W3732">
        <v>0.17731329999999901</v>
      </c>
      <c r="X3732">
        <v>0.98261339999999997</v>
      </c>
      <c r="Y3732">
        <v>0.15486040000000001</v>
      </c>
      <c r="Z3732">
        <v>-5.1720050000000004E-3</v>
      </c>
      <c r="AA3732">
        <v>0.98792279999999999</v>
      </c>
      <c r="AB3732">
        <v>45</v>
      </c>
      <c r="AC3732">
        <v>18.052299999999999</v>
      </c>
      <c r="AD3732">
        <v>-1.1097074392720001</v>
      </c>
      <c r="AE3732">
        <v>-2.7467000000000001</v>
      </c>
      <c r="AF3732">
        <v>2.9207685697343599</v>
      </c>
      <c r="AG3732">
        <v>-1.1097074392720001</v>
      </c>
      <c r="AH3732">
        <v>17.956884009827299</v>
      </c>
      <c r="AI3732">
        <v>93.490536076878996</v>
      </c>
      <c r="AJ3732">
        <v>80.761487707400804</v>
      </c>
      <c r="AK3732">
        <v>18.226684366091199</v>
      </c>
      <c r="AL3732">
        <v>79.786693296986599</v>
      </c>
      <c r="AM3732">
        <v>86.793264065660097</v>
      </c>
      <c r="AN3732">
        <v>0.99999993898634798</v>
      </c>
    </row>
    <row r="3733" spans="1:40" x14ac:dyDescent="0.25">
      <c r="A3733" t="str">
        <f>"20190312172444677"</f>
        <v>20190312172444677</v>
      </c>
      <c r="B3733" t="str">
        <f>"1552382684673876"</f>
        <v>1552382684673876</v>
      </c>
      <c r="C3733" t="s">
        <v>40</v>
      </c>
      <c r="D3733">
        <v>3.96719</v>
      </c>
      <c r="E3733">
        <v>0.54043779999999997</v>
      </c>
      <c r="F3733" t="s">
        <v>47</v>
      </c>
      <c r="G3733">
        <v>-219.6455</v>
      </c>
      <c r="H3733" s="1">
        <v>3.6761440000000002E-6</v>
      </c>
      <c r="I3733">
        <v>212.78479999999999</v>
      </c>
      <c r="J3733">
        <v>-237.63300000000001</v>
      </c>
      <c r="K3733">
        <v>1.109723</v>
      </c>
      <c r="L3733">
        <v>215.51439999999999</v>
      </c>
      <c r="M3733">
        <v>0.99986920000000001</v>
      </c>
      <c r="N3733">
        <v>0</v>
      </c>
      <c r="O3733">
        <v>1.020737E-2</v>
      </c>
      <c r="P3733">
        <v>0.98522670000000001</v>
      </c>
      <c r="Q3733">
        <v>0.16485859999999999</v>
      </c>
      <c r="R3733">
        <v>-4.6371929999999999E-2</v>
      </c>
      <c r="S3733">
        <v>3.0550989999999998</v>
      </c>
      <c r="T3733">
        <v>-0.18387529999999999</v>
      </c>
      <c r="U3733">
        <v>-0.4515228</v>
      </c>
      <c r="V3733">
        <v>5.6451029999999999E-2</v>
      </c>
      <c r="W3733">
        <v>0.17719599999999999</v>
      </c>
      <c r="X3733">
        <v>0.98255530000000002</v>
      </c>
      <c r="Y3733">
        <v>0.15600139999999901</v>
      </c>
      <c r="Z3733">
        <v>-5.275704E-3</v>
      </c>
      <c r="AA3733">
        <v>0.98774269999999997</v>
      </c>
      <c r="AB3733">
        <v>45</v>
      </c>
      <c r="AC3733">
        <v>17.987499999999901</v>
      </c>
      <c r="AD3733">
        <v>-1.1097193238559999</v>
      </c>
      <c r="AE3733">
        <v>-2.7296</v>
      </c>
      <c r="AF3733">
        <v>2.9022794658909801</v>
      </c>
      <c r="AG3733">
        <v>-1.1097193238559999</v>
      </c>
      <c r="AH3733">
        <v>17.892131496479202</v>
      </c>
      <c r="AI3733">
        <v>93.503420464607998</v>
      </c>
      <c r="AJ3733">
        <v>80.786312737952002</v>
      </c>
      <c r="AK3733">
        <v>18.1599304118484</v>
      </c>
      <c r="AL3733">
        <v>79.793523160830105</v>
      </c>
      <c r="AM3733">
        <v>86.711784054510105</v>
      </c>
      <c r="AN3733">
        <v>1.00000002938107</v>
      </c>
    </row>
    <row r="3734" spans="1:40" x14ac:dyDescent="0.25">
      <c r="A3734" t="str">
        <f>"20190312172444701"</f>
        <v>20190312172444701</v>
      </c>
      <c r="B3734" t="str">
        <f>"1552382684694372"</f>
        <v>1552382684694372</v>
      </c>
      <c r="C3734" t="s">
        <v>40</v>
      </c>
      <c r="D3734">
        <v>3.924026</v>
      </c>
      <c r="E3734">
        <v>0.54045159999999903</v>
      </c>
      <c r="F3734" t="s">
        <v>47</v>
      </c>
      <c r="G3734">
        <v>-219.4468</v>
      </c>
      <c r="H3734" s="1">
        <v>3.5698850000000001E-6</v>
      </c>
      <c r="I3734">
        <v>212.7962</v>
      </c>
      <c r="J3734">
        <v>-237.17349999999999</v>
      </c>
      <c r="K3734">
        <v>1.1097360000000001</v>
      </c>
      <c r="L3734">
        <v>215.51910000000001</v>
      </c>
      <c r="M3734">
        <v>0.99986830000000004</v>
      </c>
      <c r="N3734">
        <v>0</v>
      </c>
      <c r="O3734">
        <v>1.0170210000000001E-2</v>
      </c>
      <c r="P3734">
        <v>0.98512719999999998</v>
      </c>
      <c r="Q3734">
        <v>0.16495370000000001</v>
      </c>
      <c r="R3734">
        <v>-4.81153E-2</v>
      </c>
      <c r="S3734">
        <v>3.0546720000000001</v>
      </c>
      <c r="T3734">
        <v>-0.18639559999999999</v>
      </c>
      <c r="U3734">
        <v>-0.45655820000000003</v>
      </c>
      <c r="V3734">
        <v>5.8156199999999998E-2</v>
      </c>
      <c r="W3734">
        <v>0.17738699999999999</v>
      </c>
      <c r="X3734">
        <v>0.98242130000000005</v>
      </c>
      <c r="Y3734">
        <v>0.1575666</v>
      </c>
      <c r="Z3734">
        <v>-5.3931750000000001E-3</v>
      </c>
      <c r="AA3734">
        <v>0.98749359999999997</v>
      </c>
      <c r="AB3734">
        <v>45</v>
      </c>
      <c r="AC3734">
        <v>17.726699999999902</v>
      </c>
      <c r="AD3734">
        <v>-1.109732430115</v>
      </c>
      <c r="AE3734">
        <v>-2.7229000000000001</v>
      </c>
      <c r="AF3734">
        <v>2.8919852526258398</v>
      </c>
      <c r="AG3734">
        <v>-1.109732430115</v>
      </c>
      <c r="AH3734">
        <v>17.630585919118602</v>
      </c>
      <c r="AI3734">
        <v>93.554275683942507</v>
      </c>
      <c r="AJ3734">
        <v>80.684599886297207</v>
      </c>
      <c r="AK3734">
        <v>17.9006325200893</v>
      </c>
      <c r="AL3734">
        <v>79.782402704928302</v>
      </c>
      <c r="AM3734">
        <v>86.612226560227199</v>
      </c>
      <c r="AN3734">
        <v>0.99999995103056305</v>
      </c>
    </row>
    <row r="3735" spans="1:40" x14ac:dyDescent="0.25">
      <c r="A3735" t="str">
        <f>"20190312172444723"</f>
        <v>20190312172444723</v>
      </c>
      <c r="B3735" t="str">
        <f>"1552382684713891"</f>
        <v>1552382684713891</v>
      </c>
      <c r="C3735" t="s">
        <v>40</v>
      </c>
      <c r="D3735">
        <v>3.9254180000000001</v>
      </c>
      <c r="E3735">
        <v>0.54049899999999995</v>
      </c>
      <c r="F3735" t="s">
        <v>47</v>
      </c>
      <c r="G3735">
        <v>-219.04</v>
      </c>
      <c r="H3735" s="1">
        <v>3.3543670000000002E-6</v>
      </c>
      <c r="I3735">
        <v>212.7747</v>
      </c>
      <c r="J3735">
        <v>-236.71520000000001</v>
      </c>
      <c r="K3735">
        <v>1.1097539999999999</v>
      </c>
      <c r="L3735">
        <v>215.52369999999999</v>
      </c>
      <c r="M3735">
        <v>0.99986739999999996</v>
      </c>
      <c r="N3735">
        <v>0</v>
      </c>
      <c r="O3735">
        <v>1.013737E-2</v>
      </c>
      <c r="P3735">
        <v>0.98509060000000004</v>
      </c>
      <c r="Q3735">
        <v>0.16464709999999999</v>
      </c>
      <c r="R3735">
        <v>-4.9883650000000002E-2</v>
      </c>
      <c r="S3735">
        <v>3.0539860000000001</v>
      </c>
      <c r="T3735">
        <v>-0.18689839999999999</v>
      </c>
      <c r="U3735">
        <v>-0.46218870000000001</v>
      </c>
      <c r="V3735">
        <v>5.9891890000000003E-2</v>
      </c>
      <c r="W3735">
        <v>0.17717629999999901</v>
      </c>
      <c r="X3735">
        <v>0.98235510000000004</v>
      </c>
      <c r="Y3735">
        <v>0.15934189999999901</v>
      </c>
      <c r="Z3735">
        <v>-5.460131E-3</v>
      </c>
      <c r="AA3735">
        <v>0.98720839999999999</v>
      </c>
      <c r="AB3735">
        <v>45</v>
      </c>
      <c r="AC3735">
        <v>17.6752</v>
      </c>
      <c r="AD3735">
        <v>-1.109750645633</v>
      </c>
      <c r="AE3735">
        <v>-2.7489999999999899</v>
      </c>
      <c r="AF3735">
        <v>2.91682660418522</v>
      </c>
      <c r="AG3735">
        <v>-1.109750645633</v>
      </c>
      <c r="AH3735">
        <v>17.578762000033802</v>
      </c>
      <c r="AI3735">
        <v>93.563702437725993</v>
      </c>
      <c r="AJ3735">
        <v>80.578804941040104</v>
      </c>
      <c r="AK3735">
        <v>17.853635410980001</v>
      </c>
      <c r="AL3735">
        <v>79.794669845996594</v>
      </c>
      <c r="AM3735">
        <v>86.5111289955356</v>
      </c>
      <c r="AN3735">
        <v>1.0000000111327301</v>
      </c>
    </row>
    <row r="3736" spans="1:40" x14ac:dyDescent="0.25">
      <c r="A3736" t="str">
        <f>"20190312172444745"</f>
        <v>20190312172444745</v>
      </c>
      <c r="B3736" t="str">
        <f>"1552382684734388"</f>
        <v>1552382684734388</v>
      </c>
      <c r="C3736" t="s">
        <v>40</v>
      </c>
      <c r="D3736">
        <v>3.8941620000000001</v>
      </c>
      <c r="E3736">
        <v>0.54052869999999997</v>
      </c>
      <c r="F3736" t="s">
        <v>47</v>
      </c>
      <c r="G3736">
        <v>-218.72110000000001</v>
      </c>
      <c r="H3736" s="1">
        <v>3.1852450000000002E-6</v>
      </c>
      <c r="I3736">
        <v>212.76159999999999</v>
      </c>
      <c r="J3736">
        <v>-236.2842</v>
      </c>
      <c r="K3736">
        <v>1.1097629999999901</v>
      </c>
      <c r="L3736">
        <v>215.52799999999999</v>
      </c>
      <c r="M3736">
        <v>0.99986649999999999</v>
      </c>
      <c r="N3736">
        <v>0</v>
      </c>
      <c r="O3736">
        <v>1.0107919999999999E-2</v>
      </c>
      <c r="P3736">
        <v>0.98486989999999996</v>
      </c>
      <c r="Q3736">
        <v>0.16543640000000001</v>
      </c>
      <c r="R3736">
        <v>-5.1596040000000003E-2</v>
      </c>
      <c r="S3736">
        <v>3.0531619999999999</v>
      </c>
      <c r="T3736">
        <v>-0.1882982</v>
      </c>
      <c r="U3736">
        <v>-0.46865839999999998</v>
      </c>
      <c r="V3736">
        <v>6.1573570000000001E-2</v>
      </c>
      <c r="W3736">
        <v>0.1780515</v>
      </c>
      <c r="X3736">
        <v>0.98209290000000005</v>
      </c>
      <c r="Y3736">
        <v>0.1613879</v>
      </c>
      <c r="Z3736">
        <v>-5.5624069999999897E-3</v>
      </c>
      <c r="AA3736">
        <v>0.98687539999999996</v>
      </c>
      <c r="AB3736">
        <v>45</v>
      </c>
      <c r="AC3736">
        <v>17.563099999999899</v>
      </c>
      <c r="AD3736">
        <v>-1.1097598147550001</v>
      </c>
      <c r="AE3736">
        <v>-2.7664</v>
      </c>
      <c r="AF3736">
        <v>2.9323753337740501</v>
      </c>
      <c r="AG3736">
        <v>-1.1097598147550001</v>
      </c>
      <c r="AH3736">
        <v>17.466190532014899</v>
      </c>
      <c r="AI3736">
        <v>93.585502502010101</v>
      </c>
      <c r="AJ3736">
        <v>80.469568526941003</v>
      </c>
      <c r="AK3736">
        <v>17.745371330158701</v>
      </c>
      <c r="AL3736">
        <v>79.743714830649395</v>
      </c>
      <c r="AM3736">
        <v>86.412463589183105</v>
      </c>
      <c r="AN3736">
        <v>1.0000000527026001</v>
      </c>
    </row>
    <row r="3737" spans="1:40" x14ac:dyDescent="0.25">
      <c r="A3737" t="str">
        <f>"20190312172444767"</f>
        <v>20190312172444767</v>
      </c>
      <c r="B3737" t="str">
        <f>"1552382684763669"</f>
        <v>1552382684763669</v>
      </c>
      <c r="C3737" t="s">
        <v>40</v>
      </c>
      <c r="D3737">
        <v>3.8896670000000002</v>
      </c>
      <c r="E3737">
        <v>0.54053130000000005</v>
      </c>
      <c r="F3737" t="s">
        <v>47</v>
      </c>
      <c r="G3737">
        <v>-218.1026</v>
      </c>
      <c r="H3737" s="1">
        <v>2.8589159999999999E-6</v>
      </c>
      <c r="I3737">
        <v>212.69669999999999</v>
      </c>
      <c r="J3737">
        <v>-235.8329</v>
      </c>
      <c r="K3737">
        <v>1.10978</v>
      </c>
      <c r="L3737">
        <v>215.5325</v>
      </c>
      <c r="M3737">
        <v>0.99986560000000002</v>
      </c>
      <c r="N3737">
        <v>0</v>
      </c>
      <c r="O3737">
        <v>1.0076450000000001E-2</v>
      </c>
      <c r="P3737">
        <v>0.98467450000000001</v>
      </c>
      <c r="Q3737">
        <v>0.1659167</v>
      </c>
      <c r="R3737">
        <v>-5.3741039999999997E-2</v>
      </c>
      <c r="S3737">
        <v>3.0524900000000001</v>
      </c>
      <c r="T3737">
        <v>-0.18631610000000001</v>
      </c>
      <c r="U3737">
        <v>-0.47534179999999998</v>
      </c>
      <c r="V3737">
        <v>6.3685309999999995E-2</v>
      </c>
      <c r="W3737">
        <v>0.17861920000000001</v>
      </c>
      <c r="X3737">
        <v>0.98185500000000003</v>
      </c>
      <c r="Y3737">
        <v>0.16350209999999901</v>
      </c>
      <c r="Z3737">
        <v>-5.5664159999999898E-3</v>
      </c>
      <c r="AA3737">
        <v>0.9865273</v>
      </c>
      <c r="AB3737">
        <v>45</v>
      </c>
      <c r="AC3737">
        <v>17.7303</v>
      </c>
      <c r="AD3737">
        <v>-1.1097771410840001</v>
      </c>
      <c r="AE3737">
        <v>-2.8357999999999999</v>
      </c>
      <c r="AF3737">
        <v>3.00285835159199</v>
      </c>
      <c r="AG3737">
        <v>-1.1097771410840001</v>
      </c>
      <c r="AH3737">
        <v>17.633461761327499</v>
      </c>
      <c r="AI3737">
        <v>93.550233138438699</v>
      </c>
      <c r="AJ3737">
        <v>80.335629091091107</v>
      </c>
      <c r="AK3737">
        <v>17.9217113376708</v>
      </c>
      <c r="AL3737">
        <v>79.710656930105898</v>
      </c>
      <c r="AM3737">
        <v>86.288866226074603</v>
      </c>
      <c r="AN3737">
        <v>0.99999993917171603</v>
      </c>
    </row>
    <row r="3738" spans="1:40" x14ac:dyDescent="0.25">
      <c r="A3738" t="str">
        <f>"20190312172444790"</f>
        <v>20190312172444790</v>
      </c>
      <c r="B3738" t="str">
        <f>"1552382684784164"</f>
        <v>1552382684784164</v>
      </c>
      <c r="C3738" t="s">
        <v>40</v>
      </c>
      <c r="D3738">
        <v>3.9351050000000001</v>
      </c>
      <c r="E3738">
        <v>0.54053059999999997</v>
      </c>
      <c r="F3738" t="s">
        <v>47</v>
      </c>
      <c r="G3738">
        <v>-217.5504</v>
      </c>
      <c r="H3738" s="1">
        <v>2.5674620000000002E-6</v>
      </c>
      <c r="I3738">
        <v>212.6421</v>
      </c>
      <c r="J3738">
        <v>-235.37639999999999</v>
      </c>
      <c r="K3738">
        <v>1.1097980000000001</v>
      </c>
      <c r="L3738">
        <v>215.53710000000001</v>
      </c>
      <c r="M3738">
        <v>0.9998648</v>
      </c>
      <c r="N3738">
        <v>0</v>
      </c>
      <c r="O3738">
        <v>1.0042799999999999E-2</v>
      </c>
      <c r="P3738">
        <v>0.98456080000000001</v>
      </c>
      <c r="Q3738">
        <v>0.16605500000000001</v>
      </c>
      <c r="R3738">
        <v>-5.5373360000000003E-2</v>
      </c>
      <c r="S3738">
        <v>3.0515750000000001</v>
      </c>
      <c r="T3738">
        <v>-0.1852357</v>
      </c>
      <c r="U3738">
        <v>-0.4824524</v>
      </c>
      <c r="V3738">
        <v>6.5283179999999996E-2</v>
      </c>
      <c r="W3738">
        <v>0.1788505</v>
      </c>
      <c r="X3738">
        <v>0.98170800000000003</v>
      </c>
      <c r="Y3738">
        <v>0.1657566</v>
      </c>
      <c r="Z3738">
        <v>-5.6007590000000003E-3</v>
      </c>
      <c r="AA3738">
        <v>0.98615079999999999</v>
      </c>
      <c r="AB3738">
        <v>45</v>
      </c>
      <c r="AC3738">
        <v>17.825999999999901</v>
      </c>
      <c r="AD3738">
        <v>-1.1097954325379999</v>
      </c>
      <c r="AE3738">
        <v>-2.8950000000000098</v>
      </c>
      <c r="AF3738">
        <v>3.0623276920367699</v>
      </c>
      <c r="AG3738">
        <v>-1.1097954325379999</v>
      </c>
      <c r="AH3738">
        <v>17.729073347141298</v>
      </c>
      <c r="AI3738">
        <v>93.529764381704396</v>
      </c>
      <c r="AJ3738">
        <v>80.200047130622195</v>
      </c>
      <c r="AK3738">
        <v>18.025802022207401</v>
      </c>
      <c r="AL3738">
        <v>79.697188114243602</v>
      </c>
      <c r="AM3738">
        <v>86.195455672624604</v>
      </c>
      <c r="AN3738">
        <v>0.99999999610258095</v>
      </c>
    </row>
    <row r="3739" spans="1:40" x14ac:dyDescent="0.25">
      <c r="A3739" t="str">
        <f>"20190312172444812"</f>
        <v>20190312172444812</v>
      </c>
      <c r="B3739" t="str">
        <f>"1552382684803687"</f>
        <v>1552382684803687</v>
      </c>
      <c r="C3739" t="s">
        <v>40</v>
      </c>
      <c r="D3739">
        <v>3.9069950000000002</v>
      </c>
      <c r="E3739">
        <v>0.54048949999999996</v>
      </c>
      <c r="F3739" t="s">
        <v>47</v>
      </c>
      <c r="G3739">
        <v>-217.14269999999999</v>
      </c>
      <c r="H3739" s="1">
        <v>2.3513190000000001E-6</v>
      </c>
      <c r="I3739">
        <v>212.62270000000001</v>
      </c>
      <c r="J3739">
        <v>-234.9307</v>
      </c>
      <c r="K3739">
        <v>1.109815</v>
      </c>
      <c r="L3739">
        <v>215.54150000000001</v>
      </c>
      <c r="M3739">
        <v>0.99986359999999996</v>
      </c>
      <c r="N3739">
        <v>0</v>
      </c>
      <c r="O3739">
        <v>1.0009179999999999E-2</v>
      </c>
      <c r="P3739">
        <v>0.98446120000000004</v>
      </c>
      <c r="Q3739">
        <v>0.16611600000000001</v>
      </c>
      <c r="R3739">
        <v>-5.6937519999999998E-2</v>
      </c>
      <c r="S3739">
        <v>3.0509490000000001</v>
      </c>
      <c r="T3739">
        <v>-0.18569579999999999</v>
      </c>
      <c r="U3739">
        <v>-0.48764039999999997</v>
      </c>
      <c r="V3739">
        <v>6.6813070000000002E-2</v>
      </c>
      <c r="W3739">
        <v>0.17901710000000001</v>
      </c>
      <c r="X3739">
        <v>0.98157470000000002</v>
      </c>
      <c r="Y3739">
        <v>0.16738549999999999</v>
      </c>
      <c r="Z3739">
        <v>-5.6622199999999999E-3</v>
      </c>
      <c r="AA3739">
        <v>0.98587519999999995</v>
      </c>
      <c r="AB3739">
        <v>45</v>
      </c>
      <c r="AC3739">
        <v>17.788</v>
      </c>
      <c r="AD3739">
        <v>-1.109812648681</v>
      </c>
      <c r="AE3739">
        <v>-2.9188000000000001</v>
      </c>
      <c r="AF3739">
        <v>3.0850183948672001</v>
      </c>
      <c r="AG3739">
        <v>-1.109812648681</v>
      </c>
      <c r="AH3739">
        <v>17.6908328428087</v>
      </c>
      <c r="AI3739">
        <v>93.536445382840697</v>
      </c>
      <c r="AJ3739">
        <v>80.107940012584294</v>
      </c>
      <c r="AK3739">
        <v>17.992070177832201</v>
      </c>
      <c r="AL3739">
        <v>79.687486098075496</v>
      </c>
      <c r="AM3739">
        <v>86.106041398158695</v>
      </c>
      <c r="AN3739">
        <v>1.0000000000476601</v>
      </c>
    </row>
    <row r="3740" spans="1:40" x14ac:dyDescent="0.25">
      <c r="A3740" t="str">
        <f>"20190312172444833"</f>
        <v>20190312172444833</v>
      </c>
      <c r="B3740" t="str">
        <f>"1552382684824180"</f>
        <v>1552382684824180</v>
      </c>
      <c r="C3740" t="s">
        <v>40</v>
      </c>
      <c r="D3740">
        <v>3.87046</v>
      </c>
      <c r="E3740">
        <v>0.54046260000000002</v>
      </c>
      <c r="F3740" t="s">
        <v>47</v>
      </c>
      <c r="G3740">
        <v>-216.7517</v>
      </c>
      <c r="H3740" s="1">
        <v>2.143904E-6</v>
      </c>
      <c r="I3740">
        <v>212.608</v>
      </c>
      <c r="J3740">
        <v>-234.50030000000001</v>
      </c>
      <c r="K3740">
        <v>1.109836</v>
      </c>
      <c r="L3740">
        <v>215.54580000000001</v>
      </c>
      <c r="M3740">
        <v>0.99986240000000004</v>
      </c>
      <c r="N3740">
        <v>0</v>
      </c>
      <c r="O3740">
        <v>9.9761090000000004E-3</v>
      </c>
      <c r="P3740">
        <v>0.98451699999999998</v>
      </c>
      <c r="Q3740">
        <v>0.16548599999999999</v>
      </c>
      <c r="R3740">
        <v>-5.7802930000000002E-2</v>
      </c>
      <c r="S3740">
        <v>3.0503230000000001</v>
      </c>
      <c r="T3740">
        <v>-0.186219</v>
      </c>
      <c r="U3740">
        <v>-0.49223329999999998</v>
      </c>
      <c r="V3740">
        <v>6.7646269999999994E-2</v>
      </c>
      <c r="W3740">
        <v>0.17851639999999999</v>
      </c>
      <c r="X3740">
        <v>0.98160879999999995</v>
      </c>
      <c r="Y3740">
        <v>0.168827</v>
      </c>
      <c r="Z3740">
        <v>-5.7202939999999999E-3</v>
      </c>
      <c r="AA3740">
        <v>0.98562910000000004</v>
      </c>
      <c r="AB3740">
        <v>45</v>
      </c>
      <c r="AC3740">
        <v>17.7486</v>
      </c>
      <c r="AD3740">
        <v>-1.1098338560959999</v>
      </c>
      <c r="AE3740">
        <v>-2.9378000000000002</v>
      </c>
      <c r="AF3740">
        <v>3.1029221171535899</v>
      </c>
      <c r="AG3740">
        <v>-1.1098338560959999</v>
      </c>
      <c r="AH3740">
        <v>17.651228710837501</v>
      </c>
      <c r="AI3740">
        <v>93.543583394413403</v>
      </c>
      <c r="AJ3740">
        <v>80.029801992512105</v>
      </c>
      <c r="AK3740">
        <v>17.9562170808763</v>
      </c>
      <c r="AL3740">
        <v>79.716643569475593</v>
      </c>
      <c r="AM3740">
        <v>86.0577700518851</v>
      </c>
      <c r="AN3740">
        <v>0.99999997957565601</v>
      </c>
    </row>
    <row r="3741" spans="1:40" x14ac:dyDescent="0.25">
      <c r="A3741" t="str">
        <f>"20190312172444856"</f>
        <v>20190312172444856</v>
      </c>
      <c r="B3741" t="str">
        <f>"1552382684843700"</f>
        <v>1552382684843700</v>
      </c>
      <c r="C3741" t="s">
        <v>40</v>
      </c>
      <c r="D3741">
        <v>3.8796580000000001</v>
      </c>
      <c r="E3741">
        <v>0.54043580000000002</v>
      </c>
      <c r="F3741" t="s">
        <v>47</v>
      </c>
      <c r="G3741">
        <v>-216.57409999999999</v>
      </c>
      <c r="H3741" s="1">
        <v>2.048102E-6</v>
      </c>
      <c r="I3741">
        <v>212.6377</v>
      </c>
      <c r="J3741">
        <v>-234.05410000000001</v>
      </c>
      <c r="K3741">
        <v>1.109869</v>
      </c>
      <c r="L3741">
        <v>215.55019999999999</v>
      </c>
      <c r="M3741">
        <v>0.99986030000000004</v>
      </c>
      <c r="N3741">
        <v>0</v>
      </c>
      <c r="O3741">
        <v>9.9420629999999992E-3</v>
      </c>
      <c r="P3741">
        <v>0.98445240000000001</v>
      </c>
      <c r="Q3741">
        <v>0.1656619</v>
      </c>
      <c r="R3741">
        <v>-5.8390890000000001E-2</v>
      </c>
      <c r="S3741">
        <v>3.0498810000000001</v>
      </c>
      <c r="T3741">
        <v>-0.1888223</v>
      </c>
      <c r="U3741">
        <v>-0.49476619999999999</v>
      </c>
      <c r="V3741">
        <v>6.8200269999999993E-2</v>
      </c>
      <c r="W3741">
        <v>0.1788566</v>
      </c>
      <c r="X3741">
        <v>0.98150859999999995</v>
      </c>
      <c r="Y3741">
        <v>0.169603</v>
      </c>
      <c r="Z3741">
        <v>-5.8223140000000003E-3</v>
      </c>
      <c r="AA3741">
        <v>0.98549529999999996</v>
      </c>
      <c r="AB3741">
        <v>45</v>
      </c>
      <c r="AC3741">
        <v>17.48</v>
      </c>
      <c r="AD3741">
        <v>-1.109866951898</v>
      </c>
      <c r="AE3741">
        <v>-2.9124999999999899</v>
      </c>
      <c r="AF3741">
        <v>3.0741007209093101</v>
      </c>
      <c r="AG3741">
        <v>-1.109866951898</v>
      </c>
      <c r="AH3741">
        <v>17.381995617395699</v>
      </c>
      <c r="AI3741">
        <v>93.597781138755494</v>
      </c>
      <c r="AJ3741">
        <v>79.970636416741698</v>
      </c>
      <c r="AK3741">
        <v>17.686595815373099</v>
      </c>
      <c r="AL3741">
        <v>79.696833402177603</v>
      </c>
      <c r="AM3741">
        <v>86.025183136103195</v>
      </c>
      <c r="AN3741">
        <v>1.00000004603279</v>
      </c>
    </row>
    <row r="3742" spans="1:40" x14ac:dyDescent="0.25">
      <c r="A3742" t="str">
        <f>"20190312172444878"</f>
        <v>20190312172444878</v>
      </c>
      <c r="B3742" t="str">
        <f>"1552382684873956"</f>
        <v>1552382684873956</v>
      </c>
      <c r="C3742" t="s">
        <v>40</v>
      </c>
      <c r="D3742">
        <v>3.8981629999999998</v>
      </c>
      <c r="E3742">
        <v>0.54040180000000004</v>
      </c>
      <c r="F3742" t="s">
        <v>47</v>
      </c>
      <c r="G3742">
        <v>-216.1481</v>
      </c>
      <c r="H3742" s="1">
        <v>1.821515E-6</v>
      </c>
      <c r="I3742">
        <v>212.63560000000001</v>
      </c>
      <c r="J3742">
        <v>-233.60230000000001</v>
      </c>
      <c r="K3742">
        <v>1.1099049999999999</v>
      </c>
      <c r="L3742">
        <v>215.5547</v>
      </c>
      <c r="M3742">
        <v>0.99985809999999997</v>
      </c>
      <c r="N3742">
        <v>0</v>
      </c>
      <c r="O3742">
        <v>9.9079760000000006E-3</v>
      </c>
      <c r="P3742">
        <v>0.98436190000000001</v>
      </c>
      <c r="Q3742">
        <v>0.16585420000000001</v>
      </c>
      <c r="R3742">
        <v>-5.9364300000000002E-2</v>
      </c>
      <c r="S3742">
        <v>3.0497589999999999</v>
      </c>
      <c r="T3742">
        <v>-0.18903349999999999</v>
      </c>
      <c r="U3742">
        <v>-0.49642940000000002</v>
      </c>
      <c r="V3742">
        <v>6.9139399999999906E-2</v>
      </c>
      <c r="W3742">
        <v>0.17924129999999899</v>
      </c>
      <c r="X3742">
        <v>0.98137269999999999</v>
      </c>
      <c r="Y3742">
        <v>0.17009769999999999</v>
      </c>
      <c r="Z3742">
        <v>-5.8419140000000001E-3</v>
      </c>
      <c r="AA3742">
        <v>0.98540989999999995</v>
      </c>
      <c r="AB3742">
        <v>45</v>
      </c>
      <c r="AC3742">
        <v>17.4542</v>
      </c>
      <c r="AD3742">
        <v>-1.109903178485</v>
      </c>
      <c r="AE3742">
        <v>-2.9190999999999798</v>
      </c>
      <c r="AF3742">
        <v>3.0797938717921598</v>
      </c>
      <c r="AG3742">
        <v>-1.109903178485</v>
      </c>
      <c r="AH3742">
        <v>17.356145982540401</v>
      </c>
      <c r="AI3742">
        <v>93.602877694209297</v>
      </c>
      <c r="AJ3742">
        <v>79.937781525259496</v>
      </c>
      <c r="AK3742">
        <v>17.662186125324201</v>
      </c>
      <c r="AL3742">
        <v>79.674429595302001</v>
      </c>
      <c r="AM3742">
        <v>85.970072114303903</v>
      </c>
      <c r="AN3742">
        <v>1.0000000382816601</v>
      </c>
    </row>
    <row r="3743" spans="1:40" x14ac:dyDescent="0.25">
      <c r="A3743" t="str">
        <f>"20190312172444902"</f>
        <v>20190312172444902</v>
      </c>
      <c r="B3743" t="str">
        <f>"1552382684894452"</f>
        <v>1552382684894452</v>
      </c>
      <c r="C3743" t="s">
        <v>40</v>
      </c>
      <c r="D3743">
        <v>3.892655</v>
      </c>
      <c r="E3743">
        <v>0.54039269999999995</v>
      </c>
      <c r="F3743" t="s">
        <v>47</v>
      </c>
      <c r="G3743">
        <v>-215.71889999999999</v>
      </c>
      <c r="H3743" s="1">
        <v>1.593522E-6</v>
      </c>
      <c r="I3743">
        <v>212.6258</v>
      </c>
      <c r="J3743">
        <v>-233.14359999999999</v>
      </c>
      <c r="K3743">
        <v>1.109937</v>
      </c>
      <c r="L3743">
        <v>215.5592</v>
      </c>
      <c r="M3743">
        <v>0.99985550000000001</v>
      </c>
      <c r="N3743">
        <v>0</v>
      </c>
      <c r="O3743">
        <v>9.8738439999999997E-3</v>
      </c>
      <c r="P3743">
        <v>0.9843189</v>
      </c>
      <c r="Q3743">
        <v>0.16565849999999999</v>
      </c>
      <c r="R3743">
        <v>-6.0610280000000002E-2</v>
      </c>
      <c r="S3743">
        <v>3.049423</v>
      </c>
      <c r="T3743">
        <v>-0.18925710000000001</v>
      </c>
      <c r="U3743">
        <v>-0.49943539999999997</v>
      </c>
      <c r="V3743">
        <v>7.0351460000000005E-2</v>
      </c>
      <c r="W3743">
        <v>0.17924970000000001</v>
      </c>
      <c r="X3743">
        <v>0.98128499999999996</v>
      </c>
      <c r="Y3743">
        <v>0.17102490000000001</v>
      </c>
      <c r="Z3743">
        <v>-5.87544E-3</v>
      </c>
      <c r="AA3743">
        <v>0.98524920000000005</v>
      </c>
      <c r="AB3743">
        <v>45</v>
      </c>
      <c r="AC3743">
        <v>17.424700000000001</v>
      </c>
      <c r="AD3743">
        <v>-1.109935406478</v>
      </c>
      <c r="AE3743">
        <v>-2.9333999999999998</v>
      </c>
      <c r="AF3743">
        <v>3.09311760367425</v>
      </c>
      <c r="AG3743">
        <v>-1.109935406478</v>
      </c>
      <c r="AH3743">
        <v>17.326517898862999</v>
      </c>
      <c r="AI3743">
        <v>93.608460909470793</v>
      </c>
      <c r="AJ3743">
        <v>79.878223599304206</v>
      </c>
      <c r="AK3743">
        <v>17.635406307095199</v>
      </c>
      <c r="AL3743">
        <v>79.673940166103193</v>
      </c>
      <c r="AM3743">
        <v>85.899298471109802</v>
      </c>
      <c r="AN3743">
        <v>1.0000000170496099</v>
      </c>
    </row>
    <row r="3744" spans="1:40" x14ac:dyDescent="0.25">
      <c r="A3744" t="str">
        <f>"20190312172444924"</f>
        <v>20190312172444924</v>
      </c>
      <c r="B3744" t="str">
        <f>"1552382684913972"</f>
        <v>1552382684913972</v>
      </c>
      <c r="C3744" t="s">
        <v>40</v>
      </c>
      <c r="D3744">
        <v>3.9110960000000001</v>
      </c>
      <c r="E3744">
        <v>0.54040840000000001</v>
      </c>
      <c r="F3744" t="s">
        <v>47</v>
      </c>
      <c r="G3744">
        <v>-215.3468</v>
      </c>
      <c r="H3744" s="1">
        <v>1.395782E-6</v>
      </c>
      <c r="I3744">
        <v>212.61969999999999</v>
      </c>
      <c r="J3744">
        <v>-232.69329999999999</v>
      </c>
      <c r="K3744">
        <v>1.109958</v>
      </c>
      <c r="L3744">
        <v>215.56360000000001</v>
      </c>
      <c r="M3744">
        <v>0.99985310000000005</v>
      </c>
      <c r="N3744">
        <v>0</v>
      </c>
      <c r="O3744">
        <v>9.8403810000000005E-3</v>
      </c>
      <c r="P3744">
        <v>0.98435890000000004</v>
      </c>
      <c r="Q3744">
        <v>0.16519039999999999</v>
      </c>
      <c r="R3744">
        <v>-6.1234539999999997E-2</v>
      </c>
      <c r="S3744">
        <v>3.0487669999999998</v>
      </c>
      <c r="T3744">
        <v>-0.19014310000000001</v>
      </c>
      <c r="U3744">
        <v>-0.50357059999999998</v>
      </c>
      <c r="V3744">
        <v>7.0943519999999996E-2</v>
      </c>
      <c r="W3744">
        <v>0.17897289999999999</v>
      </c>
      <c r="X3744">
        <v>0.98129290000000002</v>
      </c>
      <c r="Y3744">
        <v>0.1723211</v>
      </c>
      <c r="Z3744">
        <v>-5.9415419999999898E-3</v>
      </c>
      <c r="AA3744">
        <v>0.98502290000000003</v>
      </c>
      <c r="AB3744">
        <v>45</v>
      </c>
      <c r="AC3744">
        <v>17.346499999999899</v>
      </c>
      <c r="AD3744">
        <v>-1.109956604218</v>
      </c>
      <c r="AE3744">
        <v>-2.94390000000001</v>
      </c>
      <c r="AF3744">
        <v>3.1021247148281099</v>
      </c>
      <c r="AG3744">
        <v>-1.109956604218</v>
      </c>
      <c r="AH3744">
        <v>17.248044989061199</v>
      </c>
      <c r="AI3744">
        <v>93.624066137373006</v>
      </c>
      <c r="AJ3744">
        <v>79.804145773723405</v>
      </c>
      <c r="AK3744">
        <v>17.559904252423301</v>
      </c>
      <c r="AL3744">
        <v>79.690060337602304</v>
      </c>
      <c r="AM3744">
        <v>85.864940397939407</v>
      </c>
      <c r="AN3744">
        <v>1.0000000187774001</v>
      </c>
    </row>
    <row r="3745" spans="1:40" x14ac:dyDescent="0.25">
      <c r="A3745" t="str">
        <f>"20190312172444946"</f>
        <v>20190312172444946</v>
      </c>
      <c r="B3745" t="str">
        <f>"1552382684934470"</f>
        <v>1552382684934470</v>
      </c>
      <c r="C3745" t="s">
        <v>40</v>
      </c>
      <c r="D3745">
        <v>3.9245070000000002</v>
      </c>
      <c r="E3745">
        <v>0.54045459999999901</v>
      </c>
      <c r="F3745" t="s">
        <v>47</v>
      </c>
      <c r="G3745">
        <v>-215.0702</v>
      </c>
      <c r="H3745" s="1">
        <v>1.2478520000000001E-6</v>
      </c>
      <c r="I3745">
        <v>212.637</v>
      </c>
      <c r="J3745">
        <v>-232.27109999999999</v>
      </c>
      <c r="K3745">
        <v>1.109972</v>
      </c>
      <c r="L3745">
        <v>215.56780000000001</v>
      </c>
      <c r="M3745">
        <v>0.99985100000000005</v>
      </c>
      <c r="N3745">
        <v>0</v>
      </c>
      <c r="O3745">
        <v>9.8089470000000002E-3</v>
      </c>
      <c r="P3745">
        <v>0.98442689999999999</v>
      </c>
      <c r="Q3745">
        <v>0.16470580000000001</v>
      </c>
      <c r="R3745">
        <v>-6.1446239999999999E-2</v>
      </c>
      <c r="S3745">
        <v>3.0483859999999998</v>
      </c>
      <c r="T3745">
        <v>-0.1919969</v>
      </c>
      <c r="U3745">
        <v>-0.50624079999999905</v>
      </c>
      <c r="V3745">
        <v>7.1125060000000004E-2</v>
      </c>
      <c r="W3745">
        <v>0.17865439999999999</v>
      </c>
      <c r="X3745">
        <v>0.98133780000000004</v>
      </c>
      <c r="Y3745">
        <v>0.1731414</v>
      </c>
      <c r="Z3745">
        <v>-6.0233400000000003E-3</v>
      </c>
      <c r="AA3745">
        <v>0.98487849999999999</v>
      </c>
      <c r="AB3745">
        <v>45</v>
      </c>
      <c r="AC3745">
        <v>17.200899999999901</v>
      </c>
      <c r="AD3745">
        <v>-1.109970752148</v>
      </c>
      <c r="AE3745">
        <v>-2.9308000000000001</v>
      </c>
      <c r="AF3745">
        <v>3.0869071845996201</v>
      </c>
      <c r="AG3745">
        <v>-1.109970752148</v>
      </c>
      <c r="AH3745">
        <v>17.1021156518722</v>
      </c>
      <c r="AI3745">
        <v>93.654542477531507</v>
      </c>
      <c r="AJ3745">
        <v>79.768359980281204</v>
      </c>
      <c r="AK3745">
        <v>17.4138850003946</v>
      </c>
      <c r="AL3745">
        <v>79.708608022720398</v>
      </c>
      <c r="AM3745">
        <v>85.854584901623895</v>
      </c>
      <c r="AN3745">
        <v>1.0000000232541</v>
      </c>
    </row>
    <row r="3746" spans="1:40" x14ac:dyDescent="0.25">
      <c r="A3746" t="str">
        <f>"20190312172444968"</f>
        <v>20190312172444968</v>
      </c>
      <c r="B3746" t="str">
        <f>"1552382684963749"</f>
        <v>1552382684963749</v>
      </c>
      <c r="C3746" t="s">
        <v>40</v>
      </c>
      <c r="D3746">
        <v>3.9393959999999999</v>
      </c>
      <c r="E3746">
        <v>0.54050589999999998</v>
      </c>
      <c r="F3746" t="s">
        <v>47</v>
      </c>
      <c r="G3746">
        <v>-214.8151</v>
      </c>
      <c r="H3746" s="1">
        <v>1.111121E-6</v>
      </c>
      <c r="I3746">
        <v>212.65889999999999</v>
      </c>
      <c r="J3746">
        <v>-231.82130000000001</v>
      </c>
      <c r="K3746">
        <v>1.1099920000000001</v>
      </c>
      <c r="L3746">
        <v>215.57210000000001</v>
      </c>
      <c r="M3746">
        <v>0.99984910000000005</v>
      </c>
      <c r="N3746">
        <v>0</v>
      </c>
      <c r="O3746">
        <v>9.7754020000000007E-3</v>
      </c>
      <c r="P3746">
        <v>0.98447410000000002</v>
      </c>
      <c r="Q3746">
        <v>0.16423789999999999</v>
      </c>
      <c r="R3746">
        <v>-6.1942570000000002E-2</v>
      </c>
      <c r="S3746">
        <v>3.048187</v>
      </c>
      <c r="T3746">
        <v>-0.19382369999999999</v>
      </c>
      <c r="U3746">
        <v>-0.50794980000000001</v>
      </c>
      <c r="V3746">
        <v>7.1588860000000004E-2</v>
      </c>
      <c r="W3746">
        <v>0.17834520000000001</v>
      </c>
      <c r="X3746">
        <v>0.98136029999999996</v>
      </c>
      <c r="Y3746">
        <v>0.17364839999999901</v>
      </c>
      <c r="Z3746">
        <v>-6.0945269999999998E-3</v>
      </c>
      <c r="AA3746">
        <v>0.98478880000000002</v>
      </c>
      <c r="AB3746">
        <v>44</v>
      </c>
      <c r="AC3746">
        <v>17.0062</v>
      </c>
      <c r="AD3746">
        <v>-1.109990888879</v>
      </c>
      <c r="AE3746">
        <v>-2.91320000000001</v>
      </c>
      <c r="AF3746">
        <v>3.0666285193792402</v>
      </c>
      <c r="AG3746">
        <v>-1.109990888879</v>
      </c>
      <c r="AH3746">
        <v>16.906933970617501</v>
      </c>
      <c r="AI3746">
        <v>93.696111684169793</v>
      </c>
      <c r="AJ3746">
        <v>79.719297754115203</v>
      </c>
      <c r="AK3746">
        <v>17.218615116672002</v>
      </c>
      <c r="AL3746">
        <v>79.726612868307498</v>
      </c>
      <c r="AM3746">
        <v>85.827743509503307</v>
      </c>
      <c r="AN3746">
        <v>1.00000000682761</v>
      </c>
    </row>
    <row r="3747" spans="1:40" x14ac:dyDescent="0.25">
      <c r="A3747" t="str">
        <f>"20190312172444991"</f>
        <v>20190312172444991</v>
      </c>
      <c r="B3747" t="str">
        <f>"1552382684984244"</f>
        <v>1552382684984244</v>
      </c>
      <c r="C3747" t="s">
        <v>40</v>
      </c>
      <c r="D3747">
        <v>4.0440959999999997</v>
      </c>
      <c r="E3747">
        <v>0.5405356</v>
      </c>
      <c r="F3747" t="s">
        <v>47</v>
      </c>
      <c r="G3747">
        <v>-214.5489</v>
      </c>
      <c r="H3747" s="1">
        <v>9.6857300000000003E-7</v>
      </c>
      <c r="I3747">
        <v>212.67959999999999</v>
      </c>
      <c r="J3747">
        <v>-231.36859999999999</v>
      </c>
      <c r="K3747">
        <v>1.110007</v>
      </c>
      <c r="L3747">
        <v>215.57650000000001</v>
      </c>
      <c r="M3747">
        <v>0.99984740000000005</v>
      </c>
      <c r="N3747">
        <v>0</v>
      </c>
      <c r="O3747">
        <v>9.7399310000000003E-3</v>
      </c>
      <c r="P3747">
        <v>0.98438409999999998</v>
      </c>
      <c r="Q3747">
        <v>0.1645218</v>
      </c>
      <c r="R3747">
        <v>-6.2614710000000004E-2</v>
      </c>
      <c r="S3747">
        <v>3.047882</v>
      </c>
      <c r="T3747">
        <v>-0.19586899999999999</v>
      </c>
      <c r="U3747">
        <v>-0.51042180000000004</v>
      </c>
      <c r="V3747">
        <v>7.2225929999999994E-2</v>
      </c>
      <c r="W3747">
        <v>0.17876889999999901</v>
      </c>
      <c r="X3747">
        <v>0.98123649999999996</v>
      </c>
      <c r="Y3747">
        <v>0.17439730000000001</v>
      </c>
      <c r="Z3747">
        <v>-6.1805209999999996E-3</v>
      </c>
      <c r="AA3747">
        <v>0.98465599999999998</v>
      </c>
      <c r="AB3747">
        <v>44</v>
      </c>
      <c r="AC3747">
        <v>16.819699999999902</v>
      </c>
      <c r="AD3747">
        <v>-1.1100060314269999</v>
      </c>
      <c r="AE3747">
        <v>-2.8969000000000098</v>
      </c>
      <c r="AF3747">
        <v>3.0477113319593601</v>
      </c>
      <c r="AG3747">
        <v>-1.1100060314269999</v>
      </c>
      <c r="AH3747">
        <v>16.7199615305267</v>
      </c>
      <c r="AI3747">
        <v>93.736789829414604</v>
      </c>
      <c r="AJ3747">
        <v>79.669552907606004</v>
      </c>
      <c r="AK3747">
        <v>17.031669657877</v>
      </c>
      <c r="AL3747">
        <v>79.701939935987696</v>
      </c>
      <c r="AM3747">
        <v>85.790218259532097</v>
      </c>
      <c r="AN3747">
        <v>0.99999998675191204</v>
      </c>
    </row>
    <row r="3748" spans="1:40" x14ac:dyDescent="0.25">
      <c r="A3748" t="str">
        <f>"20190312172445013"</f>
        <v>20190312172445013</v>
      </c>
      <c r="B3748" t="str">
        <f>"1552382685003765"</f>
        <v>1552382685003765</v>
      </c>
      <c r="C3748" t="s">
        <v>40</v>
      </c>
      <c r="D3748">
        <v>3.9495809999999998</v>
      </c>
      <c r="E3748">
        <v>0.54059669999999904</v>
      </c>
      <c r="F3748" t="s">
        <v>47</v>
      </c>
      <c r="G3748">
        <v>-214.02889999999999</v>
      </c>
      <c r="H3748" s="1">
        <v>6.9285469999999901E-7</v>
      </c>
      <c r="I3748">
        <v>212.6568</v>
      </c>
      <c r="J3748">
        <v>-230.9222</v>
      </c>
      <c r="K3748">
        <v>1.1100129999999999</v>
      </c>
      <c r="L3748">
        <v>215.58090000000001</v>
      </c>
      <c r="M3748">
        <v>0.99984589999999995</v>
      </c>
      <c r="N3748">
        <v>0</v>
      </c>
      <c r="O3748">
        <v>9.7003820000000004E-3</v>
      </c>
      <c r="P3748">
        <v>0.98430819999999997</v>
      </c>
      <c r="Q3748">
        <v>0.16465879999999999</v>
      </c>
      <c r="R3748">
        <v>-6.3441349999999994E-2</v>
      </c>
      <c r="S3748">
        <v>3.0475620000000001</v>
      </c>
      <c r="T3748">
        <v>-0.1950905</v>
      </c>
      <c r="U3748">
        <v>-0.51316830000000002</v>
      </c>
      <c r="V3748">
        <v>7.3013980000000006E-2</v>
      </c>
      <c r="W3748">
        <v>0.17902879999999999</v>
      </c>
      <c r="X3748">
        <v>0.98113079999999997</v>
      </c>
      <c r="Y3748">
        <v>0.1752396</v>
      </c>
      <c r="Z3748">
        <v>-6.180423E-3</v>
      </c>
      <c r="AA3748">
        <v>0.9845064</v>
      </c>
      <c r="AB3748">
        <v>44</v>
      </c>
      <c r="AC3748">
        <v>16.8933</v>
      </c>
      <c r="AD3748">
        <v>-1.1100123071453001</v>
      </c>
      <c r="AE3748">
        <v>-2.9241000000000001</v>
      </c>
      <c r="AF3748">
        <v>3.0749616178293402</v>
      </c>
      <c r="AG3748">
        <v>-1.1100123071453001</v>
      </c>
      <c r="AH3748">
        <v>16.793740221795399</v>
      </c>
      <c r="AI3748">
        <v>93.719901447694795</v>
      </c>
      <c r="AJ3748">
        <v>79.623985285188695</v>
      </c>
      <c r="AK3748">
        <v>17.1089808846198</v>
      </c>
      <c r="AL3748">
        <v>79.686804725285697</v>
      </c>
      <c r="AM3748">
        <v>85.743996802076197</v>
      </c>
      <c r="AN3748">
        <v>0.99999999960676</v>
      </c>
    </row>
    <row r="3749" spans="1:40" x14ac:dyDescent="0.25">
      <c r="A3749" t="str">
        <f>"20190312172445034"</f>
        <v>20190312172445034</v>
      </c>
      <c r="B3749" t="str">
        <f>"1552382685024261"</f>
        <v>1552382685024261</v>
      </c>
      <c r="C3749" t="s">
        <v>40</v>
      </c>
      <c r="D3749">
        <v>3.9283060000000001</v>
      </c>
      <c r="E3749">
        <v>0.54058660000000003</v>
      </c>
      <c r="F3749" t="s">
        <v>47</v>
      </c>
      <c r="G3749">
        <v>-213.58260000000001</v>
      </c>
      <c r="H3749" s="1">
        <v>4.5591460000000002E-7</v>
      </c>
      <c r="I3749">
        <v>212.6438</v>
      </c>
      <c r="J3749">
        <v>-230.49799999999999</v>
      </c>
      <c r="K3749">
        <v>1.1100319999999999</v>
      </c>
      <c r="L3749">
        <v>215.5849</v>
      </c>
      <c r="M3749">
        <v>0.99984470000000003</v>
      </c>
      <c r="N3749">
        <v>0</v>
      </c>
      <c r="O3749">
        <v>9.6546759999999992E-3</v>
      </c>
      <c r="P3749">
        <v>0.98415209999999997</v>
      </c>
      <c r="Q3749">
        <v>0.16526070000000001</v>
      </c>
      <c r="R3749">
        <v>-6.4295420000000006E-2</v>
      </c>
      <c r="S3749">
        <v>3.0472260000000002</v>
      </c>
      <c r="T3749">
        <v>-0.19507160000000001</v>
      </c>
      <c r="U3749">
        <v>-0.51615909999999998</v>
      </c>
      <c r="V3749">
        <v>7.3823589999999994E-2</v>
      </c>
      <c r="W3749">
        <v>0.17973149999999999</v>
      </c>
      <c r="X3749">
        <v>0.98094170000000003</v>
      </c>
      <c r="Y3749">
        <v>0.1761501</v>
      </c>
      <c r="Z3749">
        <v>-6.2059999999999997E-3</v>
      </c>
      <c r="AA3749">
        <v>0.98434379999999999</v>
      </c>
      <c r="AB3749">
        <v>44</v>
      </c>
      <c r="AC3749">
        <v>16.915399999999899</v>
      </c>
      <c r="AD3749">
        <v>-1.1100315440853901</v>
      </c>
      <c r="AE3749">
        <v>-2.9411</v>
      </c>
      <c r="AF3749">
        <v>3.0913715632021201</v>
      </c>
      <c r="AG3749">
        <v>-1.1100315440853901</v>
      </c>
      <c r="AH3749">
        <v>16.8159232200627</v>
      </c>
      <c r="AI3749">
        <v>93.714589408987393</v>
      </c>
      <c r="AJ3749">
        <v>79.583282177781797</v>
      </c>
      <c r="AK3749">
        <v>17.1337101035848</v>
      </c>
      <c r="AL3749">
        <v>79.645878920458301</v>
      </c>
      <c r="AM3749">
        <v>85.696154324860998</v>
      </c>
      <c r="AN3749">
        <v>0.99999997666581297</v>
      </c>
    </row>
    <row r="3750" spans="1:40" x14ac:dyDescent="0.25">
      <c r="A3750" t="str">
        <f>"20190312172445057"</f>
        <v>20190312172445057</v>
      </c>
      <c r="B3750" t="str">
        <f>"1552382685054032"</f>
        <v>1552382685054032</v>
      </c>
      <c r="C3750" t="s">
        <v>40</v>
      </c>
      <c r="D3750">
        <v>3.8466040000000001</v>
      </c>
      <c r="E3750">
        <v>0.50614709999999996</v>
      </c>
      <c r="F3750" t="s">
        <v>47</v>
      </c>
      <c r="G3750">
        <v>-213.0497</v>
      </c>
      <c r="H3750" s="1">
        <v>1.735772E-7</v>
      </c>
      <c r="I3750">
        <v>212.61519999999999</v>
      </c>
      <c r="J3750">
        <v>-230.06049999999999</v>
      </c>
      <c r="K3750">
        <v>1.110042</v>
      </c>
      <c r="L3750">
        <v>215.5891</v>
      </c>
      <c r="M3750">
        <v>0.99984410000000001</v>
      </c>
      <c r="N3750">
        <v>0</v>
      </c>
      <c r="O3750">
        <v>9.5927449999999997E-3</v>
      </c>
      <c r="P3750">
        <v>0.98389009999999999</v>
      </c>
      <c r="Q3750">
        <v>0.16666900000000001</v>
      </c>
      <c r="R3750">
        <v>-6.4670539999999999E-2</v>
      </c>
      <c r="S3750">
        <v>3.046967</v>
      </c>
      <c r="T3750">
        <v>-0.1938423</v>
      </c>
      <c r="U3750">
        <v>-0.51858519999999997</v>
      </c>
      <c r="V3750">
        <v>7.4139780000000002E-2</v>
      </c>
      <c r="W3750">
        <v>0.181229</v>
      </c>
      <c r="X3750">
        <v>0.98064229999999997</v>
      </c>
      <c r="Y3750">
        <v>0.176868</v>
      </c>
      <c r="Z3750">
        <v>-6.1858209999999898E-3</v>
      </c>
      <c r="AA3750">
        <v>0.98421510000000001</v>
      </c>
      <c r="AB3750">
        <v>44</v>
      </c>
      <c r="AC3750">
        <v>17.0107999999999</v>
      </c>
      <c r="AD3750">
        <v>-1.1100418264228</v>
      </c>
      <c r="AE3750">
        <v>-2.9739000000000102</v>
      </c>
      <c r="AF3750">
        <v>3.1240529235819698</v>
      </c>
      <c r="AG3750">
        <v>-1.1100418264228</v>
      </c>
      <c r="AH3750">
        <v>16.9116083152364</v>
      </c>
      <c r="AI3750">
        <v>93.693079123468294</v>
      </c>
      <c r="AJ3750">
        <v>79.533833810026593</v>
      </c>
      <c r="AK3750">
        <v>17.2335253309856</v>
      </c>
      <c r="AL3750">
        <v>79.558646123474205</v>
      </c>
      <c r="AM3750">
        <v>85.676475840577595</v>
      </c>
      <c r="AN3750">
        <v>0.99999998898436904</v>
      </c>
    </row>
    <row r="3751" spans="1:40" x14ac:dyDescent="0.25">
      <c r="A3751" t="str">
        <f>"20190312172445080"</f>
        <v>20190312172445080</v>
      </c>
      <c r="B3751" t="str">
        <f>"1552382685074532"</f>
        <v>1552382685074532</v>
      </c>
      <c r="C3751" t="s">
        <v>40</v>
      </c>
      <c r="D3751">
        <v>3.901729</v>
      </c>
      <c r="E3751">
        <v>0.50222869999999997</v>
      </c>
      <c r="F3751" t="s">
        <v>47</v>
      </c>
      <c r="G3751">
        <v>-213.8535</v>
      </c>
      <c r="H3751" s="1">
        <v>5.2809750000000001E-7</v>
      </c>
      <c r="I3751">
        <v>214.2903</v>
      </c>
      <c r="J3751">
        <v>-229.60900000000001</v>
      </c>
      <c r="K3751">
        <v>1.1100410000000001</v>
      </c>
      <c r="L3751">
        <v>215.5933</v>
      </c>
      <c r="M3751">
        <v>0.9998435</v>
      </c>
      <c r="N3751">
        <v>0</v>
      </c>
      <c r="O3751">
        <v>9.5063760000000004E-3</v>
      </c>
      <c r="P3751">
        <v>0.9836435</v>
      </c>
      <c r="Q3751">
        <v>0.1677592</v>
      </c>
      <c r="R3751">
        <v>-6.5595580000000001E-2</v>
      </c>
      <c r="S3751">
        <v>3.0685419999999999</v>
      </c>
      <c r="T3751">
        <v>-0.21016940000000001</v>
      </c>
      <c r="U3751">
        <v>-0.24589539999999999</v>
      </c>
      <c r="V3751">
        <v>7.4984839999999997E-2</v>
      </c>
      <c r="W3751">
        <v>0.18239659999999999</v>
      </c>
      <c r="X3751">
        <v>0.9803615</v>
      </c>
      <c r="Y3751">
        <v>8.9122010000000002E-2</v>
      </c>
      <c r="Z3751">
        <v>-3.693057E-3</v>
      </c>
      <c r="AA3751">
        <v>0.99601390000000001</v>
      </c>
      <c r="AB3751">
        <v>44</v>
      </c>
      <c r="AC3751">
        <v>15.7555</v>
      </c>
      <c r="AD3751">
        <v>-1.1100404719024899</v>
      </c>
      <c r="AE3751">
        <v>-1.3029999999999899</v>
      </c>
      <c r="AF3751">
        <v>1.4456085392707301</v>
      </c>
      <c r="AG3751">
        <v>-1.1100404719024899</v>
      </c>
      <c r="AH3751">
        <v>15.6651693506097</v>
      </c>
      <c r="AI3751">
        <v>94.036135790653404</v>
      </c>
      <c r="AJ3751">
        <v>84.727580420373897</v>
      </c>
      <c r="AK3751">
        <v>15.7708434993616</v>
      </c>
      <c r="AL3751">
        <v>79.490613354332694</v>
      </c>
      <c r="AM3751">
        <v>85.626137936436606</v>
      </c>
      <c r="AN3751">
        <v>0.99999995830181698</v>
      </c>
    </row>
    <row r="3752" spans="1:40" x14ac:dyDescent="0.25">
      <c r="A3752" t="str">
        <f>"20190312172445102"</f>
        <v>20190312172445102</v>
      </c>
      <c r="B3752" t="str">
        <f>"1552382685094047"</f>
        <v>1552382685094047</v>
      </c>
      <c r="C3752" t="s">
        <v>40</v>
      </c>
      <c r="D3752">
        <v>3.91303</v>
      </c>
      <c r="E3752">
        <v>0.50003310000000001</v>
      </c>
      <c r="F3752" t="s">
        <v>47</v>
      </c>
      <c r="G3752">
        <v>-212.02269999999999</v>
      </c>
      <c r="H3752" s="1">
        <v>-4.4864610000000002E-7</v>
      </c>
      <c r="I3752">
        <v>214.3468</v>
      </c>
      <c r="J3752">
        <v>-229.16829999999999</v>
      </c>
      <c r="K3752">
        <v>1.1100289999999999</v>
      </c>
      <c r="L3752">
        <v>215.59739999999999</v>
      </c>
      <c r="M3752">
        <v>0.9998435</v>
      </c>
      <c r="N3752">
        <v>0</v>
      </c>
      <c r="O3752">
        <v>9.3901179999999994E-3</v>
      </c>
      <c r="P3752">
        <v>0.98354819999999998</v>
      </c>
      <c r="Q3752">
        <v>0.16797229999999999</v>
      </c>
      <c r="R3752">
        <v>-6.6471349999999998E-2</v>
      </c>
      <c r="S3752">
        <v>3.0684200000000001</v>
      </c>
      <c r="T3752">
        <v>-0.19367690000000001</v>
      </c>
      <c r="U3752">
        <v>-0.21749879999999999</v>
      </c>
      <c r="V3752">
        <v>7.5756069999999995E-2</v>
      </c>
      <c r="W3752">
        <v>0.18267459999999999</v>
      </c>
      <c r="X3752">
        <v>0.98025050000000002</v>
      </c>
      <c r="Y3752">
        <v>7.9893320000000004E-2</v>
      </c>
      <c r="Z3752">
        <v>-3.1072370000000001E-3</v>
      </c>
      <c r="AA3752">
        <v>0.99679859999999998</v>
      </c>
      <c r="AB3752">
        <v>44</v>
      </c>
      <c r="AC3752">
        <v>17.145600000000002</v>
      </c>
      <c r="AD3752">
        <v>-1.1100294486461</v>
      </c>
      <c r="AE3752">
        <v>-1.2505999999999899</v>
      </c>
      <c r="AF3752">
        <v>1.4057014199636599</v>
      </c>
      <c r="AG3752">
        <v>-1.1100294486461</v>
      </c>
      <c r="AH3752">
        <v>17.061963512914598</v>
      </c>
      <c r="AI3752">
        <v>93.709809893489805</v>
      </c>
      <c r="AJ3752">
        <v>85.290151335802307</v>
      </c>
      <c r="AK3752">
        <v>17.1557209342824</v>
      </c>
      <c r="AL3752">
        <v>79.474413574702595</v>
      </c>
      <c r="AM3752">
        <v>85.580831012778901</v>
      </c>
      <c r="AN3752">
        <v>1.0000000171886201</v>
      </c>
    </row>
    <row r="3753" spans="1:40" x14ac:dyDescent="0.25">
      <c r="A3753" t="str">
        <f>"20190312172445125"</f>
        <v>20190312172445125</v>
      </c>
      <c r="B3753" t="str">
        <f>"1552382685114544"</f>
        <v>1552382685114544</v>
      </c>
      <c r="C3753" t="s">
        <v>40</v>
      </c>
      <c r="D3753">
        <v>3.9415589999999998</v>
      </c>
      <c r="E3753">
        <v>0.4992084</v>
      </c>
      <c r="F3753" t="s">
        <v>41</v>
      </c>
      <c r="G3753">
        <v>-228.06720000000001</v>
      </c>
      <c r="H3753">
        <v>1.04125</v>
      </c>
      <c r="I3753">
        <v>215.52440000000001</v>
      </c>
      <c r="J3753">
        <v>-228.72550000000001</v>
      </c>
      <c r="K3753">
        <v>1.1099969999999999</v>
      </c>
      <c r="L3753">
        <v>215.60140000000001</v>
      </c>
      <c r="M3753">
        <v>0.99984399999999996</v>
      </c>
      <c r="N3753">
        <v>0</v>
      </c>
      <c r="O3753">
        <v>9.2355389999999992E-3</v>
      </c>
      <c r="P3753">
        <v>0.98347450000000003</v>
      </c>
      <c r="Q3753">
        <v>0.1679185</v>
      </c>
      <c r="R3753">
        <v>-6.7686099999999999E-2</v>
      </c>
      <c r="S3753">
        <v>3.0692140000000001</v>
      </c>
      <c r="T3753">
        <v>-0.19183720000000001</v>
      </c>
      <c r="U3753">
        <v>-0.2030487</v>
      </c>
      <c r="V3753">
        <v>7.6831819999999995E-2</v>
      </c>
      <c r="W3753">
        <v>0.18267459999999999</v>
      </c>
      <c r="X3753">
        <v>0.98016669999999995</v>
      </c>
      <c r="Y3753">
        <v>7.5062100000000007E-2</v>
      </c>
      <c r="Z3753">
        <v>-2.9171589999999999E-3</v>
      </c>
      <c r="AA3753">
        <v>0.99717460000000002</v>
      </c>
      <c r="AB3753">
        <v>44</v>
      </c>
      <c r="AC3753">
        <v>0.658299999999997</v>
      </c>
      <c r="AD3753">
        <v>-6.8746999999999794E-2</v>
      </c>
      <c r="AE3753">
        <v>-7.6999999999998098E-2</v>
      </c>
      <c r="AF3753">
        <v>8.2192874472550095E-2</v>
      </c>
      <c r="AG3753">
        <v>-6.8746999999999794E-2</v>
      </c>
      <c r="AH3753">
        <v>0.65056152928778399</v>
      </c>
      <c r="AI3753">
        <v>95.985019902738003</v>
      </c>
      <c r="AJ3753">
        <v>82.799320296069197</v>
      </c>
      <c r="AK3753">
        <v>0.65932702205530802</v>
      </c>
      <c r="AL3753">
        <v>79.474412847933493</v>
      </c>
      <c r="AM3753">
        <v>85.517950277643195</v>
      </c>
      <c r="AN3753">
        <v>0.99999994891927901</v>
      </c>
    </row>
    <row r="3754" spans="1:40" x14ac:dyDescent="0.25">
      <c r="A3754" t="str">
        <f>"20190312172445146"</f>
        <v>20190312172445146</v>
      </c>
      <c r="B3754" t="str">
        <f>"1552382685143823"</f>
        <v>1552382685143823</v>
      </c>
      <c r="C3754" t="s">
        <v>40</v>
      </c>
      <c r="D3754">
        <v>3.9455849999999999</v>
      </c>
      <c r="E3754">
        <v>0.49807970000000001</v>
      </c>
      <c r="F3754" t="s">
        <v>41</v>
      </c>
      <c r="G3754">
        <v>-227.6722</v>
      </c>
      <c r="H3754">
        <v>1.0438829999999999</v>
      </c>
      <c r="I3754">
        <v>215.5326</v>
      </c>
      <c r="J3754">
        <v>-228.30179999999999</v>
      </c>
      <c r="K3754">
        <v>1.10998</v>
      </c>
      <c r="L3754">
        <v>215.6052</v>
      </c>
      <c r="M3754">
        <v>0.99984479999999998</v>
      </c>
      <c r="N3754">
        <v>0</v>
      </c>
      <c r="O3754">
        <v>9.0553290000000008E-3</v>
      </c>
      <c r="P3754">
        <v>0.98358400000000001</v>
      </c>
      <c r="Q3754">
        <v>0.16694529999999999</v>
      </c>
      <c r="R3754">
        <v>-6.8499379999999999E-2</v>
      </c>
      <c r="S3754">
        <v>3.0695039999999998</v>
      </c>
      <c r="T3754">
        <v>-0.19267960000000001</v>
      </c>
      <c r="U3754">
        <v>-0.2005005</v>
      </c>
      <c r="V3754">
        <v>7.7481990000000001E-2</v>
      </c>
      <c r="W3754">
        <v>0.1817481</v>
      </c>
      <c r="X3754">
        <v>0.98028780000000004</v>
      </c>
      <c r="Y3754">
        <v>7.4052779999999999E-2</v>
      </c>
      <c r="Z3754">
        <v>-2.886843E-3</v>
      </c>
      <c r="AA3754">
        <v>0.99725010000000003</v>
      </c>
      <c r="AB3754">
        <v>44</v>
      </c>
      <c r="AC3754">
        <v>0.62959999999998195</v>
      </c>
      <c r="AD3754">
        <v>-6.6097000000000003E-2</v>
      </c>
      <c r="AE3754">
        <v>-7.2599999999994197E-2</v>
      </c>
      <c r="AF3754">
        <v>7.7456437978328296E-2</v>
      </c>
      <c r="AG3754">
        <v>-6.6097000000000003E-2</v>
      </c>
      <c r="AH3754">
        <v>0.62214974779624599</v>
      </c>
      <c r="AI3754">
        <v>96.018222377054698</v>
      </c>
      <c r="AJ3754">
        <v>82.903301872700396</v>
      </c>
      <c r="AK3754">
        <v>0.63042733274836904</v>
      </c>
      <c r="AL3754">
        <v>79.528401739170206</v>
      </c>
      <c r="AM3754">
        <v>85.480734599981105</v>
      </c>
      <c r="AN3754">
        <v>1.0000000007284</v>
      </c>
    </row>
    <row r="3755" spans="1:40" x14ac:dyDescent="0.25">
      <c r="A3755" t="str">
        <f>"20190312172445170"</f>
        <v>20190312172445170</v>
      </c>
      <c r="B3755" t="str">
        <f>"1552382685164323"</f>
        <v>1552382685164323</v>
      </c>
      <c r="C3755" t="s">
        <v>40</v>
      </c>
      <c r="D3755">
        <v>4.0898379999999896</v>
      </c>
      <c r="E3755">
        <v>0.49782969999999999</v>
      </c>
      <c r="F3755" t="s">
        <v>41</v>
      </c>
      <c r="G3755">
        <v>-227.27969999999999</v>
      </c>
      <c r="H3755">
        <v>1.043704</v>
      </c>
      <c r="I3755">
        <v>215.54040000000001</v>
      </c>
      <c r="J3755">
        <v>-227.8536</v>
      </c>
      <c r="K3755">
        <v>1.1099509999999999</v>
      </c>
      <c r="L3755">
        <v>215.60900000000001</v>
      </c>
      <c r="M3755">
        <v>0.99984629999999997</v>
      </c>
      <c r="N3755">
        <v>0</v>
      </c>
      <c r="O3755">
        <v>8.8227189999999997E-3</v>
      </c>
      <c r="P3755">
        <v>0.98356399999999999</v>
      </c>
      <c r="Q3755">
        <v>0.16660629999999901</v>
      </c>
      <c r="R3755">
        <v>-6.9601650000000001E-2</v>
      </c>
      <c r="S3755">
        <v>3.0703279999999999</v>
      </c>
      <c r="T3755">
        <v>-0.1991463</v>
      </c>
      <c r="U3755">
        <v>-0.19448850000000001</v>
      </c>
      <c r="V3755">
        <v>7.8371490000000002E-2</v>
      </c>
      <c r="W3755">
        <v>0.18144759999999999</v>
      </c>
      <c r="X3755">
        <v>0.98027280000000006</v>
      </c>
      <c r="Y3755">
        <v>7.1852589999999994E-2</v>
      </c>
      <c r="Z3755">
        <v>-2.8966510000000001E-3</v>
      </c>
      <c r="AA3755">
        <v>0.99741109999999999</v>
      </c>
      <c r="AB3755">
        <v>44</v>
      </c>
      <c r="AC3755">
        <v>0.57390000000000896</v>
      </c>
      <c r="AD3755">
        <v>-6.6246999999999903E-2</v>
      </c>
      <c r="AE3755">
        <v>-6.8600000000003505E-2</v>
      </c>
      <c r="AF3755">
        <v>7.2706123360227803E-2</v>
      </c>
      <c r="AG3755">
        <v>-6.6246999999999903E-2</v>
      </c>
      <c r="AH3755">
        <v>0.56583888307667296</v>
      </c>
      <c r="AI3755">
        <v>96.623680689979096</v>
      </c>
      <c r="AJ3755">
        <v>82.678035077635997</v>
      </c>
      <c r="AK3755">
        <v>0.57432437436045702</v>
      </c>
      <c r="AL3755">
        <v>79.545910675348097</v>
      </c>
      <c r="AM3755">
        <v>85.429002005652706</v>
      </c>
      <c r="AN3755">
        <v>1.0000000422052</v>
      </c>
    </row>
    <row r="3756" spans="1:40" x14ac:dyDescent="0.25">
      <c r="A3756" t="str">
        <f>"20190312172445191"</f>
        <v>20190312172445191</v>
      </c>
      <c r="B3756" t="str">
        <f>"1552382685183839"</f>
        <v>1552382685183839</v>
      </c>
      <c r="C3756" t="s">
        <v>40</v>
      </c>
      <c r="D3756">
        <v>4.0659589999999897</v>
      </c>
      <c r="E3756">
        <v>0.49748239999999999</v>
      </c>
      <c r="F3756" t="s">
        <v>41</v>
      </c>
      <c r="G3756">
        <v>-226.88390000000001</v>
      </c>
      <c r="H3756">
        <v>1.0474330000000001</v>
      </c>
      <c r="I3756">
        <v>215.547</v>
      </c>
      <c r="J3756">
        <v>-227.41059999999999</v>
      </c>
      <c r="K3756">
        <v>1.1099300000000001</v>
      </c>
      <c r="L3756">
        <v>215.61269999999999</v>
      </c>
      <c r="M3756">
        <v>0.99984799999999996</v>
      </c>
      <c r="N3756">
        <v>0</v>
      </c>
      <c r="O3756">
        <v>8.5450279999999997E-3</v>
      </c>
      <c r="P3756">
        <v>0.9834773</v>
      </c>
      <c r="Q3756">
        <v>0.16655029999999901</v>
      </c>
      <c r="R3756">
        <v>-7.0949120000000004E-2</v>
      </c>
      <c r="S3756">
        <v>3.069763</v>
      </c>
      <c r="T3756">
        <v>-0.1979727</v>
      </c>
      <c r="U3756">
        <v>-0.19647220000000001</v>
      </c>
      <c r="V3756">
        <v>7.9462889999999994E-2</v>
      </c>
      <c r="W3756">
        <v>0.1814199</v>
      </c>
      <c r="X3756">
        <v>0.98019000000000001</v>
      </c>
      <c r="Y3756">
        <v>7.2230790000000003E-2</v>
      </c>
      <c r="Z3756">
        <v>-2.8743800000000002E-3</v>
      </c>
      <c r="AA3756">
        <v>0.99738380000000004</v>
      </c>
      <c r="AB3756">
        <v>44</v>
      </c>
      <c r="AC3756">
        <v>0.52669999999997597</v>
      </c>
      <c r="AD3756">
        <v>-6.2496999999999803E-2</v>
      </c>
      <c r="AE3756">
        <v>-6.5699999999992501E-2</v>
      </c>
      <c r="AF3756">
        <v>6.9238864423313298E-2</v>
      </c>
      <c r="AG3756">
        <v>-6.2496999999999803E-2</v>
      </c>
      <c r="AH3756">
        <v>0.51892495616555401</v>
      </c>
      <c r="AI3756">
        <v>96.807615042907301</v>
      </c>
      <c r="AJ3756">
        <v>82.400055061758195</v>
      </c>
      <c r="AK3756">
        <v>0.52724093684676199</v>
      </c>
      <c r="AL3756">
        <v>79.547523933666696</v>
      </c>
      <c r="AM3756">
        <v>85.365231977833204</v>
      </c>
      <c r="AN3756">
        <v>0.99999998355158004</v>
      </c>
    </row>
    <row r="3757" spans="1:40" x14ac:dyDescent="0.25">
      <c r="A3757" t="str">
        <f>"20190312172445214"</f>
        <v>20190312172445214</v>
      </c>
      <c r="B3757" t="str">
        <f>"1552382685204335"</f>
        <v>1552382685204335</v>
      </c>
      <c r="C3757" t="s">
        <v>40</v>
      </c>
      <c r="D3757">
        <v>3.9955590000000001</v>
      </c>
      <c r="E3757">
        <v>0.4972665</v>
      </c>
      <c r="F3757" t="s">
        <v>41</v>
      </c>
      <c r="G3757">
        <v>-226.48920000000001</v>
      </c>
      <c r="H3757">
        <v>1.0503100000000001</v>
      </c>
      <c r="I3757">
        <v>215.5532</v>
      </c>
      <c r="J3757">
        <v>-226.98570000000001</v>
      </c>
      <c r="K3757">
        <v>1.109909</v>
      </c>
      <c r="L3757">
        <v>215.61609999999999</v>
      </c>
      <c r="M3757">
        <v>0.99985029999999997</v>
      </c>
      <c r="N3757">
        <v>0</v>
      </c>
      <c r="O3757">
        <v>8.2324219999999997E-3</v>
      </c>
      <c r="P3757">
        <v>0.9831666</v>
      </c>
      <c r="Q3757">
        <v>0.16758670000000001</v>
      </c>
      <c r="R3757">
        <v>-7.2791040000000001E-2</v>
      </c>
      <c r="S3757">
        <v>3.0697939999999999</v>
      </c>
      <c r="T3757">
        <v>-0.19868430000000001</v>
      </c>
      <c r="U3757">
        <v>-0.19764709999999999</v>
      </c>
      <c r="V3757">
        <v>8.1014340000000004E-2</v>
      </c>
      <c r="W3757">
        <v>0.18247440000000001</v>
      </c>
      <c r="X3757">
        <v>0.97986719999999905</v>
      </c>
      <c r="Y3757">
        <v>7.2297829999999993E-2</v>
      </c>
      <c r="Z3757">
        <v>-2.8665990000000001E-3</v>
      </c>
      <c r="AA3757">
        <v>0.99737889999999996</v>
      </c>
      <c r="AB3757">
        <v>44</v>
      </c>
      <c r="AC3757">
        <v>0.496499999999997</v>
      </c>
      <c r="AD3757">
        <v>-5.9598999999999902E-2</v>
      </c>
      <c r="AE3757">
        <v>-6.2899999999984801E-2</v>
      </c>
      <c r="AF3757">
        <v>6.6049059078814795E-2</v>
      </c>
      <c r="AG3757">
        <v>-5.9598999999999902E-2</v>
      </c>
      <c r="AH3757">
        <v>0.489030073843994</v>
      </c>
      <c r="AI3757">
        <v>96.886558165421206</v>
      </c>
      <c r="AJ3757">
        <v>82.308100410065094</v>
      </c>
      <c r="AK3757">
        <v>0.49705626656351398</v>
      </c>
      <c r="AL3757">
        <v>79.486079885665802</v>
      </c>
      <c r="AM3757">
        <v>85.273598124163698</v>
      </c>
      <c r="AN3757">
        <v>0.99999997978841704</v>
      </c>
    </row>
    <row r="3758" spans="1:40" x14ac:dyDescent="0.25">
      <c r="A3758" t="str">
        <f>"20190312172445235"</f>
        <v>20190312172445235</v>
      </c>
      <c r="B3758" t="str">
        <f>"1552382685223855"</f>
        <v>1552382685223855</v>
      </c>
      <c r="C3758" t="s">
        <v>40</v>
      </c>
      <c r="D3758">
        <v>3.9809510000000001</v>
      </c>
      <c r="E3758">
        <v>0.49719259999999899</v>
      </c>
      <c r="F3758" t="s">
        <v>41</v>
      </c>
      <c r="G3758">
        <v>-226.08709999999999</v>
      </c>
      <c r="H3758">
        <v>1.052041</v>
      </c>
      <c r="I3758">
        <v>215.55699999999999</v>
      </c>
      <c r="J3758">
        <v>-226.54949999999999</v>
      </c>
      <c r="K3758">
        <v>1.1098809999999999</v>
      </c>
      <c r="L3758">
        <v>215.61930000000001</v>
      </c>
      <c r="M3758">
        <v>0.99985270000000004</v>
      </c>
      <c r="N3758">
        <v>0</v>
      </c>
      <c r="O3758">
        <v>7.866128E-3</v>
      </c>
      <c r="P3758">
        <v>0.98288450000000005</v>
      </c>
      <c r="Q3758">
        <v>0.1683857</v>
      </c>
      <c r="R3758">
        <v>-7.4729840000000006E-2</v>
      </c>
      <c r="S3758">
        <v>3.07016</v>
      </c>
      <c r="T3758">
        <v>-0.19770499999999999</v>
      </c>
      <c r="U3758">
        <v>-0.2013702</v>
      </c>
      <c r="V3758">
        <v>8.2611790000000004E-2</v>
      </c>
      <c r="W3758">
        <v>0.1832859</v>
      </c>
      <c r="X3758">
        <v>0.97958239999999996</v>
      </c>
      <c r="Y3758">
        <v>7.3129940000000004E-2</v>
      </c>
      <c r="Z3758">
        <v>-2.8552400000000002E-3</v>
      </c>
      <c r="AA3758">
        <v>0.99731829999999999</v>
      </c>
      <c r="AB3758">
        <v>44</v>
      </c>
      <c r="AC3758">
        <v>0.46240000000000198</v>
      </c>
      <c r="AD3758">
        <v>-5.7839999999999801E-2</v>
      </c>
      <c r="AE3758">
        <v>-6.2299999999993298E-2</v>
      </c>
      <c r="AF3758">
        <v>6.4937849534379505E-2</v>
      </c>
      <c r="AG3758">
        <v>-5.7839999999999801E-2</v>
      </c>
      <c r="AH3758">
        <v>0.45490474805773301</v>
      </c>
      <c r="AI3758">
        <v>97.174174994712203</v>
      </c>
      <c r="AJ3758">
        <v>81.875889507020105</v>
      </c>
      <c r="AK3758">
        <v>0.463142224060406</v>
      </c>
      <c r="AL3758">
        <v>79.438787559355106</v>
      </c>
      <c r="AM3758">
        <v>85.179442600028295</v>
      </c>
      <c r="AN3758">
        <v>1.00000005368778</v>
      </c>
    </row>
    <row r="3759" spans="1:40" x14ac:dyDescent="0.25">
      <c r="A3759" t="str">
        <f>"20190312172445258"</f>
        <v>20190312172445258</v>
      </c>
      <c r="B3759" t="str">
        <f>"1552382685254112"</f>
        <v>1552382685254112</v>
      </c>
      <c r="C3759" t="s">
        <v>40</v>
      </c>
      <c r="D3759">
        <v>4.046888</v>
      </c>
      <c r="E3759">
        <v>0.49688500000000002</v>
      </c>
      <c r="F3759" t="s">
        <v>46</v>
      </c>
      <c r="G3759">
        <v>-209.20259999999999</v>
      </c>
      <c r="H3759" s="1">
        <v>6.3122369999999999E-6</v>
      </c>
      <c r="I3759">
        <v>214.45320000000001</v>
      </c>
      <c r="J3759">
        <v>-226.1036</v>
      </c>
      <c r="K3759">
        <v>1.1098440000000001</v>
      </c>
      <c r="L3759">
        <v>215.6225</v>
      </c>
      <c r="M3759">
        <v>0.99985559999999996</v>
      </c>
      <c r="N3759">
        <v>0</v>
      </c>
      <c r="O3759">
        <v>7.4456919999999899E-3</v>
      </c>
      <c r="P3759">
        <v>0.98283710000000002</v>
      </c>
      <c r="Q3759">
        <v>0.1679042</v>
      </c>
      <c r="R3759">
        <v>-7.6419959999999995E-2</v>
      </c>
      <c r="S3759">
        <v>3.0702060000000002</v>
      </c>
      <c r="T3759">
        <v>-0.1964359</v>
      </c>
      <c r="U3759">
        <v>-0.2063904</v>
      </c>
      <c r="V3759">
        <v>8.390939E-2</v>
      </c>
      <c r="W3759">
        <v>0.18281710000000001</v>
      </c>
      <c r="X3759">
        <v>0.97955970000000003</v>
      </c>
      <c r="Y3759">
        <v>7.4333709999999997E-2</v>
      </c>
      <c r="Z3759">
        <v>-2.8483340000000001E-3</v>
      </c>
      <c r="AA3759">
        <v>0.99722929999999999</v>
      </c>
      <c r="AB3759">
        <v>44</v>
      </c>
      <c r="AC3759">
        <v>16.901</v>
      </c>
      <c r="AD3759">
        <v>-1.1098376877630001</v>
      </c>
      <c r="AE3759">
        <v>-1.16929999999999</v>
      </c>
      <c r="AF3759">
        <v>1.28958749754792</v>
      </c>
      <c r="AG3759">
        <v>-1.1098376877630001</v>
      </c>
      <c r="AH3759">
        <v>16.819640791966201</v>
      </c>
      <c r="AI3759">
        <v>93.764152159036499</v>
      </c>
      <c r="AJ3759">
        <v>85.615623042683893</v>
      </c>
      <c r="AK3759">
        <v>16.9054752070974</v>
      </c>
      <c r="AL3759">
        <v>79.466109342590997</v>
      </c>
      <c r="AM3759">
        <v>85.103977444286201</v>
      </c>
      <c r="AN3759">
        <v>1.0000000418233299</v>
      </c>
    </row>
    <row r="3760" spans="1:40" x14ac:dyDescent="0.25">
      <c r="A3760" t="str">
        <f>"20190312172445281"</f>
        <v>20190312172445281</v>
      </c>
      <c r="B3760" t="str">
        <f>"1552382685274620"</f>
        <v>1552382685274620</v>
      </c>
      <c r="C3760" t="s">
        <v>40</v>
      </c>
      <c r="D3760">
        <v>4.065315</v>
      </c>
      <c r="E3760">
        <v>0.4968455</v>
      </c>
      <c r="F3760" t="s">
        <v>46</v>
      </c>
      <c r="G3760">
        <v>-209.1148</v>
      </c>
      <c r="H3760" s="1">
        <v>6.2723479999999997E-6</v>
      </c>
      <c r="I3760">
        <v>214.4639</v>
      </c>
      <c r="J3760">
        <v>-225.67019999999999</v>
      </c>
      <c r="K3760">
        <v>1.109812</v>
      </c>
      <c r="L3760">
        <v>215.62530000000001</v>
      </c>
      <c r="M3760">
        <v>0.99985849999999998</v>
      </c>
      <c r="N3760">
        <v>0</v>
      </c>
      <c r="O3760">
        <v>6.9937799999999998E-3</v>
      </c>
      <c r="P3760">
        <v>0.98288240000000004</v>
      </c>
      <c r="Q3760">
        <v>0.16676820000000001</v>
      </c>
      <c r="R3760">
        <v>-7.8298909999999999E-2</v>
      </c>
      <c r="S3760">
        <v>3.0703740000000002</v>
      </c>
      <c r="T3760">
        <v>-0.20058049999999999</v>
      </c>
      <c r="U3760">
        <v>-0.20938109999999999</v>
      </c>
      <c r="V3760">
        <v>8.5364579999999995E-2</v>
      </c>
      <c r="W3760">
        <v>0.1816904</v>
      </c>
      <c r="X3760">
        <v>0.9796435</v>
      </c>
      <c r="Y3760">
        <v>7.4839089999999997E-2</v>
      </c>
      <c r="Z3760">
        <v>-2.8950579999999998E-3</v>
      </c>
      <c r="AA3760">
        <v>0.99719139999999995</v>
      </c>
      <c r="AB3760">
        <v>44</v>
      </c>
      <c r="AC3760">
        <v>16.555399999999899</v>
      </c>
      <c r="AD3760">
        <v>-1.1098057276519999</v>
      </c>
      <c r="AE3760">
        <v>-1.16140000000001</v>
      </c>
      <c r="AF3760">
        <v>1.2714841433516499</v>
      </c>
      <c r="AG3760">
        <v>-1.1098057276519999</v>
      </c>
      <c r="AH3760">
        <v>16.473206580674798</v>
      </c>
      <c r="AI3760">
        <v>93.842817323256199</v>
      </c>
      <c r="AJ3760">
        <v>85.586377194266305</v>
      </c>
      <c r="AK3760">
        <v>16.5594346440182</v>
      </c>
      <c r="AL3760">
        <v>79.531763143751704</v>
      </c>
      <c r="AM3760">
        <v>85.019916037634502</v>
      </c>
      <c r="AN3760">
        <v>0.999999950031491</v>
      </c>
    </row>
    <row r="3761" spans="1:40" x14ac:dyDescent="0.25">
      <c r="A3761" t="str">
        <f>"20190312172445304"</f>
        <v>20190312172445304</v>
      </c>
      <c r="B3761" t="str">
        <f>"1552382685294128"</f>
        <v>1552382685294128</v>
      </c>
      <c r="C3761" t="s">
        <v>40</v>
      </c>
      <c r="D3761">
        <v>4.1540470000000003</v>
      </c>
      <c r="E3761">
        <v>0.49680059999999898</v>
      </c>
      <c r="F3761" t="s">
        <v>46</v>
      </c>
      <c r="G3761">
        <v>-209.07589999999999</v>
      </c>
      <c r="H3761" s="1">
        <v>6.2552090000000003E-6</v>
      </c>
      <c r="I3761">
        <v>214.46270000000001</v>
      </c>
      <c r="J3761">
        <v>-225.22040000000001</v>
      </c>
      <c r="K3761">
        <v>1.109766</v>
      </c>
      <c r="L3761">
        <v>215.62799999999999</v>
      </c>
      <c r="M3761">
        <v>0.99986160000000002</v>
      </c>
      <c r="N3761">
        <v>0</v>
      </c>
      <c r="O3761">
        <v>6.4760540000000002E-3</v>
      </c>
      <c r="P3761">
        <v>0.98295239999999995</v>
      </c>
      <c r="Q3761">
        <v>0.1647535</v>
      </c>
      <c r="R3761">
        <v>-8.16138E-2</v>
      </c>
      <c r="S3761">
        <v>3.0699459999999998</v>
      </c>
      <c r="T3761">
        <v>-0.20531460000000001</v>
      </c>
      <c r="U3761">
        <v>-0.2150879</v>
      </c>
      <c r="V3761">
        <v>8.8190290000000005E-2</v>
      </c>
      <c r="W3761">
        <v>0.17968029999999999</v>
      </c>
      <c r="X3761">
        <v>0.97976399999999997</v>
      </c>
      <c r="Y3761">
        <v>7.6166869999999998E-2</v>
      </c>
      <c r="Z3761">
        <v>-2.9732059999999999E-3</v>
      </c>
      <c r="AA3761">
        <v>0.99709060000000005</v>
      </c>
      <c r="AB3761">
        <v>44</v>
      </c>
      <c r="AC3761">
        <v>16.144500000000001</v>
      </c>
      <c r="AD3761">
        <v>-1.1097597447909999</v>
      </c>
      <c r="AE3761">
        <v>-1.16529999999997</v>
      </c>
      <c r="AF3761">
        <v>1.26389942288309</v>
      </c>
      <c r="AG3761">
        <v>-1.1097597447909999</v>
      </c>
      <c r="AH3761">
        <v>16.061117278982898</v>
      </c>
      <c r="AI3761">
        <v>93.940486116278606</v>
      </c>
      <c r="AJ3761">
        <v>85.500488983534495</v>
      </c>
      <c r="AK3761">
        <v>16.148947231679401</v>
      </c>
      <c r="AL3761">
        <v>79.648861429430497</v>
      </c>
      <c r="AM3761">
        <v>84.856566595720494</v>
      </c>
      <c r="AN3761">
        <v>1.0000000165771801</v>
      </c>
    </row>
    <row r="3762" spans="1:40" x14ac:dyDescent="0.25">
      <c r="A3762" t="str">
        <f>"20190312172445326"</f>
        <v>20190312172445326</v>
      </c>
      <c r="B3762" t="str">
        <f>"1552382685314627"</f>
        <v>1552382685314627</v>
      </c>
      <c r="C3762" t="s">
        <v>40</v>
      </c>
      <c r="D3762">
        <v>4.1616519999999904</v>
      </c>
      <c r="E3762">
        <v>0.49674099999999999</v>
      </c>
      <c r="F3762" t="s">
        <v>41</v>
      </c>
      <c r="G3762">
        <v>-224.1558</v>
      </c>
      <c r="H3762">
        <v>1.0361880000000001</v>
      </c>
      <c r="I3762">
        <v>215.55</v>
      </c>
      <c r="J3762">
        <v>-224.785</v>
      </c>
      <c r="K3762">
        <v>1.109715</v>
      </c>
      <c r="L3762">
        <v>215.63040000000001</v>
      </c>
      <c r="M3762">
        <v>0.999865</v>
      </c>
      <c r="N3762">
        <v>0</v>
      </c>
      <c r="O3762">
        <v>5.9318640000000002E-3</v>
      </c>
      <c r="P3762">
        <v>0.98300019999999999</v>
      </c>
      <c r="Q3762">
        <v>0.1623465</v>
      </c>
      <c r="R3762">
        <v>-8.575816E-2</v>
      </c>
      <c r="S3762">
        <v>3.0689700000000002</v>
      </c>
      <c r="T3762">
        <v>-0.21220059999999999</v>
      </c>
      <c r="U3762">
        <v>-0.22460939999999999</v>
      </c>
      <c r="V3762">
        <v>9.1817170000000004E-2</v>
      </c>
      <c r="W3762">
        <v>0.1772725</v>
      </c>
      <c r="X3762">
        <v>0.9798694</v>
      </c>
      <c r="Y3762">
        <v>7.8706440000000003E-2</v>
      </c>
      <c r="Z3762">
        <v>-3.1233620000000002E-3</v>
      </c>
      <c r="AA3762">
        <v>0.99689289999999997</v>
      </c>
      <c r="AB3762">
        <v>44</v>
      </c>
      <c r="AC3762">
        <v>0.62919999999999698</v>
      </c>
      <c r="AD3762">
        <v>-7.3527000000000106E-2</v>
      </c>
      <c r="AE3762">
        <v>-8.0399999999997293E-2</v>
      </c>
      <c r="AF3762">
        <v>8.3015918601538702E-2</v>
      </c>
      <c r="AG3762">
        <v>-7.3527000000000106E-2</v>
      </c>
      <c r="AH3762">
        <v>0.62037633607073805</v>
      </c>
      <c r="AI3762">
        <v>96.699993887317703</v>
      </c>
      <c r="AJ3762">
        <v>82.378219412218698</v>
      </c>
      <c r="AK3762">
        <v>0.63021001327082304</v>
      </c>
      <c r="AL3762">
        <v>79.789069084543797</v>
      </c>
      <c r="AM3762">
        <v>84.646817303947799</v>
      </c>
      <c r="AN3762">
        <v>0.999999986509709</v>
      </c>
    </row>
    <row r="3763" spans="1:40" x14ac:dyDescent="0.25">
      <c r="A3763" t="str">
        <f>"20190312172445347"</f>
        <v>20190312172445347</v>
      </c>
      <c r="B3763" t="str">
        <f>"1552382685343903"</f>
        <v>1552382685343903</v>
      </c>
      <c r="C3763" t="s">
        <v>40</v>
      </c>
      <c r="D3763">
        <v>4.0607430000000004</v>
      </c>
      <c r="E3763">
        <v>0.49668899999999999</v>
      </c>
      <c r="F3763" t="s">
        <v>41</v>
      </c>
      <c r="G3763">
        <v>-223.76650000000001</v>
      </c>
      <c r="H3763">
        <v>1.036761</v>
      </c>
      <c r="I3763">
        <v>215.55179999999999</v>
      </c>
      <c r="J3763">
        <v>-224.37020000000001</v>
      </c>
      <c r="K3763">
        <v>1.109669</v>
      </c>
      <c r="L3763">
        <v>215.63229999999999</v>
      </c>
      <c r="M3763">
        <v>0.99986779999999997</v>
      </c>
      <c r="N3763">
        <v>0</v>
      </c>
      <c r="O3763">
        <v>5.3812809999999999E-3</v>
      </c>
      <c r="P3763">
        <v>0.98284280000000002</v>
      </c>
      <c r="Q3763">
        <v>0.1606158</v>
      </c>
      <c r="R3763">
        <v>-9.0679380000000004E-2</v>
      </c>
      <c r="S3763">
        <v>3.06752</v>
      </c>
      <c r="T3763">
        <v>-0.2197229</v>
      </c>
      <c r="U3763">
        <v>-0.2363739</v>
      </c>
      <c r="V3763">
        <v>9.6212099999999995E-2</v>
      </c>
      <c r="W3763">
        <v>0.17553540000000001</v>
      </c>
      <c r="X3763">
        <v>0.97976050000000003</v>
      </c>
      <c r="Y3763">
        <v>8.1971619999999995E-2</v>
      </c>
      <c r="Z3763">
        <v>-3.3121449999999998E-3</v>
      </c>
      <c r="AA3763">
        <v>0.99662919999999999</v>
      </c>
      <c r="AB3763">
        <v>44</v>
      </c>
      <c r="AC3763">
        <v>0.60370000000000301</v>
      </c>
      <c r="AD3763">
        <v>-7.2907999999999903E-2</v>
      </c>
      <c r="AE3763">
        <v>-8.0500000000000599E-2</v>
      </c>
      <c r="AF3763">
        <v>8.2564722765623502E-2</v>
      </c>
      <c r="AG3763">
        <v>-7.2907999999999903E-2</v>
      </c>
      <c r="AH3763">
        <v>0.59473530650870599</v>
      </c>
      <c r="AI3763">
        <v>96.923218282286896</v>
      </c>
      <c r="AJ3763">
        <v>82.096372487855803</v>
      </c>
      <c r="AK3763">
        <v>0.60484923304685501</v>
      </c>
      <c r="AL3763">
        <v>79.890183843599104</v>
      </c>
      <c r="AM3763">
        <v>84.391558319480794</v>
      </c>
      <c r="AN3763">
        <v>1.0000000410998999</v>
      </c>
    </row>
    <row r="3764" spans="1:40" x14ac:dyDescent="0.25">
      <c r="A3764" t="str">
        <f>"20190312172445370"</f>
        <v>20190312172445370</v>
      </c>
      <c r="B3764" t="str">
        <f>"1552382685364401"</f>
        <v>1552382685364401</v>
      </c>
      <c r="C3764" t="s">
        <v>40</v>
      </c>
      <c r="D3764">
        <v>4.0863319999999996</v>
      </c>
      <c r="E3764">
        <v>0.4966332</v>
      </c>
      <c r="F3764" t="s">
        <v>41</v>
      </c>
      <c r="G3764">
        <v>-223.3776</v>
      </c>
      <c r="H3764">
        <v>1.0371360000000001</v>
      </c>
      <c r="I3764">
        <v>215.55109999999999</v>
      </c>
      <c r="J3764">
        <v>-223.9297</v>
      </c>
      <c r="K3764">
        <v>1.109629</v>
      </c>
      <c r="L3764">
        <v>215.63419999999999</v>
      </c>
      <c r="M3764">
        <v>0.99987079999999995</v>
      </c>
      <c r="N3764">
        <v>0</v>
      </c>
      <c r="O3764">
        <v>4.7642580000000004E-3</v>
      </c>
      <c r="P3764">
        <v>0.98248619999999998</v>
      </c>
      <c r="Q3764">
        <v>0.15975400000000001</v>
      </c>
      <c r="R3764">
        <v>-9.5915650000000005E-2</v>
      </c>
      <c r="S3764">
        <v>3.0659179999999999</v>
      </c>
      <c r="T3764">
        <v>-0.22415959999999999</v>
      </c>
      <c r="U3764">
        <v>-0.25035099999999999</v>
      </c>
      <c r="V3764">
        <v>0.1008569</v>
      </c>
      <c r="W3764">
        <v>0.17466029999999999</v>
      </c>
      <c r="X3764">
        <v>0.97944969999999998</v>
      </c>
      <c r="Y3764">
        <v>8.5892949999999996E-2</v>
      </c>
      <c r="Z3764">
        <v>-3.4779350000000001E-3</v>
      </c>
      <c r="AA3764">
        <v>0.99629829999999997</v>
      </c>
      <c r="AB3764">
        <v>43</v>
      </c>
      <c r="AC3764">
        <v>0.55209999999999504</v>
      </c>
      <c r="AD3764">
        <v>-7.2492999999999905E-2</v>
      </c>
      <c r="AE3764">
        <v>-8.31000000000017E-2</v>
      </c>
      <c r="AF3764">
        <v>8.4308372939845E-2</v>
      </c>
      <c r="AG3764">
        <v>-7.2492999999999905E-2</v>
      </c>
      <c r="AH3764">
        <v>0.54255100068165196</v>
      </c>
      <c r="AI3764">
        <v>97.521289992741401</v>
      </c>
      <c r="AJ3764">
        <v>81.167305630586895</v>
      </c>
      <c r="AK3764">
        <v>0.55382734235267395</v>
      </c>
      <c r="AL3764">
        <v>79.941109972262794</v>
      </c>
      <c r="AM3764">
        <v>84.120801657136695</v>
      </c>
      <c r="AN3764">
        <v>1.0000000247518901</v>
      </c>
    </row>
    <row r="3765" spans="1:40" x14ac:dyDescent="0.25">
      <c r="A3765" t="str">
        <f>"20190312172445392"</f>
        <v>20190312172445392</v>
      </c>
      <c r="B3765" t="str">
        <f>"1552382685383920"</f>
        <v>1552382685383920</v>
      </c>
      <c r="C3765" t="s">
        <v>40</v>
      </c>
      <c r="D3765">
        <v>4.0917309999999896</v>
      </c>
      <c r="E3765">
        <v>0.49651800000000001</v>
      </c>
      <c r="F3765" t="s">
        <v>41</v>
      </c>
      <c r="G3765">
        <v>-222.988</v>
      </c>
      <c r="H3765">
        <v>1.0400400000000001</v>
      </c>
      <c r="I3765">
        <v>215.55240000000001</v>
      </c>
      <c r="J3765">
        <v>-223.4906</v>
      </c>
      <c r="K3765">
        <v>1.1095919999999999</v>
      </c>
      <c r="L3765">
        <v>215.63570000000001</v>
      </c>
      <c r="M3765">
        <v>0.99987360000000003</v>
      </c>
      <c r="N3765">
        <v>0</v>
      </c>
      <c r="O3765">
        <v>4.1195310000000001E-3</v>
      </c>
      <c r="P3765">
        <v>0.98183290000000001</v>
      </c>
      <c r="Q3765">
        <v>0.1593079</v>
      </c>
      <c r="R3765">
        <v>-0.1030794</v>
      </c>
      <c r="S3765">
        <v>3.0643919999999998</v>
      </c>
      <c r="T3765">
        <v>-0.22649359999999999</v>
      </c>
      <c r="U3765">
        <v>-0.2656403</v>
      </c>
      <c r="V3765">
        <v>0.1074006</v>
      </c>
      <c r="W3765">
        <v>0.1741917</v>
      </c>
      <c r="X3765">
        <v>0.97883730000000002</v>
      </c>
      <c r="Y3765">
        <v>9.0210730000000003E-2</v>
      </c>
      <c r="Z3765">
        <v>-3.6266029999999999E-3</v>
      </c>
      <c r="AA3765">
        <v>0.99591609999999997</v>
      </c>
      <c r="AB3765">
        <v>43</v>
      </c>
      <c r="AC3765">
        <v>0.50260000000000105</v>
      </c>
      <c r="AD3765">
        <v>-6.9552000000000003E-2</v>
      </c>
      <c r="AE3765">
        <v>-8.3300000000008298E-2</v>
      </c>
      <c r="AF3765">
        <v>8.3807978116928694E-2</v>
      </c>
      <c r="AG3765">
        <v>-6.9552000000000003E-2</v>
      </c>
      <c r="AH3765">
        <v>0.49306270336407998</v>
      </c>
      <c r="AI3765">
        <v>97.9171499761907</v>
      </c>
      <c r="AJ3765">
        <v>80.353386931959193</v>
      </c>
      <c r="AK3765">
        <v>0.50494760851868903</v>
      </c>
      <c r="AL3765">
        <v>79.968377007517105</v>
      </c>
      <c r="AM3765">
        <v>83.738404285535594</v>
      </c>
      <c r="AN3765">
        <v>1.00000004855026</v>
      </c>
    </row>
    <row r="3766" spans="1:40" x14ac:dyDescent="0.25">
      <c r="A3766" t="str">
        <f>"20190312172445425"</f>
        <v>20190312172445425</v>
      </c>
      <c r="B3766" t="str">
        <f>"1552382685414176"</f>
        <v>1552382685414176</v>
      </c>
      <c r="C3766" t="s">
        <v>40</v>
      </c>
      <c r="D3766">
        <v>4.1077620000000001</v>
      </c>
      <c r="E3766">
        <v>0.49637609999999899</v>
      </c>
      <c r="F3766" t="s">
        <v>41</v>
      </c>
      <c r="G3766">
        <v>-222.59809999999999</v>
      </c>
      <c r="H3766">
        <v>1.042929</v>
      </c>
      <c r="I3766">
        <v>215.5521</v>
      </c>
      <c r="J3766">
        <v>-222.85900000000001</v>
      </c>
      <c r="K3766">
        <v>1.10955</v>
      </c>
      <c r="L3766">
        <v>215.63740000000001</v>
      </c>
      <c r="M3766">
        <v>0.99987700000000002</v>
      </c>
      <c r="N3766">
        <v>0</v>
      </c>
      <c r="O3766">
        <v>3.1438590000000001E-3</v>
      </c>
      <c r="P3766">
        <v>0.98080330000000004</v>
      </c>
      <c r="Q3766">
        <v>0.16081289999999901</v>
      </c>
      <c r="R3766">
        <v>-0.1102918</v>
      </c>
      <c r="S3766">
        <v>3.0626370000000001</v>
      </c>
      <c r="T3766">
        <v>-0.2289284</v>
      </c>
      <c r="U3766">
        <v>-0.28590389999999999</v>
      </c>
      <c r="V3766">
        <v>0.113676399999999</v>
      </c>
      <c r="W3766">
        <v>0.1756645</v>
      </c>
      <c r="X3766">
        <v>0.97786490000000004</v>
      </c>
      <c r="Y3766">
        <v>9.5804539999999994E-2</v>
      </c>
      <c r="Z3766">
        <v>-3.8021270000000002E-3</v>
      </c>
      <c r="AA3766">
        <v>0.99539290000000002</v>
      </c>
      <c r="AB3766">
        <v>43</v>
      </c>
      <c r="AC3766">
        <v>0.26090000000002</v>
      </c>
      <c r="AD3766">
        <v>-6.6621E-2</v>
      </c>
      <c r="AE3766">
        <v>-8.5300000000017903E-2</v>
      </c>
      <c r="AF3766">
        <v>8.1329041318425804E-2</v>
      </c>
      <c r="AG3766">
        <v>-6.6621E-2</v>
      </c>
      <c r="AH3766">
        <v>0.24613158331427501</v>
      </c>
      <c r="AI3766">
        <v>104.413381581485</v>
      </c>
      <c r="AJ3766">
        <v>71.714940922405702</v>
      </c>
      <c r="AK3766">
        <v>0.267644403841303</v>
      </c>
      <c r="AL3766">
        <v>79.882670315960596</v>
      </c>
      <c r="AM3766">
        <v>83.369151559662299</v>
      </c>
      <c r="AN3766">
        <v>1.0000000515645999</v>
      </c>
    </row>
    <row r="3767" spans="1:40" x14ac:dyDescent="0.25">
      <c r="A3767" t="str">
        <f>"20190312172445448"</f>
        <v>20190312172445448</v>
      </c>
      <c r="B3767" t="str">
        <f>"1552382685444432"</f>
        <v>1552382685444432</v>
      </c>
      <c r="C3767" t="s">
        <v>40</v>
      </c>
      <c r="D3767">
        <v>4.0952199999999896</v>
      </c>
      <c r="E3767">
        <v>0.49618630000000002</v>
      </c>
      <c r="F3767" t="s">
        <v>41</v>
      </c>
      <c r="G3767">
        <v>-221.8289</v>
      </c>
      <c r="H3767">
        <v>1.0336379999999901</v>
      </c>
      <c r="I3767">
        <v>215.53380000000001</v>
      </c>
      <c r="J3767">
        <v>-222.4237</v>
      </c>
      <c r="K3767">
        <v>1.1095250000000001</v>
      </c>
      <c r="L3767">
        <v>215.63810000000001</v>
      </c>
      <c r="M3767">
        <v>0.99987890000000001</v>
      </c>
      <c r="N3767">
        <v>0</v>
      </c>
      <c r="O3767">
        <v>2.441169E-3</v>
      </c>
      <c r="P3767">
        <v>0.98003790000000002</v>
      </c>
      <c r="Q3767">
        <v>0.16224430000000001</v>
      </c>
      <c r="R3767">
        <v>-0.1149034</v>
      </c>
      <c r="S3767">
        <v>3.0611419999999998</v>
      </c>
      <c r="T3767">
        <v>-0.2256669</v>
      </c>
      <c r="U3767">
        <v>-0.30744929999999998</v>
      </c>
      <c r="V3767">
        <v>0.1176136</v>
      </c>
      <c r="W3767">
        <v>0.1770726</v>
      </c>
      <c r="X3767">
        <v>0.97714500000000004</v>
      </c>
      <c r="Y3767">
        <v>0.10208150000000001</v>
      </c>
      <c r="Z3767">
        <v>-3.9275229999999996E-3</v>
      </c>
      <c r="AA3767">
        <v>0.99476830000000005</v>
      </c>
      <c r="AB3767">
        <v>43</v>
      </c>
      <c r="AC3767">
        <v>0.594799999999992</v>
      </c>
      <c r="AD3767">
        <v>-7.5887000000000204E-2</v>
      </c>
      <c r="AE3767">
        <v>-0.10429999999999399</v>
      </c>
      <c r="AF3767">
        <v>0.104107786778145</v>
      </c>
      <c r="AG3767">
        <v>-7.5887000000000204E-2</v>
      </c>
      <c r="AH3767">
        <v>0.58530045632376104</v>
      </c>
      <c r="AI3767">
        <v>97.274532157353505</v>
      </c>
      <c r="AJ3767">
        <v>79.914242587828994</v>
      </c>
      <c r="AK3767">
        <v>0.59931118144887496</v>
      </c>
      <c r="AL3767">
        <v>79.800706838594905</v>
      </c>
      <c r="AM3767">
        <v>83.1366378579242</v>
      </c>
      <c r="AN3767">
        <v>1.0000000078003599</v>
      </c>
    </row>
    <row r="3768" spans="1:40" x14ac:dyDescent="0.25">
      <c r="A3768" t="str">
        <f>"20190312172445470"</f>
        <v>20190312172445470</v>
      </c>
      <c r="B3768" t="str">
        <f>"1552382685463955"</f>
        <v>1552382685463955</v>
      </c>
      <c r="C3768" t="s">
        <v>40</v>
      </c>
      <c r="D3768">
        <v>4.1117489999999997</v>
      </c>
      <c r="E3768">
        <v>0.49031390000000002</v>
      </c>
      <c r="F3768" t="s">
        <v>41</v>
      </c>
      <c r="G3768">
        <v>-221.44</v>
      </c>
      <c r="H3768">
        <v>1.038316</v>
      </c>
      <c r="I3768">
        <v>215.53479999999999</v>
      </c>
      <c r="J3768">
        <v>-221.9847</v>
      </c>
      <c r="K3768">
        <v>1.1094980000000001</v>
      </c>
      <c r="L3768">
        <v>215.6386</v>
      </c>
      <c r="M3768">
        <v>0.9998804</v>
      </c>
      <c r="N3768">
        <v>0</v>
      </c>
      <c r="O3768">
        <v>1.7130400000000001E-3</v>
      </c>
      <c r="P3768">
        <v>0.97933720000000002</v>
      </c>
      <c r="Q3768">
        <v>0.16315099999999999</v>
      </c>
      <c r="R3768">
        <v>-0.1195012</v>
      </c>
      <c r="S3768">
        <v>3.0601959999999999</v>
      </c>
      <c r="T3768">
        <v>-0.22163340000000001</v>
      </c>
      <c r="U3768">
        <v>-0.32075500000000001</v>
      </c>
      <c r="V3768">
        <v>0.1215111</v>
      </c>
      <c r="W3768">
        <v>0.1779558</v>
      </c>
      <c r="X3768">
        <v>0.97650740000000003</v>
      </c>
      <c r="Y3768">
        <v>0.10566970000000001</v>
      </c>
      <c r="Z3768">
        <v>-3.9347219999999999E-3</v>
      </c>
      <c r="AA3768">
        <v>0.99439350000000004</v>
      </c>
      <c r="AB3768">
        <v>43</v>
      </c>
      <c r="AC3768">
        <v>0.54470000000000596</v>
      </c>
      <c r="AD3768">
        <v>-7.1181999999999801E-2</v>
      </c>
      <c r="AE3768">
        <v>-0.103800000000006</v>
      </c>
      <c r="AF3768">
        <v>0.10303512250883</v>
      </c>
      <c r="AG3768">
        <v>-7.1181999999999801E-2</v>
      </c>
      <c r="AH3768">
        <v>0.53569360611306205</v>
      </c>
      <c r="AI3768">
        <v>97.434319974546796</v>
      </c>
      <c r="AJ3768">
        <v>79.112707030105199</v>
      </c>
      <c r="AK3768">
        <v>0.55013703131567704</v>
      </c>
      <c r="AL3768">
        <v>79.749286046340799</v>
      </c>
      <c r="AM3768">
        <v>82.906894517909194</v>
      </c>
      <c r="AN3768">
        <v>0.99999995821580401</v>
      </c>
    </row>
    <row r="3769" spans="1:40" x14ac:dyDescent="0.25">
      <c r="A3769" t="str">
        <f>"20190312172445493"</f>
        <v>20190312172445493</v>
      </c>
      <c r="B3769" t="str">
        <f>"1552382685484448"</f>
        <v>1552382685484448</v>
      </c>
      <c r="C3769" t="s">
        <v>40</v>
      </c>
      <c r="D3769">
        <v>4.1067960000000001</v>
      </c>
      <c r="E3769">
        <v>0.49018460000000003</v>
      </c>
      <c r="F3769" t="s">
        <v>41</v>
      </c>
      <c r="G3769">
        <v>-221.0506</v>
      </c>
      <c r="H3769">
        <v>1.0433330000000001</v>
      </c>
      <c r="I3769">
        <v>215.55019999999999</v>
      </c>
      <c r="J3769">
        <v>-221.55940000000001</v>
      </c>
      <c r="K3769">
        <v>1.1094740000000001</v>
      </c>
      <c r="L3769">
        <v>215.6387</v>
      </c>
      <c r="M3769">
        <v>0.99988149999999998</v>
      </c>
      <c r="N3769">
        <v>0</v>
      </c>
      <c r="O3769">
        <v>9.8945510000000001E-4</v>
      </c>
      <c r="P3769">
        <v>0.97874709999999998</v>
      </c>
      <c r="Q3769">
        <v>0.163470899999999</v>
      </c>
      <c r="R3769">
        <v>-0.12382029999999999</v>
      </c>
      <c r="S3769">
        <v>3.0641630000000002</v>
      </c>
      <c r="T3769">
        <v>-0.217116</v>
      </c>
      <c r="U3769">
        <v>-0.28933720000000002</v>
      </c>
      <c r="V3769">
        <v>0.1251332</v>
      </c>
      <c r="W3769">
        <v>0.1782542</v>
      </c>
      <c r="X3769">
        <v>0.97599550000000002</v>
      </c>
      <c r="Y3769">
        <v>9.4755199999999998E-2</v>
      </c>
      <c r="Z3769">
        <v>-3.4152729999999999E-3</v>
      </c>
      <c r="AA3769">
        <v>0.99549469999999995</v>
      </c>
      <c r="AB3769">
        <v>43</v>
      </c>
      <c r="AC3769">
        <v>0.50880000000000702</v>
      </c>
      <c r="AD3769">
        <v>-6.6140999999999894E-2</v>
      </c>
      <c r="AE3769">
        <v>-8.8500000000010404E-2</v>
      </c>
      <c r="AF3769">
        <v>8.7567154816965295E-2</v>
      </c>
      <c r="AG3769">
        <v>-6.6140999999999894E-2</v>
      </c>
      <c r="AH3769">
        <v>0.50050281485520598</v>
      </c>
      <c r="AI3769">
        <v>97.416592680616404</v>
      </c>
      <c r="AJ3769">
        <v>80.076069061696302</v>
      </c>
      <c r="AK3769">
        <v>0.51239214100308195</v>
      </c>
      <c r="AL3769">
        <v>79.731912106129499</v>
      </c>
      <c r="AM3769">
        <v>82.6939186642377</v>
      </c>
      <c r="AN3769">
        <v>1.00000004679006</v>
      </c>
    </row>
    <row r="3770" spans="1:40" x14ac:dyDescent="0.25">
      <c r="A3770" t="str">
        <f>"20190312172445515"</f>
        <v>20190312172445515</v>
      </c>
      <c r="B3770" t="str">
        <f>"1552382685503968"</f>
        <v>1552382685503968</v>
      </c>
      <c r="C3770" t="s">
        <v>40</v>
      </c>
      <c r="D3770">
        <v>4.1180110000000001</v>
      </c>
      <c r="E3770">
        <v>0.4897552</v>
      </c>
      <c r="F3770" t="s">
        <v>41</v>
      </c>
      <c r="G3770">
        <v>-220.66370000000001</v>
      </c>
      <c r="H3770">
        <v>1.044643</v>
      </c>
      <c r="I3770">
        <v>215.5504</v>
      </c>
      <c r="J3770">
        <v>-221.12520000000001</v>
      </c>
      <c r="K3770">
        <v>1.1094469999999901</v>
      </c>
      <c r="L3770">
        <v>215.63849999999999</v>
      </c>
      <c r="M3770">
        <v>0.99988169999999998</v>
      </c>
      <c r="N3770">
        <v>0</v>
      </c>
      <c r="O3770">
        <v>2.3107910000000001E-4</v>
      </c>
      <c r="P3770">
        <v>0.97834589999999999</v>
      </c>
      <c r="Q3770">
        <v>0.16270419999999999</v>
      </c>
      <c r="R3770">
        <v>-0.12793199999999999</v>
      </c>
      <c r="S3770">
        <v>3.0639799999999999</v>
      </c>
      <c r="T3770">
        <v>-0.22184599999999999</v>
      </c>
      <c r="U3770">
        <v>-0.30203249999999998</v>
      </c>
      <c r="V3770">
        <v>0.12851199999999999</v>
      </c>
      <c r="W3770">
        <v>0.17746870000000001</v>
      </c>
      <c r="X3770">
        <v>0.97569950000000005</v>
      </c>
      <c r="Y3770">
        <v>9.807486E-2</v>
      </c>
      <c r="Z3770">
        <v>-3.554022E-3</v>
      </c>
      <c r="AA3770">
        <v>0.99517270000000002</v>
      </c>
      <c r="AB3770">
        <v>43</v>
      </c>
      <c r="AC3770">
        <v>0.46150000000000002</v>
      </c>
      <c r="AD3770">
        <v>-6.4803999999999806E-2</v>
      </c>
      <c r="AE3770">
        <v>-8.8099999999997097E-2</v>
      </c>
      <c r="AF3770">
        <v>8.65598880679707E-2</v>
      </c>
      <c r="AG3770">
        <v>-6.4803999999999806E-2</v>
      </c>
      <c r="AH3770">
        <v>0.452864079938673</v>
      </c>
      <c r="AI3770">
        <v>98.000720533112897</v>
      </c>
      <c r="AJ3770">
        <v>79.179072116674305</v>
      </c>
      <c r="AK3770">
        <v>0.46559429500053001</v>
      </c>
      <c r="AL3770">
        <v>79.777646615021595</v>
      </c>
      <c r="AM3770">
        <v>82.496610345660301</v>
      </c>
      <c r="AN3770">
        <v>0.99999999396197004</v>
      </c>
    </row>
    <row r="3771" spans="1:40" x14ac:dyDescent="0.25">
      <c r="A3771" t="str">
        <f>"20190312172445538"</f>
        <v>20190312172445538</v>
      </c>
      <c r="B3771" t="str">
        <f>"1552382685534224"</f>
        <v>1552382685534224</v>
      </c>
      <c r="C3771" t="s">
        <v>40</v>
      </c>
      <c r="D3771">
        <v>4.2311769999999997</v>
      </c>
      <c r="E3771">
        <v>0.48996089999999998</v>
      </c>
      <c r="F3771" t="s">
        <v>41</v>
      </c>
      <c r="G3771">
        <v>-220.27670000000001</v>
      </c>
      <c r="H3771">
        <v>1.046805</v>
      </c>
      <c r="I3771">
        <v>215.5521</v>
      </c>
      <c r="J3771">
        <v>-220.6943</v>
      </c>
      <c r="K3771">
        <v>1.109416</v>
      </c>
      <c r="L3771">
        <v>215.6379</v>
      </c>
      <c r="M3771">
        <v>0.99988169999999998</v>
      </c>
      <c r="N3771">
        <v>0</v>
      </c>
      <c r="O3771">
        <v>-5.4357069999999997E-4</v>
      </c>
      <c r="P3771">
        <v>0.97786479999999998</v>
      </c>
      <c r="Q3771">
        <v>0.1618849</v>
      </c>
      <c r="R3771">
        <v>-0.13256689999999999</v>
      </c>
      <c r="S3771">
        <v>3.0633240000000002</v>
      </c>
      <c r="T3771">
        <v>-0.22628219999999999</v>
      </c>
      <c r="U3771">
        <v>-0.31130980000000003</v>
      </c>
      <c r="V3771">
        <v>0.13239860000000001</v>
      </c>
      <c r="W3771">
        <v>0.1766277</v>
      </c>
      <c r="X3771">
        <v>0.97533239999999999</v>
      </c>
      <c r="Y3771">
        <v>0.1002942</v>
      </c>
      <c r="Z3771">
        <v>-3.6497750000000001E-3</v>
      </c>
      <c r="AA3771">
        <v>0.99495109999999998</v>
      </c>
      <c r="AB3771">
        <v>43</v>
      </c>
      <c r="AC3771">
        <v>0.41759999999999298</v>
      </c>
      <c r="AD3771">
        <v>-6.2610999999999903E-2</v>
      </c>
      <c r="AE3771">
        <v>-8.5800000000006094E-2</v>
      </c>
      <c r="AF3771">
        <v>8.3766238397492795E-2</v>
      </c>
      <c r="AG3771">
        <v>-6.2610999999999903E-2</v>
      </c>
      <c r="AH3771">
        <v>0.40882868806716099</v>
      </c>
      <c r="AI3771">
        <v>98.532470210410807</v>
      </c>
      <c r="AJ3771">
        <v>78.420743576789903</v>
      </c>
      <c r="AK3771">
        <v>0.42199267316267702</v>
      </c>
      <c r="AL3771">
        <v>79.826606002433806</v>
      </c>
      <c r="AM3771">
        <v>82.269513712549895</v>
      </c>
      <c r="AN3771">
        <v>1.0000000120895001</v>
      </c>
    </row>
    <row r="3772" spans="1:40" x14ac:dyDescent="0.25">
      <c r="A3772" t="str">
        <f>"20190312172445560"</f>
        <v>20190312172445560</v>
      </c>
      <c r="B3772" t="str">
        <f>"1552382685553747"</f>
        <v>1552382685553747</v>
      </c>
      <c r="C3772" t="s">
        <v>40</v>
      </c>
      <c r="D3772">
        <v>4.2011960000000004</v>
      </c>
      <c r="E3772">
        <v>0.52847189999999999</v>
      </c>
      <c r="F3772" t="s">
        <v>41</v>
      </c>
      <c r="G3772">
        <v>-219.89009999999999</v>
      </c>
      <c r="H3772">
        <v>1.0488230000000001</v>
      </c>
      <c r="I3772">
        <v>215.55170000000001</v>
      </c>
      <c r="J3772">
        <v>-220.2586</v>
      </c>
      <c r="K3772">
        <v>1.1093959999999901</v>
      </c>
      <c r="L3772">
        <v>215.637</v>
      </c>
      <c r="M3772">
        <v>0.99988100000000002</v>
      </c>
      <c r="N3772">
        <v>0</v>
      </c>
      <c r="O3772">
        <v>-1.3527179999999999E-3</v>
      </c>
      <c r="P3772">
        <v>0.97737300000000005</v>
      </c>
      <c r="Q3772">
        <v>0.16071830000000001</v>
      </c>
      <c r="R3772">
        <v>-0.13752029999999901</v>
      </c>
      <c r="S3772">
        <v>3.0617070000000002</v>
      </c>
      <c r="T3772">
        <v>-0.23083090000000001</v>
      </c>
      <c r="U3772">
        <v>-0.32762150000000001</v>
      </c>
      <c r="V3772">
        <v>0.1365711</v>
      </c>
      <c r="W3772">
        <v>0.17543689999999901</v>
      </c>
      <c r="X3772">
        <v>0.97497199999999995</v>
      </c>
      <c r="Y3772">
        <v>0.1047633</v>
      </c>
      <c r="Z3772">
        <v>-3.830867E-3</v>
      </c>
      <c r="AA3772">
        <v>0.99448979999999998</v>
      </c>
      <c r="AB3772">
        <v>43</v>
      </c>
      <c r="AC3772">
        <v>0.36850000000001099</v>
      </c>
      <c r="AD3772">
        <v>-6.0572999999999697E-2</v>
      </c>
      <c r="AE3772">
        <v>-8.5299999999989495E-2</v>
      </c>
      <c r="AF3772">
        <v>8.2680974666223497E-2</v>
      </c>
      <c r="AG3772">
        <v>-6.0572999999999697E-2</v>
      </c>
      <c r="AH3772">
        <v>0.35939804723174401</v>
      </c>
      <c r="AI3772">
        <v>99.327532394101596</v>
      </c>
      <c r="AJ3772">
        <v>77.044294527901997</v>
      </c>
      <c r="AK3772">
        <v>0.37372742507708501</v>
      </c>
      <c r="AL3772">
        <v>79.895916895139294</v>
      </c>
      <c r="AM3772">
        <v>82.026065730655105</v>
      </c>
      <c r="AN3772">
        <v>1.0000000860103999</v>
      </c>
    </row>
    <row r="3773" spans="1:40" x14ac:dyDescent="0.25">
      <c r="A3773" t="str">
        <f>"20190312172445583"</f>
        <v>20190312172445583</v>
      </c>
      <c r="B3773" t="str">
        <f>"1552382685574240"</f>
        <v>1552382685574240</v>
      </c>
      <c r="C3773" t="s">
        <v>40</v>
      </c>
      <c r="D3773">
        <v>4.1764489999999999</v>
      </c>
      <c r="E3773">
        <v>0.53388389999999997</v>
      </c>
      <c r="F3773" t="s">
        <v>46</v>
      </c>
      <c r="G3773">
        <v>-205.27539999999999</v>
      </c>
      <c r="H3773" s="1">
        <v>4.7479750000000001E-6</v>
      </c>
      <c r="I3773">
        <v>212.42519999999999</v>
      </c>
      <c r="J3773">
        <v>-219.84139999999999</v>
      </c>
      <c r="K3773">
        <v>1.10937</v>
      </c>
      <c r="L3773">
        <v>215.63570000000001</v>
      </c>
      <c r="M3773">
        <v>0.99987969999999904</v>
      </c>
      <c r="N3773">
        <v>0</v>
      </c>
      <c r="O3773">
        <v>-2.1586909999999999E-3</v>
      </c>
      <c r="P3773">
        <v>0.97653900000000005</v>
      </c>
      <c r="Q3773">
        <v>0.16035869999999999</v>
      </c>
      <c r="R3773">
        <v>-0.1437253</v>
      </c>
      <c r="S3773">
        <v>3.015244</v>
      </c>
      <c r="T3773">
        <v>-0.2232555</v>
      </c>
      <c r="U3773">
        <v>-0.646347</v>
      </c>
      <c r="V3773">
        <v>0.14200209999999999</v>
      </c>
      <c r="W3773">
        <v>0.175042899999999</v>
      </c>
      <c r="X3773">
        <v>0.97426659999999998</v>
      </c>
      <c r="Y3773">
        <v>0.20695089999999999</v>
      </c>
      <c r="Z3773">
        <v>-7.4076619999999998E-3</v>
      </c>
      <c r="AA3773">
        <v>0.97832330000000001</v>
      </c>
      <c r="AB3773">
        <v>43</v>
      </c>
      <c r="AC3773">
        <v>14.566000000000001</v>
      </c>
      <c r="AD3773">
        <v>-1.1093652520249999</v>
      </c>
      <c r="AE3773">
        <v>-3.2105000000000201</v>
      </c>
      <c r="AF3773">
        <v>3.1615562129787</v>
      </c>
      <c r="AG3773">
        <v>-1.1093652520249999</v>
      </c>
      <c r="AH3773">
        <v>14.492726460242</v>
      </c>
      <c r="AI3773">
        <v>94.277046821397093</v>
      </c>
      <c r="AJ3773">
        <v>77.693845407094798</v>
      </c>
      <c r="AK3773">
        <v>14.8749873681164</v>
      </c>
      <c r="AL3773">
        <v>79.918845476051104</v>
      </c>
      <c r="AM3773">
        <v>81.707372343742605</v>
      </c>
      <c r="AN3773">
        <v>1.0000000105601901</v>
      </c>
    </row>
    <row r="3774" spans="1:40" x14ac:dyDescent="0.25">
      <c r="A3774" t="str">
        <f>"20190312172445604"</f>
        <v>20190312172445604</v>
      </c>
      <c r="B3774" t="str">
        <f>"1552382685593761"</f>
        <v>1552382685593761</v>
      </c>
      <c r="C3774" t="s">
        <v>40</v>
      </c>
      <c r="D3774">
        <v>4.2210650000000003</v>
      </c>
      <c r="E3774">
        <v>0.53629859999999996</v>
      </c>
      <c r="F3774" t="s">
        <v>46</v>
      </c>
      <c r="G3774">
        <v>-205.55860000000001</v>
      </c>
      <c r="H3774" s="1">
        <v>4.8865800000000002E-6</v>
      </c>
      <c r="I3774">
        <v>212.27619999999999</v>
      </c>
      <c r="J3774">
        <v>-219.42060000000001</v>
      </c>
      <c r="K3774">
        <v>1.109332</v>
      </c>
      <c r="L3774">
        <v>215.63409999999999</v>
      </c>
      <c r="M3774">
        <v>0.99987749999999997</v>
      </c>
      <c r="N3774">
        <v>0</v>
      </c>
      <c r="O3774">
        <v>-3.0097069999999999E-3</v>
      </c>
      <c r="P3774">
        <v>0.97583430000000004</v>
      </c>
      <c r="Q3774">
        <v>0.15962570000000001</v>
      </c>
      <c r="R3774">
        <v>-0.1492221</v>
      </c>
      <c r="S3774">
        <v>3.006332</v>
      </c>
      <c r="T3774">
        <v>-0.2335055</v>
      </c>
      <c r="U3774">
        <v>-0.70713809999999999</v>
      </c>
      <c r="V3774">
        <v>0.1466829</v>
      </c>
      <c r="W3774">
        <v>0.17427670000000001</v>
      </c>
      <c r="X3774">
        <v>0.97371030000000003</v>
      </c>
      <c r="Y3774">
        <v>0.22540170000000001</v>
      </c>
      <c r="Z3774">
        <v>-8.3930050000000003E-3</v>
      </c>
      <c r="AA3774">
        <v>0.97422980000000003</v>
      </c>
      <c r="AB3774">
        <v>43</v>
      </c>
      <c r="AC3774">
        <v>13.861999999999901</v>
      </c>
      <c r="AD3774">
        <v>-1.10932711342</v>
      </c>
      <c r="AE3774">
        <v>-3.3578999999999999</v>
      </c>
      <c r="AF3774">
        <v>3.2962195783341399</v>
      </c>
      <c r="AG3774">
        <v>-1.10932711342</v>
      </c>
      <c r="AH3774">
        <v>13.788633494935301</v>
      </c>
      <c r="AI3774">
        <v>94.474138597108904</v>
      </c>
      <c r="AJ3774">
        <v>76.555560597178001</v>
      </c>
      <c r="AK3774">
        <v>14.2204811385133</v>
      </c>
      <c r="AL3774">
        <v>79.963430672037603</v>
      </c>
      <c r="AM3774">
        <v>81.433192375139498</v>
      </c>
      <c r="AN3774">
        <v>0.99999999482069402</v>
      </c>
    </row>
    <row r="3775" spans="1:40" x14ac:dyDescent="0.25">
      <c r="A3775" t="str">
        <f>"20190312172445626"</f>
        <v>20190312172445626</v>
      </c>
      <c r="B3775" t="str">
        <f>"1552382685624016"</f>
        <v>1552382685624016</v>
      </c>
      <c r="C3775" t="s">
        <v>40</v>
      </c>
      <c r="D3775">
        <v>4.1380999999999997</v>
      </c>
      <c r="E3775">
        <v>0.53843090000000005</v>
      </c>
      <c r="F3775" t="s">
        <v>46</v>
      </c>
      <c r="G3775">
        <v>-205.70670000000001</v>
      </c>
      <c r="H3775" s="1">
        <v>4.9555280000000002E-6</v>
      </c>
      <c r="I3775">
        <v>212.23859999999999</v>
      </c>
      <c r="J3775">
        <v>-218.9845</v>
      </c>
      <c r="K3775">
        <v>1.109286</v>
      </c>
      <c r="L3775">
        <v>215.63200000000001</v>
      </c>
      <c r="M3775">
        <v>0.99987429999999999</v>
      </c>
      <c r="N3775">
        <v>0</v>
      </c>
      <c r="O3775">
        <v>-3.9277779999999998E-3</v>
      </c>
      <c r="P3775">
        <v>0.97514699999999999</v>
      </c>
      <c r="Q3775">
        <v>0.1588232</v>
      </c>
      <c r="R3775">
        <v>-0.15447849999999999</v>
      </c>
      <c r="S3775">
        <v>3.000381</v>
      </c>
      <c r="T3775">
        <v>-0.242703</v>
      </c>
      <c r="U3775">
        <v>-0.74288940000000003</v>
      </c>
      <c r="V3775">
        <v>0.15105969999999999</v>
      </c>
      <c r="W3775">
        <v>0.1734395</v>
      </c>
      <c r="X3775">
        <v>0.97319049999999996</v>
      </c>
      <c r="Y3775">
        <v>0.23581240000000001</v>
      </c>
      <c r="Z3775">
        <v>-9.068497E-3</v>
      </c>
      <c r="AA3775">
        <v>0.97175630000000002</v>
      </c>
      <c r="AB3775">
        <v>43</v>
      </c>
      <c r="AC3775">
        <v>13.2777999999999</v>
      </c>
      <c r="AD3775">
        <v>-1.109281044472</v>
      </c>
      <c r="AE3775">
        <v>-3.39340000000001</v>
      </c>
      <c r="AF3775">
        <v>3.3194673298056099</v>
      </c>
      <c r="AG3775">
        <v>-1.109281044472</v>
      </c>
      <c r="AH3775">
        <v>13.20451590275</v>
      </c>
      <c r="AI3775">
        <v>94.657757118004298</v>
      </c>
      <c r="AJ3775">
        <v>75.888889705650399</v>
      </c>
      <c r="AK3775">
        <v>13.6604761269602</v>
      </c>
      <c r="AL3775">
        <v>80.012140782836099</v>
      </c>
      <c r="AM3775">
        <v>81.176896537271503</v>
      </c>
      <c r="AN3775">
        <v>1.0000000212072899</v>
      </c>
    </row>
    <row r="3776" spans="1:40" x14ac:dyDescent="0.25">
      <c r="A3776" t="str">
        <f>"20190312172445649"</f>
        <v>20190312172445649</v>
      </c>
      <c r="B3776" t="str">
        <f>"1552382685643982"</f>
        <v>1552382685643982</v>
      </c>
      <c r="C3776" t="s">
        <v>40</v>
      </c>
      <c r="D3776">
        <v>4.1454570000000004</v>
      </c>
      <c r="E3776">
        <v>0.53911880000000001</v>
      </c>
      <c r="F3776" t="s">
        <v>46</v>
      </c>
      <c r="G3776">
        <v>-205.94880000000001</v>
      </c>
      <c r="H3776" s="1">
        <v>5.0613269999999998E-6</v>
      </c>
      <c r="I3776">
        <v>212.25649999999999</v>
      </c>
      <c r="J3776">
        <v>-218.55840000000001</v>
      </c>
      <c r="K3776">
        <v>1.1092329999999999</v>
      </c>
      <c r="L3776">
        <v>215.62950000000001</v>
      </c>
      <c r="M3776">
        <v>0.99987020000000004</v>
      </c>
      <c r="N3776">
        <v>0</v>
      </c>
      <c r="O3776">
        <v>-4.8708299999999996E-3</v>
      </c>
      <c r="P3776">
        <v>0.97436909999999999</v>
      </c>
      <c r="Q3776">
        <v>0.15867000000000001</v>
      </c>
      <c r="R3776">
        <v>-0.15946450000000001</v>
      </c>
      <c r="S3776">
        <v>2.9951020000000002</v>
      </c>
      <c r="T3776">
        <v>-0.25486959999999997</v>
      </c>
      <c r="U3776">
        <v>-0.77555850000000004</v>
      </c>
      <c r="V3776">
        <v>0.15514620000000001</v>
      </c>
      <c r="W3776">
        <v>0.17324879999999901</v>
      </c>
      <c r="X3776">
        <v>0.97258140000000004</v>
      </c>
      <c r="Y3776">
        <v>0.2451421</v>
      </c>
      <c r="Z3776">
        <v>-9.8363510000000001E-3</v>
      </c>
      <c r="AA3776">
        <v>0.9694372</v>
      </c>
      <c r="AB3776">
        <v>43</v>
      </c>
      <c r="AC3776">
        <v>12.6096</v>
      </c>
      <c r="AD3776">
        <v>-1.109227938673</v>
      </c>
      <c r="AE3776">
        <v>-3.37300000000001</v>
      </c>
      <c r="AF3776">
        <v>3.2877908565995</v>
      </c>
      <c r="AG3776">
        <v>-1.109227938673</v>
      </c>
      <c r="AH3776">
        <v>12.535358009142501</v>
      </c>
      <c r="AI3776">
        <v>94.892186176391206</v>
      </c>
      <c r="AJ3776">
        <v>75.303415855398697</v>
      </c>
      <c r="AK3776">
        <v>13.0067350151391</v>
      </c>
      <c r="AL3776">
        <v>80.023235177772506</v>
      </c>
      <c r="AM3776">
        <v>80.936539716952893</v>
      </c>
      <c r="AN3776">
        <v>1.0000000348509099</v>
      </c>
    </row>
    <row r="3777" spans="1:40" x14ac:dyDescent="0.25">
      <c r="A3777" t="str">
        <f>"20190312172445671"</f>
        <v>20190312172445671</v>
      </c>
      <c r="B3777" t="str">
        <f>"1552382685664481"</f>
        <v>1552382685664481</v>
      </c>
      <c r="C3777" t="s">
        <v>40</v>
      </c>
      <c r="D3777">
        <v>4.1308959999999999</v>
      </c>
      <c r="E3777">
        <v>0.53939409999999999</v>
      </c>
      <c r="F3777" t="s">
        <v>46</v>
      </c>
      <c r="G3777">
        <v>-205.87370000000001</v>
      </c>
      <c r="H3777" s="1">
        <v>5.0281199999999999E-6</v>
      </c>
      <c r="I3777">
        <v>212.25559999999999</v>
      </c>
      <c r="J3777">
        <v>-218.1285</v>
      </c>
      <c r="K3777">
        <v>1.1091709999999999</v>
      </c>
      <c r="L3777">
        <v>215.62649999999999</v>
      </c>
      <c r="M3777">
        <v>0.9998648</v>
      </c>
      <c r="N3777">
        <v>0</v>
      </c>
      <c r="O3777">
        <v>-5.8853849999999999E-3</v>
      </c>
      <c r="P3777">
        <v>0.97354739999999995</v>
      </c>
      <c r="Q3777">
        <v>0.15917700000000001</v>
      </c>
      <c r="R3777">
        <v>-0.16391530000000001</v>
      </c>
      <c r="S3777">
        <v>2.9913180000000001</v>
      </c>
      <c r="T3777">
        <v>-0.26157999999999998</v>
      </c>
      <c r="U3777">
        <v>-0.79563899999999999</v>
      </c>
      <c r="V3777">
        <v>0.1586352</v>
      </c>
      <c r="W3777">
        <v>0.1737156</v>
      </c>
      <c r="X3777">
        <v>0.97193499999999999</v>
      </c>
      <c r="Y3777">
        <v>0.25048130000000002</v>
      </c>
      <c r="Z3777">
        <v>-1.0240320000000001E-2</v>
      </c>
      <c r="AA3777">
        <v>0.96806729999999996</v>
      </c>
      <c r="AB3777">
        <v>43</v>
      </c>
      <c r="AC3777">
        <v>12.2547999999999</v>
      </c>
      <c r="AD3777">
        <v>-1.10916597188</v>
      </c>
      <c r="AE3777">
        <v>-3.3708999999999998</v>
      </c>
      <c r="AF3777">
        <v>3.2737770773981199</v>
      </c>
      <c r="AG3777">
        <v>-1.10916597188</v>
      </c>
      <c r="AH3777">
        <v>12.1816583341823</v>
      </c>
      <c r="AI3777">
        <v>95.025210613044806</v>
      </c>
      <c r="AJ3777">
        <v>74.957390510211994</v>
      </c>
      <c r="AK3777">
        <v>12.6625694579113</v>
      </c>
      <c r="AL3777">
        <v>79.996076764513404</v>
      </c>
      <c r="AM3777">
        <v>80.730158138232596</v>
      </c>
      <c r="AN3777">
        <v>0.99999994029369799</v>
      </c>
    </row>
    <row r="3778" spans="1:40" x14ac:dyDescent="0.25">
      <c r="A3778" t="str">
        <f>"20190312172445693"</f>
        <v>20190312172445693</v>
      </c>
      <c r="B3778" t="str">
        <f>"1552382685683998"</f>
        <v>1552382685683998</v>
      </c>
      <c r="C3778" t="s">
        <v>40</v>
      </c>
      <c r="D3778">
        <v>4.1487730000000003</v>
      </c>
      <c r="E3778">
        <v>0.53937299999999999</v>
      </c>
      <c r="F3778" t="s">
        <v>46</v>
      </c>
      <c r="G3778">
        <v>-205.57589999999999</v>
      </c>
      <c r="H3778" s="1">
        <v>4.8989870000000003E-6</v>
      </c>
      <c r="I3778">
        <v>212.22200000000001</v>
      </c>
      <c r="J3778">
        <v>-217.7114</v>
      </c>
      <c r="K3778">
        <v>1.1091009999999999</v>
      </c>
      <c r="L3778">
        <v>215.6232</v>
      </c>
      <c r="M3778">
        <v>0.99985800000000002</v>
      </c>
      <c r="N3778">
        <v>0</v>
      </c>
      <c r="O3778">
        <v>-6.9529469999999897E-3</v>
      </c>
      <c r="P3778">
        <v>0.9726667</v>
      </c>
      <c r="Q3778">
        <v>0.1608858</v>
      </c>
      <c r="R3778">
        <v>-0.16743810000000001</v>
      </c>
      <c r="S3778">
        <v>2.9882200000000001</v>
      </c>
      <c r="T3778">
        <v>-0.26404420000000001</v>
      </c>
      <c r="U3778">
        <v>-0.81047060000000004</v>
      </c>
      <c r="V3778">
        <v>0.16115589999999999</v>
      </c>
      <c r="W3778">
        <v>0.17537910000000001</v>
      </c>
      <c r="X3778">
        <v>0.97122140000000001</v>
      </c>
      <c r="Y3778">
        <v>0.2541504</v>
      </c>
      <c r="Z3778">
        <v>-1.040672E-2</v>
      </c>
      <c r="AA3778">
        <v>0.96710870000000004</v>
      </c>
      <c r="AB3778">
        <v>43</v>
      </c>
      <c r="AC3778">
        <v>12.1355</v>
      </c>
      <c r="AD3778">
        <v>-1.109096101013</v>
      </c>
      <c r="AE3778">
        <v>-3.4011999999999798</v>
      </c>
      <c r="AF3778">
        <v>3.2912419497369201</v>
      </c>
      <c r="AG3778">
        <v>-1.109096101013</v>
      </c>
      <c r="AH3778">
        <v>12.065419437708499</v>
      </c>
      <c r="AI3778">
        <v>95.067917922756905</v>
      </c>
      <c r="AJ3778">
        <v>74.741906625524393</v>
      </c>
      <c r="AK3778">
        <v>12.555346030310099</v>
      </c>
      <c r="AL3778">
        <v>79.899280176189606</v>
      </c>
      <c r="AM3778">
        <v>80.578684774169005</v>
      </c>
      <c r="AN3778">
        <v>1.00000003031978</v>
      </c>
    </row>
    <row r="3779" spans="1:40" x14ac:dyDescent="0.25">
      <c r="A3779" t="str">
        <f>"20190312172445717"</f>
        <v>20190312172445717</v>
      </c>
      <c r="B3779" t="str">
        <f>"1552382685714254"</f>
        <v>1552382685714254</v>
      </c>
      <c r="C3779" t="s">
        <v>40</v>
      </c>
      <c r="D3779">
        <v>4.1364450000000001</v>
      </c>
      <c r="E3779">
        <v>0.53912590000000005</v>
      </c>
      <c r="F3779" t="s">
        <v>46</v>
      </c>
      <c r="G3779">
        <v>-204.8271</v>
      </c>
      <c r="H3779" s="1">
        <v>4.579355E-6</v>
      </c>
      <c r="I3779">
        <v>212.07990000000001</v>
      </c>
      <c r="J3779">
        <v>-217.27070000000001</v>
      </c>
      <c r="K3779">
        <v>1.10902099999999</v>
      </c>
      <c r="L3779">
        <v>215.619</v>
      </c>
      <c r="M3779">
        <v>0.99984850000000003</v>
      </c>
      <c r="N3779">
        <v>0</v>
      </c>
      <c r="O3779">
        <v>-8.1950310000000002E-3</v>
      </c>
      <c r="P3779">
        <v>0.9715509</v>
      </c>
      <c r="Q3779">
        <v>0.1633829</v>
      </c>
      <c r="R3779">
        <v>-0.1714494</v>
      </c>
      <c r="S3779">
        <v>2.985474</v>
      </c>
      <c r="T3779">
        <v>-0.25699290000000002</v>
      </c>
      <c r="U3779">
        <v>-0.82102969999999897</v>
      </c>
      <c r="V3779">
        <v>0.16401279999999999</v>
      </c>
      <c r="W3779">
        <v>0.177815</v>
      </c>
      <c r="X3779">
        <v>0.97029980000000005</v>
      </c>
      <c r="Y3779">
        <v>0.2563993</v>
      </c>
      <c r="Z3779">
        <v>-1.0124269999999999E-2</v>
      </c>
      <c r="AA3779">
        <v>0.96651790000000004</v>
      </c>
      <c r="AB3779">
        <v>43</v>
      </c>
      <c r="AC3779">
        <v>12.4436</v>
      </c>
      <c r="AD3779">
        <v>-1.10901642064499</v>
      </c>
      <c r="AE3779">
        <v>-3.5391000000000101</v>
      </c>
      <c r="AF3779">
        <v>3.4119206992220898</v>
      </c>
      <c r="AG3779">
        <v>-1.10901642064499</v>
      </c>
      <c r="AH3779">
        <v>12.381204432497199</v>
      </c>
      <c r="AI3779">
        <v>94.935459608851204</v>
      </c>
      <c r="AJ3779">
        <v>74.5932522767704</v>
      </c>
      <c r="AK3779">
        <v>12.890513701103099</v>
      </c>
      <c r="AL3779">
        <v>79.757484859655406</v>
      </c>
      <c r="AM3779">
        <v>80.405805522473599</v>
      </c>
      <c r="AN3779">
        <v>1.00000003733443</v>
      </c>
    </row>
    <row r="3780" spans="1:40" x14ac:dyDescent="0.25">
      <c r="A3780" t="str">
        <f>"20190312172445739"</f>
        <v>20190312172445739</v>
      </c>
      <c r="B3780" t="str">
        <f>"1552382685733774"</f>
        <v>1552382685733774</v>
      </c>
      <c r="C3780" t="s">
        <v>40</v>
      </c>
      <c r="D3780">
        <v>4.0648589999999896</v>
      </c>
      <c r="E3780">
        <v>0.53920049999999997</v>
      </c>
      <c r="F3780" t="s">
        <v>46</v>
      </c>
      <c r="G3780">
        <v>-203.86689999999999</v>
      </c>
      <c r="H3780" s="1">
        <v>4.1709540000000004E-6</v>
      </c>
      <c r="I3780">
        <v>211.88059999999999</v>
      </c>
      <c r="J3780">
        <v>-216.84870000000001</v>
      </c>
      <c r="K3780">
        <v>1.108922</v>
      </c>
      <c r="L3780">
        <v>215.61449999999999</v>
      </c>
      <c r="M3780">
        <v>0.99983690000000003</v>
      </c>
      <c r="N3780">
        <v>0</v>
      </c>
      <c r="O3780">
        <v>-9.5264649999999996E-3</v>
      </c>
      <c r="P3780">
        <v>0.97032209999999997</v>
      </c>
      <c r="Q3780">
        <v>0.1665442</v>
      </c>
      <c r="R3780">
        <v>-0.17532410000000001</v>
      </c>
      <c r="S3780">
        <v>2.9825439999999999</v>
      </c>
      <c r="T3780">
        <v>-0.24677170000000001</v>
      </c>
      <c r="U3780">
        <v>-0.83186340000000003</v>
      </c>
      <c r="V3780">
        <v>0.16666329999999999</v>
      </c>
      <c r="W3780">
        <v>0.1809045</v>
      </c>
      <c r="X3780">
        <v>0.96927649999999999</v>
      </c>
      <c r="Y3780">
        <v>0.25867790000000002</v>
      </c>
      <c r="Z3780">
        <v>-9.7119719999999993E-3</v>
      </c>
      <c r="AA3780">
        <v>0.96591479999999996</v>
      </c>
      <c r="AB3780">
        <v>43</v>
      </c>
      <c r="AC3780">
        <v>12.9818</v>
      </c>
      <c r="AD3780">
        <v>-1.108917829046</v>
      </c>
      <c r="AE3780">
        <v>-3.7339000000000002</v>
      </c>
      <c r="AF3780">
        <v>3.5858792896038301</v>
      </c>
      <c r="AG3780">
        <v>-1.108917829046</v>
      </c>
      <c r="AH3780">
        <v>12.9296501402596</v>
      </c>
      <c r="AI3780">
        <v>94.724527599842801</v>
      </c>
      <c r="AJ3780">
        <v>74.499300639451604</v>
      </c>
      <c r="AK3780">
        <v>13.463434991884499</v>
      </c>
      <c r="AL3780">
        <v>79.577551347105</v>
      </c>
      <c r="AM3780">
        <v>80.243619068101196</v>
      </c>
      <c r="AN3780">
        <v>1.00000001356969</v>
      </c>
    </row>
    <row r="3781" spans="1:40" x14ac:dyDescent="0.25">
      <c r="A3781" t="str">
        <f>"20190312172445761"</f>
        <v>20190312172445761</v>
      </c>
      <c r="B3781" t="str">
        <f>"1552382685753802"</f>
        <v>1552382685753802</v>
      </c>
      <c r="C3781" t="s">
        <v>40</v>
      </c>
      <c r="D3781">
        <v>4.0697340000000004</v>
      </c>
      <c r="E3781">
        <v>0.53925409999999996</v>
      </c>
      <c r="F3781" t="s">
        <v>46</v>
      </c>
      <c r="G3781">
        <v>-203.02809999999999</v>
      </c>
      <c r="H3781" s="1">
        <v>3.8153569999999998E-6</v>
      </c>
      <c r="I3781">
        <v>211.69319999999999</v>
      </c>
      <c r="J3781">
        <v>-216.4195</v>
      </c>
      <c r="K3781">
        <v>1.1087929999999999</v>
      </c>
      <c r="L3781">
        <v>215.60910000000001</v>
      </c>
      <c r="M3781">
        <v>0.99982090000000001</v>
      </c>
      <c r="N3781">
        <v>0</v>
      </c>
      <c r="O3781">
        <v>-1.105622E-2</v>
      </c>
      <c r="P3781">
        <v>0.96927110000000005</v>
      </c>
      <c r="Q3781">
        <v>0.16800609999999999</v>
      </c>
      <c r="R3781">
        <v>-0.1796874</v>
      </c>
      <c r="S3781">
        <v>2.9800420000000001</v>
      </c>
      <c r="T3781">
        <v>-0.23910799999999999</v>
      </c>
      <c r="U3781">
        <v>-0.84550479999999995</v>
      </c>
      <c r="V3781">
        <v>0.16962070000000001</v>
      </c>
      <c r="W3781">
        <v>0.18228359999999999</v>
      </c>
      <c r="X3781">
        <v>0.96850480000000005</v>
      </c>
      <c r="Y3781">
        <v>0.26155030000000001</v>
      </c>
      <c r="Z3781">
        <v>-9.4059039999999997E-3</v>
      </c>
      <c r="AA3781">
        <v>0.965144</v>
      </c>
      <c r="AB3781">
        <v>43</v>
      </c>
      <c r="AC3781">
        <v>13.391400000000001</v>
      </c>
      <c r="AD3781">
        <v>-1.108789184643</v>
      </c>
      <c r="AE3781">
        <v>-3.9159000000000201</v>
      </c>
      <c r="AF3781">
        <v>3.7439397462692598</v>
      </c>
      <c r="AG3781">
        <v>-1.108789184643</v>
      </c>
      <c r="AH3781">
        <v>13.3495712952551</v>
      </c>
      <c r="AI3781">
        <v>94.572353841595401</v>
      </c>
      <c r="AJ3781">
        <v>74.333638871820597</v>
      </c>
      <c r="AK3781">
        <v>13.9089018993871</v>
      </c>
      <c r="AL3781">
        <v>79.497198825751795</v>
      </c>
      <c r="AM3781">
        <v>80.066157060678293</v>
      </c>
      <c r="AN3781">
        <v>1.0000000201602399</v>
      </c>
    </row>
    <row r="3782" spans="1:40" x14ac:dyDescent="0.25">
      <c r="A3782" t="str">
        <f>"20190312172445784"</f>
        <v>20190312172445784</v>
      </c>
      <c r="B3782" t="str">
        <f>"1552382685774298"</f>
        <v>1552382685774298</v>
      </c>
      <c r="C3782" t="s">
        <v>40</v>
      </c>
      <c r="D3782">
        <v>4.0119800000000003</v>
      </c>
      <c r="E3782">
        <v>0.53921779999999997</v>
      </c>
      <c r="F3782" t="s">
        <v>46</v>
      </c>
      <c r="G3782">
        <v>-202.27699999999999</v>
      </c>
      <c r="H3782" s="1">
        <v>3.4971099999999998E-6</v>
      </c>
      <c r="I3782">
        <v>211.52359999999999</v>
      </c>
      <c r="J3782">
        <v>-215.99770000000001</v>
      </c>
      <c r="K3782">
        <v>1.1086129999999901</v>
      </c>
      <c r="L3782">
        <v>215.60290000000001</v>
      </c>
      <c r="M3782">
        <v>0.99980040000000003</v>
      </c>
      <c r="N3782">
        <v>0</v>
      </c>
      <c r="O3782">
        <v>-1.279508E-2</v>
      </c>
      <c r="P3782">
        <v>0.9682596</v>
      </c>
      <c r="Q3782">
        <v>0.16830209999999901</v>
      </c>
      <c r="R3782">
        <v>-0.18479180000000001</v>
      </c>
      <c r="S3782">
        <v>2.9761660000000001</v>
      </c>
      <c r="T3782">
        <v>-0.23333480000000001</v>
      </c>
      <c r="U3782">
        <v>-0.85975650000000003</v>
      </c>
      <c r="V3782">
        <v>0.17312959999999999</v>
      </c>
      <c r="W3782">
        <v>0.18248049999999999</v>
      </c>
      <c r="X3782">
        <v>0.9678466</v>
      </c>
      <c r="Y3782">
        <v>0.2645033</v>
      </c>
      <c r="Z3782">
        <v>-9.1649959999999999E-3</v>
      </c>
      <c r="AA3782">
        <v>0.96434120000000001</v>
      </c>
      <c r="AB3782">
        <v>42</v>
      </c>
      <c r="AC3782">
        <v>13.7206999999999</v>
      </c>
      <c r="AD3782">
        <v>-1.1086095028899901</v>
      </c>
      <c r="AE3782">
        <v>-4.0793000000000097</v>
      </c>
      <c r="AF3782">
        <v>3.8801142742664299</v>
      </c>
      <c r="AG3782">
        <v>-1.1086095028899901</v>
      </c>
      <c r="AH3782">
        <v>13.689664718767</v>
      </c>
      <c r="AI3782">
        <v>94.455051994963497</v>
      </c>
      <c r="AJ3782">
        <v>74.175475385333698</v>
      </c>
      <c r="AK3782">
        <v>14.272043368891399</v>
      </c>
      <c r="AL3782">
        <v>79.485724800271598</v>
      </c>
      <c r="AM3782">
        <v>79.8581269205892</v>
      </c>
      <c r="AN3782">
        <v>1.0000000162039799</v>
      </c>
    </row>
    <row r="3783" spans="1:40" x14ac:dyDescent="0.25">
      <c r="A3783" t="str">
        <f>"20190312172445805"</f>
        <v>20190312172445805</v>
      </c>
      <c r="B3783" t="str">
        <f>"1552382685793818"</f>
        <v>1552382685793818</v>
      </c>
      <c r="C3783" t="s">
        <v>40</v>
      </c>
      <c r="D3783">
        <v>4.0434530000000004</v>
      </c>
      <c r="E3783">
        <v>0.53922300000000001</v>
      </c>
      <c r="F3783" t="s">
        <v>46</v>
      </c>
      <c r="G3783">
        <v>-202.00989999999999</v>
      </c>
      <c r="H3783" s="1">
        <v>3.3820649999999999E-6</v>
      </c>
      <c r="I3783">
        <v>211.48490000000001</v>
      </c>
      <c r="J3783">
        <v>-215.58279999999999</v>
      </c>
      <c r="K3783">
        <v>1.1084259999999999</v>
      </c>
      <c r="L3783">
        <v>215.5959</v>
      </c>
      <c r="M3783">
        <v>0.99977419999999995</v>
      </c>
      <c r="N3783">
        <v>0</v>
      </c>
      <c r="O3783">
        <v>-1.4700670000000001E-2</v>
      </c>
      <c r="P3783">
        <v>0.96758500000000003</v>
      </c>
      <c r="Q3783">
        <v>0.16705120000000001</v>
      </c>
      <c r="R3783">
        <v>-0.18940309999999999</v>
      </c>
      <c r="S3783">
        <v>2.9722900000000001</v>
      </c>
      <c r="T3783">
        <v>-0.23557169999999999</v>
      </c>
      <c r="U3783">
        <v>-0.87503050000000004</v>
      </c>
      <c r="V3783">
        <v>0.1759782</v>
      </c>
      <c r="W3783">
        <v>0.18113480000000001</v>
      </c>
      <c r="X3783">
        <v>0.96758560000000005</v>
      </c>
      <c r="Y3783">
        <v>0.26754869999999997</v>
      </c>
      <c r="Z3783">
        <v>-9.2281350000000002E-3</v>
      </c>
      <c r="AA3783">
        <v>0.96350009999999997</v>
      </c>
      <c r="AB3783">
        <v>42</v>
      </c>
      <c r="AC3783">
        <v>13.572900000000001</v>
      </c>
      <c r="AD3783">
        <v>-1.1084226179350001</v>
      </c>
      <c r="AE3783">
        <v>-4.11099999999999</v>
      </c>
      <c r="AF3783">
        <v>3.8872554620377402</v>
      </c>
      <c r="AG3783">
        <v>-1.1084226179350001</v>
      </c>
      <c r="AH3783">
        <v>13.5491074375319</v>
      </c>
      <c r="AI3783">
        <v>94.496227289836298</v>
      </c>
      <c r="AJ3783">
        <v>73.991750026198801</v>
      </c>
      <c r="AK3783">
        <v>14.139224451181001</v>
      </c>
      <c r="AL3783">
        <v>79.5641345221443</v>
      </c>
      <c r="AM3783">
        <v>79.692084318632396</v>
      </c>
      <c r="AN3783">
        <v>1.00000001798681</v>
      </c>
    </row>
    <row r="3784" spans="1:40" x14ac:dyDescent="0.25">
      <c r="A3784" t="str">
        <f>"20190312172445827"</f>
        <v>20190312172445827</v>
      </c>
      <c r="B3784" t="str">
        <f>"1552382685824074"</f>
        <v>1552382685824074</v>
      </c>
      <c r="C3784" t="s">
        <v>40</v>
      </c>
      <c r="D3784">
        <v>4.0546879999999996</v>
      </c>
      <c r="E3784">
        <v>0.53898519999999905</v>
      </c>
      <c r="F3784" t="s">
        <v>46</v>
      </c>
      <c r="G3784">
        <v>-201.88200000000001</v>
      </c>
      <c r="H3784" s="1">
        <v>3.324528E-6</v>
      </c>
      <c r="I3784">
        <v>211.494</v>
      </c>
      <c r="J3784">
        <v>-215.1541</v>
      </c>
      <c r="K3784">
        <v>1.1082069999999999</v>
      </c>
      <c r="L3784">
        <v>215.58770000000001</v>
      </c>
      <c r="M3784">
        <v>0.9997393</v>
      </c>
      <c r="N3784">
        <v>0</v>
      </c>
      <c r="O3784">
        <v>-1.6901759999999998E-2</v>
      </c>
      <c r="P3784">
        <v>0.96688010000000002</v>
      </c>
      <c r="Q3784">
        <v>0.16504669999999999</v>
      </c>
      <c r="R3784">
        <v>-0.194687</v>
      </c>
      <c r="S3784">
        <v>2.9680330000000001</v>
      </c>
      <c r="T3784">
        <v>-0.2401191</v>
      </c>
      <c r="U3784">
        <v>-0.88859560000000004</v>
      </c>
      <c r="V3784">
        <v>0.1792184</v>
      </c>
      <c r="W3784">
        <v>0.17902309999999999</v>
      </c>
      <c r="X3784">
        <v>0.96738389999999996</v>
      </c>
      <c r="Y3784">
        <v>0.26981850000000002</v>
      </c>
      <c r="Z3784">
        <v>-9.3285940000000008E-3</v>
      </c>
      <c r="AA3784">
        <v>0.962866</v>
      </c>
      <c r="AB3784">
        <v>42</v>
      </c>
      <c r="AC3784">
        <v>13.272099999999901</v>
      </c>
      <c r="AD3784">
        <v>-1.1082036754719999</v>
      </c>
      <c r="AE3784">
        <v>-4.0936999999999797</v>
      </c>
      <c r="AF3784">
        <v>3.84429266378541</v>
      </c>
      <c r="AG3784">
        <v>-1.1082036754719999</v>
      </c>
      <c r="AH3784">
        <v>13.255016393112101</v>
      </c>
      <c r="AI3784">
        <v>94.590854366494597</v>
      </c>
      <c r="AJ3784">
        <v>73.826493664013299</v>
      </c>
      <c r="AK3784">
        <v>13.845654952107999</v>
      </c>
      <c r="AL3784">
        <v>79.687137278756097</v>
      </c>
      <c r="AM3784">
        <v>79.504329427538295</v>
      </c>
      <c r="AN3784">
        <v>1.00000005760568</v>
      </c>
    </row>
    <row r="3785" spans="1:40" x14ac:dyDescent="0.25">
      <c r="A3785" t="str">
        <f>"20190312172445850"</f>
        <v>20190312172445850</v>
      </c>
      <c r="B3785" t="str">
        <f>"1552382685844570"</f>
        <v>1552382685844570</v>
      </c>
      <c r="C3785" t="s">
        <v>40</v>
      </c>
      <c r="D3785">
        <v>4.0271809999999997</v>
      </c>
      <c r="E3785">
        <v>0.53874840000000002</v>
      </c>
      <c r="F3785" t="s">
        <v>46</v>
      </c>
      <c r="G3785">
        <v>-201.86859999999999</v>
      </c>
      <c r="H3785" s="1">
        <v>3.3142660000000001E-6</v>
      </c>
      <c r="I3785">
        <v>211.5436</v>
      </c>
      <c r="J3785">
        <v>-214.73150000000001</v>
      </c>
      <c r="K3785">
        <v>1.1079810000000001</v>
      </c>
      <c r="L3785">
        <v>215.57839999999999</v>
      </c>
      <c r="M3785">
        <v>0.99969520000000001</v>
      </c>
      <c r="N3785">
        <v>0</v>
      </c>
      <c r="O3785">
        <v>-1.9330099999999999E-2</v>
      </c>
      <c r="P3785">
        <v>0.96581329999999999</v>
      </c>
      <c r="Q3785">
        <v>0.16364600000000001</v>
      </c>
      <c r="R3785">
        <v>-0.20105819999999999</v>
      </c>
      <c r="S3785">
        <v>2.963333</v>
      </c>
      <c r="T3785">
        <v>-0.24718490000000001</v>
      </c>
      <c r="U3785">
        <v>-0.90203860000000002</v>
      </c>
      <c r="V3785">
        <v>0.1833418</v>
      </c>
      <c r="W3785">
        <v>0.1774964</v>
      </c>
      <c r="X3785">
        <v>0.96689239999999999</v>
      </c>
      <c r="Y3785">
        <v>0.27185679999999901</v>
      </c>
      <c r="Z3785">
        <v>-9.4961469999999999E-3</v>
      </c>
      <c r="AA3785">
        <v>0.96229089999999995</v>
      </c>
      <c r="AB3785">
        <v>42</v>
      </c>
      <c r="AC3785">
        <v>12.8629</v>
      </c>
      <c r="AD3785">
        <v>-1.10797768573399</v>
      </c>
      <c r="AE3785">
        <v>-4.03479999999999</v>
      </c>
      <c r="AF3785">
        <v>3.7599767759677798</v>
      </c>
      <c r="AG3785">
        <v>-1.10797768573399</v>
      </c>
      <c r="AH3785">
        <v>12.851685043787301</v>
      </c>
      <c r="AI3785">
        <v>94.730111399800407</v>
      </c>
      <c r="AJ3785">
        <v>73.692274672260396</v>
      </c>
      <c r="AK3785">
        <v>13.4361768510469</v>
      </c>
      <c r="AL3785">
        <v>79.7760345019841</v>
      </c>
      <c r="AM3785">
        <v>79.263067443523497</v>
      </c>
      <c r="AN3785">
        <v>1.0000000504089701</v>
      </c>
    </row>
    <row r="3786" spans="1:40" x14ac:dyDescent="0.25">
      <c r="A3786" t="str">
        <f>"20190312172445872"</f>
        <v>20190312172445872</v>
      </c>
      <c r="B3786" t="str">
        <f>"1552382685864090"</f>
        <v>1552382685864090</v>
      </c>
      <c r="C3786" t="s">
        <v>40</v>
      </c>
      <c r="D3786">
        <v>4.0373089999999996</v>
      </c>
      <c r="E3786">
        <v>0.53856400000000004</v>
      </c>
      <c r="F3786" t="s">
        <v>46</v>
      </c>
      <c r="G3786">
        <v>-201.7269</v>
      </c>
      <c r="H3786" s="1">
        <v>3.252147E-6</v>
      </c>
      <c r="I3786">
        <v>211.5352</v>
      </c>
      <c r="J3786">
        <v>-214.30619999999999</v>
      </c>
      <c r="K3786">
        <v>1.107729</v>
      </c>
      <c r="L3786">
        <v>215.56790000000001</v>
      </c>
      <c r="M3786">
        <v>0.99963880000000005</v>
      </c>
      <c r="N3786">
        <v>0</v>
      </c>
      <c r="O3786">
        <v>-2.2054500000000001E-2</v>
      </c>
      <c r="P3786">
        <v>0.96463540000000003</v>
      </c>
      <c r="Q3786">
        <v>0.16216510000000001</v>
      </c>
      <c r="R3786">
        <v>-0.2078004</v>
      </c>
      <c r="S3786">
        <v>2.957443</v>
      </c>
      <c r="T3786">
        <v>-0.25197029999999998</v>
      </c>
      <c r="U3786">
        <v>-0.91949460000000005</v>
      </c>
      <c r="V3786">
        <v>0.1875627</v>
      </c>
      <c r="W3786">
        <v>0.175874799999999</v>
      </c>
      <c r="X3786">
        <v>0.96637890000000004</v>
      </c>
      <c r="Y3786">
        <v>0.27492139999999998</v>
      </c>
      <c r="Z3786">
        <v>-9.5908999999999994E-3</v>
      </c>
      <c r="AA3786">
        <v>0.96141889999999997</v>
      </c>
      <c r="AB3786">
        <v>42</v>
      </c>
      <c r="AC3786">
        <v>12.5792999999999</v>
      </c>
      <c r="AD3786">
        <v>-1.107725747853</v>
      </c>
      <c r="AE3786">
        <v>-4.0327000000000002</v>
      </c>
      <c r="AF3786">
        <v>3.7280412227215098</v>
      </c>
      <c r="AG3786">
        <v>-1.107725747853</v>
      </c>
      <c r="AH3786">
        <v>12.5767522978171</v>
      </c>
      <c r="AI3786">
        <v>94.826912048380194</v>
      </c>
      <c r="AJ3786">
        <v>73.488954365650301</v>
      </c>
      <c r="AK3786">
        <v>13.1643475361073</v>
      </c>
      <c r="AL3786">
        <v>79.870429365240497</v>
      </c>
      <c r="AM3786">
        <v>79.016130509757204</v>
      </c>
      <c r="AN3786">
        <v>0.99999994503576795</v>
      </c>
    </row>
    <row r="3787" spans="1:40" x14ac:dyDescent="0.25">
      <c r="A3787" t="str">
        <f>"20190312172445894"</f>
        <v>20190312172445894</v>
      </c>
      <c r="B3787" t="str">
        <f>"1552382685884586"</f>
        <v>1552382685884586</v>
      </c>
      <c r="C3787" t="s">
        <v>40</v>
      </c>
      <c r="D3787">
        <v>4.0195999999999996</v>
      </c>
      <c r="E3787">
        <v>0.53837659999999998</v>
      </c>
      <c r="F3787" t="s">
        <v>46</v>
      </c>
      <c r="G3787">
        <v>-201.60589999999999</v>
      </c>
      <c r="H3787" s="1">
        <v>3.198725E-6</v>
      </c>
      <c r="I3787">
        <v>211.5324</v>
      </c>
      <c r="J3787">
        <v>-213.89449999999999</v>
      </c>
      <c r="K3787">
        <v>1.1074600000000001</v>
      </c>
      <c r="L3787">
        <v>215.5564</v>
      </c>
      <c r="M3787">
        <v>0.99957010000000002</v>
      </c>
      <c r="N3787">
        <v>0</v>
      </c>
      <c r="O3787">
        <v>-2.4969789999999999E-2</v>
      </c>
      <c r="P3787">
        <v>0.96348389999999995</v>
      </c>
      <c r="Q3787">
        <v>0.1607925</v>
      </c>
      <c r="R3787">
        <v>-0.2141132</v>
      </c>
      <c r="S3787">
        <v>2.9512480000000001</v>
      </c>
      <c r="T3787">
        <v>-0.25740740000000001</v>
      </c>
      <c r="U3787">
        <v>-0.93775940000000002</v>
      </c>
      <c r="V3787">
        <v>0.1911767</v>
      </c>
      <c r="W3787">
        <v>0.1743584</v>
      </c>
      <c r="X3787">
        <v>0.96594550000000001</v>
      </c>
      <c r="Y3787">
        <v>0.27806429999999999</v>
      </c>
      <c r="Z3787">
        <v>-9.6941660000000006E-3</v>
      </c>
      <c r="AA3787">
        <v>0.96051350000000002</v>
      </c>
      <c r="AB3787">
        <v>42</v>
      </c>
      <c r="AC3787">
        <v>12.288600000000001</v>
      </c>
      <c r="AD3787">
        <v>-1.1074568012749999</v>
      </c>
      <c r="AE3787">
        <v>-4.024</v>
      </c>
      <c r="AF3787">
        <v>3.6888069470579898</v>
      </c>
      <c r="AG3787">
        <v>-1.1074568012749999</v>
      </c>
      <c r="AH3787">
        <v>12.295071188970301</v>
      </c>
      <c r="AI3787">
        <v>94.930923905757496</v>
      </c>
      <c r="AJ3787">
        <v>73.299534793556205</v>
      </c>
      <c r="AK3787">
        <v>12.8841970180993</v>
      </c>
      <c r="AL3787">
        <v>79.958677338369597</v>
      </c>
      <c r="AM3787">
        <v>78.804889346656594</v>
      </c>
      <c r="AN3787">
        <v>1.0000000456218401</v>
      </c>
    </row>
    <row r="3788" spans="1:40" x14ac:dyDescent="0.25">
      <c r="A3788" t="str">
        <f>"20190312172445917"</f>
        <v>20190312172445917</v>
      </c>
      <c r="B3788" t="str">
        <f>"1552382685913866"</f>
        <v>1552382685913866</v>
      </c>
      <c r="C3788" t="s">
        <v>40</v>
      </c>
      <c r="D3788">
        <v>3.998599</v>
      </c>
      <c r="E3788">
        <v>0.53810419999999903</v>
      </c>
      <c r="F3788" t="s">
        <v>46</v>
      </c>
      <c r="G3788">
        <v>-201.4348</v>
      </c>
      <c r="H3788" s="1">
        <v>3.1248729999999998E-6</v>
      </c>
      <c r="I3788">
        <v>211.5093</v>
      </c>
      <c r="J3788">
        <v>-213.45849999999999</v>
      </c>
      <c r="K3788">
        <v>1.107164</v>
      </c>
      <c r="L3788">
        <v>215.5427</v>
      </c>
      <c r="M3788">
        <v>0.99947989999999998</v>
      </c>
      <c r="N3788">
        <v>0</v>
      </c>
      <c r="O3788">
        <v>-2.83559E-2</v>
      </c>
      <c r="P3788">
        <v>0.96221389999999996</v>
      </c>
      <c r="Q3788">
        <v>0.15978210000000001</v>
      </c>
      <c r="R3788">
        <v>-0.2204866</v>
      </c>
      <c r="S3788">
        <v>2.9448089999999998</v>
      </c>
      <c r="T3788">
        <v>-0.2617429</v>
      </c>
      <c r="U3788">
        <v>-0.95652769999999998</v>
      </c>
      <c r="V3788">
        <v>0.19441710000000001</v>
      </c>
      <c r="W3788">
        <v>0.17318819999999999</v>
      </c>
      <c r="X3788">
        <v>0.96550910000000001</v>
      </c>
      <c r="Y3788">
        <v>0.28093459999999998</v>
      </c>
      <c r="Z3788">
        <v>-9.699928E-3</v>
      </c>
      <c r="AA3788">
        <v>0.95967789999999997</v>
      </c>
      <c r="AB3788">
        <v>42</v>
      </c>
      <c r="AC3788">
        <v>12.0236999999999</v>
      </c>
      <c r="AD3788">
        <v>-1.1071608751269999</v>
      </c>
      <c r="AE3788">
        <v>-4.0334000000000003</v>
      </c>
      <c r="AF3788">
        <v>3.66287850553269</v>
      </c>
      <c r="AG3788">
        <v>-1.1071608751269999</v>
      </c>
      <c r="AH3788">
        <v>12.041475522747101</v>
      </c>
      <c r="AI3788">
        <v>95.027133166956403</v>
      </c>
      <c r="AJ3788">
        <v>73.080841572000907</v>
      </c>
      <c r="AK3788">
        <v>12.6348572178171</v>
      </c>
      <c r="AL3788">
        <v>80.026760160249395</v>
      </c>
      <c r="AM3788">
        <v>78.615037148612302</v>
      </c>
      <c r="AN3788">
        <v>0.99999999178722998</v>
      </c>
    </row>
    <row r="3789" spans="1:40" x14ac:dyDescent="0.25">
      <c r="A3789" t="str">
        <f>"20190312172445941"</f>
        <v>20190312172445941</v>
      </c>
      <c r="B3789" t="str">
        <f>"1552382685934362"</f>
        <v>1552382685934362</v>
      </c>
      <c r="C3789" t="s">
        <v>40</v>
      </c>
      <c r="D3789">
        <v>3.9963660000000001</v>
      </c>
      <c r="E3789">
        <v>0.53787890000000005</v>
      </c>
      <c r="F3789" t="s">
        <v>46</v>
      </c>
      <c r="G3789">
        <v>-201.15369999999999</v>
      </c>
      <c r="H3789" s="1">
        <v>3.0047479999999998E-6</v>
      </c>
      <c r="I3789">
        <v>211.45769999999999</v>
      </c>
      <c r="J3789">
        <v>-213.02940000000001</v>
      </c>
      <c r="K3789">
        <v>1.1068659999999999</v>
      </c>
      <c r="L3789">
        <v>215.52760000000001</v>
      </c>
      <c r="M3789">
        <v>0.99936990000000003</v>
      </c>
      <c r="N3789">
        <v>0</v>
      </c>
      <c r="O3789">
        <v>-3.1990739999999997E-2</v>
      </c>
      <c r="P3789">
        <v>0.96056649999999999</v>
      </c>
      <c r="Q3789">
        <v>0.15964600000000001</v>
      </c>
      <c r="R3789">
        <v>-0.2276513</v>
      </c>
      <c r="S3789">
        <v>2.9381560000000002</v>
      </c>
      <c r="T3789">
        <v>-0.26436959999999998</v>
      </c>
      <c r="U3789">
        <v>-0.97543329999999995</v>
      </c>
      <c r="V3789">
        <v>0.1982323</v>
      </c>
      <c r="W3789">
        <v>0.172877799999999</v>
      </c>
      <c r="X3789">
        <v>0.96478869999999906</v>
      </c>
      <c r="Y3789">
        <v>0.28363899999999997</v>
      </c>
      <c r="Z3789">
        <v>-9.6096210000000005E-3</v>
      </c>
      <c r="AA3789">
        <v>0.95888300000000004</v>
      </c>
      <c r="AB3789">
        <v>42</v>
      </c>
      <c r="AC3789">
        <v>11.8757</v>
      </c>
      <c r="AD3789">
        <v>-1.1068629952519999</v>
      </c>
      <c r="AE3789">
        <v>-4.0699000000000103</v>
      </c>
      <c r="AF3789">
        <v>3.6594109776046899</v>
      </c>
      <c r="AG3789">
        <v>-1.1068629952519999</v>
      </c>
      <c r="AH3789">
        <v>11.907268190502499</v>
      </c>
      <c r="AI3789">
        <v>95.077705407513307</v>
      </c>
      <c r="AJ3789">
        <v>72.916455069347606</v>
      </c>
      <c r="AK3789">
        <v>12.5059773769916</v>
      </c>
      <c r="AL3789">
        <v>80.044817295163696</v>
      </c>
      <c r="AM3789">
        <v>78.389194696182898</v>
      </c>
      <c r="AN3789">
        <v>1.0000000070719</v>
      </c>
    </row>
    <row r="3790" spans="1:40" x14ac:dyDescent="0.25">
      <c r="A3790" t="str">
        <f>"20190312172445962"</f>
        <v>20190312172445962</v>
      </c>
      <c r="B3790" t="str">
        <f>"1552382685953882"</f>
        <v>1552382685953882</v>
      </c>
      <c r="C3790" t="s">
        <v>40</v>
      </c>
      <c r="D3790">
        <v>4.0173579999999998</v>
      </c>
      <c r="E3790">
        <v>0.53761199999999998</v>
      </c>
      <c r="F3790" t="s">
        <v>46</v>
      </c>
      <c r="G3790">
        <v>-200.7423</v>
      </c>
      <c r="H3790" s="1">
        <v>2.832008E-6</v>
      </c>
      <c r="I3790">
        <v>211.34690000000001</v>
      </c>
      <c r="J3790">
        <v>-212.6165</v>
      </c>
      <c r="K3790">
        <v>1.1065750000000001</v>
      </c>
      <c r="L3790">
        <v>215.5112</v>
      </c>
      <c r="M3790">
        <v>0.99924089999999999</v>
      </c>
      <c r="N3790">
        <v>0</v>
      </c>
      <c r="O3790">
        <v>-3.5791770000000001E-2</v>
      </c>
      <c r="P3790">
        <v>0.95876240000000001</v>
      </c>
      <c r="Q3790">
        <v>0.15970190000000001</v>
      </c>
      <c r="R3790">
        <v>-0.23509579999999999</v>
      </c>
      <c r="S3790">
        <v>2.9307099999999999</v>
      </c>
      <c r="T3790">
        <v>-0.26400940000000001</v>
      </c>
      <c r="U3790">
        <v>-0.99719239999999998</v>
      </c>
      <c r="V3790">
        <v>0.202178</v>
      </c>
      <c r="W3790">
        <v>0.17275470000000001</v>
      </c>
      <c r="X3790">
        <v>0.96399159999999995</v>
      </c>
      <c r="Y3790">
        <v>0.28711619999999999</v>
      </c>
      <c r="Z3790">
        <v>-9.4293599999999995E-3</v>
      </c>
      <c r="AA3790">
        <v>0.95784939999999996</v>
      </c>
      <c r="AB3790">
        <v>42</v>
      </c>
      <c r="AC3790">
        <v>11.8742</v>
      </c>
      <c r="AD3790">
        <v>-1.106572167992</v>
      </c>
      <c r="AE3790">
        <v>-4.1642999999999901</v>
      </c>
      <c r="AF3790">
        <v>3.70790727672928</v>
      </c>
      <c r="AG3790">
        <v>-1.106572167992</v>
      </c>
      <c r="AH3790">
        <v>11.923445753774599</v>
      </c>
      <c r="AI3790">
        <v>95.064334533561293</v>
      </c>
      <c r="AJ3790">
        <v>72.725552106339407</v>
      </c>
      <c r="AK3790">
        <v>12.535614742764</v>
      </c>
      <c r="AL3790">
        <v>80.051977749132305</v>
      </c>
      <c r="AM3790">
        <v>78.155035762311201</v>
      </c>
      <c r="AN3790">
        <v>0.99999996746332398</v>
      </c>
    </row>
    <row r="3791" spans="1:40" x14ac:dyDescent="0.25">
      <c r="A3791" t="str">
        <f>"20190312172445985"</f>
        <v>20190312172445985</v>
      </c>
      <c r="B3791" t="str">
        <f>"1552382685974378"</f>
        <v>1552382685974378</v>
      </c>
      <c r="C3791" t="s">
        <v>40</v>
      </c>
      <c r="D3791">
        <v>3.9766379999999999</v>
      </c>
      <c r="E3791">
        <v>0.5374968</v>
      </c>
      <c r="F3791" t="s">
        <v>46</v>
      </c>
      <c r="G3791">
        <v>-200.37889999999999</v>
      </c>
      <c r="H3791" s="1">
        <v>2.6793189999999998E-6</v>
      </c>
      <c r="I3791">
        <v>211.25</v>
      </c>
      <c r="J3791">
        <v>-212.1927</v>
      </c>
      <c r="K3791">
        <v>1.106279</v>
      </c>
      <c r="L3791">
        <v>215.49250000000001</v>
      </c>
      <c r="M3791">
        <v>0.99908110000000006</v>
      </c>
      <c r="N3791">
        <v>0</v>
      </c>
      <c r="O3791">
        <v>-4.0000479999999998E-2</v>
      </c>
      <c r="P3791">
        <v>0.95647979999999999</v>
      </c>
      <c r="Q3791">
        <v>0.16092819999999999</v>
      </c>
      <c r="R3791">
        <v>-0.2434105</v>
      </c>
      <c r="S3791">
        <v>2.9234469999999999</v>
      </c>
      <c r="T3791">
        <v>-0.26434920000000001</v>
      </c>
      <c r="U3791">
        <v>-1.01796</v>
      </c>
      <c r="V3791">
        <v>0.20664179999999999</v>
      </c>
      <c r="W3791">
        <v>0.17378370000000001</v>
      </c>
      <c r="X3791">
        <v>0.96285949999999998</v>
      </c>
      <c r="Y3791">
        <v>0.28989009999999998</v>
      </c>
      <c r="Z3791">
        <v>-9.2070339999999994E-3</v>
      </c>
      <c r="AA3791">
        <v>0.95701559999999997</v>
      </c>
      <c r="AB3791">
        <v>42</v>
      </c>
      <c r="AC3791">
        <v>11.813800000000001</v>
      </c>
      <c r="AD3791">
        <v>-1.106276320681</v>
      </c>
      <c r="AE3791">
        <v>-4.2424999999999997</v>
      </c>
      <c r="AF3791">
        <v>3.7374602350835899</v>
      </c>
      <c r="AG3791">
        <v>-1.106276320681</v>
      </c>
      <c r="AH3791">
        <v>11.8817758959154</v>
      </c>
      <c r="AI3791">
        <v>95.075501832350497</v>
      </c>
      <c r="AJ3791">
        <v>72.538822421578104</v>
      </c>
      <c r="AK3791">
        <v>12.5047612830988</v>
      </c>
      <c r="AL3791">
        <v>79.992115385683903</v>
      </c>
      <c r="AM3791">
        <v>77.887336111052903</v>
      </c>
      <c r="AN3791">
        <v>1.00000001231659</v>
      </c>
    </row>
    <row r="3792" spans="1:40" x14ac:dyDescent="0.25">
      <c r="A3792" t="str">
        <f>"20190312172446007"</f>
        <v>20190312172446007</v>
      </c>
      <c r="B3792" t="str">
        <f>"1552382685993900"</f>
        <v>1552382685993900</v>
      </c>
      <c r="C3792" t="s">
        <v>40</v>
      </c>
      <c r="D3792">
        <v>3.992499</v>
      </c>
      <c r="E3792">
        <v>0.53736280000000003</v>
      </c>
      <c r="F3792" t="s">
        <v>46</v>
      </c>
      <c r="G3792">
        <v>-199.8278</v>
      </c>
      <c r="H3792" s="1">
        <v>2.5310040000000001E-6</v>
      </c>
      <c r="I3792">
        <v>211.07390000000001</v>
      </c>
      <c r="J3792">
        <v>-211.78309999999999</v>
      </c>
      <c r="K3792">
        <v>1.105999</v>
      </c>
      <c r="L3792">
        <v>215.4725</v>
      </c>
      <c r="M3792">
        <v>0.99889899999999998</v>
      </c>
      <c r="N3792">
        <v>0</v>
      </c>
      <c r="O3792">
        <v>-4.4308979999999998E-2</v>
      </c>
      <c r="P3792">
        <v>0.9543701</v>
      </c>
      <c r="Q3792">
        <v>0.16172729999999999</v>
      </c>
      <c r="R3792">
        <v>-0.25104189999999998</v>
      </c>
      <c r="S3792">
        <v>2.9152830000000001</v>
      </c>
      <c r="T3792">
        <v>-0.2608278</v>
      </c>
      <c r="U3792">
        <v>-1.041763</v>
      </c>
      <c r="V3792">
        <v>0.21031820000000001</v>
      </c>
      <c r="W3792">
        <v>0.17440249999999999</v>
      </c>
      <c r="X3792">
        <v>0.96195109999999995</v>
      </c>
      <c r="Y3792">
        <v>0.29356549999999998</v>
      </c>
      <c r="Z3792">
        <v>-8.8844879999999994E-3</v>
      </c>
      <c r="AA3792">
        <v>0.95589769999999996</v>
      </c>
      <c r="AB3792">
        <v>42</v>
      </c>
      <c r="AC3792">
        <v>11.9552999999999</v>
      </c>
      <c r="AD3792">
        <v>-1.105996468996</v>
      </c>
      <c r="AE3792">
        <v>-4.3985999999999796</v>
      </c>
      <c r="AF3792">
        <v>3.83557670787508</v>
      </c>
      <c r="AG3792">
        <v>-1.105996468996</v>
      </c>
      <c r="AH3792">
        <v>12.047662068394899</v>
      </c>
      <c r="AI3792">
        <v>94.99925583628</v>
      </c>
      <c r="AJ3792">
        <v>72.340247282829594</v>
      </c>
      <c r="AK3792">
        <v>12.6917704905843</v>
      </c>
      <c r="AL3792">
        <v>79.956110287921106</v>
      </c>
      <c r="AM3792">
        <v>77.667086093388704</v>
      </c>
      <c r="AN3792">
        <v>0.999999948024348</v>
      </c>
    </row>
    <row r="3793" spans="1:40" x14ac:dyDescent="0.25">
      <c r="A3793" t="str">
        <f>"20190312172446030"</f>
        <v>20190312172446030</v>
      </c>
      <c r="B3793" t="str">
        <f>"1552382686024156"</f>
        <v>1552382686024156</v>
      </c>
      <c r="C3793" t="s">
        <v>40</v>
      </c>
      <c r="D3793">
        <v>3.9862799999999998</v>
      </c>
      <c r="E3793">
        <v>0.5370566</v>
      </c>
      <c r="F3793" t="s">
        <v>46</v>
      </c>
      <c r="G3793">
        <v>-199.3535</v>
      </c>
      <c r="H3793" s="1">
        <v>2.6279650000000002E-6</v>
      </c>
      <c r="I3793">
        <v>210.9271</v>
      </c>
      <c r="J3793">
        <v>-211.3503</v>
      </c>
      <c r="K3793">
        <v>1.1057129999999999</v>
      </c>
      <c r="L3793">
        <v>215.44929999999999</v>
      </c>
      <c r="M3793">
        <v>0.9986737</v>
      </c>
      <c r="N3793">
        <v>0</v>
      </c>
      <c r="O3793">
        <v>-4.9124920000000002E-2</v>
      </c>
      <c r="P3793">
        <v>0.95224370000000003</v>
      </c>
      <c r="Q3793">
        <v>0.16095609999999999</v>
      </c>
      <c r="R3793">
        <v>-0.2594706</v>
      </c>
      <c r="S3793">
        <v>2.9075929999999999</v>
      </c>
      <c r="T3793">
        <v>-0.25872000000000001</v>
      </c>
      <c r="U3793">
        <v>-1.063293</v>
      </c>
      <c r="V3793">
        <v>0.21429860000000001</v>
      </c>
      <c r="W3793">
        <v>0.17344279999999901</v>
      </c>
      <c r="X3793">
        <v>0.96124589999999999</v>
      </c>
      <c r="Y3793">
        <v>0.29603659999999998</v>
      </c>
      <c r="Z3793">
        <v>-8.5182039999999997E-3</v>
      </c>
      <c r="AA3793">
        <v>0.95513859999999995</v>
      </c>
      <c r="AB3793">
        <v>42</v>
      </c>
      <c r="AC3793">
        <v>11.9968</v>
      </c>
      <c r="AD3793">
        <v>-1.1057103720350001</v>
      </c>
      <c r="AE3793">
        <v>-4.52219999999999</v>
      </c>
      <c r="AF3793">
        <v>3.8983314857544</v>
      </c>
      <c r="AG3793">
        <v>-1.1057103720350001</v>
      </c>
      <c r="AH3793">
        <v>12.1143855174346</v>
      </c>
      <c r="AI3793">
        <v>94.965661756740005</v>
      </c>
      <c r="AJ3793">
        <v>72.162158017764298</v>
      </c>
      <c r="AK3793">
        <v>12.7741113297434</v>
      </c>
      <c r="AL3793">
        <v>80.011948457461898</v>
      </c>
      <c r="AM3793">
        <v>77.432096575769705</v>
      </c>
      <c r="AN3793">
        <v>0.99999998755030495</v>
      </c>
    </row>
    <row r="3794" spans="1:40" x14ac:dyDescent="0.25">
      <c r="A3794" t="str">
        <f>"20190312172446051"</f>
        <v>20190312172446051</v>
      </c>
      <c r="B3794" t="str">
        <f>"1552382686044650"</f>
        <v>1552382686044650</v>
      </c>
      <c r="C3794" t="s">
        <v>40</v>
      </c>
      <c r="D3794">
        <v>3.9775610000000001</v>
      </c>
      <c r="E3794">
        <v>0.53681619999999997</v>
      </c>
      <c r="F3794" t="s">
        <v>46</v>
      </c>
      <c r="G3794">
        <v>-199.08320000000001</v>
      </c>
      <c r="H3794" s="1">
        <v>2.6825059999999999E-6</v>
      </c>
      <c r="I3794">
        <v>210.85169999999999</v>
      </c>
      <c r="J3794">
        <v>-210.946</v>
      </c>
      <c r="K3794">
        <v>1.10544</v>
      </c>
      <c r="L3794">
        <v>215.4256</v>
      </c>
      <c r="M3794">
        <v>0.99842880000000001</v>
      </c>
      <c r="N3794">
        <v>0</v>
      </c>
      <c r="O3794">
        <v>-5.387231E-2</v>
      </c>
      <c r="P3794">
        <v>0.95022859999999998</v>
      </c>
      <c r="Q3794">
        <v>0.16023589999999999</v>
      </c>
      <c r="R3794">
        <v>-0.26719009999999999</v>
      </c>
      <c r="S3794">
        <v>2.8985750000000001</v>
      </c>
      <c r="T3794">
        <v>-0.26126650000000001</v>
      </c>
      <c r="U3794">
        <v>-1.086365</v>
      </c>
      <c r="V3794">
        <v>0.21763270000000001</v>
      </c>
      <c r="W3794">
        <v>0.17254710000000001</v>
      </c>
      <c r="X3794">
        <v>0.96065780000000001</v>
      </c>
      <c r="Y3794">
        <v>0.2991241</v>
      </c>
      <c r="Z3794">
        <v>-8.3390180000000001E-3</v>
      </c>
      <c r="AA3794">
        <v>0.95417779999999996</v>
      </c>
      <c r="AB3794">
        <v>42</v>
      </c>
      <c r="AC3794">
        <v>11.862799999999901</v>
      </c>
      <c r="AD3794">
        <v>-1.105437317494</v>
      </c>
      <c r="AE3794">
        <v>-4.5739000000000001</v>
      </c>
      <c r="AF3794">
        <v>3.8986316509291399</v>
      </c>
      <c r="AG3794">
        <v>-1.105437317494</v>
      </c>
      <c r="AH3794">
        <v>12.001279504307</v>
      </c>
      <c r="AI3794">
        <v>95.006531477325893</v>
      </c>
      <c r="AJ3794">
        <v>72.003542935882606</v>
      </c>
      <c r="AK3794">
        <v>12.6669660989929</v>
      </c>
      <c r="AL3794">
        <v>80.064053534345206</v>
      </c>
      <c r="AM3794">
        <v>77.235360786723902</v>
      </c>
      <c r="AN3794">
        <v>0.99999995126426799</v>
      </c>
    </row>
    <row r="3795" spans="1:40" x14ac:dyDescent="0.25">
      <c r="A3795" t="str">
        <f>"20190312172446073"</f>
        <v>20190312172446073</v>
      </c>
      <c r="B3795" t="str">
        <f>"1552382686064171"</f>
        <v>1552382686064171</v>
      </c>
      <c r="C3795" t="s">
        <v>40</v>
      </c>
      <c r="D3795">
        <v>3.9581170000000001</v>
      </c>
      <c r="E3795">
        <v>0.53662189999999999</v>
      </c>
      <c r="F3795" t="s">
        <v>46</v>
      </c>
      <c r="G3795">
        <v>-198.81649999999999</v>
      </c>
      <c r="H3795" s="1">
        <v>2.7366460000000002E-6</v>
      </c>
      <c r="I3795">
        <v>210.77350000000001</v>
      </c>
      <c r="J3795">
        <v>-210.53290000000001</v>
      </c>
      <c r="K3795">
        <v>1.105159</v>
      </c>
      <c r="L3795">
        <v>215.39920000000001</v>
      </c>
      <c r="M3795">
        <v>0.99813989999999997</v>
      </c>
      <c r="N3795">
        <v>0</v>
      </c>
      <c r="O3795">
        <v>-5.8980270000000001E-2</v>
      </c>
      <c r="P3795">
        <v>0.94803269999999995</v>
      </c>
      <c r="Q3795">
        <v>0.1592654</v>
      </c>
      <c r="R3795">
        <v>-0.2754433</v>
      </c>
      <c r="S3795">
        <v>2.8898769999999998</v>
      </c>
      <c r="T3795">
        <v>-0.26337339999999998</v>
      </c>
      <c r="U3795">
        <v>-1.1083829999999999</v>
      </c>
      <c r="V3795">
        <v>0.22117300000000001</v>
      </c>
      <c r="W3795">
        <v>0.17138919999999999</v>
      </c>
      <c r="X3795">
        <v>0.96005640000000003</v>
      </c>
      <c r="Y3795">
        <v>0.30153350000000001</v>
      </c>
      <c r="Z3795">
        <v>-8.0788300000000004E-3</v>
      </c>
      <c r="AA3795">
        <v>0.95342139999999997</v>
      </c>
      <c r="AB3795">
        <v>42</v>
      </c>
      <c r="AC3795">
        <v>11.7164</v>
      </c>
      <c r="AD3795">
        <v>-1.105156263354</v>
      </c>
      <c r="AE3795">
        <v>-4.6256999999999904</v>
      </c>
      <c r="AF3795">
        <v>3.8965331695212799</v>
      </c>
      <c r="AG3795">
        <v>-1.105156263354</v>
      </c>
      <c r="AH3795">
        <v>11.877429677502301</v>
      </c>
      <c r="AI3795">
        <v>95.052424253374994</v>
      </c>
      <c r="AJ3795">
        <v>71.837303026484506</v>
      </c>
      <c r="AK3795">
        <v>12.5490109909755</v>
      </c>
      <c r="AL3795">
        <v>80.131400322428206</v>
      </c>
      <c r="AM3795">
        <v>77.026830352957404</v>
      </c>
      <c r="AN3795">
        <v>1.0000000224932899</v>
      </c>
    </row>
    <row r="3796" spans="1:40" x14ac:dyDescent="0.25">
      <c r="A3796" t="str">
        <f>"20190312172446096"</f>
        <v>20190312172446096</v>
      </c>
      <c r="B3796" t="str">
        <f>"1552382686083691"</f>
        <v>1552382686083691</v>
      </c>
      <c r="C3796" t="s">
        <v>40</v>
      </c>
      <c r="D3796">
        <v>3.9874939999999999</v>
      </c>
      <c r="E3796">
        <v>0.53637109999999899</v>
      </c>
      <c r="F3796" t="s">
        <v>46</v>
      </c>
      <c r="G3796">
        <v>-198.5829</v>
      </c>
      <c r="H3796" s="1">
        <v>2.784517E-6</v>
      </c>
      <c r="I3796">
        <v>210.69990000000001</v>
      </c>
      <c r="J3796">
        <v>-210.11600000000001</v>
      </c>
      <c r="K3796">
        <v>1.1048530000000001</v>
      </c>
      <c r="L3796">
        <v>215.37020000000001</v>
      </c>
      <c r="M3796">
        <v>0.99780420000000003</v>
      </c>
      <c r="N3796">
        <v>0</v>
      </c>
      <c r="O3796">
        <v>-6.4407420000000007E-2</v>
      </c>
      <c r="P3796">
        <v>0.94575569999999998</v>
      </c>
      <c r="Q3796">
        <v>0.1581864</v>
      </c>
      <c r="R3796">
        <v>-0.28376649999999998</v>
      </c>
      <c r="S3796">
        <v>2.880112</v>
      </c>
      <c r="T3796">
        <v>-0.26635809999999999</v>
      </c>
      <c r="U3796">
        <v>-1.1325989999999999</v>
      </c>
      <c r="V3796">
        <v>0.2244932</v>
      </c>
      <c r="W3796">
        <v>0.1701165</v>
      </c>
      <c r="X3796">
        <v>0.95951189999999997</v>
      </c>
      <c r="Y3796">
        <v>0.30437930000000002</v>
      </c>
      <c r="Z3796">
        <v>-7.8312590000000001E-3</v>
      </c>
      <c r="AA3796">
        <v>0.95251870000000005</v>
      </c>
      <c r="AB3796">
        <v>42</v>
      </c>
      <c r="AC3796">
        <v>11.5330999999999</v>
      </c>
      <c r="AD3796">
        <v>-1.104850215483</v>
      </c>
      <c r="AE3796">
        <v>-4.6702999999999903</v>
      </c>
      <c r="AF3796">
        <v>3.88704786742412</v>
      </c>
      <c r="AG3796">
        <v>-1.104850215483</v>
      </c>
      <c r="AH3796">
        <v>11.717599639181101</v>
      </c>
      <c r="AI3796">
        <v>95.114015393343905</v>
      </c>
      <c r="AJ3796">
        <v>71.647907301126907</v>
      </c>
      <c r="AK3796">
        <v>12.394836684137299</v>
      </c>
      <c r="AL3796">
        <v>80.205406858839694</v>
      </c>
      <c r="AM3796">
        <v>76.831602845292494</v>
      </c>
      <c r="AN3796">
        <v>0.99999995333004799</v>
      </c>
    </row>
    <row r="3797" spans="1:40" x14ac:dyDescent="0.25">
      <c r="A3797" t="str">
        <f>"20190312172446118"</f>
        <v>20190312172446118</v>
      </c>
      <c r="B3797" t="str">
        <f>"1552382686113946"</f>
        <v>1552382686113946</v>
      </c>
      <c r="C3797" t="s">
        <v>40</v>
      </c>
      <c r="D3797">
        <v>3.9655969999999998</v>
      </c>
      <c r="E3797">
        <v>0.53598950000000001</v>
      </c>
      <c r="F3797" t="s">
        <v>46</v>
      </c>
      <c r="G3797">
        <v>-198.37739999999999</v>
      </c>
      <c r="H3797" s="1">
        <v>2.8257599999999999E-6</v>
      </c>
      <c r="I3797">
        <v>210.64510000000001</v>
      </c>
      <c r="J3797">
        <v>-209.6901</v>
      </c>
      <c r="K3797">
        <v>1.104535</v>
      </c>
      <c r="L3797">
        <v>215.3381</v>
      </c>
      <c r="M3797">
        <v>0.99741049999999998</v>
      </c>
      <c r="N3797">
        <v>0</v>
      </c>
      <c r="O3797">
        <v>-7.0237960000000002E-2</v>
      </c>
      <c r="P3797">
        <v>0.94358330000000001</v>
      </c>
      <c r="Q3797">
        <v>0.15637789999999999</v>
      </c>
      <c r="R3797">
        <v>-0.29188550000000002</v>
      </c>
      <c r="S3797">
        <v>2.8705750000000001</v>
      </c>
      <c r="T3797">
        <v>-0.27018330000000002</v>
      </c>
      <c r="U3797">
        <v>-1.155502</v>
      </c>
      <c r="V3797">
        <v>0.22721910000000001</v>
      </c>
      <c r="W3797">
        <v>0.1681144</v>
      </c>
      <c r="X3797">
        <v>0.95922320000000005</v>
      </c>
      <c r="Y3797">
        <v>0.30643569999999998</v>
      </c>
      <c r="Z3797">
        <v>-7.5269150000000003E-3</v>
      </c>
      <c r="AA3797">
        <v>0.95186159999999997</v>
      </c>
      <c r="AB3797">
        <v>42</v>
      </c>
      <c r="AC3797">
        <v>11.3127</v>
      </c>
      <c r="AD3797">
        <v>-1.1045321742400001</v>
      </c>
      <c r="AE3797">
        <v>-4.6929999999999801</v>
      </c>
      <c r="AF3797">
        <v>3.8553743272073899</v>
      </c>
      <c r="AG3797">
        <v>-1.1045321742400001</v>
      </c>
      <c r="AH3797">
        <v>11.5207197768932</v>
      </c>
      <c r="AI3797">
        <v>95.194919874799396</v>
      </c>
      <c r="AJ3797">
        <v>71.497337022927894</v>
      </c>
      <c r="AK3797">
        <v>12.1988067738005</v>
      </c>
      <c r="AL3797">
        <v>80.321796228725503</v>
      </c>
      <c r="AM3797">
        <v>76.673508544508906</v>
      </c>
      <c r="AN3797">
        <v>1.0000000591552001</v>
      </c>
    </row>
    <row r="3798" spans="1:40" x14ac:dyDescent="0.25">
      <c r="A3798" t="str">
        <f>"20190312172446141"</f>
        <v>20190312172446141</v>
      </c>
      <c r="B3798" t="str">
        <f>"1552382686134443"</f>
        <v>1552382686134443</v>
      </c>
      <c r="C3798" t="s">
        <v>40</v>
      </c>
      <c r="D3798">
        <v>3.9500540000000002</v>
      </c>
      <c r="E3798">
        <v>0.53599430000000003</v>
      </c>
      <c r="F3798" t="s">
        <v>46</v>
      </c>
      <c r="G3798">
        <v>-198.24619999999999</v>
      </c>
      <c r="H3798" s="1">
        <v>2.8503719999999999E-6</v>
      </c>
      <c r="I3798">
        <v>210.62979999999999</v>
      </c>
      <c r="J3798">
        <v>-209.26910000000001</v>
      </c>
      <c r="K3798">
        <v>1.104214</v>
      </c>
      <c r="L3798">
        <v>215.30369999999999</v>
      </c>
      <c r="M3798">
        <v>0.9969652</v>
      </c>
      <c r="N3798">
        <v>0</v>
      </c>
      <c r="O3798">
        <v>-7.6295500000000002E-2</v>
      </c>
      <c r="P3798">
        <v>0.94124070000000004</v>
      </c>
      <c r="Q3798">
        <v>0.15521760000000001</v>
      </c>
      <c r="R3798">
        <v>-0.29995670000000002</v>
      </c>
      <c r="S3798">
        <v>2.8610229999999999</v>
      </c>
      <c r="T3798">
        <v>-0.27613700000000002</v>
      </c>
      <c r="U3798">
        <v>-1.1770780000000001</v>
      </c>
      <c r="V3798">
        <v>0.2297083</v>
      </c>
      <c r="W3798">
        <v>0.16675860000000001</v>
      </c>
      <c r="X3798">
        <v>0.95886680000000002</v>
      </c>
      <c r="Y3798">
        <v>0.30788710000000002</v>
      </c>
      <c r="Z3798">
        <v>-7.2173649999999999E-3</v>
      </c>
      <c r="AA3798">
        <v>0.95139549999999995</v>
      </c>
      <c r="AB3798">
        <v>42</v>
      </c>
      <c r="AC3798">
        <v>11.0229</v>
      </c>
      <c r="AD3798">
        <v>-1.104211149628</v>
      </c>
      <c r="AE3798">
        <v>-4.6738999999999997</v>
      </c>
      <c r="AF3798">
        <v>3.7869645388239901</v>
      </c>
      <c r="AG3798">
        <v>-1.104211149628</v>
      </c>
      <c r="AH3798">
        <v>11.2517004900202</v>
      </c>
      <c r="AI3798">
        <v>95.313822825341603</v>
      </c>
      <c r="AJ3798">
        <v>71.398403778024203</v>
      </c>
      <c r="AK3798">
        <v>11.9231349316526</v>
      </c>
      <c r="AL3798">
        <v>80.400589009580997</v>
      </c>
      <c r="AM3798">
        <v>76.527983629299698</v>
      </c>
      <c r="AN3798">
        <v>0.99999993695254297</v>
      </c>
    </row>
    <row r="3799" spans="1:40" x14ac:dyDescent="0.25">
      <c r="A3799" t="str">
        <f>"20190312172446163"</f>
        <v>20190312172446163</v>
      </c>
      <c r="B3799" t="str">
        <f>"1552382686153962"</f>
        <v>1552382686153962</v>
      </c>
      <c r="C3799" t="s">
        <v>40</v>
      </c>
      <c r="D3799">
        <v>3.9091019999999999</v>
      </c>
      <c r="E3799">
        <v>0.56447939999999996</v>
      </c>
      <c r="F3799" t="s">
        <v>46</v>
      </c>
      <c r="G3799">
        <v>-198.0051</v>
      </c>
      <c r="H3799" s="1">
        <v>2.9002990000000002E-6</v>
      </c>
      <c r="I3799">
        <v>210.5478</v>
      </c>
      <c r="J3799">
        <v>-208.85599999999999</v>
      </c>
      <c r="K3799">
        <v>1.1038950000000001</v>
      </c>
      <c r="L3799">
        <v>215.267</v>
      </c>
      <c r="M3799">
        <v>0.99646590000000002</v>
      </c>
      <c r="N3799">
        <v>0</v>
      </c>
      <c r="O3799">
        <v>-8.2557320000000003E-2</v>
      </c>
      <c r="P3799">
        <v>0.93852190000000002</v>
      </c>
      <c r="Q3799">
        <v>0.1551331</v>
      </c>
      <c r="R3799">
        <v>-0.308399599999999</v>
      </c>
      <c r="S3799">
        <v>2.8499300000000001</v>
      </c>
      <c r="T3799">
        <v>-0.2793794</v>
      </c>
      <c r="U3799">
        <v>-1.2032929999999999</v>
      </c>
      <c r="V3799">
        <v>0.2324254</v>
      </c>
      <c r="W3799">
        <v>0.16647039999999999</v>
      </c>
      <c r="X3799">
        <v>0.95826199999999995</v>
      </c>
      <c r="Y3799">
        <v>0.31065500000000001</v>
      </c>
      <c r="Z3799">
        <v>-6.8645629999999997E-3</v>
      </c>
      <c r="AA3799">
        <v>0.95049790000000001</v>
      </c>
      <c r="AB3799">
        <v>42</v>
      </c>
      <c r="AC3799">
        <v>10.8508999999999</v>
      </c>
      <c r="AD3799">
        <v>-1.103892099701</v>
      </c>
      <c r="AE3799">
        <v>-4.7191999999999998</v>
      </c>
      <c r="AF3799">
        <v>3.7743084980135699</v>
      </c>
      <c r="AG3799">
        <v>-1.103892099701</v>
      </c>
      <c r="AH3799">
        <v>11.106834430760999</v>
      </c>
      <c r="AI3799">
        <v>95.375905768130494</v>
      </c>
      <c r="AJ3799">
        <v>71.231285745445405</v>
      </c>
      <c r="AK3799">
        <v>11.7824341066818</v>
      </c>
      <c r="AL3799">
        <v>80.417336451049394</v>
      </c>
      <c r="AM3799">
        <v>76.366259094799105</v>
      </c>
      <c r="AN3799">
        <v>1.0000000106426501</v>
      </c>
    </row>
    <row r="3800" spans="1:40" x14ac:dyDescent="0.25">
      <c r="A3800" t="str">
        <f>"20190312172446185"</f>
        <v>20190312172446185</v>
      </c>
      <c r="B3800" t="str">
        <f>"1552382686174459"</f>
        <v>1552382686174459</v>
      </c>
      <c r="C3800" t="s">
        <v>40</v>
      </c>
      <c r="D3800">
        <v>3.8686199999999999</v>
      </c>
      <c r="E3800">
        <v>0.57047919999999996</v>
      </c>
      <c r="F3800" t="s">
        <v>46</v>
      </c>
      <c r="G3800">
        <v>-197.69450000000001</v>
      </c>
      <c r="H3800" s="1">
        <v>3.0858519999999999E-6</v>
      </c>
      <c r="I3800">
        <v>209.43119999999999</v>
      </c>
      <c r="J3800">
        <v>-208.44730000000001</v>
      </c>
      <c r="K3800">
        <v>1.103588</v>
      </c>
      <c r="L3800">
        <v>215.22790000000001</v>
      </c>
      <c r="M3800">
        <v>0.99590699999999999</v>
      </c>
      <c r="N3800">
        <v>0</v>
      </c>
      <c r="O3800">
        <v>-8.9043159999999996E-2</v>
      </c>
      <c r="P3800">
        <v>0.93583479999999997</v>
      </c>
      <c r="Q3800">
        <v>0.155005</v>
      </c>
      <c r="R3800">
        <v>-0.3165231</v>
      </c>
      <c r="S3800">
        <v>2.7664339999999998</v>
      </c>
      <c r="T3800">
        <v>-0.27360459999999998</v>
      </c>
      <c r="U3800">
        <v>-1.446426</v>
      </c>
      <c r="V3800">
        <v>0.2346163</v>
      </c>
      <c r="W3800">
        <v>0.1661493</v>
      </c>
      <c r="X3800">
        <v>0.95778370000000002</v>
      </c>
      <c r="Y3800">
        <v>0.381471</v>
      </c>
      <c r="Z3800">
        <v>-9.4832930000000003E-3</v>
      </c>
      <c r="AA3800">
        <v>0.92433209999999999</v>
      </c>
      <c r="AB3800">
        <v>42</v>
      </c>
      <c r="AC3800">
        <v>10.752800000000001</v>
      </c>
      <c r="AD3800">
        <v>-1.1035849141480001</v>
      </c>
      <c r="AE3800">
        <v>-5.7967000000000102</v>
      </c>
      <c r="AF3800">
        <v>4.7771016810407998</v>
      </c>
      <c r="AG3800">
        <v>-1.1035849141480001</v>
      </c>
      <c r="AH3800">
        <v>11.1354136647081</v>
      </c>
      <c r="AI3800">
        <v>95.204055980191697</v>
      </c>
      <c r="AJ3800">
        <v>66.780627620659203</v>
      </c>
      <c r="AK3800">
        <v>12.167006107416301</v>
      </c>
      <c r="AL3800">
        <v>80.435993924027002</v>
      </c>
      <c r="AM3800">
        <v>76.235996558456804</v>
      </c>
      <c r="AN3800">
        <v>1.0000000070509301</v>
      </c>
    </row>
    <row r="3801" spans="1:40" x14ac:dyDescent="0.25">
      <c r="A3801" t="str">
        <f>"20190312172446207"</f>
        <v>20190312172446207</v>
      </c>
      <c r="B3801" t="str">
        <f>"1552382686203738"</f>
        <v>1552382686203738</v>
      </c>
      <c r="C3801" t="s">
        <v>40</v>
      </c>
      <c r="D3801">
        <v>3.9146139999999998</v>
      </c>
      <c r="E3801">
        <v>0.57285410000000003</v>
      </c>
      <c r="F3801" t="s">
        <v>46</v>
      </c>
      <c r="G3801">
        <v>-197.19839999999999</v>
      </c>
      <c r="H3801" s="1">
        <v>3.2898479999999999E-6</v>
      </c>
      <c r="I3801">
        <v>208.9932</v>
      </c>
      <c r="J3801">
        <v>-208.0359</v>
      </c>
      <c r="K3801">
        <v>1.1032949999999999</v>
      </c>
      <c r="L3801">
        <v>215.18559999999999</v>
      </c>
      <c r="M3801">
        <v>0.99527650000000001</v>
      </c>
      <c r="N3801">
        <v>0</v>
      </c>
      <c r="O3801">
        <v>-9.5830810000000002E-2</v>
      </c>
      <c r="P3801">
        <v>0.93307629999999997</v>
      </c>
      <c r="Q3801">
        <v>0.15555169999999999</v>
      </c>
      <c r="R3801">
        <v>-0.3243026</v>
      </c>
      <c r="S3801">
        <v>2.7370760000000001</v>
      </c>
      <c r="T3801">
        <v>-0.26852409999999999</v>
      </c>
      <c r="U3801">
        <v>-1.517029</v>
      </c>
      <c r="V3801">
        <v>0.2361983</v>
      </c>
      <c r="W3801">
        <v>0.16651879999999999</v>
      </c>
      <c r="X3801">
        <v>0.95733060000000003</v>
      </c>
      <c r="Y3801">
        <v>0.39761649999999998</v>
      </c>
      <c r="Z3801">
        <v>-9.4712560000000008E-3</v>
      </c>
      <c r="AA3801">
        <v>0.91750279999999995</v>
      </c>
      <c r="AB3801">
        <v>41</v>
      </c>
      <c r="AC3801">
        <v>10.8375</v>
      </c>
      <c r="AD3801">
        <v>-1.1032917101519999</v>
      </c>
      <c r="AE3801">
        <v>-6.1923999999999904</v>
      </c>
      <c r="AF3801">
        <v>5.0854687320721199</v>
      </c>
      <c r="AG3801">
        <v>-1.1032917101519999</v>
      </c>
      <c r="AH3801">
        <v>11.292872249090699</v>
      </c>
      <c r="AI3801">
        <v>95.090591441081102</v>
      </c>
      <c r="AJ3801">
        <v>65.756745756553897</v>
      </c>
      <c r="AK3801">
        <v>12.4341549152669</v>
      </c>
      <c r="AL3801">
        <v>80.414524101099204</v>
      </c>
      <c r="AM3801">
        <v>76.140446772251394</v>
      </c>
      <c r="AN3801">
        <v>1.00000001268634</v>
      </c>
    </row>
    <row r="3802" spans="1:40" x14ac:dyDescent="0.25">
      <c r="A3802" t="str">
        <f>"20190312172446230"</f>
        <v>20190312172446230</v>
      </c>
      <c r="B3802" t="str">
        <f>"1552382686224235"</f>
        <v>1552382686224235</v>
      </c>
      <c r="C3802" t="s">
        <v>40</v>
      </c>
      <c r="D3802">
        <v>3.9061050000000002</v>
      </c>
      <c r="E3802">
        <v>0.57360140000000004</v>
      </c>
      <c r="F3802" t="s">
        <v>46</v>
      </c>
      <c r="G3802">
        <v>-196.62719999999999</v>
      </c>
      <c r="H3802" s="1">
        <v>3.4849910000000001E-6</v>
      </c>
      <c r="I3802">
        <v>208.63890000000001</v>
      </c>
      <c r="J3802">
        <v>-207.6208</v>
      </c>
      <c r="K3802">
        <v>1.1030150000000001</v>
      </c>
      <c r="L3802">
        <v>215.14</v>
      </c>
      <c r="M3802">
        <v>0.99456549999999999</v>
      </c>
      <c r="N3802">
        <v>0</v>
      </c>
      <c r="O3802">
        <v>-0.1029446</v>
      </c>
      <c r="P3802">
        <v>0.92994480000000002</v>
      </c>
      <c r="Q3802">
        <v>0.1567664</v>
      </c>
      <c r="R3802">
        <v>-0.33260729999999999</v>
      </c>
      <c r="S3802">
        <v>2.7170559999999999</v>
      </c>
      <c r="T3802">
        <v>-0.26275660000000001</v>
      </c>
      <c r="U3802">
        <v>-1.559158</v>
      </c>
      <c r="V3802">
        <v>0.23804710000000001</v>
      </c>
      <c r="W3802">
        <v>0.16755129999999999</v>
      </c>
      <c r="X3802">
        <v>0.95669230000000005</v>
      </c>
      <c r="Y3802">
        <v>0.40472619999999998</v>
      </c>
      <c r="Z3802">
        <v>-8.9881739999999998E-3</v>
      </c>
      <c r="AA3802">
        <v>0.91439369999999998</v>
      </c>
      <c r="AB3802">
        <v>41</v>
      </c>
      <c r="AC3802">
        <v>10.993600000000001</v>
      </c>
      <c r="AD3802">
        <v>-1.1030115150090001</v>
      </c>
      <c r="AE3802">
        <v>-6.5010999999999797</v>
      </c>
      <c r="AF3802">
        <v>5.2951897798080401</v>
      </c>
      <c r="AG3802">
        <v>-1.1030115150090001</v>
      </c>
      <c r="AH3802">
        <v>11.5186020267173</v>
      </c>
      <c r="AI3802">
        <v>94.972550093209506</v>
      </c>
      <c r="AJ3802">
        <v>65.311395072494307</v>
      </c>
      <c r="AK3802">
        <v>12.7253236444627</v>
      </c>
      <c r="AL3802">
        <v>80.354523210560302</v>
      </c>
      <c r="AM3802">
        <v>76.027241407329399</v>
      </c>
      <c r="AN3802">
        <v>1.0000000084146901</v>
      </c>
    </row>
    <row r="3803" spans="1:40" x14ac:dyDescent="0.25">
      <c r="A3803" t="str">
        <f>"20190312172446252"</f>
        <v>20190312172446252</v>
      </c>
      <c r="B3803" t="str">
        <f>"1552382686243755"</f>
        <v>1552382686243755</v>
      </c>
      <c r="C3803" t="s">
        <v>40</v>
      </c>
      <c r="D3803">
        <v>3.897875</v>
      </c>
      <c r="E3803">
        <v>0.5740381</v>
      </c>
      <c r="F3803" t="s">
        <v>46</v>
      </c>
      <c r="G3803">
        <v>-196.0728</v>
      </c>
      <c r="H3803" s="1">
        <v>3.662459E-6</v>
      </c>
      <c r="I3803">
        <v>208.34010000000001</v>
      </c>
      <c r="J3803">
        <v>-207.20920000000001</v>
      </c>
      <c r="K3803">
        <v>1.1027400000000001</v>
      </c>
      <c r="L3803">
        <v>215.0915</v>
      </c>
      <c r="M3803">
        <v>0.99377919999999997</v>
      </c>
      <c r="N3803">
        <v>0</v>
      </c>
      <c r="O3803">
        <v>-0.1102746</v>
      </c>
      <c r="P3803">
        <v>0.92662100000000003</v>
      </c>
      <c r="Q3803">
        <v>0.15749850000000001</v>
      </c>
      <c r="R3803">
        <v>-0.34142040000000001</v>
      </c>
      <c r="S3803">
        <v>2.7007140000000001</v>
      </c>
      <c r="T3803">
        <v>-0.25795899999999999</v>
      </c>
      <c r="U3803">
        <v>-1.590271</v>
      </c>
      <c r="V3803">
        <v>0.24022099999999999</v>
      </c>
      <c r="W3803">
        <v>0.16809370000000001</v>
      </c>
      <c r="X3803">
        <v>0.95605359999999995</v>
      </c>
      <c r="Y3803">
        <v>0.40827859999999999</v>
      </c>
      <c r="Z3803">
        <v>-8.3701419999999901E-3</v>
      </c>
      <c r="AA3803">
        <v>0.91281900000000005</v>
      </c>
      <c r="AB3803">
        <v>41</v>
      </c>
      <c r="AC3803">
        <v>11.1364</v>
      </c>
      <c r="AD3803">
        <v>-1.102736337541</v>
      </c>
      <c r="AE3803">
        <v>-6.7513999999999896</v>
      </c>
      <c r="AF3803">
        <v>5.4429775170949597</v>
      </c>
      <c r="AG3803">
        <v>-1.102736337541</v>
      </c>
      <c r="AH3803">
        <v>11.728966557335999</v>
      </c>
      <c r="AI3803">
        <v>94.874538749802795</v>
      </c>
      <c r="AJ3803">
        <v>65.105737376163205</v>
      </c>
      <c r="AK3803">
        <v>12.977314367188701</v>
      </c>
      <c r="AL3803">
        <v>80.322999317153702</v>
      </c>
      <c r="AM3803">
        <v>75.895663088379294</v>
      </c>
      <c r="AN3803">
        <v>1.0000000534468201</v>
      </c>
    </row>
    <row r="3804" spans="1:40" x14ac:dyDescent="0.25">
      <c r="A3804" t="str">
        <f>"20190312172446274"</f>
        <v>20190312172446274</v>
      </c>
      <c r="B3804" t="str">
        <f>"1552382686264251"</f>
        <v>1552382686264251</v>
      </c>
      <c r="C3804" t="s">
        <v>40</v>
      </c>
      <c r="D3804">
        <v>3.875353</v>
      </c>
      <c r="E3804">
        <v>0.57399009999999995</v>
      </c>
      <c r="F3804" t="s">
        <v>46</v>
      </c>
      <c r="G3804">
        <v>-195.69280000000001</v>
      </c>
      <c r="H3804" s="1">
        <v>3.7821230000000002E-6</v>
      </c>
      <c r="I3804">
        <v>208.14269999999999</v>
      </c>
      <c r="J3804">
        <v>-206.80099999999999</v>
      </c>
      <c r="K3804">
        <v>1.1024510000000001</v>
      </c>
      <c r="L3804">
        <v>215.0403</v>
      </c>
      <c r="M3804">
        <v>0.99291119999999999</v>
      </c>
      <c r="N3804">
        <v>0</v>
      </c>
      <c r="O3804">
        <v>-0.11783109999999999</v>
      </c>
      <c r="P3804">
        <v>0.92301540000000004</v>
      </c>
      <c r="Q3804">
        <v>0.15865670000000001</v>
      </c>
      <c r="R3804">
        <v>-0.35052919999999999</v>
      </c>
      <c r="S3804">
        <v>2.6844790000000001</v>
      </c>
      <c r="T3804">
        <v>-0.25704769999999999</v>
      </c>
      <c r="U3804">
        <v>-1.619766</v>
      </c>
      <c r="V3804">
        <v>0.24253</v>
      </c>
      <c r="W3804">
        <v>0.16905300000000001</v>
      </c>
      <c r="X3804">
        <v>0.95530119999999996</v>
      </c>
      <c r="Y3804">
        <v>0.41115429999999997</v>
      </c>
      <c r="Z3804">
        <v>-7.8377619999999999E-3</v>
      </c>
      <c r="AA3804">
        <v>0.91153209999999996</v>
      </c>
      <c r="AB3804">
        <v>41</v>
      </c>
      <c r="AC3804">
        <v>11.108199999999901</v>
      </c>
      <c r="AD3804">
        <v>-1.102447217877</v>
      </c>
      <c r="AE3804">
        <v>-6.8976000000000104</v>
      </c>
      <c r="AF3804">
        <v>5.5013782049420001</v>
      </c>
      <c r="AG3804">
        <v>-1.102447217877</v>
      </c>
      <c r="AH3804">
        <v>11.760047942109599</v>
      </c>
      <c r="AI3804">
        <v>94.8535289069263</v>
      </c>
      <c r="AJ3804">
        <v>64.929695935410706</v>
      </c>
      <c r="AK3804">
        <v>13.0299378211384</v>
      </c>
      <c r="AL3804">
        <v>80.267237443299805</v>
      </c>
      <c r="AM3804">
        <v>75.754822884632404</v>
      </c>
      <c r="AN3804">
        <v>1.00000005021521</v>
      </c>
    </row>
    <row r="3805" spans="1:40" x14ac:dyDescent="0.25">
      <c r="A3805" t="str">
        <f>"20190312172446297"</f>
        <v>20190312172446297</v>
      </c>
      <c r="B3805" t="str">
        <f>"1552382686294507"</f>
        <v>1552382686294507</v>
      </c>
      <c r="C3805" t="s">
        <v>40</v>
      </c>
      <c r="D3805">
        <v>3.8456860000000002</v>
      </c>
      <c r="E3805">
        <v>0.57385209999999998</v>
      </c>
      <c r="F3805" t="s">
        <v>46</v>
      </c>
      <c r="G3805">
        <v>-195.274</v>
      </c>
      <c r="H3805" s="1">
        <v>3.9118319999999996E-6</v>
      </c>
      <c r="I3805">
        <v>207.93340000000001</v>
      </c>
      <c r="J3805">
        <v>-206.38329999999999</v>
      </c>
      <c r="K3805">
        <v>1.1021399999999999</v>
      </c>
      <c r="L3805">
        <v>214.9845</v>
      </c>
      <c r="M3805">
        <v>0.99192349999999996</v>
      </c>
      <c r="N3805">
        <v>0</v>
      </c>
      <c r="O3805">
        <v>-0.12587110000000001</v>
      </c>
      <c r="P3805">
        <v>0.91936929999999994</v>
      </c>
      <c r="Q3805">
        <v>0.1590945</v>
      </c>
      <c r="R3805">
        <v>-0.3597899</v>
      </c>
      <c r="S3805">
        <v>2.6691280000000002</v>
      </c>
      <c r="T3805">
        <v>-0.25527640000000001</v>
      </c>
      <c r="U3805">
        <v>-1.6456299999999999</v>
      </c>
      <c r="V3805">
        <v>0.24454149999999999</v>
      </c>
      <c r="W3805">
        <v>0.16928940000000001</v>
      </c>
      <c r="X3805">
        <v>0.95474630000000005</v>
      </c>
      <c r="Y3805">
        <v>0.41254750000000001</v>
      </c>
      <c r="Z3805">
        <v>-7.1765630000000004E-3</v>
      </c>
      <c r="AA3805">
        <v>0.91090780000000005</v>
      </c>
      <c r="AB3805">
        <v>41</v>
      </c>
      <c r="AC3805">
        <v>11.1092999999999</v>
      </c>
      <c r="AD3805">
        <v>-1.10213608816799</v>
      </c>
      <c r="AE3805">
        <v>-7.0510999999999902</v>
      </c>
      <c r="AF3805">
        <v>5.5575042651968296</v>
      </c>
      <c r="AG3805">
        <v>-1.10213608816799</v>
      </c>
      <c r="AH3805">
        <v>11.825591991887899</v>
      </c>
      <c r="AI3805">
        <v>94.821426183366398</v>
      </c>
      <c r="AJ3805">
        <v>64.828554857557407</v>
      </c>
      <c r="AK3805">
        <v>13.112787025385799</v>
      </c>
      <c r="AL3805">
        <v>80.253493870272194</v>
      </c>
      <c r="AM3805">
        <v>75.633542112543495</v>
      </c>
      <c r="AN3805">
        <v>0.99999997176914901</v>
      </c>
    </row>
    <row r="3806" spans="1:40" x14ac:dyDescent="0.25">
      <c r="A3806" t="str">
        <f>"20190312172446319"</f>
        <v>20190312172446319</v>
      </c>
      <c r="B3806" t="str">
        <f>"1552382686314026"</f>
        <v>1552382686314026</v>
      </c>
      <c r="C3806" t="s">
        <v>40</v>
      </c>
      <c r="D3806">
        <v>3.9263400000000002</v>
      </c>
      <c r="E3806">
        <v>0.57350179999999995</v>
      </c>
      <c r="F3806" t="s">
        <v>46</v>
      </c>
      <c r="G3806">
        <v>-194.99430000000001</v>
      </c>
      <c r="H3806" s="1">
        <v>3.9941140000000004E-6</v>
      </c>
      <c r="I3806">
        <v>207.81010000000001</v>
      </c>
      <c r="J3806">
        <v>-205.97139999999999</v>
      </c>
      <c r="K3806">
        <v>1.1018250000000001</v>
      </c>
      <c r="L3806">
        <v>214.92590000000001</v>
      </c>
      <c r="M3806">
        <v>0.99084179999999999</v>
      </c>
      <c r="N3806">
        <v>0</v>
      </c>
      <c r="O3806">
        <v>-0.1341195</v>
      </c>
      <c r="P3806">
        <v>0.91551830000000001</v>
      </c>
      <c r="Q3806">
        <v>0.160131</v>
      </c>
      <c r="R3806">
        <v>-0.36903259999999899</v>
      </c>
      <c r="S3806">
        <v>2.6534270000000002</v>
      </c>
      <c r="T3806">
        <v>-0.25677759999999999</v>
      </c>
      <c r="U3806">
        <v>-1.6715089999999999</v>
      </c>
      <c r="V3806">
        <v>0.2463941</v>
      </c>
      <c r="W3806">
        <v>0.17012070000000001</v>
      </c>
      <c r="X3806">
        <v>0.95412209999999997</v>
      </c>
      <c r="Y3806">
        <v>0.41377350000000002</v>
      </c>
      <c r="Z3806">
        <v>-6.5813209999999898E-3</v>
      </c>
      <c r="AA3806">
        <v>0.9103561</v>
      </c>
      <c r="AB3806">
        <v>41</v>
      </c>
      <c r="AC3806">
        <v>10.977099999999901</v>
      </c>
      <c r="AD3806">
        <v>-1.1018210058859901</v>
      </c>
      <c r="AE3806">
        <v>-7.1158000000000001</v>
      </c>
      <c r="AF3806">
        <v>5.5397716991891697</v>
      </c>
      <c r="AG3806">
        <v>-1.1018210058859901</v>
      </c>
      <c r="AH3806">
        <v>11.7490356588682</v>
      </c>
      <c r="AI3806">
        <v>94.848423823518004</v>
      </c>
      <c r="AJ3806">
        <v>64.755717938288996</v>
      </c>
      <c r="AK3806">
        <v>13.0362156671906</v>
      </c>
      <c r="AL3806">
        <v>80.205163547844094</v>
      </c>
      <c r="AM3806">
        <v>75.520189032153198</v>
      </c>
      <c r="AN3806">
        <v>1.00000004339585</v>
      </c>
    </row>
    <row r="3807" spans="1:40" x14ac:dyDescent="0.25">
      <c r="A3807" t="str">
        <f>"20190312172446343"</f>
        <v>20190312172446343</v>
      </c>
      <c r="B3807" t="str">
        <f>"1552382686334523"</f>
        <v>1552382686334523</v>
      </c>
      <c r="C3807" t="s">
        <v>40</v>
      </c>
      <c r="D3807">
        <v>3.9001410000000001</v>
      </c>
      <c r="E3807">
        <v>0.5728896</v>
      </c>
      <c r="F3807" t="s">
        <v>46</v>
      </c>
      <c r="G3807">
        <v>-194.58150000000001</v>
      </c>
      <c r="H3807" s="1">
        <v>4.1225290000000001E-6</v>
      </c>
      <c r="I3807">
        <v>207.60169999999999</v>
      </c>
      <c r="J3807">
        <v>-205.5462</v>
      </c>
      <c r="K3807">
        <v>1.1014820000000001</v>
      </c>
      <c r="L3807">
        <v>214.8613</v>
      </c>
      <c r="M3807">
        <v>0.98959810000000004</v>
      </c>
      <c r="N3807">
        <v>0</v>
      </c>
      <c r="O3807">
        <v>-0.14300199999999999</v>
      </c>
      <c r="P3807">
        <v>0.91147750000000005</v>
      </c>
      <c r="Q3807">
        <v>0.16033900000000001</v>
      </c>
      <c r="R3807">
        <v>-0.37881399999999998</v>
      </c>
      <c r="S3807">
        <v>2.637756</v>
      </c>
      <c r="T3807">
        <v>-0.25516650000000002</v>
      </c>
      <c r="U3807">
        <v>-1.6961820000000001</v>
      </c>
      <c r="V3807">
        <v>0.24820600000000001</v>
      </c>
      <c r="W3807">
        <v>0.1701136</v>
      </c>
      <c r="X3807">
        <v>0.95365359999999999</v>
      </c>
      <c r="Y3807">
        <v>0.41413240000000001</v>
      </c>
      <c r="Z3807">
        <v>-5.8130059999999999E-3</v>
      </c>
      <c r="AA3807">
        <v>0.91019810000000001</v>
      </c>
      <c r="AB3807">
        <v>41</v>
      </c>
      <c r="AC3807">
        <v>10.964699999999899</v>
      </c>
      <c r="AD3807">
        <v>-1.1014778774709999</v>
      </c>
      <c r="AE3807">
        <v>-7.2595999999999998</v>
      </c>
      <c r="AF3807">
        <v>5.5776703391600497</v>
      </c>
      <c r="AG3807">
        <v>-1.1014778774709999</v>
      </c>
      <c r="AH3807">
        <v>11.807405497974001</v>
      </c>
      <c r="AI3807">
        <v>94.821445661802898</v>
      </c>
      <c r="AJ3807">
        <v>64.714536883014205</v>
      </c>
      <c r="AK3807">
        <v>13.104903071770099</v>
      </c>
      <c r="AL3807">
        <v>80.205576154186105</v>
      </c>
      <c r="AM3807">
        <v>75.4113744804216</v>
      </c>
      <c r="AN3807">
        <v>1.00000002206695</v>
      </c>
    </row>
    <row r="3808" spans="1:40" x14ac:dyDescent="0.25">
      <c r="A3808" t="str">
        <f>"20190312172446364"</f>
        <v>20190312172446364</v>
      </c>
      <c r="B3808" t="str">
        <f>"1552382686354044"</f>
        <v>1552382686354044</v>
      </c>
      <c r="C3808" t="s">
        <v>40</v>
      </c>
      <c r="D3808">
        <v>3.9266779999999999</v>
      </c>
      <c r="E3808">
        <v>0.57248379999999999</v>
      </c>
      <c r="F3808" t="s">
        <v>46</v>
      </c>
      <c r="G3808">
        <v>-194.27699999999999</v>
      </c>
      <c r="H3808" s="1">
        <v>4.2130449999999999E-6</v>
      </c>
      <c r="I3808">
        <v>207.46379999999999</v>
      </c>
      <c r="J3808">
        <v>-205.15209999999999</v>
      </c>
      <c r="K3808">
        <v>1.101151</v>
      </c>
      <c r="L3808">
        <v>214.79759999999999</v>
      </c>
      <c r="M3808">
        <v>0.9883208</v>
      </c>
      <c r="N3808">
        <v>0</v>
      </c>
      <c r="O3808">
        <v>-0.1515754</v>
      </c>
      <c r="P3808">
        <v>0.90697090000000002</v>
      </c>
      <c r="Q3808">
        <v>0.160579799999999</v>
      </c>
      <c r="R3808">
        <v>-0.38938159999999999</v>
      </c>
      <c r="S3808">
        <v>2.6213069999999998</v>
      </c>
      <c r="T3808">
        <v>-0.25621310000000003</v>
      </c>
      <c r="U3808">
        <v>-1.720718</v>
      </c>
      <c r="V3808">
        <v>0.25117399999999901</v>
      </c>
      <c r="W3808">
        <v>0.1701174</v>
      </c>
      <c r="X3808">
        <v>0.95287549999999999</v>
      </c>
      <c r="Y3808">
        <v>0.41483379999999997</v>
      </c>
      <c r="Z3808">
        <v>-5.1479200000000003E-3</v>
      </c>
      <c r="AA3808">
        <v>0.90988259999999999</v>
      </c>
      <c r="AB3808">
        <v>41</v>
      </c>
      <c r="AC3808">
        <v>10.8750999999999</v>
      </c>
      <c r="AD3808">
        <v>-1.101146786955</v>
      </c>
      <c r="AE3808">
        <v>-7.3337999999999903</v>
      </c>
      <c r="AF3808">
        <v>5.56124844484658</v>
      </c>
      <c r="AG3808">
        <v>-1.101146786955</v>
      </c>
      <c r="AH3808">
        <v>11.778169908079899</v>
      </c>
      <c r="AI3808">
        <v>94.832322522871493</v>
      </c>
      <c r="AJ3808">
        <v>64.724923411432997</v>
      </c>
      <c r="AK3808">
        <v>13.071545237474</v>
      </c>
      <c r="AL3808">
        <v>80.205355122853604</v>
      </c>
      <c r="AM3808">
        <v>75.232973438062999</v>
      </c>
      <c r="AN3808">
        <v>1.0000000132794999</v>
      </c>
    </row>
    <row r="3809" spans="1:40" x14ac:dyDescent="0.25">
      <c r="A3809" t="str">
        <f>"20190312172446386"</f>
        <v>20190312172446386</v>
      </c>
      <c r="B3809" t="str">
        <f>"1552382686384299"</f>
        <v>1552382686384299</v>
      </c>
      <c r="C3809" t="s">
        <v>40</v>
      </c>
      <c r="D3809">
        <v>3.9157470000000001</v>
      </c>
      <c r="E3809">
        <v>0.571945699999999</v>
      </c>
      <c r="F3809" t="s">
        <v>46</v>
      </c>
      <c r="G3809">
        <v>-194.0752</v>
      </c>
      <c r="H3809" s="1">
        <v>4.2954880000000003E-6</v>
      </c>
      <c r="I3809">
        <v>207.3554</v>
      </c>
      <c r="J3809">
        <v>-204.755</v>
      </c>
      <c r="K3809">
        <v>1.1008290000000001</v>
      </c>
      <c r="L3809">
        <v>214.72970000000001</v>
      </c>
      <c r="M3809">
        <v>0.98690829999999996</v>
      </c>
      <c r="N3809">
        <v>0</v>
      </c>
      <c r="O3809">
        <v>-0.16051179999999901</v>
      </c>
      <c r="P3809">
        <v>0.9023584</v>
      </c>
      <c r="Q3809">
        <v>0.16103799999999999</v>
      </c>
      <c r="R3809">
        <v>-0.39977059999999998</v>
      </c>
      <c r="S3809">
        <v>2.6027830000000001</v>
      </c>
      <c r="T3809">
        <v>-0.25873950000000001</v>
      </c>
      <c r="U3809">
        <v>-1.748718</v>
      </c>
      <c r="V3809">
        <v>0.25365339999999997</v>
      </c>
      <c r="W3809">
        <v>0.1703537</v>
      </c>
      <c r="X3809">
        <v>0.95217620000000003</v>
      </c>
      <c r="Y3809">
        <v>0.41635030000000001</v>
      </c>
      <c r="Z3809">
        <v>-4.5077839999999999E-3</v>
      </c>
      <c r="AA3809">
        <v>0.90919309999999998</v>
      </c>
      <c r="AB3809">
        <v>41</v>
      </c>
      <c r="AC3809">
        <v>10.6798</v>
      </c>
      <c r="AD3809">
        <v>-1.1008247045119901</v>
      </c>
      <c r="AE3809">
        <v>-7.3742999999999999</v>
      </c>
      <c r="AF3809">
        <v>5.5244685860870302</v>
      </c>
      <c r="AG3809">
        <v>-1.1008247045119901</v>
      </c>
      <c r="AH3809">
        <v>11.6413466376084</v>
      </c>
      <c r="AI3809">
        <v>94.882927825988702</v>
      </c>
      <c r="AJ3809">
        <v>64.613050944241195</v>
      </c>
      <c r="AK3809">
        <v>12.9326145742337</v>
      </c>
      <c r="AL3809">
        <v>80.191615182079104</v>
      </c>
      <c r="AM3809">
        <v>75.083204480180399</v>
      </c>
      <c r="AN3809">
        <v>0.99999997314084399</v>
      </c>
    </row>
    <row r="3810" spans="1:40" x14ac:dyDescent="0.25">
      <c r="A3810" t="str">
        <f>"20190312172446408"</f>
        <v>20190312172446408</v>
      </c>
      <c r="B3810" t="str">
        <f>"1552382686403819"</f>
        <v>1552382686403819</v>
      </c>
      <c r="C3810" t="s">
        <v>40</v>
      </c>
      <c r="D3810">
        <v>3.9034599999999999</v>
      </c>
      <c r="E3810">
        <v>0.57163319999999995</v>
      </c>
      <c r="F3810" t="s">
        <v>46</v>
      </c>
      <c r="G3810">
        <v>-193.87540000000001</v>
      </c>
      <c r="H3810" s="1">
        <v>4.3731709999999997E-6</v>
      </c>
      <c r="I3810">
        <v>207.26089999999999</v>
      </c>
      <c r="J3810">
        <v>-204.3597</v>
      </c>
      <c r="K3810">
        <v>1.100517</v>
      </c>
      <c r="L3810">
        <v>214.6583</v>
      </c>
      <c r="M3810">
        <v>0.98536780000000002</v>
      </c>
      <c r="N3810">
        <v>0</v>
      </c>
      <c r="O3810">
        <v>-0.16970859999999999</v>
      </c>
      <c r="P3810">
        <v>0.89786840000000001</v>
      </c>
      <c r="Q3810">
        <v>0.16046369999999999</v>
      </c>
      <c r="R3810">
        <v>-0.40998059999999997</v>
      </c>
      <c r="S3810">
        <v>2.5850979999999999</v>
      </c>
      <c r="T3810">
        <v>-0.26156659999999998</v>
      </c>
      <c r="U3810">
        <v>-1.7746580000000001</v>
      </c>
      <c r="V3810">
        <v>0.25567590000000001</v>
      </c>
      <c r="W3810">
        <v>0.16957329999999901</v>
      </c>
      <c r="X3810">
        <v>0.95177449999999997</v>
      </c>
      <c r="Y3810">
        <v>0.41698499999999999</v>
      </c>
      <c r="Z3810">
        <v>-3.7929190000000001E-3</v>
      </c>
      <c r="AA3810">
        <v>0.90890539999999997</v>
      </c>
      <c r="AB3810">
        <v>41</v>
      </c>
      <c r="AC3810">
        <v>10.4842999999999</v>
      </c>
      <c r="AD3810">
        <v>-1.100512626829</v>
      </c>
      <c r="AE3810">
        <v>-7.3974000000000002</v>
      </c>
      <c r="AF3810">
        <v>5.4703303499604701</v>
      </c>
      <c r="AG3810">
        <v>-1.100512626829</v>
      </c>
      <c r="AH3810">
        <v>11.5031200508766</v>
      </c>
      <c r="AI3810">
        <v>94.938023220222306</v>
      </c>
      <c r="AJ3810">
        <v>64.566488070903404</v>
      </c>
      <c r="AK3810">
        <v>12.7850464639119</v>
      </c>
      <c r="AL3810">
        <v>80.236989094295396</v>
      </c>
      <c r="AM3810">
        <v>74.963571593193606</v>
      </c>
      <c r="AN3810">
        <v>0.99999998438197402</v>
      </c>
    </row>
    <row r="3811" spans="1:40" x14ac:dyDescent="0.25">
      <c r="A3811" t="str">
        <f>"20190312172446431"</f>
        <v>20190312172446431</v>
      </c>
      <c r="B3811" t="str">
        <f>"1552382686424315"</f>
        <v>1552382686424315</v>
      </c>
      <c r="C3811" t="s">
        <v>40</v>
      </c>
      <c r="D3811">
        <v>3.8512759999999999</v>
      </c>
      <c r="E3811">
        <v>0.57144229999999996</v>
      </c>
      <c r="F3811" t="s">
        <v>46</v>
      </c>
      <c r="G3811">
        <v>-193.73439999999999</v>
      </c>
      <c r="H3811" s="1">
        <v>4.4270110000000002E-6</v>
      </c>
      <c r="I3811">
        <v>207.19710000000001</v>
      </c>
      <c r="J3811">
        <v>-203.941</v>
      </c>
      <c r="K3811">
        <v>1.1001829999999999</v>
      </c>
      <c r="L3811">
        <v>214.57830000000001</v>
      </c>
      <c r="M3811">
        <v>0.98357740000000005</v>
      </c>
      <c r="N3811">
        <v>0</v>
      </c>
      <c r="O3811">
        <v>-0.17979220000000001</v>
      </c>
      <c r="P3811">
        <v>0.89289699999999905</v>
      </c>
      <c r="Q3811">
        <v>0.16034880000000001</v>
      </c>
      <c r="R3811">
        <v>-0.42074149999999999</v>
      </c>
      <c r="S3811">
        <v>2.565979</v>
      </c>
      <c r="T3811">
        <v>-0.26577129999999999</v>
      </c>
      <c r="U3811">
        <v>-1.801865</v>
      </c>
      <c r="V3811">
        <v>0.2574979</v>
      </c>
      <c r="W3811">
        <v>0.169244799999999</v>
      </c>
      <c r="X3811">
        <v>0.95134169999999996</v>
      </c>
      <c r="Y3811">
        <v>0.41732190000000002</v>
      </c>
      <c r="Z3811">
        <v>-2.9835399999999998E-3</v>
      </c>
      <c r="AA3811">
        <v>0.90875379999999994</v>
      </c>
      <c r="AB3811">
        <v>41</v>
      </c>
      <c r="AC3811">
        <v>10.2065999999999</v>
      </c>
      <c r="AD3811">
        <v>-1.1001785729889999</v>
      </c>
      <c r="AE3811">
        <v>-7.3811999999999998</v>
      </c>
      <c r="AF3811">
        <v>5.3845149208419301</v>
      </c>
      <c r="AG3811">
        <v>-1.1001785729889999</v>
      </c>
      <c r="AH3811">
        <v>11.2814198319206</v>
      </c>
      <c r="AI3811">
        <v>95.029670697730694</v>
      </c>
      <c r="AJ3811">
        <v>64.485298509520206</v>
      </c>
      <c r="AK3811">
        <v>12.548857607339601</v>
      </c>
      <c r="AL3811">
        <v>80.256086958371995</v>
      </c>
      <c r="AM3811">
        <v>74.854749737989707</v>
      </c>
      <c r="AN3811">
        <v>1.0000000004951699</v>
      </c>
    </row>
    <row r="3812" spans="1:40" x14ac:dyDescent="0.25">
      <c r="A3812" t="str">
        <f>"20190312172446453"</f>
        <v>20190312172446453</v>
      </c>
      <c r="B3812" t="str">
        <f>"1552382686443835"</f>
        <v>1552382686443835</v>
      </c>
      <c r="C3812" t="s">
        <v>40</v>
      </c>
      <c r="D3812">
        <v>3.8831479999999998</v>
      </c>
      <c r="E3812">
        <v>0.57131089999999995</v>
      </c>
      <c r="F3812" t="s">
        <v>46</v>
      </c>
      <c r="G3812">
        <v>-193.50190000000001</v>
      </c>
      <c r="H3812" s="1">
        <v>4.5249660000000002E-6</v>
      </c>
      <c r="I3812">
        <v>207.0658</v>
      </c>
      <c r="J3812">
        <v>-203.54140000000001</v>
      </c>
      <c r="K3812">
        <v>1.09986299999999</v>
      </c>
      <c r="L3812">
        <v>214.49760000000001</v>
      </c>
      <c r="M3812">
        <v>0.98170400000000002</v>
      </c>
      <c r="N3812">
        <v>0</v>
      </c>
      <c r="O3812">
        <v>-0.1897519</v>
      </c>
      <c r="P3812">
        <v>0.88766250000000002</v>
      </c>
      <c r="Q3812">
        <v>0.16033220000000001</v>
      </c>
      <c r="R3812">
        <v>-0.43168200000000001</v>
      </c>
      <c r="S3812">
        <v>2.545013</v>
      </c>
      <c r="T3812">
        <v>-0.2682196</v>
      </c>
      <c r="U3812">
        <v>-1.831512</v>
      </c>
      <c r="V3812">
        <v>0.25967960000000001</v>
      </c>
      <c r="W3812">
        <v>0.16900789999999999</v>
      </c>
      <c r="X3812">
        <v>0.95079060000000004</v>
      </c>
      <c r="Y3812">
        <v>0.41865049999999998</v>
      </c>
      <c r="Z3812">
        <v>-2.1894499999999999E-3</v>
      </c>
      <c r="AA3812">
        <v>0.90814479999999997</v>
      </c>
      <c r="AB3812">
        <v>41</v>
      </c>
      <c r="AC3812">
        <v>10.0395</v>
      </c>
      <c r="AD3812">
        <v>-1.0998584750339999</v>
      </c>
      <c r="AE3812">
        <v>-7.4318000000000097</v>
      </c>
      <c r="AF3812">
        <v>5.3500115016037402</v>
      </c>
      <c r="AG3812">
        <v>-1.0998584750339999</v>
      </c>
      <c r="AH3812">
        <v>11.180745060534999</v>
      </c>
      <c r="AI3812">
        <v>95.070876609146694</v>
      </c>
      <c r="AJ3812">
        <v>64.428781022586406</v>
      </c>
      <c r="AK3812">
        <v>12.443527307041</v>
      </c>
      <c r="AL3812">
        <v>80.2698583704573</v>
      </c>
      <c r="AM3812">
        <v>74.723958005803496</v>
      </c>
      <c r="AN3812">
        <v>0.999999964983464</v>
      </c>
    </row>
    <row r="3813" spans="1:40" x14ac:dyDescent="0.25">
      <c r="A3813" t="str">
        <f>"20190312172446486"</f>
        <v>20190312172446486</v>
      </c>
      <c r="B3813" t="str">
        <f>"1552382686483851"</f>
        <v>1552382686483851</v>
      </c>
      <c r="C3813" t="s">
        <v>40</v>
      </c>
      <c r="D3813">
        <v>3.9120919999999999</v>
      </c>
      <c r="E3813">
        <v>0.57087739999999998</v>
      </c>
      <c r="F3813" t="s">
        <v>46</v>
      </c>
      <c r="G3813">
        <v>-193.29640000000001</v>
      </c>
      <c r="H3813" s="1">
        <v>4.6141990000000004E-6</v>
      </c>
      <c r="I3813">
        <v>206.94229999999999</v>
      </c>
      <c r="J3813">
        <v>-202.94380000000001</v>
      </c>
      <c r="K3813">
        <v>1.0993660000000001</v>
      </c>
      <c r="L3813">
        <v>214.36869999999999</v>
      </c>
      <c r="M3813">
        <v>0.97857380000000005</v>
      </c>
      <c r="N3813">
        <v>0</v>
      </c>
      <c r="O3813">
        <v>-0.20528009999999999</v>
      </c>
      <c r="P3813">
        <v>0.87949189999999999</v>
      </c>
      <c r="Q3813">
        <v>0.1611794</v>
      </c>
      <c r="R3813">
        <v>-0.44778950000000001</v>
      </c>
      <c r="S3813">
        <v>2.5235439999999998</v>
      </c>
      <c r="T3813">
        <v>-0.2709183</v>
      </c>
      <c r="U3813">
        <v>-1.861038</v>
      </c>
      <c r="V3813">
        <v>0.26220650000000001</v>
      </c>
      <c r="W3813">
        <v>0.1695352</v>
      </c>
      <c r="X3813">
        <v>0.95000289999999998</v>
      </c>
      <c r="Y3813">
        <v>0.41488809999999898</v>
      </c>
      <c r="Z3813">
        <v>-6.2959449999999998E-4</v>
      </c>
      <c r="AA3813">
        <v>0.90987220000000002</v>
      </c>
      <c r="AB3813">
        <v>41</v>
      </c>
      <c r="AC3813">
        <v>9.6473999999999993</v>
      </c>
      <c r="AD3813">
        <v>-1.0993613858010001</v>
      </c>
      <c r="AE3813">
        <v>-7.4264000000000001</v>
      </c>
      <c r="AF3813">
        <v>5.24476611861144</v>
      </c>
      <c r="AG3813">
        <v>-1.0993613858010001</v>
      </c>
      <c r="AH3813">
        <v>10.8778778787887</v>
      </c>
      <c r="AI3813">
        <v>95.201583870270696</v>
      </c>
      <c r="AJ3813">
        <v>64.258971122901997</v>
      </c>
      <c r="AK3813">
        <v>12.1261863024351</v>
      </c>
      <c r="AL3813">
        <v>80.239204006932994</v>
      </c>
      <c r="AM3813">
        <v>74.570175534490701</v>
      </c>
      <c r="AN3813">
        <v>0.99999997134484897</v>
      </c>
    </row>
    <row r="3814" spans="1:40" x14ac:dyDescent="0.25">
      <c r="A3814" t="str">
        <f>"20190312172446510"</f>
        <v>20190312172446510</v>
      </c>
      <c r="B3814" t="str">
        <f>"1552382686504350"</f>
        <v>1552382686504350</v>
      </c>
      <c r="C3814" t="s">
        <v>40</v>
      </c>
      <c r="D3814">
        <v>3.9631759999999998</v>
      </c>
      <c r="E3814">
        <v>0.56400879999999998</v>
      </c>
      <c r="F3814" t="s">
        <v>46</v>
      </c>
      <c r="G3814">
        <v>-192.88050000000001</v>
      </c>
      <c r="H3814" s="1">
        <v>4.799042E-6</v>
      </c>
      <c r="I3814">
        <v>206.68029999999999</v>
      </c>
      <c r="J3814">
        <v>-202.5301</v>
      </c>
      <c r="K3814">
        <v>1.0990230000000001</v>
      </c>
      <c r="L3814">
        <v>214.27330000000001</v>
      </c>
      <c r="M3814">
        <v>0.97615390000000002</v>
      </c>
      <c r="N3814">
        <v>0</v>
      </c>
      <c r="O3814">
        <v>-0.21649119999999999</v>
      </c>
      <c r="P3814">
        <v>0.87346109999999899</v>
      </c>
      <c r="Q3814">
        <v>0.16178679999999901</v>
      </c>
      <c r="R3814">
        <v>-0.45922869999999999</v>
      </c>
      <c r="S3814">
        <v>2.4916839999999998</v>
      </c>
      <c r="T3814">
        <v>-0.27220139999999998</v>
      </c>
      <c r="U3814">
        <v>-1.903656</v>
      </c>
      <c r="V3814">
        <v>0.26389269999999998</v>
      </c>
      <c r="W3814">
        <v>0.1699224</v>
      </c>
      <c r="X3814">
        <v>0.9494667</v>
      </c>
      <c r="Y3814">
        <v>0.41989939999999998</v>
      </c>
      <c r="Z3814">
        <v>1.40192E-4</v>
      </c>
      <c r="AA3814">
        <v>0.90757069999999995</v>
      </c>
      <c r="AB3814">
        <v>41</v>
      </c>
      <c r="AC3814">
        <v>9.6495999999999906</v>
      </c>
      <c r="AD3814">
        <v>-1.0990182009579901</v>
      </c>
      <c r="AE3814">
        <v>-7.5930000000000097</v>
      </c>
      <c r="AF3814">
        <v>5.28125285943407</v>
      </c>
      <c r="AG3814">
        <v>-1.0990182009579901</v>
      </c>
      <c r="AH3814">
        <v>10.9767862905732</v>
      </c>
      <c r="AI3814">
        <v>95.155412485083701</v>
      </c>
      <c r="AJ3814">
        <v>64.306432204375298</v>
      </c>
      <c r="AK3814">
        <v>12.2306708744955</v>
      </c>
      <c r="AL3814">
        <v>80.216692707107399</v>
      </c>
      <c r="AM3814">
        <v>74.467376735879597</v>
      </c>
      <c r="AN3814">
        <v>0.99999999677197005</v>
      </c>
    </row>
    <row r="3815" spans="1:40" x14ac:dyDescent="0.25">
      <c r="A3815" t="str">
        <f>"20190312172446531"</f>
        <v>20190312172446531</v>
      </c>
      <c r="B3815" t="str">
        <f>"1552382686523867"</f>
        <v>1552382686523867</v>
      </c>
      <c r="C3815" t="s">
        <v>40</v>
      </c>
      <c r="D3815">
        <v>3.9098600000000001</v>
      </c>
      <c r="E3815">
        <v>0.56340119999999905</v>
      </c>
      <c r="F3815" t="s">
        <v>46</v>
      </c>
      <c r="G3815">
        <v>-193.6557</v>
      </c>
      <c r="H3815" s="1">
        <v>4.3178060000000001E-6</v>
      </c>
      <c r="I3815">
        <v>207.55539999999999</v>
      </c>
      <c r="J3815">
        <v>-202.13650000000001</v>
      </c>
      <c r="K3815">
        <v>1.0986990000000001</v>
      </c>
      <c r="L3815">
        <v>214.17769999999999</v>
      </c>
      <c r="M3815">
        <v>0.97365270000000004</v>
      </c>
      <c r="N3815">
        <v>0</v>
      </c>
      <c r="O3815">
        <v>-0.2274726</v>
      </c>
      <c r="P3815">
        <v>0.86723799999999995</v>
      </c>
      <c r="Q3815">
        <v>0.16220619999999999</v>
      </c>
      <c r="R3815">
        <v>-0.47073100000000001</v>
      </c>
      <c r="S3815">
        <v>2.4977719999999999</v>
      </c>
      <c r="T3815">
        <v>-0.30932720000000002</v>
      </c>
      <c r="U3815">
        <v>-1.890808</v>
      </c>
      <c r="V3815">
        <v>0.26590999999999998</v>
      </c>
      <c r="W3815">
        <v>0.17012260000000001</v>
      </c>
      <c r="X3815">
        <v>0.94886789999999999</v>
      </c>
      <c r="Y3815">
        <v>0.40550150000000001</v>
      </c>
      <c r="Z3815">
        <v>2.0890380000000001E-3</v>
      </c>
      <c r="AA3815">
        <v>0.91409200000000002</v>
      </c>
      <c r="AB3815">
        <v>41</v>
      </c>
      <c r="AC3815">
        <v>8.4808000000000092</v>
      </c>
      <c r="AD3815">
        <v>-1.09869468219399</v>
      </c>
      <c r="AE3815">
        <v>-6.6222999999999903</v>
      </c>
      <c r="AF3815">
        <v>4.47261829795249</v>
      </c>
      <c r="AG3815">
        <v>-1.09869468219399</v>
      </c>
      <c r="AH3815">
        <v>9.6642377138466191</v>
      </c>
      <c r="AI3815">
        <v>95.890548726690994</v>
      </c>
      <c r="AJ3815">
        <v>65.165256074827099</v>
      </c>
      <c r="AK3815">
        <v>10.7055562692275</v>
      </c>
      <c r="AL3815">
        <v>80.205053233732201</v>
      </c>
      <c r="AM3815">
        <v>74.345044497846899</v>
      </c>
      <c r="AN3815">
        <v>1.00000005939058</v>
      </c>
    </row>
    <row r="3816" spans="1:40" x14ac:dyDescent="0.25">
      <c r="A3816" t="str">
        <f>"20190312172446554"</f>
        <v>20190312172446554</v>
      </c>
      <c r="B3816" t="str">
        <f>"1552382686544363"</f>
        <v>1552382686544363</v>
      </c>
      <c r="C3816" t="s">
        <v>40</v>
      </c>
      <c r="D3816">
        <v>3.930215</v>
      </c>
      <c r="E3816">
        <v>0.56284840000000003</v>
      </c>
      <c r="F3816" t="s">
        <v>46</v>
      </c>
      <c r="G3816">
        <v>-193.30619999999999</v>
      </c>
      <c r="H3816" s="1">
        <v>4.4757019999999998E-6</v>
      </c>
      <c r="I3816">
        <v>207.3279</v>
      </c>
      <c r="J3816">
        <v>-201.73949999999999</v>
      </c>
      <c r="K3816">
        <v>1.0983780000000001</v>
      </c>
      <c r="L3816">
        <v>214.07640000000001</v>
      </c>
      <c r="M3816">
        <v>0.97091709999999998</v>
      </c>
      <c r="N3816">
        <v>0</v>
      </c>
      <c r="O3816">
        <v>-0.23887649999999999</v>
      </c>
      <c r="P3816">
        <v>0.86046520000000004</v>
      </c>
      <c r="Q3816">
        <v>0.16319829999999999</v>
      </c>
      <c r="R3816">
        <v>-0.48266599999999998</v>
      </c>
      <c r="S3816">
        <v>2.4748230000000002</v>
      </c>
      <c r="T3816">
        <v>-0.30792459999999899</v>
      </c>
      <c r="U3816">
        <v>-1.9197390000000001</v>
      </c>
      <c r="V3816">
        <v>0.26809850000000002</v>
      </c>
      <c r="W3816">
        <v>0.17088510000000001</v>
      </c>
      <c r="X3816">
        <v>0.94811469999999998</v>
      </c>
      <c r="Y3816">
        <v>0.40561409999999998</v>
      </c>
      <c r="Z3816">
        <v>3.2493380000000001E-3</v>
      </c>
      <c r="AA3816">
        <v>0.91403869999999998</v>
      </c>
      <c r="AB3816">
        <v>41</v>
      </c>
      <c r="AC3816">
        <v>8.4332999999999991</v>
      </c>
      <c r="AD3816">
        <v>-1.0983735242979999</v>
      </c>
      <c r="AE3816">
        <v>-6.7484999999999999</v>
      </c>
      <c r="AF3816">
        <v>4.4918515564208503</v>
      </c>
      <c r="AG3816">
        <v>-1.0983735242979999</v>
      </c>
      <c r="AH3816">
        <v>9.7010380795980495</v>
      </c>
      <c r="AI3816">
        <v>95.866151985903002</v>
      </c>
      <c r="AJ3816">
        <v>65.154545758914594</v>
      </c>
      <c r="AK3816">
        <v>10.746780663324699</v>
      </c>
      <c r="AL3816">
        <v>80.160715420169495</v>
      </c>
      <c r="AM3816">
        <v>74.210682594608798</v>
      </c>
      <c r="AN3816">
        <v>1.00000000373017</v>
      </c>
    </row>
    <row r="3817" spans="1:40" x14ac:dyDescent="0.25">
      <c r="A3817" t="str">
        <f>"20190312172446576"</f>
        <v>20190312172446576</v>
      </c>
      <c r="B3817" t="str">
        <f>"1552382686574620"</f>
        <v>1552382686574620</v>
      </c>
      <c r="C3817" t="s">
        <v>40</v>
      </c>
      <c r="D3817">
        <v>3.9175810000000002</v>
      </c>
      <c r="E3817">
        <v>0.56206909999999999</v>
      </c>
      <c r="F3817" t="s">
        <v>46</v>
      </c>
      <c r="G3817">
        <v>-192.95310000000001</v>
      </c>
      <c r="H3817" s="1">
        <v>4.640674E-6</v>
      </c>
      <c r="I3817">
        <v>207.08269999999999</v>
      </c>
      <c r="J3817">
        <v>-201.3466</v>
      </c>
      <c r="K3817">
        <v>1.098052</v>
      </c>
      <c r="L3817">
        <v>213.97110000000001</v>
      </c>
      <c r="M3817">
        <v>0.96798410000000001</v>
      </c>
      <c r="N3817">
        <v>0</v>
      </c>
      <c r="O3817">
        <v>-0.25049389999999999</v>
      </c>
      <c r="P3817">
        <v>0.85340049999999901</v>
      </c>
      <c r="Q3817">
        <v>0.16375129999999999</v>
      </c>
      <c r="R3817">
        <v>-0.49486730000000001</v>
      </c>
      <c r="S3817">
        <v>2.4504700000000001</v>
      </c>
      <c r="T3817">
        <v>-0.30632809999999999</v>
      </c>
      <c r="U3817">
        <v>-1.950485</v>
      </c>
      <c r="V3817">
        <v>0.27041470000000001</v>
      </c>
      <c r="W3817">
        <v>0.17120369999999999</v>
      </c>
      <c r="X3817">
        <v>0.94739910000000005</v>
      </c>
      <c r="Y3817">
        <v>0.4061652</v>
      </c>
      <c r="Z3817">
        <v>4.3972969999999997E-3</v>
      </c>
      <c r="AA3817">
        <v>0.91378910000000002</v>
      </c>
      <c r="AB3817">
        <v>40</v>
      </c>
      <c r="AC3817">
        <v>8.39349999999998</v>
      </c>
      <c r="AD3817">
        <v>-1.0980473593260001</v>
      </c>
      <c r="AE3817">
        <v>-6.8884000000000096</v>
      </c>
      <c r="AF3817">
        <v>4.5197131594482904</v>
      </c>
      <c r="AG3817">
        <v>-1.0980473593260001</v>
      </c>
      <c r="AH3817">
        <v>9.7518288594951006</v>
      </c>
      <c r="AI3817">
        <v>95.833105232453505</v>
      </c>
      <c r="AJ3817">
        <v>65.133532276698702</v>
      </c>
      <c r="AK3817">
        <v>10.804243664037401</v>
      </c>
      <c r="AL3817">
        <v>80.142187274879603</v>
      </c>
      <c r="AM3817">
        <v>74.069743984007602</v>
      </c>
      <c r="AN3817">
        <v>0.999999935775292</v>
      </c>
    </row>
    <row r="3818" spans="1:40" x14ac:dyDescent="0.25">
      <c r="A3818" t="str">
        <f>"20190312172446599"</f>
        <v>20190312172446599</v>
      </c>
      <c r="B3818" t="str">
        <f>"1552382686594139"</f>
        <v>1552382686594139</v>
      </c>
      <c r="C3818" t="s">
        <v>40</v>
      </c>
      <c r="D3818">
        <v>3.8707750000000001</v>
      </c>
      <c r="E3818">
        <v>0.5618417</v>
      </c>
      <c r="F3818" t="s">
        <v>46</v>
      </c>
      <c r="G3818">
        <v>-192.65260000000001</v>
      </c>
      <c r="H3818" s="1">
        <v>4.780071E-6</v>
      </c>
      <c r="I3818">
        <v>206.87690000000001</v>
      </c>
      <c r="J3818">
        <v>-200.95310000000001</v>
      </c>
      <c r="K3818">
        <v>1.0977269999999999</v>
      </c>
      <c r="L3818">
        <v>213.86060000000001</v>
      </c>
      <c r="M3818">
        <v>0.96480880000000002</v>
      </c>
      <c r="N3818">
        <v>0</v>
      </c>
      <c r="O3818">
        <v>-0.26245499999999999</v>
      </c>
      <c r="P3818">
        <v>0.84609069999999997</v>
      </c>
      <c r="Q3818">
        <v>0.16417419999999999</v>
      </c>
      <c r="R3818">
        <v>-0.50712669999999904</v>
      </c>
      <c r="S3818">
        <v>2.4261469999999998</v>
      </c>
      <c r="T3818">
        <v>-0.30642249999999999</v>
      </c>
      <c r="U3818">
        <v>-1.9797359999999999</v>
      </c>
      <c r="V3818">
        <v>0.27252759999999998</v>
      </c>
      <c r="W3818">
        <v>0.17139769999999999</v>
      </c>
      <c r="X3818">
        <v>0.9467584</v>
      </c>
      <c r="Y3818">
        <v>0.40600779999999997</v>
      </c>
      <c r="Z3818">
        <v>5.6414619999999999E-3</v>
      </c>
      <c r="AA3818">
        <v>0.9138522</v>
      </c>
      <c r="AB3818">
        <v>40</v>
      </c>
      <c r="AC3818">
        <v>8.3004999999999995</v>
      </c>
      <c r="AD3818">
        <v>-1.097722219929</v>
      </c>
      <c r="AE3818">
        <v>-6.98369999999999</v>
      </c>
      <c r="AF3818">
        <v>4.5138002007547904</v>
      </c>
      <c r="AG3818">
        <v>-1.097722219929</v>
      </c>
      <c r="AH3818">
        <v>9.7428181457716097</v>
      </c>
      <c r="AI3818">
        <v>95.837140072643393</v>
      </c>
      <c r="AJ3818">
        <v>65.1419402834549</v>
      </c>
      <c r="AK3818">
        <v>10.793604205548601</v>
      </c>
      <c r="AL3818">
        <v>80.130905431927701</v>
      </c>
      <c r="AM3818">
        <v>73.941357360489604</v>
      </c>
      <c r="AN3818">
        <v>0.99999996614880404</v>
      </c>
    </row>
    <row r="3819" spans="1:40" x14ac:dyDescent="0.25">
      <c r="A3819" t="str">
        <f>"20190312172446621"</f>
        <v>20190312172446621</v>
      </c>
      <c r="B3819" t="str">
        <f>"1552382686614635"</f>
        <v>1552382686614635</v>
      </c>
      <c r="C3819" t="s">
        <v>40</v>
      </c>
      <c r="D3819">
        <v>3.8921839999999999</v>
      </c>
      <c r="E3819">
        <v>0.56187860000000001</v>
      </c>
      <c r="F3819" t="s">
        <v>46</v>
      </c>
      <c r="G3819">
        <v>-192.4023</v>
      </c>
      <c r="H3819" s="1">
        <v>4.9037600000000001E-6</v>
      </c>
      <c r="I3819">
        <v>206.68389999999999</v>
      </c>
      <c r="J3819">
        <v>-200.559</v>
      </c>
      <c r="K3819">
        <v>1.09739599999999</v>
      </c>
      <c r="L3819">
        <v>213.74449999999999</v>
      </c>
      <c r="M3819">
        <v>0.96137329999999999</v>
      </c>
      <c r="N3819">
        <v>0</v>
      </c>
      <c r="O3819">
        <v>-0.27476899999999999</v>
      </c>
      <c r="P3819">
        <v>0.8385823</v>
      </c>
      <c r="Q3819">
        <v>0.1641638</v>
      </c>
      <c r="R3819">
        <v>-0.51945149999999995</v>
      </c>
      <c r="S3819">
        <v>2.3987579999999999</v>
      </c>
      <c r="T3819">
        <v>-0.30794389999999999</v>
      </c>
      <c r="U3819">
        <v>-2.0132750000000001</v>
      </c>
      <c r="V3819">
        <v>0.27441090000000001</v>
      </c>
      <c r="W3819">
        <v>0.1711666</v>
      </c>
      <c r="X3819">
        <v>0.94625610000000004</v>
      </c>
      <c r="Y3819">
        <v>0.40700320000000001</v>
      </c>
      <c r="Z3819">
        <v>6.8945999999999999E-3</v>
      </c>
      <c r="AA3819">
        <v>0.91340069999999995</v>
      </c>
      <c r="AB3819">
        <v>40</v>
      </c>
      <c r="AC3819">
        <v>8.1567000000000291</v>
      </c>
      <c r="AD3819">
        <v>-1.09739109623999</v>
      </c>
      <c r="AE3819">
        <v>-7.0605999999999902</v>
      </c>
      <c r="AF3819">
        <v>4.5006925184381803</v>
      </c>
      <c r="AG3819">
        <v>-1.09739109623999</v>
      </c>
      <c r="AH3819">
        <v>9.6827647663002807</v>
      </c>
      <c r="AI3819">
        <v>95.867948898690301</v>
      </c>
      <c r="AJ3819">
        <v>65.070296915342894</v>
      </c>
      <c r="AK3819">
        <v>10.733891833027601</v>
      </c>
      <c r="AL3819">
        <v>80.144345205138194</v>
      </c>
      <c r="AM3819">
        <v>73.828029152326394</v>
      </c>
      <c r="AN3819">
        <v>0.99999997689078901</v>
      </c>
    </row>
    <row r="3820" spans="1:40" x14ac:dyDescent="0.25">
      <c r="A3820" t="str">
        <f>"20190312172446643"</f>
        <v>20190312172446643</v>
      </c>
      <c r="B3820" t="str">
        <f>"1552382686634155"</f>
        <v>1552382686634155</v>
      </c>
      <c r="C3820" t="s">
        <v>40</v>
      </c>
      <c r="D3820">
        <v>3.8696959999999998</v>
      </c>
      <c r="E3820">
        <v>0.56189909999999998</v>
      </c>
      <c r="F3820" t="s">
        <v>46</v>
      </c>
      <c r="G3820">
        <v>-192.14789999999999</v>
      </c>
      <c r="H3820" s="1">
        <v>5.0356669999999996E-6</v>
      </c>
      <c r="I3820">
        <v>206.47040000000001</v>
      </c>
      <c r="J3820">
        <v>-200.17400000000001</v>
      </c>
      <c r="K3820">
        <v>1.0970660000000001</v>
      </c>
      <c r="L3820">
        <v>213.62520000000001</v>
      </c>
      <c r="M3820">
        <v>0.95774789999999999</v>
      </c>
      <c r="N3820">
        <v>0</v>
      </c>
      <c r="O3820">
        <v>-0.28714830000000002</v>
      </c>
      <c r="P3820">
        <v>0.83081099999999997</v>
      </c>
      <c r="Q3820">
        <v>0.16377700000000001</v>
      </c>
      <c r="R3820">
        <v>-0.5319121</v>
      </c>
      <c r="S3820">
        <v>2.3689269999999998</v>
      </c>
      <c r="T3820">
        <v>-0.3090734</v>
      </c>
      <c r="U3820">
        <v>-2.0487060000000001</v>
      </c>
      <c r="V3820">
        <v>0.27642909999999998</v>
      </c>
      <c r="W3820">
        <v>0.1705605</v>
      </c>
      <c r="X3820">
        <v>0.94577800000000001</v>
      </c>
      <c r="Y3820">
        <v>0.4087691</v>
      </c>
      <c r="Z3820">
        <v>8.1184059999999999E-3</v>
      </c>
      <c r="AA3820">
        <v>0.91260169999999996</v>
      </c>
      <c r="AB3820">
        <v>40</v>
      </c>
      <c r="AC3820">
        <v>8.0261000000000102</v>
      </c>
      <c r="AD3820">
        <v>-1.0970609643329901</v>
      </c>
      <c r="AE3820">
        <v>-7.1547999999999901</v>
      </c>
      <c r="AF3820">
        <v>4.5015529335831399</v>
      </c>
      <c r="AG3820">
        <v>-1.0970609643329901</v>
      </c>
      <c r="AH3820">
        <v>9.6423779759817698</v>
      </c>
      <c r="AI3820">
        <v>95.886037030440704</v>
      </c>
      <c r="AJ3820">
        <v>64.974438581178603</v>
      </c>
      <c r="AK3820">
        <v>10.697802325945799</v>
      </c>
      <c r="AL3820">
        <v>80.1795904855271</v>
      </c>
      <c r="AM3820">
        <v>73.707575821799196</v>
      </c>
      <c r="AN3820">
        <v>0.99999997838552901</v>
      </c>
    </row>
    <row r="3821" spans="1:40" x14ac:dyDescent="0.25">
      <c r="A3821" t="str">
        <f>"20190312172446666"</f>
        <v>20190312172446666</v>
      </c>
      <c r="B3821" t="str">
        <f>"1552382686654650"</f>
        <v>1552382686654650</v>
      </c>
      <c r="C3821" t="s">
        <v>40</v>
      </c>
      <c r="D3821">
        <v>3.9251149999999999</v>
      </c>
      <c r="E3821">
        <v>0.56191329999999995</v>
      </c>
      <c r="F3821" t="s">
        <v>46</v>
      </c>
      <c r="G3821">
        <v>-191.9281</v>
      </c>
      <c r="H3821" s="1">
        <v>5.1535099999999997E-6</v>
      </c>
      <c r="I3821">
        <v>206.2749</v>
      </c>
      <c r="J3821">
        <v>-199.78710000000001</v>
      </c>
      <c r="K3821">
        <v>1.096757</v>
      </c>
      <c r="L3821">
        <v>213.49969999999999</v>
      </c>
      <c r="M3821">
        <v>0.95383629999999997</v>
      </c>
      <c r="N3821">
        <v>0</v>
      </c>
      <c r="O3821">
        <v>-0.29988219999999999</v>
      </c>
      <c r="P3821">
        <v>0.82277479999999903</v>
      </c>
      <c r="Q3821">
        <v>0.16333499999999901</v>
      </c>
      <c r="R3821">
        <v>-0.54439309999999996</v>
      </c>
      <c r="S3821">
        <v>2.3379669999999999</v>
      </c>
      <c r="T3821">
        <v>-0.311050299999999</v>
      </c>
      <c r="U3821">
        <v>-2.0840450000000001</v>
      </c>
      <c r="V3821">
        <v>0.27819300000000002</v>
      </c>
      <c r="W3821">
        <v>0.16991529999999999</v>
      </c>
      <c r="X3821">
        <v>0.94537689999999996</v>
      </c>
      <c r="Y3821">
        <v>0.41034169999999998</v>
      </c>
      <c r="Z3821">
        <v>9.4290229999999999E-3</v>
      </c>
      <c r="AA3821">
        <v>0.91188309999999995</v>
      </c>
      <c r="AB3821">
        <v>40</v>
      </c>
      <c r="AC3821">
        <v>7.859</v>
      </c>
      <c r="AD3821">
        <v>-1.0967518464899999</v>
      </c>
      <c r="AE3821">
        <v>-7.2247999999999797</v>
      </c>
      <c r="AF3821">
        <v>4.4877396376981498</v>
      </c>
      <c r="AG3821">
        <v>-1.0967518464899999</v>
      </c>
      <c r="AH3821">
        <v>9.5631396208489097</v>
      </c>
      <c r="AI3821">
        <v>95.927321491599301</v>
      </c>
      <c r="AJ3821">
        <v>64.860521887819402</v>
      </c>
      <c r="AK3821">
        <v>10.6205607703358</v>
      </c>
      <c r="AL3821">
        <v>80.217105727108105</v>
      </c>
      <c r="AM3821">
        <v>73.602596511269894</v>
      </c>
      <c r="AN3821">
        <v>1.00000001873834</v>
      </c>
    </row>
    <row r="3822" spans="1:40" x14ac:dyDescent="0.25">
      <c r="A3822" t="str">
        <f>"20190312172446688"</f>
        <v>20190312172446688</v>
      </c>
      <c r="B3822" t="str">
        <f>"1552382686683931"</f>
        <v>1552382686683931</v>
      </c>
      <c r="C3822" t="s">
        <v>40</v>
      </c>
      <c r="D3822">
        <v>3.8673060000000001</v>
      </c>
      <c r="E3822">
        <v>0.56107430000000003</v>
      </c>
      <c r="F3822" t="s">
        <v>46</v>
      </c>
      <c r="G3822">
        <v>-191.71619999999999</v>
      </c>
      <c r="H3822" s="1">
        <v>5.2691650000000004E-6</v>
      </c>
      <c r="I3822">
        <v>206.08070000000001</v>
      </c>
      <c r="J3822">
        <v>-199.40459999999999</v>
      </c>
      <c r="K3822">
        <v>1.096462</v>
      </c>
      <c r="L3822">
        <v>213.37</v>
      </c>
      <c r="M3822">
        <v>0.94969300000000001</v>
      </c>
      <c r="N3822">
        <v>0</v>
      </c>
      <c r="O3822">
        <v>-0.3127529</v>
      </c>
      <c r="P3822">
        <v>0.81402050000000004</v>
      </c>
      <c r="Q3822">
        <v>0.16356470000000001</v>
      </c>
      <c r="R3822">
        <v>-0.5573304</v>
      </c>
      <c r="S3822">
        <v>2.3058930000000002</v>
      </c>
      <c r="T3822">
        <v>-0.31334459999999997</v>
      </c>
      <c r="U3822">
        <v>-2.1196440000000001</v>
      </c>
      <c r="V3822">
        <v>0.28049659999999998</v>
      </c>
      <c r="W3822">
        <v>0.16992570000000001</v>
      </c>
      <c r="X3822">
        <v>0.94469409999999998</v>
      </c>
      <c r="Y3822">
        <v>0.41200179999999997</v>
      </c>
      <c r="Z3822">
        <v>1.078055E-2</v>
      </c>
      <c r="AA3822">
        <v>0.91111929999999997</v>
      </c>
      <c r="AB3822">
        <v>40</v>
      </c>
      <c r="AC3822">
        <v>7.6883999999999997</v>
      </c>
      <c r="AD3822">
        <v>-1.0964567308349999</v>
      </c>
      <c r="AE3822">
        <v>-7.2892999999999901</v>
      </c>
      <c r="AF3822">
        <v>4.4707507020253896</v>
      </c>
      <c r="AG3822">
        <v>-1.0964567308349999</v>
      </c>
      <c r="AH3822">
        <v>9.4811089849999295</v>
      </c>
      <c r="AI3822">
        <v>95.971456190028803</v>
      </c>
      <c r="AJ3822">
        <v>64.754106214766594</v>
      </c>
      <c r="AK3822">
        <v>10.5395093238585</v>
      </c>
      <c r="AL3822">
        <v>80.216501014452604</v>
      </c>
      <c r="AM3822">
        <v>73.462902616569195</v>
      </c>
      <c r="AN3822">
        <v>1.00000001435342</v>
      </c>
    </row>
    <row r="3823" spans="1:40" x14ac:dyDescent="0.25">
      <c r="A3823" t="str">
        <f>"20190312172446711"</f>
        <v>20190312172446711</v>
      </c>
      <c r="B3823" t="str">
        <f>"1552382686704427"</f>
        <v>1552382686704427</v>
      </c>
      <c r="C3823" t="s">
        <v>40</v>
      </c>
      <c r="D3823">
        <v>3.8630620000000002</v>
      </c>
      <c r="E3823">
        <v>0.56054659999999901</v>
      </c>
      <c r="F3823" t="s">
        <v>46</v>
      </c>
      <c r="G3823">
        <v>-191.57</v>
      </c>
      <c r="H3823" s="1">
        <v>5.3417939999999997E-6</v>
      </c>
      <c r="I3823">
        <v>205.96690000000001</v>
      </c>
      <c r="J3823">
        <v>-199.01249999999999</v>
      </c>
      <c r="K3823">
        <v>1.0961730000000001</v>
      </c>
      <c r="L3823">
        <v>213.23099999999999</v>
      </c>
      <c r="M3823">
        <v>0.94514819999999999</v>
      </c>
      <c r="N3823">
        <v>0</v>
      </c>
      <c r="O3823">
        <v>-0.32622699999999999</v>
      </c>
      <c r="P3823">
        <v>0.80483700000000002</v>
      </c>
      <c r="Q3823">
        <v>0.16366989999999901</v>
      </c>
      <c r="R3823">
        <v>-0.57048199999999905</v>
      </c>
      <c r="S3823">
        <v>2.2765499999999999</v>
      </c>
      <c r="T3823">
        <v>-0.31860650000000001</v>
      </c>
      <c r="U3823">
        <v>-2.1511840000000002</v>
      </c>
      <c r="V3823">
        <v>0.28254109999999899</v>
      </c>
      <c r="W3823">
        <v>0.16982039999999901</v>
      </c>
      <c r="X3823">
        <v>0.94410360000000004</v>
      </c>
      <c r="Y3823">
        <v>0.41162120000000002</v>
      </c>
      <c r="Z3823">
        <v>1.244759E-2</v>
      </c>
      <c r="AA3823">
        <v>0.91127000000000002</v>
      </c>
      <c r="AB3823">
        <v>40</v>
      </c>
      <c r="AC3823">
        <v>7.4424999999999901</v>
      </c>
      <c r="AD3823">
        <v>-1.096167658206</v>
      </c>
      <c r="AE3823">
        <v>-7.2640999999999796</v>
      </c>
      <c r="AF3823">
        <v>4.38954190731382</v>
      </c>
      <c r="AG3823">
        <v>-1.096167658206</v>
      </c>
      <c r="AH3823">
        <v>9.3019445185524905</v>
      </c>
      <c r="AI3823">
        <v>96.083204547891199</v>
      </c>
      <c r="AJ3823">
        <v>64.737605642212202</v>
      </c>
      <c r="AK3823">
        <v>10.3438790362798</v>
      </c>
      <c r="AL3823">
        <v>80.222623340739702</v>
      </c>
      <c r="AM3823">
        <v>73.339179563382999</v>
      </c>
      <c r="AN3823">
        <v>1.00000002448916</v>
      </c>
    </row>
    <row r="3824" spans="1:40" x14ac:dyDescent="0.25">
      <c r="A3824" t="str">
        <f>"20190312172446732"</f>
        <v>20190312172446732</v>
      </c>
      <c r="B3824" t="str">
        <f>"1552382686723947"</f>
        <v>1552382686723947</v>
      </c>
      <c r="C3824" t="s">
        <v>40</v>
      </c>
      <c r="D3824">
        <v>3.8435890000000001</v>
      </c>
      <c r="E3824">
        <v>0.5599731</v>
      </c>
      <c r="F3824" t="s">
        <v>46</v>
      </c>
      <c r="G3824">
        <v>-191.27930000000001</v>
      </c>
      <c r="H3824" s="1">
        <v>5.5000550000000003E-6</v>
      </c>
      <c r="I3824">
        <v>205.70150000000001</v>
      </c>
      <c r="J3824">
        <v>-198.63980000000001</v>
      </c>
      <c r="K3824">
        <v>1.0959049999999999</v>
      </c>
      <c r="L3824">
        <v>213.09299999999999</v>
      </c>
      <c r="M3824">
        <v>0.94053439999999999</v>
      </c>
      <c r="N3824">
        <v>0</v>
      </c>
      <c r="O3824">
        <v>-0.33929730000000002</v>
      </c>
      <c r="P3824">
        <v>0.79587980000000003</v>
      </c>
      <c r="Q3824">
        <v>0.1639352</v>
      </c>
      <c r="R3824">
        <v>-0.58283839999999998</v>
      </c>
      <c r="S3824">
        <v>2.243668</v>
      </c>
      <c r="T3824">
        <v>-0.31803619999999999</v>
      </c>
      <c r="U3824">
        <v>-2.184555</v>
      </c>
      <c r="V3824">
        <v>0.2841669</v>
      </c>
      <c r="W3824">
        <v>0.16989849999999901</v>
      </c>
      <c r="X3824">
        <v>0.94360140000000003</v>
      </c>
      <c r="Y3824">
        <v>0.41267340000000002</v>
      </c>
      <c r="Z3824">
        <v>1.3794600000000001E-2</v>
      </c>
      <c r="AA3824">
        <v>0.91077459999999999</v>
      </c>
      <c r="AB3824">
        <v>40</v>
      </c>
      <c r="AC3824">
        <v>7.3605</v>
      </c>
      <c r="AD3824">
        <v>-1.09589949994499</v>
      </c>
      <c r="AE3824">
        <v>-7.3914999999999704</v>
      </c>
      <c r="AF3824">
        <v>4.40653227675051</v>
      </c>
      <c r="AG3824">
        <v>-1.09589949994499</v>
      </c>
      <c r="AH3824">
        <v>9.3290355765156399</v>
      </c>
      <c r="AI3824">
        <v>96.063150676105906</v>
      </c>
      <c r="AJ3824">
        <v>64.716481018720401</v>
      </c>
      <c r="AK3824">
        <v>10.3754241941194</v>
      </c>
      <c r="AL3824">
        <v>80.218081964724604</v>
      </c>
      <c r="AM3824">
        <v>73.2402507298562</v>
      </c>
      <c r="AN3824">
        <v>0.99999996471990904</v>
      </c>
    </row>
    <row r="3825" spans="1:40" x14ac:dyDescent="0.25">
      <c r="A3825" t="str">
        <f>"20190312172446756"</f>
        <v>20190312172446756</v>
      </c>
      <c r="B3825" t="str">
        <f>"1552382686744443"</f>
        <v>1552382686744443</v>
      </c>
      <c r="C3825" t="s">
        <v>40</v>
      </c>
      <c r="D3825">
        <v>3.87676</v>
      </c>
      <c r="E3825">
        <v>0.5593148</v>
      </c>
      <c r="F3825" t="s">
        <v>46</v>
      </c>
      <c r="G3825">
        <v>-190.99789999999999</v>
      </c>
      <c r="H3825" s="1">
        <v>5.6546669999999898E-6</v>
      </c>
      <c r="I3825">
        <v>205.44059999999999</v>
      </c>
      <c r="J3825">
        <v>-198.26050000000001</v>
      </c>
      <c r="K3825">
        <v>1.095637</v>
      </c>
      <c r="L3825">
        <v>212.94649999999999</v>
      </c>
      <c r="M3825">
        <v>0.93552979999999997</v>
      </c>
      <c r="N3825">
        <v>0</v>
      </c>
      <c r="O3825">
        <v>-0.35285939999999999</v>
      </c>
      <c r="P3825">
        <v>0.78616529999999996</v>
      </c>
      <c r="Q3825">
        <v>0.16423929999999901</v>
      </c>
      <c r="R3825">
        <v>-0.59579340000000003</v>
      </c>
      <c r="S3825">
        <v>2.2123719999999998</v>
      </c>
      <c r="T3825">
        <v>-0.31726860000000001</v>
      </c>
      <c r="U3825">
        <v>-2.215408</v>
      </c>
      <c r="V3825">
        <v>0.28612140000000003</v>
      </c>
      <c r="W3825">
        <v>0.17000279999999901</v>
      </c>
      <c r="X3825">
        <v>0.94299189999999999</v>
      </c>
      <c r="Y3825">
        <v>0.41234939999999998</v>
      </c>
      <c r="Z3825">
        <v>1.5261149999999999E-2</v>
      </c>
      <c r="AA3825">
        <v>0.91089799999999999</v>
      </c>
      <c r="AB3825">
        <v>40</v>
      </c>
      <c r="AC3825">
        <v>7.2626000000000097</v>
      </c>
      <c r="AD3825">
        <v>-1.095631345333</v>
      </c>
      <c r="AE3825">
        <v>-7.5058999999999898</v>
      </c>
      <c r="AF3825">
        <v>4.4113831909189303</v>
      </c>
      <c r="AG3825">
        <v>-1.095631345333</v>
      </c>
      <c r="AH3825">
        <v>9.3414041628578097</v>
      </c>
      <c r="AI3825">
        <v>96.0539579888204</v>
      </c>
      <c r="AJ3825">
        <v>64.721452480379895</v>
      </c>
      <c r="AK3825">
        <v>10.388577450058101</v>
      </c>
      <c r="AL3825">
        <v>80.212018792867497</v>
      </c>
      <c r="AM3825">
        <v>73.121220225692298</v>
      </c>
      <c r="AN3825">
        <v>1.0000000655057</v>
      </c>
    </row>
    <row r="3826" spans="1:40" x14ac:dyDescent="0.25">
      <c r="A3826" t="str">
        <f>"20190312172446778"</f>
        <v>20190312172446778</v>
      </c>
      <c r="B3826" t="str">
        <f>"1552382686774700"</f>
        <v>1552382686774700</v>
      </c>
      <c r="C3826" t="s">
        <v>40</v>
      </c>
      <c r="D3826">
        <v>3.9167670000000001</v>
      </c>
      <c r="E3826">
        <v>0.55916259999999995</v>
      </c>
      <c r="F3826" t="s">
        <v>46</v>
      </c>
      <c r="G3826">
        <v>-190.71440000000001</v>
      </c>
      <c r="H3826" s="1">
        <v>5.815406E-6</v>
      </c>
      <c r="I3826">
        <v>205.16380000000001</v>
      </c>
      <c r="J3826">
        <v>-197.8817</v>
      </c>
      <c r="K3826">
        <v>1.095378</v>
      </c>
      <c r="L3826">
        <v>212.79400000000001</v>
      </c>
      <c r="M3826">
        <v>0.93020860000000005</v>
      </c>
      <c r="N3826">
        <v>0</v>
      </c>
      <c r="O3826">
        <v>-0.36665530000000002</v>
      </c>
      <c r="P3826">
        <v>0.77614309999999997</v>
      </c>
      <c r="Q3826">
        <v>0.16457829999999901</v>
      </c>
      <c r="R3826">
        <v>-0.60870029999999997</v>
      </c>
      <c r="S3826">
        <v>2.1789700000000001</v>
      </c>
      <c r="T3826">
        <v>-0.31636930000000002</v>
      </c>
      <c r="U3826">
        <v>-2.2473139999999998</v>
      </c>
      <c r="V3826">
        <v>0.28790260000000001</v>
      </c>
      <c r="W3826">
        <v>0.17015079999999999</v>
      </c>
      <c r="X3826">
        <v>0.94242289999999995</v>
      </c>
      <c r="Y3826">
        <v>0.41237740000000001</v>
      </c>
      <c r="Z3826">
        <v>1.6725819999999999E-2</v>
      </c>
      <c r="AA3826">
        <v>0.91085959999999999</v>
      </c>
      <c r="AB3826">
        <v>40</v>
      </c>
      <c r="AC3826">
        <v>7.1672999999999796</v>
      </c>
      <c r="AD3826">
        <v>-1.0953721845940001</v>
      </c>
      <c r="AE3826">
        <v>-7.6302000000000003</v>
      </c>
      <c r="AF3826">
        <v>4.4219523044150204</v>
      </c>
      <c r="AG3826">
        <v>-1.0953721845940001</v>
      </c>
      <c r="AH3826">
        <v>9.3635271287073394</v>
      </c>
      <c r="AI3826">
        <v>96.038312120422006</v>
      </c>
      <c r="AJ3826">
        <v>64.7208432481888</v>
      </c>
      <c r="AK3826">
        <v>10.4129315130438</v>
      </c>
      <c r="AL3826">
        <v>80.203413614738906</v>
      </c>
      <c r="AM3826">
        <v>73.012510426963601</v>
      </c>
      <c r="AN3826">
        <v>1.0000000621359</v>
      </c>
    </row>
    <row r="3827" spans="1:40" x14ac:dyDescent="0.25">
      <c r="A3827" t="str">
        <f>"20190312172446800"</f>
        <v>20190312172446800</v>
      </c>
      <c r="B3827" t="str">
        <f>"1552382686794219"</f>
        <v>1552382686794219</v>
      </c>
      <c r="C3827" t="s">
        <v>40</v>
      </c>
      <c r="D3827">
        <v>3.839296</v>
      </c>
      <c r="E3827">
        <v>0.59724100000000002</v>
      </c>
      <c r="F3827" t="s">
        <v>46</v>
      </c>
      <c r="G3827">
        <v>-190.44759999999999</v>
      </c>
      <c r="H3827" s="1">
        <v>5.9773689999999999E-6</v>
      </c>
      <c r="I3827">
        <v>204.87289999999999</v>
      </c>
      <c r="J3827">
        <v>-197.51609999999999</v>
      </c>
      <c r="K3827">
        <v>1.095129</v>
      </c>
      <c r="L3827">
        <v>212.6405</v>
      </c>
      <c r="M3827">
        <v>0.92475309999999999</v>
      </c>
      <c r="N3827">
        <v>0</v>
      </c>
      <c r="O3827">
        <v>-0.38020229999999999</v>
      </c>
      <c r="P3827">
        <v>0.76604479999999997</v>
      </c>
      <c r="Q3827">
        <v>0.16574059999999999</v>
      </c>
      <c r="R3827">
        <v>-0.62105200000000005</v>
      </c>
      <c r="S3827">
        <v>2.1421359999999998</v>
      </c>
      <c r="T3827">
        <v>-0.31563279999999999</v>
      </c>
      <c r="U3827">
        <v>-2.2824550000000001</v>
      </c>
      <c r="V3827">
        <v>0.28946919999999998</v>
      </c>
      <c r="W3827">
        <v>0.1711356</v>
      </c>
      <c r="X3827">
        <v>0.94176439999999995</v>
      </c>
      <c r="Y3827">
        <v>0.41393629999999998</v>
      </c>
      <c r="Z3827">
        <v>1.8083970000000001E-2</v>
      </c>
      <c r="AA3827">
        <v>0.9101262</v>
      </c>
      <c r="AB3827">
        <v>40</v>
      </c>
      <c r="AC3827">
        <v>7.0685000000000002</v>
      </c>
      <c r="AD3827">
        <v>-1.095123022631</v>
      </c>
      <c r="AE3827">
        <v>-7.7676000000000096</v>
      </c>
      <c r="AF3827">
        <v>4.4479144747629498</v>
      </c>
      <c r="AG3827">
        <v>-1.095123022631</v>
      </c>
      <c r="AH3827">
        <v>9.3891070154718594</v>
      </c>
      <c r="AI3827">
        <v>96.017208093197993</v>
      </c>
      <c r="AJ3827">
        <v>64.651617502402104</v>
      </c>
      <c r="AK3827">
        <v>10.4469406123269</v>
      </c>
      <c r="AL3827">
        <v>80.1461481868714</v>
      </c>
      <c r="AM3827">
        <v>72.9141936364489</v>
      </c>
      <c r="AN3827">
        <v>0.99999999822167995</v>
      </c>
    </row>
    <row r="3828" spans="1:40" x14ac:dyDescent="0.25">
      <c r="A3828" t="str">
        <f>"20190312172446823"</f>
        <v>20190312172446823</v>
      </c>
      <c r="B3828" t="str">
        <f>"1552382686814715"</f>
        <v>1552382686814715</v>
      </c>
      <c r="C3828" t="s">
        <v>40</v>
      </c>
      <c r="D3828">
        <v>3.8306770000000001</v>
      </c>
      <c r="E3828">
        <v>0.60209780000000002</v>
      </c>
      <c r="F3828" t="s">
        <v>46</v>
      </c>
      <c r="G3828">
        <v>-189.01349999999999</v>
      </c>
      <c r="H3828" s="1">
        <v>7.1461939999999997E-6</v>
      </c>
      <c r="I3828">
        <v>201.28139999999999</v>
      </c>
      <c r="J3828">
        <v>-197.142</v>
      </c>
      <c r="K3828">
        <v>1.0948869999999999</v>
      </c>
      <c r="L3828">
        <v>212.47659999999999</v>
      </c>
      <c r="M3828">
        <v>0.91882209999999997</v>
      </c>
      <c r="N3828">
        <v>0</v>
      </c>
      <c r="O3828">
        <v>-0.39431739999999998</v>
      </c>
      <c r="P3828">
        <v>0.75536639999999999</v>
      </c>
      <c r="Q3828">
        <v>0.16647110000000001</v>
      </c>
      <c r="R3828">
        <v>-0.63380559999999997</v>
      </c>
      <c r="S3828">
        <v>1.905502</v>
      </c>
      <c r="T3828">
        <v>-0.24542459999999999</v>
      </c>
      <c r="U3828">
        <v>-2.5456539999999999</v>
      </c>
      <c r="V3828">
        <v>0.29102630000000002</v>
      </c>
      <c r="W3828">
        <v>0.17169179999999901</v>
      </c>
      <c r="X3828">
        <v>0.94118310000000005</v>
      </c>
      <c r="Y3828">
        <v>0.49902279999999999</v>
      </c>
      <c r="Z3828">
        <v>1.1458289999999999E-2</v>
      </c>
      <c r="AA3828">
        <v>0.86651309999999904</v>
      </c>
      <c r="AB3828">
        <v>40</v>
      </c>
      <c r="AC3828">
        <v>8.1285000000000007</v>
      </c>
      <c r="AD3828">
        <v>-1.0948798538060001</v>
      </c>
      <c r="AE3828">
        <v>-11.1952</v>
      </c>
      <c r="AF3828">
        <v>7.0380994962449099</v>
      </c>
      <c r="AG3828">
        <v>-1.0948798538060001</v>
      </c>
      <c r="AH3828">
        <v>11.810799454397699</v>
      </c>
      <c r="AI3828">
        <v>94.553112610752507</v>
      </c>
      <c r="AJ3828">
        <v>59.209127990445097</v>
      </c>
      <c r="AK3828">
        <v>13.7923380963966</v>
      </c>
      <c r="AL3828">
        <v>80.113801578907697</v>
      </c>
      <c r="AM3828">
        <v>72.8176974440875</v>
      </c>
      <c r="AN3828">
        <v>1.0000000046022699</v>
      </c>
    </row>
    <row r="3829" spans="1:40" x14ac:dyDescent="0.25">
      <c r="A3829" t="str">
        <f>"20190312172446844"</f>
        <v>20190312172446844</v>
      </c>
      <c r="B3829" t="str">
        <f>"1552382686834235"</f>
        <v>1552382686834235</v>
      </c>
      <c r="C3829" t="s">
        <v>40</v>
      </c>
      <c r="D3829">
        <v>3.7820100000000001</v>
      </c>
      <c r="E3829">
        <v>0.60308260000000002</v>
      </c>
      <c r="F3829" t="s">
        <v>46</v>
      </c>
      <c r="G3829">
        <v>-188.91200000000001</v>
      </c>
      <c r="H3829" s="1">
        <v>7.2919179999999997E-6</v>
      </c>
      <c r="I3829">
        <v>200.8056</v>
      </c>
      <c r="J3829">
        <v>-196.7878</v>
      </c>
      <c r="K3829">
        <v>1.094662</v>
      </c>
      <c r="L3829">
        <v>212.315</v>
      </c>
      <c r="M3829">
        <v>0.91287669999999999</v>
      </c>
      <c r="N3829">
        <v>0</v>
      </c>
      <c r="O3829">
        <v>-0.40789069999999999</v>
      </c>
      <c r="P3829">
        <v>0.74495900000000004</v>
      </c>
      <c r="Q3829">
        <v>0.1666617</v>
      </c>
      <c r="R3829">
        <v>-0.64595659999999999</v>
      </c>
      <c r="S3829">
        <v>1.8381959999999999</v>
      </c>
      <c r="T3829">
        <v>-0.24454699999999999</v>
      </c>
      <c r="U3829">
        <v>-2.6067809999999998</v>
      </c>
      <c r="V3829">
        <v>0.29243960000000002</v>
      </c>
      <c r="W3829">
        <v>0.17172609999999999</v>
      </c>
      <c r="X3829">
        <v>0.94073870000000004</v>
      </c>
      <c r="Y3829">
        <v>0.51073069999999998</v>
      </c>
      <c r="Z3829">
        <v>1.2034049999999999E-2</v>
      </c>
      <c r="AA3829">
        <v>0.85965650000000005</v>
      </c>
      <c r="AB3829">
        <v>40</v>
      </c>
      <c r="AC3829">
        <v>7.8757999999999901</v>
      </c>
      <c r="AD3829">
        <v>-1.0946547080819999</v>
      </c>
      <c r="AE3829">
        <v>-11.509399999999999</v>
      </c>
      <c r="AF3829">
        <v>7.2505534673730798</v>
      </c>
      <c r="AG3829">
        <v>-1.0946547080819999</v>
      </c>
      <c r="AH3829">
        <v>11.813103631272</v>
      </c>
      <c r="AI3829">
        <v>94.515575180203697</v>
      </c>
      <c r="AJ3829">
        <v>58.459558560587197</v>
      </c>
      <c r="AK3829">
        <v>13.9038919701044</v>
      </c>
      <c r="AL3829">
        <v>80.111807032568507</v>
      </c>
      <c r="AM3829">
        <v>72.731533415780703</v>
      </c>
      <c r="AN3829">
        <v>1.0000000373735201</v>
      </c>
    </row>
    <row r="3830" spans="1:40" x14ac:dyDescent="0.25">
      <c r="A3830" t="str">
        <f>"20190312172446866"</f>
        <v>20190312172446866</v>
      </c>
      <c r="B3830" t="str">
        <f>"1552382686864491"</f>
        <v>1552382686864491</v>
      </c>
      <c r="C3830" t="s">
        <v>40</v>
      </c>
      <c r="D3830">
        <v>3.795318</v>
      </c>
      <c r="E3830">
        <v>0.60328800000000005</v>
      </c>
      <c r="F3830" t="s">
        <v>46</v>
      </c>
      <c r="G3830">
        <v>-188.6968</v>
      </c>
      <c r="H3830" s="1">
        <v>7.3952489999999998E-6</v>
      </c>
      <c r="I3830">
        <v>200.3783</v>
      </c>
      <c r="J3830">
        <v>-196.42670000000001</v>
      </c>
      <c r="K3830">
        <v>1.094441</v>
      </c>
      <c r="L3830">
        <v>212.14359999999999</v>
      </c>
      <c r="M3830">
        <v>0.90647540000000004</v>
      </c>
      <c r="N3830">
        <v>0</v>
      </c>
      <c r="O3830">
        <v>-0.4219231</v>
      </c>
      <c r="P3830">
        <v>0.73437509999999995</v>
      </c>
      <c r="Q3830">
        <v>0.16676740000000001</v>
      </c>
      <c r="R3830">
        <v>-0.65793819999999903</v>
      </c>
      <c r="S3830">
        <v>1.790619</v>
      </c>
      <c r="T3830">
        <v>-0.24225640000000001</v>
      </c>
      <c r="U3830">
        <v>-2.6417079999999999</v>
      </c>
      <c r="V3830">
        <v>0.29326760000000002</v>
      </c>
      <c r="W3830">
        <v>0.17170539999999901</v>
      </c>
      <c r="X3830">
        <v>0.9404846</v>
      </c>
      <c r="Y3830">
        <v>0.51339440000000003</v>
      </c>
      <c r="Z3830">
        <v>1.299748E-2</v>
      </c>
      <c r="AA3830">
        <v>0.85805439999999999</v>
      </c>
      <c r="AB3830">
        <v>40</v>
      </c>
      <c r="AC3830">
        <v>7.7299000000000104</v>
      </c>
      <c r="AD3830">
        <v>-1.0944336047509999</v>
      </c>
      <c r="AE3830">
        <v>-11.7652999999999</v>
      </c>
      <c r="AF3830">
        <v>7.3600951037466196</v>
      </c>
      <c r="AG3830">
        <v>-1.0944336047509999</v>
      </c>
      <c r="AH3830">
        <v>11.900782044914701</v>
      </c>
      <c r="AI3830">
        <v>94.472217240317505</v>
      </c>
      <c r="AJ3830">
        <v>58.265084552195603</v>
      </c>
      <c r="AK3830">
        <v>14.035576159601201</v>
      </c>
      <c r="AL3830">
        <v>80.113010126868502</v>
      </c>
      <c r="AM3830">
        <v>72.681161031796194</v>
      </c>
      <c r="AN3830">
        <v>0.99999995621803905</v>
      </c>
    </row>
    <row r="3831" spans="1:40" x14ac:dyDescent="0.25">
      <c r="A3831" t="str">
        <f>"20190312172446889"</f>
        <v>20190312172446889</v>
      </c>
      <c r="B3831" t="str">
        <f>"1552382686884011"</f>
        <v>1552382686884011</v>
      </c>
      <c r="C3831" t="s">
        <v>40</v>
      </c>
      <c r="D3831">
        <v>3.808049</v>
      </c>
      <c r="E3831">
        <v>0.60273710000000003</v>
      </c>
      <c r="F3831" t="s">
        <v>46</v>
      </c>
      <c r="G3831">
        <v>-188.47900000000001</v>
      </c>
      <c r="H3831" s="1">
        <v>7.4543029999999998E-6</v>
      </c>
      <c r="I3831">
        <v>199.9804</v>
      </c>
      <c r="J3831">
        <v>-196.05869999999999</v>
      </c>
      <c r="K3831">
        <v>1.094233</v>
      </c>
      <c r="L3831">
        <v>211.96190000000001</v>
      </c>
      <c r="M3831">
        <v>0.89959029999999995</v>
      </c>
      <c r="N3831">
        <v>0</v>
      </c>
      <c r="O3831">
        <v>-0.43640889999999999</v>
      </c>
      <c r="P3831">
        <v>0.72341480000000002</v>
      </c>
      <c r="Q3831">
        <v>0.1671937</v>
      </c>
      <c r="R3831">
        <v>-0.66986389999999996</v>
      </c>
      <c r="S3831">
        <v>1.745895</v>
      </c>
      <c r="T3831">
        <v>-0.24041760000000001</v>
      </c>
      <c r="U3831">
        <v>-2.6719210000000002</v>
      </c>
      <c r="V3831">
        <v>0.29371009999999997</v>
      </c>
      <c r="W3831">
        <v>0.17202619999999999</v>
      </c>
      <c r="X3831">
        <v>0.94028789999999995</v>
      </c>
      <c r="Y3831">
        <v>0.51417360000000001</v>
      </c>
      <c r="Z3831">
        <v>1.4096869999999999E-2</v>
      </c>
      <c r="AA3831">
        <v>0.85757030000000001</v>
      </c>
      <c r="AB3831">
        <v>39</v>
      </c>
      <c r="AC3831">
        <v>7.5796999999999697</v>
      </c>
      <c r="AD3831">
        <v>-1.094225545697</v>
      </c>
      <c r="AE3831">
        <v>-11.9815</v>
      </c>
      <c r="AF3831">
        <v>7.4274135143272604</v>
      </c>
      <c r="AG3831">
        <v>-1.094225545697</v>
      </c>
      <c r="AH3831">
        <v>11.9778249768385</v>
      </c>
      <c r="AI3831">
        <v>94.439473953549594</v>
      </c>
      <c r="AJ3831">
        <v>58.197072217217901</v>
      </c>
      <c r="AK3831">
        <v>14.1361979412232</v>
      </c>
      <c r="AL3831">
        <v>80.094352308157198</v>
      </c>
      <c r="AM3831">
        <v>72.653185063273597</v>
      </c>
      <c r="AN3831">
        <v>0.99999998560742898</v>
      </c>
    </row>
    <row r="3832" spans="1:40" x14ac:dyDescent="0.25">
      <c r="A3832" t="str">
        <f>"20190312172446912"</f>
        <v>20190312172446912</v>
      </c>
      <c r="B3832" t="str">
        <f>"1552382686904511"</f>
        <v>1552382686904511</v>
      </c>
      <c r="C3832" t="s">
        <v>40</v>
      </c>
      <c r="D3832">
        <v>3.7486199999999998</v>
      </c>
      <c r="E3832">
        <v>0.60196569999999905</v>
      </c>
      <c r="F3832" t="s">
        <v>43</v>
      </c>
      <c r="G3832">
        <v>-188.1884</v>
      </c>
      <c r="H3832" s="1">
        <v>-4.5549789999999996E-6</v>
      </c>
      <c r="I3832">
        <v>199.50149999999999</v>
      </c>
      <c r="J3832">
        <v>-195.7046</v>
      </c>
      <c r="K3832">
        <v>1.094047</v>
      </c>
      <c r="L3832">
        <v>211.78020000000001</v>
      </c>
      <c r="M3832">
        <v>0.89260699999999904</v>
      </c>
      <c r="N3832">
        <v>0</v>
      </c>
      <c r="O3832">
        <v>-0.45051780000000002</v>
      </c>
      <c r="P3832">
        <v>0.71247349999999998</v>
      </c>
      <c r="Q3832">
        <v>0.16761239999999999</v>
      </c>
      <c r="R3832">
        <v>-0.68138710000000002</v>
      </c>
      <c r="S3832">
        <v>1.703857</v>
      </c>
      <c r="T3832">
        <v>-0.23689399999999999</v>
      </c>
      <c r="U3832">
        <v>-2.6975859999999998</v>
      </c>
      <c r="V3832">
        <v>0.294132</v>
      </c>
      <c r="W3832">
        <v>0.1723471</v>
      </c>
      <c r="X3832">
        <v>0.94009730000000002</v>
      </c>
      <c r="Y3832">
        <v>0.51393990000000001</v>
      </c>
      <c r="Z3832">
        <v>1.509451E-2</v>
      </c>
      <c r="AA3832">
        <v>0.85769340000000005</v>
      </c>
      <c r="AB3832">
        <v>39</v>
      </c>
      <c r="AC3832">
        <v>7.5161999999999898</v>
      </c>
      <c r="AD3832">
        <v>-1.094051554979</v>
      </c>
      <c r="AE3832">
        <v>-12.278700000000001</v>
      </c>
      <c r="AF3832">
        <v>7.5314616470943001</v>
      </c>
      <c r="AG3832">
        <v>-1.094051554979</v>
      </c>
      <c r="AH3832">
        <v>12.172243137228399</v>
      </c>
      <c r="AI3832">
        <v>94.3707931249658</v>
      </c>
      <c r="AJ3832">
        <v>58.253236887543103</v>
      </c>
      <c r="AK3832">
        <v>14.355604004652999</v>
      </c>
      <c r="AL3832">
        <v>80.075687912483403</v>
      </c>
      <c r="AM3832">
        <v>72.626455428948205</v>
      </c>
      <c r="AN3832">
        <v>1.0000000448848401</v>
      </c>
    </row>
    <row r="3833" spans="1:40" x14ac:dyDescent="0.25">
      <c r="A3833" t="str">
        <f>"20190312172446933"</f>
        <v>20190312172446933</v>
      </c>
      <c r="B3833" t="str">
        <f>"1552382686924027"</f>
        <v>1552382686924027</v>
      </c>
      <c r="C3833" t="s">
        <v>40</v>
      </c>
      <c r="D3833">
        <v>3.8060049999999999</v>
      </c>
      <c r="E3833">
        <v>0.6012267</v>
      </c>
      <c r="F3833" t="s">
        <v>43</v>
      </c>
      <c r="G3833">
        <v>-187.922</v>
      </c>
      <c r="H3833" s="1">
        <v>-4.4135659999999999E-6</v>
      </c>
      <c r="I3833">
        <v>199.0617</v>
      </c>
      <c r="J3833">
        <v>-195.36179999999999</v>
      </c>
      <c r="K3833">
        <v>1.093874</v>
      </c>
      <c r="L3833">
        <v>211.5975</v>
      </c>
      <c r="M3833">
        <v>0.88550079999999998</v>
      </c>
      <c r="N3833">
        <v>0</v>
      </c>
      <c r="O3833">
        <v>-0.46432800000000002</v>
      </c>
      <c r="P3833">
        <v>0.70161560000000001</v>
      </c>
      <c r="Q3833">
        <v>0.1679715</v>
      </c>
      <c r="R3833">
        <v>-0.69247479999999995</v>
      </c>
      <c r="S3833">
        <v>1.6644129999999999</v>
      </c>
      <c r="T3833">
        <v>-0.23397699999999999</v>
      </c>
      <c r="U3833">
        <v>-2.7200160000000002</v>
      </c>
      <c r="V3833">
        <v>0.2943944</v>
      </c>
      <c r="W3833">
        <v>0.17262230000000001</v>
      </c>
      <c r="X3833">
        <v>0.93996460000000004</v>
      </c>
      <c r="Y3833">
        <v>0.51284209999999997</v>
      </c>
      <c r="Z3833">
        <v>1.611769E-2</v>
      </c>
      <c r="AA3833">
        <v>0.85833169999999903</v>
      </c>
      <c r="AB3833">
        <v>39</v>
      </c>
      <c r="AC3833">
        <v>7.4397999999999902</v>
      </c>
      <c r="AD3833">
        <v>-1.093878413566</v>
      </c>
      <c r="AE3833">
        <v>-12.535799999999901</v>
      </c>
      <c r="AF3833">
        <v>7.6042346814634501</v>
      </c>
      <c r="AG3833">
        <v>-1.093878413566</v>
      </c>
      <c r="AH3833">
        <v>12.3409660713422</v>
      </c>
      <c r="AI3833">
        <v>94.3155055752175</v>
      </c>
      <c r="AJ3833">
        <v>58.359528320740701</v>
      </c>
      <c r="AK3833">
        <v>14.5368634391486</v>
      </c>
      <c r="AL3833">
        <v>80.059679595104299</v>
      </c>
      <c r="AM3833">
        <v>72.609583327117505</v>
      </c>
      <c r="AN3833">
        <v>0.99999998523090505</v>
      </c>
    </row>
    <row r="3834" spans="1:40" x14ac:dyDescent="0.25">
      <c r="A3834" t="str">
        <f>"20190312172446957"</f>
        <v>20190312172446957</v>
      </c>
      <c r="B3834" t="str">
        <f>"1552382686944525"</f>
        <v>1552382686944525</v>
      </c>
      <c r="C3834" t="s">
        <v>40</v>
      </c>
      <c r="D3834">
        <v>3.7628979999999999</v>
      </c>
      <c r="E3834">
        <v>0.60051089999999996</v>
      </c>
      <c r="F3834" t="s">
        <v>43</v>
      </c>
      <c r="G3834">
        <v>-187.7072</v>
      </c>
      <c r="H3834" s="1">
        <v>-4.2912700000000003E-6</v>
      </c>
      <c r="I3834">
        <v>198.68780000000001</v>
      </c>
      <c r="J3834">
        <v>-194.99950000000001</v>
      </c>
      <c r="K3834">
        <v>1.093699</v>
      </c>
      <c r="L3834">
        <v>211.3972</v>
      </c>
      <c r="M3834">
        <v>0.87760629999999995</v>
      </c>
      <c r="N3834">
        <v>0</v>
      </c>
      <c r="O3834">
        <v>-0.4790798</v>
      </c>
      <c r="P3834">
        <v>0.68968739999999995</v>
      </c>
      <c r="Q3834">
        <v>0.1688016</v>
      </c>
      <c r="R3834">
        <v>-0.70415699999999903</v>
      </c>
      <c r="S3834">
        <v>1.6255649999999999</v>
      </c>
      <c r="T3834">
        <v>-0.23230100000000001</v>
      </c>
      <c r="U3834">
        <v>-2.7415769999999999</v>
      </c>
      <c r="V3834">
        <v>0.29464790000000002</v>
      </c>
      <c r="W3834">
        <v>0.17336670000000001</v>
      </c>
      <c r="X3834">
        <v>0.93974820000000003</v>
      </c>
      <c r="Y3834">
        <v>0.51046590000000003</v>
      </c>
      <c r="Z3834">
        <v>1.7337249999999998E-2</v>
      </c>
      <c r="AA3834">
        <v>0.85972329999999997</v>
      </c>
      <c r="AB3834">
        <v>39</v>
      </c>
      <c r="AC3834">
        <v>7.2923000000000098</v>
      </c>
      <c r="AD3834">
        <v>-1.09370329127</v>
      </c>
      <c r="AE3834">
        <v>-12.709399999999899</v>
      </c>
      <c r="AF3834">
        <v>7.6189187970693997</v>
      </c>
      <c r="AG3834">
        <v>-1.09370329127</v>
      </c>
      <c r="AH3834">
        <v>12.4211930012195</v>
      </c>
      <c r="AI3834">
        <v>94.292387006442695</v>
      </c>
      <c r="AJ3834">
        <v>58.475854957297997</v>
      </c>
      <c r="AK3834">
        <v>14.612670738068999</v>
      </c>
      <c r="AL3834">
        <v>80.016376250875098</v>
      </c>
      <c r="AM3834">
        <v>72.591746895634003</v>
      </c>
      <c r="AN3834">
        <v>1.0000000385232599</v>
      </c>
    </row>
    <row r="3835" spans="1:40" x14ac:dyDescent="0.25">
      <c r="A3835" t="str">
        <f>"20190312172446979"</f>
        <v>20190312172446979</v>
      </c>
      <c r="B3835" t="str">
        <f>"1552382686974781"</f>
        <v>1552382686974781</v>
      </c>
      <c r="C3835" t="s">
        <v>40</v>
      </c>
      <c r="D3835">
        <v>3.782918</v>
      </c>
      <c r="E3835">
        <v>0.59937079999999998</v>
      </c>
      <c r="F3835" t="s">
        <v>43</v>
      </c>
      <c r="G3835">
        <v>-187.44810000000001</v>
      </c>
      <c r="H3835" s="1">
        <v>-4.1294989999999998E-6</v>
      </c>
      <c r="I3835">
        <v>198.20359999999999</v>
      </c>
      <c r="J3835">
        <v>-194.64949999999999</v>
      </c>
      <c r="K3835">
        <v>1.09355</v>
      </c>
      <c r="L3835">
        <v>211.1962</v>
      </c>
      <c r="M3835">
        <v>0.86959219999999904</v>
      </c>
      <c r="N3835">
        <v>0</v>
      </c>
      <c r="O3835">
        <v>-0.49347609999999997</v>
      </c>
      <c r="P3835">
        <v>0.67777030000000005</v>
      </c>
      <c r="Q3835">
        <v>0.17023540000000001</v>
      </c>
      <c r="R3835">
        <v>-0.71529540000000003</v>
      </c>
      <c r="S3835">
        <v>1.5826720000000001</v>
      </c>
      <c r="T3835">
        <v>-0.22922409999999999</v>
      </c>
      <c r="U3835">
        <v>-2.7651979999999998</v>
      </c>
      <c r="V3835">
        <v>0.29476449999999998</v>
      </c>
      <c r="W3835">
        <v>0.17472560000000001</v>
      </c>
      <c r="X3835">
        <v>0.93945990000000001</v>
      </c>
      <c r="Y3835">
        <v>0.50953470000000001</v>
      </c>
      <c r="Z3835">
        <v>1.8342870000000001E-2</v>
      </c>
      <c r="AA3835">
        <v>0.86025459999999998</v>
      </c>
      <c r="AB3835">
        <v>39</v>
      </c>
      <c r="AC3835">
        <v>7.2013999999999703</v>
      </c>
      <c r="AD3835">
        <v>-1.0935541294990001</v>
      </c>
      <c r="AE3835">
        <v>-12.992599999999999</v>
      </c>
      <c r="AF3835">
        <v>7.7039212140134996</v>
      </c>
      <c r="AG3835">
        <v>-1.0935541294990001</v>
      </c>
      <c r="AH3835">
        <v>12.6073389719049</v>
      </c>
      <c r="AI3835">
        <v>94.2330115773008</v>
      </c>
      <c r="AJ3835">
        <v>58.572299695485697</v>
      </c>
      <c r="AK3835">
        <v>14.815237381101401</v>
      </c>
      <c r="AL3835">
        <v>79.937310127387306</v>
      </c>
      <c r="AM3835">
        <v>72.580253462449093</v>
      </c>
      <c r="AN3835">
        <v>1.0000000247317999</v>
      </c>
    </row>
    <row r="3836" spans="1:40" x14ac:dyDescent="0.25">
      <c r="A3836" t="str">
        <f>"20190312172447003"</f>
        <v>20190312172447003</v>
      </c>
      <c r="B3836" t="str">
        <f>"1552382686994300"</f>
        <v>1552382686994300</v>
      </c>
      <c r="C3836" t="s">
        <v>40</v>
      </c>
      <c r="D3836">
        <v>3.8007930000000001</v>
      </c>
      <c r="E3836">
        <v>0.59887190000000001</v>
      </c>
      <c r="F3836" t="s">
        <v>43</v>
      </c>
      <c r="G3836">
        <v>-187.16069999999999</v>
      </c>
      <c r="H3836" s="1">
        <v>-3.9592600000000001E-6</v>
      </c>
      <c r="I3836">
        <v>197.68790000000001</v>
      </c>
      <c r="J3836">
        <v>-194.3099</v>
      </c>
      <c r="K3836">
        <v>1.093404</v>
      </c>
      <c r="L3836">
        <v>210.99350000000001</v>
      </c>
      <c r="M3836">
        <v>0.86142949999999996</v>
      </c>
      <c r="N3836">
        <v>0</v>
      </c>
      <c r="O3836">
        <v>-0.50758930000000002</v>
      </c>
      <c r="P3836">
        <v>0.66588910000000001</v>
      </c>
      <c r="Q3836">
        <v>0.1710594</v>
      </c>
      <c r="R3836">
        <v>-0.72617519999999902</v>
      </c>
      <c r="S3836">
        <v>1.543884</v>
      </c>
      <c r="T3836">
        <v>-0.2254448</v>
      </c>
      <c r="U3836">
        <v>-2.7848359999999999</v>
      </c>
      <c r="V3836">
        <v>0.29485739999999999</v>
      </c>
      <c r="W3836">
        <v>0.17548279999999999</v>
      </c>
      <c r="X3836">
        <v>0.93928959999999995</v>
      </c>
      <c r="Y3836">
        <v>0.50726640000000001</v>
      </c>
      <c r="Z3836">
        <v>1.9293910000000001E-2</v>
      </c>
      <c r="AA3836">
        <v>0.86157329999999999</v>
      </c>
      <c r="AB3836">
        <v>39</v>
      </c>
      <c r="AC3836">
        <v>7.1492000000000004</v>
      </c>
      <c r="AD3836">
        <v>-1.0934079592599999</v>
      </c>
      <c r="AE3836">
        <v>-13.305599999999901</v>
      </c>
      <c r="AF3836">
        <v>7.7932860432736497</v>
      </c>
      <c r="AG3836">
        <v>-1.0934079592599999</v>
      </c>
      <c r="AH3836">
        <v>12.846880037842899</v>
      </c>
      <c r="AI3836">
        <v>94.161976243622505</v>
      </c>
      <c r="AJ3836">
        <v>58.757798106849101</v>
      </c>
      <c r="AK3836">
        <v>15.0656289289357</v>
      </c>
      <c r="AL3836">
        <v>79.893244965469705</v>
      </c>
      <c r="AM3836">
        <v>72.572127618648807</v>
      </c>
      <c r="AN3836">
        <v>1.00000002604937</v>
      </c>
    </row>
    <row r="3837" spans="1:40" x14ac:dyDescent="0.25">
      <c r="A3837" t="str">
        <f>"20190312172447025"</f>
        <v>20190312172447025</v>
      </c>
      <c r="B3837" t="str">
        <f>"1552382687013820"</f>
        <v>1552382687013820</v>
      </c>
      <c r="C3837" t="s">
        <v>40</v>
      </c>
      <c r="D3837">
        <v>3.785933</v>
      </c>
      <c r="E3837">
        <v>0.58616569999999901</v>
      </c>
      <c r="F3837" t="s">
        <v>43</v>
      </c>
      <c r="G3837">
        <v>-186.93940000000001</v>
      </c>
      <c r="H3837" s="1">
        <v>-3.7932509999999999E-6</v>
      </c>
      <c r="I3837">
        <v>197.20939999999999</v>
      </c>
      <c r="J3837">
        <v>-193.96969999999999</v>
      </c>
      <c r="K3837">
        <v>1.093262</v>
      </c>
      <c r="L3837">
        <v>210.7824</v>
      </c>
      <c r="M3837">
        <v>0.85284889999999902</v>
      </c>
      <c r="N3837">
        <v>0</v>
      </c>
      <c r="O3837">
        <v>-0.52187629999999996</v>
      </c>
      <c r="P3837">
        <v>0.65364940000000005</v>
      </c>
      <c r="Q3837">
        <v>0.171961</v>
      </c>
      <c r="R3837">
        <v>-0.73700209999999999</v>
      </c>
      <c r="S3837">
        <v>1.501053</v>
      </c>
      <c r="T3837">
        <v>-0.2226783</v>
      </c>
      <c r="U3837">
        <v>-2.8072050000000002</v>
      </c>
      <c r="V3837">
        <v>0.29482930000000002</v>
      </c>
      <c r="W3837">
        <v>0.17632629999999999</v>
      </c>
      <c r="X3837">
        <v>0.93914039999999999</v>
      </c>
      <c r="Y3837">
        <v>0.50600449999999997</v>
      </c>
      <c r="Z3837">
        <v>2.0270529999999998E-2</v>
      </c>
      <c r="AA3837">
        <v>0.86229259999999996</v>
      </c>
      <c r="AB3837">
        <v>39</v>
      </c>
      <c r="AC3837">
        <v>7.03029999999998</v>
      </c>
      <c r="AD3837">
        <v>-1.0932657932509999</v>
      </c>
      <c r="AE3837">
        <v>-13.573</v>
      </c>
      <c r="AF3837">
        <v>7.8676865667596596</v>
      </c>
      <c r="AG3837">
        <v>-1.0932657932509999</v>
      </c>
      <c r="AH3837">
        <v>13.014557735961599</v>
      </c>
      <c r="AI3837">
        <v>94.111815675709593</v>
      </c>
      <c r="AJ3837">
        <v>58.845792283708803</v>
      </c>
      <c r="AK3837">
        <v>15.2471123518567</v>
      </c>
      <c r="AL3837">
        <v>79.844150040046102</v>
      </c>
      <c r="AM3837">
        <v>72.571087091597406</v>
      </c>
      <c r="AN3837">
        <v>0.99999998556116998</v>
      </c>
    </row>
    <row r="3838" spans="1:40" x14ac:dyDescent="0.25">
      <c r="A3838" t="str">
        <f>"20190312172447046"</f>
        <v>20190312172447046</v>
      </c>
      <c r="B3838" t="str">
        <f>"1552382687034316"</f>
        <v>1552382687034316</v>
      </c>
      <c r="C3838" t="s">
        <v>40</v>
      </c>
      <c r="D3838">
        <v>3.7725499999999998</v>
      </c>
      <c r="E3838">
        <v>0.58574099999999996</v>
      </c>
      <c r="F3838" t="s">
        <v>43</v>
      </c>
      <c r="G3838">
        <v>-186.82159999999999</v>
      </c>
      <c r="H3838" s="1">
        <v>-4.1000060000000003E-6</v>
      </c>
      <c r="I3838">
        <v>197.87569999999999</v>
      </c>
      <c r="J3838">
        <v>-193.65280000000001</v>
      </c>
      <c r="K3838">
        <v>1.093137</v>
      </c>
      <c r="L3838">
        <v>210.5789</v>
      </c>
      <c r="M3838">
        <v>0.84449640000000004</v>
      </c>
      <c r="N3838">
        <v>0</v>
      </c>
      <c r="O3838">
        <v>-0.53528560000000003</v>
      </c>
      <c r="P3838">
        <v>0.64207919999999996</v>
      </c>
      <c r="Q3838">
        <v>0.1725216</v>
      </c>
      <c r="R3838">
        <v>-0.74697429999999998</v>
      </c>
      <c r="S3838">
        <v>1.5321199999999999</v>
      </c>
      <c r="T3838">
        <v>-0.2343298</v>
      </c>
      <c r="U3838">
        <v>-2.7664029999999999</v>
      </c>
      <c r="V3838">
        <v>0.29459839999999998</v>
      </c>
      <c r="W3838">
        <v>0.17684830000000001</v>
      </c>
      <c r="X3838">
        <v>0.93911469999999997</v>
      </c>
      <c r="Y3838">
        <v>0.47949920000000001</v>
      </c>
      <c r="Z3838">
        <v>2.3645550000000001E-2</v>
      </c>
      <c r="AA3838">
        <v>0.87722369999999905</v>
      </c>
      <c r="AB3838">
        <v>39</v>
      </c>
      <c r="AC3838">
        <v>6.8312000000000204</v>
      </c>
      <c r="AD3838">
        <v>-1.0931411000059901</v>
      </c>
      <c r="AE3838">
        <v>-12.703200000000001</v>
      </c>
      <c r="AF3838">
        <v>7.0318168617846704</v>
      </c>
      <c r="AG3838">
        <v>-1.0931411000059901</v>
      </c>
      <c r="AH3838">
        <v>12.4988261537668</v>
      </c>
      <c r="AI3838">
        <v>94.3589054020498</v>
      </c>
      <c r="AJ3838">
        <v>60.637973357727098</v>
      </c>
      <c r="AK3838">
        <v>14.3827000616812</v>
      </c>
      <c r="AL3838">
        <v>79.813764060885106</v>
      </c>
      <c r="AM3838">
        <v>72.583463333295796</v>
      </c>
      <c r="AN3838">
        <v>0.99999997912576899</v>
      </c>
    </row>
    <row r="3839" spans="1:40" x14ac:dyDescent="0.25">
      <c r="A3839" t="str">
        <f>"20190312172447068"</f>
        <v>20190312172447068</v>
      </c>
      <c r="B3839" t="str">
        <f>"1552382687064572"</f>
        <v>1552382687064572</v>
      </c>
      <c r="C3839" t="s">
        <v>40</v>
      </c>
      <c r="D3839">
        <v>3.8118639999999999</v>
      </c>
      <c r="E3839">
        <v>0.58467389999999997</v>
      </c>
      <c r="F3839" t="s">
        <v>43</v>
      </c>
      <c r="G3839">
        <v>-186.72659999999999</v>
      </c>
      <c r="H3839" s="1">
        <v>-4.013947E-6</v>
      </c>
      <c r="I3839">
        <v>197.63589999999999</v>
      </c>
      <c r="J3839">
        <v>-193.32230000000001</v>
      </c>
      <c r="K3839">
        <v>1.0930150000000001</v>
      </c>
      <c r="L3839">
        <v>210.35890000000001</v>
      </c>
      <c r="M3839">
        <v>0.83539200000000002</v>
      </c>
      <c r="N3839">
        <v>0</v>
      </c>
      <c r="O3839">
        <v>-0.54938520000000002</v>
      </c>
      <c r="P3839">
        <v>0.62964770000000003</v>
      </c>
      <c r="Q3839">
        <v>0.1725978</v>
      </c>
      <c r="R3839">
        <v>-0.75746559999999996</v>
      </c>
      <c r="S3839">
        <v>1.4920040000000001</v>
      </c>
      <c r="T3839">
        <v>-0.23547940000000001</v>
      </c>
      <c r="U3839">
        <v>-2.788116</v>
      </c>
      <c r="V3839">
        <v>0.2943926</v>
      </c>
      <c r="W3839">
        <v>0.17688719999999999</v>
      </c>
      <c r="X3839">
        <v>0.93917200000000001</v>
      </c>
      <c r="Y3839">
        <v>0.47745080000000001</v>
      </c>
      <c r="Z3839">
        <v>2.505951E-2</v>
      </c>
      <c r="AA3839">
        <v>0.87830109999999995</v>
      </c>
      <c r="AB3839">
        <v>39</v>
      </c>
      <c r="AC3839">
        <v>6.5957000000000203</v>
      </c>
      <c r="AD3839">
        <v>-1.093019013947</v>
      </c>
      <c r="AE3839">
        <v>-12.723000000000001</v>
      </c>
      <c r="AF3839">
        <v>6.9656305151839</v>
      </c>
      <c r="AG3839">
        <v>-1.093019013947</v>
      </c>
      <c r="AH3839">
        <v>12.429371907487299</v>
      </c>
      <c r="AI3839">
        <v>94.386747383541604</v>
      </c>
      <c r="AJ3839">
        <v>60.7329912630683</v>
      </c>
      <c r="AK3839">
        <v>14.2899959780801</v>
      </c>
      <c r="AL3839">
        <v>79.811500438708407</v>
      </c>
      <c r="AM3839">
        <v>72.595892881352597</v>
      </c>
      <c r="AN3839">
        <v>1.0000000650212899</v>
      </c>
    </row>
    <row r="3840" spans="1:40" x14ac:dyDescent="0.25">
      <c r="A3840" t="str">
        <f>"20190312172447091"</f>
        <v>20190312172447091</v>
      </c>
      <c r="B3840" t="str">
        <f>"1552382687084091"</f>
        <v>1552382687084091</v>
      </c>
      <c r="C3840" t="s">
        <v>40</v>
      </c>
      <c r="D3840">
        <v>3.8233130000000002</v>
      </c>
      <c r="E3840">
        <v>0.583790699999999</v>
      </c>
      <c r="F3840" t="s">
        <v>43</v>
      </c>
      <c r="G3840">
        <v>-186.7302</v>
      </c>
      <c r="H3840" s="1">
        <v>-4.0047620000000004E-6</v>
      </c>
      <c r="I3840">
        <v>197.61600000000001</v>
      </c>
      <c r="J3840">
        <v>-192.9939</v>
      </c>
      <c r="K3840">
        <v>1.092897</v>
      </c>
      <c r="L3840">
        <v>210.13229999999999</v>
      </c>
      <c r="M3840">
        <v>0.82593680000000003</v>
      </c>
      <c r="N3840">
        <v>0</v>
      </c>
      <c r="O3840">
        <v>-0.56349890000000002</v>
      </c>
      <c r="P3840">
        <v>0.61635090000000003</v>
      </c>
      <c r="Q3840">
        <v>0.1733556</v>
      </c>
      <c r="R3840">
        <v>-0.76815339999999999</v>
      </c>
      <c r="S3840">
        <v>1.452591</v>
      </c>
      <c r="T3840">
        <v>-0.2408516</v>
      </c>
      <c r="U3840">
        <v>-2.8079529999999999</v>
      </c>
      <c r="V3840">
        <v>0.29474289999999997</v>
      </c>
      <c r="W3840">
        <v>0.17758370000000001</v>
      </c>
      <c r="X3840">
        <v>0.93893059999999995</v>
      </c>
      <c r="Y3840">
        <v>0.47480719999999998</v>
      </c>
      <c r="Z3840">
        <v>2.6991339999999999E-2</v>
      </c>
      <c r="AA3840">
        <v>0.87967589999999996</v>
      </c>
      <c r="AB3840">
        <v>39</v>
      </c>
      <c r="AC3840">
        <v>6.2637</v>
      </c>
      <c r="AD3840">
        <v>-1.092901004762</v>
      </c>
      <c r="AE3840">
        <v>-12.516299999999999</v>
      </c>
      <c r="AF3840">
        <v>6.7678310107289903</v>
      </c>
      <c r="AG3840">
        <v>-1.092901004762</v>
      </c>
      <c r="AH3840">
        <v>12.154051758145901</v>
      </c>
      <c r="AI3840">
        <v>94.492047720022299</v>
      </c>
      <c r="AJ3840">
        <v>60.889302381410197</v>
      </c>
      <c r="AK3840">
        <v>13.9541729721142</v>
      </c>
      <c r="AL3840">
        <v>79.770951413480404</v>
      </c>
      <c r="AM3840">
        <v>72.572227850281195</v>
      </c>
      <c r="AN3840">
        <v>1.00000000961122</v>
      </c>
    </row>
    <row r="3841" spans="1:40" x14ac:dyDescent="0.25">
      <c r="A3841" t="str">
        <f>"20190312172447113"</f>
        <v>20190312172447113</v>
      </c>
      <c r="B3841" t="str">
        <f>"1552382687104591"</f>
        <v>1552382687104591</v>
      </c>
      <c r="C3841" t="s">
        <v>40</v>
      </c>
      <c r="D3841">
        <v>3.7250040000000002</v>
      </c>
      <c r="E3841">
        <v>0.58349010000000001</v>
      </c>
      <c r="F3841" t="s">
        <v>43</v>
      </c>
      <c r="G3841">
        <v>-186.6026</v>
      </c>
      <c r="H3841" s="1">
        <v>-3.8913279999999901E-6</v>
      </c>
      <c r="I3841">
        <v>197.2988</v>
      </c>
      <c r="J3841">
        <v>-192.6756</v>
      </c>
      <c r="K3841">
        <v>1.0927960000000001</v>
      </c>
      <c r="L3841">
        <v>209.9049</v>
      </c>
      <c r="M3841">
        <v>0.81636509999999995</v>
      </c>
      <c r="N3841">
        <v>0</v>
      </c>
      <c r="O3841">
        <v>-0.57727779999999995</v>
      </c>
      <c r="P3841">
        <v>0.60322319999999996</v>
      </c>
      <c r="Q3841">
        <v>0.17426169999999999</v>
      </c>
      <c r="R3841">
        <v>-0.77830259999999996</v>
      </c>
      <c r="S3841">
        <v>1.409027</v>
      </c>
      <c r="T3841">
        <v>-0.24094080000000001</v>
      </c>
      <c r="U3841">
        <v>-2.829285</v>
      </c>
      <c r="V3841">
        <v>0.29484320000000003</v>
      </c>
      <c r="W3841">
        <v>0.1784433</v>
      </c>
      <c r="X3841">
        <v>0.93873609999999996</v>
      </c>
      <c r="Y3841">
        <v>0.47356359999999997</v>
      </c>
      <c r="Z3841">
        <v>2.828551E-2</v>
      </c>
      <c r="AA3841">
        <v>0.88030529999999996</v>
      </c>
      <c r="AB3841">
        <v>39</v>
      </c>
      <c r="AC3841">
        <v>6.0730000000000004</v>
      </c>
      <c r="AD3841">
        <v>-1.0927998913279999</v>
      </c>
      <c r="AE3841">
        <v>-12.6060999999999</v>
      </c>
      <c r="AF3841">
        <v>6.7452432782423299</v>
      </c>
      <c r="AG3841">
        <v>-1.0927998913279999</v>
      </c>
      <c r="AH3841">
        <v>12.1626490248451</v>
      </c>
      <c r="AI3841">
        <v>94.492745734499593</v>
      </c>
      <c r="AJ3841">
        <v>60.987832774070803</v>
      </c>
      <c r="AK3841">
        <v>13.9507186118395</v>
      </c>
      <c r="AL3841">
        <v>79.720900394824596</v>
      </c>
      <c r="AM3841">
        <v>72.5632633351876</v>
      </c>
      <c r="AN3841">
        <v>0.99999999467216905</v>
      </c>
    </row>
    <row r="3842" spans="1:40" x14ac:dyDescent="0.25">
      <c r="A3842" t="str">
        <f>"20190312172447135"</f>
        <v>20190312172447135</v>
      </c>
      <c r="B3842" t="str">
        <f>"1552382687124108"</f>
        <v>1552382687124108</v>
      </c>
      <c r="C3842" t="s">
        <v>40</v>
      </c>
      <c r="D3842">
        <v>3.7471299999999998</v>
      </c>
      <c r="E3842">
        <v>0.57768679999999994</v>
      </c>
      <c r="F3842" t="s">
        <v>43</v>
      </c>
      <c r="G3842">
        <v>-186.41040000000001</v>
      </c>
      <c r="H3842" s="1">
        <v>-3.709715E-6</v>
      </c>
      <c r="I3842">
        <v>196.79589999999999</v>
      </c>
      <c r="J3842">
        <v>-192.36330000000001</v>
      </c>
      <c r="K3842">
        <v>1.0926959999999999</v>
      </c>
      <c r="L3842">
        <v>209.6738</v>
      </c>
      <c r="M3842">
        <v>0.80656349999999999</v>
      </c>
      <c r="N3842">
        <v>0</v>
      </c>
      <c r="O3842">
        <v>-0.59089409999999998</v>
      </c>
      <c r="P3842">
        <v>0.58978609999999998</v>
      </c>
      <c r="Q3842">
        <v>0.1749358</v>
      </c>
      <c r="R3842">
        <v>-0.78838459999999999</v>
      </c>
      <c r="S3842">
        <v>1.3628389999999999</v>
      </c>
      <c r="T3842">
        <v>-0.2377087</v>
      </c>
      <c r="U3842">
        <v>-2.8515009999999998</v>
      </c>
      <c r="V3842">
        <v>0.29514230000000002</v>
      </c>
      <c r="W3842">
        <v>0.17906449999999999</v>
      </c>
      <c r="X3842">
        <v>0.93852380000000002</v>
      </c>
      <c r="Y3842">
        <v>0.47308230000000001</v>
      </c>
      <c r="Z3842">
        <v>2.9134449999999999E-2</v>
      </c>
      <c r="AA3842">
        <v>0.8805364</v>
      </c>
      <c r="AB3842">
        <v>39</v>
      </c>
      <c r="AC3842">
        <v>5.9528999999999996</v>
      </c>
      <c r="AD3842">
        <v>-1.092699709715</v>
      </c>
      <c r="AE3842">
        <v>-12.8779</v>
      </c>
      <c r="AF3842">
        <v>6.8298244147388703</v>
      </c>
      <c r="AG3842">
        <v>-1.092699709715</v>
      </c>
      <c r="AH3842">
        <v>12.339526802753999</v>
      </c>
      <c r="AI3842">
        <v>94.430247270095293</v>
      </c>
      <c r="AJ3842">
        <v>61.035840530018199</v>
      </c>
      <c r="AK3842">
        <v>14.145826801840199</v>
      </c>
      <c r="AL3842">
        <v>79.684725650667005</v>
      </c>
      <c r="AM3842">
        <v>72.542940229870595</v>
      </c>
      <c r="AN3842">
        <v>0.99999999778798998</v>
      </c>
    </row>
    <row r="3843" spans="1:40" x14ac:dyDescent="0.25">
      <c r="A3843" t="str">
        <f>"20190312172447158"</f>
        <v>20190312172447158</v>
      </c>
      <c r="B3843" t="str">
        <f>"1552382687154363"</f>
        <v>1552382687154363</v>
      </c>
      <c r="C3843" t="s">
        <v>40</v>
      </c>
      <c r="D3843">
        <v>3.7202329999999999</v>
      </c>
      <c r="E3843">
        <v>0.57679799999999903</v>
      </c>
      <c r="F3843" t="s">
        <v>43</v>
      </c>
      <c r="G3843">
        <v>-186.47229999999999</v>
      </c>
      <c r="H3843" s="1">
        <v>-3.8994229999999999E-6</v>
      </c>
      <c r="I3843">
        <v>197.2638</v>
      </c>
      <c r="J3843">
        <v>-192.04599999999999</v>
      </c>
      <c r="K3843">
        <v>1.0926119999999999</v>
      </c>
      <c r="L3843">
        <v>209.4307</v>
      </c>
      <c r="M3843">
        <v>0.7961703</v>
      </c>
      <c r="N3843">
        <v>0</v>
      </c>
      <c r="O3843">
        <v>-0.60482440000000004</v>
      </c>
      <c r="P3843">
        <v>0.57542219999999999</v>
      </c>
      <c r="Q3843">
        <v>0.17593420000000001</v>
      </c>
      <c r="R3843">
        <v>-0.79870959999999902</v>
      </c>
      <c r="S3843">
        <v>1.352463</v>
      </c>
      <c r="T3843">
        <v>-0.25086209999999998</v>
      </c>
      <c r="U3843">
        <v>-2.8491059999999999</v>
      </c>
      <c r="V3843">
        <v>0.2957224</v>
      </c>
      <c r="W3843">
        <v>0.17999789999999999</v>
      </c>
      <c r="X3843">
        <v>0.93816259999999996</v>
      </c>
      <c r="Y3843">
        <v>0.4601054</v>
      </c>
      <c r="Z3843">
        <v>3.2608400000000003E-2</v>
      </c>
      <c r="AA3843">
        <v>0.88726530000000003</v>
      </c>
      <c r="AB3843">
        <v>39</v>
      </c>
      <c r="AC3843">
        <v>5.5736999999999997</v>
      </c>
      <c r="AD3843">
        <v>-1.092615899423</v>
      </c>
      <c r="AE3843">
        <v>-12.166899999999901</v>
      </c>
      <c r="AF3843">
        <v>6.2749368589041099</v>
      </c>
      <c r="AG3843">
        <v>-1.092615899423</v>
      </c>
      <c r="AH3843">
        <v>11.720102291911299</v>
      </c>
      <c r="AI3843">
        <v>94.698433542885397</v>
      </c>
      <c r="AJ3843">
        <v>61.835425923047701</v>
      </c>
      <c r="AK3843">
        <v>13.339019447462</v>
      </c>
      <c r="AL3843">
        <v>79.630362754161794</v>
      </c>
      <c r="AM3843">
        <v>72.504395858514798</v>
      </c>
      <c r="AN3843">
        <v>1.0000000229524599</v>
      </c>
    </row>
    <row r="3844" spans="1:40" x14ac:dyDescent="0.25">
      <c r="A3844" t="str">
        <f>"20190312172447181"</f>
        <v>20190312172447181</v>
      </c>
      <c r="B3844" t="str">
        <f>"1552382687173883"</f>
        <v>1552382687173883</v>
      </c>
      <c r="C3844" t="s">
        <v>40</v>
      </c>
      <c r="D3844">
        <v>3.784332</v>
      </c>
      <c r="E3844">
        <v>0.57154719999999903</v>
      </c>
      <c r="F3844" t="s">
        <v>43</v>
      </c>
      <c r="G3844">
        <v>-186.36779999999999</v>
      </c>
      <c r="H3844" s="1">
        <v>-3.7917410000000001E-6</v>
      </c>
      <c r="I3844">
        <v>196.96950000000001</v>
      </c>
      <c r="J3844">
        <v>-191.73079999999999</v>
      </c>
      <c r="K3844">
        <v>1.092522</v>
      </c>
      <c r="L3844">
        <v>209.18049999999999</v>
      </c>
      <c r="M3844">
        <v>0.78539539999999997</v>
      </c>
      <c r="N3844">
        <v>0</v>
      </c>
      <c r="O3844">
        <v>-0.61875059999999904</v>
      </c>
      <c r="P3844">
        <v>0.56071539999999997</v>
      </c>
      <c r="Q3844">
        <v>0.17656830000000001</v>
      </c>
      <c r="R3844">
        <v>-0.80896349999999995</v>
      </c>
      <c r="S3844">
        <v>1.3075410000000001</v>
      </c>
      <c r="T3844">
        <v>-0.25160250000000001</v>
      </c>
      <c r="U3844">
        <v>-2.8694920000000002</v>
      </c>
      <c r="V3844">
        <v>0.29632150000000002</v>
      </c>
      <c r="W3844">
        <v>0.18056920000000001</v>
      </c>
      <c r="X3844">
        <v>0.93786369999999997</v>
      </c>
      <c r="Y3844">
        <v>0.45837719999999998</v>
      </c>
      <c r="Z3844">
        <v>3.4090250000000002E-2</v>
      </c>
      <c r="AA3844">
        <v>0.88810370000000005</v>
      </c>
      <c r="AB3844">
        <v>39</v>
      </c>
      <c r="AC3844">
        <v>5.3630000000000004</v>
      </c>
      <c r="AD3844">
        <v>-1.0925257917410001</v>
      </c>
      <c r="AE3844">
        <v>-12.210999999999901</v>
      </c>
      <c r="AF3844">
        <v>6.2312351183328998</v>
      </c>
      <c r="AG3844">
        <v>-1.0925257917410001</v>
      </c>
      <c r="AH3844">
        <v>11.6909618924184</v>
      </c>
      <c r="AI3844">
        <v>94.7143911021044</v>
      </c>
      <c r="AJ3844">
        <v>61.942565826514603</v>
      </c>
      <c r="AK3844">
        <v>13.2928737929593</v>
      </c>
      <c r="AL3844">
        <v>79.597084090021895</v>
      </c>
      <c r="AM3844">
        <v>72.465876146587902</v>
      </c>
      <c r="AN3844">
        <v>0.99999999356428904</v>
      </c>
    </row>
    <row r="3845" spans="1:40" x14ac:dyDescent="0.25">
      <c r="A3845" t="str">
        <f>"20190312172447203"</f>
        <v>20190312172447203</v>
      </c>
      <c r="B3845" t="str">
        <f>"1552382687194383"</f>
        <v>1552382687194383</v>
      </c>
      <c r="C3845" t="s">
        <v>40</v>
      </c>
      <c r="D3845">
        <v>4.0458150000000002</v>
      </c>
      <c r="E3845">
        <v>0.59092029999999995</v>
      </c>
      <c r="F3845" t="s">
        <v>43</v>
      </c>
      <c r="G3845">
        <v>-186.4598</v>
      </c>
      <c r="H3845" s="1">
        <v>-3.9842120000000002E-6</v>
      </c>
      <c r="I3845">
        <v>197.4563</v>
      </c>
      <c r="J3845">
        <v>-191.4383</v>
      </c>
      <c r="K3845">
        <v>1.09244599999999</v>
      </c>
      <c r="L3845">
        <v>208.93950000000001</v>
      </c>
      <c r="M3845">
        <v>0.77495139999999996</v>
      </c>
      <c r="N3845">
        <v>0</v>
      </c>
      <c r="O3845">
        <v>-0.63178159999999906</v>
      </c>
      <c r="P3845">
        <v>0.54634280000000002</v>
      </c>
      <c r="Q3845">
        <v>0.177315</v>
      </c>
      <c r="R3845">
        <v>-0.81857769999999996</v>
      </c>
      <c r="S3845">
        <v>1.291153</v>
      </c>
      <c r="T3845">
        <v>-0.267621</v>
      </c>
      <c r="U3845">
        <v>-2.8719329999999998</v>
      </c>
      <c r="V3845">
        <v>0.29716209999999998</v>
      </c>
      <c r="W3845">
        <v>0.1812464</v>
      </c>
      <c r="X3845">
        <v>0.93746700000000005</v>
      </c>
      <c r="Y3845">
        <v>0.44806570000000001</v>
      </c>
      <c r="Z3845">
        <v>3.8022149999999998E-2</v>
      </c>
      <c r="AA3845">
        <v>0.89319179999999998</v>
      </c>
      <c r="AB3845">
        <v>38</v>
      </c>
      <c r="AC3845">
        <v>4.9784999999999897</v>
      </c>
      <c r="AD3845">
        <v>-1.0924499842119999</v>
      </c>
      <c r="AE3845">
        <v>-11.4832</v>
      </c>
      <c r="AF3845">
        <v>5.71095774270134</v>
      </c>
      <c r="AG3845">
        <v>-1.0924499842119999</v>
      </c>
      <c r="AH3845">
        <v>11.030612625377399</v>
      </c>
      <c r="AI3845">
        <v>95.026203149058205</v>
      </c>
      <c r="AJ3845">
        <v>62.6277195546797</v>
      </c>
      <c r="AK3845">
        <v>12.4692782548975</v>
      </c>
      <c r="AL3845">
        <v>79.557632226725005</v>
      </c>
      <c r="AM3845">
        <v>72.412214581417302</v>
      </c>
      <c r="AN3845">
        <v>0.99999997363918403</v>
      </c>
    </row>
    <row r="3846" spans="1:40" x14ac:dyDescent="0.25">
      <c r="A3846" t="str">
        <f>"20190312172447224"</f>
        <v>20190312172447224</v>
      </c>
      <c r="B3846" t="str">
        <f>"1552382687213899"</f>
        <v>1552382687213899</v>
      </c>
      <c r="C3846" t="s">
        <v>40</v>
      </c>
      <c r="D3846">
        <v>3.7716249999999998</v>
      </c>
      <c r="E3846">
        <v>0.60819330000000005</v>
      </c>
      <c r="F3846" t="s">
        <v>43</v>
      </c>
      <c r="G3846">
        <v>-186.07220000000001</v>
      </c>
      <c r="H3846" s="1">
        <v>-2.8022009999999999E-6</v>
      </c>
      <c r="I3846">
        <v>194.54069999999999</v>
      </c>
      <c r="J3846">
        <v>-191.1516</v>
      </c>
      <c r="K3846">
        <v>1.092374</v>
      </c>
      <c r="L3846">
        <v>208.6951</v>
      </c>
      <c r="M3846">
        <v>0.76429469999999899</v>
      </c>
      <c r="N3846">
        <v>0</v>
      </c>
      <c r="O3846">
        <v>-0.64463190000000004</v>
      </c>
      <c r="P3846">
        <v>0.53166959999999996</v>
      </c>
      <c r="Q3846">
        <v>0.17786289999999999</v>
      </c>
      <c r="R3846">
        <v>-0.82806550000000001</v>
      </c>
      <c r="S3846">
        <v>1.1083529999999999</v>
      </c>
      <c r="T3846">
        <v>-0.22564509999999999</v>
      </c>
      <c r="U3846">
        <v>-2.9740600000000001</v>
      </c>
      <c r="V3846">
        <v>0.29818319999999998</v>
      </c>
      <c r="W3846">
        <v>0.18171860000000001</v>
      </c>
      <c r="X3846">
        <v>0.93705130000000003</v>
      </c>
      <c r="Y3846">
        <v>0.49122919999999998</v>
      </c>
      <c r="Z3846">
        <v>3.1511310000000001E-2</v>
      </c>
      <c r="AA3846">
        <v>0.87046019999999902</v>
      </c>
      <c r="AB3846">
        <v>38</v>
      </c>
      <c r="AC3846">
        <v>5.0793999999999899</v>
      </c>
      <c r="AD3846">
        <v>-1.0923768022010001</v>
      </c>
      <c r="AE3846">
        <v>-14.154400000000001</v>
      </c>
      <c r="AF3846">
        <v>7.5053314337588599</v>
      </c>
      <c r="AG3846">
        <v>-1.0923768022010001</v>
      </c>
      <c r="AH3846">
        <v>12.9402290193299</v>
      </c>
      <c r="AI3846">
        <v>94.176521833952904</v>
      </c>
      <c r="AJ3846">
        <v>59.8862714790205</v>
      </c>
      <c r="AK3846">
        <v>14.999093775334</v>
      </c>
      <c r="AL3846">
        <v>79.530120628069596</v>
      </c>
      <c r="AM3846">
        <v>72.348181569847995</v>
      </c>
      <c r="AN3846">
        <v>1.00000000458994</v>
      </c>
    </row>
    <row r="3847" spans="1:40" x14ac:dyDescent="0.25">
      <c r="A3847" t="str">
        <f>"20190312172447247"</f>
        <v>20190312172447247</v>
      </c>
      <c r="B3847" t="str">
        <f>"1552382687234396"</f>
        <v>1552382687234396</v>
      </c>
      <c r="C3847" t="s">
        <v>40</v>
      </c>
      <c r="D3847">
        <v>3.8016899999999998</v>
      </c>
      <c r="E3847">
        <v>0.618453699999999</v>
      </c>
      <c r="F3847" t="s">
        <v>43</v>
      </c>
      <c r="G3847">
        <v>-186.12620000000001</v>
      </c>
      <c r="H3847" s="1">
        <v>-1.924196E-6</v>
      </c>
      <c r="I3847">
        <v>192.27359999999999</v>
      </c>
      <c r="J3847">
        <v>-190.8604</v>
      </c>
      <c r="K3847">
        <v>1.0923069999999999</v>
      </c>
      <c r="L3847">
        <v>208.43799999999999</v>
      </c>
      <c r="M3847">
        <v>0.75301649999999998</v>
      </c>
      <c r="N3847">
        <v>0</v>
      </c>
      <c r="O3847">
        <v>-0.65777059999999998</v>
      </c>
      <c r="P3847">
        <v>0.51639399999999902</v>
      </c>
      <c r="Q3847">
        <v>0.17828359999999999</v>
      </c>
      <c r="R3847">
        <v>-0.83758739999999998</v>
      </c>
      <c r="S3847">
        <v>0.9378204</v>
      </c>
      <c r="T3847">
        <v>-0.2038548</v>
      </c>
      <c r="U3847">
        <v>-3.064514</v>
      </c>
      <c r="V3847">
        <v>0.29912450000000002</v>
      </c>
      <c r="W3847">
        <v>0.18207119999999999</v>
      </c>
      <c r="X3847">
        <v>0.93668280000000004</v>
      </c>
      <c r="Y3847">
        <v>0.52766709999999994</v>
      </c>
      <c r="Z3847">
        <v>2.8137079999999998E-2</v>
      </c>
      <c r="AA3847">
        <v>0.84898510000000005</v>
      </c>
      <c r="AB3847">
        <v>38</v>
      </c>
      <c r="AC3847">
        <v>4.73419999999998</v>
      </c>
      <c r="AD3847">
        <v>-1.092308924196</v>
      </c>
      <c r="AE3847">
        <v>-16.164400000000001</v>
      </c>
      <c r="AF3847">
        <v>9.0214784364098808</v>
      </c>
      <c r="AG3847">
        <v>-1.092308924196</v>
      </c>
      <c r="AH3847">
        <v>14.1400882590113</v>
      </c>
      <c r="AI3847">
        <v>93.726043313356598</v>
      </c>
      <c r="AJ3847">
        <v>57.461830326748299</v>
      </c>
      <c r="AK3847">
        <v>16.808399921976999</v>
      </c>
      <c r="AL3847">
        <v>79.509575649588996</v>
      </c>
      <c r="AM3847">
        <v>72.289403622261503</v>
      </c>
      <c r="AN3847">
        <v>1.0000000280927599</v>
      </c>
    </row>
    <row r="3848" spans="1:40" x14ac:dyDescent="0.25">
      <c r="A3848" t="str">
        <f>"20190312172447263"</f>
        <v>20190312172447263</v>
      </c>
      <c r="B3848" t="str">
        <f>"1552382687253916"</f>
        <v>1552382687253916</v>
      </c>
      <c r="C3848" t="s">
        <v>40</v>
      </c>
      <c r="D3848">
        <v>3.8033980000000001</v>
      </c>
      <c r="E3848">
        <v>0.62315619999999905</v>
      </c>
      <c r="F3848" t="s">
        <v>43</v>
      </c>
      <c r="G3848">
        <v>-186.36750000000001</v>
      </c>
      <c r="H3848" s="1">
        <v>-1.4764660000000001E-6</v>
      </c>
      <c r="I3848">
        <v>191.1465</v>
      </c>
      <c r="J3848">
        <v>-190.64789999999999</v>
      </c>
      <c r="K3848">
        <v>1.092257</v>
      </c>
      <c r="L3848">
        <v>208.24539999999999</v>
      </c>
      <c r="M3848">
        <v>0.74450709999999998</v>
      </c>
      <c r="N3848">
        <v>0</v>
      </c>
      <c r="O3848">
        <v>-0.66738599999999904</v>
      </c>
      <c r="P3848">
        <v>0.50524099999999905</v>
      </c>
      <c r="Q3848">
        <v>0.17860429999999999</v>
      </c>
      <c r="R3848">
        <v>-0.84429359999999998</v>
      </c>
      <c r="S3848">
        <v>0.811554</v>
      </c>
      <c r="T3848">
        <v>-0.1973048</v>
      </c>
      <c r="U3848">
        <v>-3.123383</v>
      </c>
      <c r="V3848">
        <v>0.29950290000000002</v>
      </c>
      <c r="W3848">
        <v>0.1823581</v>
      </c>
      <c r="X3848">
        <v>0.93650599999999995</v>
      </c>
      <c r="Y3848">
        <v>0.55280969999999996</v>
      </c>
      <c r="Z3848">
        <v>2.7045320000000001E-2</v>
      </c>
      <c r="AA3848">
        <v>0.83286859999999996</v>
      </c>
      <c r="AB3848">
        <v>38</v>
      </c>
      <c r="AC3848">
        <v>4.2803999999999798</v>
      </c>
      <c r="AD3848">
        <v>-1.0922584764659999</v>
      </c>
      <c r="AE3848">
        <v>-17.098899999999901</v>
      </c>
      <c r="AF3848">
        <v>9.8373059232407094</v>
      </c>
      <c r="AG3848">
        <v>-1.0922584764659999</v>
      </c>
      <c r="AH3848">
        <v>14.544732160397</v>
      </c>
      <c r="AI3848">
        <v>93.559481211218795</v>
      </c>
      <c r="AJ3848">
        <v>55.927609049324303</v>
      </c>
      <c r="AK3848">
        <v>17.593034133557602</v>
      </c>
      <c r="AL3848">
        <v>79.492857055693605</v>
      </c>
      <c r="AM3848">
        <v>72.265264075885597</v>
      </c>
      <c r="AN3848">
        <v>0.999999975890009</v>
      </c>
    </row>
    <row r="3849" spans="1:40" x14ac:dyDescent="0.25">
      <c r="A3849" t="str">
        <f>"20190312172447281"</f>
        <v>20190312172447281</v>
      </c>
      <c r="B3849" t="str">
        <f>"1552382687274411"</f>
        <v>1552382687274411</v>
      </c>
      <c r="C3849" t="s">
        <v>40</v>
      </c>
      <c r="D3849">
        <v>3.7989440000000001</v>
      </c>
      <c r="E3849">
        <v>0.62540549999999995</v>
      </c>
      <c r="F3849" t="s">
        <v>43</v>
      </c>
      <c r="G3849">
        <v>-186.5515</v>
      </c>
      <c r="H3849" s="1">
        <v>-1.290707E-6</v>
      </c>
      <c r="I3849">
        <v>190.74459999999999</v>
      </c>
      <c r="J3849">
        <v>-190.4213</v>
      </c>
      <c r="K3849">
        <v>1.092209</v>
      </c>
      <c r="L3849">
        <v>208.0341</v>
      </c>
      <c r="M3849">
        <v>0.73513909999999905</v>
      </c>
      <c r="N3849">
        <v>0</v>
      </c>
      <c r="O3849">
        <v>-0.67769080000000004</v>
      </c>
      <c r="P3849">
        <v>0.49279539999999999</v>
      </c>
      <c r="Q3849">
        <v>0.17929100000000001</v>
      </c>
      <c r="R3849">
        <v>-0.851473699999999</v>
      </c>
      <c r="S3849">
        <v>0.73806759999999905</v>
      </c>
      <c r="T3849">
        <v>-0.196797</v>
      </c>
      <c r="U3849">
        <v>-3.1531980000000002</v>
      </c>
      <c r="V3849">
        <v>0.30015029999999998</v>
      </c>
      <c r="W3849">
        <v>0.18299760000000001</v>
      </c>
      <c r="X3849">
        <v>0.93617399999999995</v>
      </c>
      <c r="Y3849">
        <v>0.56139609999999995</v>
      </c>
      <c r="Z3849">
        <v>2.7426209999999999E-2</v>
      </c>
      <c r="AA3849">
        <v>0.82709259999999996</v>
      </c>
      <c r="AB3849">
        <v>38</v>
      </c>
      <c r="AC3849">
        <v>3.8697999999999899</v>
      </c>
      <c r="AD3849">
        <v>-1.0922102907069999</v>
      </c>
      <c r="AE3849">
        <v>-17.2895</v>
      </c>
      <c r="AF3849">
        <v>10.0510049156343</v>
      </c>
      <c r="AG3849">
        <v>-1.0922102907069999</v>
      </c>
      <c r="AH3849">
        <v>14.508864451065</v>
      </c>
      <c r="AI3849">
        <v>93.540997689171704</v>
      </c>
      <c r="AJ3849">
        <v>55.287747750224902</v>
      </c>
      <c r="AK3849">
        <v>17.683969316660999</v>
      </c>
      <c r="AL3849">
        <v>79.455589988791303</v>
      </c>
      <c r="AM3849">
        <v>72.223432819179905</v>
      </c>
      <c r="AN3849">
        <v>1.00000004123592</v>
      </c>
    </row>
    <row r="3850" spans="1:40" x14ac:dyDescent="0.25">
      <c r="A3850" t="str">
        <f>"20190312172447304"</f>
        <v>20190312172447304</v>
      </c>
      <c r="B3850" t="str">
        <f>"1552382687293931"</f>
        <v>1552382687293931</v>
      </c>
      <c r="C3850" t="s">
        <v>40</v>
      </c>
      <c r="D3850">
        <v>3.7662990000000001</v>
      </c>
      <c r="E3850">
        <v>0.62666189999999999</v>
      </c>
      <c r="F3850" t="s">
        <v>43</v>
      </c>
      <c r="G3850">
        <v>-186.649</v>
      </c>
      <c r="H3850" s="1">
        <v>-1.1266580000000001E-6</v>
      </c>
      <c r="I3850">
        <v>190.33869999999999</v>
      </c>
      <c r="J3850">
        <v>-190.1386</v>
      </c>
      <c r="K3850">
        <v>1.092147</v>
      </c>
      <c r="L3850">
        <v>207.7612</v>
      </c>
      <c r="M3850">
        <v>0.72298090000000004</v>
      </c>
      <c r="N3850">
        <v>0</v>
      </c>
      <c r="O3850">
        <v>-0.69064619999999999</v>
      </c>
      <c r="P3850">
        <v>0.47695510000000002</v>
      </c>
      <c r="Q3850">
        <v>0.1799241</v>
      </c>
      <c r="R3850">
        <v>-0.86031440000000003</v>
      </c>
      <c r="S3850">
        <v>0.67643739999999997</v>
      </c>
      <c r="T3850">
        <v>-0.1958473</v>
      </c>
      <c r="U3850">
        <v>-3.173019</v>
      </c>
      <c r="V3850">
        <v>0.3007977</v>
      </c>
      <c r="W3850">
        <v>0.1835812</v>
      </c>
      <c r="X3850">
        <v>0.93585189999999996</v>
      </c>
      <c r="Y3850">
        <v>0.56314940000000002</v>
      </c>
      <c r="Z3850">
        <v>2.8199889999999998E-2</v>
      </c>
      <c r="AA3850">
        <v>0.82587379999999999</v>
      </c>
      <c r="AB3850">
        <v>38</v>
      </c>
      <c r="AC3850">
        <v>3.48959999999999</v>
      </c>
      <c r="AD3850">
        <v>-1.092148126658</v>
      </c>
      <c r="AE3850">
        <v>-17.422499999999999</v>
      </c>
      <c r="AF3850">
        <v>10.149273070505</v>
      </c>
      <c r="AG3850">
        <v>-1.092148126658</v>
      </c>
      <c r="AH3850">
        <v>14.503135754008801</v>
      </c>
      <c r="AI3850">
        <v>93.530531438638107</v>
      </c>
      <c r="AJ3850">
        <v>55.015727798062997</v>
      </c>
      <c r="AK3850">
        <v>17.735317253701702</v>
      </c>
      <c r="AL3850">
        <v>79.421575991992597</v>
      </c>
      <c r="AM3850">
        <v>72.1817680509767</v>
      </c>
      <c r="AN3850">
        <v>1.00000004602616</v>
      </c>
    </row>
    <row r="3851" spans="1:40" x14ac:dyDescent="0.25">
      <c r="A3851" t="str">
        <f>"20190312172447325"</f>
        <v>20190312172447325</v>
      </c>
      <c r="B3851" t="str">
        <f>"1552382687314428"</f>
        <v>1552382687314428</v>
      </c>
      <c r="C3851" t="s">
        <v>40</v>
      </c>
      <c r="D3851">
        <v>3.7606639999999998</v>
      </c>
      <c r="E3851">
        <v>0.62685459999999904</v>
      </c>
      <c r="F3851" t="s">
        <v>43</v>
      </c>
      <c r="G3851">
        <v>-186.73859999999999</v>
      </c>
      <c r="H3851" s="1">
        <v>-9.7314019999999998E-7</v>
      </c>
      <c r="I3851">
        <v>189.95769999999999</v>
      </c>
      <c r="J3851">
        <v>-189.87530000000001</v>
      </c>
      <c r="K3851">
        <v>1.092095</v>
      </c>
      <c r="L3851">
        <v>207.4983</v>
      </c>
      <c r="M3851">
        <v>0.71119670000000001</v>
      </c>
      <c r="N3851">
        <v>0</v>
      </c>
      <c r="O3851">
        <v>-0.70277449999999997</v>
      </c>
      <c r="P3851">
        <v>0.46179150000000002</v>
      </c>
      <c r="Q3851">
        <v>0.18058199999999999</v>
      </c>
      <c r="R3851">
        <v>-0.86841190000000001</v>
      </c>
      <c r="S3851">
        <v>0.60925289999999999</v>
      </c>
      <c r="T3851">
        <v>-0.19570480000000001</v>
      </c>
      <c r="U3851">
        <v>-3.1902620000000002</v>
      </c>
      <c r="V3851">
        <v>0.30134169999999999</v>
      </c>
      <c r="W3851">
        <v>0.18419659999999999</v>
      </c>
      <c r="X3851">
        <v>0.9355559</v>
      </c>
      <c r="Y3851">
        <v>0.5667972</v>
      </c>
      <c r="Z3851">
        <v>2.899266E-2</v>
      </c>
      <c r="AA3851">
        <v>0.8233471</v>
      </c>
      <c r="AB3851">
        <v>38</v>
      </c>
      <c r="AC3851">
        <v>3.13670000000001</v>
      </c>
      <c r="AD3851">
        <v>-1.0920959731402</v>
      </c>
      <c r="AE3851">
        <v>-17.540600000000001</v>
      </c>
      <c r="AF3851">
        <v>10.233561760259599</v>
      </c>
      <c r="AG3851">
        <v>-1.0920959731402</v>
      </c>
      <c r="AH3851">
        <v>14.5056463108979</v>
      </c>
      <c r="AI3851">
        <v>93.520343128254297</v>
      </c>
      <c r="AJ3851">
        <v>54.797484187985198</v>
      </c>
      <c r="AK3851">
        <v>17.785731213882201</v>
      </c>
      <c r="AL3851">
        <v>79.385704226499598</v>
      </c>
      <c r="AM3851">
        <v>72.1462977427759</v>
      </c>
      <c r="AN3851">
        <v>1.00000002481762</v>
      </c>
    </row>
    <row r="3852" spans="1:40" x14ac:dyDescent="0.25">
      <c r="A3852" t="str">
        <f>"20190312172447347"</f>
        <v>20190312172447347</v>
      </c>
      <c r="B3852" t="str">
        <f>"1552382687344684"</f>
        <v>1552382687344684</v>
      </c>
      <c r="C3852" t="s">
        <v>40</v>
      </c>
      <c r="D3852">
        <v>3.7460819999999999</v>
      </c>
      <c r="E3852">
        <v>0.62630010000000003</v>
      </c>
      <c r="F3852" t="s">
        <v>43</v>
      </c>
      <c r="G3852">
        <v>-186.78559999999999</v>
      </c>
      <c r="H3852" s="1">
        <v>-4.8527089999999998E-6</v>
      </c>
      <c r="I3852">
        <v>189.6155</v>
      </c>
      <c r="J3852">
        <v>-189.60759999999999</v>
      </c>
      <c r="K3852">
        <v>1.092049</v>
      </c>
      <c r="L3852">
        <v>207.22149999999999</v>
      </c>
      <c r="M3852">
        <v>0.69872409999999996</v>
      </c>
      <c r="N3852">
        <v>0</v>
      </c>
      <c r="O3852">
        <v>-0.71517589999999998</v>
      </c>
      <c r="P3852">
        <v>0.44633679999999898</v>
      </c>
      <c r="Q3852">
        <v>0.1807754</v>
      </c>
      <c r="R3852">
        <v>-0.87641519999999995</v>
      </c>
      <c r="S3852">
        <v>0.55307010000000001</v>
      </c>
      <c r="T3852">
        <v>-0.195493</v>
      </c>
      <c r="U3852">
        <v>-3.2011409999999998</v>
      </c>
      <c r="V3852">
        <v>0.30145919999999998</v>
      </c>
      <c r="W3852">
        <v>0.18437139999999999</v>
      </c>
      <c r="X3852">
        <v>0.93548359999999997</v>
      </c>
      <c r="Y3852">
        <v>0.56681780000000004</v>
      </c>
      <c r="Z3852">
        <v>2.9932719999999999E-2</v>
      </c>
      <c r="AA3852">
        <v>0.82329920000000001</v>
      </c>
      <c r="AB3852">
        <v>38</v>
      </c>
      <c r="AC3852">
        <v>2.8220000000000001</v>
      </c>
      <c r="AD3852">
        <v>-1.092053852709</v>
      </c>
      <c r="AE3852">
        <v>-17.605999999999899</v>
      </c>
      <c r="AF3852">
        <v>10.246659004086499</v>
      </c>
      <c r="AG3852">
        <v>-1.092053852709</v>
      </c>
      <c r="AH3852">
        <v>14.5109989119088</v>
      </c>
      <c r="AI3852">
        <v>93.517850426622701</v>
      </c>
      <c r="AJ3852">
        <v>54.772918447546402</v>
      </c>
      <c r="AK3852">
        <v>17.7976316341434</v>
      </c>
      <c r="AL3852">
        <v>79.3755142889609</v>
      </c>
      <c r="AM3852">
        <v>72.138485739257305</v>
      </c>
      <c r="AN3852">
        <v>1.0000000141357801</v>
      </c>
    </row>
    <row r="3853" spans="1:40" x14ac:dyDescent="0.25">
      <c r="A3853" t="str">
        <f>"20190312172447372"</f>
        <v>20190312172447372</v>
      </c>
      <c r="B3853" t="str">
        <f>"1552382687364204"</f>
        <v>1552382687364204</v>
      </c>
      <c r="C3853" t="s">
        <v>40</v>
      </c>
      <c r="D3853">
        <v>3.7836430000000001</v>
      </c>
      <c r="E3853">
        <v>0.62570300000000001</v>
      </c>
      <c r="F3853" t="s">
        <v>43</v>
      </c>
      <c r="G3853">
        <v>-186.8151</v>
      </c>
      <c r="H3853" s="1">
        <v>-4.7070300000000004E-6</v>
      </c>
      <c r="I3853">
        <v>189.28809999999999</v>
      </c>
      <c r="J3853">
        <v>-189.32990000000001</v>
      </c>
      <c r="K3853">
        <v>1.092006</v>
      </c>
      <c r="L3853">
        <v>206.9239</v>
      </c>
      <c r="M3853">
        <v>0.68523350000000005</v>
      </c>
      <c r="N3853">
        <v>0</v>
      </c>
      <c r="O3853">
        <v>-0.72811130000000002</v>
      </c>
      <c r="P3853">
        <v>0.42975350000000001</v>
      </c>
      <c r="Q3853">
        <v>0.18127260000000001</v>
      </c>
      <c r="R3853">
        <v>-0.8845634</v>
      </c>
      <c r="S3853">
        <v>0.49966430000000001</v>
      </c>
      <c r="T3853">
        <v>-0.19540489999999999</v>
      </c>
      <c r="U3853">
        <v>-3.2088930000000002</v>
      </c>
      <c r="V3853">
        <v>0.30156329999999998</v>
      </c>
      <c r="W3853">
        <v>0.18485180000000001</v>
      </c>
      <c r="X3853">
        <v>0.93535520000000005</v>
      </c>
      <c r="Y3853">
        <v>0.56510289999999996</v>
      </c>
      <c r="Z3853">
        <v>3.1004090000000002E-2</v>
      </c>
      <c r="AA3853">
        <v>0.82443770000000005</v>
      </c>
      <c r="AB3853">
        <v>38</v>
      </c>
      <c r="AC3853">
        <v>2.5148000000000001</v>
      </c>
      <c r="AD3853">
        <v>-1.09201070703</v>
      </c>
      <c r="AE3853">
        <v>-17.6358</v>
      </c>
      <c r="AF3853">
        <v>10.2167796176319</v>
      </c>
      <c r="AG3853">
        <v>-1.09201070703</v>
      </c>
      <c r="AH3853">
        <v>14.5117702614353</v>
      </c>
      <c r="AI3853">
        <v>93.520991307803598</v>
      </c>
      <c r="AJ3853">
        <v>54.853152133031301</v>
      </c>
      <c r="AK3853">
        <v>17.781072781477601</v>
      </c>
      <c r="AL3853">
        <v>79.347507655398303</v>
      </c>
      <c r="AM3853">
        <v>72.130413161992607</v>
      </c>
      <c r="AN3853">
        <v>0.99999998101858401</v>
      </c>
    </row>
    <row r="3854" spans="1:40" x14ac:dyDescent="0.25">
      <c r="A3854" t="str">
        <f>"20190312172447393"</f>
        <v>20190312172447393</v>
      </c>
      <c r="B3854" t="str">
        <f>"1552382687384699"</f>
        <v>1552382687384699</v>
      </c>
      <c r="C3854" t="s">
        <v>40</v>
      </c>
      <c r="D3854">
        <v>3.7744789999999999</v>
      </c>
      <c r="E3854">
        <v>0.62479490000000004</v>
      </c>
      <c r="F3854" t="s">
        <v>43</v>
      </c>
      <c r="G3854">
        <v>-186.84119999999999</v>
      </c>
      <c r="H3854" s="1">
        <v>-4.5195399999999999E-6</v>
      </c>
      <c r="I3854">
        <v>188.86179999999999</v>
      </c>
      <c r="J3854">
        <v>-189.07599999999999</v>
      </c>
      <c r="K3854">
        <v>1.0919700000000001</v>
      </c>
      <c r="L3854">
        <v>206.64179999999999</v>
      </c>
      <c r="M3854">
        <v>0.67237659999999999</v>
      </c>
      <c r="N3854">
        <v>0</v>
      </c>
      <c r="O3854">
        <v>-0.74000030000000006</v>
      </c>
      <c r="P3854">
        <v>0.41440519999999997</v>
      </c>
      <c r="Q3854">
        <v>0.18179629999999999</v>
      </c>
      <c r="R3854">
        <v>-0.89175059999999995</v>
      </c>
      <c r="S3854">
        <v>0.44313049999999998</v>
      </c>
      <c r="T3854">
        <v>-0.19443959999999999</v>
      </c>
      <c r="U3854">
        <v>-3.2160639999999998</v>
      </c>
      <c r="V3854">
        <v>0.30131330000000001</v>
      </c>
      <c r="W3854">
        <v>0.1853784</v>
      </c>
      <c r="X3854">
        <v>0.93533160000000004</v>
      </c>
      <c r="Y3854">
        <v>0.56512769999999901</v>
      </c>
      <c r="Z3854">
        <v>3.1809909999999997E-2</v>
      </c>
      <c r="AA3854">
        <v>0.82438989999999901</v>
      </c>
      <c r="AB3854">
        <v>38</v>
      </c>
      <c r="AC3854">
        <v>2.2347999999999999</v>
      </c>
      <c r="AD3854">
        <v>-1.0919745195399999</v>
      </c>
      <c r="AE3854">
        <v>-17.78</v>
      </c>
      <c r="AF3854">
        <v>10.264581588693799</v>
      </c>
      <c r="AG3854">
        <v>-1.0919745195399999</v>
      </c>
      <c r="AH3854">
        <v>14.6078573654557</v>
      </c>
      <c r="AI3854">
        <v>93.500004459431494</v>
      </c>
      <c r="AJ3854">
        <v>54.905231573306601</v>
      </c>
      <c r="AK3854">
        <v>17.886965655241099</v>
      </c>
      <c r="AL3854">
        <v>79.316805577311001</v>
      </c>
      <c r="AM3854">
        <v>72.143864309879007</v>
      </c>
      <c r="AN3854">
        <v>1.000000028951</v>
      </c>
    </row>
    <row r="3855" spans="1:40" x14ac:dyDescent="0.25">
      <c r="A3855" t="str">
        <f>"20190312172447414"</f>
        <v>20190312172447414</v>
      </c>
      <c r="B3855" t="str">
        <f>"1552382687404220"</f>
        <v>1552382687404220</v>
      </c>
      <c r="C3855" t="s">
        <v>40</v>
      </c>
      <c r="D3855">
        <v>3.7865989999999998</v>
      </c>
      <c r="E3855">
        <v>0.62382329999999997</v>
      </c>
      <c r="F3855" t="s">
        <v>43</v>
      </c>
      <c r="G3855">
        <v>-186.8613</v>
      </c>
      <c r="H3855" s="1">
        <v>-4.3826869999999998E-6</v>
      </c>
      <c r="I3855">
        <v>188.55109999999999</v>
      </c>
      <c r="J3855">
        <v>-188.83920000000001</v>
      </c>
      <c r="K3855">
        <v>1.091939</v>
      </c>
      <c r="L3855">
        <v>206.36930000000001</v>
      </c>
      <c r="M3855">
        <v>0.65989739999999997</v>
      </c>
      <c r="N3855">
        <v>0</v>
      </c>
      <c r="O3855">
        <v>-0.75114930000000002</v>
      </c>
      <c r="P3855">
        <v>0.39963310000000002</v>
      </c>
      <c r="Q3855">
        <v>0.1826305</v>
      </c>
      <c r="R3855">
        <v>-0.89829859999999995</v>
      </c>
      <c r="S3855">
        <v>0.3942871</v>
      </c>
      <c r="T3855">
        <v>-0.19439719999999999</v>
      </c>
      <c r="U3855">
        <v>-3.2205659999999998</v>
      </c>
      <c r="V3855">
        <v>0.30103449999999998</v>
      </c>
      <c r="W3855">
        <v>0.18621860000000001</v>
      </c>
      <c r="X3855">
        <v>0.93525449999999999</v>
      </c>
      <c r="Y3855">
        <v>0.56377709999999903</v>
      </c>
      <c r="Z3855">
        <v>3.275409E-2</v>
      </c>
      <c r="AA3855">
        <v>0.82527729999999999</v>
      </c>
      <c r="AB3855">
        <v>38</v>
      </c>
      <c r="AC3855">
        <v>1.9779</v>
      </c>
      <c r="AD3855">
        <v>-1.091943382687</v>
      </c>
      <c r="AE3855">
        <v>-17.818200000000001</v>
      </c>
      <c r="AF3855">
        <v>10.2361048314117</v>
      </c>
      <c r="AG3855">
        <v>-1.091943382687</v>
      </c>
      <c r="AH3855">
        <v>14.6373160664269</v>
      </c>
      <c r="AI3855">
        <v>93.498384933389204</v>
      </c>
      <c r="AJ3855">
        <v>55.034302283517398</v>
      </c>
      <c r="AK3855">
        <v>17.8947255944069</v>
      </c>
      <c r="AL3855">
        <v>79.267812911408498</v>
      </c>
      <c r="AM3855">
        <v>72.157960935551202</v>
      </c>
      <c r="AN3855">
        <v>1.00000005847322</v>
      </c>
    </row>
    <row r="3856" spans="1:40" x14ac:dyDescent="0.25">
      <c r="A3856" t="str">
        <f>"20190312172447437"</f>
        <v>20190312172447437</v>
      </c>
      <c r="B3856" t="str">
        <f>"1552382687434476"</f>
        <v>1552382687434476</v>
      </c>
      <c r="C3856" t="s">
        <v>40</v>
      </c>
      <c r="D3856">
        <v>3.767185</v>
      </c>
      <c r="E3856">
        <v>0.60705750000000003</v>
      </c>
      <c r="F3856" t="s">
        <v>43</v>
      </c>
      <c r="G3856">
        <v>-186.87729999999999</v>
      </c>
      <c r="H3856" s="1">
        <v>-4.2289770000000001E-6</v>
      </c>
      <c r="I3856">
        <v>188.1994</v>
      </c>
      <c r="J3856">
        <v>-188.5916</v>
      </c>
      <c r="K3856">
        <v>1.091912</v>
      </c>
      <c r="L3856">
        <v>206.07429999999999</v>
      </c>
      <c r="M3856">
        <v>0.64632049999999996</v>
      </c>
      <c r="N3856">
        <v>0</v>
      </c>
      <c r="O3856">
        <v>-0.76286219999999905</v>
      </c>
      <c r="P3856">
        <v>0.38383299999999998</v>
      </c>
      <c r="Q3856">
        <v>0.18344369999999999</v>
      </c>
      <c r="R3856">
        <v>-0.90499779999999996</v>
      </c>
      <c r="S3856">
        <v>0.34812929999999997</v>
      </c>
      <c r="T3856">
        <v>-0.19376019999999999</v>
      </c>
      <c r="U3856">
        <v>-3.2241520000000001</v>
      </c>
      <c r="V3856">
        <v>0.30059259999999999</v>
      </c>
      <c r="W3856">
        <v>0.18704680000000001</v>
      </c>
      <c r="X3856">
        <v>0.93523129999999999</v>
      </c>
      <c r="Y3856">
        <v>0.56074060000000003</v>
      </c>
      <c r="Z3856">
        <v>3.369026E-2</v>
      </c>
      <c r="AA3856">
        <v>0.82730590000000004</v>
      </c>
      <c r="AB3856">
        <v>38</v>
      </c>
      <c r="AC3856">
        <v>1.7142999999999999</v>
      </c>
      <c r="AD3856">
        <v>-1.0919162289769999</v>
      </c>
      <c r="AE3856">
        <v>-17.874899999999901</v>
      </c>
      <c r="AF3856">
        <v>10.208985189260201</v>
      </c>
      <c r="AG3856">
        <v>-1.0919162289769999</v>
      </c>
      <c r="AH3856">
        <v>14.692041876056299</v>
      </c>
      <c r="AI3856">
        <v>93.492566369630694</v>
      </c>
      <c r="AJ3856">
        <v>55.2059167498319</v>
      </c>
      <c r="AK3856">
        <v>17.9240551810529</v>
      </c>
      <c r="AL3856">
        <v>79.219511255492904</v>
      </c>
      <c r="AM3856">
        <v>72.182080630368802</v>
      </c>
      <c r="AN3856">
        <v>1.0000000005323399</v>
      </c>
    </row>
    <row r="3857" spans="1:40" x14ac:dyDescent="0.25">
      <c r="A3857" t="str">
        <f>"20190312172447460"</f>
        <v>20190312172447460</v>
      </c>
      <c r="B3857" t="str">
        <f>"1552382687454501"</f>
        <v>1552382687454501</v>
      </c>
      <c r="C3857" t="s">
        <v>40</v>
      </c>
      <c r="D3857">
        <v>3.8277939999999999</v>
      </c>
      <c r="E3857">
        <v>0.60449319999999995</v>
      </c>
      <c r="F3857" t="s">
        <v>43</v>
      </c>
      <c r="G3857">
        <v>-186.45849999999999</v>
      </c>
      <c r="H3857" s="1">
        <v>-9.7931729999999996E-7</v>
      </c>
      <c r="I3857">
        <v>189.7568</v>
      </c>
      <c r="J3857">
        <v>-188.3424</v>
      </c>
      <c r="K3857">
        <v>1.0918840000000001</v>
      </c>
      <c r="L3857">
        <v>205.7664</v>
      </c>
      <c r="M3857">
        <v>0.63207969999999902</v>
      </c>
      <c r="N3857">
        <v>0</v>
      </c>
      <c r="O3857">
        <v>-0.774702</v>
      </c>
      <c r="P3857">
        <v>0.36688369999999998</v>
      </c>
      <c r="Q3857">
        <v>0.18455479999999999</v>
      </c>
      <c r="R3857">
        <v>-0.91177609999999998</v>
      </c>
      <c r="S3857">
        <v>0.41592410000000002</v>
      </c>
      <c r="T3857">
        <v>-0.21290780000000001</v>
      </c>
      <c r="U3857">
        <v>-3.181686</v>
      </c>
      <c r="V3857">
        <v>0.30063849999999998</v>
      </c>
      <c r="W3857">
        <v>0.1881507</v>
      </c>
      <c r="X3857">
        <v>0.93499509999999997</v>
      </c>
      <c r="Y3857">
        <v>0.52641789999999999</v>
      </c>
      <c r="Z3857">
        <v>3.9404439999999999E-2</v>
      </c>
      <c r="AA3857">
        <v>0.84931239999999997</v>
      </c>
      <c r="AB3857">
        <v>38</v>
      </c>
      <c r="AC3857">
        <v>1.8839000000000099</v>
      </c>
      <c r="AD3857">
        <v>-1.0918849793173</v>
      </c>
      <c r="AE3857">
        <v>-16.009599999999999</v>
      </c>
      <c r="AF3857">
        <v>8.6216776185015096</v>
      </c>
      <c r="AG3857">
        <v>-1.0918849793173</v>
      </c>
      <c r="AH3857">
        <v>13.5334744427006</v>
      </c>
      <c r="AI3857">
        <v>93.892708360095696</v>
      </c>
      <c r="AJ3857">
        <v>57.5002905259526</v>
      </c>
      <c r="AK3857">
        <v>16.083546507429801</v>
      </c>
      <c r="AL3857">
        <v>79.155119370366094</v>
      </c>
      <c r="AM3857">
        <v>72.175314981437793</v>
      </c>
      <c r="AN3857">
        <v>1.0000000153083699</v>
      </c>
    </row>
    <row r="3858" spans="1:40" x14ac:dyDescent="0.25">
      <c r="A3858" t="str">
        <f>"20190312172447475"</f>
        <v>20190312172447475</v>
      </c>
      <c r="B3858" t="str">
        <f>"1552382687464261"</f>
        <v>1552382687464261</v>
      </c>
      <c r="C3858" t="s">
        <v>40</v>
      </c>
      <c r="D3858">
        <v>3.7534700000000001</v>
      </c>
      <c r="E3858">
        <v>0.60449319999999995</v>
      </c>
      <c r="F3858" t="s">
        <v>43</v>
      </c>
      <c r="G3858">
        <v>-186.42789999999999</v>
      </c>
      <c r="H3858" s="1">
        <v>-4.9059760000000003E-6</v>
      </c>
      <c r="I3858">
        <v>189.5917</v>
      </c>
      <c r="J3858">
        <v>-188.18219999999999</v>
      </c>
      <c r="K3858">
        <v>1.091869</v>
      </c>
      <c r="L3858">
        <v>205.56100000000001</v>
      </c>
      <c r="M3858">
        <v>0.62255360000000004</v>
      </c>
      <c r="N3858">
        <v>0</v>
      </c>
      <c r="O3858">
        <v>-0.78237769999999995</v>
      </c>
      <c r="P3858">
        <v>0.35550920000000003</v>
      </c>
      <c r="Q3858">
        <v>0.18521009999999999</v>
      </c>
      <c r="R3858">
        <v>-0.91613920000000004</v>
      </c>
      <c r="S3858">
        <v>0.37664789999999998</v>
      </c>
      <c r="T3858">
        <v>-0.2148167</v>
      </c>
      <c r="U3858">
        <v>-3.1821899999999999</v>
      </c>
      <c r="V3858">
        <v>0.30078899999999997</v>
      </c>
      <c r="W3858">
        <v>0.18879599999999999</v>
      </c>
      <c r="X3858">
        <v>0.93481650000000005</v>
      </c>
      <c r="Y3858">
        <v>0.52635969999999999</v>
      </c>
      <c r="Z3858">
        <v>4.0506199999999902E-2</v>
      </c>
      <c r="AA3858">
        <v>0.84929659999999996</v>
      </c>
      <c r="AB3858">
        <v>37</v>
      </c>
      <c r="AC3858">
        <v>1.7543</v>
      </c>
      <c r="AD3858">
        <v>-1.0918739059760001</v>
      </c>
      <c r="AE3858">
        <v>-15.969299999999899</v>
      </c>
      <c r="AF3858">
        <v>8.5311509607918303</v>
      </c>
      <c r="AG3858">
        <v>-1.0918739059760001</v>
      </c>
      <c r="AH3858">
        <v>13.525812973543401</v>
      </c>
      <c r="AI3858">
        <v>93.906000758579907</v>
      </c>
      <c r="AJ3858">
        <v>57.7590948899892</v>
      </c>
      <c r="AK3858">
        <v>16.0287348826302</v>
      </c>
      <c r="AL3858">
        <v>79.117470648102397</v>
      </c>
      <c r="AM3858">
        <v>72.163765809019793</v>
      </c>
      <c r="AN3858">
        <v>0.99999992040462105</v>
      </c>
    </row>
    <row r="3859" spans="1:40" x14ac:dyDescent="0.25">
      <c r="A3859" t="str">
        <f>"20190312172447493"</f>
        <v>20190312172447493</v>
      </c>
      <c r="B3859" t="str">
        <f>"1552382687484757"</f>
        <v>1552382687484757</v>
      </c>
      <c r="C3859" t="s">
        <v>40</v>
      </c>
      <c r="D3859">
        <v>3.8417129999999999</v>
      </c>
      <c r="E3859">
        <v>0.60364300000000004</v>
      </c>
      <c r="F3859" t="s">
        <v>43</v>
      </c>
      <c r="G3859">
        <v>-186.45400000000001</v>
      </c>
      <c r="H3859" s="1">
        <v>-4.7522710000000001E-6</v>
      </c>
      <c r="I3859">
        <v>189.24420000000001</v>
      </c>
      <c r="J3859">
        <v>-187.9974</v>
      </c>
      <c r="K3859">
        <v>1.091853</v>
      </c>
      <c r="L3859">
        <v>205.31809999999999</v>
      </c>
      <c r="M3859">
        <v>0.61124309999999904</v>
      </c>
      <c r="N3859">
        <v>0</v>
      </c>
      <c r="O3859">
        <v>-0.79124530000000004</v>
      </c>
      <c r="P3859">
        <v>0.34182410000000002</v>
      </c>
      <c r="Q3859">
        <v>0.18633749999999999</v>
      </c>
      <c r="R3859">
        <v>-0.92110530000000002</v>
      </c>
      <c r="S3859">
        <v>0.33750920000000001</v>
      </c>
      <c r="T3859">
        <v>-0.2132462</v>
      </c>
      <c r="U3859">
        <v>-3.1867220000000001</v>
      </c>
      <c r="V3859">
        <v>0.30119620000000003</v>
      </c>
      <c r="W3859">
        <v>0.1899015</v>
      </c>
      <c r="X3859">
        <v>0.93446149999999994</v>
      </c>
      <c r="Y3859">
        <v>0.52458559999999999</v>
      </c>
      <c r="Z3859">
        <v>4.1057259999999998E-2</v>
      </c>
      <c r="AA3859">
        <v>0.85036710000000004</v>
      </c>
      <c r="AB3859">
        <v>37</v>
      </c>
      <c r="AC3859">
        <v>1.5433999999999899</v>
      </c>
      <c r="AD3859">
        <v>-1.091857752271</v>
      </c>
      <c r="AE3859">
        <v>-16.073899999999899</v>
      </c>
      <c r="AF3859">
        <v>8.5660345027470601</v>
      </c>
      <c r="AG3859">
        <v>-1.091857752271</v>
      </c>
      <c r="AH3859">
        <v>13.601740452669</v>
      </c>
      <c r="AI3859">
        <v>93.885876968767207</v>
      </c>
      <c r="AJ3859">
        <v>57.7983066962124</v>
      </c>
      <c r="AK3859">
        <v>16.111376222881201</v>
      </c>
      <c r="AL3859">
        <v>79.052964232677297</v>
      </c>
      <c r="AM3859">
        <v>72.134799152011198</v>
      </c>
      <c r="AN3859">
        <v>1.0000000127894699</v>
      </c>
    </row>
    <row r="3860" spans="1:40" x14ac:dyDescent="0.25">
      <c r="A3860" t="str">
        <f>"20190312172447515"</f>
        <v>20190312172447515</v>
      </c>
      <c r="B3860" t="str">
        <f>"1552382687504278"</f>
        <v>1552382687504278</v>
      </c>
      <c r="C3860" t="s">
        <v>40</v>
      </c>
      <c r="D3860">
        <v>3.8463099999999999</v>
      </c>
      <c r="E3860">
        <v>0.63409110000000002</v>
      </c>
      <c r="F3860" t="s">
        <v>43</v>
      </c>
      <c r="G3860">
        <v>-186.53149999999999</v>
      </c>
      <c r="H3860" s="1">
        <v>-4.8907550000000001E-6</v>
      </c>
      <c r="I3860">
        <v>189.59909999999999</v>
      </c>
      <c r="J3860">
        <v>-187.77850000000001</v>
      </c>
      <c r="K3860">
        <v>1.0918399999999999</v>
      </c>
      <c r="L3860">
        <v>205.02090000000001</v>
      </c>
      <c r="M3860">
        <v>0.59735039999999995</v>
      </c>
      <c r="N3860">
        <v>0</v>
      </c>
      <c r="O3860">
        <v>-0.80178490000000002</v>
      </c>
      <c r="P3860">
        <v>0.32519160000000003</v>
      </c>
      <c r="Q3860">
        <v>0.1874818</v>
      </c>
      <c r="R3860">
        <v>-0.92687710000000001</v>
      </c>
      <c r="S3860">
        <v>0.29760740000000002</v>
      </c>
      <c r="T3860">
        <v>-0.22167590000000001</v>
      </c>
      <c r="U3860">
        <v>-3.191376</v>
      </c>
      <c r="V3860">
        <v>0.30163970000000001</v>
      </c>
      <c r="W3860">
        <v>0.19102169999999999</v>
      </c>
      <c r="X3860">
        <v>0.93408999999999998</v>
      </c>
      <c r="Y3860">
        <v>0.52039650000000004</v>
      </c>
      <c r="Z3860">
        <v>4.3772510000000001E-2</v>
      </c>
      <c r="AA3860">
        <v>0.85280210000000001</v>
      </c>
      <c r="AB3860">
        <v>37</v>
      </c>
      <c r="AC3860">
        <v>1.2470000000000101</v>
      </c>
      <c r="AD3860">
        <v>-1.091844890755</v>
      </c>
      <c r="AE3860">
        <v>-15.421799999999999</v>
      </c>
      <c r="AF3860">
        <v>8.1729794164343801</v>
      </c>
      <c r="AG3860">
        <v>-1.091844890755</v>
      </c>
      <c r="AH3860">
        <v>13.0469449938071</v>
      </c>
      <c r="AI3860">
        <v>94.056618943687099</v>
      </c>
      <c r="AJ3860">
        <v>57.935794397506498</v>
      </c>
      <c r="AK3860">
        <v>15.4341339724118</v>
      </c>
      <c r="AL3860">
        <v>78.987584150138503</v>
      </c>
      <c r="AM3860">
        <v>72.103507643626102</v>
      </c>
      <c r="AN3860">
        <v>0.99999996329348895</v>
      </c>
    </row>
    <row r="3861" spans="1:40" x14ac:dyDescent="0.25">
      <c r="A3861" t="str">
        <f>"20190312172447537"</f>
        <v>20190312172447537</v>
      </c>
      <c r="B3861" t="str">
        <f>"1552382687534533"</f>
        <v>1552382687534533</v>
      </c>
      <c r="C3861" t="s">
        <v>40</v>
      </c>
      <c r="D3861">
        <v>3.8215680000000001</v>
      </c>
      <c r="E3861">
        <v>0.63586489999999996</v>
      </c>
      <c r="F3861" t="s">
        <v>43</v>
      </c>
      <c r="G3861">
        <v>-187.72389999999999</v>
      </c>
      <c r="H3861" s="1">
        <v>-2.2768040000000001E-6</v>
      </c>
      <c r="I3861">
        <v>183.99889999999999</v>
      </c>
      <c r="J3861">
        <v>-187.56020000000001</v>
      </c>
      <c r="K3861">
        <v>1.09182</v>
      </c>
      <c r="L3861">
        <v>204.71340000000001</v>
      </c>
      <c r="M3861">
        <v>0.58291689999999996</v>
      </c>
      <c r="N3861">
        <v>0</v>
      </c>
      <c r="O3861">
        <v>-0.81233849999999996</v>
      </c>
      <c r="P3861">
        <v>0.30806060000000002</v>
      </c>
      <c r="Q3861">
        <v>0.18809500000000001</v>
      </c>
      <c r="R3861">
        <v>-0.93258739999999996</v>
      </c>
      <c r="S3861">
        <v>8.4838869999999903E-3</v>
      </c>
      <c r="T3861">
        <v>-0.16973659999999999</v>
      </c>
      <c r="U3861">
        <v>-3.2680509999999998</v>
      </c>
      <c r="V3861">
        <v>0.30210910000000002</v>
      </c>
      <c r="W3861">
        <v>0.1916128</v>
      </c>
      <c r="X3861">
        <v>0.93381720000000001</v>
      </c>
      <c r="Y3861">
        <v>0.58081839999999996</v>
      </c>
      <c r="Z3861">
        <v>3.2464529999999998E-2</v>
      </c>
      <c r="AA3861">
        <v>0.81338559999999904</v>
      </c>
      <c r="AB3861">
        <v>37</v>
      </c>
      <c r="AC3861">
        <v>-0.163699999999977</v>
      </c>
      <c r="AD3861">
        <v>-1.091822276804</v>
      </c>
      <c r="AE3861">
        <v>-20.714500000000001</v>
      </c>
      <c r="AF3861">
        <v>12.1759049917239</v>
      </c>
      <c r="AG3861">
        <v>-1.091822276804</v>
      </c>
      <c r="AH3861">
        <v>16.688031393619699</v>
      </c>
      <c r="AI3861">
        <v>93.025432386220004</v>
      </c>
      <c r="AJ3861">
        <v>53.884798740751997</v>
      </c>
      <c r="AK3861">
        <v>20.686593002378299</v>
      </c>
      <c r="AL3861">
        <v>78.953079302262793</v>
      </c>
      <c r="AM3861">
        <v>72.072537323671398</v>
      </c>
      <c r="AN3861">
        <v>0.99999996822124404</v>
      </c>
    </row>
    <row r="3862" spans="1:40" x14ac:dyDescent="0.25">
      <c r="A3862" t="str">
        <f>"20190312172447562"</f>
        <v>20190312172447562</v>
      </c>
      <c r="B3862" t="str">
        <f>"1552382687554053"</f>
        <v>1552382687554053</v>
      </c>
      <c r="C3862" t="s">
        <v>40</v>
      </c>
      <c r="D3862">
        <v>3.8254100000000002</v>
      </c>
      <c r="E3862">
        <v>0.63565109999999903</v>
      </c>
      <c r="F3862" t="s">
        <v>43</v>
      </c>
      <c r="G3862">
        <v>-187.99379999999999</v>
      </c>
      <c r="H3862" s="1">
        <v>-1.7883469999999999E-6</v>
      </c>
      <c r="I3862">
        <v>182.97190000000001</v>
      </c>
      <c r="J3862">
        <v>-187.33340000000001</v>
      </c>
      <c r="K3862">
        <v>1.0918110000000001</v>
      </c>
      <c r="L3862">
        <v>204.3811</v>
      </c>
      <c r="M3862">
        <v>0.56725829999999999</v>
      </c>
      <c r="N3862">
        <v>0</v>
      </c>
      <c r="O3862">
        <v>-0.82334879999999999</v>
      </c>
      <c r="P3862">
        <v>0.29004259999999998</v>
      </c>
      <c r="Q3862">
        <v>0.18760070000000001</v>
      </c>
      <c r="R3862">
        <v>-0.93844609999999995</v>
      </c>
      <c r="S3862">
        <v>-6.5246579999999998E-2</v>
      </c>
      <c r="T3862">
        <v>-0.1642911</v>
      </c>
      <c r="U3862">
        <v>-3.2715299999999998</v>
      </c>
      <c r="V3862">
        <v>0.30225829999999998</v>
      </c>
      <c r="W3862">
        <v>0.1911158</v>
      </c>
      <c r="X3862">
        <v>0.93387089999999995</v>
      </c>
      <c r="Y3862">
        <v>0.58356929999999996</v>
      </c>
      <c r="Z3862">
        <v>3.2136110000000002E-2</v>
      </c>
      <c r="AA3862">
        <v>0.81142720000000002</v>
      </c>
      <c r="AB3862">
        <v>37</v>
      </c>
      <c r="AC3862">
        <v>-0.660399999999981</v>
      </c>
      <c r="AD3862">
        <v>-1.0918127883469999</v>
      </c>
      <c r="AE3862">
        <v>-21.409199999999998</v>
      </c>
      <c r="AF3862">
        <v>12.6573961973635</v>
      </c>
      <c r="AG3862">
        <v>-1.0918127883469999</v>
      </c>
      <c r="AH3862">
        <v>17.2106200844614</v>
      </c>
      <c r="AI3862">
        <v>92.925587759220406</v>
      </c>
      <c r="AJ3862">
        <v>53.667710804991501</v>
      </c>
      <c r="AK3862">
        <v>21.3917548918619</v>
      </c>
      <c r="AL3862">
        <v>78.982092874084898</v>
      </c>
      <c r="AM3862">
        <v>72.065215973221001</v>
      </c>
      <c r="AN3862">
        <v>1.0000000933976601</v>
      </c>
    </row>
    <row r="3863" spans="1:40" x14ac:dyDescent="0.25">
      <c r="A3863" t="str">
        <f>"20190312172447583"</f>
        <v>20190312172447583</v>
      </c>
      <c r="B3863" t="str">
        <f>"1552382687574549"</f>
        <v>1552382687574549</v>
      </c>
      <c r="C3863" t="s">
        <v>40</v>
      </c>
      <c r="D3863">
        <v>3.7968609999999998</v>
      </c>
      <c r="E3863">
        <v>0.63446720000000001</v>
      </c>
      <c r="F3863" t="s">
        <v>43</v>
      </c>
      <c r="G3863">
        <v>-188.1703</v>
      </c>
      <c r="H3863" s="1">
        <v>-1.6939429999999999E-6</v>
      </c>
      <c r="I3863">
        <v>182.82480000000001</v>
      </c>
      <c r="J3863">
        <v>-187.1311</v>
      </c>
      <c r="K3863">
        <v>1.091804</v>
      </c>
      <c r="L3863">
        <v>204.07149999999999</v>
      </c>
      <c r="M3863">
        <v>0.55262119999999904</v>
      </c>
      <c r="N3863">
        <v>0</v>
      </c>
      <c r="O3863">
        <v>-0.83324379999999998</v>
      </c>
      <c r="P3863">
        <v>0.27309470000000002</v>
      </c>
      <c r="Q3863">
        <v>0.18716579999999999</v>
      </c>
      <c r="R3863">
        <v>-0.94360409999999995</v>
      </c>
      <c r="S3863">
        <v>-0.1269226</v>
      </c>
      <c r="T3863">
        <v>-0.16557810000000001</v>
      </c>
      <c r="U3863">
        <v>-3.269104</v>
      </c>
      <c r="V3863">
        <v>0.30260959999999998</v>
      </c>
      <c r="W3863">
        <v>0.1906687</v>
      </c>
      <c r="X3863">
        <v>0.93384840000000002</v>
      </c>
      <c r="Y3863">
        <v>0.5845262</v>
      </c>
      <c r="Z3863">
        <v>3.3113389999999999E-2</v>
      </c>
      <c r="AA3863">
        <v>0.8106989</v>
      </c>
      <c r="AB3863">
        <v>37</v>
      </c>
      <c r="AC3863">
        <v>-1.0391999999999899</v>
      </c>
      <c r="AD3863">
        <v>-1.0918056939430001</v>
      </c>
      <c r="AE3863">
        <v>-21.246699999999901</v>
      </c>
      <c r="AF3863">
        <v>12.5761375845247</v>
      </c>
      <c r="AG3863">
        <v>-1.0918056939430001</v>
      </c>
      <c r="AH3863">
        <v>17.087079016954899</v>
      </c>
      <c r="AI3863">
        <v>92.945895115912407</v>
      </c>
      <c r="AJ3863">
        <v>53.646828552850401</v>
      </c>
      <c r="AK3863">
        <v>21.244282655573102</v>
      </c>
      <c r="AL3863">
        <v>79.008188432977093</v>
      </c>
      <c r="AM3863">
        <v>72.045303756857095</v>
      </c>
      <c r="AN3863">
        <v>0.99999997867720403</v>
      </c>
    </row>
    <row r="3864" spans="1:40" x14ac:dyDescent="0.25">
      <c r="A3864" t="str">
        <f>"20190312172447604"</f>
        <v>20190312172447604</v>
      </c>
      <c r="B3864" t="str">
        <f>"1552382687594070"</f>
        <v>1552382687594070</v>
      </c>
      <c r="C3864" t="s">
        <v>40</v>
      </c>
      <c r="D3864">
        <v>3.7849439999999999</v>
      </c>
      <c r="E3864">
        <v>0.63313850000000005</v>
      </c>
      <c r="F3864" t="s">
        <v>43</v>
      </c>
      <c r="G3864">
        <v>-188.26910000000001</v>
      </c>
      <c r="H3864" s="1">
        <v>-1.76064E-6</v>
      </c>
      <c r="I3864">
        <v>183.02119999999999</v>
      </c>
      <c r="J3864">
        <v>-186.94059999999999</v>
      </c>
      <c r="K3864">
        <v>1.091796</v>
      </c>
      <c r="L3864">
        <v>203.76859999999999</v>
      </c>
      <c r="M3864">
        <v>0.53825429999999996</v>
      </c>
      <c r="N3864">
        <v>0</v>
      </c>
      <c r="O3864">
        <v>-0.8425956</v>
      </c>
      <c r="P3864">
        <v>0.25696799999999997</v>
      </c>
      <c r="Q3864">
        <v>0.1869072</v>
      </c>
      <c r="R3864">
        <v>-0.94817379999999996</v>
      </c>
      <c r="S3864">
        <v>-0.17645259999999999</v>
      </c>
      <c r="T3864">
        <v>-0.1692901</v>
      </c>
      <c r="U3864">
        <v>-3.2639619999999998</v>
      </c>
      <c r="V3864">
        <v>0.30253930000000001</v>
      </c>
      <c r="W3864">
        <v>0.1904188</v>
      </c>
      <c r="X3864">
        <v>0.93392220000000004</v>
      </c>
      <c r="Y3864">
        <v>0.58293600000000001</v>
      </c>
      <c r="Z3864">
        <v>3.4636699999999999E-2</v>
      </c>
      <c r="AA3864">
        <v>0.81177949999999999</v>
      </c>
      <c r="AB3864">
        <v>37</v>
      </c>
      <c r="AC3864">
        <v>-1.32850000000001</v>
      </c>
      <c r="AD3864">
        <v>-1.09179776064</v>
      </c>
      <c r="AE3864">
        <v>-20.747399999999999</v>
      </c>
      <c r="AF3864">
        <v>12.2549030019554</v>
      </c>
      <c r="AG3864">
        <v>-1.09179776064</v>
      </c>
      <c r="AH3864">
        <v>16.723117324534901</v>
      </c>
      <c r="AI3864">
        <v>93.014447802672606</v>
      </c>
      <c r="AJ3864">
        <v>53.765587010169803</v>
      </c>
      <c r="AK3864">
        <v>20.7614383650949</v>
      </c>
      <c r="AL3864">
        <v>79.022774238068394</v>
      </c>
      <c r="AM3864">
        <v>72.050534680512001</v>
      </c>
      <c r="AN3864">
        <v>1.00000001154538</v>
      </c>
    </row>
    <row r="3865" spans="1:40" x14ac:dyDescent="0.25">
      <c r="A3865" t="str">
        <f>"20190312172447629"</f>
        <v>20190312172447629</v>
      </c>
      <c r="B3865" t="str">
        <f>"1552382687624326"</f>
        <v>1552382687624326</v>
      </c>
      <c r="C3865" t="s">
        <v>40</v>
      </c>
      <c r="D3865">
        <v>3.8005420000000001</v>
      </c>
      <c r="E3865">
        <v>0.61877320000000002</v>
      </c>
      <c r="F3865" t="s">
        <v>43</v>
      </c>
      <c r="G3865">
        <v>-188.3467</v>
      </c>
      <c r="H3865" s="1">
        <v>-1.7782800000000001E-6</v>
      </c>
      <c r="I3865">
        <v>183.09440000000001</v>
      </c>
      <c r="J3865">
        <v>-186.7353</v>
      </c>
      <c r="K3865">
        <v>1.091785</v>
      </c>
      <c r="L3865">
        <v>203.42830000000001</v>
      </c>
      <c r="M3865">
        <v>0.52205299999999999</v>
      </c>
      <c r="N3865">
        <v>0</v>
      </c>
      <c r="O3865">
        <v>-0.85272789999999998</v>
      </c>
      <c r="P3865">
        <v>0.23913780000000001</v>
      </c>
      <c r="Q3865">
        <v>0.18592600000000001</v>
      </c>
      <c r="R3865">
        <v>-0.95301880000000005</v>
      </c>
      <c r="S3865">
        <v>-0.22158810000000001</v>
      </c>
      <c r="T3865">
        <v>-0.172050799999999</v>
      </c>
      <c r="U3865">
        <v>-3.2579500000000001</v>
      </c>
      <c r="V3865">
        <v>0.30226730000000002</v>
      </c>
      <c r="W3865">
        <v>0.18945999999999999</v>
      </c>
      <c r="X3865">
        <v>0.93420519999999996</v>
      </c>
      <c r="Y3865">
        <v>0.57868310000000001</v>
      </c>
      <c r="Z3865">
        <v>3.6121300000000002E-2</v>
      </c>
      <c r="AA3865">
        <v>0.81475220000000004</v>
      </c>
      <c r="AB3865">
        <v>37</v>
      </c>
      <c r="AC3865">
        <v>-1.6113999999999999</v>
      </c>
      <c r="AD3865">
        <v>-1.0917867782799999</v>
      </c>
      <c r="AE3865">
        <v>-20.3339</v>
      </c>
      <c r="AF3865">
        <v>11.957096426513999</v>
      </c>
      <c r="AG3865">
        <v>-1.0917867782799999</v>
      </c>
      <c r="AH3865">
        <v>16.4535149281819</v>
      </c>
      <c r="AI3865">
        <v>93.072601139544503</v>
      </c>
      <c r="AJ3865">
        <v>53.993349685520599</v>
      </c>
      <c r="AK3865">
        <v>20.3686599169923</v>
      </c>
      <c r="AL3865">
        <v>79.078727721522498</v>
      </c>
      <c r="AM3865">
        <v>72.070723281048501</v>
      </c>
      <c r="AN3865">
        <v>0.99999998397816403</v>
      </c>
    </row>
    <row r="3866" spans="1:40" x14ac:dyDescent="0.25">
      <c r="A3866" t="str">
        <f>"20190312172447650"</f>
        <v>20190312172447650</v>
      </c>
      <c r="B3866" t="str">
        <f>"1552382687643849"</f>
        <v>1552382687643849</v>
      </c>
      <c r="C3866" t="s">
        <v>40</v>
      </c>
      <c r="D3866">
        <v>3.7962980000000002</v>
      </c>
      <c r="E3866">
        <v>0.61775669999999905</v>
      </c>
      <c r="F3866" t="s">
        <v>43</v>
      </c>
      <c r="G3866">
        <v>-187.8168</v>
      </c>
      <c r="H3866" s="1">
        <v>-1.8728450000000001E-6</v>
      </c>
      <c r="I3866">
        <v>183.09569999999999</v>
      </c>
      <c r="J3866">
        <v>-186.5547</v>
      </c>
      <c r="K3866">
        <v>1.0917809999999999</v>
      </c>
      <c r="L3866">
        <v>203.1165</v>
      </c>
      <c r="M3866">
        <v>0.50715670000000002</v>
      </c>
      <c r="N3866">
        <v>0</v>
      </c>
      <c r="O3866">
        <v>-0.86167059999999995</v>
      </c>
      <c r="P3866">
        <v>0.22358529999999999</v>
      </c>
      <c r="Q3866">
        <v>0.1857076</v>
      </c>
      <c r="R3866">
        <v>-0.95682940000000005</v>
      </c>
      <c r="S3866">
        <v>-0.17153929999999901</v>
      </c>
      <c r="T3866">
        <v>-0.17315729999999999</v>
      </c>
      <c r="U3866">
        <v>-3.2247469999999998</v>
      </c>
      <c r="V3866">
        <v>0.30125839999999998</v>
      </c>
      <c r="W3866">
        <v>0.18929799999999999</v>
      </c>
      <c r="X3866">
        <v>0.9345639</v>
      </c>
      <c r="Y3866">
        <v>0.55219110000000005</v>
      </c>
      <c r="Z3866">
        <v>3.7970240000000002E-2</v>
      </c>
      <c r="AA3866">
        <v>0.83285239999999905</v>
      </c>
      <c r="AB3866">
        <v>37</v>
      </c>
      <c r="AC3866">
        <v>-1.2621</v>
      </c>
      <c r="AD3866">
        <v>-1.0917828728450001</v>
      </c>
      <c r="AE3866">
        <v>-20.020800000000001</v>
      </c>
      <c r="AF3866">
        <v>11.2097695544866</v>
      </c>
      <c r="AG3866">
        <v>-1.0917828728450001</v>
      </c>
      <c r="AH3866">
        <v>16.564811085554599</v>
      </c>
      <c r="AI3866">
        <v>93.124423943706503</v>
      </c>
      <c r="AJ3866">
        <v>55.9129293972914</v>
      </c>
      <c r="AK3866">
        <v>20.031073101714899</v>
      </c>
      <c r="AL3866">
        <v>79.088181093861294</v>
      </c>
      <c r="AM3866">
        <v>72.133177779721294</v>
      </c>
      <c r="AN3866">
        <v>1.0000000197788801</v>
      </c>
    </row>
    <row r="3867" spans="1:40" x14ac:dyDescent="0.25">
      <c r="A3867" t="str">
        <f>"20190312172447672"</f>
        <v>20190312172447672</v>
      </c>
      <c r="B3867" t="str">
        <f>"1552382687663844"</f>
        <v>1552382687663844</v>
      </c>
      <c r="C3867" t="s">
        <v>40</v>
      </c>
      <c r="D3867">
        <v>3.8447520000000002</v>
      </c>
      <c r="E3867">
        <v>0.61505509999999997</v>
      </c>
      <c r="F3867" t="s">
        <v>43</v>
      </c>
      <c r="G3867">
        <v>-187.8811</v>
      </c>
      <c r="H3867" s="1">
        <v>-1.9948610000000001E-6</v>
      </c>
      <c r="I3867">
        <v>183.4067</v>
      </c>
      <c r="J3867">
        <v>-186.37270000000001</v>
      </c>
      <c r="K3867">
        <v>1.0917829999999999</v>
      </c>
      <c r="L3867">
        <v>202.78880000000001</v>
      </c>
      <c r="M3867">
        <v>0.49145080000000002</v>
      </c>
      <c r="N3867">
        <v>0</v>
      </c>
      <c r="O3867">
        <v>-0.87072369999999899</v>
      </c>
      <c r="P3867">
        <v>0.20751820000000001</v>
      </c>
      <c r="Q3867">
        <v>0.1858495</v>
      </c>
      <c r="R3867">
        <v>-0.96041460000000001</v>
      </c>
      <c r="S3867">
        <v>-0.21673580000000001</v>
      </c>
      <c r="T3867">
        <v>-0.17839929999999901</v>
      </c>
      <c r="U3867">
        <v>-3.220612</v>
      </c>
      <c r="V3867">
        <v>0.2999656</v>
      </c>
      <c r="W3867">
        <v>0.18951009999999999</v>
      </c>
      <c r="X3867">
        <v>0.93493660000000001</v>
      </c>
      <c r="Y3867">
        <v>0.54876720000000001</v>
      </c>
      <c r="Z3867">
        <v>3.9954539999999997E-2</v>
      </c>
      <c r="AA3867">
        <v>0.83501990000000004</v>
      </c>
      <c r="AB3867">
        <v>37</v>
      </c>
      <c r="AC3867">
        <v>-1.50839999999999</v>
      </c>
      <c r="AD3867">
        <v>-1.0917849948609999</v>
      </c>
      <c r="AE3867">
        <v>-19.382100000000001</v>
      </c>
      <c r="AF3867">
        <v>10.806380583546501</v>
      </c>
      <c r="AG3867">
        <v>-1.0917849948609999</v>
      </c>
      <c r="AH3867">
        <v>16.086965276707101</v>
      </c>
      <c r="AI3867">
        <v>93.224455976261098</v>
      </c>
      <c r="AJ3867">
        <v>56.108862290799003</v>
      </c>
      <c r="AK3867">
        <v>19.410314464362401</v>
      </c>
      <c r="AL3867">
        <v>79.075803782423193</v>
      </c>
      <c r="AM3867">
        <v>72.211651064769399</v>
      </c>
      <c r="AN3867">
        <v>0.99999994260246305</v>
      </c>
    </row>
    <row r="3868" spans="1:40" x14ac:dyDescent="0.25">
      <c r="A3868" t="str">
        <f>"20190312172447694"</f>
        <v>20190312172447694</v>
      </c>
      <c r="B3868" t="str">
        <f>"1552382687684340"</f>
        <v>1552382687684340</v>
      </c>
      <c r="C3868" t="s">
        <v>40</v>
      </c>
      <c r="D3868">
        <v>3.8159679999999998</v>
      </c>
      <c r="E3868">
        <v>0.61268059999999902</v>
      </c>
      <c r="F3868" t="s">
        <v>43</v>
      </c>
      <c r="G3868">
        <v>-187.90770000000001</v>
      </c>
      <c r="H3868" s="1">
        <v>-1.848155E-6</v>
      </c>
      <c r="I3868">
        <v>183.07570000000001</v>
      </c>
      <c r="J3868">
        <v>-186.1994</v>
      </c>
      <c r="K3868">
        <v>1.0917859999999999</v>
      </c>
      <c r="L3868">
        <v>202.46289999999999</v>
      </c>
      <c r="M3868">
        <v>0.47577970000000003</v>
      </c>
      <c r="N3868">
        <v>0</v>
      </c>
      <c r="O3868">
        <v>-0.87938479999999997</v>
      </c>
      <c r="P3868">
        <v>0.1912431</v>
      </c>
      <c r="Q3868">
        <v>0.18568019999999999</v>
      </c>
      <c r="R3868">
        <v>-0.96382000000000001</v>
      </c>
      <c r="S3868">
        <v>-0.25012210000000001</v>
      </c>
      <c r="T3868">
        <v>-0.17789940000000001</v>
      </c>
      <c r="U3868">
        <v>-3.2121119999999999</v>
      </c>
      <c r="V3868">
        <v>0.29904199999999997</v>
      </c>
      <c r="W3868">
        <v>0.18939349999999999</v>
      </c>
      <c r="X3868">
        <v>0.93525610000000003</v>
      </c>
      <c r="Y3868">
        <v>0.54256569999999904</v>
      </c>
      <c r="Z3868">
        <v>4.0758740000000002E-2</v>
      </c>
      <c r="AA3868">
        <v>0.83902389999999905</v>
      </c>
      <c r="AB3868">
        <v>37</v>
      </c>
      <c r="AC3868">
        <v>-1.7082999999999999</v>
      </c>
      <c r="AD3868">
        <v>-1.0917878481550001</v>
      </c>
      <c r="AE3868">
        <v>-19.387199999999901</v>
      </c>
      <c r="AF3868">
        <v>10.6943303474789</v>
      </c>
      <c r="AG3868">
        <v>-1.0917878481550001</v>
      </c>
      <c r="AH3868">
        <v>16.1876593780968</v>
      </c>
      <c r="AI3868">
        <v>93.220869062857204</v>
      </c>
      <c r="AJ3868">
        <v>56.549369991308701</v>
      </c>
      <c r="AK3868">
        <v>19.4319586873705</v>
      </c>
      <c r="AL3868">
        <v>79.082608258407305</v>
      </c>
      <c r="AM3868">
        <v>72.268663883718204</v>
      </c>
      <c r="AN3868">
        <v>0.99999999409673002</v>
      </c>
    </row>
    <row r="3869" spans="1:40" x14ac:dyDescent="0.25">
      <c r="A3869" t="str">
        <f>"20190312172447715"</f>
        <v>20190312172447715</v>
      </c>
      <c r="B3869" t="str">
        <f>"1552382687703856"</f>
        <v>1552382687703856</v>
      </c>
      <c r="C3869" t="s">
        <v>40</v>
      </c>
      <c r="D3869">
        <v>3.839712</v>
      </c>
      <c r="E3869">
        <v>0.61173330000000004</v>
      </c>
      <c r="F3869" t="s">
        <v>43</v>
      </c>
      <c r="G3869">
        <v>-187.92949999999999</v>
      </c>
      <c r="H3869" s="1">
        <v>-1.8573429999999999E-6</v>
      </c>
      <c r="I3869">
        <v>183.1061</v>
      </c>
      <c r="J3869">
        <v>-186.03870000000001</v>
      </c>
      <c r="K3869">
        <v>1.091791</v>
      </c>
      <c r="L3869">
        <v>202.1473</v>
      </c>
      <c r="M3869">
        <v>0.4605573</v>
      </c>
      <c r="N3869">
        <v>0</v>
      </c>
      <c r="O3869">
        <v>-0.88745180000000001</v>
      </c>
      <c r="P3869">
        <v>0.175257</v>
      </c>
      <c r="Q3869">
        <v>0.18521180000000001</v>
      </c>
      <c r="R3869">
        <v>-0.96694460000000004</v>
      </c>
      <c r="S3869">
        <v>-0.28639219999999999</v>
      </c>
      <c r="T3869">
        <v>-0.18073139999999999</v>
      </c>
      <c r="U3869">
        <v>-3.2042540000000002</v>
      </c>
      <c r="V3869">
        <v>0.29843140000000001</v>
      </c>
      <c r="W3869">
        <v>0.1889642</v>
      </c>
      <c r="X3869">
        <v>0.93553790000000003</v>
      </c>
      <c r="Y3869">
        <v>0.53766979999999998</v>
      </c>
      <c r="Z3869">
        <v>4.2253039999999999E-2</v>
      </c>
      <c r="AA3869">
        <v>0.84209609999999901</v>
      </c>
      <c r="AB3869">
        <v>37</v>
      </c>
      <c r="AC3869">
        <v>-1.8907999999999801</v>
      </c>
      <c r="AD3869">
        <v>-1.091792857343</v>
      </c>
      <c r="AE3869">
        <v>-19.0412</v>
      </c>
      <c r="AF3869">
        <v>10.415302061407999</v>
      </c>
      <c r="AG3869">
        <v>-1.091792857343</v>
      </c>
      <c r="AH3869">
        <v>15.977843207240801</v>
      </c>
      <c r="AI3869">
        <v>93.276240310841999</v>
      </c>
      <c r="AJ3869">
        <v>56.9013158766898</v>
      </c>
      <c r="AK3869">
        <v>19.103978701539798</v>
      </c>
      <c r="AL3869">
        <v>79.107657351548298</v>
      </c>
      <c r="AM3869">
        <v>72.307605629889693</v>
      </c>
      <c r="AN3869">
        <v>0.99999996586200401</v>
      </c>
    </row>
    <row r="3870" spans="1:40" x14ac:dyDescent="0.25">
      <c r="A3870" t="str">
        <f>"20190312172447738"</f>
        <v>20190312172447738</v>
      </c>
      <c r="B3870" t="str">
        <f>"1552382687734113"</f>
        <v>1552382687734113</v>
      </c>
      <c r="C3870" t="s">
        <v>40</v>
      </c>
      <c r="D3870">
        <v>3.8265920000000002</v>
      </c>
      <c r="E3870">
        <v>0.59984309999999996</v>
      </c>
      <c r="F3870" t="s">
        <v>43</v>
      </c>
      <c r="G3870">
        <v>-187.99639999999999</v>
      </c>
      <c r="H3870" s="1">
        <v>-1.9126839999999999E-6</v>
      </c>
      <c r="I3870">
        <v>183.2628</v>
      </c>
      <c r="J3870">
        <v>-185.86940000000001</v>
      </c>
      <c r="K3870">
        <v>1.0918030000000001</v>
      </c>
      <c r="L3870">
        <v>201.7996</v>
      </c>
      <c r="M3870">
        <v>0.4437316</v>
      </c>
      <c r="N3870">
        <v>0</v>
      </c>
      <c r="O3870">
        <v>-0.89598319999999998</v>
      </c>
      <c r="P3870">
        <v>0.15848110000000001</v>
      </c>
      <c r="Q3870">
        <v>0.1846864</v>
      </c>
      <c r="R3870">
        <v>-0.96993569999999996</v>
      </c>
      <c r="S3870">
        <v>-0.33154299999999998</v>
      </c>
      <c r="T3870">
        <v>-0.18489410000000001</v>
      </c>
      <c r="U3870">
        <v>-3.1980590000000002</v>
      </c>
      <c r="V3870">
        <v>0.29699979999999998</v>
      </c>
      <c r="W3870">
        <v>0.18851879999999999</v>
      </c>
      <c r="X3870">
        <v>0.9360832</v>
      </c>
      <c r="Y3870">
        <v>0.53367229999999999</v>
      </c>
      <c r="Z3870">
        <v>4.4084419999999999E-2</v>
      </c>
      <c r="AA3870">
        <v>0.84454149999999995</v>
      </c>
      <c r="AB3870">
        <v>37</v>
      </c>
      <c r="AC3870">
        <v>-2.1269999999999798</v>
      </c>
      <c r="AD3870">
        <v>-1.0918049126839999</v>
      </c>
      <c r="AE3870">
        <v>-18.536799999999999</v>
      </c>
      <c r="AF3870">
        <v>10.0981466380226</v>
      </c>
      <c r="AG3870">
        <v>-1.0918049126839999</v>
      </c>
      <c r="AH3870">
        <v>15.613860217855001</v>
      </c>
      <c r="AI3870">
        <v>93.360305016915106</v>
      </c>
      <c r="AJ3870">
        <v>57.107535047927499</v>
      </c>
      <c r="AK3870">
        <v>18.6267880857941</v>
      </c>
      <c r="AL3870">
        <v>79.133644201280205</v>
      </c>
      <c r="AM3870">
        <v>72.3968458761302</v>
      </c>
      <c r="AN3870">
        <v>0.99999998823785996</v>
      </c>
    </row>
    <row r="3871" spans="1:40" x14ac:dyDescent="0.25">
      <c r="A3871" t="str">
        <f>"20190312172447763"</f>
        <v>20190312172447763</v>
      </c>
      <c r="B3871" t="str">
        <f>"1552382687754608"</f>
        <v>1552382687754608</v>
      </c>
      <c r="C3871" t="s">
        <v>40</v>
      </c>
      <c r="D3871">
        <v>3.8032170000000001</v>
      </c>
      <c r="E3871">
        <v>0.59876680000000004</v>
      </c>
      <c r="F3871" t="s">
        <v>43</v>
      </c>
      <c r="G3871">
        <v>-187.5155</v>
      </c>
      <c r="H3871" s="1">
        <v>-2.3155289999999998E-6</v>
      </c>
      <c r="I3871">
        <v>184.00299999999999</v>
      </c>
      <c r="J3871">
        <v>-185.70490000000001</v>
      </c>
      <c r="K3871">
        <v>1.0918110000000001</v>
      </c>
      <c r="L3871">
        <v>201.44409999999999</v>
      </c>
      <c r="M3871">
        <v>0.42647740000000001</v>
      </c>
      <c r="N3871">
        <v>0</v>
      </c>
      <c r="O3871">
        <v>-0.9043234</v>
      </c>
      <c r="P3871">
        <v>0.14200670000000001</v>
      </c>
      <c r="Q3871">
        <v>0.184144</v>
      </c>
      <c r="R3871">
        <v>-0.97258699999999998</v>
      </c>
      <c r="S3871">
        <v>-0.29397579999999901</v>
      </c>
      <c r="T3871">
        <v>-0.19497819999999999</v>
      </c>
      <c r="U3871">
        <v>-3.1781619999999999</v>
      </c>
      <c r="V3871">
        <v>0.29494540000000002</v>
      </c>
      <c r="W3871">
        <v>0.18808839999999999</v>
      </c>
      <c r="X3871">
        <v>0.93681910000000002</v>
      </c>
      <c r="Y3871">
        <v>0.50786399999999998</v>
      </c>
      <c r="Z3871">
        <v>4.8058030000000002E-2</v>
      </c>
      <c r="AA3871">
        <v>0.86009570000000002</v>
      </c>
      <c r="AB3871">
        <v>36</v>
      </c>
      <c r="AC3871">
        <v>-1.81059999999999</v>
      </c>
      <c r="AD3871">
        <v>-1.091813315529</v>
      </c>
      <c r="AE3871">
        <v>-17.441099999999999</v>
      </c>
      <c r="AF3871">
        <v>9.0419825970923302</v>
      </c>
      <c r="AG3871">
        <v>-1.091813315529</v>
      </c>
      <c r="AH3871">
        <v>14.9446469702696</v>
      </c>
      <c r="AI3871">
        <v>93.576723061544101</v>
      </c>
      <c r="AJ3871">
        <v>58.824739411772001</v>
      </c>
      <c r="AK3871">
        <v>17.501199349418201</v>
      </c>
      <c r="AL3871">
        <v>79.158753954175594</v>
      </c>
      <c r="AM3871">
        <v>72.524064521812704</v>
      </c>
      <c r="AN3871">
        <v>1.0000000306602601</v>
      </c>
    </row>
    <row r="3872" spans="1:40" x14ac:dyDescent="0.25">
      <c r="A3872" t="str">
        <f>"20190312172447785"</f>
        <v>20190312172447785</v>
      </c>
      <c r="B3872" t="str">
        <f>"1552382687774128"</f>
        <v>1552382687774128</v>
      </c>
      <c r="C3872" t="s">
        <v>40</v>
      </c>
      <c r="D3872">
        <v>3.874406</v>
      </c>
      <c r="E3872">
        <v>0.58985240000000005</v>
      </c>
      <c r="F3872" t="s">
        <v>43</v>
      </c>
      <c r="G3872">
        <v>-187.59479999999999</v>
      </c>
      <c r="H3872" s="1">
        <v>-2.2314240000000002E-6</v>
      </c>
      <c r="I3872">
        <v>183.8398</v>
      </c>
      <c r="J3872">
        <v>-185.55510000000001</v>
      </c>
      <c r="K3872">
        <v>1.091828</v>
      </c>
      <c r="L3872">
        <v>201.1027</v>
      </c>
      <c r="M3872">
        <v>0.40985339999999998</v>
      </c>
      <c r="N3872">
        <v>0</v>
      </c>
      <c r="O3872">
        <v>-0.91197799999999996</v>
      </c>
      <c r="P3872">
        <v>0.12697539999999999</v>
      </c>
      <c r="Q3872">
        <v>0.18391940000000001</v>
      </c>
      <c r="R3872">
        <v>-0.97470559999999995</v>
      </c>
      <c r="S3872">
        <v>-0.34048460000000003</v>
      </c>
      <c r="T3872">
        <v>-0.19669629999999999</v>
      </c>
      <c r="U3872">
        <v>-3.1715239999999998</v>
      </c>
      <c r="V3872">
        <v>0.29225430000000002</v>
      </c>
      <c r="W3872">
        <v>0.18800700000000001</v>
      </c>
      <c r="X3872">
        <v>0.93767840000000002</v>
      </c>
      <c r="Y3872">
        <v>0.50474269999999999</v>
      </c>
      <c r="Z3872">
        <v>4.9308879999999999E-2</v>
      </c>
      <c r="AA3872">
        <v>0.86186039999999997</v>
      </c>
      <c r="AB3872">
        <v>36</v>
      </c>
      <c r="AC3872">
        <v>-2.0396999999999799</v>
      </c>
      <c r="AD3872">
        <v>-1.091830231424</v>
      </c>
      <c r="AE3872">
        <v>-17.262899999999998</v>
      </c>
      <c r="AF3872">
        <v>8.9017148905522792</v>
      </c>
      <c r="AG3872">
        <v>-1.091830231424</v>
      </c>
      <c r="AH3872">
        <v>14.8511754769238</v>
      </c>
      <c r="AI3872">
        <v>93.608184881950294</v>
      </c>
      <c r="AJ3872">
        <v>59.061753891633501</v>
      </c>
      <c r="AK3872">
        <v>17.349064363628202</v>
      </c>
      <c r="AL3872">
        <v>79.163502153337006</v>
      </c>
      <c r="AM3872">
        <v>72.688860556826299</v>
      </c>
      <c r="AN3872">
        <v>0.99999999487202496</v>
      </c>
    </row>
    <row r="3873" spans="1:40" x14ac:dyDescent="0.25">
      <c r="A3873" t="str">
        <f>"20190312172447806"</f>
        <v>20190312172447806</v>
      </c>
      <c r="B3873" t="str">
        <f>"1552382687794626"</f>
        <v>1552382687794626</v>
      </c>
      <c r="C3873" t="s">
        <v>40</v>
      </c>
      <c r="D3873">
        <v>3.8462999999999998</v>
      </c>
      <c r="E3873">
        <v>0.58806139999999996</v>
      </c>
      <c r="F3873" t="s">
        <v>43</v>
      </c>
      <c r="G3873">
        <v>-187.2116</v>
      </c>
      <c r="H3873" s="1">
        <v>-2.6782940000000001E-6</v>
      </c>
      <c r="I3873">
        <v>184.72300000000001</v>
      </c>
      <c r="J3873">
        <v>-185.4212</v>
      </c>
      <c r="K3873">
        <v>1.0918399999999999</v>
      </c>
      <c r="L3873">
        <v>200.78229999999999</v>
      </c>
      <c r="M3873">
        <v>0.3942079</v>
      </c>
      <c r="N3873">
        <v>0</v>
      </c>
      <c r="O3873">
        <v>-0.91884920000000003</v>
      </c>
      <c r="P3873">
        <v>0.1136482</v>
      </c>
      <c r="Q3873">
        <v>0.18334230000000001</v>
      </c>
      <c r="R3873">
        <v>-0.97645800000000005</v>
      </c>
      <c r="S3873">
        <v>-0.3195038</v>
      </c>
      <c r="T3873">
        <v>-0.2105844</v>
      </c>
      <c r="U3873">
        <v>-3.159195</v>
      </c>
      <c r="V3873">
        <v>0.28904099999999999</v>
      </c>
      <c r="W3873">
        <v>0.18759809999999999</v>
      </c>
      <c r="X3873">
        <v>0.93875569999999997</v>
      </c>
      <c r="Y3873">
        <v>0.48452450000000002</v>
      </c>
      <c r="Z3873">
        <v>5.4075060000000001E-2</v>
      </c>
      <c r="AA3873">
        <v>0.87310480000000001</v>
      </c>
      <c r="AB3873">
        <v>36</v>
      </c>
      <c r="AC3873">
        <v>-1.7904</v>
      </c>
      <c r="AD3873">
        <v>-1.0918426782939901</v>
      </c>
      <c r="AE3873">
        <v>-16.0593</v>
      </c>
      <c r="AF3873">
        <v>7.9408171696997902</v>
      </c>
      <c r="AG3873">
        <v>-1.0918426782939901</v>
      </c>
      <c r="AH3873">
        <v>13.9886403921947</v>
      </c>
      <c r="AI3873">
        <v>93.883169869805002</v>
      </c>
      <c r="AJ3873">
        <v>60.4180766466622</v>
      </c>
      <c r="AK3873">
        <v>16.122368243495899</v>
      </c>
      <c r="AL3873">
        <v>79.187354929761199</v>
      </c>
      <c r="AM3873">
        <v>72.886505762074194</v>
      </c>
      <c r="AN3873">
        <v>1.0000000055435501</v>
      </c>
    </row>
    <row r="3874" spans="1:40" x14ac:dyDescent="0.25">
      <c r="A3874" t="str">
        <f>"20190312172447829"</f>
        <v>20190312172447829</v>
      </c>
      <c r="B3874" t="str">
        <f>"1552382687823905"</f>
        <v>1552382687823905</v>
      </c>
      <c r="C3874" t="s">
        <v>40</v>
      </c>
      <c r="D3874">
        <v>3.8577180000000002</v>
      </c>
      <c r="E3874">
        <v>0.58716489999999999</v>
      </c>
      <c r="F3874" t="s">
        <v>43</v>
      </c>
      <c r="G3874">
        <v>-187.22989999999999</v>
      </c>
      <c r="H3874" s="1">
        <v>-2.541471E-6</v>
      </c>
      <c r="I3874">
        <v>184.41159999999999</v>
      </c>
      <c r="J3874">
        <v>-185.27760000000001</v>
      </c>
      <c r="K3874">
        <v>1.091855</v>
      </c>
      <c r="L3874">
        <v>200.41970000000001</v>
      </c>
      <c r="M3874">
        <v>0.37644280000000002</v>
      </c>
      <c r="N3874">
        <v>0</v>
      </c>
      <c r="O3874">
        <v>-0.92626909999999896</v>
      </c>
      <c r="P3874">
        <v>9.7963930000000005E-2</v>
      </c>
      <c r="Q3874">
        <v>0.18305579999999999</v>
      </c>
      <c r="R3874">
        <v>-0.97820960000000001</v>
      </c>
      <c r="S3874">
        <v>-0.34826659999999998</v>
      </c>
      <c r="T3874">
        <v>-0.21024290000000001</v>
      </c>
      <c r="U3874">
        <v>-3.1523129999999999</v>
      </c>
      <c r="V3874">
        <v>0.28602159999999999</v>
      </c>
      <c r="W3874">
        <v>0.1874711</v>
      </c>
      <c r="X3874">
        <v>0.93970540000000002</v>
      </c>
      <c r="Y3874">
        <v>0.47572710000000001</v>
      </c>
      <c r="Z3874">
        <v>5.4979550000000002E-2</v>
      </c>
      <c r="AA3874">
        <v>0.87787299999999902</v>
      </c>
      <c r="AB3874">
        <v>36</v>
      </c>
      <c r="AC3874">
        <v>-1.9522999999999799</v>
      </c>
      <c r="AD3874">
        <v>-1.0918575414709999</v>
      </c>
      <c r="AE3874">
        <v>-16.008099999999999</v>
      </c>
      <c r="AF3874">
        <v>7.79997401463085</v>
      </c>
      <c r="AG3874">
        <v>-1.0918575414709999</v>
      </c>
      <c r="AH3874">
        <v>14.0307923934876</v>
      </c>
      <c r="AI3874">
        <v>93.890995659699001</v>
      </c>
      <c r="AJ3874">
        <v>60.929517193043203</v>
      </c>
      <c r="AK3874">
        <v>16.0902107726696</v>
      </c>
      <c r="AL3874">
        <v>79.194762908395703</v>
      </c>
      <c r="AM3874">
        <v>73.071130686367198</v>
      </c>
      <c r="AN3874">
        <v>1.00000000389546</v>
      </c>
    </row>
    <row r="3875" spans="1:40" x14ac:dyDescent="0.25">
      <c r="A3875" t="str">
        <f>"20190312172447852"</f>
        <v>20190312172447852</v>
      </c>
      <c r="B3875" t="str">
        <f>"1552382687844404"</f>
        <v>1552382687844404</v>
      </c>
      <c r="C3875" t="s">
        <v>40</v>
      </c>
      <c r="D3875">
        <v>3.8576429999999999</v>
      </c>
      <c r="E3875">
        <v>0.58492060000000001</v>
      </c>
      <c r="F3875" t="s">
        <v>43</v>
      </c>
      <c r="G3875">
        <v>-187.30090000000001</v>
      </c>
      <c r="H3875" s="1">
        <v>-2.4245860000000001E-6</v>
      </c>
      <c r="I3875">
        <v>184.16849999999999</v>
      </c>
      <c r="J3875">
        <v>-185.1499</v>
      </c>
      <c r="K3875">
        <v>1.0918749999999999</v>
      </c>
      <c r="L3875">
        <v>200.07900000000001</v>
      </c>
      <c r="M3875">
        <v>0.35969469999999998</v>
      </c>
      <c r="N3875">
        <v>0</v>
      </c>
      <c r="O3875">
        <v>-0.93290050000000002</v>
      </c>
      <c r="P3875">
        <v>8.3792169999999999E-2</v>
      </c>
      <c r="Q3875">
        <v>0.1826325</v>
      </c>
      <c r="R3875">
        <v>-0.97960440000000004</v>
      </c>
      <c r="S3875">
        <v>-0.39164729999999998</v>
      </c>
      <c r="T3875">
        <v>-0.21134320000000001</v>
      </c>
      <c r="U3875">
        <v>-3.1456300000000001</v>
      </c>
      <c r="V3875">
        <v>0.28268910000000003</v>
      </c>
      <c r="W3875">
        <v>0.18722240000000001</v>
      </c>
      <c r="X3875">
        <v>0.94076280000000001</v>
      </c>
      <c r="Y3875">
        <v>0.47201880000000002</v>
      </c>
      <c r="Z3875">
        <v>5.6069679999999997E-2</v>
      </c>
      <c r="AA3875">
        <v>0.87980369999999997</v>
      </c>
      <c r="AB3875">
        <v>36</v>
      </c>
      <c r="AC3875">
        <v>-2.15100000000001</v>
      </c>
      <c r="AD3875">
        <v>-1.0918774245859999</v>
      </c>
      <c r="AE3875">
        <v>-15.910500000000001</v>
      </c>
      <c r="AF3875">
        <v>7.6952239347066298</v>
      </c>
      <c r="AG3875">
        <v>-1.0918774245859999</v>
      </c>
      <c r="AH3875">
        <v>14.0066551186754</v>
      </c>
      <c r="AI3875">
        <v>93.908492260919502</v>
      </c>
      <c r="AJ3875">
        <v>61.215708160459897</v>
      </c>
      <c r="AK3875">
        <v>16.018584685580699</v>
      </c>
      <c r="AL3875">
        <v>79.209269178230301</v>
      </c>
      <c r="AM3875">
        <v>73.275042293699599</v>
      </c>
      <c r="AN3875">
        <v>1.0000000000922</v>
      </c>
    </row>
    <row r="3876" spans="1:40" x14ac:dyDescent="0.25">
      <c r="A3876" t="str">
        <f>"20190312172447873"</f>
        <v>20190312172447873</v>
      </c>
      <c r="B3876" t="str">
        <f>"1552382687863924"</f>
        <v>1552382687863924</v>
      </c>
      <c r="C3876" t="s">
        <v>40</v>
      </c>
      <c r="D3876">
        <v>3.8791000000000002</v>
      </c>
      <c r="E3876">
        <v>0.58294919999999995</v>
      </c>
      <c r="F3876" t="s">
        <v>43</v>
      </c>
      <c r="G3876">
        <v>-187.4374</v>
      </c>
      <c r="H3876" s="1">
        <v>-1.9036990000000001E-6</v>
      </c>
      <c r="I3876">
        <v>183.01079999999999</v>
      </c>
      <c r="J3876">
        <v>-185.03270000000001</v>
      </c>
      <c r="K3876">
        <v>1.0918920000000001</v>
      </c>
      <c r="L3876">
        <v>199.74850000000001</v>
      </c>
      <c r="M3876">
        <v>0.34339930000000002</v>
      </c>
      <c r="N3876">
        <v>0</v>
      </c>
      <c r="O3876">
        <v>-0.93902099999999999</v>
      </c>
      <c r="P3876">
        <v>6.9973809999999997E-2</v>
      </c>
      <c r="Q3876">
        <v>0.18285689999999999</v>
      </c>
      <c r="R3876">
        <v>-0.98064629999999997</v>
      </c>
      <c r="S3876">
        <v>-0.4202728</v>
      </c>
      <c r="T3876">
        <v>-0.20060049999999999</v>
      </c>
      <c r="U3876">
        <v>-3.1357879999999998</v>
      </c>
      <c r="V3876">
        <v>0.27955219999999997</v>
      </c>
      <c r="W3876">
        <v>0.18761030000000001</v>
      </c>
      <c r="X3876">
        <v>0.94162250000000003</v>
      </c>
      <c r="Y3876">
        <v>0.46491979999999999</v>
      </c>
      <c r="Z3876">
        <v>5.4071429999999997E-2</v>
      </c>
      <c r="AA3876">
        <v>0.88370009999999999</v>
      </c>
      <c r="AB3876">
        <v>36</v>
      </c>
      <c r="AC3876">
        <v>-2.4046999999999898</v>
      </c>
      <c r="AD3876">
        <v>-1.0918939036990001</v>
      </c>
      <c r="AE3876">
        <v>-16.7377</v>
      </c>
      <c r="AF3876">
        <v>7.9737977121064896</v>
      </c>
      <c r="AG3876">
        <v>-1.0918939036990001</v>
      </c>
      <c r="AH3876">
        <v>14.831793546731101</v>
      </c>
      <c r="AI3876">
        <v>93.709969329082199</v>
      </c>
      <c r="AJ3876">
        <v>61.736849468848099</v>
      </c>
      <c r="AK3876">
        <v>16.874708354913398</v>
      </c>
      <c r="AL3876">
        <v>79.186643168766807</v>
      </c>
      <c r="AM3876">
        <v>73.464713651998096</v>
      </c>
      <c r="AN3876">
        <v>0.99999999484859003</v>
      </c>
    </row>
    <row r="3877" spans="1:40" x14ac:dyDescent="0.25">
      <c r="A3877" t="str">
        <f>"20190312172447895"</f>
        <v>20190312172447895</v>
      </c>
      <c r="B3877" t="str">
        <f>"1552382687884420"</f>
        <v>1552382687884420</v>
      </c>
      <c r="C3877" t="s">
        <v>40</v>
      </c>
      <c r="D3877">
        <v>3.8823919999999998</v>
      </c>
      <c r="E3877">
        <v>0.5808719</v>
      </c>
      <c r="F3877" t="s">
        <v>43</v>
      </c>
      <c r="G3877">
        <v>-187.47659999999999</v>
      </c>
      <c r="H3877" s="1">
        <v>-1.785472E-6</v>
      </c>
      <c r="I3877">
        <v>182.75129999999999</v>
      </c>
      <c r="J3877">
        <v>-184.91810000000001</v>
      </c>
      <c r="K3877">
        <v>1.0919190000000001</v>
      </c>
      <c r="L3877">
        <v>199.4057</v>
      </c>
      <c r="M3877">
        <v>0.32644889999999999</v>
      </c>
      <c r="N3877">
        <v>0</v>
      </c>
      <c r="O3877">
        <v>-0.94504730000000003</v>
      </c>
      <c r="P3877">
        <v>5.5646660000000001E-2</v>
      </c>
      <c r="Q3877">
        <v>0.1839481</v>
      </c>
      <c r="R3877">
        <v>-0.98135939999999999</v>
      </c>
      <c r="S3877">
        <v>-0.44985960000000003</v>
      </c>
      <c r="T3877">
        <v>-0.20099310000000001</v>
      </c>
      <c r="U3877">
        <v>-3.128784</v>
      </c>
      <c r="V3877">
        <v>0.2763235</v>
      </c>
      <c r="W3877">
        <v>0.1888677</v>
      </c>
      <c r="X3877">
        <v>0.94232389999999999</v>
      </c>
      <c r="Y3877">
        <v>0.45743119999999998</v>
      </c>
      <c r="Z3877">
        <v>5.496579E-2</v>
      </c>
      <c r="AA3877">
        <v>0.88754460000000002</v>
      </c>
      <c r="AB3877">
        <v>36</v>
      </c>
      <c r="AC3877">
        <v>-2.55849999999998</v>
      </c>
      <c r="AD3877">
        <v>-1.0919207854719899</v>
      </c>
      <c r="AE3877">
        <v>-16.654399999999999</v>
      </c>
      <c r="AF3877">
        <v>7.8231053725484996</v>
      </c>
      <c r="AG3877">
        <v>-1.0919207854719899</v>
      </c>
      <c r="AH3877">
        <v>14.8440001085586</v>
      </c>
      <c r="AI3877">
        <v>93.723297014984695</v>
      </c>
      <c r="AJ3877">
        <v>62.209810888021302</v>
      </c>
      <c r="AK3877">
        <v>16.814803236869299</v>
      </c>
      <c r="AL3877">
        <v>79.113288251455302</v>
      </c>
      <c r="AM3877">
        <v>73.656951848795501</v>
      </c>
      <c r="AN3877">
        <v>1.00000000863337</v>
      </c>
    </row>
    <row r="3878" spans="1:40" x14ac:dyDescent="0.25">
      <c r="A3878" t="str">
        <f>"20190312172447918"</f>
        <v>20190312172447918</v>
      </c>
      <c r="B3878" t="str">
        <f>"1552382687913699"</f>
        <v>1552382687913699</v>
      </c>
      <c r="C3878" t="s">
        <v>40</v>
      </c>
      <c r="D3878">
        <v>3.894733</v>
      </c>
      <c r="E3878">
        <v>0.57843829999999996</v>
      </c>
      <c r="F3878" t="s">
        <v>43</v>
      </c>
      <c r="G3878">
        <v>-187.55889999999999</v>
      </c>
      <c r="H3878" s="1">
        <v>-1.542192E-6</v>
      </c>
      <c r="I3878">
        <v>182.2183</v>
      </c>
      <c r="J3878">
        <v>-184.80539999999999</v>
      </c>
      <c r="K3878">
        <v>1.0919509999999999</v>
      </c>
      <c r="L3878">
        <v>199.0471</v>
      </c>
      <c r="M3878">
        <v>0.30865540000000002</v>
      </c>
      <c r="N3878">
        <v>0</v>
      </c>
      <c r="O3878">
        <v>-0.95100750000000001</v>
      </c>
      <c r="P3878">
        <v>3.9860649999999997E-2</v>
      </c>
      <c r="Q3878">
        <v>0.18444679999999999</v>
      </c>
      <c r="R3878">
        <v>-0.98203410000000002</v>
      </c>
      <c r="S3878">
        <v>-0.479599</v>
      </c>
      <c r="T3878">
        <v>-0.19829930000000001</v>
      </c>
      <c r="U3878">
        <v>-3.1213380000000002</v>
      </c>
      <c r="V3878">
        <v>0.27376590000000001</v>
      </c>
      <c r="W3878">
        <v>0.1895017</v>
      </c>
      <c r="X3878">
        <v>0.94294290000000003</v>
      </c>
      <c r="Y3878">
        <v>0.44930120000000001</v>
      </c>
      <c r="Z3878">
        <v>5.5019659999999998E-2</v>
      </c>
      <c r="AA3878">
        <v>0.89168449999999899</v>
      </c>
      <c r="AB3878">
        <v>36</v>
      </c>
      <c r="AC3878">
        <v>-2.7534999999999998</v>
      </c>
      <c r="AD3878">
        <v>-1.091952542192</v>
      </c>
      <c r="AE3878">
        <v>-16.828800000000001</v>
      </c>
      <c r="AF3878">
        <v>7.7822257966789703</v>
      </c>
      <c r="AG3878">
        <v>-1.091952542192</v>
      </c>
      <c r="AH3878">
        <v>15.094936248977399</v>
      </c>
      <c r="AI3878">
        <v>93.678884907107303</v>
      </c>
      <c r="AJ3878">
        <v>62.726537172429303</v>
      </c>
      <c r="AK3878">
        <v>17.018005143541</v>
      </c>
      <c r="AL3878">
        <v>79.076294445313707</v>
      </c>
      <c r="AM3878">
        <v>73.810329521515996</v>
      </c>
      <c r="AN3878">
        <v>0.99999998748305496</v>
      </c>
    </row>
    <row r="3879" spans="1:40" x14ac:dyDescent="0.25">
      <c r="A3879" t="str">
        <f>"20190312172447941"</f>
        <v>20190312172447941</v>
      </c>
      <c r="B3879" t="str">
        <f>"1552382687934192"</f>
        <v>1552382687934192</v>
      </c>
      <c r="C3879" t="s">
        <v>40</v>
      </c>
      <c r="D3879">
        <v>3.9056129999999998</v>
      </c>
      <c r="E3879">
        <v>0.57752389999999998</v>
      </c>
      <c r="F3879" t="s">
        <v>43</v>
      </c>
      <c r="G3879">
        <v>-187.61369999999999</v>
      </c>
      <c r="H3879" s="1">
        <v>-1.416244E-6</v>
      </c>
      <c r="I3879">
        <v>181.94399999999999</v>
      </c>
      <c r="J3879">
        <v>-184.70269999999999</v>
      </c>
      <c r="K3879">
        <v>1.091982</v>
      </c>
      <c r="L3879">
        <v>198.69749999999999</v>
      </c>
      <c r="M3879">
        <v>0.29125830000000003</v>
      </c>
      <c r="N3879">
        <v>0</v>
      </c>
      <c r="O3879">
        <v>-0.95647899999999997</v>
      </c>
      <c r="P3879">
        <v>2.5149970000000001E-2</v>
      </c>
      <c r="Q3879">
        <v>0.18542600000000001</v>
      </c>
      <c r="R3879">
        <v>-0.98233630000000005</v>
      </c>
      <c r="S3879">
        <v>-0.51113889999999995</v>
      </c>
      <c r="T3879">
        <v>-0.1987468</v>
      </c>
      <c r="U3879">
        <v>-3.112946</v>
      </c>
      <c r="V3879">
        <v>0.27065820000000002</v>
      </c>
      <c r="W3879">
        <v>0.19064159999999999</v>
      </c>
      <c r="X3879">
        <v>0.94361010000000001</v>
      </c>
      <c r="Y3879">
        <v>0.4421621</v>
      </c>
      <c r="Z3879">
        <v>5.5881889999999997E-2</v>
      </c>
      <c r="AA3879">
        <v>0.89519259999999901</v>
      </c>
      <c r="AB3879">
        <v>36</v>
      </c>
      <c r="AC3879">
        <v>-2.911</v>
      </c>
      <c r="AD3879">
        <v>-1.0919834162440001</v>
      </c>
      <c r="AE3879">
        <v>-16.753499999999899</v>
      </c>
      <c r="AF3879">
        <v>7.6336394757743102</v>
      </c>
      <c r="AG3879">
        <v>-1.0919834162440001</v>
      </c>
      <c r="AH3879">
        <v>15.116581873542399</v>
      </c>
      <c r="AI3879">
        <v>93.689442567927003</v>
      </c>
      <c r="AJ3879">
        <v>63.206932189942002</v>
      </c>
      <c r="AK3879">
        <v>16.969853475117699</v>
      </c>
      <c r="AL3879">
        <v>79.009770965243604</v>
      </c>
      <c r="AM3879">
        <v>73.995379293480894</v>
      </c>
      <c r="AN3879">
        <v>1.0000000508499001</v>
      </c>
    </row>
    <row r="3880" spans="1:40" x14ac:dyDescent="0.25">
      <c r="A3880" t="str">
        <f>"20190312172447964"</f>
        <v>20190312172447964</v>
      </c>
      <c r="B3880" t="str">
        <f>"1552382687953713"</f>
        <v>1552382687953713</v>
      </c>
      <c r="C3880" t="s">
        <v>40</v>
      </c>
      <c r="D3880">
        <v>3.9555989999999999</v>
      </c>
      <c r="E3880">
        <v>0.55972200000000005</v>
      </c>
      <c r="F3880" t="s">
        <v>43</v>
      </c>
      <c r="G3880">
        <v>-187.76939999999999</v>
      </c>
      <c r="H3880" s="1">
        <v>-1.198215E-6</v>
      </c>
      <c r="I3880">
        <v>181.42500000000001</v>
      </c>
      <c r="J3880">
        <v>-184.60339999999999</v>
      </c>
      <c r="K3880">
        <v>1.0920110000000001</v>
      </c>
      <c r="L3880">
        <v>198.33179999999999</v>
      </c>
      <c r="M3880">
        <v>0.27300140000000001</v>
      </c>
      <c r="N3880">
        <v>0</v>
      </c>
      <c r="O3880">
        <v>-0.96184919999999996</v>
      </c>
      <c r="P3880">
        <v>1.007223E-2</v>
      </c>
      <c r="Q3880">
        <v>0.18644759999999999</v>
      </c>
      <c r="R3880">
        <v>-0.98241350000000005</v>
      </c>
      <c r="S3880">
        <v>-0.55130000000000001</v>
      </c>
      <c r="T3880">
        <v>-0.19631029999999999</v>
      </c>
      <c r="U3880">
        <v>-3.1051479999999998</v>
      </c>
      <c r="V3880">
        <v>0.26714969999999999</v>
      </c>
      <c r="W3880">
        <v>0.19184300000000001</v>
      </c>
      <c r="X3880">
        <v>0.94436600000000004</v>
      </c>
      <c r="Y3880">
        <v>0.43669799999999998</v>
      </c>
      <c r="Z3880">
        <v>5.5867640000000003E-2</v>
      </c>
      <c r="AA3880">
        <v>0.89787169999999905</v>
      </c>
      <c r="AB3880">
        <v>36</v>
      </c>
      <c r="AC3880">
        <v>-3.1659999999999902</v>
      </c>
      <c r="AD3880">
        <v>-1.092012198215</v>
      </c>
      <c r="AE3880">
        <v>-16.906799999999901</v>
      </c>
      <c r="AF3880">
        <v>7.6312485946452204</v>
      </c>
      <c r="AG3880">
        <v>-1.092012198215</v>
      </c>
      <c r="AH3880">
        <v>15.3380848837777</v>
      </c>
      <c r="AI3880">
        <v>93.647239083692696</v>
      </c>
      <c r="AJ3880">
        <v>63.548003955367399</v>
      </c>
      <c r="AK3880">
        <v>17.166400136787399</v>
      </c>
      <c r="AL3880">
        <v>78.939639962766705</v>
      </c>
      <c r="AM3880">
        <v>74.204434525988205</v>
      </c>
      <c r="AN3880">
        <v>0.99999992040754104</v>
      </c>
    </row>
    <row r="3881" spans="1:40" x14ac:dyDescent="0.25">
      <c r="A3881" t="str">
        <f>"20190312172447987"</f>
        <v>20190312172447987</v>
      </c>
      <c r="B3881" t="str">
        <f>"1552382687983969"</f>
        <v>1552382687983969</v>
      </c>
      <c r="C3881" t="s">
        <v>40</v>
      </c>
      <c r="D3881">
        <v>3.945872</v>
      </c>
      <c r="E3881">
        <v>0.55521330000000002</v>
      </c>
      <c r="F3881" t="s">
        <v>43</v>
      </c>
      <c r="G3881">
        <v>-186.9033</v>
      </c>
      <c r="H3881" s="1">
        <v>-1.884893E-6</v>
      </c>
      <c r="I3881">
        <v>182.74600000000001</v>
      </c>
      <c r="J3881">
        <v>-184.5111</v>
      </c>
      <c r="K3881">
        <v>1.0920430000000001</v>
      </c>
      <c r="L3881">
        <v>197.964</v>
      </c>
      <c r="M3881">
        <v>0.254575</v>
      </c>
      <c r="N3881">
        <v>0</v>
      </c>
      <c r="O3881">
        <v>-0.96688940000000001</v>
      </c>
      <c r="P3881">
        <v>-4.5739370000000001E-3</v>
      </c>
      <c r="Q3881">
        <v>0.18659629999999999</v>
      </c>
      <c r="R3881">
        <v>-0.98242600000000002</v>
      </c>
      <c r="S3881">
        <v>-0.45738220000000002</v>
      </c>
      <c r="T3881">
        <v>-0.21717320000000001</v>
      </c>
      <c r="U3881">
        <v>-3.0996090000000001</v>
      </c>
      <c r="V3881">
        <v>0.26316070000000003</v>
      </c>
      <c r="W3881">
        <v>0.19219639999999999</v>
      </c>
      <c r="X3881">
        <v>0.94541359999999997</v>
      </c>
      <c r="Y3881">
        <v>0.39273029999999998</v>
      </c>
      <c r="Z3881">
        <v>6.3268569999999996E-2</v>
      </c>
      <c r="AA3881">
        <v>0.91747480000000003</v>
      </c>
      <c r="AB3881">
        <v>36</v>
      </c>
      <c r="AC3881">
        <v>-2.3921999999999999</v>
      </c>
      <c r="AD3881">
        <v>-1.092044884893</v>
      </c>
      <c r="AE3881">
        <v>-15.218</v>
      </c>
      <c r="AF3881">
        <v>6.1571526545391002</v>
      </c>
      <c r="AG3881">
        <v>-1.092044884893</v>
      </c>
      <c r="AH3881">
        <v>14.036821267969399</v>
      </c>
      <c r="AI3881">
        <v>94.075198494391401</v>
      </c>
      <c r="AJ3881">
        <v>66.315679990268606</v>
      </c>
      <c r="AK3881">
        <v>15.366699129963999</v>
      </c>
      <c r="AL3881">
        <v>78.919007937337796</v>
      </c>
      <c r="AM3881">
        <v>74.445184784751106</v>
      </c>
      <c r="AN3881">
        <v>0.99999994263120295</v>
      </c>
    </row>
    <row r="3882" spans="1:40" x14ac:dyDescent="0.25">
      <c r="A3882" t="str">
        <f>"20190312172448010"</f>
        <v>20190312172448010</v>
      </c>
      <c r="B3882" t="str">
        <f>"1552382688004465"</f>
        <v>1552382688004465</v>
      </c>
      <c r="C3882" t="s">
        <v>40</v>
      </c>
      <c r="D3882">
        <v>3.9134760000000002</v>
      </c>
      <c r="E3882">
        <v>0.553616</v>
      </c>
      <c r="F3882" t="s">
        <v>43</v>
      </c>
      <c r="G3882">
        <v>-186.8373</v>
      </c>
      <c r="H3882" s="1">
        <v>-1.8350049999999999E-6</v>
      </c>
      <c r="I3882">
        <v>182.5675</v>
      </c>
      <c r="J3882">
        <v>-184.4307</v>
      </c>
      <c r="K3882">
        <v>1.092066</v>
      </c>
      <c r="L3882">
        <v>197.6163</v>
      </c>
      <c r="M3882">
        <v>0.23710529999999999</v>
      </c>
      <c r="N3882">
        <v>0</v>
      </c>
      <c r="O3882">
        <v>-0.9713212</v>
      </c>
      <c r="P3882">
        <v>-1.766239E-2</v>
      </c>
      <c r="Q3882">
        <v>0.18597089999999999</v>
      </c>
      <c r="R3882">
        <v>-0.98239639999999995</v>
      </c>
      <c r="S3882">
        <v>-0.46733089999999999</v>
      </c>
      <c r="T3882">
        <v>-0.2193918</v>
      </c>
      <c r="U3882">
        <v>-3.0931549999999999</v>
      </c>
      <c r="V3882">
        <v>0.25869120000000001</v>
      </c>
      <c r="W3882">
        <v>0.19179950000000001</v>
      </c>
      <c r="X3882">
        <v>0.94672690000000004</v>
      </c>
      <c r="Y3882">
        <v>0.37926660000000001</v>
      </c>
      <c r="Z3882">
        <v>6.469751E-2</v>
      </c>
      <c r="AA3882">
        <v>0.92302280000000003</v>
      </c>
      <c r="AB3882">
        <v>36</v>
      </c>
      <c r="AC3882">
        <v>-2.4065999999999899</v>
      </c>
      <c r="AD3882">
        <v>-1.0920678350049999</v>
      </c>
      <c r="AE3882">
        <v>-15.0488</v>
      </c>
      <c r="AF3882">
        <v>5.8764908254814596</v>
      </c>
      <c r="AG3882">
        <v>-1.0920678350049999</v>
      </c>
      <c r="AH3882">
        <v>13.977052012684799</v>
      </c>
      <c r="AI3882">
        <v>94.119664280172202</v>
      </c>
      <c r="AJ3882">
        <v>67.196240613396597</v>
      </c>
      <c r="AK3882">
        <v>15.201438732683</v>
      </c>
      <c r="AL3882">
        <v>78.942180426595698</v>
      </c>
      <c r="AM3882">
        <v>74.717116827732099</v>
      </c>
      <c r="AN3882">
        <v>1.00000000417065</v>
      </c>
    </row>
    <row r="3883" spans="1:40" x14ac:dyDescent="0.25">
      <c r="A3883" t="str">
        <f>"20190312172448030"</f>
        <v>20190312172448030</v>
      </c>
      <c r="B3883" t="str">
        <f>"1552382688023985"</f>
        <v>1552382688023985</v>
      </c>
      <c r="C3883" t="s">
        <v>40</v>
      </c>
      <c r="D3883">
        <v>3.954914</v>
      </c>
      <c r="E3883">
        <v>0.55215349999999996</v>
      </c>
      <c r="F3883" t="s">
        <v>43</v>
      </c>
      <c r="G3883">
        <v>-186.85310000000001</v>
      </c>
      <c r="H3883" s="1">
        <v>-1.8084929999999999E-6</v>
      </c>
      <c r="I3883">
        <v>182.50190000000001</v>
      </c>
      <c r="J3883">
        <v>-184.35769999999999</v>
      </c>
      <c r="K3883">
        <v>1.0920920000000001</v>
      </c>
      <c r="L3883">
        <v>197.2724</v>
      </c>
      <c r="M3883">
        <v>0.2197704</v>
      </c>
      <c r="N3883">
        <v>0</v>
      </c>
      <c r="O3883">
        <v>-0.97538950000000002</v>
      </c>
      <c r="P3883">
        <v>-3.2481370000000002E-2</v>
      </c>
      <c r="Q3883">
        <v>0.18599679999999999</v>
      </c>
      <c r="R3883">
        <v>-0.98201329999999998</v>
      </c>
      <c r="S3883">
        <v>-0.49476619999999999</v>
      </c>
      <c r="T3883">
        <v>-0.2230511</v>
      </c>
      <c r="U3883">
        <v>-3.0870669999999998</v>
      </c>
      <c r="V3883">
        <v>0.2560963</v>
      </c>
      <c r="W3883">
        <v>0.1919614</v>
      </c>
      <c r="X3883">
        <v>0.94739930000000006</v>
      </c>
      <c r="Y3883">
        <v>0.37103829999999999</v>
      </c>
      <c r="Z3883">
        <v>6.6413120000000006E-2</v>
      </c>
      <c r="AA3883">
        <v>0.92623960000000005</v>
      </c>
      <c r="AB3883">
        <v>35</v>
      </c>
      <c r="AC3883">
        <v>-2.4954000000000098</v>
      </c>
      <c r="AD3883">
        <v>-1.0920938084929901</v>
      </c>
      <c r="AE3883">
        <v>-14.770499999999901</v>
      </c>
      <c r="AF3883">
        <v>5.6509689782521697</v>
      </c>
      <c r="AG3883">
        <v>-1.0920938084929901</v>
      </c>
      <c r="AH3883">
        <v>13.7874865963839</v>
      </c>
      <c r="AI3883">
        <v>94.191820171093696</v>
      </c>
      <c r="AJ3883">
        <v>67.713132485717097</v>
      </c>
      <c r="AK3883">
        <v>14.940579169670199</v>
      </c>
      <c r="AL3883">
        <v>78.932728156738193</v>
      </c>
      <c r="AM3883">
        <v>74.873601073129805</v>
      </c>
      <c r="AN3883">
        <v>0.99999996380206901</v>
      </c>
    </row>
    <row r="3884" spans="1:40" x14ac:dyDescent="0.25">
      <c r="A3884" t="str">
        <f>"20190312172448053"</f>
        <v>20190312172448053</v>
      </c>
      <c r="B3884" t="str">
        <f>"1552382688044484"</f>
        <v>1552382688044484</v>
      </c>
      <c r="C3884" t="s">
        <v>40</v>
      </c>
      <c r="D3884">
        <v>3.9324729999999999</v>
      </c>
      <c r="E3884">
        <v>0.54352809999999996</v>
      </c>
      <c r="F3884" t="s">
        <v>43</v>
      </c>
      <c r="G3884">
        <v>-186.94110000000001</v>
      </c>
      <c r="H3884" s="1">
        <v>-1.6919339999999999E-6</v>
      </c>
      <c r="I3884">
        <v>182.22829999999999</v>
      </c>
      <c r="J3884">
        <v>-184.29</v>
      </c>
      <c r="K3884">
        <v>1.0921299999999901</v>
      </c>
      <c r="L3884">
        <v>196.9228</v>
      </c>
      <c r="M3884">
        <v>0.2020902</v>
      </c>
      <c r="N3884">
        <v>0</v>
      </c>
      <c r="O3884">
        <v>-0.9792054</v>
      </c>
      <c r="P3884">
        <v>-4.6426530000000001E-2</v>
      </c>
      <c r="Q3884">
        <v>0.18715290000000001</v>
      </c>
      <c r="R3884">
        <v>-0.98123309999999997</v>
      </c>
      <c r="S3884">
        <v>-0.52888489999999999</v>
      </c>
      <c r="T3884">
        <v>-0.22357079999999999</v>
      </c>
      <c r="U3884">
        <v>-3.0798030000000001</v>
      </c>
      <c r="V3884">
        <v>0.25239820000000002</v>
      </c>
      <c r="W3884">
        <v>0.19330339999999999</v>
      </c>
      <c r="X3884">
        <v>0.94811860000000003</v>
      </c>
      <c r="Y3884">
        <v>0.36455460000000001</v>
      </c>
      <c r="Z3884">
        <v>6.716743E-2</v>
      </c>
      <c r="AA3884">
        <v>0.92875640000000004</v>
      </c>
      <c r="AB3884">
        <v>35</v>
      </c>
      <c r="AC3884">
        <v>-2.6511000000000098</v>
      </c>
      <c r="AD3884">
        <v>-1.0921316919339901</v>
      </c>
      <c r="AE3884">
        <v>-14.6945</v>
      </c>
      <c r="AF3884">
        <v>5.5368459114027102</v>
      </c>
      <c r="AG3884">
        <v>-1.0921316919339901</v>
      </c>
      <c r="AH3884">
        <v>13.7816364234808</v>
      </c>
      <c r="AI3884">
        <v>94.205558131123396</v>
      </c>
      <c r="AJ3884">
        <v>68.1119420848852</v>
      </c>
      <c r="AK3884">
        <v>14.892377808400999</v>
      </c>
      <c r="AL3884">
        <v>78.854369678055704</v>
      </c>
      <c r="AM3884">
        <v>75.093039106115398</v>
      </c>
      <c r="AN3884">
        <v>0.99999996774037903</v>
      </c>
    </row>
    <row r="3885" spans="1:40" x14ac:dyDescent="0.25">
      <c r="A3885" t="str">
        <f>"20190312172448074"</f>
        <v>20190312172448074</v>
      </c>
      <c r="B3885" t="str">
        <f>"1552382688064001"</f>
        <v>1552382688064001</v>
      </c>
      <c r="C3885" t="s">
        <v>40</v>
      </c>
      <c r="D3885">
        <v>3.9259050000000002</v>
      </c>
      <c r="E3885">
        <v>0.54172600000000004</v>
      </c>
      <c r="F3885" t="s">
        <v>43</v>
      </c>
      <c r="G3885">
        <v>-186.4847</v>
      </c>
      <c r="H3885" s="1">
        <v>-2.2770820000000001E-6</v>
      </c>
      <c r="I3885">
        <v>183.4872</v>
      </c>
      <c r="J3885">
        <v>-184.2304</v>
      </c>
      <c r="K3885">
        <v>1.092163</v>
      </c>
      <c r="L3885">
        <v>196.5814</v>
      </c>
      <c r="M3885">
        <v>0.18477440000000001</v>
      </c>
      <c r="N3885">
        <v>0</v>
      </c>
      <c r="O3885">
        <v>-0.98262020000000005</v>
      </c>
      <c r="P3885">
        <v>-6.0496639999999997E-2</v>
      </c>
      <c r="Q3885">
        <v>0.18744849999999999</v>
      </c>
      <c r="R3885">
        <v>-0.9804098</v>
      </c>
      <c r="S3885">
        <v>-0.50332639999999995</v>
      </c>
      <c r="T3885">
        <v>-0.25047000000000003</v>
      </c>
      <c r="U3885">
        <v>-3.0813290000000002</v>
      </c>
      <c r="V3885">
        <v>0.2492442</v>
      </c>
      <c r="W3885">
        <v>0.19375999999999999</v>
      </c>
      <c r="X3885">
        <v>0.94885949999999997</v>
      </c>
      <c r="Y3885">
        <v>0.34032829999999997</v>
      </c>
      <c r="Z3885">
        <v>7.5997090000000003E-2</v>
      </c>
      <c r="AA3885">
        <v>0.93723049999999997</v>
      </c>
      <c r="AB3885">
        <v>35</v>
      </c>
      <c r="AC3885">
        <v>-2.2543000000000002</v>
      </c>
      <c r="AD3885">
        <v>-1.0921652770819901</v>
      </c>
      <c r="AE3885">
        <v>-13.094200000000001</v>
      </c>
      <c r="AF3885">
        <v>4.6042167724998997</v>
      </c>
      <c r="AG3885">
        <v>-1.0921652770819901</v>
      </c>
      <c r="AH3885">
        <v>12.3684858689774</v>
      </c>
      <c r="AI3885">
        <v>94.730701731126004</v>
      </c>
      <c r="AJ3885">
        <v>69.582022368603106</v>
      </c>
      <c r="AK3885">
        <v>13.2427746251202</v>
      </c>
      <c r="AL3885">
        <v>78.827704425060602</v>
      </c>
      <c r="AM3885">
        <v>75.282173152090607</v>
      </c>
      <c r="AN3885">
        <v>0.99999997978694399</v>
      </c>
    </row>
    <row r="3886" spans="1:40" x14ac:dyDescent="0.25">
      <c r="A3886" t="str">
        <f>"20190312172448098"</f>
        <v>20190312172448098</v>
      </c>
      <c r="B3886" t="str">
        <f>"1552382688094256"</f>
        <v>1552382688094256</v>
      </c>
      <c r="C3886" t="s">
        <v>40</v>
      </c>
      <c r="D3886">
        <v>3.9330539999999998</v>
      </c>
      <c r="E3886">
        <v>0.5400433</v>
      </c>
      <c r="F3886" t="s">
        <v>43</v>
      </c>
      <c r="G3886">
        <v>-186.70580000000001</v>
      </c>
      <c r="H3886" s="1">
        <v>-1.7737920000000001E-6</v>
      </c>
      <c r="I3886">
        <v>182.28479999999999</v>
      </c>
      <c r="J3886">
        <v>-184.1748</v>
      </c>
      <c r="K3886">
        <v>1.092193</v>
      </c>
      <c r="L3886">
        <v>196.22559999999999</v>
      </c>
      <c r="M3886">
        <v>0.16666789999999901</v>
      </c>
      <c r="N3886">
        <v>0</v>
      </c>
      <c r="O3886">
        <v>-0.98585299999999998</v>
      </c>
      <c r="P3886">
        <v>-7.4644660000000002E-2</v>
      </c>
      <c r="Q3886">
        <v>0.1866747</v>
      </c>
      <c r="R3886">
        <v>-0.97958219999999996</v>
      </c>
      <c r="S3886">
        <v>-0.53192139999999999</v>
      </c>
      <c r="T3886">
        <v>-0.2346809</v>
      </c>
      <c r="U3886">
        <v>-3.072006</v>
      </c>
      <c r="V3886">
        <v>0.24545629999999999</v>
      </c>
      <c r="W3886">
        <v>0.1931804</v>
      </c>
      <c r="X3886">
        <v>0.94996449999999999</v>
      </c>
      <c r="Y3886">
        <v>0.332014799999999</v>
      </c>
      <c r="Z3886">
        <v>7.187296E-2</v>
      </c>
      <c r="AA3886">
        <v>0.94053200000000003</v>
      </c>
      <c r="AB3886">
        <v>35</v>
      </c>
      <c r="AC3886">
        <v>-2.5310000000000001</v>
      </c>
      <c r="AD3886">
        <v>-1.0921947737919999</v>
      </c>
      <c r="AE3886">
        <v>-13.9407999999999</v>
      </c>
      <c r="AF3886">
        <v>4.7909700824768997</v>
      </c>
      <c r="AG3886">
        <v>-1.0921947737919999</v>
      </c>
      <c r="AH3886">
        <v>13.245142130698801</v>
      </c>
      <c r="AI3886">
        <v>94.434020715110606</v>
      </c>
      <c r="AJ3886">
        <v>70.114169309048805</v>
      </c>
      <c r="AK3886">
        <v>14.127281189864499</v>
      </c>
      <c r="AL3886">
        <v>78.861552885715597</v>
      </c>
      <c r="AM3886">
        <v>75.512507070827397</v>
      </c>
      <c r="AN3886">
        <v>1.00000000670705</v>
      </c>
    </row>
    <row r="3887" spans="1:40" x14ac:dyDescent="0.25">
      <c r="A3887" t="str">
        <f>"20190312172448110"</f>
        <v>20190312172448110</v>
      </c>
      <c r="B3887" t="str">
        <f>"1552382688104017"</f>
        <v>1552382688104017</v>
      </c>
      <c r="C3887" t="s">
        <v>40</v>
      </c>
      <c r="D3887">
        <v>3.9458820000000001</v>
      </c>
      <c r="E3887">
        <v>0.53920579999999996</v>
      </c>
      <c r="F3887" t="s">
        <v>43</v>
      </c>
      <c r="G3887">
        <v>-186.80250000000001</v>
      </c>
      <c r="H3887" s="1">
        <v>-1.6191249999999999E-6</v>
      </c>
      <c r="I3887">
        <v>181.9059</v>
      </c>
      <c r="J3887">
        <v>-184.14510000000001</v>
      </c>
      <c r="K3887">
        <v>1.0922080000000001</v>
      </c>
      <c r="L3887">
        <v>196.01169999999999</v>
      </c>
      <c r="M3887">
        <v>0.1557627</v>
      </c>
      <c r="N3887">
        <v>0</v>
      </c>
      <c r="O3887">
        <v>-0.98763489999999998</v>
      </c>
      <c r="P3887">
        <v>-8.300594E-2</v>
      </c>
      <c r="Q3887">
        <v>0.1860444</v>
      </c>
      <c r="R3887">
        <v>-0.97902940000000005</v>
      </c>
      <c r="S3887">
        <v>-0.56228639999999996</v>
      </c>
      <c r="T3887">
        <v>-0.2337176</v>
      </c>
      <c r="U3887">
        <v>-3.0642550000000002</v>
      </c>
      <c r="V3887">
        <v>0.24304629999999999</v>
      </c>
      <c r="W3887">
        <v>0.19267319999999999</v>
      </c>
      <c r="X3887">
        <v>0.9506869</v>
      </c>
      <c r="Y3887">
        <v>0.33102520000000002</v>
      </c>
      <c r="Z3887">
        <v>7.1910979999999999E-2</v>
      </c>
      <c r="AA3887">
        <v>0.94087790000000004</v>
      </c>
      <c r="AB3887">
        <v>35</v>
      </c>
      <c r="AC3887">
        <v>-2.6573999999999902</v>
      </c>
      <c r="AD3887">
        <v>-1.0922096191249999</v>
      </c>
      <c r="AE3887">
        <v>-14.105799999999901</v>
      </c>
      <c r="AF3887">
        <v>4.7946979949714796</v>
      </c>
      <c r="AG3887">
        <v>-1.0922096191249999</v>
      </c>
      <c r="AH3887">
        <v>13.441761702856899</v>
      </c>
      <c r="AI3887">
        <v>94.3764225154721</v>
      </c>
      <c r="AJ3887">
        <v>70.368600937258293</v>
      </c>
      <c r="AK3887">
        <v>14.313036309305</v>
      </c>
      <c r="AL3887">
        <v>78.891169905329605</v>
      </c>
      <c r="AM3887">
        <v>75.659304477898104</v>
      </c>
      <c r="AN3887">
        <v>1.0000000238867599</v>
      </c>
    </row>
    <row r="3888" spans="1:40" x14ac:dyDescent="0.25">
      <c r="A3888" t="str">
        <f>"20190312172448131"</f>
        <v>20190312172448131</v>
      </c>
      <c r="B3888" t="str">
        <f>"1552382688124512"</f>
        <v>1552382688124512</v>
      </c>
      <c r="C3888" t="s">
        <v>40</v>
      </c>
      <c r="D3888">
        <v>3.9728330000000001</v>
      </c>
      <c r="E3888">
        <v>0.53790780000000005</v>
      </c>
      <c r="F3888" t="s">
        <v>43</v>
      </c>
      <c r="G3888">
        <v>-186.83969999999999</v>
      </c>
      <c r="H3888" s="1">
        <v>-1.582288E-6</v>
      </c>
      <c r="I3888">
        <v>181.82679999999999</v>
      </c>
      <c r="J3888">
        <v>-184.10470000000001</v>
      </c>
      <c r="K3888">
        <v>1.0922369999999999</v>
      </c>
      <c r="L3888">
        <v>195.69200000000001</v>
      </c>
      <c r="M3888">
        <v>0.1394156</v>
      </c>
      <c r="N3888">
        <v>0</v>
      </c>
      <c r="O3888">
        <v>-0.99007460000000003</v>
      </c>
      <c r="P3888">
        <v>-9.446707E-2</v>
      </c>
      <c r="Q3888">
        <v>0.18496280000000001</v>
      </c>
      <c r="R3888">
        <v>-0.97819500000000004</v>
      </c>
      <c r="S3888">
        <v>-0.58125309999999997</v>
      </c>
      <c r="T3888">
        <v>-0.23559359999999999</v>
      </c>
      <c r="U3888">
        <v>-3.0597530000000002</v>
      </c>
      <c r="V3888">
        <v>0.238422</v>
      </c>
      <c r="W3888">
        <v>0.1918243</v>
      </c>
      <c r="X3888">
        <v>0.9520286</v>
      </c>
      <c r="Y3888">
        <v>0.3212815</v>
      </c>
      <c r="Z3888">
        <v>7.2956439999999997E-2</v>
      </c>
      <c r="AA3888">
        <v>0.94416920000000004</v>
      </c>
      <c r="AB3888">
        <v>35</v>
      </c>
      <c r="AC3888">
        <v>-2.7349999999999799</v>
      </c>
      <c r="AD3888">
        <v>-1.0922385822880001</v>
      </c>
      <c r="AE3888">
        <v>-13.8652</v>
      </c>
      <c r="AF3888">
        <v>4.6140511527471197</v>
      </c>
      <c r="AG3888">
        <v>-1.0922385822880001</v>
      </c>
      <c r="AH3888">
        <v>13.269128323594</v>
      </c>
      <c r="AI3888">
        <v>94.445684493668594</v>
      </c>
      <c r="AJ3888">
        <v>70.825991306378995</v>
      </c>
      <c r="AK3888">
        <v>14.090855887021499</v>
      </c>
      <c r="AL3888">
        <v>78.940732938280703</v>
      </c>
      <c r="AM3888">
        <v>75.940260731765207</v>
      </c>
      <c r="AN3888">
        <v>1.00000003368622</v>
      </c>
    </row>
    <row r="3889" spans="1:40" x14ac:dyDescent="0.25">
      <c r="A3889" t="str">
        <f>"20190312172448145"</f>
        <v>20190312172448145</v>
      </c>
      <c r="B3889" t="str">
        <f>"1552382688134272"</f>
        <v>1552382688134272</v>
      </c>
      <c r="C3889" t="s">
        <v>40</v>
      </c>
      <c r="D3889">
        <v>3.973204</v>
      </c>
      <c r="E3889">
        <v>0.53790780000000005</v>
      </c>
      <c r="F3889" t="s">
        <v>43</v>
      </c>
      <c r="G3889">
        <v>-186.86660000000001</v>
      </c>
      <c r="H3889" s="1">
        <v>-1.558501E-6</v>
      </c>
      <c r="I3889">
        <v>181.77789999999999</v>
      </c>
      <c r="J3889">
        <v>-184.08029999999999</v>
      </c>
      <c r="K3889">
        <v>1.0922540000000001</v>
      </c>
      <c r="L3889">
        <v>195.4761</v>
      </c>
      <c r="M3889">
        <v>0.128357</v>
      </c>
      <c r="N3889">
        <v>0</v>
      </c>
      <c r="O3889">
        <v>-0.99156900000000003</v>
      </c>
      <c r="P3889">
        <v>-0.10318330000000001</v>
      </c>
      <c r="Q3889">
        <v>0.18512319999999999</v>
      </c>
      <c r="R3889">
        <v>-0.97728340000000002</v>
      </c>
      <c r="S3889">
        <v>-0.60614009999999996</v>
      </c>
      <c r="T3889">
        <v>-0.23970820000000001</v>
      </c>
      <c r="U3889">
        <v>-3.0536500000000002</v>
      </c>
      <c r="V3889">
        <v>0.23627219999999999</v>
      </c>
      <c r="W3889">
        <v>0.19209290000000001</v>
      </c>
      <c r="X3889">
        <v>0.95251019999999997</v>
      </c>
      <c r="Y3889">
        <v>0.31845220000000002</v>
      </c>
      <c r="Z3889">
        <v>7.4522530000000003E-2</v>
      </c>
      <c r="AA3889">
        <v>0.94500510000000004</v>
      </c>
      <c r="AB3889">
        <v>35</v>
      </c>
      <c r="AC3889">
        <v>-2.78630000000001</v>
      </c>
      <c r="AD3889">
        <v>-1.0922555585009901</v>
      </c>
      <c r="AE3889">
        <v>-13.6982</v>
      </c>
      <c r="AF3889">
        <v>4.4943419063525196</v>
      </c>
      <c r="AG3889">
        <v>-1.0922555585009901</v>
      </c>
      <c r="AH3889">
        <v>13.1468883191566</v>
      </c>
      <c r="AI3889">
        <v>94.495015567687403</v>
      </c>
      <c r="AJ3889">
        <v>71.1267018979607</v>
      </c>
      <c r="AK3889">
        <v>13.9367429427628</v>
      </c>
      <c r="AL3889">
        <v>78.925050818400194</v>
      </c>
      <c r="AM3889">
        <v>76.068843415187899</v>
      </c>
      <c r="AN3889">
        <v>0.99999995791364404</v>
      </c>
    </row>
    <row r="3890" spans="1:40" x14ac:dyDescent="0.25">
      <c r="A3890" t="str">
        <f>"20190312172448164"</f>
        <v>20190312172448164</v>
      </c>
      <c r="B3890" t="str">
        <f>"1552382688154772"</f>
        <v>1552382688154772</v>
      </c>
      <c r="C3890" t="s">
        <v>40</v>
      </c>
      <c r="D3890">
        <v>3.9934479999999999</v>
      </c>
      <c r="E3890">
        <v>0.52884790000000004</v>
      </c>
      <c r="F3890" t="s">
        <v>43</v>
      </c>
      <c r="G3890">
        <v>-186.96969999999999</v>
      </c>
      <c r="H3890" s="1">
        <v>-1.458029E-6</v>
      </c>
      <c r="I3890">
        <v>181.56319999999999</v>
      </c>
      <c r="J3890">
        <v>-184.04900000000001</v>
      </c>
      <c r="K3890">
        <v>1.0922860000000001</v>
      </c>
      <c r="L3890">
        <v>195.15430000000001</v>
      </c>
      <c r="M3890">
        <v>0.1118426</v>
      </c>
      <c r="N3890">
        <v>0</v>
      </c>
      <c r="O3890">
        <v>-0.99356730000000004</v>
      </c>
      <c r="P3890">
        <v>-0.11411300000000001</v>
      </c>
      <c r="Q3890">
        <v>0.18576670000000001</v>
      </c>
      <c r="R3890">
        <v>-0.97594550000000002</v>
      </c>
      <c r="S3890">
        <v>-0.63304139999999998</v>
      </c>
      <c r="T3890">
        <v>-0.2393072</v>
      </c>
      <c r="U3890">
        <v>-3.0482330000000002</v>
      </c>
      <c r="V3890">
        <v>0.2310683</v>
      </c>
      <c r="W3890">
        <v>0.19299179999999999</v>
      </c>
      <c r="X3890">
        <v>0.95360449999999997</v>
      </c>
      <c r="Y3890">
        <v>0.31100240000000001</v>
      </c>
      <c r="Z3890">
        <v>7.4792059999999994E-2</v>
      </c>
      <c r="AA3890">
        <v>0.94746169999999996</v>
      </c>
      <c r="AB3890">
        <v>35</v>
      </c>
      <c r="AC3890">
        <v>-2.9206999999999801</v>
      </c>
      <c r="AD3890">
        <v>-1.0922874580290001</v>
      </c>
      <c r="AE3890">
        <v>-13.591100000000001</v>
      </c>
      <c r="AF3890">
        <v>4.3955356746716996</v>
      </c>
      <c r="AG3890">
        <v>-1.0922874580290001</v>
      </c>
      <c r="AH3890">
        <v>13.0982245947948</v>
      </c>
      <c r="AI3890">
        <v>94.520351175918506</v>
      </c>
      <c r="AJ3890">
        <v>71.449145729782401</v>
      </c>
      <c r="AK3890">
        <v>13.8591959829554</v>
      </c>
      <c r="AL3890">
        <v>78.872565685613296</v>
      </c>
      <c r="AM3890">
        <v>76.379165243430094</v>
      </c>
      <c r="AN3890">
        <v>0.99999996827618898</v>
      </c>
    </row>
    <row r="3891" spans="1:40" x14ac:dyDescent="0.25">
      <c r="A3891" t="str">
        <f>"20190312172448187"</f>
        <v>20190312172448187</v>
      </c>
      <c r="B3891" t="str">
        <f>"1552382688184049"</f>
        <v>1552382688184049</v>
      </c>
      <c r="C3891" t="s">
        <v>40</v>
      </c>
      <c r="D3891">
        <v>4.0198349999999996</v>
      </c>
      <c r="E3891">
        <v>0.5275318</v>
      </c>
      <c r="F3891" t="s">
        <v>43</v>
      </c>
      <c r="G3891">
        <v>-186.81880000000001</v>
      </c>
      <c r="H3891" s="1">
        <v>-1.296675E-6</v>
      </c>
      <c r="I3891">
        <v>180.97110000000001</v>
      </c>
      <c r="J3891">
        <v>-184.02070000000001</v>
      </c>
      <c r="K3891">
        <v>1.09233</v>
      </c>
      <c r="L3891">
        <v>194.79589999999999</v>
      </c>
      <c r="M3891">
        <v>9.3412739999999994E-2</v>
      </c>
      <c r="N3891">
        <v>0</v>
      </c>
      <c r="O3891">
        <v>-0.99546920000000005</v>
      </c>
      <c r="P3891">
        <v>-0.12601099999999901</v>
      </c>
      <c r="Q3891">
        <v>0.1866661</v>
      </c>
      <c r="R3891">
        <v>-0.97430870000000003</v>
      </c>
      <c r="S3891">
        <v>-0.59544370000000002</v>
      </c>
      <c r="T3891">
        <v>-0.23481440000000001</v>
      </c>
      <c r="U3891">
        <v>-3.049026</v>
      </c>
      <c r="V3891">
        <v>0.22501789999999999</v>
      </c>
      <c r="W3891">
        <v>0.1941862</v>
      </c>
      <c r="X3891">
        <v>0.9548082</v>
      </c>
      <c r="Y3891">
        <v>0.28199239999999998</v>
      </c>
      <c r="Z3891">
        <v>7.402649E-2</v>
      </c>
      <c r="AA3891">
        <v>0.95655650000000003</v>
      </c>
      <c r="AB3891">
        <v>35</v>
      </c>
      <c r="AC3891">
        <v>-2.7980999999999998</v>
      </c>
      <c r="AD3891">
        <v>-1.0923312966750001</v>
      </c>
      <c r="AE3891">
        <v>-13.8247999999999</v>
      </c>
      <c r="AF3891">
        <v>4.05316930529969</v>
      </c>
      <c r="AG3891">
        <v>-1.0923312966750001</v>
      </c>
      <c r="AH3891">
        <v>13.422414060134001</v>
      </c>
      <c r="AI3891">
        <v>94.454722370562195</v>
      </c>
      <c r="AJ3891">
        <v>73.197247604007501</v>
      </c>
      <c r="AK3891">
        <v>14.0635190575048</v>
      </c>
      <c r="AL3891">
        <v>78.802812605149299</v>
      </c>
      <c r="AM3891">
        <v>76.739174507617804</v>
      </c>
      <c r="AN3891">
        <v>1.00000001718904</v>
      </c>
    </row>
    <row r="3892" spans="1:40" x14ac:dyDescent="0.25">
      <c r="A3892" t="str">
        <f>"20190312172448209"</f>
        <v>20190312172448209</v>
      </c>
      <c r="B3892" t="str">
        <f>"1552382688204544"</f>
        <v>1552382688204544</v>
      </c>
      <c r="C3892" t="s">
        <v>40</v>
      </c>
      <c r="D3892">
        <v>4.0127689999999996</v>
      </c>
      <c r="E3892">
        <v>0.52556530000000001</v>
      </c>
      <c r="F3892" t="s">
        <v>43</v>
      </c>
      <c r="G3892">
        <v>-186.9932</v>
      </c>
      <c r="H3892" s="1">
        <v>-1.0045779999999999E-6</v>
      </c>
      <c r="I3892">
        <v>180.2491</v>
      </c>
      <c r="J3892">
        <v>-183.99940000000001</v>
      </c>
      <c r="K3892">
        <v>1.0923769999999999</v>
      </c>
      <c r="L3892">
        <v>194.4444</v>
      </c>
      <c r="M3892">
        <v>7.5298249999999997E-2</v>
      </c>
      <c r="N3892">
        <v>0</v>
      </c>
      <c r="O3892">
        <v>-0.99700310000000003</v>
      </c>
      <c r="P3892">
        <v>-0.13598099999999999</v>
      </c>
      <c r="Q3892">
        <v>0.1871218</v>
      </c>
      <c r="R3892">
        <v>-0.97287979999999996</v>
      </c>
      <c r="S3892">
        <v>-0.62170409999999998</v>
      </c>
      <c r="T3892">
        <v>-0.2284602</v>
      </c>
      <c r="U3892">
        <v>-3.0424500000000001</v>
      </c>
      <c r="V3892">
        <v>0.21740329999999999</v>
      </c>
      <c r="W3892">
        <v>0.19500890000000001</v>
      </c>
      <c r="X3892">
        <v>0.95640329999999996</v>
      </c>
      <c r="Y3892">
        <v>0.27289219999999997</v>
      </c>
      <c r="Z3892">
        <v>7.2394860000000005E-2</v>
      </c>
      <c r="AA3892">
        <v>0.95931679999999997</v>
      </c>
      <c r="AB3892">
        <v>35</v>
      </c>
      <c r="AC3892">
        <v>-2.99379999999999</v>
      </c>
      <c r="AD3892">
        <v>-1.0923780045780001</v>
      </c>
      <c r="AE3892">
        <v>-14.1953</v>
      </c>
      <c r="AF3892">
        <v>4.0314905448006604</v>
      </c>
      <c r="AG3892">
        <v>-1.0923780045780001</v>
      </c>
      <c r="AH3892">
        <v>13.850993805237</v>
      </c>
      <c r="AI3892">
        <v>94.330404053051396</v>
      </c>
      <c r="AJ3892">
        <v>73.771757444583301</v>
      </c>
      <c r="AK3892">
        <v>14.467074172424001</v>
      </c>
      <c r="AL3892">
        <v>78.754756141953493</v>
      </c>
      <c r="AM3892">
        <v>77.193517233581204</v>
      </c>
      <c r="AN3892">
        <v>0.99999996909049405</v>
      </c>
    </row>
    <row r="3893" spans="1:40" x14ac:dyDescent="0.25">
      <c r="A3893" t="str">
        <f>"20190312172448232"</f>
        <v>20190312172448232</v>
      </c>
      <c r="B3893" t="str">
        <f>"1552382688224065"</f>
        <v>1552382688224065</v>
      </c>
      <c r="C3893" t="s">
        <v>40</v>
      </c>
      <c r="D3893">
        <v>4.0090640000000004</v>
      </c>
      <c r="E3893">
        <v>0.52410800000000002</v>
      </c>
      <c r="F3893" t="s">
        <v>43</v>
      </c>
      <c r="G3893">
        <v>-187.0771</v>
      </c>
      <c r="H3893" s="1">
        <v>-8.094924E-7</v>
      </c>
      <c r="I3893">
        <v>179.7415</v>
      </c>
      <c r="J3893">
        <v>-183.98390000000001</v>
      </c>
      <c r="K3893">
        <v>1.0924290000000001</v>
      </c>
      <c r="L3893">
        <v>194.07040000000001</v>
      </c>
      <c r="M3893">
        <v>5.6001000000000002E-2</v>
      </c>
      <c r="N3893">
        <v>0</v>
      </c>
      <c r="O3893">
        <v>-0.99827310000000002</v>
      </c>
      <c r="P3893">
        <v>-0.146084299999999</v>
      </c>
      <c r="Q3893">
        <v>0.18837290000000001</v>
      </c>
      <c r="R3893">
        <v>-0.97117200000000004</v>
      </c>
      <c r="S3893">
        <v>-0.63597109999999901</v>
      </c>
      <c r="T3893">
        <v>-0.2257257</v>
      </c>
      <c r="U3893">
        <v>-3.0381619999999998</v>
      </c>
      <c r="V3893">
        <v>0.2088315</v>
      </c>
      <c r="W3893">
        <v>0.19666890000000001</v>
      </c>
      <c r="X3893">
        <v>0.95797220000000005</v>
      </c>
      <c r="Y3893">
        <v>0.25885350000000001</v>
      </c>
      <c r="Z3893">
        <v>7.1879929999999995E-2</v>
      </c>
      <c r="AA3893">
        <v>0.96323840000000005</v>
      </c>
      <c r="AB3893">
        <v>35</v>
      </c>
      <c r="AC3893">
        <v>-3.0931999999999902</v>
      </c>
      <c r="AD3893">
        <v>-1.0924298094924001</v>
      </c>
      <c r="AE3893">
        <v>-14.328900000000001</v>
      </c>
      <c r="AF3893">
        <v>3.8694139079541801</v>
      </c>
      <c r="AG3893">
        <v>-1.0924298094924001</v>
      </c>
      <c r="AH3893">
        <v>14.0550997427297</v>
      </c>
      <c r="AI3893">
        <v>94.285555832655007</v>
      </c>
      <c r="AJ3893">
        <v>74.607599423011095</v>
      </c>
      <c r="AK3893">
        <v>14.618878057423499</v>
      </c>
      <c r="AL3893">
        <v>78.657767327168003</v>
      </c>
      <c r="AM3893">
        <v>77.702296280043299</v>
      </c>
      <c r="AN3893">
        <v>0.99999999379615001</v>
      </c>
    </row>
    <row r="3894" spans="1:40" x14ac:dyDescent="0.25">
      <c r="A3894" t="str">
        <f>"20190312172448255"</f>
        <v>20190312172448255</v>
      </c>
      <c r="B3894" t="str">
        <f>"1552382688244561"</f>
        <v>1552382688244561</v>
      </c>
      <c r="C3894" t="s">
        <v>40</v>
      </c>
      <c r="D3894">
        <v>4.0173069999999997</v>
      </c>
      <c r="E3894">
        <v>0.52298239999999996</v>
      </c>
      <c r="F3894" t="s">
        <v>43</v>
      </c>
      <c r="G3894">
        <v>-187.21469999999999</v>
      </c>
      <c r="H3894" s="1">
        <v>-4.5618549999999997E-6</v>
      </c>
      <c r="I3894">
        <v>179.11490000000001</v>
      </c>
      <c r="J3894">
        <v>-183.976</v>
      </c>
      <c r="K3894">
        <v>1.092489</v>
      </c>
      <c r="L3894">
        <v>193.72309999999999</v>
      </c>
      <c r="M3894">
        <v>3.8065130000000003E-2</v>
      </c>
      <c r="N3894">
        <v>0</v>
      </c>
      <c r="O3894">
        <v>-0.9991179</v>
      </c>
      <c r="P3894">
        <v>-0.15516269999999999</v>
      </c>
      <c r="Q3894">
        <v>0.18959290000000001</v>
      </c>
      <c r="R3894">
        <v>-0.96952539999999998</v>
      </c>
      <c r="S3894">
        <v>-0.655304</v>
      </c>
      <c r="T3894">
        <v>-0.22157930000000001</v>
      </c>
      <c r="U3894">
        <v>-3.0334469999999998</v>
      </c>
      <c r="V3894">
        <v>0.2005788</v>
      </c>
      <c r="W3894">
        <v>0.1982797</v>
      </c>
      <c r="X3894">
        <v>0.95940259999999999</v>
      </c>
      <c r="Y3894">
        <v>0.24768280000000001</v>
      </c>
      <c r="Z3894">
        <v>7.0824079999999998E-2</v>
      </c>
      <c r="AA3894">
        <v>0.96624900000000002</v>
      </c>
      <c r="AB3894">
        <v>35</v>
      </c>
      <c r="AC3894">
        <v>-3.2386999999999899</v>
      </c>
      <c r="AD3894">
        <v>-1.092493561855</v>
      </c>
      <c r="AE3894">
        <v>-14.608199999999901</v>
      </c>
      <c r="AF3894">
        <v>3.7723920510595699</v>
      </c>
      <c r="AG3894">
        <v>-1.092493561855</v>
      </c>
      <c r="AH3894">
        <v>14.397555771173501</v>
      </c>
      <c r="AI3894">
        <v>94.198134355287806</v>
      </c>
      <c r="AJ3894">
        <v>75.317634932611099</v>
      </c>
      <c r="AK3894">
        <v>14.9236086840162</v>
      </c>
      <c r="AL3894">
        <v>78.563621679898304</v>
      </c>
      <c r="AM3894">
        <v>78.191465226713106</v>
      </c>
      <c r="AN3894">
        <v>1.00000002166414</v>
      </c>
    </row>
    <row r="3895" spans="1:40" x14ac:dyDescent="0.25">
      <c r="A3895" t="str">
        <f>"20190312172448267"</f>
        <v>20190312172448267</v>
      </c>
      <c r="B3895" t="str">
        <f>"1552382688264081"</f>
        <v>1552382688264081</v>
      </c>
      <c r="C3895" t="s">
        <v>40</v>
      </c>
      <c r="D3895">
        <v>4.0436990000000002</v>
      </c>
      <c r="E3895">
        <v>0.52310849999999998</v>
      </c>
      <c r="F3895" t="s">
        <v>43</v>
      </c>
      <c r="G3895">
        <v>-187.3287</v>
      </c>
      <c r="H3895" s="1">
        <v>-4.3473709999999999E-6</v>
      </c>
      <c r="I3895">
        <v>178.66200000000001</v>
      </c>
      <c r="J3895">
        <v>-183.9744</v>
      </c>
      <c r="K3895">
        <v>1.0925320000000001</v>
      </c>
      <c r="L3895">
        <v>193.53149999999999</v>
      </c>
      <c r="M3895">
        <v>2.817776E-2</v>
      </c>
      <c r="N3895">
        <v>0</v>
      </c>
      <c r="O3895">
        <v>-0.9994459</v>
      </c>
      <c r="P3895">
        <v>-0.16086619999999999</v>
      </c>
      <c r="Q3895">
        <v>0.190134</v>
      </c>
      <c r="R3895">
        <v>-0.96848920000000005</v>
      </c>
      <c r="S3895">
        <v>-0.67434689999999997</v>
      </c>
      <c r="T3895">
        <v>-0.2197431</v>
      </c>
      <c r="U3895">
        <v>-3.0293580000000002</v>
      </c>
      <c r="V3895">
        <v>0.19672580000000001</v>
      </c>
      <c r="W3895">
        <v>0.1990036</v>
      </c>
      <c r="X3895">
        <v>0.96005030000000002</v>
      </c>
      <c r="Y3895">
        <v>0.24416840000000001</v>
      </c>
      <c r="Z3895">
        <v>7.0352949999999997E-2</v>
      </c>
      <c r="AA3895">
        <v>0.96717750000000002</v>
      </c>
      <c r="AB3895">
        <v>35</v>
      </c>
      <c r="AC3895">
        <v>-3.3542999999999901</v>
      </c>
      <c r="AD3895">
        <v>-1.0925363473709999</v>
      </c>
      <c r="AE3895">
        <v>-14.869499999999899</v>
      </c>
      <c r="AF3895">
        <v>3.7527442269027902</v>
      </c>
      <c r="AG3895">
        <v>-1.0925363473709999</v>
      </c>
      <c r="AH3895">
        <v>14.693579164052</v>
      </c>
      <c r="AI3895">
        <v>94.120593011353407</v>
      </c>
      <c r="AJ3895">
        <v>75.672916139450095</v>
      </c>
      <c r="AK3895">
        <v>15.204538584026301</v>
      </c>
      <c r="AL3895">
        <v>78.521301973757701</v>
      </c>
      <c r="AM3895">
        <v>78.419714092492697</v>
      </c>
      <c r="AN3895">
        <v>1.00000002586434</v>
      </c>
    </row>
    <row r="3896" spans="1:40" x14ac:dyDescent="0.25">
      <c r="A3896" t="str">
        <f>"20190312172448280"</f>
        <v>20190312172448280</v>
      </c>
      <c r="B3896" t="str">
        <f>"1552382688274817"</f>
        <v>1552382688274817</v>
      </c>
      <c r="C3896" t="s">
        <v>40</v>
      </c>
      <c r="D3896">
        <v>4.0754429999999999</v>
      </c>
      <c r="E3896">
        <v>0.52310849999999998</v>
      </c>
      <c r="F3896" t="s">
        <v>43</v>
      </c>
      <c r="G3896">
        <v>-187.46379999999999</v>
      </c>
      <c r="H3896" s="1">
        <v>-4.1672669999999996E-6</v>
      </c>
      <c r="I3896">
        <v>178.29810000000001</v>
      </c>
      <c r="J3896">
        <v>-183.9744</v>
      </c>
      <c r="K3896">
        <v>1.0925750000000001</v>
      </c>
      <c r="L3896">
        <v>193.3099</v>
      </c>
      <c r="M3896">
        <v>1.6737749999999999E-2</v>
      </c>
      <c r="N3896">
        <v>0</v>
      </c>
      <c r="O3896">
        <v>-0.99970300000000001</v>
      </c>
      <c r="P3896">
        <v>-0.1681513</v>
      </c>
      <c r="Q3896">
        <v>0.19031580000000001</v>
      </c>
      <c r="R3896">
        <v>-0.96721489999999999</v>
      </c>
      <c r="S3896">
        <v>-0.69293209999999905</v>
      </c>
      <c r="T3896">
        <v>-0.21695900000000001</v>
      </c>
      <c r="U3896">
        <v>-3.0251009999999998</v>
      </c>
      <c r="V3896">
        <v>0.19294120000000001</v>
      </c>
      <c r="W3896">
        <v>0.19936619999999999</v>
      </c>
      <c r="X3896">
        <v>0.96074280000000001</v>
      </c>
      <c r="Y3896">
        <v>0.2390227</v>
      </c>
      <c r="Z3896">
        <v>6.9587309999999999E-2</v>
      </c>
      <c r="AA3896">
        <v>0.96851730000000003</v>
      </c>
      <c r="AB3896">
        <v>35</v>
      </c>
      <c r="AC3896">
        <v>-3.4893999999999799</v>
      </c>
      <c r="AD3896">
        <v>-1.092579167267</v>
      </c>
      <c r="AE3896">
        <v>-15.0117999999999</v>
      </c>
      <c r="AF3896">
        <v>3.7215114138757999</v>
      </c>
      <c r="AG3896">
        <v>-1.092579167267</v>
      </c>
      <c r="AH3896">
        <v>14.8765192053734</v>
      </c>
      <c r="AI3896">
        <v>94.075305200799704</v>
      </c>
      <c r="AJ3896">
        <v>75.955123822882996</v>
      </c>
      <c r="AK3896">
        <v>15.3738154050384</v>
      </c>
      <c r="AL3896">
        <v>78.500100921678793</v>
      </c>
      <c r="AM3896">
        <v>78.644622207730194</v>
      </c>
      <c r="AN3896">
        <v>0.99999995805585895</v>
      </c>
    </row>
    <row r="3897" spans="1:40" x14ac:dyDescent="0.25">
      <c r="A3897" t="str">
        <f>"20190312172448298"</f>
        <v>20190312172448298</v>
      </c>
      <c r="B3897" t="str">
        <f>"1552382688284577"</f>
        <v>1552382688284577</v>
      </c>
      <c r="C3897" t="s">
        <v>40</v>
      </c>
      <c r="D3897">
        <v>4.0671179999999998</v>
      </c>
      <c r="E3897">
        <v>0.52562759999999997</v>
      </c>
      <c r="F3897" t="s">
        <v>43</v>
      </c>
      <c r="G3897">
        <v>-187.5821</v>
      </c>
      <c r="H3897" s="1">
        <v>-4.049309E-6</v>
      </c>
      <c r="I3897">
        <v>178.072</v>
      </c>
      <c r="J3897">
        <v>-183.97890000000001</v>
      </c>
      <c r="K3897">
        <v>1.0926400000000001</v>
      </c>
      <c r="L3897">
        <v>193.0394</v>
      </c>
      <c r="M3897">
        <v>2.7954690000000001E-3</v>
      </c>
      <c r="N3897">
        <v>0</v>
      </c>
      <c r="O3897">
        <v>-0.9998397</v>
      </c>
      <c r="P3897">
        <v>-0.17304749999999999</v>
      </c>
      <c r="Q3897">
        <v>0.19037270000000001</v>
      </c>
      <c r="R3897">
        <v>-0.96634019999999998</v>
      </c>
      <c r="S3897">
        <v>-0.71499630000000003</v>
      </c>
      <c r="T3897">
        <v>-0.21653710000000001</v>
      </c>
      <c r="U3897">
        <v>-3.0199739999999999</v>
      </c>
      <c r="V3897">
        <v>0.1843544</v>
      </c>
      <c r="W3897">
        <v>0.19982359999999999</v>
      </c>
      <c r="X3897">
        <v>0.96233250000000004</v>
      </c>
      <c r="Y3897">
        <v>0.23254820000000001</v>
      </c>
      <c r="Z3897">
        <v>6.9580359999999994E-2</v>
      </c>
      <c r="AA3897">
        <v>0.97009270000000003</v>
      </c>
      <c r="AB3897">
        <v>35</v>
      </c>
      <c r="AC3897">
        <v>-3.6031999999999802</v>
      </c>
      <c r="AD3897">
        <v>-1.0926440493089999</v>
      </c>
      <c r="AE3897">
        <v>-14.9673999999999</v>
      </c>
      <c r="AF3897">
        <v>3.6267642624794001</v>
      </c>
      <c r="AG3897">
        <v>-1.0926440493089999</v>
      </c>
      <c r="AH3897">
        <v>14.8823006686514</v>
      </c>
      <c r="AI3897">
        <v>94.080080893000201</v>
      </c>
      <c r="AJ3897">
        <v>76.304177614915702</v>
      </c>
      <c r="AK3897">
        <v>15.3567627847222</v>
      </c>
      <c r="AL3897">
        <v>78.473355327844104</v>
      </c>
      <c r="AM3897">
        <v>79.155216955117396</v>
      </c>
      <c r="AN3897">
        <v>0.99999992823628203</v>
      </c>
    </row>
    <row r="3898" spans="1:40" x14ac:dyDescent="0.25">
      <c r="A3898" t="str">
        <f>"20190312172448311"</f>
        <v>20190312172448311</v>
      </c>
      <c r="B3898" t="str">
        <f>"1552382688304097"</f>
        <v>1552382688304097</v>
      </c>
      <c r="C3898" t="s">
        <v>40</v>
      </c>
      <c r="D3898">
        <v>4.0961720000000001</v>
      </c>
      <c r="E3898">
        <v>0.527632199999999</v>
      </c>
      <c r="F3898" t="s">
        <v>43</v>
      </c>
      <c r="G3898">
        <v>-187.6918</v>
      </c>
      <c r="H3898" s="1">
        <v>-4.0405770000000003E-6</v>
      </c>
      <c r="I3898">
        <v>178.09710000000001</v>
      </c>
      <c r="J3898">
        <v>-183.98490000000001</v>
      </c>
      <c r="K3898">
        <v>1.0926899999999999</v>
      </c>
      <c r="L3898">
        <v>192.83260000000001</v>
      </c>
      <c r="M3898">
        <v>-7.8486370000000003E-3</v>
      </c>
      <c r="N3898">
        <v>0</v>
      </c>
      <c r="O3898">
        <v>-0.99981299999999995</v>
      </c>
      <c r="P3898">
        <v>-0.17854639999999999</v>
      </c>
      <c r="Q3898">
        <v>0.19008890000000001</v>
      </c>
      <c r="R3898">
        <v>-0.96539520000000001</v>
      </c>
      <c r="S3898">
        <v>-0.7488861</v>
      </c>
      <c r="T3898">
        <v>-0.22038079999999999</v>
      </c>
      <c r="U3898">
        <v>-3.0137939999999999</v>
      </c>
      <c r="V3898">
        <v>0.1795379</v>
      </c>
      <c r="W3898">
        <v>0.1997652</v>
      </c>
      <c r="X3898">
        <v>0.96325490000000002</v>
      </c>
      <c r="Y3898">
        <v>0.23292119999999999</v>
      </c>
      <c r="Z3898">
        <v>7.0851440000000002E-2</v>
      </c>
      <c r="AA3898">
        <v>0.96991119999999997</v>
      </c>
      <c r="AB3898">
        <v>35</v>
      </c>
      <c r="AC3898">
        <v>-3.7068999999999899</v>
      </c>
      <c r="AD3898">
        <v>-1.092694040577</v>
      </c>
      <c r="AE3898">
        <v>-14.7355</v>
      </c>
      <c r="AF3898">
        <v>3.5726381595671999</v>
      </c>
      <c r="AG3898">
        <v>-1.092694040577</v>
      </c>
      <c r="AH3898">
        <v>14.6881844037325</v>
      </c>
      <c r="AI3898">
        <v>94.134444944159497</v>
      </c>
      <c r="AJ3898">
        <v>76.329294847320199</v>
      </c>
      <c r="AK3898">
        <v>15.1558729462727</v>
      </c>
      <c r="AL3898">
        <v>78.4767710632171</v>
      </c>
      <c r="AM3898">
        <v>79.441978274806701</v>
      </c>
      <c r="AN3898">
        <v>0.99999999752072999</v>
      </c>
    </row>
    <row r="3899" spans="1:40" x14ac:dyDescent="0.25">
      <c r="A3899" t="str">
        <f>"20190312172448324"</f>
        <v>20190312172448324</v>
      </c>
      <c r="B3899" t="str">
        <f>"1552382688313857"</f>
        <v>1552382688313857</v>
      </c>
      <c r="C3899" t="s">
        <v>40</v>
      </c>
      <c r="D3899">
        <v>4.0699769999999997</v>
      </c>
      <c r="E3899">
        <v>0.52850529999999996</v>
      </c>
      <c r="F3899" t="s">
        <v>43</v>
      </c>
      <c r="G3899">
        <v>-187.86240000000001</v>
      </c>
      <c r="H3899" s="1">
        <v>-3.9304249999999997E-6</v>
      </c>
      <c r="I3899">
        <v>177.91079999999999</v>
      </c>
      <c r="J3899">
        <v>-183.99209999999999</v>
      </c>
      <c r="K3899">
        <v>1.09274</v>
      </c>
      <c r="L3899">
        <v>192.6371</v>
      </c>
      <c r="M3899">
        <v>-1.7898750000000001E-2</v>
      </c>
      <c r="N3899">
        <v>0</v>
      </c>
      <c r="O3899">
        <v>-0.99968369999999995</v>
      </c>
      <c r="P3899">
        <v>-0.183174</v>
      </c>
      <c r="Q3899">
        <v>0.18991279999999999</v>
      </c>
      <c r="R3899">
        <v>-0.96456240000000004</v>
      </c>
      <c r="S3899">
        <v>-0.78121949999999996</v>
      </c>
      <c r="T3899">
        <v>-0.22015390000000001</v>
      </c>
      <c r="U3899">
        <v>-3.0064090000000001</v>
      </c>
      <c r="V3899">
        <v>0.1744269</v>
      </c>
      <c r="W3899">
        <v>0.19982649999999999</v>
      </c>
      <c r="X3899">
        <v>0.96418079999999995</v>
      </c>
      <c r="Y3899">
        <v>0.2335014</v>
      </c>
      <c r="Z3899">
        <v>7.0835869999999995E-2</v>
      </c>
      <c r="AA3899">
        <v>0.96977290000000005</v>
      </c>
      <c r="AB3899">
        <v>34</v>
      </c>
      <c r="AC3899">
        <v>-3.8703000000000101</v>
      </c>
      <c r="AD3899">
        <v>-1.092743930425</v>
      </c>
      <c r="AE3899">
        <v>-14.7263</v>
      </c>
      <c r="AF3899">
        <v>3.5875787595046398</v>
      </c>
      <c r="AG3899">
        <v>-1.092743930425</v>
      </c>
      <c r="AH3899">
        <v>14.7174236236986</v>
      </c>
      <c r="AI3899">
        <v>94.125944366851201</v>
      </c>
      <c r="AJ3899">
        <v>76.300523241002097</v>
      </c>
      <c r="AK3899">
        <v>15.187737447445199</v>
      </c>
      <c r="AL3899">
        <v>78.473186522103603</v>
      </c>
      <c r="AM3899">
        <v>79.745706852039206</v>
      </c>
      <c r="AN3899">
        <v>0.99999999431724995</v>
      </c>
    </row>
    <row r="3900" spans="1:40" x14ac:dyDescent="0.25">
      <c r="A3900" t="str">
        <f>"20190312172448346"</f>
        <v>20190312172448346</v>
      </c>
      <c r="B3900" t="str">
        <f>"1552382688334353"</f>
        <v>1552382688334353</v>
      </c>
      <c r="C3900" t="s">
        <v>40</v>
      </c>
      <c r="D3900">
        <v>4.0942959999999999</v>
      </c>
      <c r="E3900">
        <v>0.52977730000000001</v>
      </c>
      <c r="F3900" t="s">
        <v>43</v>
      </c>
      <c r="G3900">
        <v>-187.97229999999999</v>
      </c>
      <c r="H3900" s="1">
        <v>-3.8393790000000001E-6</v>
      </c>
      <c r="I3900">
        <v>177.744</v>
      </c>
      <c r="J3900">
        <v>-184.0102</v>
      </c>
      <c r="K3900">
        <v>1.0928450000000001</v>
      </c>
      <c r="L3900">
        <v>192.2936</v>
      </c>
      <c r="M3900">
        <v>-3.5501560000000001E-2</v>
      </c>
      <c r="N3900">
        <v>0</v>
      </c>
      <c r="O3900">
        <v>-0.99921420000000005</v>
      </c>
      <c r="P3900">
        <v>-0.190357</v>
      </c>
      <c r="Q3900">
        <v>0.19018019999999999</v>
      </c>
      <c r="R3900">
        <v>-0.96311769999999997</v>
      </c>
      <c r="S3900">
        <v>-0.80209350000000001</v>
      </c>
      <c r="T3900">
        <v>-0.22021019999999999</v>
      </c>
      <c r="U3900">
        <v>-3.0012509999999999</v>
      </c>
      <c r="V3900">
        <v>0.16456309999999999</v>
      </c>
      <c r="W3900">
        <v>0.20054169999999999</v>
      </c>
      <c r="X3900">
        <v>0.96576499999999998</v>
      </c>
      <c r="Y3900">
        <v>0.22307569999999999</v>
      </c>
      <c r="Z3900">
        <v>7.0947099999999999E-2</v>
      </c>
      <c r="AA3900">
        <v>0.97221590000000002</v>
      </c>
      <c r="AB3900">
        <v>34</v>
      </c>
      <c r="AC3900">
        <v>-3.9620999999999902</v>
      </c>
      <c r="AD3900">
        <v>-1.0928488393789999</v>
      </c>
      <c r="AE3900">
        <v>-14.5495999999999</v>
      </c>
      <c r="AF3900">
        <v>3.42499869610735</v>
      </c>
      <c r="AG3900">
        <v>-1.0928488393789999</v>
      </c>
      <c r="AH3900">
        <v>14.604401090204201</v>
      </c>
      <c r="AI3900">
        <v>94.166835866162401</v>
      </c>
      <c r="AJ3900">
        <v>76.801608886777103</v>
      </c>
      <c r="AK3900">
        <v>15.0403944714767</v>
      </c>
      <c r="AL3900">
        <v>78.431362178340194</v>
      </c>
      <c r="AM3900">
        <v>80.329869298187802</v>
      </c>
      <c r="AN3900">
        <v>1.0000000112727401</v>
      </c>
    </row>
    <row r="3901" spans="1:40" x14ac:dyDescent="0.25">
      <c r="A3901" t="str">
        <f>"20190312172448367"</f>
        <v>20190312172448367</v>
      </c>
      <c r="B3901" t="str">
        <f>"1552382688364610"</f>
        <v>1552382688364610</v>
      </c>
      <c r="C3901" t="s">
        <v>40</v>
      </c>
      <c r="D3901">
        <v>4.0965470000000002</v>
      </c>
      <c r="E3901">
        <v>0.53109680000000004</v>
      </c>
      <c r="F3901" t="s">
        <v>43</v>
      </c>
      <c r="G3901">
        <v>-188.16890000000001</v>
      </c>
      <c r="H3901" s="1">
        <v>-3.649104E-6</v>
      </c>
      <c r="I3901">
        <v>177.3818</v>
      </c>
      <c r="J3901">
        <v>-184.03309999999999</v>
      </c>
      <c r="K3901">
        <v>1.0929519999999999</v>
      </c>
      <c r="L3901">
        <v>191.96559999999999</v>
      </c>
      <c r="M3901">
        <v>-5.2250570000000003E-2</v>
      </c>
      <c r="N3901">
        <v>0</v>
      </c>
      <c r="O3901">
        <v>-0.99847909999999995</v>
      </c>
      <c r="P3901">
        <v>-0.19787569999999999</v>
      </c>
      <c r="Q3901">
        <v>0.19163359999999999</v>
      </c>
      <c r="R3901">
        <v>-0.96131250000000001</v>
      </c>
      <c r="S3901">
        <v>-0.83476260000000002</v>
      </c>
      <c r="T3901">
        <v>-0.21936349999999999</v>
      </c>
      <c r="U3901">
        <v>-2.9931950000000001</v>
      </c>
      <c r="V3901">
        <v>0.15591189999999999</v>
      </c>
      <c r="W3901">
        <v>0.20237859999999999</v>
      </c>
      <c r="X3901">
        <v>0.96681660000000003</v>
      </c>
      <c r="Y3901">
        <v>0.2172586</v>
      </c>
      <c r="Z3901">
        <v>7.0727390000000001E-2</v>
      </c>
      <c r="AA3901">
        <v>0.97354839999999998</v>
      </c>
      <c r="AB3901">
        <v>34</v>
      </c>
      <c r="AC3901">
        <v>-4.1358000000000104</v>
      </c>
      <c r="AD3901">
        <v>-1.092955649104</v>
      </c>
      <c r="AE3901">
        <v>-14.583799999999901</v>
      </c>
      <c r="AF3901">
        <v>3.3506012327628398</v>
      </c>
      <c r="AG3901">
        <v>-1.092955649104</v>
      </c>
      <c r="AH3901">
        <v>14.7035686947446</v>
      </c>
      <c r="AI3901">
        <v>94.145250531293797</v>
      </c>
      <c r="AJ3901">
        <v>77.162830877360506</v>
      </c>
      <c r="AK3901">
        <v>15.1200533409434</v>
      </c>
      <c r="AL3901">
        <v>78.323912080517502</v>
      </c>
      <c r="AM3901">
        <v>80.839169805276995</v>
      </c>
      <c r="AN3901">
        <v>0.99999997816756403</v>
      </c>
    </row>
    <row r="3902" spans="1:40" x14ac:dyDescent="0.25">
      <c r="A3902" t="str">
        <f>"20190312172448389"</f>
        <v>20190312172448389</v>
      </c>
      <c r="B3902" t="str">
        <f>"1552382688384130"</f>
        <v>1552382688384130</v>
      </c>
      <c r="C3902" t="s">
        <v>40</v>
      </c>
      <c r="D3902">
        <v>4.1073019999999998</v>
      </c>
      <c r="E3902">
        <v>0.53182980000000002</v>
      </c>
      <c r="F3902" t="s">
        <v>43</v>
      </c>
      <c r="G3902">
        <v>-188.46870000000001</v>
      </c>
      <c r="H3902" s="1">
        <v>-3.3195350000000001E-6</v>
      </c>
      <c r="I3902">
        <v>176.73750000000001</v>
      </c>
      <c r="J3902">
        <v>-184.0633</v>
      </c>
      <c r="K3902">
        <v>1.093073</v>
      </c>
      <c r="L3902">
        <v>191.62139999999999</v>
      </c>
      <c r="M3902">
        <v>-6.9756830000000006E-2</v>
      </c>
      <c r="N3902">
        <v>0</v>
      </c>
      <c r="O3902">
        <v>-0.99740949999999995</v>
      </c>
      <c r="P3902">
        <v>-0.20653170000000001</v>
      </c>
      <c r="Q3902">
        <v>0.19243850000000001</v>
      </c>
      <c r="R3902">
        <v>-0.95932919999999999</v>
      </c>
      <c r="S3902">
        <v>-0.86930849999999904</v>
      </c>
      <c r="T3902">
        <v>-0.21420510000000001</v>
      </c>
      <c r="U3902">
        <v>-2.9845120000000001</v>
      </c>
      <c r="V3902">
        <v>0.14762690000000001</v>
      </c>
      <c r="W3902">
        <v>0.2035459</v>
      </c>
      <c r="X3902">
        <v>0.9678715</v>
      </c>
      <c r="Y3902">
        <v>0.21131839999999999</v>
      </c>
      <c r="Z3902">
        <v>6.9091689999999997E-2</v>
      </c>
      <c r="AA3902">
        <v>0.97497219999999996</v>
      </c>
      <c r="AB3902">
        <v>34</v>
      </c>
      <c r="AC3902">
        <v>-4.40540000000001</v>
      </c>
      <c r="AD3902">
        <v>-1.093076319535</v>
      </c>
      <c r="AE3902">
        <v>-14.883899999999899</v>
      </c>
      <c r="AF3902">
        <v>3.33968991173565</v>
      </c>
      <c r="AG3902">
        <v>-1.093076319535</v>
      </c>
      <c r="AH3902">
        <v>15.080203132358699</v>
      </c>
      <c r="AI3902">
        <v>94.048045014444895</v>
      </c>
      <c r="AJ3902">
        <v>77.512714093870699</v>
      </c>
      <c r="AK3902">
        <v>15.4842136080616</v>
      </c>
      <c r="AL3902">
        <v>78.255608609822303</v>
      </c>
      <c r="AM3902">
        <v>81.327665684029995</v>
      </c>
      <c r="AN3902">
        <v>0.999999937761333</v>
      </c>
    </row>
    <row r="3903" spans="1:40" x14ac:dyDescent="0.25">
      <c r="A3903" t="str">
        <f>"20190312172448412"</f>
        <v>20190312172448412</v>
      </c>
      <c r="B3903" t="str">
        <f>"1552382688404626"</f>
        <v>1552382688404626</v>
      </c>
      <c r="C3903" t="s">
        <v>40</v>
      </c>
      <c r="D3903">
        <v>4.0824369999999996</v>
      </c>
      <c r="E3903">
        <v>0.53232699999999999</v>
      </c>
      <c r="F3903" t="s">
        <v>43</v>
      </c>
      <c r="G3903">
        <v>-188.7268</v>
      </c>
      <c r="H3903" s="1">
        <v>-3.0636479999999998E-6</v>
      </c>
      <c r="I3903">
        <v>176.24780000000001</v>
      </c>
      <c r="J3903">
        <v>-184.10210000000001</v>
      </c>
      <c r="K3903">
        <v>1.0932040000000001</v>
      </c>
      <c r="L3903">
        <v>191.255</v>
      </c>
      <c r="M3903">
        <v>-8.8281380000000007E-2</v>
      </c>
      <c r="N3903">
        <v>0</v>
      </c>
      <c r="O3903">
        <v>-0.99594170000000004</v>
      </c>
      <c r="P3903">
        <v>-0.2149652</v>
      </c>
      <c r="Q3903">
        <v>0.1927702</v>
      </c>
      <c r="R3903">
        <v>-0.95740789999999998</v>
      </c>
      <c r="S3903">
        <v>-0.90254210000000001</v>
      </c>
      <c r="T3903">
        <v>-0.21154500000000001</v>
      </c>
      <c r="U3903">
        <v>-2.9752809999999998</v>
      </c>
      <c r="V3903">
        <v>0.138076799999999</v>
      </c>
      <c r="W3903">
        <v>0.20429050000000001</v>
      </c>
      <c r="X3903">
        <v>0.96912339999999997</v>
      </c>
      <c r="Y3903">
        <v>0.203981</v>
      </c>
      <c r="Z3903">
        <v>6.8236370000000005E-2</v>
      </c>
      <c r="AA3903">
        <v>0.97659390000000001</v>
      </c>
      <c r="AB3903">
        <v>34</v>
      </c>
      <c r="AC3903">
        <v>-4.62469999999999</v>
      </c>
      <c r="AD3903">
        <v>-1.093207063648</v>
      </c>
      <c r="AE3903">
        <v>-15.0071999999999</v>
      </c>
      <c r="AF3903">
        <v>3.2657516246243898</v>
      </c>
      <c r="AG3903">
        <v>-1.093207063648</v>
      </c>
      <c r="AH3903">
        <v>15.282860613779601</v>
      </c>
      <c r="AI3903">
        <v>94.001453896595805</v>
      </c>
      <c r="AJ3903">
        <v>77.938034008903401</v>
      </c>
      <c r="AK3903">
        <v>15.666080042498301</v>
      </c>
      <c r="AL3903">
        <v>78.212031100049202</v>
      </c>
      <c r="AM3903">
        <v>81.8913013862594</v>
      </c>
      <c r="AN3903">
        <v>0.99999998775802401</v>
      </c>
    </row>
    <row r="3904" spans="1:40" x14ac:dyDescent="0.25">
      <c r="A3904" t="str">
        <f>"20190312172448433"</f>
        <v>20190312172448433</v>
      </c>
      <c r="B3904" t="str">
        <f>"1552382688424145"</f>
        <v>1552382688424145</v>
      </c>
      <c r="C3904" t="s">
        <v>40</v>
      </c>
      <c r="D3904">
        <v>4.0813319999999997</v>
      </c>
      <c r="E3904">
        <v>0.53279449999999995</v>
      </c>
      <c r="F3904" t="s">
        <v>43</v>
      </c>
      <c r="G3904">
        <v>-188.94739999999999</v>
      </c>
      <c r="H3904" s="1">
        <v>-2.8547329999999998E-6</v>
      </c>
      <c r="I3904">
        <v>175.852</v>
      </c>
      <c r="J3904">
        <v>-184.14259999999999</v>
      </c>
      <c r="K3904">
        <v>1.093345</v>
      </c>
      <c r="L3904">
        <v>190.92760000000001</v>
      </c>
      <c r="M3904">
        <v>-0.1047284</v>
      </c>
      <c r="N3904">
        <v>0</v>
      </c>
      <c r="O3904">
        <v>-0.9943476</v>
      </c>
      <c r="P3904">
        <v>-0.22020909999999999</v>
      </c>
      <c r="Q3904">
        <v>0.19375429999999999</v>
      </c>
      <c r="R3904">
        <v>-0.95601659999999999</v>
      </c>
      <c r="S3904">
        <v>-0.93313599999999997</v>
      </c>
      <c r="T3904">
        <v>-0.21053240000000001</v>
      </c>
      <c r="U3904">
        <v>-2.9663539999999999</v>
      </c>
      <c r="V3904">
        <v>0.1273301</v>
      </c>
      <c r="W3904">
        <v>0.2057303</v>
      </c>
      <c r="X3904">
        <v>0.97028970000000003</v>
      </c>
      <c r="Y3904">
        <v>0.19781470000000001</v>
      </c>
      <c r="Z3904">
        <v>6.7884949999999999E-2</v>
      </c>
      <c r="AA3904">
        <v>0.97788600000000003</v>
      </c>
      <c r="AB3904">
        <v>34</v>
      </c>
      <c r="AC3904">
        <v>-4.8048000000000002</v>
      </c>
      <c r="AD3904">
        <v>-1.093347854733</v>
      </c>
      <c r="AE3904">
        <v>-15.0756</v>
      </c>
      <c r="AF3904">
        <v>3.1840822623724798</v>
      </c>
      <c r="AG3904">
        <v>-1.093347854733</v>
      </c>
      <c r="AH3904">
        <v>15.4223096363335</v>
      </c>
      <c r="AI3904">
        <v>93.971650405968006</v>
      </c>
      <c r="AJ3904">
        <v>78.3346464706798</v>
      </c>
      <c r="AK3904">
        <v>15.785481427690099</v>
      </c>
      <c r="AL3904">
        <v>78.127746626495096</v>
      </c>
      <c r="AM3904">
        <v>82.523855262499893</v>
      </c>
      <c r="AN3904">
        <v>1.00000000631509</v>
      </c>
    </row>
    <row r="3905" spans="1:40" x14ac:dyDescent="0.25">
      <c r="A3905" t="str">
        <f>"20190312172448446"</f>
        <v>20190312172448446</v>
      </c>
      <c r="B3905" t="str">
        <f>"1552382688433905"</f>
        <v>1552382688433905</v>
      </c>
      <c r="C3905" t="s">
        <v>40</v>
      </c>
      <c r="D3905">
        <v>4.0921190000000003</v>
      </c>
      <c r="E3905">
        <v>0.53297260000000002</v>
      </c>
      <c r="F3905" t="s">
        <v>43</v>
      </c>
      <c r="G3905">
        <v>-189.1515</v>
      </c>
      <c r="H3905" s="1">
        <v>-2.611964E-6</v>
      </c>
      <c r="I3905">
        <v>175.37049999999999</v>
      </c>
      <c r="J3905">
        <v>-184.16970000000001</v>
      </c>
      <c r="K3905">
        <v>1.093434</v>
      </c>
      <c r="L3905">
        <v>190.7294</v>
      </c>
      <c r="M3905">
        <v>-0.11462799999999999</v>
      </c>
      <c r="N3905">
        <v>0</v>
      </c>
      <c r="O3905">
        <v>-0.99325549999999996</v>
      </c>
      <c r="P3905">
        <v>-0.22440189999999999</v>
      </c>
      <c r="Q3905">
        <v>0.19454689999999999</v>
      </c>
      <c r="R3905">
        <v>-0.95487999999999995</v>
      </c>
      <c r="S3905">
        <v>-0.95323179999999996</v>
      </c>
      <c r="T3905">
        <v>-0.20806939999999999</v>
      </c>
      <c r="U3905">
        <v>-2.9606020000000002</v>
      </c>
      <c r="V3905">
        <v>0.1219127</v>
      </c>
      <c r="W3905">
        <v>0.2067484</v>
      </c>
      <c r="X3905">
        <v>0.97076899999999999</v>
      </c>
      <c r="Y3905">
        <v>0.194637</v>
      </c>
      <c r="Z3905">
        <v>6.7061919999999997E-2</v>
      </c>
      <c r="AA3905">
        <v>0.97858020000000001</v>
      </c>
      <c r="AB3905">
        <v>34</v>
      </c>
      <c r="AC3905">
        <v>-4.98179999999999</v>
      </c>
      <c r="AD3905">
        <v>-1.093436611964</v>
      </c>
      <c r="AE3905">
        <v>-15.3589</v>
      </c>
      <c r="AF3905">
        <v>3.1735711713360799</v>
      </c>
      <c r="AG3905">
        <v>-1.093436611964</v>
      </c>
      <c r="AH3905">
        <v>15.7565138245063</v>
      </c>
      <c r="AI3905">
        <v>93.891816748923603</v>
      </c>
      <c r="AJ3905">
        <v>78.612228030631002</v>
      </c>
      <c r="AK3905">
        <v>16.1100864524612</v>
      </c>
      <c r="AL3905">
        <v>78.068132452684694</v>
      </c>
      <c r="AM3905">
        <v>82.842060642538399</v>
      </c>
      <c r="AN3905">
        <v>1.00000002934242</v>
      </c>
    </row>
    <row r="3906" spans="1:40" x14ac:dyDescent="0.25">
      <c r="A3906" t="str">
        <f>"20190312172448459"</f>
        <v>20190312172448459</v>
      </c>
      <c r="B3906" t="str">
        <f>"1552382688454401"</f>
        <v>1552382688454401</v>
      </c>
      <c r="C3906" t="s">
        <v>40</v>
      </c>
      <c r="D3906">
        <v>4.0841529999999997</v>
      </c>
      <c r="E3906">
        <v>0.53324499999999997</v>
      </c>
      <c r="F3906" t="s">
        <v>43</v>
      </c>
      <c r="G3906">
        <v>-189.2987</v>
      </c>
      <c r="H3906" s="1">
        <v>-2.4512610000000001E-6</v>
      </c>
      <c r="I3906">
        <v>175.05670000000001</v>
      </c>
      <c r="J3906">
        <v>-184.19900000000001</v>
      </c>
      <c r="K3906">
        <v>1.0935330000000001</v>
      </c>
      <c r="L3906">
        <v>190.52889999999999</v>
      </c>
      <c r="M3906">
        <v>-0.1245971</v>
      </c>
      <c r="N3906">
        <v>0</v>
      </c>
      <c r="O3906">
        <v>-0.99205480000000001</v>
      </c>
      <c r="P3906">
        <v>-0.2287749</v>
      </c>
      <c r="Q3906">
        <v>0.19526360000000001</v>
      </c>
      <c r="R3906">
        <v>-0.95369499999999996</v>
      </c>
      <c r="S3906">
        <v>-0.96751399999999999</v>
      </c>
      <c r="T3906">
        <v>-0.20626130000000001</v>
      </c>
      <c r="U3906">
        <v>-2.9564360000000001</v>
      </c>
      <c r="V3906">
        <v>0.11659509999999999</v>
      </c>
      <c r="W3906">
        <v>0.20768320000000001</v>
      </c>
      <c r="X3906">
        <v>0.97122260000000005</v>
      </c>
      <c r="Y3906">
        <v>0.1894757</v>
      </c>
      <c r="Z3906">
        <v>6.6435809999999998E-2</v>
      </c>
      <c r="AA3906">
        <v>0.97963520000000004</v>
      </c>
      <c r="AB3906">
        <v>34</v>
      </c>
      <c r="AC3906">
        <v>-5.0996999999999799</v>
      </c>
      <c r="AD3906">
        <v>-1.093535451261</v>
      </c>
      <c r="AE3906">
        <v>-15.4721999999999</v>
      </c>
      <c r="AF3906">
        <v>3.1178166253195698</v>
      </c>
      <c r="AG3906">
        <v>-1.093535451261</v>
      </c>
      <c r="AH3906">
        <v>15.9153875430877</v>
      </c>
      <c r="AI3906">
        <v>93.857482389153205</v>
      </c>
      <c r="AJ3906">
        <v>78.916149204551104</v>
      </c>
      <c r="AK3906">
        <v>16.254727341267699</v>
      </c>
      <c r="AL3906">
        <v>78.013384112117294</v>
      </c>
      <c r="AM3906">
        <v>83.154412550882398</v>
      </c>
      <c r="AN3906">
        <v>1.0000000338285</v>
      </c>
    </row>
    <row r="3907" spans="1:40" x14ac:dyDescent="0.25">
      <c r="A3907" t="str">
        <f>"20190312172448477"</f>
        <v>20190312172448477</v>
      </c>
      <c r="B3907" t="str">
        <f>"1552382688473921"</f>
        <v>1552382688473921</v>
      </c>
      <c r="C3907" t="s">
        <v>40</v>
      </c>
      <c r="D3907">
        <v>4.1028510000000002</v>
      </c>
      <c r="E3907">
        <v>0.5334293</v>
      </c>
      <c r="F3907" t="s">
        <v>43</v>
      </c>
      <c r="G3907">
        <v>-189.4393</v>
      </c>
      <c r="H3907" s="1">
        <v>-2.3160520000000001E-6</v>
      </c>
      <c r="I3907">
        <v>174.7997</v>
      </c>
      <c r="J3907">
        <v>-184.24250000000001</v>
      </c>
      <c r="K3907">
        <v>1.0936900000000001</v>
      </c>
      <c r="L3907">
        <v>190.25790000000001</v>
      </c>
      <c r="M3907">
        <v>-0.13795879999999999</v>
      </c>
      <c r="N3907">
        <v>0</v>
      </c>
      <c r="O3907">
        <v>-0.99028579999999999</v>
      </c>
      <c r="P3907">
        <v>-0.22621730000000001</v>
      </c>
      <c r="Q3907">
        <v>0.1971376</v>
      </c>
      <c r="R3907">
        <v>-0.95391979999999998</v>
      </c>
      <c r="S3907">
        <v>-0.98339840000000001</v>
      </c>
      <c r="T3907">
        <v>-0.2052168</v>
      </c>
      <c r="U3907">
        <v>-2.951797</v>
      </c>
      <c r="V3907">
        <v>0.1008981</v>
      </c>
      <c r="W3907">
        <v>0.21019940000000001</v>
      </c>
      <c r="X3907">
        <v>0.97243800000000002</v>
      </c>
      <c r="Y3907">
        <v>0.18145030000000001</v>
      </c>
      <c r="Z3907">
        <v>6.6019129999999995E-2</v>
      </c>
      <c r="AA3907">
        <v>0.98118159999999999</v>
      </c>
      <c r="AB3907">
        <v>34</v>
      </c>
      <c r="AC3907">
        <v>-5.1967999999999899</v>
      </c>
      <c r="AD3907">
        <v>-1.093692316052</v>
      </c>
      <c r="AE3907">
        <v>-15.4582</v>
      </c>
      <c r="AF3907">
        <v>3.0006812837017001</v>
      </c>
      <c r="AG3907">
        <v>-1.093692316052</v>
      </c>
      <c r="AH3907">
        <v>15.955635571162899</v>
      </c>
      <c r="AI3907">
        <v>93.853901757960998</v>
      </c>
      <c r="AJ3907">
        <v>79.349128375920301</v>
      </c>
      <c r="AK3907">
        <v>16.272140533080101</v>
      </c>
      <c r="AL3907">
        <v>77.865961403445397</v>
      </c>
      <c r="AM3907">
        <v>84.076308566946807</v>
      </c>
      <c r="AN3907">
        <v>0.99999993909398299</v>
      </c>
    </row>
    <row r="3908" spans="1:40" x14ac:dyDescent="0.25">
      <c r="A3908" t="str">
        <f>"20190312172448511"</f>
        <v>20190312172448511</v>
      </c>
      <c r="B3908" t="str">
        <f>"1552382688504177"</f>
        <v>1552382688504177</v>
      </c>
      <c r="C3908" t="s">
        <v>40</v>
      </c>
      <c r="D3908">
        <v>4.0628989999999998</v>
      </c>
      <c r="E3908">
        <v>0.53361709999999996</v>
      </c>
      <c r="F3908" t="s">
        <v>43</v>
      </c>
      <c r="G3908">
        <v>-189.5641</v>
      </c>
      <c r="H3908" s="1">
        <v>-2.017738E-6</v>
      </c>
      <c r="I3908">
        <v>174.1559</v>
      </c>
      <c r="J3908">
        <v>-184.33690000000001</v>
      </c>
      <c r="K3908">
        <v>1.0940190000000001</v>
      </c>
      <c r="L3908">
        <v>189.7353</v>
      </c>
      <c r="M3908">
        <v>-0.1633513</v>
      </c>
      <c r="N3908">
        <v>0</v>
      </c>
      <c r="O3908">
        <v>-0.98641710000000005</v>
      </c>
      <c r="P3908">
        <v>-0.23559350000000001</v>
      </c>
      <c r="Q3908">
        <v>0.19708970000000001</v>
      </c>
      <c r="R3908">
        <v>-0.95165750000000005</v>
      </c>
      <c r="S3908">
        <v>-0.97654719999999995</v>
      </c>
      <c r="T3908">
        <v>-0.20069909999999999</v>
      </c>
      <c r="U3908">
        <v>-2.9548030000000001</v>
      </c>
      <c r="V3908">
        <v>8.5263539999999999E-2</v>
      </c>
      <c r="W3908">
        <v>0.21076210000000001</v>
      </c>
      <c r="X3908">
        <v>0.97381180000000001</v>
      </c>
      <c r="Y3908">
        <v>0.1538051</v>
      </c>
      <c r="Z3908">
        <v>6.4309790000000006E-2</v>
      </c>
      <c r="AA3908">
        <v>0.98600620000000005</v>
      </c>
      <c r="AB3908">
        <v>34</v>
      </c>
      <c r="AC3908">
        <v>-5.2271999999999803</v>
      </c>
      <c r="AD3908">
        <v>-1.0940210177380001</v>
      </c>
      <c r="AE3908">
        <v>-15.5793999999999</v>
      </c>
      <c r="AF3908">
        <v>2.6001485182290098</v>
      </c>
      <c r="AG3908">
        <v>-1.0940210177380001</v>
      </c>
      <c r="AH3908">
        <v>16.152479961397301</v>
      </c>
      <c r="AI3908">
        <v>93.825672061588193</v>
      </c>
      <c r="AJ3908">
        <v>80.855251832310998</v>
      </c>
      <c r="AK3908">
        <v>16.3969589621809</v>
      </c>
      <c r="AL3908">
        <v>77.832982747021205</v>
      </c>
      <c r="AM3908">
        <v>84.996143554520899</v>
      </c>
      <c r="AN3908">
        <v>0.99999997793449003</v>
      </c>
    </row>
    <row r="3909" spans="1:40" x14ac:dyDescent="0.25">
      <c r="A3909" t="str">
        <f>"20190312172448533"</f>
        <v>20190312172448533</v>
      </c>
      <c r="B3909" t="str">
        <f>"1552382688524677"</f>
        <v>1552382688524677</v>
      </c>
      <c r="C3909" t="s">
        <v>40</v>
      </c>
      <c r="D3909">
        <v>4.0497069999999997</v>
      </c>
      <c r="E3909">
        <v>0.53365600000000002</v>
      </c>
      <c r="F3909" t="s">
        <v>43</v>
      </c>
      <c r="G3909">
        <v>-189.7834</v>
      </c>
      <c r="H3909" s="1">
        <v>-1.841374E-6</v>
      </c>
      <c r="I3909">
        <v>173.8355</v>
      </c>
      <c r="J3909">
        <v>-184.4034</v>
      </c>
      <c r="K3909">
        <v>1.0942559999999999</v>
      </c>
      <c r="L3909">
        <v>189.4058</v>
      </c>
      <c r="M3909">
        <v>-0.1790892</v>
      </c>
      <c r="N3909">
        <v>0</v>
      </c>
      <c r="O3909">
        <v>-0.98368270000000002</v>
      </c>
      <c r="P3909">
        <v>-0.241476</v>
      </c>
      <c r="Q3909">
        <v>0.1968239</v>
      </c>
      <c r="R3909">
        <v>-0.9502372</v>
      </c>
      <c r="S3909">
        <v>-1.008713</v>
      </c>
      <c r="T3909">
        <v>-0.20261380000000001</v>
      </c>
      <c r="U3909">
        <v>-2.9446560000000002</v>
      </c>
      <c r="V3909">
        <v>7.5562699999999997E-2</v>
      </c>
      <c r="W3909">
        <v>0.21085809999999999</v>
      </c>
      <c r="X3909">
        <v>0.97459180000000001</v>
      </c>
      <c r="Y3909">
        <v>0.148690299999999</v>
      </c>
      <c r="Z3909">
        <v>6.4779009999999998E-2</v>
      </c>
      <c r="AA3909">
        <v>0.98675979999999996</v>
      </c>
      <c r="AB3909">
        <v>34</v>
      </c>
      <c r="AC3909">
        <v>-5.3799999999999901</v>
      </c>
      <c r="AD3909">
        <v>-1.0942578413739901</v>
      </c>
      <c r="AE3909">
        <v>-15.5703</v>
      </c>
      <c r="AF3909">
        <v>2.49310993044354</v>
      </c>
      <c r="AG3909">
        <v>-1.0942578413739901</v>
      </c>
      <c r="AH3909">
        <v>16.2106138564058</v>
      </c>
      <c r="AI3909">
        <v>93.817010287258697</v>
      </c>
      <c r="AJ3909">
        <v>81.256705821696798</v>
      </c>
      <c r="AK3909">
        <v>16.4376701192773</v>
      </c>
      <c r="AL3909">
        <v>77.827356398965307</v>
      </c>
      <c r="AM3909">
        <v>85.566574868777295</v>
      </c>
      <c r="AN3909">
        <v>1.0000000182970601</v>
      </c>
    </row>
    <row r="3910" spans="1:40" x14ac:dyDescent="0.25">
      <c r="A3910" t="str">
        <f>"20190312172448554"</f>
        <v>20190312172448554</v>
      </c>
      <c r="B3910" t="str">
        <f>"1552382688544193"</f>
        <v>1552382688544193</v>
      </c>
      <c r="C3910" t="s">
        <v>40</v>
      </c>
      <c r="D3910">
        <v>4.0735530000000004</v>
      </c>
      <c r="E3910">
        <v>0.53372489999999995</v>
      </c>
      <c r="F3910" t="s">
        <v>43</v>
      </c>
      <c r="G3910">
        <v>-189.86330000000001</v>
      </c>
      <c r="H3910" s="1">
        <v>-1.814073E-6</v>
      </c>
      <c r="I3910">
        <v>173.8049</v>
      </c>
      <c r="J3910">
        <v>-184.47389999999999</v>
      </c>
      <c r="K3910">
        <v>1.0945069999999999</v>
      </c>
      <c r="L3910">
        <v>189.08240000000001</v>
      </c>
      <c r="M3910">
        <v>-0.1943116</v>
      </c>
      <c r="N3910">
        <v>0</v>
      </c>
      <c r="O3910">
        <v>-0.98079059999999996</v>
      </c>
      <c r="P3910">
        <v>-0.2473484</v>
      </c>
      <c r="Q3910">
        <v>0.1980143</v>
      </c>
      <c r="R3910">
        <v>-0.94847729999999997</v>
      </c>
      <c r="S3910">
        <v>-1.028397</v>
      </c>
      <c r="T3910">
        <v>-0.20610539999999999</v>
      </c>
      <c r="U3910">
        <v>-2.9384610000000002</v>
      </c>
      <c r="V3910">
        <v>6.6428929999999997E-2</v>
      </c>
      <c r="W3910">
        <v>0.2123709</v>
      </c>
      <c r="X3910">
        <v>0.97492860000000003</v>
      </c>
      <c r="Y3910">
        <v>0.13987749999999999</v>
      </c>
      <c r="Z3910">
        <v>6.5705189999999997E-2</v>
      </c>
      <c r="AA3910">
        <v>0.98798640000000004</v>
      </c>
      <c r="AB3910">
        <v>34</v>
      </c>
      <c r="AC3910">
        <v>-5.3894000000000197</v>
      </c>
      <c r="AD3910">
        <v>-1.0945088140729999</v>
      </c>
      <c r="AE3910">
        <v>-15.2775</v>
      </c>
      <c r="AF3910">
        <v>2.30708595778726</v>
      </c>
      <c r="AG3910">
        <v>-1.0945088140729999</v>
      </c>
      <c r="AH3910">
        <v>15.960745560814299</v>
      </c>
      <c r="AI3910">
        <v>93.882691614404095</v>
      </c>
      <c r="AJ3910">
        <v>81.775006552598498</v>
      </c>
      <c r="AK3910">
        <v>16.163724633194999</v>
      </c>
      <c r="AL3910">
        <v>77.738670522784602</v>
      </c>
      <c r="AM3910">
        <v>86.102049407362898</v>
      </c>
      <c r="AN3910">
        <v>0.99999998850285698</v>
      </c>
    </row>
    <row r="3911" spans="1:40" x14ac:dyDescent="0.25">
      <c r="A3911" t="str">
        <f>"20190312172448577"</f>
        <v>20190312172448577</v>
      </c>
      <c r="B3911" t="str">
        <f>"1552382688573952"</f>
        <v>1552382688573952</v>
      </c>
      <c r="C3911" t="s">
        <v>40</v>
      </c>
      <c r="D3911">
        <v>4.0663349999999996</v>
      </c>
      <c r="E3911">
        <v>0.53368519999999997</v>
      </c>
      <c r="F3911" t="s">
        <v>43</v>
      </c>
      <c r="G3911">
        <v>-190.10550000000001</v>
      </c>
      <c r="H3911" s="1">
        <v>-1.6301160000000001E-6</v>
      </c>
      <c r="I3911">
        <v>173.3235</v>
      </c>
      <c r="J3911">
        <v>-184.55410000000001</v>
      </c>
      <c r="K3911">
        <v>1.0948100000000001</v>
      </c>
      <c r="L3911">
        <v>188.7405</v>
      </c>
      <c r="M3911">
        <v>-0.21010400000000001</v>
      </c>
      <c r="N3911">
        <v>0</v>
      </c>
      <c r="O3911">
        <v>-0.97753049999999997</v>
      </c>
      <c r="P3911">
        <v>-0.25406250000000002</v>
      </c>
      <c r="Q3911">
        <v>0.20033200000000001</v>
      </c>
      <c r="R3911">
        <v>-0.94621330000000003</v>
      </c>
      <c r="S3911">
        <v>-1.047852</v>
      </c>
      <c r="T3911">
        <v>-0.203652</v>
      </c>
      <c r="U3911">
        <v>-2.9322050000000002</v>
      </c>
      <c r="V3911">
        <v>5.7628140000000001E-2</v>
      </c>
      <c r="W3911">
        <v>0.2149818</v>
      </c>
      <c r="X3911">
        <v>0.97491629999999996</v>
      </c>
      <c r="Y3911">
        <v>0.13040550000000001</v>
      </c>
      <c r="Z3911">
        <v>6.4708290000000002E-2</v>
      </c>
      <c r="AA3911">
        <v>0.98934690000000003</v>
      </c>
      <c r="AB3911">
        <v>34</v>
      </c>
      <c r="AC3911">
        <v>-5.5514000000000001</v>
      </c>
      <c r="AD3911">
        <v>-1.094811630116</v>
      </c>
      <c r="AE3911">
        <v>-15.417</v>
      </c>
      <c r="AF3911">
        <v>2.17808404751456</v>
      </c>
      <c r="AG3911">
        <v>-1.094811630116</v>
      </c>
      <c r="AH3911">
        <v>16.1671460964135</v>
      </c>
      <c r="AI3911">
        <v>93.839476217427105</v>
      </c>
      <c r="AJ3911">
        <v>82.327147933028101</v>
      </c>
      <c r="AK3911">
        <v>16.349901391942801</v>
      </c>
      <c r="AL3911">
        <v>77.585540250126499</v>
      </c>
      <c r="AM3911">
        <v>86.617133605637903</v>
      </c>
      <c r="AN3911">
        <v>0.999999984428394</v>
      </c>
    </row>
    <row r="3912" spans="1:40" x14ac:dyDescent="0.25">
      <c r="A3912" t="str">
        <f>"20190312172448602"</f>
        <v>20190312172448602</v>
      </c>
      <c r="B3912" t="str">
        <f>"1552382688594449"</f>
        <v>1552382688594449</v>
      </c>
      <c r="C3912" t="s">
        <v>40</v>
      </c>
      <c r="D3912">
        <v>4.077375</v>
      </c>
      <c r="E3912">
        <v>0.53365640000000003</v>
      </c>
      <c r="F3912" t="s">
        <v>43</v>
      </c>
      <c r="G3912">
        <v>-190.3886</v>
      </c>
      <c r="H3912" s="1">
        <v>-1.4651130000000001E-6</v>
      </c>
      <c r="I3912">
        <v>172.76329999999999</v>
      </c>
      <c r="J3912">
        <v>-184.64359999999999</v>
      </c>
      <c r="K3912">
        <v>1.095159</v>
      </c>
      <c r="L3912">
        <v>188.38460000000001</v>
      </c>
      <c r="M3912">
        <v>-0.22617399999999999</v>
      </c>
      <c r="N3912">
        <v>0</v>
      </c>
      <c r="O3912">
        <v>-0.97393929999999995</v>
      </c>
      <c r="P3912">
        <v>-0.26173859999999999</v>
      </c>
      <c r="Q3912">
        <v>0.2003963</v>
      </c>
      <c r="R3912">
        <v>-0.94410499999999997</v>
      </c>
      <c r="S3912">
        <v>-1.0685420000000001</v>
      </c>
      <c r="T3912">
        <v>-0.20050670000000001</v>
      </c>
      <c r="U3912">
        <v>-2.9261020000000002</v>
      </c>
      <c r="V3912">
        <v>4.9295209999999999E-2</v>
      </c>
      <c r="W3912">
        <v>0.21531059999999999</v>
      </c>
      <c r="X3912">
        <v>0.97530070000000002</v>
      </c>
      <c r="Y3912">
        <v>0.1209388</v>
      </c>
      <c r="Z3912">
        <v>6.3454289999999997E-2</v>
      </c>
      <c r="AA3912">
        <v>0.9906298</v>
      </c>
      <c r="AB3912">
        <v>34</v>
      </c>
      <c r="AC3912">
        <v>-5.7450000000000001</v>
      </c>
      <c r="AD3912">
        <v>-1.095160465113</v>
      </c>
      <c r="AE3912">
        <v>-15.6213</v>
      </c>
      <c r="AF3912">
        <v>2.05355525244366</v>
      </c>
      <c r="AG3912">
        <v>-1.095160465113</v>
      </c>
      <c r="AH3912">
        <v>16.444746424375602</v>
      </c>
      <c r="AI3912">
        <v>93.780786443357798</v>
      </c>
      <c r="AJ3912">
        <v>82.881975365082894</v>
      </c>
      <c r="AK3912">
        <v>16.608616757008999</v>
      </c>
      <c r="AL3912">
        <v>77.566250650022496</v>
      </c>
      <c r="AM3912">
        <v>87.106527214076095</v>
      </c>
      <c r="AN3912">
        <v>1.0000000638108899</v>
      </c>
    </row>
    <row r="3913" spans="1:40" x14ac:dyDescent="0.25">
      <c r="A3913" t="str">
        <f>"20190312172448622"</f>
        <v>20190312172448622</v>
      </c>
      <c r="B3913" t="str">
        <f>"1552382688613968"</f>
        <v>1552382688613968</v>
      </c>
      <c r="C3913" t="s">
        <v>40</v>
      </c>
      <c r="D3913">
        <v>4.0831239999999998</v>
      </c>
      <c r="E3913">
        <v>0.53360399999999997</v>
      </c>
      <c r="F3913" t="s">
        <v>41</v>
      </c>
      <c r="G3913">
        <v>-185.00880000000001</v>
      </c>
      <c r="H3913">
        <v>1.0277000000000001</v>
      </c>
      <c r="I3913">
        <v>187.40899999999999</v>
      </c>
      <c r="J3913">
        <v>-184.72919999999999</v>
      </c>
      <c r="K3913">
        <v>1.095521</v>
      </c>
      <c r="L3913">
        <v>188.0659</v>
      </c>
      <c r="M3913">
        <v>-0.24015059999999999</v>
      </c>
      <c r="N3913">
        <v>0</v>
      </c>
      <c r="O3913">
        <v>-0.97058920000000004</v>
      </c>
      <c r="P3913">
        <v>-0.2675708</v>
      </c>
      <c r="Q3913">
        <v>0.19971920000000001</v>
      </c>
      <c r="R3913">
        <v>-0.94261249999999996</v>
      </c>
      <c r="S3913">
        <v>-1.0923</v>
      </c>
      <c r="T3913">
        <v>-0.20166539999999999</v>
      </c>
      <c r="U3913">
        <v>-2.917618</v>
      </c>
      <c r="V3913">
        <v>4.1040769999999997E-2</v>
      </c>
      <c r="W3913">
        <v>0.21488309999999999</v>
      </c>
      <c r="X3913">
        <v>0.97577709999999995</v>
      </c>
      <c r="Y3913">
        <v>0.1146842</v>
      </c>
      <c r="Z3913">
        <v>6.3603389999999996E-2</v>
      </c>
      <c r="AA3913">
        <v>0.99136380000000002</v>
      </c>
      <c r="AB3913">
        <v>34</v>
      </c>
      <c r="AC3913">
        <v>-0.279600000000016</v>
      </c>
      <c r="AD3913">
        <v>-6.7820999999999895E-2</v>
      </c>
      <c r="AE3913">
        <v>-0.65689999999997895</v>
      </c>
      <c r="AF3913">
        <v>0.112621621397739</v>
      </c>
      <c r="AG3913">
        <v>-6.7820999999999895E-2</v>
      </c>
      <c r="AH3913">
        <v>0.69852259170143105</v>
      </c>
      <c r="AI3913">
        <v>95.4753135700972</v>
      </c>
      <c r="AJ3913">
        <v>80.841115604441697</v>
      </c>
      <c r="AK3913">
        <v>0.71078627502543901</v>
      </c>
      <c r="AL3913">
        <v>77.591331122739902</v>
      </c>
      <c r="AM3913">
        <v>87.591583371449403</v>
      </c>
      <c r="AN3913">
        <v>1.0000000201760999</v>
      </c>
    </row>
    <row r="3914" spans="1:40" x14ac:dyDescent="0.25">
      <c r="A3914" t="str">
        <f>"20190312172448644"</f>
        <v>20190312172448644</v>
      </c>
      <c r="B3914" t="str">
        <f>"1552382688634467"</f>
        <v>1552382688634467</v>
      </c>
      <c r="C3914" t="s">
        <v>40</v>
      </c>
      <c r="D3914">
        <v>4.0786490000000004</v>
      </c>
      <c r="E3914">
        <v>0.53348139999999999</v>
      </c>
      <c r="F3914" t="s">
        <v>41</v>
      </c>
      <c r="G3914">
        <v>-185.09180000000001</v>
      </c>
      <c r="H3914">
        <v>1.02874</v>
      </c>
      <c r="I3914">
        <v>187.1155</v>
      </c>
      <c r="J3914">
        <v>-184.81989999999999</v>
      </c>
      <c r="K3914">
        <v>1.0958889999999999</v>
      </c>
      <c r="L3914">
        <v>187.74639999999999</v>
      </c>
      <c r="M3914">
        <v>-0.25382110000000002</v>
      </c>
      <c r="N3914">
        <v>0</v>
      </c>
      <c r="O3914">
        <v>-0.96710569999999896</v>
      </c>
      <c r="P3914">
        <v>-0.2744974</v>
      </c>
      <c r="Q3914">
        <v>0.19769439999999999</v>
      </c>
      <c r="R3914">
        <v>-0.94104650000000001</v>
      </c>
      <c r="S3914">
        <v>-1.1102449999999999</v>
      </c>
      <c r="T3914">
        <v>-0.20446590000000001</v>
      </c>
      <c r="U3914">
        <v>-2.910828</v>
      </c>
      <c r="V3914">
        <v>3.406236E-2</v>
      </c>
      <c r="W3914">
        <v>0.2130474</v>
      </c>
      <c r="X3914">
        <v>0.97644790000000004</v>
      </c>
      <c r="Y3914">
        <v>0.106753</v>
      </c>
      <c r="Z3914">
        <v>6.4240320000000004E-2</v>
      </c>
      <c r="AA3914">
        <v>0.99220810000000004</v>
      </c>
      <c r="AB3914">
        <v>34</v>
      </c>
      <c r="AC3914">
        <v>-0.27190000000001602</v>
      </c>
      <c r="AD3914">
        <v>-6.7148999999999903E-2</v>
      </c>
      <c r="AE3914">
        <v>-0.63089999999999602</v>
      </c>
      <c r="AF3914">
        <v>0.10186162696216</v>
      </c>
      <c r="AG3914">
        <v>-6.7148999999999903E-2</v>
      </c>
      <c r="AH3914">
        <v>0.672828550106914</v>
      </c>
      <c r="AI3914">
        <v>95.635510795446294</v>
      </c>
      <c r="AJ3914">
        <v>81.391185793668399</v>
      </c>
      <c r="AK3914">
        <v>0.68380043659488199</v>
      </c>
      <c r="AL3914">
        <v>77.699001909334996</v>
      </c>
      <c r="AM3914">
        <v>88.002107018405098</v>
      </c>
      <c r="AN3914">
        <v>0.999999970214969</v>
      </c>
    </row>
    <row r="3915" spans="1:40" x14ac:dyDescent="0.25">
      <c r="A3915" t="str">
        <f>"20190312172448666"</f>
        <v>20190312172448666</v>
      </c>
      <c r="B3915" t="str">
        <f>"1552382688653984"</f>
        <v>1552382688653984</v>
      </c>
      <c r="C3915" t="s">
        <v>40</v>
      </c>
      <c r="D3915">
        <v>4.0776899999999996</v>
      </c>
      <c r="E3915">
        <v>0.53328779999999998</v>
      </c>
      <c r="F3915" t="s">
        <v>41</v>
      </c>
      <c r="G3915">
        <v>-185.179</v>
      </c>
      <c r="H3915">
        <v>1.028273</v>
      </c>
      <c r="I3915">
        <v>186.8244</v>
      </c>
      <c r="J3915">
        <v>-184.91630000000001</v>
      </c>
      <c r="K3915">
        <v>1.096285</v>
      </c>
      <c r="L3915">
        <v>187.4237</v>
      </c>
      <c r="M3915">
        <v>-0.26721489999999998</v>
      </c>
      <c r="N3915">
        <v>0</v>
      </c>
      <c r="O3915">
        <v>-0.96349260000000003</v>
      </c>
      <c r="P3915">
        <v>-0.28075650000000002</v>
      </c>
      <c r="Q3915">
        <v>0.1945597</v>
      </c>
      <c r="R3915">
        <v>-0.93985240000000003</v>
      </c>
      <c r="S3915">
        <v>-1.1302190000000001</v>
      </c>
      <c r="T3915">
        <v>-0.21274090000000001</v>
      </c>
      <c r="U3915">
        <v>-2.9029690000000001</v>
      </c>
      <c r="V3915">
        <v>2.6510059999999998E-2</v>
      </c>
      <c r="W3915">
        <v>0.21011179999999999</v>
      </c>
      <c r="X3915">
        <v>0.97731789999999996</v>
      </c>
      <c r="Y3915">
        <v>9.9731829999999994E-2</v>
      </c>
      <c r="Z3915">
        <v>6.6570660000000004E-2</v>
      </c>
      <c r="AA3915">
        <v>0.99278489999999997</v>
      </c>
      <c r="AB3915">
        <v>34</v>
      </c>
      <c r="AC3915">
        <v>-0.26269999999999499</v>
      </c>
      <c r="AD3915">
        <v>-6.8011999999999906E-2</v>
      </c>
      <c r="AE3915">
        <v>-0.59929999999999894</v>
      </c>
      <c r="AF3915">
        <v>9.1986798037041004E-2</v>
      </c>
      <c r="AG3915">
        <v>-6.8011999999999906E-2</v>
      </c>
      <c r="AH3915">
        <v>0.64078602448323696</v>
      </c>
      <c r="AI3915">
        <v>95.997571938214094</v>
      </c>
      <c r="AJ3915">
        <v>81.830825506352795</v>
      </c>
      <c r="AK3915">
        <v>0.65091776157218195</v>
      </c>
      <c r="AL3915">
        <v>77.871096092600396</v>
      </c>
      <c r="AM3915">
        <v>88.446214699904203</v>
      </c>
      <c r="AN3915">
        <v>1.00000001472042</v>
      </c>
    </row>
    <row r="3916" spans="1:40" x14ac:dyDescent="0.25">
      <c r="A3916" t="str">
        <f>"20190312172448689"</f>
        <v>20190312172448689</v>
      </c>
      <c r="B3916" t="str">
        <f>"1552382688684241"</f>
        <v>1552382688684241</v>
      </c>
      <c r="C3916" t="s">
        <v>40</v>
      </c>
      <c r="D3916">
        <v>4.0582159999999998</v>
      </c>
      <c r="E3916">
        <v>0.52593639999999997</v>
      </c>
      <c r="F3916" t="s">
        <v>41</v>
      </c>
      <c r="G3916">
        <v>-185.26849999999999</v>
      </c>
      <c r="H3916">
        <v>1.027315</v>
      </c>
      <c r="I3916">
        <v>186.53469999999999</v>
      </c>
      <c r="J3916">
        <v>-185.01849999999999</v>
      </c>
      <c r="K3916">
        <v>1.0967260000000001</v>
      </c>
      <c r="L3916">
        <v>187.09739999999999</v>
      </c>
      <c r="M3916">
        <v>-0.28028360000000002</v>
      </c>
      <c r="N3916">
        <v>0</v>
      </c>
      <c r="O3916">
        <v>-0.95977400000000002</v>
      </c>
      <c r="P3916">
        <v>-0.28522940000000002</v>
      </c>
      <c r="Q3916">
        <v>0.19100429999999999</v>
      </c>
      <c r="R3916">
        <v>-0.93923469999999998</v>
      </c>
      <c r="S3916">
        <v>-1.147125</v>
      </c>
      <c r="T3916">
        <v>-0.2245694</v>
      </c>
      <c r="U3916">
        <v>-2.895813</v>
      </c>
      <c r="V3916">
        <v>1.7312660000000001E-2</v>
      </c>
      <c r="W3916">
        <v>0.20679359999999999</v>
      </c>
      <c r="X3916">
        <v>0.97823139999999997</v>
      </c>
      <c r="Y3916">
        <v>9.1965210000000006E-2</v>
      </c>
      <c r="Z3916">
        <v>6.9966150000000005E-2</v>
      </c>
      <c r="AA3916">
        <v>0.9933012</v>
      </c>
      <c r="AB3916">
        <v>34</v>
      </c>
      <c r="AC3916">
        <v>-0.25</v>
      </c>
      <c r="AD3916">
        <v>-6.9411000000000098E-2</v>
      </c>
      <c r="AE3916">
        <v>-0.56270000000000597</v>
      </c>
      <c r="AF3916">
        <v>8.1207268169569496E-2</v>
      </c>
      <c r="AG3916">
        <v>-6.9411000000000098E-2</v>
      </c>
      <c r="AH3916">
        <v>0.60256244917922797</v>
      </c>
      <c r="AI3916">
        <v>96.512745724461695</v>
      </c>
      <c r="AJ3916">
        <v>82.324501610445097</v>
      </c>
      <c r="AK3916">
        <v>0.61195915916459198</v>
      </c>
      <c r="AL3916">
        <v>78.065485083931605</v>
      </c>
      <c r="AM3916">
        <v>88.9860897887542</v>
      </c>
      <c r="AN3916">
        <v>0.99999999657159699</v>
      </c>
    </row>
    <row r="3917" spans="1:40" x14ac:dyDescent="0.25">
      <c r="A3917" t="str">
        <f>"20190312172448711"</f>
        <v>20190312172448711</v>
      </c>
      <c r="B3917" t="str">
        <f>"1552382688704740"</f>
        <v>1552382688704740</v>
      </c>
      <c r="C3917" t="s">
        <v>40</v>
      </c>
      <c r="D3917">
        <v>4.3513070000000003</v>
      </c>
      <c r="E3917">
        <v>0.52609619999999901</v>
      </c>
      <c r="F3917" t="s">
        <v>41</v>
      </c>
      <c r="G3917">
        <v>-185.33879999999999</v>
      </c>
      <c r="H3917">
        <v>0.99704470000000001</v>
      </c>
      <c r="I3917">
        <v>186.25470000000001</v>
      </c>
      <c r="J3917">
        <v>-185.12700000000001</v>
      </c>
      <c r="K3917">
        <v>1.0972309999999901</v>
      </c>
      <c r="L3917">
        <v>186.76599999999999</v>
      </c>
      <c r="M3917">
        <v>-0.29300399999999999</v>
      </c>
      <c r="N3917">
        <v>0</v>
      </c>
      <c r="O3917">
        <v>-0.95596930000000002</v>
      </c>
      <c r="P3917">
        <v>-0.28778179999999998</v>
      </c>
      <c r="Q3917">
        <v>0.18695899999999999</v>
      </c>
      <c r="R3917">
        <v>-0.93926989999999999</v>
      </c>
      <c r="S3917">
        <v>-1.1121669999999999</v>
      </c>
      <c r="T3917">
        <v>-0.34617439999999999</v>
      </c>
      <c r="U3917">
        <v>-2.9267430000000001</v>
      </c>
      <c r="V3917">
        <v>6.334793E-3</v>
      </c>
      <c r="W3917">
        <v>0.20301459999999999</v>
      </c>
      <c r="X3917">
        <v>0.9791552</v>
      </c>
      <c r="Y3917">
        <v>6.3595650000000004E-2</v>
      </c>
      <c r="Z3917">
        <v>0.106127399999999</v>
      </c>
      <c r="AA3917">
        <v>0.9923168</v>
      </c>
      <c r="AB3917">
        <v>34</v>
      </c>
      <c r="AC3917">
        <v>-0.211799999999982</v>
      </c>
      <c r="AD3917">
        <v>-0.10018629999999901</v>
      </c>
      <c r="AE3917">
        <v>-0.511299999999977</v>
      </c>
      <c r="AF3917">
        <v>5.0997272987855599E-2</v>
      </c>
      <c r="AG3917">
        <v>-0.10018629999999901</v>
      </c>
      <c r="AH3917">
        <v>0.533438837931413</v>
      </c>
      <c r="AI3917">
        <v>100.58974896446399</v>
      </c>
      <c r="AJ3917">
        <v>84.539064088683403</v>
      </c>
      <c r="AK3917">
        <v>0.54515595050728805</v>
      </c>
      <c r="AL3917">
        <v>78.286699529095202</v>
      </c>
      <c r="AM3917">
        <v>89.629321440468203</v>
      </c>
      <c r="AN3917">
        <v>0.99999998155127601</v>
      </c>
    </row>
    <row r="3918" spans="1:40" x14ac:dyDescent="0.25">
      <c r="A3918" t="str">
        <f>"20190312172448734"</f>
        <v>20190312172448734</v>
      </c>
      <c r="B3918" t="str">
        <f>"1552382688724256"</f>
        <v>1552382688724256</v>
      </c>
      <c r="C3918" t="s">
        <v>40</v>
      </c>
      <c r="D3918">
        <v>4.0871309999999896</v>
      </c>
      <c r="E3918">
        <v>0.5223698</v>
      </c>
      <c r="F3918" t="s">
        <v>41</v>
      </c>
      <c r="G3918">
        <v>-185.4341</v>
      </c>
      <c r="H3918">
        <v>1.00013</v>
      </c>
      <c r="I3918">
        <v>185.96539999999999</v>
      </c>
      <c r="J3918">
        <v>-185.23699999999999</v>
      </c>
      <c r="K3918">
        <v>1.097801</v>
      </c>
      <c r="L3918">
        <v>186.44300000000001</v>
      </c>
      <c r="M3918">
        <v>-0.30478329999999998</v>
      </c>
      <c r="N3918">
        <v>0</v>
      </c>
      <c r="O3918">
        <v>-0.95228120000000005</v>
      </c>
      <c r="P3918">
        <v>-0.28673419999999999</v>
      </c>
      <c r="Q3918">
        <v>0.18707579999999999</v>
      </c>
      <c r="R3918">
        <v>-0.93956700000000004</v>
      </c>
      <c r="S3918">
        <v>-1.120117</v>
      </c>
      <c r="T3918">
        <v>-0.35410190000000002</v>
      </c>
      <c r="U3918">
        <v>-2.921249</v>
      </c>
      <c r="V3918">
        <v>-7.1451589999999999E-3</v>
      </c>
      <c r="W3918">
        <v>0.20342730000000001</v>
      </c>
      <c r="X3918">
        <v>0.97906400000000005</v>
      </c>
      <c r="Y3918">
        <v>5.4163030000000001E-2</v>
      </c>
      <c r="Z3918">
        <v>0.1080745</v>
      </c>
      <c r="AA3918">
        <v>0.99266620000000005</v>
      </c>
      <c r="AB3918">
        <v>33</v>
      </c>
      <c r="AC3918">
        <v>-0.19710000000000599</v>
      </c>
      <c r="AD3918">
        <v>-9.7670999999999994E-2</v>
      </c>
      <c r="AE3918">
        <v>-0.47759999999999497</v>
      </c>
      <c r="AF3918">
        <v>4.0681965362674599E-2</v>
      </c>
      <c r="AG3918">
        <v>-9.7670999999999994E-2</v>
      </c>
      <c r="AH3918">
        <v>0.49718403960309399</v>
      </c>
      <c r="AI3918">
        <v>101.078030252311</v>
      </c>
      <c r="AJ3918">
        <v>85.322207671561998</v>
      </c>
      <c r="AK3918">
        <v>0.50831743604053203</v>
      </c>
      <c r="AL3918">
        <v>78.262550054409104</v>
      </c>
      <c r="AM3918">
        <v>90.418134245445003</v>
      </c>
      <c r="AN3918">
        <v>1.0000000178892099</v>
      </c>
    </row>
    <row r="3919" spans="1:40" x14ac:dyDescent="0.25">
      <c r="A3919" t="str">
        <f>"20190312172448755"</f>
        <v>20190312172448755</v>
      </c>
      <c r="B3919" t="str">
        <f>"1552382688744752"</f>
        <v>1552382688744752</v>
      </c>
      <c r="C3919" t="s">
        <v>40</v>
      </c>
      <c r="D3919">
        <v>4.4962210000000002</v>
      </c>
      <c r="E3919">
        <v>0.5218701</v>
      </c>
      <c r="F3919" t="s">
        <v>41</v>
      </c>
      <c r="G3919">
        <v>-185.52510000000001</v>
      </c>
      <c r="H3919">
        <v>1.018327</v>
      </c>
      <c r="I3919">
        <v>185.6671</v>
      </c>
      <c r="J3919">
        <v>-185.34399999999999</v>
      </c>
      <c r="K3919">
        <v>1.0984160000000001</v>
      </c>
      <c r="L3919">
        <v>186.13929999999999</v>
      </c>
      <c r="M3919">
        <v>-0.31521749999999998</v>
      </c>
      <c r="N3919">
        <v>0</v>
      </c>
      <c r="O3919">
        <v>-0.94888039999999996</v>
      </c>
      <c r="P3919">
        <v>-0.28425489999999998</v>
      </c>
      <c r="Q3919">
        <v>0.1906825</v>
      </c>
      <c r="R3919">
        <v>-0.93959519999999996</v>
      </c>
      <c r="S3919">
        <v>-1.0844879999999999</v>
      </c>
      <c r="T3919">
        <v>-0.29903020000000002</v>
      </c>
      <c r="U3919">
        <v>-2.9215550000000001</v>
      </c>
      <c r="V3919">
        <v>-2.0472210000000001E-2</v>
      </c>
      <c r="W3919">
        <v>0.2072746</v>
      </c>
      <c r="X3919">
        <v>0.97806859999999995</v>
      </c>
      <c r="Y3919">
        <v>3.3173399999999999E-2</v>
      </c>
      <c r="Z3919">
        <v>9.1167369999999998E-2</v>
      </c>
      <c r="AA3919">
        <v>0.99528289999999997</v>
      </c>
      <c r="AB3919">
        <v>33</v>
      </c>
      <c r="AC3919">
        <v>-0.18109999999998599</v>
      </c>
      <c r="AD3919">
        <v>-8.0088999999999994E-2</v>
      </c>
      <c r="AE3919">
        <v>-0.47219999999998602</v>
      </c>
      <c r="AF3919">
        <v>2.2436895542060499E-2</v>
      </c>
      <c r="AG3919">
        <v>-8.0088999999999994E-2</v>
      </c>
      <c r="AH3919">
        <v>0.49285400259929601</v>
      </c>
      <c r="AI3919">
        <v>99.220526254217802</v>
      </c>
      <c r="AJ3919">
        <v>87.393442208486505</v>
      </c>
      <c r="AK3919">
        <v>0.499822698644942</v>
      </c>
      <c r="AL3919">
        <v>78.037315873908597</v>
      </c>
      <c r="AM3919">
        <v>91.199097870530295</v>
      </c>
      <c r="AN3919">
        <v>1.0000000287466999</v>
      </c>
    </row>
    <row r="3920" spans="1:40" x14ac:dyDescent="0.25">
      <c r="A3920" t="str">
        <f>"20190312172448778"</f>
        <v>20190312172448778</v>
      </c>
      <c r="B3920" t="str">
        <f>"1552382688774032"</f>
        <v>1552382688774032</v>
      </c>
      <c r="C3920" t="s">
        <v>40</v>
      </c>
      <c r="D3920">
        <v>4.2409929999999996</v>
      </c>
      <c r="E3920">
        <v>0.52161059999999904</v>
      </c>
      <c r="F3920" t="s">
        <v>41</v>
      </c>
      <c r="G3920">
        <v>-185.62370000000001</v>
      </c>
      <c r="H3920">
        <v>1.028119</v>
      </c>
      <c r="I3920">
        <v>185.37610000000001</v>
      </c>
      <c r="J3920">
        <v>-185.46209999999999</v>
      </c>
      <c r="K3920">
        <v>1.0991329999999999</v>
      </c>
      <c r="L3920">
        <v>185.81450000000001</v>
      </c>
      <c r="M3920">
        <v>-0.32562629999999998</v>
      </c>
      <c r="N3920">
        <v>0</v>
      </c>
      <c r="O3920">
        <v>-0.94536129999999996</v>
      </c>
      <c r="P3920">
        <v>-0.28244550000000002</v>
      </c>
      <c r="Q3920">
        <v>0.18885550000000001</v>
      </c>
      <c r="R3920">
        <v>-0.94050959999999995</v>
      </c>
      <c r="S3920">
        <v>-1.070694</v>
      </c>
      <c r="T3920">
        <v>-0.26899400000000001</v>
      </c>
      <c r="U3920">
        <v>-2.9235229999999999</v>
      </c>
      <c r="V3920">
        <v>-3.366827E-2</v>
      </c>
      <c r="W3920">
        <v>0.2056346</v>
      </c>
      <c r="X3920">
        <v>0.97804950000000002</v>
      </c>
      <c r="Y3920">
        <v>1.812884E-2</v>
      </c>
      <c r="Z3920">
        <v>8.1655640000000002E-2</v>
      </c>
      <c r="AA3920">
        <v>0.99649569999999998</v>
      </c>
      <c r="AB3920">
        <v>33</v>
      </c>
      <c r="AC3920">
        <v>-0.161600000000021</v>
      </c>
      <c r="AD3920">
        <v>-7.1013999999999897E-2</v>
      </c>
      <c r="AE3920">
        <v>-0.43840000000000101</v>
      </c>
      <c r="AF3920">
        <v>9.7909431727541598E-3</v>
      </c>
      <c r="AG3920">
        <v>-7.1013999999999897E-2</v>
      </c>
      <c r="AH3920">
        <v>0.45658110088449799</v>
      </c>
      <c r="AI3920">
        <v>98.838622911569999</v>
      </c>
      <c r="AJ3920">
        <v>88.771535318407402</v>
      </c>
      <c r="AK3920">
        <v>0.46217437450502602</v>
      </c>
      <c r="AL3920">
        <v>78.133349348335699</v>
      </c>
      <c r="AM3920">
        <v>91.9715651798615</v>
      </c>
      <c r="AN3920">
        <v>0.99999998278610103</v>
      </c>
    </row>
    <row r="3921" spans="1:40" x14ac:dyDescent="0.25">
      <c r="A3921" t="str">
        <f>"20190312172448803"</f>
        <v>20190312172448803</v>
      </c>
      <c r="B3921" t="str">
        <f>"1552382688794528"</f>
        <v>1552382688794528</v>
      </c>
      <c r="C3921" t="s">
        <v>40</v>
      </c>
      <c r="D3921">
        <v>4.1321750000000002</v>
      </c>
      <c r="E3921">
        <v>0.52152799999999999</v>
      </c>
      <c r="F3921" t="s">
        <v>41</v>
      </c>
      <c r="G3921">
        <v>-185.72569999999999</v>
      </c>
      <c r="H3921">
        <v>1.032737</v>
      </c>
      <c r="I3921">
        <v>185.0866</v>
      </c>
      <c r="J3921">
        <v>-185.58690000000001</v>
      </c>
      <c r="K3921">
        <v>1.099955</v>
      </c>
      <c r="L3921">
        <v>185.48079999999999</v>
      </c>
      <c r="M3921">
        <v>-0.33539590000000002</v>
      </c>
      <c r="N3921">
        <v>0</v>
      </c>
      <c r="O3921">
        <v>-0.94194169999999999</v>
      </c>
      <c r="P3921">
        <v>-0.28191899999999998</v>
      </c>
      <c r="Q3921">
        <v>0.18517459999999999</v>
      </c>
      <c r="R3921">
        <v>-0.94139930000000005</v>
      </c>
      <c r="S3921">
        <v>-1.058975</v>
      </c>
      <c r="T3921">
        <v>-0.26669169999999998</v>
      </c>
      <c r="U3921">
        <v>-2.9253079999999998</v>
      </c>
      <c r="V3921">
        <v>-4.5117919999999999E-2</v>
      </c>
      <c r="W3921">
        <v>0.2020354</v>
      </c>
      <c r="X3921">
        <v>0.97833840000000005</v>
      </c>
      <c r="Y3921">
        <v>4.0842639999999998E-3</v>
      </c>
      <c r="Z3921">
        <v>8.0536510000000006E-2</v>
      </c>
      <c r="AA3921">
        <v>0.9967433</v>
      </c>
      <c r="AB3921">
        <v>33</v>
      </c>
      <c r="AC3921">
        <v>-0.138799999999974</v>
      </c>
      <c r="AD3921">
        <v>-6.7218E-2</v>
      </c>
      <c r="AE3921">
        <v>-0.39419999999998301</v>
      </c>
      <c r="AF3921">
        <v>-1.43463128365831E-3</v>
      </c>
      <c r="AG3921">
        <v>-6.7218E-2</v>
      </c>
      <c r="AH3921">
        <v>0.40738119294365399</v>
      </c>
      <c r="AI3921">
        <v>99.369342154224597</v>
      </c>
      <c r="AJ3921">
        <v>90.201771655981503</v>
      </c>
      <c r="AK3921">
        <v>0.41289193992510198</v>
      </c>
      <c r="AL3921">
        <v>78.343990750843105</v>
      </c>
      <c r="AM3921">
        <v>92.640432104035398</v>
      </c>
      <c r="AN3921">
        <v>0.99999997723642298</v>
      </c>
    </row>
    <row r="3922" spans="1:40" x14ac:dyDescent="0.25">
      <c r="A3922" t="str">
        <f>"20190312172448823"</f>
        <v>20190312172448823</v>
      </c>
      <c r="B3922" t="str">
        <f>"1552382688814048"</f>
        <v>1552382688814048</v>
      </c>
      <c r="C3922" t="s">
        <v>40</v>
      </c>
      <c r="D3922">
        <v>4.1602350000000001</v>
      </c>
      <c r="E3922">
        <v>0.52138320000000005</v>
      </c>
      <c r="F3922" t="s">
        <v>41</v>
      </c>
      <c r="G3922">
        <v>-185.92779999999999</v>
      </c>
      <c r="H3922">
        <v>1.0103519999999999</v>
      </c>
      <c r="I3922">
        <v>184.53440000000001</v>
      </c>
      <c r="J3922">
        <v>-185.7055</v>
      </c>
      <c r="K3922">
        <v>1.1007819999999999</v>
      </c>
      <c r="L3922">
        <v>185.17160000000001</v>
      </c>
      <c r="M3922">
        <v>-0.34350439999999999</v>
      </c>
      <c r="N3922">
        <v>0</v>
      </c>
      <c r="O3922">
        <v>-0.9390174</v>
      </c>
      <c r="P3922">
        <v>-0.28236660000000002</v>
      </c>
      <c r="Q3922">
        <v>0.18527750000000001</v>
      </c>
      <c r="R3922">
        <v>-0.94124479999999999</v>
      </c>
      <c r="S3922">
        <v>-1.0536799999999999</v>
      </c>
      <c r="T3922">
        <v>-0.276999</v>
      </c>
      <c r="U3922">
        <v>-2.925735</v>
      </c>
      <c r="V3922">
        <v>-5.3504620000000003E-2</v>
      </c>
      <c r="W3922">
        <v>0.2021027</v>
      </c>
      <c r="X3922">
        <v>0.97790169999999998</v>
      </c>
      <c r="Y3922">
        <v>-6.2630699999999999E-3</v>
      </c>
      <c r="Z3922">
        <v>8.3248370000000002E-2</v>
      </c>
      <c r="AA3922">
        <v>0.99650910000000004</v>
      </c>
      <c r="AB3922">
        <v>33</v>
      </c>
      <c r="AC3922">
        <v>-0.22229999999998901</v>
      </c>
      <c r="AD3922">
        <v>-9.0429999999999802E-2</v>
      </c>
      <c r="AE3922">
        <v>-0.63720000000000698</v>
      </c>
      <c r="AF3922">
        <v>-9.9598757812585596E-3</v>
      </c>
      <c r="AG3922">
        <v>-9.0429999999999802E-2</v>
      </c>
      <c r="AH3922">
        <v>0.66288531459139799</v>
      </c>
      <c r="AI3922">
        <v>97.767401315696901</v>
      </c>
      <c r="AJ3922">
        <v>90.860806383234802</v>
      </c>
      <c r="AK3922">
        <v>0.66909918870561702</v>
      </c>
      <c r="AL3922">
        <v>78.3400536791371</v>
      </c>
      <c r="AM3922">
        <v>93.131741519157202</v>
      </c>
      <c r="AN3922">
        <v>0.99999999028576203</v>
      </c>
    </row>
    <row r="3923" spans="1:40" x14ac:dyDescent="0.25">
      <c r="A3923" t="str">
        <f>"20190312172448845"</f>
        <v>20190312172448845</v>
      </c>
      <c r="B3923" t="str">
        <f>"1552382688834544"</f>
        <v>1552382688834544</v>
      </c>
      <c r="C3923" t="s">
        <v>40</v>
      </c>
      <c r="D3923">
        <v>4.127866</v>
      </c>
      <c r="E3923">
        <v>0.52121459999999997</v>
      </c>
      <c r="F3923" t="s">
        <v>41</v>
      </c>
      <c r="G3923">
        <v>-186.0351</v>
      </c>
      <c r="H3923">
        <v>1.0139739999999999</v>
      </c>
      <c r="I3923">
        <v>184.25210000000001</v>
      </c>
      <c r="J3923">
        <v>-185.82079999999999</v>
      </c>
      <c r="K3923">
        <v>1.1015520000000001</v>
      </c>
      <c r="L3923">
        <v>184.87629999999999</v>
      </c>
      <c r="M3923">
        <v>-0.35054619999999997</v>
      </c>
      <c r="N3923">
        <v>0</v>
      </c>
      <c r="O3923">
        <v>-0.93641319999999995</v>
      </c>
      <c r="P3923">
        <v>-0.28275519999999998</v>
      </c>
      <c r="Q3923">
        <v>0.18608630000000001</v>
      </c>
      <c r="R3923">
        <v>-0.94096840000000004</v>
      </c>
      <c r="S3923">
        <v>-1.0487519999999999</v>
      </c>
      <c r="T3923">
        <v>-0.27624890000000002</v>
      </c>
      <c r="U3923">
        <v>-2.9270480000000001</v>
      </c>
      <c r="V3923">
        <v>-6.0765109999999997E-2</v>
      </c>
      <c r="W3923">
        <v>0.20283809999999999</v>
      </c>
      <c r="X3923">
        <v>0.97732509999999995</v>
      </c>
      <c r="Y3923">
        <v>-1.538599E-2</v>
      </c>
      <c r="Z3923">
        <v>8.2662369999999999E-2</v>
      </c>
      <c r="AA3923">
        <v>0.99645879999999998</v>
      </c>
      <c r="AB3923">
        <v>33</v>
      </c>
      <c r="AC3923">
        <v>-0.21430000000000801</v>
      </c>
      <c r="AD3923">
        <v>-8.75780000000001E-2</v>
      </c>
      <c r="AE3923">
        <v>-0.624199999999973</v>
      </c>
      <c r="AF3923">
        <v>-1.78259266826633E-2</v>
      </c>
      <c r="AG3923">
        <v>-8.75780000000001E-2</v>
      </c>
      <c r="AH3923">
        <v>0.64829656765791099</v>
      </c>
      <c r="AI3923">
        <v>97.690606834415803</v>
      </c>
      <c r="AJ3923">
        <v>91.575040084182902</v>
      </c>
      <c r="AK3923">
        <v>0.65442807808278203</v>
      </c>
      <c r="AL3923">
        <v>78.297027593003705</v>
      </c>
      <c r="AM3923">
        <v>93.557780767193805</v>
      </c>
      <c r="AN3923">
        <v>1.0000000222474601</v>
      </c>
    </row>
    <row r="3924" spans="1:40" x14ac:dyDescent="0.25">
      <c r="A3924" t="str">
        <f>"20190312172448867"</f>
        <v>20190312172448867</v>
      </c>
      <c r="B3924" t="str">
        <f>"1552382688864801"</f>
        <v>1552382688864801</v>
      </c>
      <c r="C3924" t="s">
        <v>40</v>
      </c>
      <c r="D3924">
        <v>4.2470379999999999</v>
      </c>
      <c r="E3924">
        <v>0.52101869999999995</v>
      </c>
      <c r="F3924" t="s">
        <v>41</v>
      </c>
      <c r="G3924">
        <v>-186.14410000000001</v>
      </c>
      <c r="H3924">
        <v>1.0158609999999999</v>
      </c>
      <c r="I3924">
        <v>183.9701</v>
      </c>
      <c r="J3924">
        <v>-185.94139999999999</v>
      </c>
      <c r="K3924">
        <v>1.1023449999999999</v>
      </c>
      <c r="L3924">
        <v>184.5727</v>
      </c>
      <c r="M3924">
        <v>-0.35698659999999999</v>
      </c>
      <c r="N3924">
        <v>0</v>
      </c>
      <c r="O3924">
        <v>-0.93397889999999995</v>
      </c>
      <c r="P3924">
        <v>-0.28203899999999998</v>
      </c>
      <c r="Q3924">
        <v>0.18476989999999999</v>
      </c>
      <c r="R3924">
        <v>-0.94144280000000002</v>
      </c>
      <c r="S3924">
        <v>-1.0450900000000001</v>
      </c>
      <c r="T3924">
        <v>-0.27698929999999999</v>
      </c>
      <c r="U3924">
        <v>-2.9289399999999999</v>
      </c>
      <c r="V3924">
        <v>-6.8762500000000004E-2</v>
      </c>
      <c r="W3924">
        <v>0.2014418</v>
      </c>
      <c r="X3924">
        <v>0.97708390000000001</v>
      </c>
      <c r="Y3924">
        <v>-2.3578680000000001E-2</v>
      </c>
      <c r="Z3924">
        <v>8.2517880000000002E-2</v>
      </c>
      <c r="AA3924">
        <v>0.99631060000000005</v>
      </c>
      <c r="AB3924">
        <v>33</v>
      </c>
      <c r="AC3924">
        <v>-0.202700000000021</v>
      </c>
      <c r="AD3924">
        <v>-8.6484000000000005E-2</v>
      </c>
      <c r="AE3924">
        <v>-0.60259999999999503</v>
      </c>
      <c r="AF3924">
        <v>-2.53369219104079E-2</v>
      </c>
      <c r="AG3924">
        <v>-8.6484000000000005E-2</v>
      </c>
      <c r="AH3924">
        <v>0.62371332344961805</v>
      </c>
      <c r="AI3924">
        <v>97.887864442647697</v>
      </c>
      <c r="AJ3924">
        <v>92.326230486728093</v>
      </c>
      <c r="AK3924">
        <v>0.63019025041368404</v>
      </c>
      <c r="AL3924">
        <v>78.378715920624202</v>
      </c>
      <c r="AM3924">
        <v>94.025566399387898</v>
      </c>
      <c r="AN3924">
        <v>1.0000000139163401</v>
      </c>
    </row>
    <row r="3925" spans="1:40" x14ac:dyDescent="0.25">
      <c r="A3925" t="str">
        <f>"20190312172448891"</f>
        <v>20190312172448891</v>
      </c>
      <c r="B3925" t="str">
        <f>"1552382688884320"</f>
        <v>1552382688884320</v>
      </c>
      <c r="C3925" t="s">
        <v>40</v>
      </c>
      <c r="D3925">
        <v>4.1612980000000004</v>
      </c>
      <c r="E3925">
        <v>0.52084240000000004</v>
      </c>
      <c r="F3925" t="s">
        <v>41</v>
      </c>
      <c r="G3925">
        <v>-186.25550000000001</v>
      </c>
      <c r="H3925">
        <v>1.0174030000000001</v>
      </c>
      <c r="I3925">
        <v>183.69040000000001</v>
      </c>
      <c r="J3925">
        <v>-186.07239999999999</v>
      </c>
      <c r="K3925">
        <v>1.103245</v>
      </c>
      <c r="L3925">
        <v>184.24760000000001</v>
      </c>
      <c r="M3925">
        <v>-0.36287750000000002</v>
      </c>
      <c r="N3925">
        <v>0</v>
      </c>
      <c r="O3925">
        <v>-0.93170770000000003</v>
      </c>
      <c r="P3925">
        <v>-0.28193240000000003</v>
      </c>
      <c r="Q3925">
        <v>0.18344840000000001</v>
      </c>
      <c r="R3925">
        <v>-0.94173289999999998</v>
      </c>
      <c r="S3925">
        <v>-1.042953</v>
      </c>
      <c r="T3925">
        <v>-0.28205439999999998</v>
      </c>
      <c r="U3925">
        <v>-2.9295040000000001</v>
      </c>
      <c r="V3925">
        <v>-7.5609209999999996E-2</v>
      </c>
      <c r="W3925">
        <v>0.19996610000000001</v>
      </c>
      <c r="X3925">
        <v>0.97688109999999995</v>
      </c>
      <c r="Y3925">
        <v>-3.0634350000000001E-2</v>
      </c>
      <c r="Z3925">
        <v>8.3693470000000006E-2</v>
      </c>
      <c r="AA3925">
        <v>0.99602060000000003</v>
      </c>
      <c r="AB3925">
        <v>33</v>
      </c>
      <c r="AC3925">
        <v>-0.18310000000002399</v>
      </c>
      <c r="AD3925">
        <v>-8.5841999999999904E-2</v>
      </c>
      <c r="AE3925">
        <v>-0.55719999999999403</v>
      </c>
      <c r="AF3925">
        <v>-3.0940679102218999E-2</v>
      </c>
      <c r="AG3925">
        <v>-8.5841999999999904E-2</v>
      </c>
      <c r="AH3925">
        <v>0.57337841224965802</v>
      </c>
      <c r="AI3925">
        <v>98.502474126628101</v>
      </c>
      <c r="AJ3925">
        <v>93.088802399814696</v>
      </c>
      <c r="AK3925">
        <v>0.58059364293905702</v>
      </c>
      <c r="AL3925">
        <v>78.465022622048295</v>
      </c>
      <c r="AM3925">
        <v>94.425788428751005</v>
      </c>
      <c r="AN3925">
        <v>0.99999993866161996</v>
      </c>
    </row>
    <row r="3926" spans="1:40" x14ac:dyDescent="0.25">
      <c r="A3926" t="str">
        <f>"20190312172448912"</f>
        <v>20190312172448912</v>
      </c>
      <c r="B3926" t="str">
        <f>"1552382688904820"</f>
        <v>1552382688904820</v>
      </c>
      <c r="C3926" t="s">
        <v>40</v>
      </c>
      <c r="D3926">
        <v>4.1757989999999996</v>
      </c>
      <c r="E3926">
        <v>0.52073879999999995</v>
      </c>
      <c r="F3926" t="s">
        <v>43</v>
      </c>
      <c r="G3926">
        <v>-190.12440000000001</v>
      </c>
      <c r="H3926" s="1">
        <v>-1.45162299999999E-6</v>
      </c>
      <c r="I3926">
        <v>172.89570000000001</v>
      </c>
      <c r="J3926">
        <v>-186.19640000000001</v>
      </c>
      <c r="K3926">
        <v>1.1041669999999999</v>
      </c>
      <c r="L3926">
        <v>183.94290000000001</v>
      </c>
      <c r="M3926">
        <v>-0.3674037</v>
      </c>
      <c r="N3926">
        <v>0</v>
      </c>
      <c r="O3926">
        <v>-0.92993429999999999</v>
      </c>
      <c r="P3926">
        <v>-0.28222329999999901</v>
      </c>
      <c r="Q3926">
        <v>0.1860183</v>
      </c>
      <c r="R3926">
        <v>-0.94114180000000003</v>
      </c>
      <c r="S3926">
        <v>-1.0451969999999999</v>
      </c>
      <c r="T3926">
        <v>-0.2845781</v>
      </c>
      <c r="U3926">
        <v>-2.9281619999999999</v>
      </c>
      <c r="V3926">
        <v>-8.0286070000000001E-2</v>
      </c>
      <c r="W3926">
        <v>0.2023152</v>
      </c>
      <c r="X3926">
        <v>0.97602390000000006</v>
      </c>
      <c r="Y3926">
        <v>-3.4690760000000001E-2</v>
      </c>
      <c r="Z3926">
        <v>8.4214549999999999E-2</v>
      </c>
      <c r="AA3926">
        <v>0.99584360000000005</v>
      </c>
      <c r="AB3926">
        <v>33</v>
      </c>
      <c r="AC3926">
        <v>-3.9279999999999902</v>
      </c>
      <c r="AD3926">
        <v>-1.1041684516229999</v>
      </c>
      <c r="AE3926">
        <v>-11.0472</v>
      </c>
      <c r="AF3926">
        <v>-0.40247879538051601</v>
      </c>
      <c r="AG3926">
        <v>-1.1041684516229999</v>
      </c>
      <c r="AH3926">
        <v>11.6147107340202</v>
      </c>
      <c r="AI3926">
        <v>95.427343374590393</v>
      </c>
      <c r="AJ3926">
        <v>91.984648024251101</v>
      </c>
      <c r="AK3926">
        <v>11.6740174141233</v>
      </c>
      <c r="AL3926">
        <v>78.327621305727604</v>
      </c>
      <c r="AM3926">
        <v>94.702466378823502</v>
      </c>
      <c r="AN3926">
        <v>0.99999997327914703</v>
      </c>
    </row>
    <row r="3927" spans="1:40" x14ac:dyDescent="0.25">
      <c r="A3927" t="str">
        <f>"20190312172448935"</f>
        <v>20190312172448935</v>
      </c>
      <c r="B3927" t="str">
        <f>"1552382688924336"</f>
        <v>1552382688924336</v>
      </c>
      <c r="C3927" t="s">
        <v>40</v>
      </c>
      <c r="D3927">
        <v>4.3101440000000002</v>
      </c>
      <c r="E3927">
        <v>0.52065589999999995</v>
      </c>
      <c r="F3927" t="s">
        <v>43</v>
      </c>
      <c r="G3927">
        <v>-190.36850000000001</v>
      </c>
      <c r="H3927" s="1">
        <v>-1.234491E-6</v>
      </c>
      <c r="I3927">
        <v>172.23820000000001</v>
      </c>
      <c r="J3927">
        <v>-186.3192</v>
      </c>
      <c r="K3927">
        <v>1.105178</v>
      </c>
      <c r="L3927">
        <v>183.64320000000001</v>
      </c>
      <c r="M3927">
        <v>-0.370894</v>
      </c>
      <c r="N3927">
        <v>0</v>
      </c>
      <c r="O3927">
        <v>-0.92854910000000002</v>
      </c>
      <c r="P3927">
        <v>-0.28241260000000001</v>
      </c>
      <c r="Q3927">
        <v>0.19258330000000001</v>
      </c>
      <c r="R3927">
        <v>-0.93976320000000002</v>
      </c>
      <c r="S3927">
        <v>-1.0440830000000001</v>
      </c>
      <c r="T3927">
        <v>-0.27632390000000001</v>
      </c>
      <c r="U3927">
        <v>-2.9291689999999999</v>
      </c>
      <c r="V3927">
        <v>-8.366585E-2</v>
      </c>
      <c r="W3927">
        <v>0.20860809999999999</v>
      </c>
      <c r="X3927">
        <v>0.97441409999999995</v>
      </c>
      <c r="Y3927">
        <v>-3.8810850000000001E-2</v>
      </c>
      <c r="Z3927">
        <v>8.1579550000000001E-2</v>
      </c>
      <c r="AA3927">
        <v>0.99591090000000004</v>
      </c>
      <c r="AB3927">
        <v>33</v>
      </c>
      <c r="AC3927">
        <v>-4.0493000000000103</v>
      </c>
      <c r="AD3927">
        <v>-1.1051792344910001</v>
      </c>
      <c r="AE3927">
        <v>-11.404999999999999</v>
      </c>
      <c r="AF3927">
        <v>-0.46623928521226599</v>
      </c>
      <c r="AG3927">
        <v>-1.1051792344910001</v>
      </c>
      <c r="AH3927">
        <v>11.9933670922111</v>
      </c>
      <c r="AI3927">
        <v>95.2609403867434</v>
      </c>
      <c r="AJ3927">
        <v>92.226238749136797</v>
      </c>
      <c r="AK3927">
        <v>12.053201003051401</v>
      </c>
      <c r="AL3927">
        <v>77.959205113096999</v>
      </c>
      <c r="AM3927">
        <v>94.907535267673694</v>
      </c>
      <c r="AN3927">
        <v>1.0000000760603101</v>
      </c>
    </row>
    <row r="3928" spans="1:40" x14ac:dyDescent="0.25">
      <c r="A3928" t="str">
        <f>"20190312172448957"</f>
        <v>20190312172448957</v>
      </c>
      <c r="B3928" t="str">
        <f>"1552382688954593"</f>
        <v>1552382688954593</v>
      </c>
      <c r="C3928" t="s">
        <v>40</v>
      </c>
      <c r="D3928">
        <v>4.1438119999999996</v>
      </c>
      <c r="E3928">
        <v>0.5202464</v>
      </c>
      <c r="F3928" t="s">
        <v>43</v>
      </c>
      <c r="G3928">
        <v>-190.7877</v>
      </c>
      <c r="H3928" s="1">
        <v>-8.2536559999999895E-7</v>
      </c>
      <c r="I3928">
        <v>171.02449999999999</v>
      </c>
      <c r="J3928">
        <v>-186.44589999999999</v>
      </c>
      <c r="K3928">
        <v>1.106268</v>
      </c>
      <c r="L3928">
        <v>183.33439999999999</v>
      </c>
      <c r="M3928">
        <v>-0.37347350000000001</v>
      </c>
      <c r="N3928">
        <v>0</v>
      </c>
      <c r="O3928">
        <v>-0.92751629999999996</v>
      </c>
      <c r="P3928">
        <v>-0.27936470000000002</v>
      </c>
      <c r="Q3928">
        <v>0.1947334</v>
      </c>
      <c r="R3928">
        <v>-0.94023120000000004</v>
      </c>
      <c r="S3928">
        <v>-1.0385740000000001</v>
      </c>
      <c r="T3928">
        <v>-0.25686599999999998</v>
      </c>
      <c r="U3928">
        <v>-2.9328310000000002</v>
      </c>
      <c r="V3928">
        <v>-8.9893829999999994E-2</v>
      </c>
      <c r="W3928">
        <v>0.2104992</v>
      </c>
      <c r="X3928">
        <v>0.97345219999999999</v>
      </c>
      <c r="Y3928">
        <v>-4.3475310000000003E-2</v>
      </c>
      <c r="Z3928">
        <v>7.5672879999999998E-2</v>
      </c>
      <c r="AA3928">
        <v>0.99618450000000003</v>
      </c>
      <c r="AB3928">
        <v>33</v>
      </c>
      <c r="AC3928">
        <v>-4.3418000000000001</v>
      </c>
      <c r="AD3928">
        <v>-1.1062688253655999</v>
      </c>
      <c r="AE3928">
        <v>-12.309900000000001</v>
      </c>
      <c r="AF3928">
        <v>-0.56632926987751497</v>
      </c>
      <c r="AG3928">
        <v>-1.1062688253655999</v>
      </c>
      <c r="AH3928">
        <v>12.947686899776199</v>
      </c>
      <c r="AI3928">
        <v>94.878930044119002</v>
      </c>
      <c r="AJ3928">
        <v>92.504509718522002</v>
      </c>
      <c r="AK3928">
        <v>13.007196300914799</v>
      </c>
      <c r="AL3928">
        <v>77.848391761510598</v>
      </c>
      <c r="AM3928">
        <v>95.276038025371506</v>
      </c>
      <c r="AN3928">
        <v>0.99999999977877396</v>
      </c>
    </row>
    <row r="3929" spans="1:40" x14ac:dyDescent="0.25">
      <c r="A3929" t="str">
        <f>"20190312172448981"</f>
        <v>20190312172448981</v>
      </c>
      <c r="B3929" t="str">
        <f>"1552382688974113"</f>
        <v>1552382688974113</v>
      </c>
      <c r="C3929" t="s">
        <v>40</v>
      </c>
      <c r="D3929">
        <v>4.2125240000000002</v>
      </c>
      <c r="E3929">
        <v>0.51607799999999904</v>
      </c>
      <c r="F3929" t="s">
        <v>43</v>
      </c>
      <c r="G3929">
        <v>-190.9785</v>
      </c>
      <c r="H3929" s="1">
        <v>-5.9085899999999996E-7</v>
      </c>
      <c r="I3929">
        <v>170.3595</v>
      </c>
      <c r="J3929">
        <v>-186.5806</v>
      </c>
      <c r="K3929">
        <v>1.1074329999999999</v>
      </c>
      <c r="L3929">
        <v>183.00579999999999</v>
      </c>
      <c r="M3929">
        <v>-0.37510149999999998</v>
      </c>
      <c r="N3929">
        <v>0</v>
      </c>
      <c r="O3929">
        <v>-0.92686049999999998</v>
      </c>
      <c r="P3929">
        <v>-0.27462760000000003</v>
      </c>
      <c r="Q3929">
        <v>0.19162080000000001</v>
      </c>
      <c r="R3929">
        <v>-0.94226410000000005</v>
      </c>
      <c r="S3929">
        <v>-1.02623</v>
      </c>
      <c r="T3929">
        <v>-0.25047160000000002</v>
      </c>
      <c r="U3929">
        <v>-2.9376530000000001</v>
      </c>
      <c r="V3929">
        <v>-9.7364519999999996E-2</v>
      </c>
      <c r="W3929">
        <v>0.20710899999999999</v>
      </c>
      <c r="X3929">
        <v>0.97346089999999996</v>
      </c>
      <c r="Y3929">
        <v>-4.9415340000000002E-2</v>
      </c>
      <c r="Z3929">
        <v>7.3644790000000002E-2</v>
      </c>
      <c r="AA3929">
        <v>0.99605949999999999</v>
      </c>
      <c r="AB3929">
        <v>33</v>
      </c>
      <c r="AC3929">
        <v>-4.3978999999999902</v>
      </c>
      <c r="AD3929">
        <v>-1.1074335908589901</v>
      </c>
      <c r="AE3929">
        <v>-12.646299999999901</v>
      </c>
      <c r="AF3929">
        <v>-0.66294726667400095</v>
      </c>
      <c r="AG3929">
        <v>-1.1074335908589901</v>
      </c>
      <c r="AH3929">
        <v>13.281681108717599</v>
      </c>
      <c r="AI3929">
        <v>94.760427914433293</v>
      </c>
      <c r="AJ3929">
        <v>92.857513447127701</v>
      </c>
      <c r="AK3929">
        <v>13.3442482482236</v>
      </c>
      <c r="AL3929">
        <v>78.047014839176995</v>
      </c>
      <c r="AM3929">
        <v>95.711667144883904</v>
      </c>
      <c r="AN3929">
        <v>1.0000000557323101</v>
      </c>
    </row>
    <row r="3930" spans="1:40" x14ac:dyDescent="0.25">
      <c r="A3930" t="str">
        <f>"20190312172449027"</f>
        <v>20190312172449027</v>
      </c>
      <c r="B3930" t="str">
        <f>"1552382689024865"</f>
        <v>1552382689024865</v>
      </c>
      <c r="C3930" t="s">
        <v>40</v>
      </c>
      <c r="D3930">
        <v>4.3044710000000004</v>
      </c>
      <c r="E3930">
        <v>0.51477349999999999</v>
      </c>
      <c r="F3930" t="s">
        <v>43</v>
      </c>
      <c r="G3930">
        <v>-190.01490000000001</v>
      </c>
      <c r="H3930" s="1">
        <v>-1.333569E-6</v>
      </c>
      <c r="I3930">
        <v>172.6885</v>
      </c>
      <c r="J3930">
        <v>-186.8331</v>
      </c>
      <c r="K3930">
        <v>1.1095549999999901</v>
      </c>
      <c r="L3930">
        <v>182.38409999999999</v>
      </c>
      <c r="M3930">
        <v>-0.37474079999999999</v>
      </c>
      <c r="N3930">
        <v>0</v>
      </c>
      <c r="O3930">
        <v>-0.9270081</v>
      </c>
      <c r="P3930">
        <v>-0.27333639999999998</v>
      </c>
      <c r="Q3930">
        <v>0.19895889999999999</v>
      </c>
      <c r="R3930">
        <v>-0.94111769999999995</v>
      </c>
      <c r="S3930">
        <v>-0.98567199999999999</v>
      </c>
      <c r="T3930">
        <v>-0.31784449999999997</v>
      </c>
      <c r="U3930">
        <v>-2.961182</v>
      </c>
      <c r="V3930">
        <v>-9.8768220000000004E-2</v>
      </c>
      <c r="W3930">
        <v>0.2138198</v>
      </c>
      <c r="X3930">
        <v>0.97186729999999999</v>
      </c>
      <c r="Y3930">
        <v>-6.4259659999999996E-2</v>
      </c>
      <c r="Z3930">
        <v>9.2743909999999999E-2</v>
      </c>
      <c r="AA3930">
        <v>0.99361429999999995</v>
      </c>
      <c r="AB3930">
        <v>33</v>
      </c>
      <c r="AC3930">
        <v>-3.1818</v>
      </c>
      <c r="AD3930">
        <v>-1.10955633356899</v>
      </c>
      <c r="AE3930">
        <v>-9.6955999999999793</v>
      </c>
      <c r="AF3930">
        <v>-0.67586875284335102</v>
      </c>
      <c r="AG3930">
        <v>-1.10955633356899</v>
      </c>
      <c r="AH3930">
        <v>10.062428620748801</v>
      </c>
      <c r="AI3930">
        <v>96.278394149574098</v>
      </c>
      <c r="AJ3930">
        <v>93.842645825668598</v>
      </c>
      <c r="AK3930">
        <v>10.145954049575501</v>
      </c>
      <c r="AL3930">
        <v>77.653703953112597</v>
      </c>
      <c r="AM3930">
        <v>95.802890735144402</v>
      </c>
      <c r="AN3930">
        <v>1.00000005848164</v>
      </c>
    </row>
    <row r="3931" spans="1:40" x14ac:dyDescent="0.25">
      <c r="A3931" t="str">
        <f>"20190312172449049"</f>
        <v>20190312172449049</v>
      </c>
      <c r="B3931" t="str">
        <f>"1552382689044385"</f>
        <v>1552382689044385</v>
      </c>
      <c r="C3931" t="s">
        <v>40</v>
      </c>
      <c r="D3931">
        <v>4.2202159999999997</v>
      </c>
      <c r="E3931">
        <v>0.51426459999999996</v>
      </c>
      <c r="F3931" t="s">
        <v>43</v>
      </c>
      <c r="G3931">
        <v>-190.6148</v>
      </c>
      <c r="H3931" s="1">
        <v>-6.5785880000000003E-7</v>
      </c>
      <c r="I3931">
        <v>170.7413</v>
      </c>
      <c r="J3931">
        <v>-186.95330000000001</v>
      </c>
      <c r="K3931">
        <v>1.110444</v>
      </c>
      <c r="L3931">
        <v>182.08410000000001</v>
      </c>
      <c r="M3931">
        <v>-0.37334420000000001</v>
      </c>
      <c r="N3931">
        <v>0</v>
      </c>
      <c r="O3931">
        <v>-0.92757219999999996</v>
      </c>
      <c r="P3931">
        <v>-0.27153090000000002</v>
      </c>
      <c r="Q3931">
        <v>0.20386480000000001</v>
      </c>
      <c r="R3931">
        <v>-0.94059060000000005</v>
      </c>
      <c r="S3931">
        <v>-0.96388240000000003</v>
      </c>
      <c r="T3931">
        <v>-0.282804</v>
      </c>
      <c r="U3931">
        <v>-2.9675289999999999</v>
      </c>
      <c r="V3931">
        <v>-9.9217470000000002E-2</v>
      </c>
      <c r="W3931">
        <v>0.2184642</v>
      </c>
      <c r="X3931">
        <v>0.97078790000000004</v>
      </c>
      <c r="Y3931">
        <v>-6.9678699999999996E-2</v>
      </c>
      <c r="Z3931">
        <v>8.2585469999999994E-2</v>
      </c>
      <c r="AA3931">
        <v>0.9941451</v>
      </c>
      <c r="AB3931">
        <v>33</v>
      </c>
      <c r="AC3931">
        <v>-3.6614999999999802</v>
      </c>
      <c r="AD3931">
        <v>-1.1104446578588001</v>
      </c>
      <c r="AE3931">
        <v>-11.3428</v>
      </c>
      <c r="AF3931">
        <v>-0.83134108279504204</v>
      </c>
      <c r="AG3931">
        <v>-1.1104446578588001</v>
      </c>
      <c r="AH3931">
        <v>11.787286892925099</v>
      </c>
      <c r="AI3931">
        <v>95.368521126395393</v>
      </c>
      <c r="AJ3931">
        <v>94.034311859746893</v>
      </c>
      <c r="AK3931">
        <v>11.868628717347001</v>
      </c>
      <c r="AL3931">
        <v>77.381155024903904</v>
      </c>
      <c r="AM3931">
        <v>95.835540560884098</v>
      </c>
      <c r="AN3931">
        <v>0.99999992991062203</v>
      </c>
    </row>
    <row r="3932" spans="1:40" x14ac:dyDescent="0.25">
      <c r="A3932" t="str">
        <f>"20190312172449070"</f>
        <v>20190312172449070</v>
      </c>
      <c r="B3932" t="str">
        <f>"1552382689064385"</f>
        <v>1552382689064385</v>
      </c>
      <c r="C3932" t="s">
        <v>40</v>
      </c>
      <c r="D3932">
        <v>4.2167120000000002</v>
      </c>
      <c r="E3932">
        <v>0.51399269999999997</v>
      </c>
      <c r="F3932" t="s">
        <v>43</v>
      </c>
      <c r="G3932">
        <v>-190.9503</v>
      </c>
      <c r="H3932" s="1">
        <v>-4.9011380000000002E-6</v>
      </c>
      <c r="I3932">
        <v>169.61</v>
      </c>
      <c r="J3932">
        <v>-187.0633</v>
      </c>
      <c r="K3932">
        <v>1.1111279999999999</v>
      </c>
      <c r="L3932">
        <v>181.8066</v>
      </c>
      <c r="M3932">
        <v>-0.37150650000000002</v>
      </c>
      <c r="N3932">
        <v>0</v>
      </c>
      <c r="O3932">
        <v>-0.92831050000000004</v>
      </c>
      <c r="P3932">
        <v>-0.267793</v>
      </c>
      <c r="Q3932">
        <v>0.20134369999999999</v>
      </c>
      <c r="R3932">
        <v>-0.94220400000000004</v>
      </c>
      <c r="S3932">
        <v>-0.95227050000000002</v>
      </c>
      <c r="T3932">
        <v>-0.26456010000000002</v>
      </c>
      <c r="U3932">
        <v>-2.9719090000000001</v>
      </c>
      <c r="V3932">
        <v>-0.1017141</v>
      </c>
      <c r="W3932">
        <v>0.21574360000000001</v>
      </c>
      <c r="X3932">
        <v>0.9711379</v>
      </c>
      <c r="Y3932">
        <v>-7.1512000000000006E-2</v>
      </c>
      <c r="Z3932">
        <v>7.7318429999999994E-2</v>
      </c>
      <c r="AA3932">
        <v>0.9944385</v>
      </c>
      <c r="AB3932">
        <v>33</v>
      </c>
      <c r="AC3932">
        <v>-3.887</v>
      </c>
      <c r="AD3932">
        <v>-1.111132901138</v>
      </c>
      <c r="AE3932">
        <v>-12.196599999999901</v>
      </c>
      <c r="AF3932">
        <v>-0.91597471680568598</v>
      </c>
      <c r="AG3932">
        <v>-1.111132901138</v>
      </c>
      <c r="AH3932">
        <v>12.672221844119701</v>
      </c>
      <c r="AI3932">
        <v>94.998051748512793</v>
      </c>
      <c r="AJ3932">
        <v>94.134268756771704</v>
      </c>
      <c r="AK3932">
        <v>12.7537771845208</v>
      </c>
      <c r="AL3932">
        <v>77.5408429115068</v>
      </c>
      <c r="AM3932">
        <v>95.979189811281401</v>
      </c>
      <c r="AN3932">
        <v>0.999999939948088</v>
      </c>
    </row>
    <row r="3933" spans="1:40" x14ac:dyDescent="0.25">
      <c r="A3933" t="str">
        <f>"20190312172449081"</f>
        <v>20190312172449081</v>
      </c>
      <c r="B3933" t="str">
        <f>"1552382689074145"</f>
        <v>1552382689074145</v>
      </c>
      <c r="C3933" t="s">
        <v>40</v>
      </c>
      <c r="D3933">
        <v>4.2445199999999996</v>
      </c>
      <c r="E3933">
        <v>0.51386520000000002</v>
      </c>
      <c r="F3933" t="s">
        <v>43</v>
      </c>
      <c r="G3933">
        <v>-190.8991</v>
      </c>
      <c r="H3933" s="1">
        <v>-2.8477690000000002E-7</v>
      </c>
      <c r="I3933">
        <v>169.6953</v>
      </c>
      <c r="J3933">
        <v>-187.13050000000001</v>
      </c>
      <c r="K3933">
        <v>1.111524</v>
      </c>
      <c r="L3933">
        <v>181.6361</v>
      </c>
      <c r="M3933">
        <v>-0.3701583</v>
      </c>
      <c r="N3933">
        <v>0</v>
      </c>
      <c r="O3933">
        <v>-0.92884909999999998</v>
      </c>
      <c r="P3933">
        <v>-0.2648934</v>
      </c>
      <c r="Q3933">
        <v>0.19838220000000001</v>
      </c>
      <c r="R3933">
        <v>-0.94365049999999995</v>
      </c>
      <c r="S3933">
        <v>-0.94207759999999996</v>
      </c>
      <c r="T3933">
        <v>-0.27289580000000002</v>
      </c>
      <c r="U3933">
        <v>-2.9745789999999999</v>
      </c>
      <c r="V3933">
        <v>-0.1037264</v>
      </c>
      <c r="W3933">
        <v>0.21266389999999999</v>
      </c>
      <c r="X3933">
        <v>0.97160429999999998</v>
      </c>
      <c r="Y3933">
        <v>-7.3478799999999997E-2</v>
      </c>
      <c r="Z3933">
        <v>7.9770540000000001E-2</v>
      </c>
      <c r="AA3933">
        <v>0.99410129999999997</v>
      </c>
      <c r="AB3933">
        <v>33</v>
      </c>
      <c r="AC3933">
        <v>-3.76859999999999</v>
      </c>
      <c r="AD3933">
        <v>-1.1115242847769</v>
      </c>
      <c r="AE3933">
        <v>-11.9407999999999</v>
      </c>
      <c r="AF3933">
        <v>-0.91243755404980698</v>
      </c>
      <c r="AG3933">
        <v>-1.1115242847769</v>
      </c>
      <c r="AH3933">
        <v>12.3899329830454</v>
      </c>
      <c r="AI3933">
        <v>95.112617830515205</v>
      </c>
      <c r="AJ3933">
        <v>94.211856382866998</v>
      </c>
      <c r="AK3933">
        <v>12.4731097906675</v>
      </c>
      <c r="AL3933">
        <v>77.721490663219996</v>
      </c>
      <c r="AM3933">
        <v>96.093694560444106</v>
      </c>
      <c r="AN3933">
        <v>1.0000000080993201</v>
      </c>
    </row>
    <row r="3934" spans="1:40" x14ac:dyDescent="0.25">
      <c r="A3934" t="str">
        <f>"20190312172449093"</f>
        <v>20190312172449093</v>
      </c>
      <c r="B3934" t="str">
        <f>"1552382689083904"</f>
        <v>1552382689083904</v>
      </c>
      <c r="C3934" t="s">
        <v>40</v>
      </c>
      <c r="D3934">
        <v>4.2161580000000001</v>
      </c>
      <c r="E3934">
        <v>0.51350059999999997</v>
      </c>
      <c r="F3934" t="s">
        <v>43</v>
      </c>
      <c r="G3934">
        <v>-190.80359999999999</v>
      </c>
      <c r="H3934" s="1">
        <v>-3.634235E-7</v>
      </c>
      <c r="I3934">
        <v>169.93790000000001</v>
      </c>
      <c r="J3934">
        <v>-187.19540000000001</v>
      </c>
      <c r="K3934">
        <v>1.1118859999999999</v>
      </c>
      <c r="L3934">
        <v>181.46969999999999</v>
      </c>
      <c r="M3934">
        <v>-0.36855019999999999</v>
      </c>
      <c r="N3934">
        <v>0</v>
      </c>
      <c r="O3934">
        <v>-0.92948869999999895</v>
      </c>
      <c r="P3934">
        <v>-0.26162950000000001</v>
      </c>
      <c r="Q3934">
        <v>0.19544719999999999</v>
      </c>
      <c r="R3934">
        <v>-0.94517209999999996</v>
      </c>
      <c r="S3934">
        <v>-0.93449400000000005</v>
      </c>
      <c r="T3934">
        <v>-0.28279029999999999</v>
      </c>
      <c r="U3934">
        <v>-2.9762420000000001</v>
      </c>
      <c r="V3934">
        <v>-0.1058128</v>
      </c>
      <c r="W3934">
        <v>0.2096162</v>
      </c>
      <c r="X3934">
        <v>0.9720415</v>
      </c>
      <c r="Y3934">
        <v>-7.4292849999999994E-2</v>
      </c>
      <c r="Z3934">
        <v>8.2708630000000005E-2</v>
      </c>
      <c r="AA3934">
        <v>0.99380069999999998</v>
      </c>
      <c r="AB3934">
        <v>33</v>
      </c>
      <c r="AC3934">
        <v>-3.6081999999999801</v>
      </c>
      <c r="AD3934">
        <v>-1.1118863634234999</v>
      </c>
      <c r="AE3934">
        <v>-11.531799999999899</v>
      </c>
      <c r="AF3934">
        <v>-0.88883896341606505</v>
      </c>
      <c r="AG3934">
        <v>-1.1118863634234999</v>
      </c>
      <c r="AH3934">
        <v>11.9486382417369</v>
      </c>
      <c r="AI3934">
        <v>95.301811547193296</v>
      </c>
      <c r="AJ3934">
        <v>94.254300324668705</v>
      </c>
      <c r="AK3934">
        <v>12.0331326685926</v>
      </c>
      <c r="AL3934">
        <v>77.900138323377206</v>
      </c>
      <c r="AM3934">
        <v>96.212542312396494</v>
      </c>
      <c r="AN3934">
        <v>0.999999988834265</v>
      </c>
    </row>
    <row r="3935" spans="1:40" x14ac:dyDescent="0.25">
      <c r="A3935" t="str">
        <f>"20190312172449114"</f>
        <v>20190312172449114</v>
      </c>
      <c r="B3935" t="str">
        <f>"1552382689104404"</f>
        <v>1552382689104404</v>
      </c>
      <c r="C3935" t="s">
        <v>40</v>
      </c>
      <c r="D3935">
        <v>4.2002940000000004</v>
      </c>
      <c r="E3935">
        <v>0.50597799999999904</v>
      </c>
      <c r="F3935" t="s">
        <v>43</v>
      </c>
      <c r="G3935">
        <v>-190.7227</v>
      </c>
      <c r="H3935" s="1">
        <v>-4.0625739999999998E-7</v>
      </c>
      <c r="I3935">
        <v>170.08789999999999</v>
      </c>
      <c r="J3935">
        <v>-187.30109999999999</v>
      </c>
      <c r="K3935">
        <v>1.112468</v>
      </c>
      <c r="L3935">
        <v>181.196</v>
      </c>
      <c r="M3935">
        <v>-0.36563689999999999</v>
      </c>
      <c r="N3935">
        <v>0</v>
      </c>
      <c r="O3935">
        <v>-0.93063899999999999</v>
      </c>
      <c r="P3935">
        <v>-0.2555076</v>
      </c>
      <c r="Q3935">
        <v>0.19122439999999999</v>
      </c>
      <c r="R3935">
        <v>-0.94770730000000003</v>
      </c>
      <c r="S3935">
        <v>-0.92312620000000001</v>
      </c>
      <c r="T3935">
        <v>-0.2909873</v>
      </c>
      <c r="U3935">
        <v>-2.9786830000000002</v>
      </c>
      <c r="V3935">
        <v>-0.109658199999999</v>
      </c>
      <c r="W3935">
        <v>0.20520579999999999</v>
      </c>
      <c r="X3935">
        <v>0.97255630000000004</v>
      </c>
      <c r="Y3935">
        <v>-7.4924069999999995E-2</v>
      </c>
      <c r="Z3935">
        <v>8.5221199999999997E-2</v>
      </c>
      <c r="AA3935">
        <v>0.99354100000000001</v>
      </c>
      <c r="AB3935">
        <v>33</v>
      </c>
      <c r="AC3935">
        <v>-3.42160000000001</v>
      </c>
      <c r="AD3935">
        <v>-1.1124684062574</v>
      </c>
      <c r="AE3935">
        <v>-11.1081</v>
      </c>
      <c r="AF3935">
        <v>-0.869389451067343</v>
      </c>
      <c r="AG3935">
        <v>-1.1124684062574</v>
      </c>
      <c r="AH3935">
        <v>11.484764821429399</v>
      </c>
      <c r="AI3935">
        <v>95.516991275086994</v>
      </c>
      <c r="AJ3935">
        <v>94.3289980029774</v>
      </c>
      <c r="AK3935">
        <v>11.5712249557292</v>
      </c>
      <c r="AL3935">
        <v>78.158453940676296</v>
      </c>
      <c r="AM3935">
        <v>96.4330753650367</v>
      </c>
      <c r="AN3935">
        <v>1.00000004892528</v>
      </c>
    </row>
    <row r="3936" spans="1:40" x14ac:dyDescent="0.25">
      <c r="A3936" t="str">
        <f>"20190312172449126"</f>
        <v>20190312172449126</v>
      </c>
      <c r="B3936" t="str">
        <f>"1552382689114161"</f>
        <v>1552382689114161</v>
      </c>
      <c r="C3936" t="s">
        <v>40</v>
      </c>
      <c r="D3936">
        <v>4.1930180000000004</v>
      </c>
      <c r="E3936">
        <v>0.50605770000000005</v>
      </c>
      <c r="F3936" t="s">
        <v>43</v>
      </c>
      <c r="G3936">
        <v>-190.94880000000001</v>
      </c>
      <c r="H3936" s="1">
        <v>-4.3870789999999999E-6</v>
      </c>
      <c r="I3936">
        <v>168.3383</v>
      </c>
      <c r="J3936">
        <v>-187.36269999999999</v>
      </c>
      <c r="K3936">
        <v>1.1128</v>
      </c>
      <c r="L3936">
        <v>181.03489999999999</v>
      </c>
      <c r="M3936">
        <v>-0.36374800000000002</v>
      </c>
      <c r="N3936">
        <v>0</v>
      </c>
      <c r="O3936">
        <v>-0.93137910000000002</v>
      </c>
      <c r="P3936">
        <v>-0.25236829999999999</v>
      </c>
      <c r="Q3936">
        <v>0.19120780000000001</v>
      </c>
      <c r="R3936">
        <v>-0.94855149999999999</v>
      </c>
      <c r="S3936">
        <v>-0.84800719999999996</v>
      </c>
      <c r="T3936">
        <v>-0.25862299999999999</v>
      </c>
      <c r="U3936">
        <v>-2.9891049999999999</v>
      </c>
      <c r="V3936">
        <v>-0.1110722</v>
      </c>
      <c r="W3936">
        <v>0.20507980000000001</v>
      </c>
      <c r="X3936">
        <v>0.97242240000000002</v>
      </c>
      <c r="Y3936">
        <v>-9.6589229999999998E-2</v>
      </c>
      <c r="Z3936">
        <v>7.5821059999999996E-2</v>
      </c>
      <c r="AA3936">
        <v>0.99243219999999999</v>
      </c>
      <c r="AB3936">
        <v>33</v>
      </c>
      <c r="AC3936">
        <v>-3.5861000000000098</v>
      </c>
      <c r="AD3936">
        <v>-1.1128043870790001</v>
      </c>
      <c r="AE3936">
        <v>-12.696599999999901</v>
      </c>
      <c r="AF3936">
        <v>-1.2694539244948899</v>
      </c>
      <c r="AG3936">
        <v>-1.1128043870790001</v>
      </c>
      <c r="AH3936">
        <v>13.038472504849199</v>
      </c>
      <c r="AI3936">
        <v>94.855396152584007</v>
      </c>
      <c r="AJ3936">
        <v>95.560914034627004</v>
      </c>
      <c r="AK3936">
        <v>13.147304367437</v>
      </c>
      <c r="AL3936">
        <v>78.165829988825806</v>
      </c>
      <c r="AM3936">
        <v>96.516208039803601</v>
      </c>
      <c r="AN3936">
        <v>1.0000000410013099</v>
      </c>
    </row>
    <row r="3937" spans="1:40" x14ac:dyDescent="0.25">
      <c r="A3937" t="str">
        <f>"20190312172449138"</f>
        <v>20190312172449138</v>
      </c>
      <c r="B3937" t="str">
        <f>"1552382689134657"</f>
        <v>1552382689134657</v>
      </c>
      <c r="C3937" t="s">
        <v>40</v>
      </c>
      <c r="D3937">
        <v>4.2151909999999999</v>
      </c>
      <c r="E3937">
        <v>0.50580839999999905</v>
      </c>
      <c r="F3937" t="s">
        <v>43</v>
      </c>
      <c r="G3937">
        <v>-190.95939999999999</v>
      </c>
      <c r="H3937" s="1">
        <v>-4.3343860000000004E-6</v>
      </c>
      <c r="I3937">
        <v>168.2209</v>
      </c>
      <c r="J3937">
        <v>-187.4273</v>
      </c>
      <c r="K3937">
        <v>1.113135</v>
      </c>
      <c r="L3937">
        <v>180.86439999999999</v>
      </c>
      <c r="M3937">
        <v>-0.36161870000000002</v>
      </c>
      <c r="N3937">
        <v>0</v>
      </c>
      <c r="O3937">
        <v>-0.93220820000000004</v>
      </c>
      <c r="P3937">
        <v>-0.24899969999999999</v>
      </c>
      <c r="Q3937">
        <v>0.19177520000000001</v>
      </c>
      <c r="R3937">
        <v>-0.94932669999999997</v>
      </c>
      <c r="S3937">
        <v>-0.83972169999999902</v>
      </c>
      <c r="T3937">
        <v>-0.25980310000000001</v>
      </c>
      <c r="U3937">
        <v>-2.9916529999999999</v>
      </c>
      <c r="V3937">
        <v>-0.1124318</v>
      </c>
      <c r="W3937">
        <v>0.2055343</v>
      </c>
      <c r="X3937">
        <v>0.97217010000000004</v>
      </c>
      <c r="Y3937">
        <v>-9.7090679999999999E-2</v>
      </c>
      <c r="Z3937">
        <v>7.6229710000000006E-2</v>
      </c>
      <c r="AA3937">
        <v>0.99235189999999995</v>
      </c>
      <c r="AB3937">
        <v>33</v>
      </c>
      <c r="AC3937">
        <v>-3.5320999999999798</v>
      </c>
      <c r="AD3937">
        <v>-1.1131393343860001</v>
      </c>
      <c r="AE3937">
        <v>-12.6434999999999</v>
      </c>
      <c r="AF3937">
        <v>-1.27047934061768</v>
      </c>
      <c r="AG3937">
        <v>-1.1131393343860001</v>
      </c>
      <c r="AH3937">
        <v>12.9718163541945</v>
      </c>
      <c r="AI3937">
        <v>94.881415170897299</v>
      </c>
      <c r="AJ3937">
        <v>95.593794715700994</v>
      </c>
      <c r="AK3937">
        <v>13.0813308367169</v>
      </c>
      <c r="AL3937">
        <v>78.139221524249194</v>
      </c>
      <c r="AM3937">
        <v>96.596968912658994</v>
      </c>
      <c r="AN3937">
        <v>0.99999998073086904</v>
      </c>
    </row>
    <row r="3938" spans="1:40" x14ac:dyDescent="0.25">
      <c r="A3938" t="str">
        <f>"20190312172449150"</f>
        <v>20190312172449150</v>
      </c>
      <c r="B3938" t="str">
        <f>"1552382689144417"</f>
        <v>1552382689144417</v>
      </c>
      <c r="C3938" t="s">
        <v>40</v>
      </c>
      <c r="D3938">
        <v>4.2421629999999997</v>
      </c>
      <c r="E3938">
        <v>0.50556769999999995</v>
      </c>
      <c r="F3938" t="s">
        <v>43</v>
      </c>
      <c r="G3938">
        <v>-190.98759999999999</v>
      </c>
      <c r="H3938" s="1">
        <v>-4.2308049999999997E-6</v>
      </c>
      <c r="I3938">
        <v>167.98589999999999</v>
      </c>
      <c r="J3938">
        <v>-187.48699999999999</v>
      </c>
      <c r="K3938">
        <v>1.1134310000000001</v>
      </c>
      <c r="L3938">
        <v>180.70480000000001</v>
      </c>
      <c r="M3938">
        <v>-0.35948150000000001</v>
      </c>
      <c r="N3938">
        <v>0</v>
      </c>
      <c r="O3938">
        <v>-0.93303469999999999</v>
      </c>
      <c r="P3938">
        <v>-0.2460347</v>
      </c>
      <c r="Q3938">
        <v>0.1935772</v>
      </c>
      <c r="R3938">
        <v>-0.94973419999999997</v>
      </c>
      <c r="S3938">
        <v>-0.82804869999999997</v>
      </c>
      <c r="T3938">
        <v>-0.2588896</v>
      </c>
      <c r="U3938">
        <v>-2.9952390000000002</v>
      </c>
      <c r="V3938">
        <v>-0.1132635</v>
      </c>
      <c r="W3938">
        <v>0.20723820000000001</v>
      </c>
      <c r="X3938">
        <v>0.97171180000000001</v>
      </c>
      <c r="Y3938">
        <v>-9.870218E-2</v>
      </c>
      <c r="Z3938">
        <v>7.6008419999999993E-2</v>
      </c>
      <c r="AA3938">
        <v>0.99221000000000004</v>
      </c>
      <c r="AB3938">
        <v>33</v>
      </c>
      <c r="AC3938">
        <v>-3.5005999999999902</v>
      </c>
      <c r="AD3938">
        <v>-1.113435230805</v>
      </c>
      <c r="AE3938">
        <v>-12.7189</v>
      </c>
      <c r="AF3938">
        <v>-1.29693196515947</v>
      </c>
      <c r="AG3938">
        <v>-1.113435230805</v>
      </c>
      <c r="AH3938">
        <v>13.0341610765886</v>
      </c>
      <c r="AI3938">
        <v>94.858725692973593</v>
      </c>
      <c r="AJ3938">
        <v>95.682370858429707</v>
      </c>
      <c r="AK3938">
        <v>13.145764546267699</v>
      </c>
      <c r="AL3938">
        <v>78.039448074261003</v>
      </c>
      <c r="AM3938">
        <v>96.648440434434704</v>
      </c>
      <c r="AN3938">
        <v>1.00000005711536</v>
      </c>
    </row>
    <row r="3939" spans="1:40" x14ac:dyDescent="0.25">
      <c r="A3939" t="str">
        <f>"20190312172449169"</f>
        <v>20190312172449169</v>
      </c>
      <c r="B3939" t="str">
        <f>"1552382689163936"</f>
        <v>1552382689163936</v>
      </c>
      <c r="C3939" t="s">
        <v>40</v>
      </c>
      <c r="D3939">
        <v>4.2475129999999996</v>
      </c>
      <c r="E3939">
        <v>0.50537549999999998</v>
      </c>
      <c r="F3939" t="s">
        <v>43</v>
      </c>
      <c r="G3939">
        <v>-191.0599</v>
      </c>
      <c r="H3939" s="1">
        <v>-4.0719930000000002E-6</v>
      </c>
      <c r="I3939">
        <v>167.60929999999999</v>
      </c>
      <c r="J3939">
        <v>-187.58449999999999</v>
      </c>
      <c r="K3939">
        <v>1.1138729999999999</v>
      </c>
      <c r="L3939">
        <v>180.4419</v>
      </c>
      <c r="M3939">
        <v>-0.355767</v>
      </c>
      <c r="N3939">
        <v>0</v>
      </c>
      <c r="O3939">
        <v>-0.9344576</v>
      </c>
      <c r="P3939">
        <v>-0.2409288</v>
      </c>
      <c r="Q3939">
        <v>0.1952237</v>
      </c>
      <c r="R3939">
        <v>-0.95070589999999999</v>
      </c>
      <c r="S3939">
        <v>-0.81814580000000003</v>
      </c>
      <c r="T3939">
        <v>-0.25496639999999998</v>
      </c>
      <c r="U3939">
        <v>-2.998764</v>
      </c>
      <c r="V3939">
        <v>-0.114732</v>
      </c>
      <c r="W3939">
        <v>0.20873449999999999</v>
      </c>
      <c r="X3939">
        <v>0.9712191</v>
      </c>
      <c r="Y3939">
        <v>-9.8066840000000002E-2</v>
      </c>
      <c r="Z3939">
        <v>7.4985709999999997E-2</v>
      </c>
      <c r="AA3939">
        <v>0.99235079999999998</v>
      </c>
      <c r="AB3939">
        <v>33</v>
      </c>
      <c r="AC3939">
        <v>-3.4754</v>
      </c>
      <c r="AD3939">
        <v>-1.11387707199299</v>
      </c>
      <c r="AE3939">
        <v>-12.832599999999999</v>
      </c>
      <c r="AF3939">
        <v>-1.3087590619871901</v>
      </c>
      <c r="AG3939">
        <v>-1.11387707199299</v>
      </c>
      <c r="AH3939">
        <v>13.137184578664399</v>
      </c>
      <c r="AI3939">
        <v>94.822650451726702</v>
      </c>
      <c r="AJ3939">
        <v>95.689176861932694</v>
      </c>
      <c r="AK3939">
        <v>13.2491203884538</v>
      </c>
      <c r="AL3939">
        <v>77.951799365951402</v>
      </c>
      <c r="AM3939">
        <v>96.737237843962404</v>
      </c>
      <c r="AN3939">
        <v>1.0000000317595199</v>
      </c>
    </row>
    <row r="3940" spans="1:40" x14ac:dyDescent="0.25">
      <c r="A3940" t="str">
        <f>"20190312172449182"</f>
        <v>20190312172449182</v>
      </c>
      <c r="B3940" t="str">
        <f>"1552382689174673"</f>
        <v>1552382689174673</v>
      </c>
      <c r="C3940" t="s">
        <v>40</v>
      </c>
      <c r="D3940">
        <v>4.2136649999999998</v>
      </c>
      <c r="E3940">
        <v>0.50535829999999904</v>
      </c>
      <c r="F3940" t="s">
        <v>43</v>
      </c>
      <c r="G3940">
        <v>-191.13470000000001</v>
      </c>
      <c r="H3940" s="1">
        <v>-3.8738110000000002E-6</v>
      </c>
      <c r="I3940">
        <v>167.14789999999999</v>
      </c>
      <c r="J3940">
        <v>-187.65100000000001</v>
      </c>
      <c r="K3940">
        <v>1.1141449999999999</v>
      </c>
      <c r="L3940">
        <v>180.2603</v>
      </c>
      <c r="M3940">
        <v>-0.35306579999999999</v>
      </c>
      <c r="N3940">
        <v>0</v>
      </c>
      <c r="O3940">
        <v>-0.93548180000000003</v>
      </c>
      <c r="P3940">
        <v>-0.23804239999999999</v>
      </c>
      <c r="Q3940">
        <v>0.1945489</v>
      </c>
      <c r="R3940">
        <v>-0.95157099999999994</v>
      </c>
      <c r="S3940">
        <v>-0.80221560000000003</v>
      </c>
      <c r="T3940">
        <v>-0.25169540000000001</v>
      </c>
      <c r="U3940">
        <v>-3.003952</v>
      </c>
      <c r="V3940">
        <v>-0.1150534</v>
      </c>
      <c r="W3940">
        <v>0.2079752</v>
      </c>
      <c r="X3940">
        <v>0.97134390000000004</v>
      </c>
      <c r="Y3940">
        <v>-0.10051209999999999</v>
      </c>
      <c r="Z3940">
        <v>7.4067359999999999E-2</v>
      </c>
      <c r="AA3940">
        <v>0.99217500000000003</v>
      </c>
      <c r="AB3940">
        <v>33</v>
      </c>
      <c r="AC3940">
        <v>-3.4837000000000198</v>
      </c>
      <c r="AD3940">
        <v>-1.1141488738109999</v>
      </c>
      <c r="AE3940">
        <v>-13.112399999999999</v>
      </c>
      <c r="AF3940">
        <v>-1.36156963706622</v>
      </c>
      <c r="AG3940">
        <v>-1.1141488738109999</v>
      </c>
      <c r="AH3940">
        <v>13.407444267468</v>
      </c>
      <c r="AI3940">
        <v>94.726126308385403</v>
      </c>
      <c r="AJ3940">
        <v>95.798693466063199</v>
      </c>
      <c r="AK3940">
        <v>13.522380018874401</v>
      </c>
      <c r="AL3940">
        <v>77.996279512081699</v>
      </c>
      <c r="AM3940">
        <v>96.755076739041996</v>
      </c>
      <c r="AN3940">
        <v>0.99999997036690402</v>
      </c>
    </row>
    <row r="3941" spans="1:40" x14ac:dyDescent="0.25">
      <c r="A3941" t="str">
        <f>"20190312172449194"</f>
        <v>20190312172449194</v>
      </c>
      <c r="B3941" t="str">
        <f>"1552382689183965"</f>
        <v>1552382689183965</v>
      </c>
      <c r="C3941" t="s">
        <v>40</v>
      </c>
      <c r="D3941">
        <v>4.2772420000000002</v>
      </c>
      <c r="E3941">
        <v>0.50523300000000004</v>
      </c>
      <c r="F3941" t="s">
        <v>43</v>
      </c>
      <c r="G3941">
        <v>-191.12309999999999</v>
      </c>
      <c r="H3941" s="1">
        <v>-3.8427880000000004E-6</v>
      </c>
      <c r="I3941">
        <v>167.08879999999999</v>
      </c>
      <c r="J3941">
        <v>-187.708</v>
      </c>
      <c r="K3941">
        <v>1.114347</v>
      </c>
      <c r="L3941">
        <v>180.10230000000001</v>
      </c>
      <c r="M3941">
        <v>-0.35058689999999998</v>
      </c>
      <c r="N3941">
        <v>0</v>
      </c>
      <c r="O3941">
        <v>-0.93641350000000001</v>
      </c>
      <c r="P3941">
        <v>-0.2358082</v>
      </c>
      <c r="Q3941">
        <v>0.19299949999999999</v>
      </c>
      <c r="R3941">
        <v>-0.95244180000000001</v>
      </c>
      <c r="S3941">
        <v>-0.79252619999999996</v>
      </c>
      <c r="T3941">
        <v>-0.25430659999999999</v>
      </c>
      <c r="U3941">
        <v>-3.006424</v>
      </c>
      <c r="V3941">
        <v>-0.11495850000000001</v>
      </c>
      <c r="W3941">
        <v>0.20636860000000001</v>
      </c>
      <c r="X3941">
        <v>0.9716977</v>
      </c>
      <c r="Y3941">
        <v>-0.10108399999999999</v>
      </c>
      <c r="Z3941">
        <v>7.4910980000000002E-2</v>
      </c>
      <c r="AA3941">
        <v>0.99205359999999998</v>
      </c>
      <c r="AB3941">
        <v>33</v>
      </c>
      <c r="AC3941">
        <v>-3.41509999999999</v>
      </c>
      <c r="AD3941">
        <v>-1.114350842788</v>
      </c>
      <c r="AE3941">
        <v>-13.013500000000001</v>
      </c>
      <c r="AF3941">
        <v>-1.3552687209071601</v>
      </c>
      <c r="AG3941">
        <v>-1.114350842788</v>
      </c>
      <c r="AH3941">
        <v>13.2935738537326</v>
      </c>
      <c r="AI3941">
        <v>94.767094603884004</v>
      </c>
      <c r="AJ3941">
        <v>95.821144719141898</v>
      </c>
      <c r="AK3941">
        <v>13.408864117118</v>
      </c>
      <c r="AL3941">
        <v>78.090371919818907</v>
      </c>
      <c r="AM3941">
        <v>96.747121458975798</v>
      </c>
      <c r="AN3941">
        <v>0.99999993798674802</v>
      </c>
    </row>
    <row r="3942" spans="1:40" x14ac:dyDescent="0.25">
      <c r="A3942" t="str">
        <f>"20190312172449208"</f>
        <v>20190312172449208</v>
      </c>
      <c r="B3942" t="str">
        <f>"1552382689204460"</f>
        <v>1552382689204460</v>
      </c>
      <c r="C3942" t="s">
        <v>40</v>
      </c>
      <c r="D3942">
        <v>4.3213660000000003</v>
      </c>
      <c r="E3942">
        <v>0.50504289999999996</v>
      </c>
      <c r="F3942" t="s">
        <v>43</v>
      </c>
      <c r="G3942">
        <v>-191.089</v>
      </c>
      <c r="H3942" s="1">
        <v>-3.8525629999999998E-6</v>
      </c>
      <c r="I3942">
        <v>167.12860000000001</v>
      </c>
      <c r="J3942">
        <v>-187.7714</v>
      </c>
      <c r="K3942">
        <v>1.114555</v>
      </c>
      <c r="L3942">
        <v>179.92519999999999</v>
      </c>
      <c r="M3942">
        <v>-0.34773110000000002</v>
      </c>
      <c r="N3942">
        <v>0</v>
      </c>
      <c r="O3942">
        <v>-0.93747809999999998</v>
      </c>
      <c r="P3942">
        <v>-0.23323569999999999</v>
      </c>
      <c r="Q3942">
        <v>0.19161880000000001</v>
      </c>
      <c r="R3942">
        <v>-0.95335369999999997</v>
      </c>
      <c r="S3942">
        <v>-0.78392030000000001</v>
      </c>
      <c r="T3942">
        <v>-0.25837369999999998</v>
      </c>
      <c r="U3942">
        <v>-3.0080719999999999</v>
      </c>
      <c r="V3942">
        <v>-0.1148087</v>
      </c>
      <c r="W3942">
        <v>0.20492949999999999</v>
      </c>
      <c r="X3942">
        <v>0.97202</v>
      </c>
      <c r="Y3942">
        <v>-0.1008669</v>
      </c>
      <c r="Z3942">
        <v>7.6218690000000006E-2</v>
      </c>
      <c r="AA3942">
        <v>0.99197610000000003</v>
      </c>
      <c r="AB3942">
        <v>33</v>
      </c>
      <c r="AC3942">
        <v>-3.3176000000000201</v>
      </c>
      <c r="AD3942">
        <v>-1.1145588525629999</v>
      </c>
      <c r="AE3942">
        <v>-12.7965999999999</v>
      </c>
      <c r="AF3942">
        <v>-1.33028833864551</v>
      </c>
      <c r="AG3942">
        <v>-1.1145588525629999</v>
      </c>
      <c r="AH3942">
        <v>13.0587722690998</v>
      </c>
      <c r="AI3942">
        <v>94.853343398679201</v>
      </c>
      <c r="AJ3942">
        <v>95.816617483098995</v>
      </c>
      <c r="AK3942">
        <v>13.1735887925794</v>
      </c>
      <c r="AL3942">
        <v>78.174628029786604</v>
      </c>
      <c r="AM3942">
        <v>96.736196556514003</v>
      </c>
      <c r="AN3942">
        <v>1.0000000089829699</v>
      </c>
    </row>
    <row r="3943" spans="1:40" x14ac:dyDescent="0.25">
      <c r="A3943" t="str">
        <f>"20190312172449226"</f>
        <v>20190312172449226</v>
      </c>
      <c r="B3943" t="str">
        <f>"1552382689214220"</f>
        <v>1552382689214220</v>
      </c>
      <c r="C3943" t="s">
        <v>40</v>
      </c>
      <c r="D3943">
        <v>4.2939509999999999</v>
      </c>
      <c r="E3943">
        <v>0.50494470000000002</v>
      </c>
      <c r="F3943" t="s">
        <v>43</v>
      </c>
      <c r="G3943">
        <v>-191.05350000000001</v>
      </c>
      <c r="H3943" s="1">
        <v>-3.8582949999999996E-6</v>
      </c>
      <c r="I3943">
        <v>167.16069999999999</v>
      </c>
      <c r="J3943">
        <v>-187.8612</v>
      </c>
      <c r="K3943">
        <v>1.114808</v>
      </c>
      <c r="L3943">
        <v>179.6711</v>
      </c>
      <c r="M3943">
        <v>-0.34346589999999999</v>
      </c>
      <c r="N3943">
        <v>0</v>
      </c>
      <c r="O3943">
        <v>-0.93904909999999997</v>
      </c>
      <c r="P3943">
        <v>-0.23006099999999999</v>
      </c>
      <c r="Q3943">
        <v>0.1887643</v>
      </c>
      <c r="R3943">
        <v>-0.95469360000000003</v>
      </c>
      <c r="S3943">
        <v>-0.77403259999999996</v>
      </c>
      <c r="T3943">
        <v>-0.26285059999999999</v>
      </c>
      <c r="U3943">
        <v>-3.010284</v>
      </c>
      <c r="V3943">
        <v>-0.1139225</v>
      </c>
      <c r="W3943">
        <v>0.202012</v>
      </c>
      <c r="X3943">
        <v>0.97273469999999995</v>
      </c>
      <c r="Y3943">
        <v>-9.960463E-2</v>
      </c>
      <c r="Z3943">
        <v>7.7707520000000002E-2</v>
      </c>
      <c r="AA3943">
        <v>0.99198810000000004</v>
      </c>
      <c r="AB3943">
        <v>33</v>
      </c>
      <c r="AC3943">
        <v>-3.1923000000000101</v>
      </c>
      <c r="AD3943">
        <v>-1.114811858295</v>
      </c>
      <c r="AE3943">
        <v>-12.510400000000001</v>
      </c>
      <c r="AF3943">
        <v>-1.28969588971736</v>
      </c>
      <c r="AG3943">
        <v>-1.114811858295</v>
      </c>
      <c r="AH3943">
        <v>12.750666010770599</v>
      </c>
      <c r="AI3943">
        <v>94.971520107553104</v>
      </c>
      <c r="AJ3943">
        <v>95.775672318460195</v>
      </c>
      <c r="AK3943">
        <v>12.8641208283182</v>
      </c>
      <c r="AL3943">
        <v>78.345359854139303</v>
      </c>
      <c r="AM3943">
        <v>96.679805658778804</v>
      </c>
      <c r="AN3943">
        <v>0.99999999036716902</v>
      </c>
    </row>
    <row r="3944" spans="1:40" x14ac:dyDescent="0.25">
      <c r="A3944" t="str">
        <f>"20190312172449247"</f>
        <v>20190312172449247</v>
      </c>
      <c r="B3944" t="str">
        <f>"1552382689244477"</f>
        <v>1552382689244477</v>
      </c>
      <c r="C3944" t="s">
        <v>40</v>
      </c>
      <c r="D3944">
        <v>4.3117140000000003</v>
      </c>
      <c r="E3944">
        <v>0.50484259999999903</v>
      </c>
      <c r="F3944" t="s">
        <v>43</v>
      </c>
      <c r="G3944">
        <v>-190.9768</v>
      </c>
      <c r="H3944" s="1">
        <v>-3.9103910000000003E-6</v>
      </c>
      <c r="I3944">
        <v>167.3141</v>
      </c>
      <c r="J3944">
        <v>-187.95959999999999</v>
      </c>
      <c r="K3944">
        <v>1.1150690000000001</v>
      </c>
      <c r="L3944">
        <v>179.3871</v>
      </c>
      <c r="M3944">
        <v>-0.33846910000000002</v>
      </c>
      <c r="N3944">
        <v>0</v>
      </c>
      <c r="O3944">
        <v>-0.94086170000000002</v>
      </c>
      <c r="P3944">
        <v>-0.2270414</v>
      </c>
      <c r="Q3944">
        <v>0.18757650000000001</v>
      </c>
      <c r="R3944">
        <v>-0.95565020000000001</v>
      </c>
      <c r="S3944">
        <v>-0.75970459999999995</v>
      </c>
      <c r="T3944">
        <v>-0.27183069999999998</v>
      </c>
      <c r="U3944">
        <v>-3.0130620000000001</v>
      </c>
      <c r="V3944">
        <v>-0.1120205</v>
      </c>
      <c r="W3944">
        <v>0.20077200000000001</v>
      </c>
      <c r="X3944">
        <v>0.97321219999999997</v>
      </c>
      <c r="Y3944">
        <v>-9.9022410000000005E-2</v>
      </c>
      <c r="Z3944">
        <v>8.0553109999999997E-2</v>
      </c>
      <c r="AA3944">
        <v>0.99181940000000002</v>
      </c>
      <c r="AB3944">
        <v>32</v>
      </c>
      <c r="AC3944">
        <v>-3.0171999999999999</v>
      </c>
      <c r="AD3944">
        <v>-1.115072910391</v>
      </c>
      <c r="AE3944">
        <v>-12.073</v>
      </c>
      <c r="AF3944">
        <v>-1.23776737216166</v>
      </c>
      <c r="AG3944">
        <v>-1.115072910391</v>
      </c>
      <c r="AH3944">
        <v>12.2829806587399</v>
      </c>
      <c r="AI3944">
        <v>95.161206752390299</v>
      </c>
      <c r="AJ3944">
        <v>95.754323434025494</v>
      </c>
      <c r="AK3944">
        <v>12.395445515432399</v>
      </c>
      <c r="AL3944">
        <v>78.417892737835203</v>
      </c>
      <c r="AM3944">
        <v>96.566070514120597</v>
      </c>
      <c r="AN3944">
        <v>0.99999998731654405</v>
      </c>
    </row>
    <row r="3945" spans="1:40" x14ac:dyDescent="0.25">
      <c r="A3945" t="str">
        <f>"20190312172449259"</f>
        <v>20190312172449259</v>
      </c>
      <c r="B3945" t="str">
        <f>"1552382689254237"</f>
        <v>1552382689254237</v>
      </c>
      <c r="C3945" t="s">
        <v>40</v>
      </c>
      <c r="D3945">
        <v>4.2912160000000004</v>
      </c>
      <c r="E3945">
        <v>0.50481589999999998</v>
      </c>
      <c r="F3945" t="s">
        <v>43</v>
      </c>
      <c r="G3945">
        <v>-190.9787</v>
      </c>
      <c r="H3945" s="1">
        <v>-3.8465630000000002E-6</v>
      </c>
      <c r="I3945">
        <v>167.178</v>
      </c>
      <c r="J3945">
        <v>-188.01419999999999</v>
      </c>
      <c r="K3945">
        <v>1.1152120000000001</v>
      </c>
      <c r="L3945">
        <v>179.22730000000001</v>
      </c>
      <c r="M3945">
        <v>-0.33557310000000001</v>
      </c>
      <c r="N3945">
        <v>0</v>
      </c>
      <c r="O3945">
        <v>-0.94189860000000003</v>
      </c>
      <c r="P3945">
        <v>-0.22534650000000001</v>
      </c>
      <c r="Q3945">
        <v>0.1869827</v>
      </c>
      <c r="R3945">
        <v>-0.95616800000000002</v>
      </c>
      <c r="S3945">
        <v>-0.74583440000000001</v>
      </c>
      <c r="T3945">
        <v>-0.2754644</v>
      </c>
      <c r="U3945">
        <v>-3.0160979999999999</v>
      </c>
      <c r="V3945">
        <v>-0.1108513</v>
      </c>
      <c r="W3945">
        <v>0.20015440000000001</v>
      </c>
      <c r="X3945">
        <v>0.97347329999999999</v>
      </c>
      <c r="Y3945">
        <v>-0.1005142</v>
      </c>
      <c r="Z3945">
        <v>8.1714480000000006E-2</v>
      </c>
      <c r="AA3945">
        <v>0.99157430000000002</v>
      </c>
      <c r="AB3945">
        <v>32</v>
      </c>
      <c r="AC3945">
        <v>-2.9645000000000099</v>
      </c>
      <c r="AD3945">
        <v>-1.115215846563</v>
      </c>
      <c r="AE3945">
        <v>-12.049300000000001</v>
      </c>
      <c r="AF3945">
        <v>-1.2412725429724101</v>
      </c>
      <c r="AG3945">
        <v>-1.115215846563</v>
      </c>
      <c r="AH3945">
        <v>12.2464499671655</v>
      </c>
      <c r="AI3945">
        <v>95.176876590544097</v>
      </c>
      <c r="AJ3945">
        <v>95.7876055220745</v>
      </c>
      <c r="AK3945">
        <v>12.3596116730522</v>
      </c>
      <c r="AL3945">
        <v>78.454012286245202</v>
      </c>
      <c r="AM3945">
        <v>96.496399191853499</v>
      </c>
      <c r="AN3945">
        <v>1.00000003018196</v>
      </c>
    </row>
    <row r="3946" spans="1:40" x14ac:dyDescent="0.25">
      <c r="A3946" t="str">
        <f>"20190312172449270"</f>
        <v>20190312172449270</v>
      </c>
      <c r="B3946" t="str">
        <f>"1552382689263997"</f>
        <v>1552382689263997</v>
      </c>
      <c r="C3946" t="s">
        <v>40</v>
      </c>
      <c r="D3946">
        <v>4.2605409999999999</v>
      </c>
      <c r="E3946">
        <v>0.50481589999999998</v>
      </c>
      <c r="F3946" t="s">
        <v>43</v>
      </c>
      <c r="G3946">
        <v>-190.97309999999999</v>
      </c>
      <c r="H3946" s="1">
        <v>-3.8338160000000001E-6</v>
      </c>
      <c r="I3946">
        <v>167.1542</v>
      </c>
      <c r="J3946">
        <v>-188.06790000000001</v>
      </c>
      <c r="K3946">
        <v>1.115343</v>
      </c>
      <c r="L3946">
        <v>179.06780000000001</v>
      </c>
      <c r="M3946">
        <v>-0.33259450000000002</v>
      </c>
      <c r="N3946">
        <v>0</v>
      </c>
      <c r="O3946">
        <v>-0.94295450000000003</v>
      </c>
      <c r="P3946">
        <v>-0.2239034</v>
      </c>
      <c r="Q3946">
        <v>0.1863785</v>
      </c>
      <c r="R3946">
        <v>-0.95662460000000005</v>
      </c>
      <c r="S3946">
        <v>-0.73957819999999996</v>
      </c>
      <c r="T3946">
        <v>-0.27875329999999998</v>
      </c>
      <c r="U3946">
        <v>-3.0177149999999999</v>
      </c>
      <c r="V3946">
        <v>-0.10933759999999999</v>
      </c>
      <c r="W3946">
        <v>0.1995353</v>
      </c>
      <c r="X3946">
        <v>0.97377150000000001</v>
      </c>
      <c r="Y3946">
        <v>-9.9453230000000004E-2</v>
      </c>
      <c r="Z3946">
        <v>8.2804139999999998E-2</v>
      </c>
      <c r="AA3946">
        <v>0.99159090000000005</v>
      </c>
      <c r="AB3946">
        <v>32</v>
      </c>
      <c r="AC3946">
        <v>-2.9051999999999798</v>
      </c>
      <c r="AD3946">
        <v>-1.115346833816</v>
      </c>
      <c r="AE3946">
        <v>-11.913600000000001</v>
      </c>
      <c r="AF3946">
        <v>-1.2130245833587601</v>
      </c>
      <c r="AG3946">
        <v>-1.115346833816</v>
      </c>
      <c r="AH3946">
        <v>12.1014529227901</v>
      </c>
      <c r="AI3946">
        <v>95.239755815646504</v>
      </c>
      <c r="AJ3946">
        <v>95.724090194314002</v>
      </c>
      <c r="AK3946">
        <v>12.2131318686912</v>
      </c>
      <c r="AL3946">
        <v>78.490213924451396</v>
      </c>
      <c r="AM3946">
        <v>96.4064862506754</v>
      </c>
      <c r="AN3946">
        <v>0.99999999046604904</v>
      </c>
    </row>
    <row r="3947" spans="1:40" x14ac:dyDescent="0.25">
      <c r="A3947" t="str">
        <f>"20190312172449284"</f>
        <v>20190312172449284</v>
      </c>
      <c r="B3947" t="str">
        <f>"1552382689274733"</f>
        <v>1552382689274733</v>
      </c>
      <c r="C3947" t="s">
        <v>40</v>
      </c>
      <c r="D3947">
        <v>4.3508149999999999</v>
      </c>
      <c r="E3947">
        <v>0.50557489999999905</v>
      </c>
      <c r="F3947" t="s">
        <v>43</v>
      </c>
      <c r="G3947">
        <v>-190.98689999999999</v>
      </c>
      <c r="H3947" s="1">
        <v>-3.7984610000000001E-6</v>
      </c>
      <c r="I3947">
        <v>167.07169999999999</v>
      </c>
      <c r="J3947">
        <v>-188.1277</v>
      </c>
      <c r="K3947">
        <v>1.1154919999999999</v>
      </c>
      <c r="L3947">
        <v>178.88900000000001</v>
      </c>
      <c r="M3947">
        <v>-0.32919979999999999</v>
      </c>
      <c r="N3947">
        <v>0</v>
      </c>
      <c r="O3947">
        <v>-0.94414509999999996</v>
      </c>
      <c r="P3947">
        <v>-0.22245329999999999</v>
      </c>
      <c r="Q3947">
        <v>0.1853736</v>
      </c>
      <c r="R3947">
        <v>-0.95715810000000001</v>
      </c>
      <c r="S3947">
        <v>-0.73454280000000005</v>
      </c>
      <c r="T3947">
        <v>-0.28067150000000002</v>
      </c>
      <c r="U3947">
        <v>-3.0187680000000001</v>
      </c>
      <c r="V3947">
        <v>-0.1074312</v>
      </c>
      <c r="W3947">
        <v>0.1985199</v>
      </c>
      <c r="X3947">
        <v>0.97419109999999998</v>
      </c>
      <c r="Y3947">
        <v>-9.7527730000000007E-2</v>
      </c>
      <c r="Z3947">
        <v>8.3524940000000006E-2</v>
      </c>
      <c r="AA3947">
        <v>0.99172170000000004</v>
      </c>
      <c r="AB3947">
        <v>32</v>
      </c>
      <c r="AC3947">
        <v>-2.85919999999998</v>
      </c>
      <c r="AD3947">
        <v>-1.1154957984610001</v>
      </c>
      <c r="AE3947">
        <v>-11.817299999999999</v>
      </c>
      <c r="AF3947">
        <v>-1.18094187170774</v>
      </c>
      <c r="AG3947">
        <v>-1.1154957984610001</v>
      </c>
      <c r="AH3947">
        <v>11.9988079650243</v>
      </c>
      <c r="AI3947">
        <v>95.285967817228993</v>
      </c>
      <c r="AJ3947">
        <v>95.621038929504394</v>
      </c>
      <c r="AK3947">
        <v>12.1082759781179</v>
      </c>
      <c r="AL3947">
        <v>78.549579346201</v>
      </c>
      <c r="AM3947">
        <v>96.292998268578401</v>
      </c>
      <c r="AN3947">
        <v>0.99999995637432904</v>
      </c>
    </row>
    <row r="3948" spans="1:40" x14ac:dyDescent="0.25">
      <c r="A3948" t="str">
        <f>"20190312172449295"</f>
        <v>20190312172449295</v>
      </c>
      <c r="B3948" t="str">
        <f>"1552382689284493"</f>
        <v>1552382689284493</v>
      </c>
      <c r="C3948" t="s">
        <v>40</v>
      </c>
      <c r="D3948">
        <v>4.4323399999999999</v>
      </c>
      <c r="E3948">
        <v>0.50483420000000001</v>
      </c>
      <c r="F3948" t="s">
        <v>43</v>
      </c>
      <c r="G3948">
        <v>-190.5753</v>
      </c>
      <c r="H3948" s="1">
        <v>-4.521278E-6</v>
      </c>
      <c r="I3948">
        <v>168.83250000000001</v>
      </c>
      <c r="J3948">
        <v>-188.18049999999999</v>
      </c>
      <c r="K3948">
        <v>1.1156269999999999</v>
      </c>
      <c r="L3948">
        <v>178.72799999999901</v>
      </c>
      <c r="M3948">
        <v>-0.32603779999999999</v>
      </c>
      <c r="N3948">
        <v>0</v>
      </c>
      <c r="O3948">
        <v>-0.94524129999999995</v>
      </c>
      <c r="P3948">
        <v>-0.2218551</v>
      </c>
      <c r="Q3948">
        <v>0.184027</v>
      </c>
      <c r="R3948">
        <v>-0.95755639999999997</v>
      </c>
      <c r="S3948">
        <v>-0.73698430000000004</v>
      </c>
      <c r="T3948">
        <v>-0.33587719999999999</v>
      </c>
      <c r="U3948">
        <v>-3.0280300000000002</v>
      </c>
      <c r="V3948">
        <v>-0.10490910000000001</v>
      </c>
      <c r="W3948">
        <v>0.19717750000000001</v>
      </c>
      <c r="X3948">
        <v>0.97473849999999995</v>
      </c>
      <c r="Y3948">
        <v>-9.4507519999999998E-2</v>
      </c>
      <c r="Z3948">
        <v>9.9670969999999998E-2</v>
      </c>
      <c r="AA3948">
        <v>0.99052209999999996</v>
      </c>
      <c r="AB3948">
        <v>32</v>
      </c>
      <c r="AC3948">
        <v>-2.3948</v>
      </c>
      <c r="AD3948">
        <v>-1.1156315212779999</v>
      </c>
      <c r="AE3948">
        <v>-9.89549999999997</v>
      </c>
      <c r="AF3948">
        <v>-0.951325348229771</v>
      </c>
      <c r="AG3948">
        <v>-1.1156315212779999</v>
      </c>
      <c r="AH3948">
        <v>10.0152796804782</v>
      </c>
      <c r="AI3948">
        <v>96.327892010830595</v>
      </c>
      <c r="AJ3948">
        <v>95.426096864209697</v>
      </c>
      <c r="AK3948">
        <v>10.122029474747301</v>
      </c>
      <c r="AL3948">
        <v>78.628044931226199</v>
      </c>
      <c r="AM3948">
        <v>96.142980105544098</v>
      </c>
      <c r="AN3948">
        <v>1.00000001457565</v>
      </c>
    </row>
    <row r="3949" spans="1:40" x14ac:dyDescent="0.25">
      <c r="A3949" t="str">
        <f>"20190312172449316"</f>
        <v>20190312172449316</v>
      </c>
      <c r="B3949" t="str">
        <f>"1552382689304012"</f>
        <v>1552382689304012</v>
      </c>
      <c r="C3949" t="s">
        <v>40</v>
      </c>
      <c r="D3949">
        <v>4.3342320000000001</v>
      </c>
      <c r="E3949">
        <v>0.50480179999999997</v>
      </c>
      <c r="F3949" t="s">
        <v>43</v>
      </c>
      <c r="G3949">
        <v>-190.5453</v>
      </c>
      <c r="H3949" s="1">
        <v>-4.5421899999999996E-6</v>
      </c>
      <c r="I3949">
        <v>168.89349999999999</v>
      </c>
      <c r="J3949">
        <v>-188.26949999999999</v>
      </c>
      <c r="K3949">
        <v>1.1158669999999999</v>
      </c>
      <c r="L3949">
        <v>178.45269999999999</v>
      </c>
      <c r="M3949">
        <v>-0.32046970000000002</v>
      </c>
      <c r="N3949">
        <v>0</v>
      </c>
      <c r="O3949">
        <v>-0.94714379999999998</v>
      </c>
      <c r="P3949">
        <v>-0.22172710000000001</v>
      </c>
      <c r="Q3949">
        <v>0.1814279</v>
      </c>
      <c r="R3949">
        <v>-0.95808210000000005</v>
      </c>
      <c r="S3949">
        <v>-0.728653</v>
      </c>
      <c r="T3949">
        <v>-0.34375230000000001</v>
      </c>
      <c r="U3949">
        <v>-3.0302120000000001</v>
      </c>
      <c r="V3949">
        <v>-9.9529900000000004E-2</v>
      </c>
      <c r="W3949">
        <v>0.194608</v>
      </c>
      <c r="X3949">
        <v>0.97581839999999997</v>
      </c>
      <c r="Y3949">
        <v>-9.1447490000000006E-2</v>
      </c>
      <c r="Z3949">
        <v>0.10226689999999999</v>
      </c>
      <c r="AA3949">
        <v>0.99054469999999994</v>
      </c>
      <c r="AB3949">
        <v>32</v>
      </c>
      <c r="AC3949">
        <v>-2.2757999999999998</v>
      </c>
      <c r="AD3949">
        <v>-1.1158715421899901</v>
      </c>
      <c r="AE3949">
        <v>-9.5592000000000006</v>
      </c>
      <c r="AF3949">
        <v>-0.89646254604564501</v>
      </c>
      <c r="AG3949">
        <v>-1.1158715421899901</v>
      </c>
      <c r="AH3949">
        <v>9.6597589584983901</v>
      </c>
      <c r="AI3949">
        <v>96.561512548637594</v>
      </c>
      <c r="AJ3949">
        <v>95.302080619352097</v>
      </c>
      <c r="AK3949">
        <v>9.7652320777041499</v>
      </c>
      <c r="AL3949">
        <v>78.778175179921007</v>
      </c>
      <c r="AM3949">
        <v>95.823819664536302</v>
      </c>
      <c r="AN3949">
        <v>1.0000000122182799</v>
      </c>
    </row>
    <row r="3950" spans="1:40" x14ac:dyDescent="0.25">
      <c r="A3950" t="str">
        <f>"20190312172449328"</f>
        <v>20190312172449328</v>
      </c>
      <c r="B3950" t="str">
        <f>"1552382689324510"</f>
        <v>1552382689324510</v>
      </c>
      <c r="C3950" t="s">
        <v>40</v>
      </c>
      <c r="D3950">
        <v>4.4624810000000004</v>
      </c>
      <c r="E3950">
        <v>0.50466849999999996</v>
      </c>
      <c r="F3950" t="s">
        <v>43</v>
      </c>
      <c r="G3950">
        <v>-190.5908</v>
      </c>
      <c r="H3950" s="1">
        <v>-4.4887849999999999E-6</v>
      </c>
      <c r="I3950">
        <v>168.755</v>
      </c>
      <c r="J3950">
        <v>-188.322</v>
      </c>
      <c r="K3950">
        <v>1.116009</v>
      </c>
      <c r="L3950">
        <v>178.28720000000001</v>
      </c>
      <c r="M3950">
        <v>-0.317003599999999</v>
      </c>
      <c r="N3950">
        <v>0</v>
      </c>
      <c r="O3950">
        <v>-0.94830930000000002</v>
      </c>
      <c r="P3950">
        <v>-0.22121109999999999</v>
      </c>
      <c r="Q3950">
        <v>0.1803689</v>
      </c>
      <c r="R3950">
        <v>-0.95840110000000001</v>
      </c>
      <c r="S3950">
        <v>-0.72514339999999999</v>
      </c>
      <c r="T3950">
        <v>-0.34858499999999998</v>
      </c>
      <c r="U3950">
        <v>-3.0294490000000001</v>
      </c>
      <c r="V3950">
        <v>-9.6598760000000006E-2</v>
      </c>
      <c r="W3950">
        <v>0.19356580000000001</v>
      </c>
      <c r="X3950">
        <v>0.97632010000000002</v>
      </c>
      <c r="Y3950">
        <v>-8.8874140000000004E-2</v>
      </c>
      <c r="Z3950">
        <v>0.1039316</v>
      </c>
      <c r="AA3950">
        <v>0.99060570000000003</v>
      </c>
      <c r="AB3950">
        <v>32</v>
      </c>
      <c r="AC3950">
        <v>-2.2688000000000001</v>
      </c>
      <c r="AD3950">
        <v>-1.116013488785</v>
      </c>
      <c r="AE3950">
        <v>-9.5322000000000102</v>
      </c>
      <c r="AF3950">
        <v>-0.85916704914981501</v>
      </c>
      <c r="AG3950">
        <v>-1.116013488785</v>
      </c>
      <c r="AH3950">
        <v>9.6347701566538095</v>
      </c>
      <c r="AI3950">
        <v>96.581347808233701</v>
      </c>
      <c r="AJ3950">
        <v>95.095791781592297</v>
      </c>
      <c r="AK3950">
        <v>9.7371684845771096</v>
      </c>
      <c r="AL3950">
        <v>78.839046081205197</v>
      </c>
      <c r="AM3950">
        <v>95.650550495709894</v>
      </c>
      <c r="AN3950">
        <v>0.99999998851359295</v>
      </c>
    </row>
    <row r="3951" spans="1:40" x14ac:dyDescent="0.25">
      <c r="A3951" t="str">
        <f>"20190312172449348"</f>
        <v>20190312172449348</v>
      </c>
      <c r="B3951" t="str">
        <f>"1552382689344029"</f>
        <v>1552382689344029</v>
      </c>
      <c r="C3951" t="s">
        <v>40</v>
      </c>
      <c r="D3951">
        <v>4.4627860000000004</v>
      </c>
      <c r="E3951">
        <v>0.50495299999999999</v>
      </c>
      <c r="F3951" t="s">
        <v>43</v>
      </c>
      <c r="G3951">
        <v>-190.57929999999999</v>
      </c>
      <c r="H3951" s="1">
        <v>-4.5054330000000004E-6</v>
      </c>
      <c r="I3951">
        <v>168.79669999999999</v>
      </c>
      <c r="J3951">
        <v>-188.40889999999999</v>
      </c>
      <c r="K3951">
        <v>1.116258</v>
      </c>
      <c r="L3951">
        <v>178.00790000000001</v>
      </c>
      <c r="M3951">
        <v>-0.31095660000000003</v>
      </c>
      <c r="N3951">
        <v>0</v>
      </c>
      <c r="O3951">
        <v>-0.95030899999999996</v>
      </c>
      <c r="P3951">
        <v>-0.2216767</v>
      </c>
      <c r="Q3951">
        <v>0.17842179999999999</v>
      </c>
      <c r="R3951">
        <v>-0.95865820000000002</v>
      </c>
      <c r="S3951">
        <v>-0.72090149999999997</v>
      </c>
      <c r="T3951">
        <v>-0.35641009999999901</v>
      </c>
      <c r="U3951">
        <v>-3.0308839999999999</v>
      </c>
      <c r="V3951">
        <v>-9.0093500000000007E-2</v>
      </c>
      <c r="W3951">
        <v>0.1916774</v>
      </c>
      <c r="X3951">
        <v>0.97731420000000002</v>
      </c>
      <c r="Y3951">
        <v>-8.401111E-2</v>
      </c>
      <c r="Z3951">
        <v>0.1065658</v>
      </c>
      <c r="AA3951">
        <v>0.99075009999999997</v>
      </c>
      <c r="AB3951">
        <v>32</v>
      </c>
      <c r="AC3951">
        <v>-2.1703999999999999</v>
      </c>
      <c r="AD3951">
        <v>-1.116262505433</v>
      </c>
      <c r="AE3951">
        <v>-9.2112000000000194</v>
      </c>
      <c r="AF3951">
        <v>-0.79081752659788995</v>
      </c>
      <c r="AG3951">
        <v>-1.116262505433</v>
      </c>
      <c r="AH3951">
        <v>9.3000229595604793</v>
      </c>
      <c r="AI3951">
        <v>96.819971617851607</v>
      </c>
      <c r="AJ3951">
        <v>94.860393168809495</v>
      </c>
      <c r="AK3951">
        <v>9.4000990095722905</v>
      </c>
      <c r="AL3951">
        <v>78.949309063413494</v>
      </c>
      <c r="AM3951">
        <v>95.266913339938199</v>
      </c>
      <c r="AN3951">
        <v>1.00000005496732</v>
      </c>
    </row>
    <row r="3952" spans="1:40" x14ac:dyDescent="0.25">
      <c r="A3952" t="str">
        <f>"20190312172449371"</f>
        <v>20190312172449371</v>
      </c>
      <c r="B3952" t="str">
        <f>"1552382689364055"</f>
        <v>1552382689364055</v>
      </c>
      <c r="C3952" t="s">
        <v>40</v>
      </c>
      <c r="D3952">
        <v>4.4305570000000003</v>
      </c>
      <c r="E3952">
        <v>0.50529429999999997</v>
      </c>
      <c r="F3952" t="s">
        <v>43</v>
      </c>
      <c r="G3952">
        <v>-190.67660000000001</v>
      </c>
      <c r="H3952" s="1">
        <v>-4.397568E-6</v>
      </c>
      <c r="I3952">
        <v>168.5137</v>
      </c>
      <c r="J3952">
        <v>-188.5042</v>
      </c>
      <c r="K3952">
        <v>1.1165430000000001</v>
      </c>
      <c r="L3952">
        <v>177.6925</v>
      </c>
      <c r="M3952">
        <v>-0.30381710000000001</v>
      </c>
      <c r="N3952">
        <v>0</v>
      </c>
      <c r="O3952">
        <v>-0.95261530000000005</v>
      </c>
      <c r="P3952">
        <v>-0.22124250000000001</v>
      </c>
      <c r="Q3952">
        <v>0.1787115</v>
      </c>
      <c r="R3952">
        <v>-0.95870440000000001</v>
      </c>
      <c r="S3952">
        <v>-0.72335819999999995</v>
      </c>
      <c r="T3952">
        <v>-0.35605589999999998</v>
      </c>
      <c r="U3952">
        <v>-3.0283660000000001</v>
      </c>
      <c r="V3952">
        <v>-8.3304450000000002E-2</v>
      </c>
      <c r="W3952">
        <v>0.19203120000000001</v>
      </c>
      <c r="X3952">
        <v>0.97784680000000002</v>
      </c>
      <c r="Y3952">
        <v>-7.5592359999999997E-2</v>
      </c>
      <c r="Z3952">
        <v>0.10696600000000001</v>
      </c>
      <c r="AA3952">
        <v>0.99138490000000001</v>
      </c>
      <c r="AB3952">
        <v>32</v>
      </c>
      <c r="AC3952">
        <v>-2.1724000000000099</v>
      </c>
      <c r="AD3952">
        <v>-1.116547397568</v>
      </c>
      <c r="AE3952">
        <v>-9.1787999999999901</v>
      </c>
      <c r="AF3952">
        <v>-0.70935403423185595</v>
      </c>
      <c r="AG3952">
        <v>-1.116547397568</v>
      </c>
      <c r="AH3952">
        <v>9.2749445515285096</v>
      </c>
      <c r="AI3952">
        <v>96.844617396896297</v>
      </c>
      <c r="AJ3952">
        <v>94.373505933640701</v>
      </c>
      <c r="AK3952">
        <v>9.3688023605381492</v>
      </c>
      <c r="AL3952">
        <v>78.928653376667697</v>
      </c>
      <c r="AM3952">
        <v>94.869368647936298</v>
      </c>
      <c r="AN3952">
        <v>0.99999998871674101</v>
      </c>
    </row>
    <row r="3953" spans="1:40" x14ac:dyDescent="0.25">
      <c r="A3953" t="str">
        <f>"20190312172449384"</f>
        <v>20190312172449384</v>
      </c>
      <c r="B3953" t="str">
        <f>"1552382689374793"</f>
        <v>1552382689374793</v>
      </c>
      <c r="C3953" t="s">
        <v>40</v>
      </c>
      <c r="D3953">
        <v>4.3481030000000001</v>
      </c>
      <c r="E3953">
        <v>0.50548329999999997</v>
      </c>
      <c r="F3953" t="s">
        <v>43</v>
      </c>
      <c r="G3953">
        <v>-190.821</v>
      </c>
      <c r="H3953" s="1">
        <v>-4.2051590000000003E-6</v>
      </c>
      <c r="I3953">
        <v>168.02539999999999</v>
      </c>
      <c r="J3953">
        <v>-188.55529999999999</v>
      </c>
      <c r="K3953">
        <v>1.1166990000000001</v>
      </c>
      <c r="L3953">
        <v>177.52010000000001</v>
      </c>
      <c r="M3953">
        <v>-0.29979210000000001</v>
      </c>
      <c r="N3953">
        <v>0</v>
      </c>
      <c r="O3953">
        <v>-0.9538896</v>
      </c>
      <c r="P3953">
        <v>-0.22137560000000001</v>
      </c>
      <c r="Q3953">
        <v>0.17943129999999999</v>
      </c>
      <c r="R3953">
        <v>-0.95853940000000004</v>
      </c>
      <c r="S3953">
        <v>-0.7254486</v>
      </c>
      <c r="T3953">
        <v>-0.3496165</v>
      </c>
      <c r="U3953">
        <v>-3.026993</v>
      </c>
      <c r="V3953">
        <v>-7.9069929999999997E-2</v>
      </c>
      <c r="W3953">
        <v>0.19279859999999999</v>
      </c>
      <c r="X3953">
        <v>0.97804740000000001</v>
      </c>
      <c r="Y3953">
        <v>-7.0587330000000004E-2</v>
      </c>
      <c r="Z3953">
        <v>0.105326</v>
      </c>
      <c r="AA3953">
        <v>0.99192939999999996</v>
      </c>
      <c r="AB3953">
        <v>32</v>
      </c>
      <c r="AC3953">
        <v>-2.2656999999999998</v>
      </c>
      <c r="AD3953">
        <v>-1.11670320515899</v>
      </c>
      <c r="AE3953">
        <v>-9.4947000000000195</v>
      </c>
      <c r="AF3953">
        <v>-0.67643065882417996</v>
      </c>
      <c r="AG3953">
        <v>-1.11670320515899</v>
      </c>
      <c r="AH3953">
        <v>9.6114117225387403</v>
      </c>
      <c r="AI3953">
        <v>96.610997728022596</v>
      </c>
      <c r="AJ3953">
        <v>94.0257170057168</v>
      </c>
      <c r="AK3953">
        <v>9.6996814269729992</v>
      </c>
      <c r="AL3953">
        <v>78.883847857537603</v>
      </c>
      <c r="AM3953">
        <v>94.6220069041144</v>
      </c>
      <c r="AN3953">
        <v>1.00000003531946</v>
      </c>
    </row>
    <row r="3954" spans="1:40" x14ac:dyDescent="0.25">
      <c r="A3954" t="str">
        <f>"20190312172449405"</f>
        <v>20190312172449405</v>
      </c>
      <c r="B3954" t="str">
        <f>"1552382689394311"</f>
        <v>1552382689394311</v>
      </c>
      <c r="C3954" t="s">
        <v>40</v>
      </c>
      <c r="D3954">
        <v>4.3589690000000001</v>
      </c>
      <c r="E3954">
        <v>0.5056427</v>
      </c>
      <c r="F3954" t="s">
        <v>41</v>
      </c>
      <c r="G3954">
        <v>-188.7808</v>
      </c>
      <c r="H3954">
        <v>1.010454</v>
      </c>
      <c r="I3954">
        <v>176.5829</v>
      </c>
      <c r="J3954">
        <v>-188.63560000000001</v>
      </c>
      <c r="K3954">
        <v>1.11694</v>
      </c>
      <c r="L3954">
        <v>177.24160000000001</v>
      </c>
      <c r="M3954">
        <v>-0.29306399999999999</v>
      </c>
      <c r="N3954">
        <v>0</v>
      </c>
      <c r="O3954">
        <v>-0.95597759999999998</v>
      </c>
      <c r="P3954">
        <v>-0.22254470000000001</v>
      </c>
      <c r="Q3954">
        <v>0.18095800000000001</v>
      </c>
      <c r="R3954">
        <v>-0.95798130000000004</v>
      </c>
      <c r="S3954">
        <v>-0.72763059999999902</v>
      </c>
      <c r="T3954">
        <v>-0.34359709999999899</v>
      </c>
      <c r="U3954">
        <v>-3.0260470000000002</v>
      </c>
      <c r="V3954">
        <v>-7.1012679999999995E-2</v>
      </c>
      <c r="W3954">
        <v>0.19443079999999999</v>
      </c>
      <c r="X3954">
        <v>0.97834239999999995</v>
      </c>
      <c r="Y3954">
        <v>-6.2771809999999997E-2</v>
      </c>
      <c r="Z3954">
        <v>0.1039278</v>
      </c>
      <c r="AA3954">
        <v>0.99260199999999998</v>
      </c>
      <c r="AB3954">
        <v>32</v>
      </c>
      <c r="AC3954">
        <v>-0.14519999999998801</v>
      </c>
      <c r="AD3954">
        <v>-0.106485999999999</v>
      </c>
      <c r="AE3954">
        <v>-0.65870000000001006</v>
      </c>
      <c r="AF3954">
        <v>-5.2920341346307097E-2</v>
      </c>
      <c r="AG3954">
        <v>-0.106485999999999</v>
      </c>
      <c r="AH3954">
        <v>0.655980290100317</v>
      </c>
      <c r="AI3954">
        <v>99.191109120821295</v>
      </c>
      <c r="AJ3954">
        <v>94.612272527217002</v>
      </c>
      <c r="AK3954">
        <v>0.66667081211367396</v>
      </c>
      <c r="AL3954">
        <v>78.788525495707503</v>
      </c>
      <c r="AM3954">
        <v>94.151515814691194</v>
      </c>
      <c r="AN3954">
        <v>0.99999999417359098</v>
      </c>
    </row>
    <row r="3955" spans="1:40" x14ac:dyDescent="0.25">
      <c r="A3955" t="str">
        <f>"20190312172449427"</f>
        <v>20190312172449427</v>
      </c>
      <c r="B3955" t="str">
        <f>"1552382689424567"</f>
        <v>1552382689424567</v>
      </c>
      <c r="C3955" t="s">
        <v>40</v>
      </c>
      <c r="D3955">
        <v>4.3377939999999997</v>
      </c>
      <c r="E3955">
        <v>0.50585009999999997</v>
      </c>
      <c r="F3955" t="s">
        <v>41</v>
      </c>
      <c r="G3955">
        <v>-188.8605</v>
      </c>
      <c r="H3955">
        <v>1.015118</v>
      </c>
      <c r="I3955">
        <v>176.3134</v>
      </c>
      <c r="J3955">
        <v>-188.7218</v>
      </c>
      <c r="K3955">
        <v>1.1171949999999999</v>
      </c>
      <c r="L3955">
        <v>176.93279999999999</v>
      </c>
      <c r="M3955">
        <v>-0.28530319999999998</v>
      </c>
      <c r="N3955">
        <v>0</v>
      </c>
      <c r="O3955">
        <v>-0.95832200000000001</v>
      </c>
      <c r="P3955">
        <v>-0.22168869999999999</v>
      </c>
      <c r="Q3955">
        <v>0.18195520000000001</v>
      </c>
      <c r="R3955">
        <v>-0.95799080000000003</v>
      </c>
      <c r="S3955">
        <v>-0.73237609999999997</v>
      </c>
      <c r="T3955">
        <v>-0.33182099999999998</v>
      </c>
      <c r="U3955">
        <v>-3.0241090000000002</v>
      </c>
      <c r="V3955">
        <v>-6.4016310000000007E-2</v>
      </c>
      <c r="W3955">
        <v>0.19552659999999999</v>
      </c>
      <c r="X3955">
        <v>0.9786068</v>
      </c>
      <c r="Y3955">
        <v>-5.2979480000000002E-2</v>
      </c>
      <c r="Z3955">
        <v>0.10085189999999999</v>
      </c>
      <c r="AA3955">
        <v>0.99348990000000004</v>
      </c>
      <c r="AB3955">
        <v>32</v>
      </c>
      <c r="AC3955">
        <v>-0.13869999999999999</v>
      </c>
      <c r="AD3955">
        <v>-0.102077</v>
      </c>
      <c r="AE3955">
        <v>-0.61939999999998396</v>
      </c>
      <c r="AF3955">
        <v>-4.2698115852813898E-2</v>
      </c>
      <c r="AG3955">
        <v>-0.102077</v>
      </c>
      <c r="AH3955">
        <v>0.61726243958263105</v>
      </c>
      <c r="AI3955">
        <v>99.368061606102998</v>
      </c>
      <c r="AJ3955">
        <v>93.957038099851005</v>
      </c>
      <c r="AK3955">
        <v>0.627101078252846</v>
      </c>
      <c r="AL3955">
        <v>78.724512313552196</v>
      </c>
      <c r="AM3955">
        <v>93.742714547295904</v>
      </c>
      <c r="AN3955">
        <v>1.0000000041299</v>
      </c>
    </row>
    <row r="3956" spans="1:40" x14ac:dyDescent="0.25">
      <c r="A3956" t="str">
        <f>"20190312172449448"</f>
        <v>20190312172449448</v>
      </c>
      <c r="B3956" t="str">
        <f>"1552382689444088"</f>
        <v>1552382689444088</v>
      </c>
      <c r="C3956" t="s">
        <v>40</v>
      </c>
      <c r="D3956">
        <v>4.3572759999999997</v>
      </c>
      <c r="E3956">
        <v>0.50588250000000001</v>
      </c>
      <c r="F3956" t="s">
        <v>41</v>
      </c>
      <c r="G3956">
        <v>-188.93819999999999</v>
      </c>
      <c r="H3956">
        <v>1.022167</v>
      </c>
      <c r="I3956">
        <v>176.03799999999899</v>
      </c>
      <c r="J3956">
        <v>-188.7998</v>
      </c>
      <c r="K3956">
        <v>1.117413</v>
      </c>
      <c r="L3956">
        <v>176.6438</v>
      </c>
      <c r="M3956">
        <v>-0.27779209999999999</v>
      </c>
      <c r="N3956">
        <v>0</v>
      </c>
      <c r="O3956">
        <v>-0.96052599999999999</v>
      </c>
      <c r="P3956">
        <v>-0.220411</v>
      </c>
      <c r="Q3956">
        <v>0.18232300000000001</v>
      </c>
      <c r="R3956">
        <v>-0.95821579999999995</v>
      </c>
      <c r="S3956">
        <v>-0.73098750000000001</v>
      </c>
      <c r="T3956">
        <v>-0.32131300000000002</v>
      </c>
      <c r="U3956">
        <v>-3.0234220000000001</v>
      </c>
      <c r="V3956">
        <v>-5.7733769999999997E-2</v>
      </c>
      <c r="W3956">
        <v>0.19599420000000001</v>
      </c>
      <c r="X3956">
        <v>0.978904</v>
      </c>
      <c r="Y3956">
        <v>-4.546886E-2</v>
      </c>
      <c r="Z3956">
        <v>9.8075700000000002E-2</v>
      </c>
      <c r="AA3956">
        <v>0.99413969999999896</v>
      </c>
      <c r="AB3956">
        <v>32</v>
      </c>
      <c r="AC3956">
        <v>-0.13839999999999</v>
      </c>
      <c r="AD3956">
        <v>-9.52459999999999E-2</v>
      </c>
      <c r="AE3956">
        <v>-0.60580000000001599</v>
      </c>
      <c r="AF3956">
        <v>-3.4542070079243301E-2</v>
      </c>
      <c r="AG3956">
        <v>-9.52459999999999E-2</v>
      </c>
      <c r="AH3956">
        <v>0.60616116792628905</v>
      </c>
      <c r="AI3956">
        <v>98.915630413318596</v>
      </c>
      <c r="AJ3956">
        <v>93.261470462983795</v>
      </c>
      <c r="AK3956">
        <v>0.61457002580920095</v>
      </c>
      <c r="AL3956">
        <v>78.697191910756104</v>
      </c>
      <c r="AM3956">
        <v>93.375278820887203</v>
      </c>
      <c r="AN3956">
        <v>0.99999997792402595</v>
      </c>
    </row>
    <row r="3957" spans="1:40" x14ac:dyDescent="0.25">
      <c r="A3957" t="str">
        <f>"20190312172449462"</f>
        <v>20190312172449462</v>
      </c>
      <c r="B3957" t="str">
        <f>"1552382689454825"</f>
        <v>1552382689454825</v>
      </c>
      <c r="C3957" t="s">
        <v>40</v>
      </c>
      <c r="D3957">
        <v>4.4022040000000002</v>
      </c>
      <c r="E3957">
        <v>0.50586520000000001</v>
      </c>
      <c r="F3957" t="s">
        <v>41</v>
      </c>
      <c r="G3957">
        <v>-189.01169999999999</v>
      </c>
      <c r="H3957">
        <v>1.024877</v>
      </c>
      <c r="I3957">
        <v>175.7647</v>
      </c>
      <c r="J3957">
        <v>-188.84649999999999</v>
      </c>
      <c r="K3957">
        <v>1.1175349999999999</v>
      </c>
      <c r="L3957">
        <v>176.46709999999999</v>
      </c>
      <c r="M3957">
        <v>-0.27310630000000002</v>
      </c>
      <c r="N3957">
        <v>0</v>
      </c>
      <c r="O3957">
        <v>-0.96186859999999996</v>
      </c>
      <c r="P3957">
        <v>-0.2185462</v>
      </c>
      <c r="Q3957">
        <v>0.18221119999999999</v>
      </c>
      <c r="R3957">
        <v>-0.95866419999999997</v>
      </c>
      <c r="S3957">
        <v>-0.72863769999999894</v>
      </c>
      <c r="T3957">
        <v>-0.31835720000000001</v>
      </c>
      <c r="U3957">
        <v>-3.0238040000000002</v>
      </c>
      <c r="V3957">
        <v>-5.4923779999999998E-2</v>
      </c>
      <c r="W3957">
        <v>0.19592960000000001</v>
      </c>
      <c r="X3957">
        <v>0.97907869999999997</v>
      </c>
      <c r="Y3957">
        <v>-4.1339269999999997E-2</v>
      </c>
      <c r="Z3957">
        <v>9.7392770000000004E-2</v>
      </c>
      <c r="AA3957">
        <v>0.99438709999999997</v>
      </c>
      <c r="AB3957">
        <v>32</v>
      </c>
      <c r="AC3957">
        <v>-0.16519999999999799</v>
      </c>
      <c r="AD3957">
        <v>-9.2657999999999893E-2</v>
      </c>
      <c r="AE3957">
        <v>-0.70239999999998204</v>
      </c>
      <c r="AF3957">
        <v>-3.2398579199678597E-2</v>
      </c>
      <c r="AG3957">
        <v>-9.2657999999999893E-2</v>
      </c>
      <c r="AH3957">
        <v>0.709120364662988</v>
      </c>
      <c r="AI3957">
        <v>97.436769127946704</v>
      </c>
      <c r="AJ3957">
        <v>92.615933661533006</v>
      </c>
      <c r="AK3957">
        <v>0.71588187885846599</v>
      </c>
      <c r="AL3957">
        <v>78.700967399873605</v>
      </c>
      <c r="AM3957">
        <v>93.210779678146196</v>
      </c>
      <c r="AN3957">
        <v>1.0000000652796599</v>
      </c>
    </row>
    <row r="3958" spans="1:40" x14ac:dyDescent="0.25">
      <c r="A3958" t="str">
        <f>"20190312172449473"</f>
        <v>20190312172449473</v>
      </c>
      <c r="B3958" t="str">
        <f>"1552382689464117"</f>
        <v>1552382689464117</v>
      </c>
      <c r="C3958" t="s">
        <v>40</v>
      </c>
      <c r="D3958">
        <v>4.4410980000000002</v>
      </c>
      <c r="E3958">
        <v>0.50576999999999905</v>
      </c>
      <c r="F3958" t="s">
        <v>41</v>
      </c>
      <c r="G3958">
        <v>-189.07830000000001</v>
      </c>
      <c r="H3958">
        <v>1.0153209999999999</v>
      </c>
      <c r="I3958">
        <v>175.49789999999999</v>
      </c>
      <c r="J3958">
        <v>-188.89070000000001</v>
      </c>
      <c r="K3958">
        <v>1.117637</v>
      </c>
      <c r="L3958">
        <v>176.29400000000001</v>
      </c>
      <c r="M3958">
        <v>-0.2684125</v>
      </c>
      <c r="N3958">
        <v>0</v>
      </c>
      <c r="O3958">
        <v>-0.96318859999999995</v>
      </c>
      <c r="P3958">
        <v>-0.21584780000000001</v>
      </c>
      <c r="Q3958">
        <v>0.18255099999999999</v>
      </c>
      <c r="R3958">
        <v>-0.95921060000000002</v>
      </c>
      <c r="S3958">
        <v>-0.72344969999999997</v>
      </c>
      <c r="T3958">
        <v>-0.31911050000000002</v>
      </c>
      <c r="U3958">
        <v>-3.0250849999999998</v>
      </c>
      <c r="V3958">
        <v>-5.2940599999999997E-2</v>
      </c>
      <c r="W3958">
        <v>0.1963046</v>
      </c>
      <c r="X3958">
        <v>0.97911269999999995</v>
      </c>
      <c r="Y3958">
        <v>-3.8183290000000002E-2</v>
      </c>
      <c r="Z3958">
        <v>9.7807270000000002E-2</v>
      </c>
      <c r="AA3958">
        <v>0.99447260000000004</v>
      </c>
      <c r="AB3958">
        <v>32</v>
      </c>
      <c r="AC3958">
        <v>-0.18760000000000299</v>
      </c>
      <c r="AD3958">
        <v>-0.102316</v>
      </c>
      <c r="AE3958">
        <v>-0.79610000000002401</v>
      </c>
      <c r="AF3958">
        <v>-3.2484338688070602E-2</v>
      </c>
      <c r="AG3958">
        <v>-0.102316</v>
      </c>
      <c r="AH3958">
        <v>0.80464775773449304</v>
      </c>
      <c r="AI3958">
        <v>97.240792364934293</v>
      </c>
      <c r="AJ3958">
        <v>92.311825684633803</v>
      </c>
      <c r="AK3958">
        <v>0.81177694605300799</v>
      </c>
      <c r="AL3958">
        <v>78.679054551358504</v>
      </c>
      <c r="AM3958">
        <v>93.094967649623598</v>
      </c>
      <c r="AN3958">
        <v>0.99999994120540303</v>
      </c>
    </row>
    <row r="3959" spans="1:40" x14ac:dyDescent="0.25">
      <c r="A3959" t="str">
        <f>"20190312172449494"</f>
        <v>20190312172449494</v>
      </c>
      <c r="B3959" t="str">
        <f>"1552382689484612"</f>
        <v>1552382689484612</v>
      </c>
      <c r="C3959" t="s">
        <v>40</v>
      </c>
      <c r="D3959">
        <v>4.419314</v>
      </c>
      <c r="E3959">
        <v>0.50560399999999905</v>
      </c>
      <c r="F3959" t="s">
        <v>41</v>
      </c>
      <c r="G3959">
        <v>-189.08320000000001</v>
      </c>
      <c r="H3959">
        <v>1.031819</v>
      </c>
      <c r="I3959">
        <v>175.4794</v>
      </c>
      <c r="J3959">
        <v>-188.95859999999999</v>
      </c>
      <c r="K3959">
        <v>1.11778</v>
      </c>
      <c r="L3959">
        <v>176.0224</v>
      </c>
      <c r="M3959">
        <v>-0.26095279999999998</v>
      </c>
      <c r="N3959">
        <v>0</v>
      </c>
      <c r="O3959">
        <v>-0.96523610000000004</v>
      </c>
      <c r="P3959">
        <v>-0.2116403</v>
      </c>
      <c r="Q3959">
        <v>0.18081449999999999</v>
      </c>
      <c r="R3959">
        <v>-0.96047669999999996</v>
      </c>
      <c r="S3959">
        <v>-0.71521000000000001</v>
      </c>
      <c r="T3959">
        <v>-0.31905040000000001</v>
      </c>
      <c r="U3959">
        <v>-3.0273439999999998</v>
      </c>
      <c r="V3959">
        <v>-4.9780129999999999E-2</v>
      </c>
      <c r="W3959">
        <v>0.19463279999999999</v>
      </c>
      <c r="X3959">
        <v>0.97961220000000004</v>
      </c>
      <c r="Y3959">
        <v>-3.3185489999999998E-2</v>
      </c>
      <c r="Z3959">
        <v>9.8069279999999995E-2</v>
      </c>
      <c r="AA3959">
        <v>0.99462609999999996</v>
      </c>
      <c r="AB3959">
        <v>32</v>
      </c>
      <c r="AC3959">
        <v>-0.124600000000015</v>
      </c>
      <c r="AD3959">
        <v>-8.5960999999999899E-2</v>
      </c>
      <c r="AE3959">
        <v>-0.54300000000000603</v>
      </c>
      <c r="AF3959">
        <v>-2.0932975174875301E-2</v>
      </c>
      <c r="AG3959">
        <v>-8.5960999999999899E-2</v>
      </c>
      <c r="AH3959">
        <v>0.54375443094864995</v>
      </c>
      <c r="AI3959">
        <v>98.976883791945895</v>
      </c>
      <c r="AJ3959">
        <v>92.204633356279402</v>
      </c>
      <c r="AK3959">
        <v>0.55090504095257797</v>
      </c>
      <c r="AL3959">
        <v>78.776726693269197</v>
      </c>
      <c r="AM3959">
        <v>92.909049208639402</v>
      </c>
      <c r="AN3959">
        <v>1.00000002528374</v>
      </c>
    </row>
    <row r="3960" spans="1:40" x14ac:dyDescent="0.25">
      <c r="A3960" t="str">
        <f>"20190312172449506"</f>
        <v>20190312172449506</v>
      </c>
      <c r="B3960" t="str">
        <f>"1552382689494372"</f>
        <v>1552382689494372</v>
      </c>
      <c r="C3960" t="s">
        <v>40</v>
      </c>
      <c r="D3960">
        <v>4.9035019999999996</v>
      </c>
      <c r="E3960">
        <v>0.50560870000000002</v>
      </c>
      <c r="F3960" t="s">
        <v>41</v>
      </c>
      <c r="G3960">
        <v>-189.14529999999999</v>
      </c>
      <c r="H3960">
        <v>1.0306770000000001</v>
      </c>
      <c r="I3960">
        <v>175.2132</v>
      </c>
      <c r="J3960">
        <v>-188.99760000000001</v>
      </c>
      <c r="K3960">
        <v>1.1178539999999999</v>
      </c>
      <c r="L3960">
        <v>175.8623</v>
      </c>
      <c r="M3960">
        <v>-0.25650269999999997</v>
      </c>
      <c r="N3960">
        <v>0</v>
      </c>
      <c r="O3960">
        <v>-0.96642790000000001</v>
      </c>
      <c r="P3960">
        <v>-0.20810319999999999</v>
      </c>
      <c r="Q3960">
        <v>0.17864669999999999</v>
      </c>
      <c r="R3960">
        <v>-0.96165409999999996</v>
      </c>
      <c r="S3960">
        <v>-0.69895940000000001</v>
      </c>
      <c r="T3960">
        <v>-0.32645020000000002</v>
      </c>
      <c r="U3960">
        <v>-3.0308989999999998</v>
      </c>
      <c r="V3960">
        <v>-4.897398E-2</v>
      </c>
      <c r="W3960">
        <v>0.1924874</v>
      </c>
      <c r="X3960">
        <v>0.98007659999999996</v>
      </c>
      <c r="Y3960">
        <v>-3.3952820000000002E-2</v>
      </c>
      <c r="Z3960">
        <v>0.1004488</v>
      </c>
      <c r="AA3960">
        <v>0.99436270000000004</v>
      </c>
      <c r="AB3960">
        <v>32</v>
      </c>
      <c r="AC3960">
        <v>-0.14769999999998601</v>
      </c>
      <c r="AD3960">
        <v>-8.7177000000000004E-2</v>
      </c>
      <c r="AE3960">
        <v>-0.64910000000000401</v>
      </c>
      <c r="AF3960">
        <v>-2.3356597509840499E-2</v>
      </c>
      <c r="AG3960">
        <v>-8.7177000000000004E-2</v>
      </c>
      <c r="AH3960">
        <v>0.65405134537674403</v>
      </c>
      <c r="AI3960">
        <v>97.587294553855898</v>
      </c>
      <c r="AJ3960">
        <v>92.045200341045401</v>
      </c>
      <c r="AK3960">
        <v>0.66024883367209697</v>
      </c>
      <c r="AL3960">
        <v>78.902018219178302</v>
      </c>
      <c r="AM3960">
        <v>92.860664528930997</v>
      </c>
      <c r="AN3960">
        <v>0.99999999587167998</v>
      </c>
    </row>
    <row r="3961" spans="1:40" x14ac:dyDescent="0.25">
      <c r="A3961" t="str">
        <f>"20190312172449517"</f>
        <v>20190312172449517</v>
      </c>
      <c r="B3961" t="str">
        <f>"1552382689514867"</f>
        <v>1552382689514867</v>
      </c>
      <c r="C3961" t="s">
        <v>40</v>
      </c>
      <c r="D3961">
        <v>4.3951739999999999</v>
      </c>
      <c r="E3961">
        <v>0.50554690000000002</v>
      </c>
      <c r="F3961" t="s">
        <v>41</v>
      </c>
      <c r="G3961">
        <v>-189.2047</v>
      </c>
      <c r="H3961">
        <v>1.0181910000000001</v>
      </c>
      <c r="I3961">
        <v>174.94749999999999</v>
      </c>
      <c r="J3961">
        <v>-189.03819999999999</v>
      </c>
      <c r="K3961">
        <v>1.117918</v>
      </c>
      <c r="L3961">
        <v>175.69210000000001</v>
      </c>
      <c r="M3961">
        <v>-0.25172870000000003</v>
      </c>
      <c r="N3961">
        <v>0</v>
      </c>
      <c r="O3961">
        <v>-0.96768220000000005</v>
      </c>
      <c r="P3961">
        <v>-0.20483019999999999</v>
      </c>
      <c r="Q3961">
        <v>0.17654700000000001</v>
      </c>
      <c r="R3961">
        <v>-0.96274389999999999</v>
      </c>
      <c r="S3961">
        <v>-0.68569950000000002</v>
      </c>
      <c r="T3961">
        <v>-0.33091199999999998</v>
      </c>
      <c r="U3961">
        <v>-3.0327299999999999</v>
      </c>
      <c r="V3961">
        <v>-4.756059E-2</v>
      </c>
      <c r="W3961">
        <v>0.19042200000000001</v>
      </c>
      <c r="X3961">
        <v>0.98054960000000002</v>
      </c>
      <c r="Y3961">
        <v>-3.3316930000000002E-2</v>
      </c>
      <c r="Z3961">
        <v>0.1019939</v>
      </c>
      <c r="AA3961">
        <v>0.99422690000000002</v>
      </c>
      <c r="AB3961">
        <v>32</v>
      </c>
      <c r="AC3961">
        <v>-0.166500000000013</v>
      </c>
      <c r="AD3961">
        <v>-9.9726999999999899E-2</v>
      </c>
      <c r="AE3961">
        <v>-0.74460000000001902</v>
      </c>
      <c r="AF3961">
        <v>-2.58789337940495E-2</v>
      </c>
      <c r="AG3961">
        <v>-9.9726999999999899E-2</v>
      </c>
      <c r="AH3961">
        <v>0.74972601614213596</v>
      </c>
      <c r="AI3961">
        <v>97.5724293206939</v>
      </c>
      <c r="AJ3961">
        <v>91.976942485425695</v>
      </c>
      <c r="AK3961">
        <v>0.75677228610968295</v>
      </c>
      <c r="AL3961">
        <v>79.022587711984201</v>
      </c>
      <c r="AM3961">
        <v>92.776898886588398</v>
      </c>
      <c r="AN3961">
        <v>1.0000000329326499</v>
      </c>
    </row>
    <row r="3962" spans="1:40" x14ac:dyDescent="0.25">
      <c r="A3962" t="str">
        <f>"20190312172449530"</f>
        <v>20190312172449530</v>
      </c>
      <c r="B3962" t="str">
        <f>"1552382689524628"</f>
        <v>1552382689524628</v>
      </c>
      <c r="C3962" t="s">
        <v>40</v>
      </c>
      <c r="D3962">
        <v>4.3958069999999996</v>
      </c>
      <c r="E3962">
        <v>0.50551040000000003</v>
      </c>
      <c r="F3962" t="s">
        <v>41</v>
      </c>
      <c r="G3962">
        <v>-189.2073</v>
      </c>
      <c r="H3962">
        <v>1.033534</v>
      </c>
      <c r="I3962">
        <v>174.92949999999999</v>
      </c>
      <c r="J3962">
        <v>-189.07740000000001</v>
      </c>
      <c r="K3962">
        <v>1.117964</v>
      </c>
      <c r="L3962">
        <v>175.52260000000001</v>
      </c>
      <c r="M3962">
        <v>-0.2469442</v>
      </c>
      <c r="N3962">
        <v>0</v>
      </c>
      <c r="O3962">
        <v>-0.96891400000000005</v>
      </c>
      <c r="P3962">
        <v>-0.2016425</v>
      </c>
      <c r="Q3962">
        <v>0.174846</v>
      </c>
      <c r="R3962">
        <v>-0.96372690000000005</v>
      </c>
      <c r="S3962">
        <v>-0.67245480000000002</v>
      </c>
      <c r="T3962">
        <v>-0.33639429999999998</v>
      </c>
      <c r="U3962">
        <v>-3.034729</v>
      </c>
      <c r="V3962">
        <v>-4.602937E-2</v>
      </c>
      <c r="W3962">
        <v>0.1887577</v>
      </c>
      <c r="X3962">
        <v>0.98094429999999999</v>
      </c>
      <c r="Y3962">
        <v>-3.2692770000000003E-2</v>
      </c>
      <c r="Z3962">
        <v>0.103844699999999</v>
      </c>
      <c r="AA3962">
        <v>0.99405600000000005</v>
      </c>
      <c r="AB3962">
        <v>32</v>
      </c>
      <c r="AC3962">
        <v>-0.12989999999999199</v>
      </c>
      <c r="AD3962">
        <v>-8.4429999999999894E-2</v>
      </c>
      <c r="AE3962">
        <v>-0.59310000000002105</v>
      </c>
      <c r="AF3962">
        <v>-2.02121440447811E-2</v>
      </c>
      <c r="AG3962">
        <v>-8.4429999999999894E-2</v>
      </c>
      <c r="AH3962">
        <v>0.59529770420009898</v>
      </c>
      <c r="AI3962">
        <v>98.067731205985197</v>
      </c>
      <c r="AJ3962">
        <v>91.944616681212693</v>
      </c>
      <c r="AK3962">
        <v>0.60159480740178894</v>
      </c>
      <c r="AL3962">
        <v>79.119705536255196</v>
      </c>
      <c r="AM3962">
        <v>92.686549662521202</v>
      </c>
      <c r="AN3962">
        <v>0.999999945957187</v>
      </c>
    </row>
    <row r="3963" spans="1:40" x14ac:dyDescent="0.25">
      <c r="A3963" t="str">
        <f>"20190312172449549"</f>
        <v>20190312172449549</v>
      </c>
      <c r="B3963" t="str">
        <f>"1552382689544148"</f>
        <v>1552382689544148</v>
      </c>
      <c r="C3963" t="s">
        <v>40</v>
      </c>
      <c r="D3963">
        <v>4.3721030000000001</v>
      </c>
      <c r="E3963">
        <v>0.50547540000000002</v>
      </c>
      <c r="F3963" t="s">
        <v>41</v>
      </c>
      <c r="G3963">
        <v>-189.2627</v>
      </c>
      <c r="H3963">
        <v>1.021827</v>
      </c>
      <c r="I3963">
        <v>174.6705</v>
      </c>
      <c r="J3963">
        <v>-189.13409999999999</v>
      </c>
      <c r="K3963">
        <v>1.118009</v>
      </c>
      <c r="L3963">
        <v>175.27180000000001</v>
      </c>
      <c r="M3963">
        <v>-0.23983670000000001</v>
      </c>
      <c r="N3963">
        <v>0</v>
      </c>
      <c r="O3963">
        <v>-0.97069780000000006</v>
      </c>
      <c r="P3963">
        <v>-0.19857230000000001</v>
      </c>
      <c r="Q3963">
        <v>0.17123529999999901</v>
      </c>
      <c r="R3963">
        <v>-0.96501210000000004</v>
      </c>
      <c r="S3963">
        <v>-0.6604004</v>
      </c>
      <c r="T3963">
        <v>-0.34266029999999997</v>
      </c>
      <c r="U3963">
        <v>-3.0369109999999999</v>
      </c>
      <c r="V3963">
        <v>-4.2072470000000001E-2</v>
      </c>
      <c r="W3963">
        <v>0.18523510000000001</v>
      </c>
      <c r="X3963">
        <v>0.98179320000000003</v>
      </c>
      <c r="Y3963">
        <v>-2.9330970000000001E-2</v>
      </c>
      <c r="Z3963">
        <v>0.1060234</v>
      </c>
      <c r="AA3963">
        <v>0.99393089999999995</v>
      </c>
      <c r="AB3963">
        <v>32</v>
      </c>
      <c r="AC3963">
        <v>-0.12860000000000499</v>
      </c>
      <c r="AD3963">
        <v>-9.6182000000000004E-2</v>
      </c>
      <c r="AE3963">
        <v>-0.60130000000000905</v>
      </c>
      <c r="AF3963">
        <v>-1.8921295150069E-2</v>
      </c>
      <c r="AG3963">
        <v>-9.6182000000000004E-2</v>
      </c>
      <c r="AH3963">
        <v>0.59991434267966504</v>
      </c>
      <c r="AI3963">
        <v>99.104049352370694</v>
      </c>
      <c r="AJ3963">
        <v>91.806509716002395</v>
      </c>
      <c r="AK3963">
        <v>0.60787022553085301</v>
      </c>
      <c r="AL3963">
        <v>79.325160577326002</v>
      </c>
      <c r="AM3963">
        <v>92.453776450545504</v>
      </c>
      <c r="AN3963">
        <v>1.00000001128507</v>
      </c>
    </row>
    <row r="3964" spans="1:40" x14ac:dyDescent="0.25">
      <c r="A3964" t="str">
        <f>"20190312172449572"</f>
        <v>20190312172449572</v>
      </c>
      <c r="B3964" t="str">
        <f>"1552382689564174"</f>
        <v>1552382689564174</v>
      </c>
      <c r="C3964" t="s">
        <v>40</v>
      </c>
      <c r="D3964">
        <v>4.4184929999999998</v>
      </c>
      <c r="E3964">
        <v>0.50555159999999999</v>
      </c>
      <c r="F3964" t="s">
        <v>41</v>
      </c>
      <c r="G3964">
        <v>-189.32060000000001</v>
      </c>
      <c r="H3964">
        <v>1.0175989999999999</v>
      </c>
      <c r="I3964">
        <v>174.39789999999999</v>
      </c>
      <c r="J3964">
        <v>-189.20529999999999</v>
      </c>
      <c r="K3964">
        <v>1.118026</v>
      </c>
      <c r="L3964">
        <v>174.94329999999999</v>
      </c>
      <c r="M3964">
        <v>-0.23050129999999999</v>
      </c>
      <c r="N3964">
        <v>0</v>
      </c>
      <c r="O3964">
        <v>-0.97295659999999895</v>
      </c>
      <c r="P3964">
        <v>-0.19653989999999999</v>
      </c>
      <c r="Q3964">
        <v>0.17108699999999999</v>
      </c>
      <c r="R3964">
        <v>-0.96545449999999999</v>
      </c>
      <c r="S3964">
        <v>-0.64784240000000004</v>
      </c>
      <c r="T3964">
        <v>-0.34928799999999999</v>
      </c>
      <c r="U3964">
        <v>-3.037445</v>
      </c>
      <c r="V3964">
        <v>-3.4711510000000001E-2</v>
      </c>
      <c r="W3964">
        <v>0.18523229999999999</v>
      </c>
      <c r="X3964">
        <v>0.98208150000000005</v>
      </c>
      <c r="Y3964">
        <v>-2.3745490000000001E-2</v>
      </c>
      <c r="Z3964">
        <v>0.108461</v>
      </c>
      <c r="AA3964">
        <v>0.99381710000000001</v>
      </c>
      <c r="AB3964">
        <v>32</v>
      </c>
      <c r="AC3964">
        <v>-0.115300000000019</v>
      </c>
      <c r="AD3964">
        <v>-0.100427</v>
      </c>
      <c r="AE3964">
        <v>-0.5454</v>
      </c>
      <c r="AF3964">
        <v>-1.3109561454991999E-2</v>
      </c>
      <c r="AG3964">
        <v>-0.100427</v>
      </c>
      <c r="AH3964">
        <v>0.53977159509831196</v>
      </c>
      <c r="AI3964">
        <v>100.536595320525</v>
      </c>
      <c r="AJ3964">
        <v>91.391282745331196</v>
      </c>
      <c r="AK3964">
        <v>0.54919105765254295</v>
      </c>
      <c r="AL3964">
        <v>79.325323528084297</v>
      </c>
      <c r="AM3964">
        <v>92.024267293233393</v>
      </c>
      <c r="AN3964">
        <v>0.99999998326600903</v>
      </c>
    </row>
    <row r="3965" spans="1:40" x14ac:dyDescent="0.25">
      <c r="A3965" t="str">
        <f>"20190312172449584"</f>
        <v>20190312172449584</v>
      </c>
      <c r="B3965" t="str">
        <f>"1552382689574910"</f>
        <v>1552382689574910</v>
      </c>
      <c r="C3965" t="s">
        <v>40</v>
      </c>
      <c r="D3965">
        <v>4.5503970000000002</v>
      </c>
      <c r="E3965">
        <v>0.50547520000000001</v>
      </c>
      <c r="F3965" t="s">
        <v>41</v>
      </c>
      <c r="G3965">
        <v>-189.3793</v>
      </c>
      <c r="H3965">
        <v>1.0238050000000001</v>
      </c>
      <c r="I3965">
        <v>174.1207</v>
      </c>
      <c r="J3965">
        <v>-189.24100000000001</v>
      </c>
      <c r="K3965">
        <v>1.1180270000000001</v>
      </c>
      <c r="L3965">
        <v>174.7732</v>
      </c>
      <c r="M3965">
        <v>-0.22567590000000001</v>
      </c>
      <c r="N3965">
        <v>0</v>
      </c>
      <c r="O3965">
        <v>-0.97408689999999998</v>
      </c>
      <c r="P3965">
        <v>-0.19602220000000001</v>
      </c>
      <c r="Q3965">
        <v>0.1715256</v>
      </c>
      <c r="R3965">
        <v>-0.96548140000000005</v>
      </c>
      <c r="S3965">
        <v>-0.64276119999999903</v>
      </c>
      <c r="T3965">
        <v>-0.3481243</v>
      </c>
      <c r="U3965">
        <v>-3.038208</v>
      </c>
      <c r="V3965">
        <v>-3.0351610000000001E-2</v>
      </c>
      <c r="W3965">
        <v>0.18575469999999999</v>
      </c>
      <c r="X3965">
        <v>0.98212719999999998</v>
      </c>
      <c r="Y3965">
        <v>-2.0425949999999998E-2</v>
      </c>
      <c r="Z3965">
        <v>0.1082882</v>
      </c>
      <c r="AA3965">
        <v>0.99390970000000001</v>
      </c>
      <c r="AB3965">
        <v>32</v>
      </c>
      <c r="AC3965">
        <v>-0.13830000000001499</v>
      </c>
      <c r="AD3965">
        <v>-9.4222000000000194E-2</v>
      </c>
      <c r="AE3965">
        <v>-0.65250000000000297</v>
      </c>
      <c r="AF3965">
        <v>-1.22933990796564E-2</v>
      </c>
      <c r="AG3965">
        <v>-9.4222000000000194E-2</v>
      </c>
      <c r="AH3965">
        <v>0.65383034674325602</v>
      </c>
      <c r="AI3965">
        <v>98.198880318376197</v>
      </c>
      <c r="AJ3965">
        <v>91.077155415787203</v>
      </c>
      <c r="AK3965">
        <v>0.66069889909650903</v>
      </c>
      <c r="AL3965">
        <v>79.294863049140503</v>
      </c>
      <c r="AM3965">
        <v>91.770102541003794</v>
      </c>
      <c r="AN3965">
        <v>0.99999993289075795</v>
      </c>
    </row>
    <row r="3966" spans="1:40" x14ac:dyDescent="0.25">
      <c r="A3966" t="str">
        <f>"20190312172449597"</f>
        <v>20190312172449597</v>
      </c>
      <c r="B3966" t="str">
        <f>"1552382689594431"</f>
        <v>1552382689594431</v>
      </c>
      <c r="C3966" t="s">
        <v>40</v>
      </c>
      <c r="D3966">
        <v>4.4060589999999999</v>
      </c>
      <c r="E3966">
        <v>0.5053993</v>
      </c>
      <c r="F3966" t="s">
        <v>41</v>
      </c>
      <c r="G3966">
        <v>-189.43549999999999</v>
      </c>
      <c r="H3966">
        <v>1.0125109999999999</v>
      </c>
      <c r="I3966">
        <v>173.85210000000001</v>
      </c>
      <c r="J3966">
        <v>-189.27590000000001</v>
      </c>
      <c r="K3966">
        <v>1.1180139999999901</v>
      </c>
      <c r="L3966">
        <v>174.6026</v>
      </c>
      <c r="M3966">
        <v>-0.22085070000000001</v>
      </c>
      <c r="N3966">
        <v>0</v>
      </c>
      <c r="O3966">
        <v>-0.97519219999999895</v>
      </c>
      <c r="P3966">
        <v>-0.19580320000000001</v>
      </c>
      <c r="Q3966">
        <v>0.17238789999999901</v>
      </c>
      <c r="R3966">
        <v>-0.96537220000000001</v>
      </c>
      <c r="S3966">
        <v>-0.64106750000000001</v>
      </c>
      <c r="T3966">
        <v>-0.34851919999999997</v>
      </c>
      <c r="U3966">
        <v>-3.0390009999999998</v>
      </c>
      <c r="V3966">
        <v>-2.5678409999999999E-2</v>
      </c>
      <c r="W3966">
        <v>0.1867048</v>
      </c>
      <c r="X3966">
        <v>0.98208039999999996</v>
      </c>
      <c r="Y3966">
        <v>-1.6064060000000002E-2</v>
      </c>
      <c r="Z3966">
        <v>0.1085768</v>
      </c>
      <c r="AA3966">
        <v>0.99395820000000001</v>
      </c>
      <c r="AB3966">
        <v>32</v>
      </c>
      <c r="AC3966">
        <v>-0.15959999999998301</v>
      </c>
      <c r="AD3966">
        <v>-0.105502999999999</v>
      </c>
      <c r="AE3966">
        <v>-0.75049999999998795</v>
      </c>
      <c r="AF3966">
        <v>-9.9213321774943505E-3</v>
      </c>
      <c r="AG3966">
        <v>-0.105502999999999</v>
      </c>
      <c r="AH3966">
        <v>0.75297942388483996</v>
      </c>
      <c r="AI3966">
        <v>97.975336153136993</v>
      </c>
      <c r="AJ3966">
        <v>90.754891236279605</v>
      </c>
      <c r="AK3966">
        <v>0.76039945333694303</v>
      </c>
      <c r="AL3966">
        <v>79.239457658415404</v>
      </c>
      <c r="AM3966">
        <v>91.497768789562699</v>
      </c>
      <c r="AN3966">
        <v>0.99999998757366304</v>
      </c>
    </row>
    <row r="3967" spans="1:40" x14ac:dyDescent="0.25">
      <c r="A3967" t="str">
        <f>"20190312172449611"</f>
        <v>20190312172449611</v>
      </c>
      <c r="B3967" t="str">
        <f>"1552382689604190"</f>
        <v>1552382689604190</v>
      </c>
      <c r="C3967" t="s">
        <v>40</v>
      </c>
      <c r="D3967">
        <v>4.4128590000000001</v>
      </c>
      <c r="E3967">
        <v>0.50547180000000003</v>
      </c>
      <c r="F3967" t="s">
        <v>41</v>
      </c>
      <c r="G3967">
        <v>-189.43610000000001</v>
      </c>
      <c r="H3967">
        <v>1.031447</v>
      </c>
      <c r="I3967">
        <v>173.84270000000001</v>
      </c>
      <c r="J3967">
        <v>-189.31280000000001</v>
      </c>
      <c r="K3967">
        <v>1.1179859999999999</v>
      </c>
      <c r="L3967">
        <v>174.41630000000001</v>
      </c>
      <c r="M3967">
        <v>-0.21562619999999999</v>
      </c>
      <c r="N3967">
        <v>0</v>
      </c>
      <c r="O3967">
        <v>-0.97636080000000003</v>
      </c>
      <c r="P3967">
        <v>-0.1953743</v>
      </c>
      <c r="Q3967">
        <v>0.17324329999999999</v>
      </c>
      <c r="R3967">
        <v>-0.9653062</v>
      </c>
      <c r="S3967">
        <v>-0.64059449999999996</v>
      </c>
      <c r="T3967">
        <v>-0.34672779999999997</v>
      </c>
      <c r="U3967">
        <v>-3.0395810000000001</v>
      </c>
      <c r="V3967">
        <v>-2.0814360000000001E-2</v>
      </c>
      <c r="W3967">
        <v>0.1876496</v>
      </c>
      <c r="X3967">
        <v>0.98201550000000004</v>
      </c>
      <c r="Y3967">
        <v>-1.088663E-2</v>
      </c>
      <c r="Z3967">
        <v>0.108205</v>
      </c>
      <c r="AA3967">
        <v>0.99406899999999998</v>
      </c>
      <c r="AB3967">
        <v>32</v>
      </c>
      <c r="AC3967">
        <v>-0.12330000000000001</v>
      </c>
      <c r="AD3967">
        <v>-8.6539000000000102E-2</v>
      </c>
      <c r="AE3967">
        <v>-0.573599999999999</v>
      </c>
      <c r="AF3967">
        <v>-3.2280419403876502E-3</v>
      </c>
      <c r="AG3967">
        <v>-8.6539000000000102E-2</v>
      </c>
      <c r="AH3967">
        <v>0.57420068869148</v>
      </c>
      <c r="AI3967">
        <v>98.570531349700005</v>
      </c>
      <c r="AJ3967">
        <v>90.322102070748102</v>
      </c>
      <c r="AK3967">
        <v>0.58069428244949906</v>
      </c>
      <c r="AL3967">
        <v>79.184351072521196</v>
      </c>
      <c r="AM3967">
        <v>91.214233829027805</v>
      </c>
      <c r="AN3967">
        <v>1.0000000261013</v>
      </c>
    </row>
    <row r="3968" spans="1:40" x14ac:dyDescent="0.25">
      <c r="A3968" t="str">
        <f>"20190312172449642"</f>
        <v>20190312172449642</v>
      </c>
      <c r="B3968" t="str">
        <f>"1552382689634447"</f>
        <v>1552382689634447</v>
      </c>
      <c r="C3968" t="s">
        <v>40</v>
      </c>
      <c r="D3968">
        <v>4.4058869999999999</v>
      </c>
      <c r="E3968">
        <v>0.50550450000000002</v>
      </c>
      <c r="F3968" t="s">
        <v>41</v>
      </c>
      <c r="G3968">
        <v>-189.4907</v>
      </c>
      <c r="H3968">
        <v>1.0228969999999999</v>
      </c>
      <c r="I3968">
        <v>173.57259999999999</v>
      </c>
      <c r="J3968">
        <v>-189.39009999999999</v>
      </c>
      <c r="K3968">
        <v>1.117888</v>
      </c>
      <c r="L3968">
        <v>174.0119</v>
      </c>
      <c r="M3968">
        <v>-0.2044636</v>
      </c>
      <c r="N3968">
        <v>0</v>
      </c>
      <c r="O3968">
        <v>-0.9787593</v>
      </c>
      <c r="P3968">
        <v>-0.19487850000000001</v>
      </c>
      <c r="Q3968">
        <v>0.17545569999999999</v>
      </c>
      <c r="R3968">
        <v>-0.96500680000000005</v>
      </c>
      <c r="S3968">
        <v>-0.64054869999999997</v>
      </c>
      <c r="T3968">
        <v>-0.34280189999999999</v>
      </c>
      <c r="U3968">
        <v>-3.0396879999999999</v>
      </c>
      <c r="V3968">
        <v>-9.9819420000000006E-3</v>
      </c>
      <c r="W3968">
        <v>0.19005130000000001</v>
      </c>
      <c r="X3968">
        <v>0.98172340000000002</v>
      </c>
      <c r="Y3968">
        <v>5.3222139999999996E-4</v>
      </c>
      <c r="Z3968">
        <v>0.10738780000000001</v>
      </c>
      <c r="AA3968">
        <v>0.99421700000000002</v>
      </c>
      <c r="AB3968">
        <v>32</v>
      </c>
      <c r="AC3968">
        <v>-0.100600000000014</v>
      </c>
      <c r="AD3968">
        <v>-9.4991000000000006E-2</v>
      </c>
      <c r="AE3968">
        <v>-0.43930000000000202</v>
      </c>
      <c r="AF3968">
        <v>8.2756381819621208E-3</v>
      </c>
      <c r="AG3968">
        <v>-9.4991000000000006E-2</v>
      </c>
      <c r="AH3968">
        <v>0.43142198302920298</v>
      </c>
      <c r="AI3968">
        <v>102.41510652769399</v>
      </c>
      <c r="AJ3968">
        <v>88.901073623551795</v>
      </c>
      <c r="AK3968">
        <v>0.44183334381774397</v>
      </c>
      <c r="AL3968">
        <v>79.044221810643293</v>
      </c>
      <c r="AM3968">
        <v>90.5825504821441</v>
      </c>
      <c r="AN3968">
        <v>0.99999998495266995</v>
      </c>
    </row>
    <row r="3969" spans="1:40" x14ac:dyDescent="0.25">
      <c r="A3969" t="str">
        <f>"20190312172449663"</f>
        <v>20190312172449663</v>
      </c>
      <c r="B3969" t="str">
        <f>"1552382689653966"</f>
        <v>1552382689653966</v>
      </c>
      <c r="C3969" t="s">
        <v>40</v>
      </c>
      <c r="D3969">
        <v>4.3555449999999896</v>
      </c>
      <c r="E3969">
        <v>0.50564399999999998</v>
      </c>
      <c r="F3969" t="s">
        <v>41</v>
      </c>
      <c r="G3969">
        <v>-189.54249999999999</v>
      </c>
      <c r="H3969">
        <v>1.038033</v>
      </c>
      <c r="I3969">
        <v>173.28960000000001</v>
      </c>
      <c r="J3969">
        <v>-189.44540000000001</v>
      </c>
      <c r="K3969">
        <v>1.1177520000000001</v>
      </c>
      <c r="L3969">
        <v>173.7063</v>
      </c>
      <c r="M3969">
        <v>-0.1962923</v>
      </c>
      <c r="N3969">
        <v>0</v>
      </c>
      <c r="O3969">
        <v>-0.98043100000000005</v>
      </c>
      <c r="P3969">
        <v>-0.2018809</v>
      </c>
      <c r="Q3969">
        <v>0.17771219999999999</v>
      </c>
      <c r="R3969">
        <v>-0.96315249999999997</v>
      </c>
      <c r="S3969">
        <v>-0.64071659999999997</v>
      </c>
      <c r="T3969">
        <v>-0.33675549999999999</v>
      </c>
      <c r="U3969">
        <v>-3.040619</v>
      </c>
      <c r="V3969">
        <v>5.4888069999999897E-3</v>
      </c>
      <c r="W3969">
        <v>0.1925627</v>
      </c>
      <c r="X3969">
        <v>0.98126930000000001</v>
      </c>
      <c r="Y3969">
        <v>8.9037149999999995E-3</v>
      </c>
      <c r="Z3969">
        <v>0.1057514</v>
      </c>
      <c r="AA3969">
        <v>0.99435280000000004</v>
      </c>
      <c r="AB3969">
        <v>32</v>
      </c>
      <c r="AC3969">
        <v>-9.7099999999983297E-2</v>
      </c>
      <c r="AD3969">
        <v>-7.9719000000000095E-2</v>
      </c>
      <c r="AE3969">
        <v>-0.41669999999999102</v>
      </c>
      <c r="AF3969">
        <v>1.29565699683271E-2</v>
      </c>
      <c r="AG3969">
        <v>-7.9719000000000095E-2</v>
      </c>
      <c r="AH3969">
        <v>0.41330579289901298</v>
      </c>
      <c r="AI3969">
        <v>100.911990709927</v>
      </c>
      <c r="AJ3969">
        <v>88.204443896472299</v>
      </c>
      <c r="AK3969">
        <v>0.42112310564753602</v>
      </c>
      <c r="AL3969">
        <v>78.897621414230798</v>
      </c>
      <c r="AM3969">
        <v>89.679514893784201</v>
      </c>
      <c r="AN3969">
        <v>0.99999997977803101</v>
      </c>
    </row>
    <row r="3970" spans="1:40" x14ac:dyDescent="0.25">
      <c r="A3970" t="str">
        <f>"20190312172449684"</f>
        <v>20190312172449684</v>
      </c>
      <c r="B3970" t="str">
        <f>"1552382689674462"</f>
        <v>1552382689674462</v>
      </c>
      <c r="C3970" t="s">
        <v>40</v>
      </c>
      <c r="D3970">
        <v>4.4233609999999999</v>
      </c>
      <c r="E3970">
        <v>0.50556699999999999</v>
      </c>
      <c r="F3970" t="s">
        <v>41</v>
      </c>
      <c r="G3970">
        <v>-189.65369999999999</v>
      </c>
      <c r="H3970">
        <v>1.0142709999999999</v>
      </c>
      <c r="I3970">
        <v>172.75489999999999</v>
      </c>
      <c r="J3970">
        <v>-189.49719999999999</v>
      </c>
      <c r="K3970">
        <v>1.1175539999999999</v>
      </c>
      <c r="L3970">
        <v>173.4074</v>
      </c>
      <c r="M3970">
        <v>-0.18859000000000001</v>
      </c>
      <c r="N3970">
        <v>0</v>
      </c>
      <c r="O3970">
        <v>-0.98194190000000003</v>
      </c>
      <c r="P3970">
        <v>-0.20628489999999999</v>
      </c>
      <c r="Q3970">
        <v>0.17808399999999999</v>
      </c>
      <c r="R3970">
        <v>-0.96214999999999995</v>
      </c>
      <c r="S3970">
        <v>-0.66432190000000002</v>
      </c>
      <c r="T3970">
        <v>-0.33044869999999998</v>
      </c>
      <c r="U3970">
        <v>-3.0365139999999999</v>
      </c>
      <c r="V3970">
        <v>1.7814449999999999E-2</v>
      </c>
      <c r="W3970">
        <v>0.19311909999999999</v>
      </c>
      <c r="X3970">
        <v>0.98101360000000004</v>
      </c>
      <c r="Y3970">
        <v>2.445203E-2</v>
      </c>
      <c r="Z3970">
        <v>0.10407230000000001</v>
      </c>
      <c r="AA3970">
        <v>0.99426910000000002</v>
      </c>
      <c r="AB3970">
        <v>32</v>
      </c>
      <c r="AC3970">
        <v>-0.15649999999999401</v>
      </c>
      <c r="AD3970">
        <v>-0.103283</v>
      </c>
      <c r="AE3970">
        <v>-0.65250000000000297</v>
      </c>
      <c r="AF3970">
        <v>2.9913640971402099E-2</v>
      </c>
      <c r="AG3970">
        <v>-0.103283</v>
      </c>
      <c r="AH3970">
        <v>0.65479298816005704</v>
      </c>
      <c r="AI3970">
        <v>98.954443159755797</v>
      </c>
      <c r="AJ3970">
        <v>87.384311444283696</v>
      </c>
      <c r="AK3970">
        <v>0.66356315550875999</v>
      </c>
      <c r="AL3970">
        <v>78.865132588303794</v>
      </c>
      <c r="AM3970">
        <v>88.959667197465805</v>
      </c>
      <c r="AN3970">
        <v>1.00000001239928</v>
      </c>
    </row>
    <row r="3971" spans="1:40" x14ac:dyDescent="0.25">
      <c r="A3971" t="str">
        <f>"20190312172449705"</f>
        <v>20190312172449705</v>
      </c>
      <c r="B3971" t="str">
        <f>"1552382689693982"</f>
        <v>1552382689693982</v>
      </c>
      <c r="C3971" t="s">
        <v>40</v>
      </c>
      <c r="D3971">
        <v>4.4009660000000004</v>
      </c>
      <c r="E3971">
        <v>0.50551689999999905</v>
      </c>
      <c r="F3971" t="s">
        <v>41</v>
      </c>
      <c r="G3971">
        <v>-189.7047</v>
      </c>
      <c r="H3971">
        <v>1.016923</v>
      </c>
      <c r="I3971">
        <v>172.47900000000001</v>
      </c>
      <c r="J3971">
        <v>-189.54560000000001</v>
      </c>
      <c r="K3971">
        <v>1.1173360000000001</v>
      </c>
      <c r="L3971">
        <v>173.11619999999999</v>
      </c>
      <c r="M3971">
        <v>-0.18133679999999999</v>
      </c>
      <c r="N3971">
        <v>0</v>
      </c>
      <c r="O3971">
        <v>-0.98330770000000001</v>
      </c>
      <c r="P3971">
        <v>-0.21073259999999999</v>
      </c>
      <c r="Q3971">
        <v>0.176252399999999</v>
      </c>
      <c r="R3971">
        <v>-0.96152349999999998</v>
      </c>
      <c r="S3971">
        <v>-0.67773439999999996</v>
      </c>
      <c r="T3971">
        <v>-0.32905050000000002</v>
      </c>
      <c r="U3971">
        <v>-3.0336150000000002</v>
      </c>
      <c r="V3971">
        <v>2.969376E-2</v>
      </c>
      <c r="W3971">
        <v>0.19145219999999999</v>
      </c>
      <c r="X3971">
        <v>0.98105260000000005</v>
      </c>
      <c r="Y3971">
        <v>3.6224619999999999E-2</v>
      </c>
      <c r="Z3971">
        <v>0.1038811</v>
      </c>
      <c r="AA3971">
        <v>0.99392979999999997</v>
      </c>
      <c r="AB3971">
        <v>32</v>
      </c>
      <c r="AC3971">
        <v>-0.159099999999995</v>
      </c>
      <c r="AD3971">
        <v>-0.100413</v>
      </c>
      <c r="AE3971">
        <v>-0.63719999999997801</v>
      </c>
      <c r="AF3971">
        <v>3.9966756886774403E-2</v>
      </c>
      <c r="AG3971">
        <v>-0.100413</v>
      </c>
      <c r="AH3971">
        <v>0.64051497210423902</v>
      </c>
      <c r="AI3971">
        <v>98.892676371589204</v>
      </c>
      <c r="AJ3971">
        <v>86.429495676179002</v>
      </c>
      <c r="AK3971">
        <v>0.64956873517337599</v>
      </c>
      <c r="AL3971">
        <v>78.962454194888593</v>
      </c>
      <c r="AM3971">
        <v>88.266343844182501</v>
      </c>
      <c r="AN3971">
        <v>0.99999993411726595</v>
      </c>
    </row>
    <row r="3972" spans="1:40" x14ac:dyDescent="0.25">
      <c r="A3972" t="str">
        <f>"20190312172449717"</f>
        <v>20190312172449717</v>
      </c>
      <c r="B3972" t="str">
        <f>"1552382689714479"</f>
        <v>1552382689714479</v>
      </c>
      <c r="C3972" t="s">
        <v>40</v>
      </c>
      <c r="D3972">
        <v>4.3635830000000002</v>
      </c>
      <c r="E3972">
        <v>0.50547219999999904</v>
      </c>
      <c r="F3972" t="s">
        <v>41</v>
      </c>
      <c r="G3972">
        <v>-189.75360000000001</v>
      </c>
      <c r="H3972">
        <v>1.017023</v>
      </c>
      <c r="I3972">
        <v>172.20429999999999</v>
      </c>
      <c r="J3972">
        <v>-189.57239999999999</v>
      </c>
      <c r="K3972">
        <v>1.1172029999999999</v>
      </c>
      <c r="L3972">
        <v>172.95009999999999</v>
      </c>
      <c r="M3972">
        <v>-0.177323799999999</v>
      </c>
      <c r="N3972">
        <v>0</v>
      </c>
      <c r="O3972">
        <v>-0.9840392</v>
      </c>
      <c r="P3972">
        <v>-0.2137126</v>
      </c>
      <c r="Q3972">
        <v>0.174366299999999</v>
      </c>
      <c r="R3972">
        <v>-0.96120919999999999</v>
      </c>
      <c r="S3972">
        <v>-0.690841699999999</v>
      </c>
      <c r="T3972">
        <v>-0.33341680000000001</v>
      </c>
      <c r="U3972">
        <v>-3.029785</v>
      </c>
      <c r="V3972">
        <v>3.6786340000000001E-2</v>
      </c>
      <c r="W3972">
        <v>0.18965899999999999</v>
      </c>
      <c r="X3972">
        <v>0.98116060000000005</v>
      </c>
      <c r="Y3972">
        <v>4.4622910000000002E-2</v>
      </c>
      <c r="Z3972">
        <v>0.1054223</v>
      </c>
      <c r="AA3972">
        <v>0.99342580000000003</v>
      </c>
      <c r="AB3972">
        <v>32</v>
      </c>
      <c r="AC3972">
        <v>-0.18120000000001801</v>
      </c>
      <c r="AD3972">
        <v>-0.10018000000000001</v>
      </c>
      <c r="AE3972">
        <v>-0.74580000000000202</v>
      </c>
      <c r="AF3972">
        <v>4.5293262657134903E-2</v>
      </c>
      <c r="AG3972">
        <v>-0.10018000000000001</v>
      </c>
      <c r="AH3972">
        <v>0.75327889669891002</v>
      </c>
      <c r="AI3972">
        <v>97.561923282279594</v>
      </c>
      <c r="AJ3972">
        <v>86.559053868191597</v>
      </c>
      <c r="AK3972">
        <v>0.76125988220453</v>
      </c>
      <c r="AL3972">
        <v>79.067114910670497</v>
      </c>
      <c r="AM3972">
        <v>87.852833411544694</v>
      </c>
      <c r="AN3972">
        <v>0.99999994704197603</v>
      </c>
    </row>
    <row r="3973" spans="1:40" x14ac:dyDescent="0.25">
      <c r="A3973" t="str">
        <f>"20190312172449730"</f>
        <v>20190312172449730</v>
      </c>
      <c r="B3973" t="str">
        <f>"1552382689724239"</f>
        <v>1552382689724239</v>
      </c>
      <c r="C3973" t="s">
        <v>40</v>
      </c>
      <c r="D3973">
        <v>4.3795349999999997</v>
      </c>
      <c r="E3973">
        <v>0.50542480000000001</v>
      </c>
      <c r="F3973" t="s">
        <v>41</v>
      </c>
      <c r="G3973">
        <v>-189.7467</v>
      </c>
      <c r="H3973">
        <v>1.0327010000000001</v>
      </c>
      <c r="I3973">
        <v>172.1952</v>
      </c>
      <c r="J3973">
        <v>-189.59829999999999</v>
      </c>
      <c r="K3973">
        <v>1.117057</v>
      </c>
      <c r="L3973">
        <v>172.7852</v>
      </c>
      <c r="M3973">
        <v>-0.17346710000000001</v>
      </c>
      <c r="N3973">
        <v>0</v>
      </c>
      <c r="O3973">
        <v>-0.98472680000000001</v>
      </c>
      <c r="P3973">
        <v>-0.21646670000000001</v>
      </c>
      <c r="Q3973">
        <v>0.17253080000000001</v>
      </c>
      <c r="R3973">
        <v>-0.96092460000000002</v>
      </c>
      <c r="S3973">
        <v>-0.69888309999999998</v>
      </c>
      <c r="T3973">
        <v>-0.33895160000000002</v>
      </c>
      <c r="U3973">
        <v>-3.0271759999999999</v>
      </c>
      <c r="V3973">
        <v>4.3496140000000003E-2</v>
      </c>
      <c r="W3973">
        <v>0.18790390000000001</v>
      </c>
      <c r="X3973">
        <v>0.98122379999999998</v>
      </c>
      <c r="Y3973">
        <v>5.1183220000000001E-2</v>
      </c>
      <c r="Z3973">
        <v>0.107304399999999</v>
      </c>
      <c r="AA3973">
        <v>0.99290789999999995</v>
      </c>
      <c r="AB3973">
        <v>32</v>
      </c>
      <c r="AC3973">
        <v>-0.148400000000009</v>
      </c>
      <c r="AD3973">
        <v>-8.4355999999999806E-2</v>
      </c>
      <c r="AE3973">
        <v>-0.59000000000000297</v>
      </c>
      <c r="AF3973">
        <v>4.2966663589802299E-2</v>
      </c>
      <c r="AG3973">
        <v>-8.4355999999999806E-2</v>
      </c>
      <c r="AH3973">
        <v>0.59535259534873997</v>
      </c>
      <c r="AI3973">
        <v>98.043956575287794</v>
      </c>
      <c r="AJ3973">
        <v>85.872113970962005</v>
      </c>
      <c r="AK3973">
        <v>0.60283229981854802</v>
      </c>
      <c r="AL3973">
        <v>79.169516242101196</v>
      </c>
      <c r="AM3973">
        <v>87.461827970772603</v>
      </c>
      <c r="AN3973">
        <v>0.99999996775827404</v>
      </c>
    </row>
    <row r="3974" spans="1:40" x14ac:dyDescent="0.25">
      <c r="A3974" t="str">
        <f>"20190312172449750"</f>
        <v>20190312172449750</v>
      </c>
      <c r="B3974" t="str">
        <f>"1552382689744734"</f>
        <v>1552382689744734</v>
      </c>
      <c r="C3974" t="s">
        <v>40</v>
      </c>
      <c r="D3974">
        <v>4.3543719999999997</v>
      </c>
      <c r="E3974">
        <v>0.5053048</v>
      </c>
      <c r="F3974" t="s">
        <v>41</v>
      </c>
      <c r="G3974">
        <v>-189.7987</v>
      </c>
      <c r="H3974">
        <v>1.019539</v>
      </c>
      <c r="I3974">
        <v>171.92779999999999</v>
      </c>
      <c r="J3974">
        <v>-189.64160000000001</v>
      </c>
      <c r="K3974">
        <v>1.1167640000000001</v>
      </c>
      <c r="L3974">
        <v>172.50219999999999</v>
      </c>
      <c r="M3974">
        <v>-0.16712669999999999</v>
      </c>
      <c r="N3974">
        <v>0</v>
      </c>
      <c r="O3974">
        <v>-0.98582320000000001</v>
      </c>
      <c r="P3974">
        <v>-0.23091410000000001</v>
      </c>
      <c r="Q3974">
        <v>0.1678241</v>
      </c>
      <c r="R3974">
        <v>-0.95839129999999995</v>
      </c>
      <c r="S3974">
        <v>-0.70666499999999999</v>
      </c>
      <c r="T3974">
        <v>-0.3441478</v>
      </c>
      <c r="U3974">
        <v>-3.0245820000000001</v>
      </c>
      <c r="V3974">
        <v>6.4690579999999998E-2</v>
      </c>
      <c r="W3974">
        <v>0.18345690000000001</v>
      </c>
      <c r="X3974">
        <v>0.98089689999999996</v>
      </c>
      <c r="Y3974">
        <v>6.0173270000000001E-2</v>
      </c>
      <c r="Z3974">
        <v>0.1091418</v>
      </c>
      <c r="AA3974">
        <v>0.99220319999999995</v>
      </c>
      <c r="AB3974">
        <v>31</v>
      </c>
      <c r="AC3974">
        <v>-0.157099999999985</v>
      </c>
      <c r="AD3974">
        <v>-9.7224999999999895E-2</v>
      </c>
      <c r="AE3974">
        <v>-0.57439999999999702</v>
      </c>
      <c r="AF3974">
        <v>5.7352952962573103E-2</v>
      </c>
      <c r="AG3974">
        <v>-9.7224999999999895E-2</v>
      </c>
      <c r="AH3974">
        <v>0.57719227906012105</v>
      </c>
      <c r="AI3974">
        <v>99.515419189510794</v>
      </c>
      <c r="AJ3974">
        <v>84.325407914023401</v>
      </c>
      <c r="AK3974">
        <v>0.58812667754927095</v>
      </c>
      <c r="AL3974">
        <v>79.428820591691306</v>
      </c>
      <c r="AM3974">
        <v>86.226782412604294</v>
      </c>
      <c r="AN3974">
        <v>1.00000001686397</v>
      </c>
    </row>
    <row r="3975" spans="1:40" x14ac:dyDescent="0.25">
      <c r="A3975" t="str">
        <f>"20190312172449784"</f>
        <v>20190312172449784</v>
      </c>
      <c r="B3975" t="str">
        <f>"1552382689774014"</f>
        <v>1552382689774014</v>
      </c>
      <c r="C3975" t="s">
        <v>40</v>
      </c>
      <c r="D3975">
        <v>4.312678</v>
      </c>
      <c r="E3975">
        <v>0.50505889999999998</v>
      </c>
      <c r="F3975" t="s">
        <v>41</v>
      </c>
      <c r="G3975">
        <v>-189.85210000000001</v>
      </c>
      <c r="H3975">
        <v>1.0161990000000001</v>
      </c>
      <c r="I3975">
        <v>171.65559999999999</v>
      </c>
      <c r="J3975">
        <v>-189.71080000000001</v>
      </c>
      <c r="K3975">
        <v>1.1161430000000001</v>
      </c>
      <c r="L3975">
        <v>172.02869999999999</v>
      </c>
      <c r="M3975">
        <v>-0.15745770000000001</v>
      </c>
      <c r="N3975">
        <v>0</v>
      </c>
      <c r="O3975">
        <v>-0.98741429999999997</v>
      </c>
      <c r="P3975">
        <v>-0.24446809999999999</v>
      </c>
      <c r="Q3975">
        <v>0.16106960000000001</v>
      </c>
      <c r="R3975">
        <v>-0.95618619999999999</v>
      </c>
      <c r="S3975">
        <v>-0.74867249999999996</v>
      </c>
      <c r="T3975">
        <v>-0.35819649999999997</v>
      </c>
      <c r="U3975">
        <v>-3.0125579999999998</v>
      </c>
      <c r="V3975">
        <v>8.8408879999999995E-2</v>
      </c>
      <c r="W3975">
        <v>0.17687130000000001</v>
      </c>
      <c r="X3975">
        <v>0.98025530000000005</v>
      </c>
      <c r="Y3975">
        <v>8.3755869999999996E-2</v>
      </c>
      <c r="Z3975">
        <v>0.1139695</v>
      </c>
      <c r="AA3975">
        <v>0.98994740000000003</v>
      </c>
      <c r="AB3975">
        <v>31</v>
      </c>
      <c r="AC3975">
        <v>-0.14130000000000101</v>
      </c>
      <c r="AD3975">
        <v>-9.9944000000000005E-2</v>
      </c>
      <c r="AE3975">
        <v>-0.37309999999999299</v>
      </c>
      <c r="AF3975">
        <v>7.6012814272823706E-2</v>
      </c>
      <c r="AG3975">
        <v>-9.9944000000000005E-2</v>
      </c>
      <c r="AH3975">
        <v>0.36762540065269</v>
      </c>
      <c r="AI3975">
        <v>104.90817398506699</v>
      </c>
      <c r="AJ3975">
        <v>78.317747125709303</v>
      </c>
      <c r="AK3975">
        <v>0.38847803834287198</v>
      </c>
      <c r="AL3975">
        <v>79.812425572309905</v>
      </c>
      <c r="AM3975">
        <v>84.846456928897993</v>
      </c>
      <c r="AN3975">
        <v>1.00000002000231</v>
      </c>
    </row>
    <row r="3976" spans="1:40" x14ac:dyDescent="0.25">
      <c r="A3976" t="str">
        <f>"20190312172449806"</f>
        <v>20190312172449806</v>
      </c>
      <c r="B3976" t="str">
        <f>"1552382689794510"</f>
        <v>1552382689794510</v>
      </c>
      <c r="C3976" t="s">
        <v>40</v>
      </c>
      <c r="D3976">
        <v>4.2810499999999996</v>
      </c>
      <c r="E3976">
        <v>0.50487579999999999</v>
      </c>
      <c r="F3976" t="s">
        <v>41</v>
      </c>
      <c r="G3976">
        <v>-189.95150000000001</v>
      </c>
      <c r="H3976">
        <v>1.000777</v>
      </c>
      <c r="I3976">
        <v>171.11429999999999</v>
      </c>
      <c r="J3976">
        <v>-189.75129999999999</v>
      </c>
      <c r="K3976">
        <v>1.1157280000000001</v>
      </c>
      <c r="L3976">
        <v>171.73929999999999</v>
      </c>
      <c r="M3976">
        <v>-0.15215490000000001</v>
      </c>
      <c r="N3976">
        <v>0</v>
      </c>
      <c r="O3976">
        <v>-0.98824599999999996</v>
      </c>
      <c r="P3976">
        <v>-0.25290390000000001</v>
      </c>
      <c r="Q3976">
        <v>0.15705639999999901</v>
      </c>
      <c r="R3976">
        <v>-0.95465889999999998</v>
      </c>
      <c r="S3976">
        <v>-0.78945919999999903</v>
      </c>
      <c r="T3976">
        <v>-0.37850329999999999</v>
      </c>
      <c r="U3976">
        <v>-2.999374</v>
      </c>
      <c r="V3976">
        <v>0.1024755</v>
      </c>
      <c r="W3976">
        <v>0.17290459999999999</v>
      </c>
      <c r="X3976">
        <v>0.97959320000000005</v>
      </c>
      <c r="Y3976">
        <v>0.10253520000000001</v>
      </c>
      <c r="Z3976">
        <v>0.12068950000000001</v>
      </c>
      <c r="AA3976">
        <v>0.9873807</v>
      </c>
      <c r="AB3976">
        <v>31</v>
      </c>
      <c r="AC3976">
        <v>-0.200200000000023</v>
      </c>
      <c r="AD3976">
        <v>-0.114951</v>
      </c>
      <c r="AE3976">
        <v>-0.625</v>
      </c>
      <c r="AF3976">
        <v>9.9702472960862501E-2</v>
      </c>
      <c r="AG3976">
        <v>-0.114951</v>
      </c>
      <c r="AH3976">
        <v>0.62889208012437803</v>
      </c>
      <c r="AI3976">
        <v>100.23331444866299</v>
      </c>
      <c r="AJ3976">
        <v>80.991490035648695</v>
      </c>
      <c r="AK3976">
        <v>0.64703907452230303</v>
      </c>
      <c r="AL3976">
        <v>80.043258553367394</v>
      </c>
      <c r="AM3976">
        <v>84.027994854510396</v>
      </c>
      <c r="AN3976">
        <v>1.0000000331438199</v>
      </c>
    </row>
    <row r="3977" spans="1:40" x14ac:dyDescent="0.25">
      <c r="A3977" t="str">
        <f>"20190312172449829"</f>
        <v>20190312172449829</v>
      </c>
      <c r="B3977" t="str">
        <f>"1552382689824768"</f>
        <v>1552382689824768</v>
      </c>
      <c r="C3977" t="s">
        <v>40</v>
      </c>
      <c r="D3977">
        <v>4.4712569999999996</v>
      </c>
      <c r="E3977">
        <v>0.49332599999999999</v>
      </c>
      <c r="F3977" t="s">
        <v>41</v>
      </c>
      <c r="G3977">
        <v>-189.9958</v>
      </c>
      <c r="H3977">
        <v>0.99835940000000001</v>
      </c>
      <c r="I3977">
        <v>170.84030000000001</v>
      </c>
      <c r="J3977">
        <v>-189.79570000000001</v>
      </c>
      <c r="K3977">
        <v>1.1152770000000001</v>
      </c>
      <c r="L3977">
        <v>171.4126</v>
      </c>
      <c r="M3977">
        <v>-0.14667169999999999</v>
      </c>
      <c r="N3977">
        <v>0</v>
      </c>
      <c r="O3977">
        <v>-0.98907520000000004</v>
      </c>
      <c r="P3977">
        <v>-0.26083529999999999</v>
      </c>
      <c r="Q3977">
        <v>0.15375129999999901</v>
      </c>
      <c r="R3977">
        <v>-0.95306139999999995</v>
      </c>
      <c r="S3977">
        <v>-0.81349179999999999</v>
      </c>
      <c r="T3977">
        <v>-0.39051150000000001</v>
      </c>
      <c r="U3977">
        <v>-2.991241</v>
      </c>
      <c r="V3977">
        <v>0.11622159999999999</v>
      </c>
      <c r="W3977">
        <v>0.1695982</v>
      </c>
      <c r="X3977">
        <v>0.97863630000000001</v>
      </c>
      <c r="Y3977">
        <v>0.1159736</v>
      </c>
      <c r="Z3977">
        <v>0.1247178</v>
      </c>
      <c r="AA3977">
        <v>0.98539109999999996</v>
      </c>
      <c r="AB3977">
        <v>31</v>
      </c>
      <c r="AC3977">
        <v>-0.20009999999999101</v>
      </c>
      <c r="AD3977">
        <v>-0.116917599999999</v>
      </c>
      <c r="AE3977">
        <v>-0.57229999999998404</v>
      </c>
      <c r="AF3977">
        <v>0.10989902541334701</v>
      </c>
      <c r="AG3977">
        <v>-0.116917599999999</v>
      </c>
      <c r="AH3977">
        <v>0.57411054145222595</v>
      </c>
      <c r="AI3977">
        <v>101.31093887786101</v>
      </c>
      <c r="AJ3977">
        <v>79.163259986733905</v>
      </c>
      <c r="AK3977">
        <v>0.59611277018961095</v>
      </c>
      <c r="AL3977">
        <v>80.235541700938697</v>
      </c>
      <c r="AM3977">
        <v>83.227347035495598</v>
      </c>
      <c r="AN3977">
        <v>1.00000000871374</v>
      </c>
    </row>
    <row r="3978" spans="1:40" x14ac:dyDescent="0.25">
      <c r="A3978" t="str">
        <f>"20190312172449852"</f>
        <v>20190312172449852</v>
      </c>
      <c r="B3978" t="str">
        <f>"1552382689844290"</f>
        <v>1552382689844290</v>
      </c>
      <c r="C3978" t="s">
        <v>40</v>
      </c>
      <c r="D3978">
        <v>4.2465000000000002</v>
      </c>
      <c r="E3978">
        <v>0.49211319999999997</v>
      </c>
      <c r="F3978" t="s">
        <v>41</v>
      </c>
      <c r="G3978">
        <v>-190.01070000000001</v>
      </c>
      <c r="H3978">
        <v>1.0199039999999999</v>
      </c>
      <c r="I3978">
        <v>170.55070000000001</v>
      </c>
      <c r="J3978">
        <v>-189.83670000000001</v>
      </c>
      <c r="K3978">
        <v>1.114825</v>
      </c>
      <c r="L3978">
        <v>171.10239999999999</v>
      </c>
      <c r="M3978">
        <v>-0.14206969999999999</v>
      </c>
      <c r="N3978">
        <v>0</v>
      </c>
      <c r="O3978">
        <v>-0.98974720000000005</v>
      </c>
      <c r="P3978">
        <v>-0.27002789999999999</v>
      </c>
      <c r="Q3978">
        <v>0.15072430000000001</v>
      </c>
      <c r="R3978">
        <v>-0.95098229999999995</v>
      </c>
      <c r="S3978">
        <v>-0.74736020000000003</v>
      </c>
      <c r="T3978">
        <v>-0.33176709999999998</v>
      </c>
      <c r="U3978">
        <v>-2.9967350000000001</v>
      </c>
      <c r="V3978">
        <v>0.13039200000000001</v>
      </c>
      <c r="W3978">
        <v>0.16654140000000001</v>
      </c>
      <c r="X3978">
        <v>0.97737499999999999</v>
      </c>
      <c r="Y3978">
        <v>0.1002743</v>
      </c>
      <c r="Z3978">
        <v>0.1064925</v>
      </c>
      <c r="AA3978">
        <v>0.98924429999999997</v>
      </c>
      <c r="AB3978">
        <v>31</v>
      </c>
      <c r="AC3978">
        <v>-0.17400000000000601</v>
      </c>
      <c r="AD3978">
        <v>-9.4920999999999797E-2</v>
      </c>
      <c r="AE3978">
        <v>-0.55169999999998198</v>
      </c>
      <c r="AF3978">
        <v>9.13858785058526E-2</v>
      </c>
      <c r="AG3978">
        <v>-9.4920999999999797E-2</v>
      </c>
      <c r="AH3978">
        <v>0.55585968876748704</v>
      </c>
      <c r="AI3978">
        <v>99.564622428450804</v>
      </c>
      <c r="AJ3978">
        <v>80.663828979599501</v>
      </c>
      <c r="AK3978">
        <v>0.57126295926479798</v>
      </c>
      <c r="AL3978">
        <v>80.413210767045797</v>
      </c>
      <c r="AM3978">
        <v>82.401017615520303</v>
      </c>
      <c r="AN3978">
        <v>1.00000000110148</v>
      </c>
    </row>
    <row r="3979" spans="1:40" x14ac:dyDescent="0.25">
      <c r="A3979" t="str">
        <f>"20190312172449873"</f>
        <v>20190312172449873</v>
      </c>
      <c r="B3979" t="str">
        <f>"1552382689864788"</f>
        <v>1552382689864788</v>
      </c>
      <c r="C3979" t="s">
        <v>40</v>
      </c>
      <c r="D3979">
        <v>4.2817470000000002</v>
      </c>
      <c r="E3979">
        <v>0.490871</v>
      </c>
      <c r="F3979" t="s">
        <v>41</v>
      </c>
      <c r="G3979">
        <v>-190.0488</v>
      </c>
      <c r="H3979">
        <v>1.0217959999999999</v>
      </c>
      <c r="I3979">
        <v>170.2741</v>
      </c>
      <c r="J3979">
        <v>-189.8751</v>
      </c>
      <c r="K3979">
        <v>1.114344</v>
      </c>
      <c r="L3979">
        <v>170.80539999999999</v>
      </c>
      <c r="M3979">
        <v>-0.138295</v>
      </c>
      <c r="N3979">
        <v>0</v>
      </c>
      <c r="O3979">
        <v>-0.99028229999999995</v>
      </c>
      <c r="P3979">
        <v>-0.27957259999999901</v>
      </c>
      <c r="Q3979">
        <v>0.1473894</v>
      </c>
      <c r="R3979">
        <v>-0.94874460000000005</v>
      </c>
      <c r="S3979">
        <v>-0.76599119999999998</v>
      </c>
      <c r="T3979">
        <v>-0.33581850000000002</v>
      </c>
      <c r="U3979">
        <v>-2.9903559999999998</v>
      </c>
      <c r="V3979">
        <v>0.1441142</v>
      </c>
      <c r="W3979">
        <v>0.16312789999999999</v>
      </c>
      <c r="X3979">
        <v>0.97602279999999997</v>
      </c>
      <c r="Y3979">
        <v>0.1103117</v>
      </c>
      <c r="Z3979">
        <v>0.1079468</v>
      </c>
      <c r="AA3979">
        <v>0.98801760000000005</v>
      </c>
      <c r="AB3979">
        <v>31</v>
      </c>
      <c r="AC3979">
        <v>-0.173699999999996</v>
      </c>
      <c r="AD3979">
        <v>-9.2548000000000005E-2</v>
      </c>
      <c r="AE3979">
        <v>-0.531299999999987</v>
      </c>
      <c r="AF3979">
        <v>9.5917171435181997E-2</v>
      </c>
      <c r="AG3979">
        <v>-9.2548000000000005E-2</v>
      </c>
      <c r="AH3979">
        <v>0.53553758068385304</v>
      </c>
      <c r="AI3979">
        <v>99.653972116401604</v>
      </c>
      <c r="AJ3979">
        <v>79.845734165623796</v>
      </c>
      <c r="AK3979">
        <v>0.55187474702584605</v>
      </c>
      <c r="AL3979">
        <v>80.611502965190098</v>
      </c>
      <c r="AM3979">
        <v>81.600707088996202</v>
      </c>
      <c r="AN3979">
        <v>1.0000000602599399</v>
      </c>
    </row>
    <row r="3980" spans="1:40" x14ac:dyDescent="0.25">
      <c r="A3980" t="str">
        <f>"20190312172449895"</f>
        <v>20190312172449895</v>
      </c>
      <c r="B3980" t="str">
        <f>"1552382689884302"</f>
        <v>1552382689884302</v>
      </c>
      <c r="C3980" t="s">
        <v>40</v>
      </c>
      <c r="D3980">
        <v>4.248799</v>
      </c>
      <c r="E3980">
        <v>0.48976779999999998</v>
      </c>
      <c r="F3980" t="s">
        <v>41</v>
      </c>
      <c r="G3980">
        <v>-190.0881</v>
      </c>
      <c r="H3980">
        <v>1.020303</v>
      </c>
      <c r="I3980">
        <v>169.99950000000001</v>
      </c>
      <c r="J3980">
        <v>-189.91319999999999</v>
      </c>
      <c r="K3980">
        <v>1.1138140000000001</v>
      </c>
      <c r="L3980">
        <v>170.50710000000001</v>
      </c>
      <c r="M3980">
        <v>-0.13516410000000001</v>
      </c>
      <c r="N3980">
        <v>0</v>
      </c>
      <c r="O3980">
        <v>-0.99071500000000001</v>
      </c>
      <c r="P3980">
        <v>-0.2894642</v>
      </c>
      <c r="Q3980">
        <v>0.1464975</v>
      </c>
      <c r="R3980">
        <v>-0.94591190000000003</v>
      </c>
      <c r="S3980">
        <v>-0.78781129999999999</v>
      </c>
      <c r="T3980">
        <v>-0.34835919999999998</v>
      </c>
      <c r="U3980">
        <v>-2.9840390000000001</v>
      </c>
      <c r="V3980">
        <v>0.15761339999999999</v>
      </c>
      <c r="W3980">
        <v>0.16208900000000001</v>
      </c>
      <c r="X3980">
        <v>0.97410739999999996</v>
      </c>
      <c r="Y3980">
        <v>0.12059930000000001</v>
      </c>
      <c r="Z3980">
        <v>0.1120588</v>
      </c>
      <c r="AA3980">
        <v>0.98635629999999996</v>
      </c>
      <c r="AB3980">
        <v>31</v>
      </c>
      <c r="AC3980">
        <v>-0.17490000000000799</v>
      </c>
      <c r="AD3980">
        <v>-9.35109999999999E-2</v>
      </c>
      <c r="AE3980">
        <v>-0.50759999999999605</v>
      </c>
      <c r="AF3980">
        <v>0.10159595827615001</v>
      </c>
      <c r="AG3980">
        <v>-9.35109999999999E-2</v>
      </c>
      <c r="AH3980">
        <v>0.51107945558275703</v>
      </c>
      <c r="AI3980">
        <v>100.173794991539</v>
      </c>
      <c r="AJ3980">
        <v>78.756909094748295</v>
      </c>
      <c r="AK3980">
        <v>0.52940367941469402</v>
      </c>
      <c r="AL3980">
        <v>80.671830157439402</v>
      </c>
      <c r="AM3980">
        <v>80.809031506019195</v>
      </c>
      <c r="AN3980">
        <v>1.0000000272576499</v>
      </c>
    </row>
    <row r="3981" spans="1:40" x14ac:dyDescent="0.25">
      <c r="A3981" t="str">
        <f>"20190312172449917"</f>
        <v>20190312172449917</v>
      </c>
      <c r="B3981" t="str">
        <f>"1552382689914559"</f>
        <v>1552382689914559</v>
      </c>
      <c r="C3981" t="s">
        <v>40</v>
      </c>
      <c r="D3981">
        <v>4.3975710000000001</v>
      </c>
      <c r="E3981">
        <v>0.49597669999999999</v>
      </c>
      <c r="F3981" t="s">
        <v>41</v>
      </c>
      <c r="G3981">
        <v>-190.12710000000001</v>
      </c>
      <c r="H3981">
        <v>1.021155</v>
      </c>
      <c r="I3981">
        <v>169.72370000000001</v>
      </c>
      <c r="J3981">
        <v>-189.95179999999999</v>
      </c>
      <c r="K3981">
        <v>1.1132070000000001</v>
      </c>
      <c r="L3981">
        <v>170.20240000000001</v>
      </c>
      <c r="M3981">
        <v>-0.13267699999999999</v>
      </c>
      <c r="N3981">
        <v>0</v>
      </c>
      <c r="O3981">
        <v>-0.99105149999999997</v>
      </c>
      <c r="P3981">
        <v>-0.30017460000000001</v>
      </c>
      <c r="Q3981">
        <v>0.14637530000000001</v>
      </c>
      <c r="R3981">
        <v>-0.94258649999999999</v>
      </c>
      <c r="S3981">
        <v>-0.81274409999999997</v>
      </c>
      <c r="T3981">
        <v>-0.35218430000000001</v>
      </c>
      <c r="U3981">
        <v>-2.9773860000000001</v>
      </c>
      <c r="V3981">
        <v>0.17136370000000001</v>
      </c>
      <c r="W3981">
        <v>0.16175400000000001</v>
      </c>
      <c r="X3981">
        <v>0.97183850000000005</v>
      </c>
      <c r="Y3981">
        <v>0.13129179999999999</v>
      </c>
      <c r="Z3981">
        <v>0.11337469999999999</v>
      </c>
      <c r="AA3981">
        <v>0.98483940000000003</v>
      </c>
      <c r="AB3981">
        <v>31</v>
      </c>
      <c r="AC3981">
        <v>-0.17530000000002099</v>
      </c>
      <c r="AD3981">
        <v>-9.2051999999999995E-2</v>
      </c>
      <c r="AE3981">
        <v>-0.47870000000000301</v>
      </c>
      <c r="AF3981">
        <v>0.10675001985132999</v>
      </c>
      <c r="AG3981">
        <v>-9.2051999999999995E-2</v>
      </c>
      <c r="AH3981">
        <v>0.48201172208456</v>
      </c>
      <c r="AI3981">
        <v>100.561897097996</v>
      </c>
      <c r="AJ3981">
        <v>77.512396271481094</v>
      </c>
      <c r="AK3981">
        <v>0.50219959943152304</v>
      </c>
      <c r="AL3981">
        <v>80.691280404740297</v>
      </c>
      <c r="AM3981">
        <v>79.9998655418581</v>
      </c>
      <c r="AN3981">
        <v>0.99999997213796898</v>
      </c>
    </row>
    <row r="3982" spans="1:40" x14ac:dyDescent="0.25">
      <c r="A3982" t="str">
        <f>"20190312172449940"</f>
        <v>20190312172449940</v>
      </c>
      <c r="B3982" t="str">
        <f>"1552382689934078"</f>
        <v>1552382689934078</v>
      </c>
      <c r="C3982" t="s">
        <v>40</v>
      </c>
      <c r="D3982">
        <v>4.3111040000000003</v>
      </c>
      <c r="E3982">
        <v>0.55274679999999998</v>
      </c>
      <c r="F3982" t="s">
        <v>41</v>
      </c>
      <c r="G3982">
        <v>-190.18</v>
      </c>
      <c r="H3982">
        <v>1.021801</v>
      </c>
      <c r="I3982">
        <v>169.44970000000001</v>
      </c>
      <c r="J3982">
        <v>-189.99209999999999</v>
      </c>
      <c r="K3982">
        <v>1.1125320000000001</v>
      </c>
      <c r="L3982">
        <v>169.88489999999999</v>
      </c>
      <c r="M3982">
        <v>-0.13089120000000001</v>
      </c>
      <c r="N3982">
        <v>0</v>
      </c>
      <c r="O3982">
        <v>-0.9912898</v>
      </c>
      <c r="P3982">
        <v>-0.311218099999999</v>
      </c>
      <c r="Q3982">
        <v>0.14498220000000001</v>
      </c>
      <c r="R3982">
        <v>-0.93921460000000001</v>
      </c>
      <c r="S3982">
        <v>-0.89440919999999902</v>
      </c>
      <c r="T3982">
        <v>-0.35879250000000001</v>
      </c>
      <c r="U3982">
        <v>-2.9536289999999998</v>
      </c>
      <c r="V3982">
        <v>0.18478439999999999</v>
      </c>
      <c r="W3982">
        <v>0.160079</v>
      </c>
      <c r="X3982">
        <v>0.96965429999999997</v>
      </c>
      <c r="Y3982">
        <v>0.16008159999999999</v>
      </c>
      <c r="Z3982">
        <v>0.1157188</v>
      </c>
      <c r="AA3982">
        <v>0.98029739999999999</v>
      </c>
      <c r="AB3982">
        <v>31</v>
      </c>
      <c r="AC3982">
        <v>-0.187900000000013</v>
      </c>
      <c r="AD3982">
        <v>-9.0731000000000103E-2</v>
      </c>
      <c r="AE3982">
        <v>-0.43519999999997999</v>
      </c>
      <c r="AF3982">
        <v>0.1247432278811</v>
      </c>
      <c r="AG3982">
        <v>-9.0731000000000103E-2</v>
      </c>
      <c r="AH3982">
        <v>0.43993504789143101</v>
      </c>
      <c r="AI3982">
        <v>101.222592939612</v>
      </c>
      <c r="AJ3982">
        <v>74.169357924912802</v>
      </c>
      <c r="AK3982">
        <v>0.46619291460341999</v>
      </c>
      <c r="AL3982">
        <v>80.788518411448706</v>
      </c>
      <c r="AM3982">
        <v>79.210664896870796</v>
      </c>
      <c r="AN3982">
        <v>1.00000001111642</v>
      </c>
    </row>
    <row r="3983" spans="1:40" x14ac:dyDescent="0.25">
      <c r="A3983" t="str">
        <f>"20190312172449964"</f>
        <v>20190312172449964</v>
      </c>
      <c r="B3983" t="str">
        <f>"1552382689954575"</f>
        <v>1552382689954575</v>
      </c>
      <c r="C3983" t="s">
        <v>40</v>
      </c>
      <c r="D3983">
        <v>4.4577390000000001</v>
      </c>
      <c r="E3983">
        <v>0.55249469999999901</v>
      </c>
      <c r="F3983" t="s">
        <v>43</v>
      </c>
      <c r="G3983">
        <v>-194.83680000000001</v>
      </c>
      <c r="H3983" s="1">
        <v>-1.443206E-6</v>
      </c>
      <c r="I3983">
        <v>159.9222</v>
      </c>
      <c r="J3983">
        <v>-190.03309999999999</v>
      </c>
      <c r="K3983">
        <v>1.111826</v>
      </c>
      <c r="L3983">
        <v>169.56469999999999</v>
      </c>
      <c r="M3983">
        <v>-0.1300375</v>
      </c>
      <c r="N3983">
        <v>0</v>
      </c>
      <c r="O3983">
        <v>-0.99140220000000001</v>
      </c>
      <c r="P3983">
        <v>-0.32193680000000002</v>
      </c>
      <c r="Q3983">
        <v>0.14302770000000001</v>
      </c>
      <c r="R3983">
        <v>-0.93589529999999999</v>
      </c>
      <c r="S3983">
        <v>-1.35788</v>
      </c>
      <c r="T3983">
        <v>-0.31181880000000001</v>
      </c>
      <c r="U3983">
        <v>-2.7923429999999998</v>
      </c>
      <c r="V3983">
        <v>0.19696330000000001</v>
      </c>
      <c r="W3983">
        <v>0.1577897</v>
      </c>
      <c r="X3983">
        <v>0.96762999999999999</v>
      </c>
      <c r="Y3983">
        <v>0.3144034</v>
      </c>
      <c r="Z3983">
        <v>0.1011799</v>
      </c>
      <c r="AA3983">
        <v>0.94388190000000005</v>
      </c>
      <c r="AB3983">
        <v>31</v>
      </c>
      <c r="AC3983">
        <v>-4.8037000000000196</v>
      </c>
      <c r="AD3983">
        <v>-1.111827443206</v>
      </c>
      <c r="AE3983">
        <v>-9.6424999999999805</v>
      </c>
      <c r="AF3983">
        <v>3.4719024756193799</v>
      </c>
      <c r="AG3983">
        <v>-1.111827443206</v>
      </c>
      <c r="AH3983">
        <v>10.0779889086112</v>
      </c>
      <c r="AI3983">
        <v>95.954770921157007</v>
      </c>
      <c r="AJ3983">
        <v>70.990990969352694</v>
      </c>
      <c r="AK3983">
        <v>10.7170951057536</v>
      </c>
      <c r="AL3983">
        <v>80.9213740411233</v>
      </c>
      <c r="AM3983">
        <v>78.494498919730603</v>
      </c>
      <c r="AN3983">
        <v>0.99999997393648898</v>
      </c>
    </row>
    <row r="3984" spans="1:40" x14ac:dyDescent="0.25">
      <c r="A3984" t="str">
        <f>"20190312172449986"</f>
        <v>20190312172449986</v>
      </c>
      <c r="B3984" t="str">
        <f>"1552382689974095"</f>
        <v>1552382689974095</v>
      </c>
      <c r="C3984" t="s">
        <v>40</v>
      </c>
      <c r="D3984">
        <v>4.2990709999999996</v>
      </c>
      <c r="E3984">
        <v>0.55405559999999998</v>
      </c>
      <c r="F3984" t="s">
        <v>49</v>
      </c>
      <c r="G3984">
        <v>-195.02690000000001</v>
      </c>
      <c r="H3984" s="1">
        <v>-1.497156E-5</v>
      </c>
      <c r="I3984">
        <v>159.59270000000001</v>
      </c>
      <c r="J3984">
        <v>-190.07390000000001</v>
      </c>
      <c r="K3984">
        <v>1.1111329999999999</v>
      </c>
      <c r="L3984">
        <v>169.25049999999999</v>
      </c>
      <c r="M3984">
        <v>-0.13008349999999999</v>
      </c>
      <c r="N3984">
        <v>0</v>
      </c>
      <c r="O3984">
        <v>-0.99139639999999996</v>
      </c>
      <c r="P3984">
        <v>-0.33138299999999998</v>
      </c>
      <c r="Q3984">
        <v>0.14183419999999999</v>
      </c>
      <c r="R3984">
        <v>-0.93277469999999996</v>
      </c>
      <c r="S3984">
        <v>-1.3895569999999999</v>
      </c>
      <c r="T3984">
        <v>-0.30937500000000001</v>
      </c>
      <c r="U3984">
        <v>-2.77475</v>
      </c>
      <c r="V3984">
        <v>0.20695749999999999</v>
      </c>
      <c r="W3984">
        <v>0.15623419999999999</v>
      </c>
      <c r="X3984">
        <v>0.96579470000000001</v>
      </c>
      <c r="Y3984">
        <v>0.3253741</v>
      </c>
      <c r="Z3984">
        <v>0.1005281</v>
      </c>
      <c r="AA3984">
        <v>0.94022649999999997</v>
      </c>
      <c r="AB3984">
        <v>31</v>
      </c>
      <c r="AC3984">
        <v>-4.9530000000000003</v>
      </c>
      <c r="AD3984">
        <v>-1.1111479715599999</v>
      </c>
      <c r="AE3984">
        <v>-9.6577999999999804</v>
      </c>
      <c r="AF3984">
        <v>3.61654937303339</v>
      </c>
      <c r="AG3984">
        <v>-1.1111479715599999</v>
      </c>
      <c r="AH3984">
        <v>10.114092365418699</v>
      </c>
      <c r="AI3984">
        <v>95.906061623211201</v>
      </c>
      <c r="AJ3984">
        <v>70.324205846213104</v>
      </c>
      <c r="AK3984">
        <v>10.7985621060635</v>
      </c>
      <c r="AL3984">
        <v>81.011616887907294</v>
      </c>
      <c r="AM3984">
        <v>77.905158247416097</v>
      </c>
      <c r="AN3984">
        <v>0.99999996730198903</v>
      </c>
    </row>
    <row r="3985" spans="1:40" x14ac:dyDescent="0.25">
      <c r="A3985" t="str">
        <f>"20190312172450008"</f>
        <v>20190312172450008</v>
      </c>
      <c r="B3985" t="str">
        <f>"1552382690004351"</f>
        <v>1552382690004351</v>
      </c>
      <c r="C3985" t="s">
        <v>40</v>
      </c>
      <c r="D3985">
        <v>4.3612650000000004</v>
      </c>
      <c r="E3985">
        <v>0.55254879999999995</v>
      </c>
      <c r="F3985" t="s">
        <v>43</v>
      </c>
      <c r="G3985">
        <v>-194.94130000000001</v>
      </c>
      <c r="H3985" s="1">
        <v>-1.448225E-6</v>
      </c>
      <c r="I3985">
        <v>159.87389999999999</v>
      </c>
      <c r="J3985">
        <v>-190.11259999999999</v>
      </c>
      <c r="K3985">
        <v>1.110544</v>
      </c>
      <c r="L3985">
        <v>168.95910000000001</v>
      </c>
      <c r="M3985">
        <v>-0.13076670000000001</v>
      </c>
      <c r="N3985">
        <v>0</v>
      </c>
      <c r="O3985">
        <v>-0.99130680000000004</v>
      </c>
      <c r="P3985">
        <v>-0.33991539999999998</v>
      </c>
      <c r="Q3985">
        <v>0.14078389999999999</v>
      </c>
      <c r="R3985">
        <v>-0.92985930000000006</v>
      </c>
      <c r="S3985">
        <v>-1.4313659999999999</v>
      </c>
      <c r="T3985">
        <v>-0.32675300000000002</v>
      </c>
      <c r="U3985">
        <v>-2.7573850000000002</v>
      </c>
      <c r="V3985">
        <v>0.21535509999999999</v>
      </c>
      <c r="W3985">
        <v>0.15485079999999901</v>
      </c>
      <c r="X3985">
        <v>0.96418020000000004</v>
      </c>
      <c r="Y3985">
        <v>0.33809359999999999</v>
      </c>
      <c r="Z3985">
        <v>0.1060947</v>
      </c>
      <c r="AA3985">
        <v>0.93511319999999998</v>
      </c>
      <c r="AB3985">
        <v>31</v>
      </c>
      <c r="AC3985">
        <v>-4.82870000000002</v>
      </c>
      <c r="AD3985">
        <v>-1.1105454482249999</v>
      </c>
      <c r="AE3985">
        <v>-9.0852000000000093</v>
      </c>
      <c r="AF3985">
        <v>3.5576123632838601</v>
      </c>
      <c r="AG3985">
        <v>-1.1105454482249999</v>
      </c>
      <c r="AH3985">
        <v>9.5276661067382893</v>
      </c>
      <c r="AI3985">
        <v>96.231779289133996</v>
      </c>
      <c r="AJ3985">
        <v>69.524463942565205</v>
      </c>
      <c r="AK3985">
        <v>10.2306567903264</v>
      </c>
      <c r="AL3985">
        <v>81.091856965191198</v>
      </c>
      <c r="AM3985">
        <v>77.409322299683595</v>
      </c>
      <c r="AN3985">
        <v>1.00000002371434</v>
      </c>
    </row>
    <row r="3986" spans="1:40" x14ac:dyDescent="0.25">
      <c r="A3986" t="str">
        <f>"20190312172450031"</f>
        <v>20190312172450031</v>
      </c>
      <c r="B3986" t="str">
        <f>"1552382690023871"</f>
        <v>1552382690023871</v>
      </c>
      <c r="C3986" t="s">
        <v>40</v>
      </c>
      <c r="D3986">
        <v>4.3279329999999998</v>
      </c>
      <c r="E3986">
        <v>0.55158790000000002</v>
      </c>
      <c r="F3986" t="s">
        <v>43</v>
      </c>
      <c r="G3986">
        <v>-194.983</v>
      </c>
      <c r="H3986" s="1">
        <v>-1.382183E-6</v>
      </c>
      <c r="I3986">
        <v>159.71080000000001</v>
      </c>
      <c r="J3986">
        <v>-190.1558</v>
      </c>
      <c r="K3986">
        <v>1.109931</v>
      </c>
      <c r="L3986">
        <v>168.6405</v>
      </c>
      <c r="M3986">
        <v>-0.13224949999999999</v>
      </c>
      <c r="N3986">
        <v>0</v>
      </c>
      <c r="O3986">
        <v>-0.99111050000000001</v>
      </c>
      <c r="P3986">
        <v>-0.34824060000000001</v>
      </c>
      <c r="Q3986">
        <v>0.14068020000000001</v>
      </c>
      <c r="R3986">
        <v>-0.92678919999999998</v>
      </c>
      <c r="S3986">
        <v>-1.446823</v>
      </c>
      <c r="T3986">
        <v>-0.32990229999999998</v>
      </c>
      <c r="U3986">
        <v>-2.7473450000000001</v>
      </c>
      <c r="V3986">
        <v>0.22279640000000001</v>
      </c>
      <c r="W3986">
        <v>0.15438160000000001</v>
      </c>
      <c r="X3986">
        <v>0.96256330000000001</v>
      </c>
      <c r="Y3986">
        <v>0.34215329999999999</v>
      </c>
      <c r="Z3986">
        <v>0.1072033</v>
      </c>
      <c r="AA3986">
        <v>0.93350880000000003</v>
      </c>
      <c r="AB3986">
        <v>31</v>
      </c>
      <c r="AC3986">
        <v>-4.8272000000000004</v>
      </c>
      <c r="AD3986">
        <v>-1.1099323821830001</v>
      </c>
      <c r="AE3986">
        <v>-8.9296999999999898</v>
      </c>
      <c r="AF3986">
        <v>3.5611421768179001</v>
      </c>
      <c r="AG3986">
        <v>-1.1099323821830001</v>
      </c>
      <c r="AH3986">
        <v>9.3775935950122395</v>
      </c>
      <c r="AI3986">
        <v>96.314104428221</v>
      </c>
      <c r="AJ3986">
        <v>69.205721192169804</v>
      </c>
      <c r="AK3986">
        <v>10.0922220115168</v>
      </c>
      <c r="AL3986">
        <v>81.119067240862194</v>
      </c>
      <c r="AM3986">
        <v>76.967727215339707</v>
      </c>
      <c r="AN3986">
        <v>1.0000000103891999</v>
      </c>
    </row>
    <row r="3987" spans="1:40" x14ac:dyDescent="0.25">
      <c r="A3987" t="str">
        <f>"20190312172450053"</f>
        <v>20190312172450053</v>
      </c>
      <c r="B3987" t="str">
        <f>"1552382690044367"</f>
        <v>1552382690044367</v>
      </c>
      <c r="C3987" t="s">
        <v>40</v>
      </c>
      <c r="D3987">
        <v>4.3743990000000004</v>
      </c>
      <c r="E3987">
        <v>0.55060149999999997</v>
      </c>
      <c r="F3987" t="s">
        <v>49</v>
      </c>
      <c r="G3987">
        <v>-195.0368</v>
      </c>
      <c r="H3987" s="1">
        <v>-1.495158E-5</v>
      </c>
      <c r="I3987">
        <v>159.51329999999999</v>
      </c>
      <c r="J3987">
        <v>-190.19839999999999</v>
      </c>
      <c r="K3987">
        <v>1.109345</v>
      </c>
      <c r="L3987">
        <v>168.33510000000001</v>
      </c>
      <c r="M3987">
        <v>-0.1343664</v>
      </c>
      <c r="N3987">
        <v>0</v>
      </c>
      <c r="O3987">
        <v>-0.99082570000000003</v>
      </c>
      <c r="P3987">
        <v>-0.35630580000000001</v>
      </c>
      <c r="Q3987">
        <v>0.1402891</v>
      </c>
      <c r="R3987">
        <v>-0.92377779999999998</v>
      </c>
      <c r="S3987">
        <v>-1.463913</v>
      </c>
      <c r="T3987">
        <v>-0.33289829999999998</v>
      </c>
      <c r="U3987">
        <v>-2.737457</v>
      </c>
      <c r="V3987">
        <v>0.22934579999999999</v>
      </c>
      <c r="W3987">
        <v>0.15363199999999999</v>
      </c>
      <c r="X3987">
        <v>0.961144</v>
      </c>
      <c r="Y3987">
        <v>0.34602539999999998</v>
      </c>
      <c r="Z3987">
        <v>0.10823140000000001</v>
      </c>
      <c r="AA3987">
        <v>0.93196159999999995</v>
      </c>
      <c r="AB3987">
        <v>31</v>
      </c>
      <c r="AC3987">
        <v>-4.8384</v>
      </c>
      <c r="AD3987">
        <v>-1.1093599515799999</v>
      </c>
      <c r="AE3987">
        <v>-8.8218000000000192</v>
      </c>
      <c r="AF3987">
        <v>3.56568952475142</v>
      </c>
      <c r="AG3987">
        <v>-1.1093599515799999</v>
      </c>
      <c r="AH3987">
        <v>9.2791667500441708</v>
      </c>
      <c r="AI3987">
        <v>96.367747759005695</v>
      </c>
      <c r="AJ3987">
        <v>68.979815360773799</v>
      </c>
      <c r="AK3987">
        <v>10.002387558189101</v>
      </c>
      <c r="AL3987">
        <v>81.162534980829506</v>
      </c>
      <c r="AM3987">
        <v>76.579186293253798</v>
      </c>
      <c r="AN3987">
        <v>1.0000000380688101</v>
      </c>
    </row>
    <row r="3988" spans="1:40" x14ac:dyDescent="0.25">
      <c r="A3988" t="str">
        <f>"20190312172450073"</f>
        <v>20190312172450073</v>
      </c>
      <c r="B3988" t="str">
        <f>"1552382690064863"</f>
        <v>1552382690064863</v>
      </c>
      <c r="C3988" t="s">
        <v>40</v>
      </c>
      <c r="D3988">
        <v>4.4230499999999999</v>
      </c>
      <c r="E3988">
        <v>0.54984500000000003</v>
      </c>
      <c r="F3988" t="s">
        <v>49</v>
      </c>
      <c r="G3988">
        <v>-195.13550000000001</v>
      </c>
      <c r="H3988" s="1">
        <v>-1.487835E-5</v>
      </c>
      <c r="I3988">
        <v>159.22229999999999</v>
      </c>
      <c r="J3988">
        <v>-190.23949999999999</v>
      </c>
      <c r="K3988">
        <v>1.1087990000000001</v>
      </c>
      <c r="L3988">
        <v>168.04859999999999</v>
      </c>
      <c r="M3988">
        <v>-0.13693329999999901</v>
      </c>
      <c r="N3988">
        <v>0</v>
      </c>
      <c r="O3988">
        <v>-0.99047419999999997</v>
      </c>
      <c r="P3988">
        <v>-0.3648576</v>
      </c>
      <c r="Q3988">
        <v>0.1389859</v>
      </c>
      <c r="R3988">
        <v>-0.92063130000000004</v>
      </c>
      <c r="S3988">
        <v>-1.47792099999999</v>
      </c>
      <c r="T3988">
        <v>-0.3320842</v>
      </c>
      <c r="U3988">
        <v>-2.7279049999999998</v>
      </c>
      <c r="V3988">
        <v>0.2359453</v>
      </c>
      <c r="W3988">
        <v>0.15198220000000001</v>
      </c>
      <c r="X3988">
        <v>0.95980790000000005</v>
      </c>
      <c r="Y3988">
        <v>0.34866770000000002</v>
      </c>
      <c r="Z3988">
        <v>0.1080637</v>
      </c>
      <c r="AA3988">
        <v>0.93099569999999998</v>
      </c>
      <c r="AB3988">
        <v>31</v>
      </c>
      <c r="AC3988">
        <v>-4.8960000000000097</v>
      </c>
      <c r="AD3988">
        <v>-1.1088138783499999</v>
      </c>
      <c r="AE3988">
        <v>-8.8262999999999998</v>
      </c>
      <c r="AF3988">
        <v>3.5977109984952498</v>
      </c>
      <c r="AG3988">
        <v>-1.1088138783499999</v>
      </c>
      <c r="AH3988">
        <v>9.30138347824699</v>
      </c>
      <c r="AI3988">
        <v>96.344226438142897</v>
      </c>
      <c r="AJ3988">
        <v>68.853873305343299</v>
      </c>
      <c r="AK3988">
        <v>10.0343772729014</v>
      </c>
      <c r="AL3988">
        <v>81.258184445366794</v>
      </c>
      <c r="AM3988">
        <v>76.1890860227834</v>
      </c>
      <c r="AN3988">
        <v>0.99999998930566902</v>
      </c>
    </row>
    <row r="3989" spans="1:40" x14ac:dyDescent="0.25">
      <c r="A3989" t="str">
        <f>"20190312172450096"</f>
        <v>20190312172450096</v>
      </c>
      <c r="B3989" t="str">
        <f>"1552382690084383"</f>
        <v>1552382690084383</v>
      </c>
      <c r="C3989" t="s">
        <v>40</v>
      </c>
      <c r="D3989">
        <v>4.3439360000000002</v>
      </c>
      <c r="E3989">
        <v>0.54896979999999995</v>
      </c>
      <c r="F3989" t="s">
        <v>49</v>
      </c>
      <c r="G3989">
        <v>-195.23349999999999</v>
      </c>
      <c r="H3989" s="1">
        <v>-1.482046E-5</v>
      </c>
      <c r="I3989">
        <v>158.9922</v>
      </c>
      <c r="J3989">
        <v>-190.28469999999999</v>
      </c>
      <c r="K3989">
        <v>1.1082399999999999</v>
      </c>
      <c r="L3989">
        <v>167.74430000000001</v>
      </c>
      <c r="M3989">
        <v>-0.1402108</v>
      </c>
      <c r="N3989">
        <v>0</v>
      </c>
      <c r="O3989">
        <v>-0.9900156</v>
      </c>
      <c r="P3989">
        <v>-0.37339729999999999</v>
      </c>
      <c r="Q3989">
        <v>0.13615949999999999</v>
      </c>
      <c r="R3989">
        <v>-0.91762469999999996</v>
      </c>
      <c r="S3989">
        <v>-1.49736</v>
      </c>
      <c r="T3989">
        <v>-0.33245669999999999</v>
      </c>
      <c r="U3989">
        <v>-2.7153930000000002</v>
      </c>
      <c r="V3989">
        <v>0.2418247</v>
      </c>
      <c r="W3989">
        <v>0.14879779999999901</v>
      </c>
      <c r="X3989">
        <v>0.95884309999999995</v>
      </c>
      <c r="Y3989">
        <v>0.3524757</v>
      </c>
      <c r="Z3989">
        <v>0.1082867</v>
      </c>
      <c r="AA3989">
        <v>0.92953479999999999</v>
      </c>
      <c r="AB3989">
        <v>31</v>
      </c>
      <c r="AC3989">
        <v>-4.9488000000000003</v>
      </c>
      <c r="AD3989">
        <v>-1.10825482045999</v>
      </c>
      <c r="AE3989">
        <v>-8.7521000000000093</v>
      </c>
      <c r="AF3989">
        <v>3.6285495831504702</v>
      </c>
      <c r="AG3989">
        <v>-1.10825482045999</v>
      </c>
      <c r="AH3989">
        <v>9.2472212230773501</v>
      </c>
      <c r="AI3989">
        <v>96.365917774054495</v>
      </c>
      <c r="AJ3989">
        <v>68.575279886349804</v>
      </c>
      <c r="AK3989">
        <v>9.9952839465913392</v>
      </c>
      <c r="AL3989">
        <v>81.442736521270007</v>
      </c>
      <c r="AM3989">
        <v>75.844930972170204</v>
      </c>
      <c r="AN3989">
        <v>1.00000003061626</v>
      </c>
    </row>
    <row r="3990" spans="1:40" x14ac:dyDescent="0.25">
      <c r="A3990" t="str">
        <f>"20190312172450119"</f>
        <v>20190312172450119</v>
      </c>
      <c r="B3990" t="str">
        <f>"1552382690114639"</f>
        <v>1552382690114639</v>
      </c>
      <c r="C3990" t="s">
        <v>40</v>
      </c>
      <c r="D3990">
        <v>4.3822769999999904</v>
      </c>
      <c r="E3990">
        <v>0.54787019999999997</v>
      </c>
      <c r="F3990" t="s">
        <v>49</v>
      </c>
      <c r="G3990">
        <v>-195.24189999999999</v>
      </c>
      <c r="H3990" s="1">
        <v>-1.4799739999999999E-5</v>
      </c>
      <c r="I3990">
        <v>158.90989999999999</v>
      </c>
      <c r="J3990">
        <v>-190.33199999999999</v>
      </c>
      <c r="K3990">
        <v>1.107728</v>
      </c>
      <c r="L3990">
        <v>167.43629999999999</v>
      </c>
      <c r="M3990">
        <v>-0.14404339999999999</v>
      </c>
      <c r="N3990">
        <v>0</v>
      </c>
      <c r="O3990">
        <v>-0.98946529999999999</v>
      </c>
      <c r="P3990">
        <v>-0.38292110000000001</v>
      </c>
      <c r="Q3990">
        <v>0.13373189999999999</v>
      </c>
      <c r="R3990">
        <v>-0.91405009999999998</v>
      </c>
      <c r="S3990">
        <v>-1.516464</v>
      </c>
      <c r="T3990">
        <v>-0.33902690000000002</v>
      </c>
      <c r="U3990">
        <v>-2.7025450000000002</v>
      </c>
      <c r="V3990">
        <v>0.24820929999999999</v>
      </c>
      <c r="W3990">
        <v>0.14601610000000001</v>
      </c>
      <c r="X3990">
        <v>0.95763849999999995</v>
      </c>
      <c r="Y3990">
        <v>0.35561219999999999</v>
      </c>
      <c r="Z3990">
        <v>0.1105146</v>
      </c>
      <c r="AA3990">
        <v>0.92807669999999998</v>
      </c>
      <c r="AB3990">
        <v>31</v>
      </c>
      <c r="AC3990">
        <v>-4.9098999999999897</v>
      </c>
      <c r="AD3990">
        <v>-1.10774279974</v>
      </c>
      <c r="AE3990">
        <v>-8.52639999999999</v>
      </c>
      <c r="AF3990">
        <v>3.5849433352837301</v>
      </c>
      <c r="AG3990">
        <v>-1.10774279974</v>
      </c>
      <c r="AH3990">
        <v>9.0303097741753398</v>
      </c>
      <c r="AI3990">
        <v>96.504413663044502</v>
      </c>
      <c r="AJ3990">
        <v>68.347413713799597</v>
      </c>
      <c r="AK3990">
        <v>9.7788244408588199</v>
      </c>
      <c r="AL3990">
        <v>81.603876520030497</v>
      </c>
      <c r="AM3990">
        <v>75.469320659137693</v>
      </c>
      <c r="AN3990">
        <v>1.00000002737397</v>
      </c>
    </row>
    <row r="3991" spans="1:40" x14ac:dyDescent="0.25">
      <c r="A3991" t="str">
        <f>"20190312172450141"</f>
        <v>20190312172450141</v>
      </c>
      <c r="B3991" t="str">
        <f>"1552382690134159"</f>
        <v>1552382690134159</v>
      </c>
      <c r="C3991" t="s">
        <v>40</v>
      </c>
      <c r="D3991">
        <v>4.3707029999999998</v>
      </c>
      <c r="E3991">
        <v>0.54723330000000003</v>
      </c>
      <c r="F3991" t="s">
        <v>49</v>
      </c>
      <c r="G3991">
        <v>-195.23859999999999</v>
      </c>
      <c r="H3991" s="1">
        <v>-1.478204E-5</v>
      </c>
      <c r="I3991">
        <v>158.83949999999999</v>
      </c>
      <c r="J3991">
        <v>-190.38220000000001</v>
      </c>
      <c r="K3991">
        <v>1.1072869999999999</v>
      </c>
      <c r="L3991">
        <v>167.12219999999999</v>
      </c>
      <c r="M3991">
        <v>-0.14842729999999901</v>
      </c>
      <c r="N3991">
        <v>0</v>
      </c>
      <c r="O3991">
        <v>-0.98881699999999995</v>
      </c>
      <c r="P3991">
        <v>-0.39313670000000001</v>
      </c>
      <c r="Q3991">
        <v>0.1329227</v>
      </c>
      <c r="R3991">
        <v>-0.90982169999999896</v>
      </c>
      <c r="S3991">
        <v>-1.53511</v>
      </c>
      <c r="T3991">
        <v>-0.34658060000000002</v>
      </c>
      <c r="U3991">
        <v>-2.6896819999999999</v>
      </c>
      <c r="V3991">
        <v>0.25483529999999999</v>
      </c>
      <c r="W3991">
        <v>0.14487059999999999</v>
      </c>
      <c r="X3991">
        <v>0.9560708</v>
      </c>
      <c r="Y3991">
        <v>0.35809020000000003</v>
      </c>
      <c r="Z3991">
        <v>0.1130612</v>
      </c>
      <c r="AA3991">
        <v>0.92681630000000004</v>
      </c>
      <c r="AB3991">
        <v>31</v>
      </c>
      <c r="AC3991">
        <v>-4.8563999999999696</v>
      </c>
      <c r="AD3991">
        <v>-1.10730178204</v>
      </c>
      <c r="AE3991">
        <v>-8.2827000000000002</v>
      </c>
      <c r="AF3991">
        <v>3.52618868451037</v>
      </c>
      <c r="AG3991">
        <v>-1.10730178204</v>
      </c>
      <c r="AH3991">
        <v>8.7948603537762704</v>
      </c>
      <c r="AI3991">
        <v>96.665378625125001</v>
      </c>
      <c r="AJ3991">
        <v>68.152303216187093</v>
      </c>
      <c r="AK3991">
        <v>9.5399000266094802</v>
      </c>
      <c r="AL3991">
        <v>81.670213566195699</v>
      </c>
      <c r="AM3991">
        <v>75.075124291300895</v>
      </c>
      <c r="AN3991">
        <v>0.99999994774154299</v>
      </c>
    </row>
    <row r="3992" spans="1:40" x14ac:dyDescent="0.25">
      <c r="A3992" t="str">
        <f>"20190312172450163"</f>
        <v>20190312172450163</v>
      </c>
      <c r="B3992" t="str">
        <f>"1552382690154658"</f>
        <v>1552382690154658</v>
      </c>
      <c r="C3992" t="s">
        <v>40</v>
      </c>
      <c r="D3992">
        <v>4.3690239999999996</v>
      </c>
      <c r="E3992">
        <v>0.54660730000000002</v>
      </c>
      <c r="F3992" t="s">
        <v>49</v>
      </c>
      <c r="G3992">
        <v>-195.35300000000001</v>
      </c>
      <c r="H3992" s="1">
        <v>-1.471989E-5</v>
      </c>
      <c r="I3992">
        <v>158.5925</v>
      </c>
      <c r="J3992">
        <v>-190.43119999999999</v>
      </c>
      <c r="K3992">
        <v>1.106948</v>
      </c>
      <c r="L3992">
        <v>166.82660000000001</v>
      </c>
      <c r="M3992">
        <v>-0.1529385</v>
      </c>
      <c r="N3992">
        <v>0</v>
      </c>
      <c r="O3992">
        <v>-0.98812920000000004</v>
      </c>
      <c r="P3992">
        <v>-0.4044856</v>
      </c>
      <c r="Q3992">
        <v>0.13360830000000001</v>
      </c>
      <c r="R3992">
        <v>-0.90473219999999999</v>
      </c>
      <c r="S3992">
        <v>-1.5586549999999999</v>
      </c>
      <c r="T3992">
        <v>-0.34720649999999997</v>
      </c>
      <c r="U3992">
        <v>-2.6745760000000001</v>
      </c>
      <c r="V3992">
        <v>0.26257839999999999</v>
      </c>
      <c r="W3992">
        <v>0.1452552</v>
      </c>
      <c r="X3992">
        <v>0.95391490000000001</v>
      </c>
      <c r="Y3992">
        <v>0.36217729999999998</v>
      </c>
      <c r="Z3992">
        <v>0.11336690000000001</v>
      </c>
      <c r="AA3992">
        <v>0.9251895</v>
      </c>
      <c r="AB3992">
        <v>31</v>
      </c>
      <c r="AC3992">
        <v>-4.9217999999999904</v>
      </c>
      <c r="AD3992">
        <v>-1.1069627198899901</v>
      </c>
      <c r="AE3992">
        <v>-8.2341000000000104</v>
      </c>
      <c r="AF3992">
        <v>3.5570779675014501</v>
      </c>
      <c r="AG3992">
        <v>-1.1069627198899901</v>
      </c>
      <c r="AH3992">
        <v>8.7732021686746595</v>
      </c>
      <c r="AI3992">
        <v>96.669310189926804</v>
      </c>
      <c r="AJ3992">
        <v>67.930000568036306</v>
      </c>
      <c r="AK3992">
        <v>9.5313821884629295</v>
      </c>
      <c r="AL3992">
        <v>81.647942997771295</v>
      </c>
      <c r="AM3992">
        <v>74.609688831715999</v>
      </c>
      <c r="AN3992">
        <v>1.0000000628578001</v>
      </c>
    </row>
    <row r="3993" spans="1:40" x14ac:dyDescent="0.25">
      <c r="A3993" t="str">
        <f>"20190312172450184"</f>
        <v>20190312172450184</v>
      </c>
      <c r="B3993" t="str">
        <f>"1552382690174175"</f>
        <v>1552382690174175</v>
      </c>
      <c r="C3993" t="s">
        <v>40</v>
      </c>
      <c r="D3993">
        <v>4.3467159999999998</v>
      </c>
      <c r="E3993">
        <v>0.54601630000000001</v>
      </c>
      <c r="F3993" t="s">
        <v>49</v>
      </c>
      <c r="G3993">
        <v>-195.52420000000001</v>
      </c>
      <c r="H3993" s="1">
        <v>-1.464091E-5</v>
      </c>
      <c r="I3993">
        <v>158.27860000000001</v>
      </c>
      <c r="J3993">
        <v>-190.48140000000001</v>
      </c>
      <c r="K3993">
        <v>1.1066860000000001</v>
      </c>
      <c r="L3993">
        <v>166.53370000000001</v>
      </c>
      <c r="M3993">
        <v>-0.1576573</v>
      </c>
      <c r="N3993">
        <v>0</v>
      </c>
      <c r="O3993">
        <v>-0.98738729999999997</v>
      </c>
      <c r="P3993">
        <v>-0.414854</v>
      </c>
      <c r="Q3993">
        <v>0.13611760000000001</v>
      </c>
      <c r="R3993">
        <v>-0.89964900000000003</v>
      </c>
      <c r="S3993">
        <v>-1.5840449999999999</v>
      </c>
      <c r="T3993">
        <v>-0.3442886</v>
      </c>
      <c r="U3993">
        <v>-2.6585999999999999</v>
      </c>
      <c r="V3993">
        <v>0.26916180000000001</v>
      </c>
      <c r="W3993">
        <v>0.1475127</v>
      </c>
      <c r="X3993">
        <v>0.95173099999999999</v>
      </c>
      <c r="Y3993">
        <v>0.36673820000000001</v>
      </c>
      <c r="Z3993">
        <v>0.11251800000000001</v>
      </c>
      <c r="AA3993">
        <v>0.92349490000000001</v>
      </c>
      <c r="AB3993">
        <v>31</v>
      </c>
      <c r="AC3993">
        <v>-5.0427999999999997</v>
      </c>
      <c r="AD3993">
        <v>-1.10670064091</v>
      </c>
      <c r="AE3993">
        <v>-8.2550999999999899</v>
      </c>
      <c r="AF3993">
        <v>3.6305876900126601</v>
      </c>
      <c r="AG3993">
        <v>-1.10670064091</v>
      </c>
      <c r="AH3993">
        <v>8.8313665274822704</v>
      </c>
      <c r="AI3993">
        <v>96.6112463852063</v>
      </c>
      <c r="AJ3993">
        <v>67.652364582094606</v>
      </c>
      <c r="AK3993">
        <v>9.6124392339403801</v>
      </c>
      <c r="AL3993">
        <v>81.517188579415901</v>
      </c>
      <c r="AM3993">
        <v>74.208412795198299</v>
      </c>
      <c r="AN3993">
        <v>0.99999998380076405</v>
      </c>
    </row>
    <row r="3994" spans="1:40" x14ac:dyDescent="0.25">
      <c r="A3994" t="str">
        <f>"20190312172450208"</f>
        <v>20190312172450208</v>
      </c>
      <c r="B3994" t="str">
        <f>"1552382690204432"</f>
        <v>1552382690204432</v>
      </c>
      <c r="C3994" t="s">
        <v>40</v>
      </c>
      <c r="D3994">
        <v>4.3591749999999996</v>
      </c>
      <c r="E3994">
        <v>0.54497689999999999</v>
      </c>
      <c r="F3994" t="s">
        <v>49</v>
      </c>
      <c r="G3994">
        <v>-195.80070000000001</v>
      </c>
      <c r="H3994" s="1">
        <v>-1.452056E-5</v>
      </c>
      <c r="I3994">
        <v>157.80029999999999</v>
      </c>
      <c r="J3994">
        <v>-190.53530000000001</v>
      </c>
      <c r="K3994">
        <v>1.1064879999999999</v>
      </c>
      <c r="L3994">
        <v>166.22980000000001</v>
      </c>
      <c r="M3994">
        <v>-0.16274669999999999</v>
      </c>
      <c r="N3994">
        <v>0</v>
      </c>
      <c r="O3994">
        <v>-0.98656140000000003</v>
      </c>
      <c r="P3994">
        <v>-0.42476649999999999</v>
      </c>
      <c r="Q3994">
        <v>0.13676720000000001</v>
      </c>
      <c r="R3994">
        <v>-0.89491259999999995</v>
      </c>
      <c r="S3994">
        <v>-1.6097870000000001</v>
      </c>
      <c r="T3994">
        <v>-0.33492169999999999</v>
      </c>
      <c r="U3994">
        <v>-2.6429900000000002</v>
      </c>
      <c r="V3994">
        <v>0.27486860000000002</v>
      </c>
      <c r="W3994">
        <v>0.14795410000000001</v>
      </c>
      <c r="X3994">
        <v>0.95002989999999998</v>
      </c>
      <c r="Y3994">
        <v>0.37109940000000002</v>
      </c>
      <c r="Z3994">
        <v>0.1095535</v>
      </c>
      <c r="AA3994">
        <v>0.92210809999999999</v>
      </c>
      <c r="AB3994">
        <v>31</v>
      </c>
      <c r="AC3994">
        <v>-5.2653999999999996</v>
      </c>
      <c r="AD3994">
        <v>-1.1065025205600001</v>
      </c>
      <c r="AE3994">
        <v>-8.4295000000000098</v>
      </c>
      <c r="AF3994">
        <v>3.7763623389222198</v>
      </c>
      <c r="AG3994">
        <v>-1.1065025205600001</v>
      </c>
      <c r="AH3994">
        <v>9.0617925484005006</v>
      </c>
      <c r="AI3994">
        <v>96.430716105827599</v>
      </c>
      <c r="AJ3994">
        <v>67.376819451421198</v>
      </c>
      <c r="AK3994">
        <v>9.8793392761400103</v>
      </c>
      <c r="AL3994">
        <v>81.491617664233999</v>
      </c>
      <c r="AM3994">
        <v>73.863455118148096</v>
      </c>
      <c r="AN3994">
        <v>0.99999998693338998</v>
      </c>
    </row>
    <row r="3995" spans="1:40" x14ac:dyDescent="0.25">
      <c r="A3995" t="str">
        <f>"20190312172450232"</f>
        <v>20190312172450232</v>
      </c>
      <c r="B3995" t="str">
        <f>"1552382690223951"</f>
        <v>1552382690223951</v>
      </c>
      <c r="C3995" t="s">
        <v>40</v>
      </c>
      <c r="D3995">
        <v>4.3452440000000001</v>
      </c>
      <c r="E3995">
        <v>0.54463819999999996</v>
      </c>
      <c r="F3995" t="s">
        <v>49</v>
      </c>
      <c r="G3995">
        <v>-196.00139999999999</v>
      </c>
      <c r="H3995" s="1">
        <v>-1.4424670000000001E-5</v>
      </c>
      <c r="I3995">
        <v>157.41919999999999</v>
      </c>
      <c r="J3995">
        <v>-190.59549999999999</v>
      </c>
      <c r="K3995">
        <v>1.106317</v>
      </c>
      <c r="L3995">
        <v>165.90129999999999</v>
      </c>
      <c r="M3995">
        <v>-0.168406</v>
      </c>
      <c r="N3995">
        <v>0</v>
      </c>
      <c r="O3995">
        <v>-0.98561109999999996</v>
      </c>
      <c r="P3995">
        <v>-0.43428220000000001</v>
      </c>
      <c r="Q3995">
        <v>0.13648640000000001</v>
      </c>
      <c r="R3995">
        <v>-0.89037690000000003</v>
      </c>
      <c r="S3995">
        <v>-1.630844</v>
      </c>
      <c r="T3995">
        <v>-0.33013199999999998</v>
      </c>
      <c r="U3995">
        <v>-2.6286930000000002</v>
      </c>
      <c r="V3995">
        <v>0.27959889999999998</v>
      </c>
      <c r="W3995">
        <v>0.14749949999999901</v>
      </c>
      <c r="X3995">
        <v>0.94871930000000004</v>
      </c>
      <c r="Y3995">
        <v>0.37343779999999999</v>
      </c>
      <c r="Z3995">
        <v>0.108083</v>
      </c>
      <c r="AA3995">
        <v>0.92133719999999997</v>
      </c>
      <c r="AB3995">
        <v>31</v>
      </c>
      <c r="AC3995">
        <v>-5.4058999999999999</v>
      </c>
      <c r="AD3995">
        <v>-1.10633142467</v>
      </c>
      <c r="AE3995">
        <v>-8.4821000000000009</v>
      </c>
      <c r="AF3995">
        <v>3.8534684724401398</v>
      </c>
      <c r="AG3995">
        <v>-1.10633142467</v>
      </c>
      <c r="AH3995">
        <v>9.1605859511600904</v>
      </c>
      <c r="AI3995">
        <v>96.352148855236095</v>
      </c>
      <c r="AJ3995">
        <v>67.185582473457302</v>
      </c>
      <c r="AK3995">
        <v>9.9994761591742396</v>
      </c>
      <c r="AL3995">
        <v>81.517953205478904</v>
      </c>
      <c r="AM3995">
        <v>73.579125559052201</v>
      </c>
      <c r="AN3995">
        <v>0.999999978786974</v>
      </c>
    </row>
    <row r="3996" spans="1:40" x14ac:dyDescent="0.25">
      <c r="A3996" t="str">
        <f>"20190312172450255"</f>
        <v>20190312172450255</v>
      </c>
      <c r="B3996" t="str">
        <f>"1552382690244447"</f>
        <v>1552382690244447</v>
      </c>
      <c r="C3996" t="s">
        <v>40</v>
      </c>
      <c r="D3996">
        <v>4.3150199999999996</v>
      </c>
      <c r="E3996">
        <v>0.53305019999999903</v>
      </c>
      <c r="F3996" t="s">
        <v>49</v>
      </c>
      <c r="G3996">
        <v>-196.1353</v>
      </c>
      <c r="H3996" s="1">
        <v>-1.4358809999999999E-5</v>
      </c>
      <c r="I3996">
        <v>157.1574</v>
      </c>
      <c r="J3996">
        <v>-190.6523</v>
      </c>
      <c r="K3996">
        <v>1.1061970000000001</v>
      </c>
      <c r="L3996">
        <v>165.60130000000001</v>
      </c>
      <c r="M3996">
        <v>-0.1736753</v>
      </c>
      <c r="N3996">
        <v>0</v>
      </c>
      <c r="O3996">
        <v>-0.98469600000000002</v>
      </c>
      <c r="P3996">
        <v>-0.4420307</v>
      </c>
      <c r="Q3996">
        <v>0.1362806</v>
      </c>
      <c r="R3996">
        <v>-0.88658700000000001</v>
      </c>
      <c r="S3996">
        <v>-1.655289</v>
      </c>
      <c r="T3996">
        <v>-0.33057049999999999</v>
      </c>
      <c r="U3996">
        <v>-2.6126559999999999</v>
      </c>
      <c r="V3996">
        <v>0.28283839999999999</v>
      </c>
      <c r="W3996">
        <v>0.1471684</v>
      </c>
      <c r="X3996">
        <v>0.94781009999999999</v>
      </c>
      <c r="Y3996">
        <v>0.37717240000000002</v>
      </c>
      <c r="Z3996">
        <v>0.1082968</v>
      </c>
      <c r="AA3996">
        <v>0.91978950000000004</v>
      </c>
      <c r="AB3996">
        <v>31</v>
      </c>
      <c r="AC3996">
        <v>-5.4829999999999997</v>
      </c>
      <c r="AD3996">
        <v>-1.10621135880999</v>
      </c>
      <c r="AE3996">
        <v>-8.44390000000001</v>
      </c>
      <c r="AF3996">
        <v>3.8860907180751201</v>
      </c>
      <c r="AG3996">
        <v>-1.10621135880999</v>
      </c>
      <c r="AH3996">
        <v>9.1573601418763495</v>
      </c>
      <c r="AI3996">
        <v>96.345306540190407</v>
      </c>
      <c r="AJ3996">
        <v>67.005185373846899</v>
      </c>
      <c r="AK3996">
        <v>10.009128304078001</v>
      </c>
      <c r="AL3996">
        <v>81.537133692560204</v>
      </c>
      <c r="AM3996">
        <v>73.384237989082095</v>
      </c>
      <c r="AN3996">
        <v>1.0000000420675601</v>
      </c>
    </row>
    <row r="3997" spans="1:40" x14ac:dyDescent="0.25">
      <c r="A3997" t="str">
        <f>"20190312172450275"</f>
        <v>20190312172450275</v>
      </c>
      <c r="B3997" t="str">
        <f>"1552382690263969"</f>
        <v>1552382690263969</v>
      </c>
      <c r="C3997" t="s">
        <v>40</v>
      </c>
      <c r="D3997">
        <v>4.3005550000000001</v>
      </c>
      <c r="E3997">
        <v>0.5328562</v>
      </c>
      <c r="F3997" t="s">
        <v>49</v>
      </c>
      <c r="G3997">
        <v>-195.9973</v>
      </c>
      <c r="H3997" s="1">
        <v>-1.425851E-5</v>
      </c>
      <c r="I3997">
        <v>156.75880000000001</v>
      </c>
      <c r="J3997">
        <v>-190.70769999999999</v>
      </c>
      <c r="K3997">
        <v>1.106114</v>
      </c>
      <c r="L3997">
        <v>165.31720000000001</v>
      </c>
      <c r="M3997">
        <v>-0.17873789999999901</v>
      </c>
      <c r="N3997">
        <v>0</v>
      </c>
      <c r="O3997">
        <v>-0.98378960000000004</v>
      </c>
      <c r="P3997">
        <v>-0.44581660000000001</v>
      </c>
      <c r="Q3997">
        <v>0.13727879999999901</v>
      </c>
      <c r="R3997">
        <v>-0.88453479999999995</v>
      </c>
      <c r="S3997">
        <v>-1.595261</v>
      </c>
      <c r="T3997">
        <v>-0.33016200000000001</v>
      </c>
      <c r="U3997">
        <v>-2.63916</v>
      </c>
      <c r="V3997">
        <v>0.28208539999999999</v>
      </c>
      <c r="W3997">
        <v>0.14811070000000001</v>
      </c>
      <c r="X3997">
        <v>0.9478877</v>
      </c>
      <c r="Y3997">
        <v>0.3529291</v>
      </c>
      <c r="Z3997">
        <v>0.1082307</v>
      </c>
      <c r="AA3997">
        <v>0.92936920000000001</v>
      </c>
      <c r="AB3997">
        <v>31</v>
      </c>
      <c r="AC3997">
        <v>-5.2896000000000001</v>
      </c>
      <c r="AD3997">
        <v>-1.1061282585100001</v>
      </c>
      <c r="AE3997">
        <v>-8.5584000000000007</v>
      </c>
      <c r="AF3997">
        <v>3.6306466845982501</v>
      </c>
      <c r="AG3997">
        <v>-1.1061282585100001</v>
      </c>
      <c r="AH3997">
        <v>9.2542479770500403</v>
      </c>
      <c r="AI3997">
        <v>96.349170305980195</v>
      </c>
      <c r="AJ3997">
        <v>68.578821815982195</v>
      </c>
      <c r="AK3997">
        <v>10.0023107676873</v>
      </c>
      <c r="AL3997">
        <v>81.482545490724704</v>
      </c>
      <c r="AM3997">
        <v>73.427326824541296</v>
      </c>
      <c r="AN3997">
        <v>1.00000002207946</v>
      </c>
    </row>
    <row r="3998" spans="1:40" x14ac:dyDescent="0.25">
      <c r="A3998" t="str">
        <f>"20190312172450297"</f>
        <v>20190312172450297</v>
      </c>
      <c r="B3998" t="str">
        <f>"1552382690294223"</f>
        <v>1552382690294223</v>
      </c>
      <c r="C3998" t="s">
        <v>40</v>
      </c>
      <c r="D3998">
        <v>4.2964840000000004</v>
      </c>
      <c r="E3998">
        <v>0.53207289999999996</v>
      </c>
      <c r="F3998" t="s">
        <v>49</v>
      </c>
      <c r="G3998">
        <v>-196.1294</v>
      </c>
      <c r="H3998" s="1">
        <v>-1.4159260000000001E-5</v>
      </c>
      <c r="I3998">
        <v>156.4331</v>
      </c>
      <c r="J3998">
        <v>-190.7671</v>
      </c>
      <c r="K3998">
        <v>1.1060319999999999</v>
      </c>
      <c r="L3998">
        <v>165.02119999999999</v>
      </c>
      <c r="M3998">
        <v>-0.18408659999999999</v>
      </c>
      <c r="N3998">
        <v>0</v>
      </c>
      <c r="O3998">
        <v>-0.98280290000000003</v>
      </c>
      <c r="P3998">
        <v>-0.4502601</v>
      </c>
      <c r="Q3998">
        <v>0.13920299999999999</v>
      </c>
      <c r="R3998">
        <v>-0.88198019999999999</v>
      </c>
      <c r="S3998">
        <v>-1.6066279999999999</v>
      </c>
      <c r="T3998">
        <v>-0.32778410000000002</v>
      </c>
      <c r="U3998">
        <v>-2.6326900000000002</v>
      </c>
      <c r="V3998">
        <v>0.2818059</v>
      </c>
      <c r="W3998">
        <v>0.1499732</v>
      </c>
      <c r="X3998">
        <v>0.94767800000000002</v>
      </c>
      <c r="Y3998">
        <v>0.3518288</v>
      </c>
      <c r="Z3998">
        <v>0.10743469999999999</v>
      </c>
      <c r="AA3998">
        <v>0.92987869999999995</v>
      </c>
      <c r="AB3998">
        <v>30</v>
      </c>
      <c r="AC3998">
        <v>-5.3623000000000003</v>
      </c>
      <c r="AD3998">
        <v>-1.1060461592599999</v>
      </c>
      <c r="AE3998">
        <v>-8.5880999999999901</v>
      </c>
      <c r="AF3998">
        <v>3.6460073652910299</v>
      </c>
      <c r="AG3998">
        <v>-1.1060461592599999</v>
      </c>
      <c r="AH3998">
        <v>9.3173380221111692</v>
      </c>
      <c r="AI3998">
        <v>96.308203599727705</v>
      </c>
      <c r="AJ3998">
        <v>68.628884515750997</v>
      </c>
      <c r="AK3998">
        <v>10.066255293427</v>
      </c>
      <c r="AL3998">
        <v>81.374627048155304</v>
      </c>
      <c r="AM3998">
        <v>73.439385091133005</v>
      </c>
      <c r="AN3998">
        <v>1.0000000588385201</v>
      </c>
    </row>
    <row r="3999" spans="1:40" x14ac:dyDescent="0.25">
      <c r="A3999" t="str">
        <f>"20190312172450309"</f>
        <v>20190312172450309</v>
      </c>
      <c r="B3999" t="str">
        <f>"1552382690303983"</f>
        <v>1552382690303983</v>
      </c>
      <c r="C3999" t="s">
        <v>40</v>
      </c>
      <c r="D3999">
        <v>4.2838409999999998</v>
      </c>
      <c r="E3999">
        <v>0.53187180000000001</v>
      </c>
      <c r="F3999" t="s">
        <v>49</v>
      </c>
      <c r="G3999">
        <v>-196.3175</v>
      </c>
      <c r="H3999" s="1">
        <v>-1.3991879999999999E-5</v>
      </c>
      <c r="I3999">
        <v>156.00399999999999</v>
      </c>
      <c r="J3999">
        <v>-190.80080000000001</v>
      </c>
      <c r="K3999">
        <v>1.1059890000000001</v>
      </c>
      <c r="L3999">
        <v>164.8578</v>
      </c>
      <c r="M3999">
        <v>-0.18708130000000001</v>
      </c>
      <c r="N3999">
        <v>0</v>
      </c>
      <c r="O3999">
        <v>-0.98223720000000003</v>
      </c>
      <c r="P3999">
        <v>-0.45276450000000001</v>
      </c>
      <c r="Q3999">
        <v>0.1399263</v>
      </c>
      <c r="R3999">
        <v>-0.88058250000000005</v>
      </c>
      <c r="S3999">
        <v>-1.6168979999999999</v>
      </c>
      <c r="T3999">
        <v>-0.32220300000000002</v>
      </c>
      <c r="U3999">
        <v>-2.6268159999999998</v>
      </c>
      <c r="V3999">
        <v>0.28165780000000001</v>
      </c>
      <c r="W3999">
        <v>0.15066379999999999</v>
      </c>
      <c r="X3999">
        <v>0.94761240000000002</v>
      </c>
      <c r="Y3999">
        <v>0.35264590000000001</v>
      </c>
      <c r="Z3999">
        <v>0.10561959999999999</v>
      </c>
      <c r="AA3999">
        <v>0.92977710000000002</v>
      </c>
      <c r="AB3999">
        <v>30</v>
      </c>
      <c r="AC3999">
        <v>-5.5166999999999797</v>
      </c>
      <c r="AD3999">
        <v>-1.1060029918799901</v>
      </c>
      <c r="AE3999">
        <v>-8.8537999999999997</v>
      </c>
      <c r="AF3999">
        <v>3.7208988363612199</v>
      </c>
      <c r="AG3999">
        <v>-1.1060029918799901</v>
      </c>
      <c r="AH3999">
        <v>9.6214770264632694</v>
      </c>
      <c r="AI3999">
        <v>96.119497707690201</v>
      </c>
      <c r="AJ3999">
        <v>68.857096066112007</v>
      </c>
      <c r="AK3999">
        <v>10.3750253464385</v>
      </c>
      <c r="AL3999">
        <v>81.334603126322904</v>
      </c>
      <c r="AM3999">
        <v>73.446528839232201</v>
      </c>
      <c r="AN3999">
        <v>0.99999997878251901</v>
      </c>
    </row>
    <row r="4000" spans="1:40" x14ac:dyDescent="0.25">
      <c r="A4000" t="str">
        <f>"20190312172450322"</f>
        <v>20190312172450322</v>
      </c>
      <c r="B4000" t="str">
        <f>"1552382690314719"</f>
        <v>1552382690314719</v>
      </c>
      <c r="C4000" t="s">
        <v>40</v>
      </c>
      <c r="D4000">
        <v>4.4981879999999999</v>
      </c>
      <c r="E4000">
        <v>0.53152759999999999</v>
      </c>
      <c r="F4000" t="s">
        <v>49</v>
      </c>
      <c r="G4000">
        <v>-196.41759999999999</v>
      </c>
      <c r="H4000" s="1">
        <v>-1.390796E-5</v>
      </c>
      <c r="I4000">
        <v>155.7877</v>
      </c>
      <c r="J4000">
        <v>-190.83619999999999</v>
      </c>
      <c r="K4000">
        <v>1.1059380000000001</v>
      </c>
      <c r="L4000">
        <v>164.6876</v>
      </c>
      <c r="M4000">
        <v>-0.19021769999999999</v>
      </c>
      <c r="N4000">
        <v>0</v>
      </c>
      <c r="O4000">
        <v>-0.98163469999999997</v>
      </c>
      <c r="P4000">
        <v>-0.45500410000000002</v>
      </c>
      <c r="Q4000">
        <v>0.14095569999999999</v>
      </c>
      <c r="R4000">
        <v>-0.87926269999999995</v>
      </c>
      <c r="S4000">
        <v>-1.6241000000000001</v>
      </c>
      <c r="T4000">
        <v>-0.31980130000000001</v>
      </c>
      <c r="U4000">
        <v>-2.62262</v>
      </c>
      <c r="V4000">
        <v>0.28110359999999901</v>
      </c>
      <c r="W4000">
        <v>0.15166499999999999</v>
      </c>
      <c r="X4000">
        <v>0.9476173</v>
      </c>
      <c r="Y4000">
        <v>0.35221529999999901</v>
      </c>
      <c r="Z4000">
        <v>0.1048259</v>
      </c>
      <c r="AA4000">
        <v>0.93003000000000002</v>
      </c>
      <c r="AB4000">
        <v>30</v>
      </c>
      <c r="AC4000">
        <v>-5.5814000000000004</v>
      </c>
      <c r="AD4000">
        <v>-1.10595190795999</v>
      </c>
      <c r="AE4000">
        <v>-8.8999000000000006</v>
      </c>
      <c r="AF4000">
        <v>3.7448713760521</v>
      </c>
      <c r="AG4000">
        <v>-1.10595190795999</v>
      </c>
      <c r="AH4000">
        <v>9.6917490897587601</v>
      </c>
      <c r="AI4000">
        <v>96.075851892608199</v>
      </c>
      <c r="AJ4000">
        <v>68.873573317280204</v>
      </c>
      <c r="AK4000">
        <v>10.4487890046997</v>
      </c>
      <c r="AL4000">
        <v>81.276572149446494</v>
      </c>
      <c r="AM4000">
        <v>73.477403266103593</v>
      </c>
      <c r="AN4000">
        <v>1.00000002670862</v>
      </c>
    </row>
    <row r="4001" spans="1:40" x14ac:dyDescent="0.25">
      <c r="A4001" t="str">
        <f>"20190312172450333"</f>
        <v>20190312172450333</v>
      </c>
      <c r="B4001" t="str">
        <f>"1552382690324480"</f>
        <v>1552382690324480</v>
      </c>
      <c r="C4001" t="s">
        <v>40</v>
      </c>
      <c r="D4001">
        <v>4.3209660000000003</v>
      </c>
      <c r="E4001">
        <v>0.53129680000000001</v>
      </c>
      <c r="F4001" t="s">
        <v>49</v>
      </c>
      <c r="G4001">
        <v>-196.5591</v>
      </c>
      <c r="H4001" s="1">
        <v>-1.3792989999999999E-5</v>
      </c>
      <c r="I4001">
        <v>155.49039999999999</v>
      </c>
      <c r="J4001">
        <v>-190.8698</v>
      </c>
      <c r="K4001">
        <v>1.1058920000000001</v>
      </c>
      <c r="L4001">
        <v>164.53030000000001</v>
      </c>
      <c r="M4001">
        <v>-0.1931659</v>
      </c>
      <c r="N4001">
        <v>0</v>
      </c>
      <c r="O4001">
        <v>-0.98105850000000006</v>
      </c>
      <c r="P4001">
        <v>-0.45670119999999997</v>
      </c>
      <c r="Q4001">
        <v>0.14122460000000001</v>
      </c>
      <c r="R4001">
        <v>-0.87833909999999904</v>
      </c>
      <c r="S4001">
        <v>-1.629715</v>
      </c>
      <c r="T4001">
        <v>-0.31494119999999998</v>
      </c>
      <c r="U4001">
        <v>-2.6190799999999999</v>
      </c>
      <c r="V4001">
        <v>0.28011459999999999</v>
      </c>
      <c r="W4001">
        <v>0.15191569999999999</v>
      </c>
      <c r="X4001">
        <v>0.94786999999999999</v>
      </c>
      <c r="Y4001">
        <v>0.35149509999999901</v>
      </c>
      <c r="Z4001">
        <v>0.10323889999999999</v>
      </c>
      <c r="AA4001">
        <v>0.93047999999999997</v>
      </c>
      <c r="AB4001">
        <v>30</v>
      </c>
      <c r="AC4001">
        <v>-5.6893000000000002</v>
      </c>
      <c r="AD4001">
        <v>-1.10590579299</v>
      </c>
      <c r="AE4001">
        <v>-9.03990000000001</v>
      </c>
      <c r="AF4001">
        <v>3.7950575087628602</v>
      </c>
      <c r="AG4001">
        <v>-1.10590579299</v>
      </c>
      <c r="AH4001">
        <v>9.8629705327378794</v>
      </c>
      <c r="AI4001">
        <v>95.9741199365413</v>
      </c>
      <c r="AJ4001">
        <v>68.954355536869102</v>
      </c>
      <c r="AK4001">
        <v>10.625614186833699</v>
      </c>
      <c r="AL4001">
        <v>81.262039937537594</v>
      </c>
      <c r="AM4001">
        <v>73.536532868508701</v>
      </c>
      <c r="AN4001">
        <v>1.0000000529698201</v>
      </c>
    </row>
    <row r="4002" spans="1:40" x14ac:dyDescent="0.25">
      <c r="A4002" t="str">
        <f>"20190312172450354"</f>
        <v>20190312172450354</v>
      </c>
      <c r="B4002" t="str">
        <f>"1552382690343999"</f>
        <v>1552382690343999</v>
      </c>
      <c r="C4002" t="s">
        <v>40</v>
      </c>
      <c r="D4002">
        <v>4.2973679999999996</v>
      </c>
      <c r="E4002">
        <v>0.53080640000000001</v>
      </c>
      <c r="F4002" t="s">
        <v>49</v>
      </c>
      <c r="G4002">
        <v>-196.64150000000001</v>
      </c>
      <c r="H4002" s="1">
        <v>-1.371536E-5</v>
      </c>
      <c r="I4002">
        <v>155.29239999999999</v>
      </c>
      <c r="J4002">
        <v>-190.9288</v>
      </c>
      <c r="K4002">
        <v>1.105815</v>
      </c>
      <c r="L4002">
        <v>164.25810000000001</v>
      </c>
      <c r="M4002">
        <v>-0.198322</v>
      </c>
      <c r="N4002">
        <v>0</v>
      </c>
      <c r="O4002">
        <v>-0.98002929999999999</v>
      </c>
      <c r="P4002">
        <v>-0.4591594</v>
      </c>
      <c r="Q4002">
        <v>0.1414984</v>
      </c>
      <c r="R4002">
        <v>-0.87701289999999998</v>
      </c>
      <c r="S4002">
        <v>-1.634476</v>
      </c>
      <c r="T4002">
        <v>-0.31317499999999998</v>
      </c>
      <c r="U4002">
        <v>-2.6160130000000001</v>
      </c>
      <c r="V4002">
        <v>0.27782390000000001</v>
      </c>
      <c r="W4002">
        <v>0.15216879999999999</v>
      </c>
      <c r="X4002">
        <v>0.94850330000000005</v>
      </c>
      <c r="Y4002">
        <v>0.34831519999999999</v>
      </c>
      <c r="Z4002">
        <v>0.10262449999999999</v>
      </c>
      <c r="AA4002">
        <v>0.93174279999999998</v>
      </c>
      <c r="AB4002">
        <v>30</v>
      </c>
      <c r="AC4002">
        <v>-5.7127000000000097</v>
      </c>
      <c r="AD4002">
        <v>-1.1058287153599999</v>
      </c>
      <c r="AE4002">
        <v>-8.9657000000000195</v>
      </c>
      <c r="AF4002">
        <v>3.7800212203132002</v>
      </c>
      <c r="AG4002">
        <v>-1.1058287153599999</v>
      </c>
      <c r="AH4002">
        <v>9.8144572863928499</v>
      </c>
      <c r="AI4002">
        <v>96.002280698586404</v>
      </c>
      <c r="AJ4002">
        <v>68.9358963125174</v>
      </c>
      <c r="AK4002">
        <v>10.575206352604299</v>
      </c>
      <c r="AL4002">
        <v>81.2473672127187</v>
      </c>
      <c r="AM4002">
        <v>73.674287024685995</v>
      </c>
      <c r="AN4002">
        <v>0.99999998660777001</v>
      </c>
    </row>
    <row r="4003" spans="1:40" x14ac:dyDescent="0.25">
      <c r="A4003" t="str">
        <f>"20190312172450366"</f>
        <v>20190312172450366</v>
      </c>
      <c r="B4003" t="str">
        <f>"1552382690364496"</f>
        <v>1552382690364496</v>
      </c>
      <c r="C4003" t="s">
        <v>40</v>
      </c>
      <c r="D4003">
        <v>4.3095410000000003</v>
      </c>
      <c r="E4003">
        <v>0.53050989999999998</v>
      </c>
      <c r="F4003" t="s">
        <v>49</v>
      </c>
      <c r="G4003">
        <v>-196.75790000000001</v>
      </c>
      <c r="H4003" s="1">
        <v>-1.358886E-5</v>
      </c>
      <c r="I4003">
        <v>154.9735</v>
      </c>
      <c r="J4003">
        <v>-190.96530000000001</v>
      </c>
      <c r="K4003">
        <v>1.1057699999999999</v>
      </c>
      <c r="L4003">
        <v>164.09360000000001</v>
      </c>
      <c r="M4003">
        <v>-0.20148379999999999</v>
      </c>
      <c r="N4003">
        <v>0</v>
      </c>
      <c r="O4003">
        <v>-0.97938420000000004</v>
      </c>
      <c r="P4003">
        <v>-0.4606209</v>
      </c>
      <c r="Q4003">
        <v>0.14143259999999999</v>
      </c>
      <c r="R4003">
        <v>-0.87625679999999995</v>
      </c>
      <c r="S4003">
        <v>-1.640045</v>
      </c>
      <c r="T4003">
        <v>-0.31113150000000001</v>
      </c>
      <c r="U4003">
        <v>-2.6122740000000002</v>
      </c>
      <c r="V4003">
        <v>0.27635769999999998</v>
      </c>
      <c r="W4003">
        <v>0.152092899999999</v>
      </c>
      <c r="X4003">
        <v>0.94894369999999995</v>
      </c>
      <c r="Y4003">
        <v>0.3473541</v>
      </c>
      <c r="Z4003">
        <v>0.1019504</v>
      </c>
      <c r="AA4003">
        <v>0.93217550000000005</v>
      </c>
      <c r="AB4003">
        <v>30</v>
      </c>
      <c r="AC4003">
        <v>-5.7925999999999904</v>
      </c>
      <c r="AD4003">
        <v>-1.1057835888600001</v>
      </c>
      <c r="AE4003">
        <v>-9.1201000000000008</v>
      </c>
      <c r="AF4003">
        <v>3.7962668897157998</v>
      </c>
      <c r="AG4003">
        <v>-1.1057835888600001</v>
      </c>
      <c r="AH4003">
        <v>9.9955578825159197</v>
      </c>
      <c r="AI4003">
        <v>95.904526606918495</v>
      </c>
      <c r="AJ4003">
        <v>69.203453303913705</v>
      </c>
      <c r="AK4003">
        <v>10.749212856115101</v>
      </c>
      <c r="AL4003">
        <v>81.2517671814294</v>
      </c>
      <c r="AM4003">
        <v>73.763032296678404</v>
      </c>
      <c r="AN4003">
        <v>0.99999998717469396</v>
      </c>
    </row>
    <row r="4004" spans="1:40" x14ac:dyDescent="0.25">
      <c r="A4004" t="str">
        <f>"20190312172450379"</f>
        <v>20190312172450379</v>
      </c>
      <c r="B4004" t="str">
        <f>"1552382690374255"</f>
        <v>1552382690374255</v>
      </c>
      <c r="C4004" t="s">
        <v>40</v>
      </c>
      <c r="D4004">
        <v>4.2646290000000002</v>
      </c>
      <c r="E4004">
        <v>0.53040500000000002</v>
      </c>
      <c r="F4004" t="s">
        <v>49</v>
      </c>
      <c r="G4004">
        <v>-196.80770000000001</v>
      </c>
      <c r="H4004" s="1">
        <v>-1.352434E-5</v>
      </c>
      <c r="I4004">
        <v>154.81280000000001</v>
      </c>
      <c r="J4004">
        <v>-191.0033</v>
      </c>
      <c r="K4004">
        <v>1.10572</v>
      </c>
      <c r="L4004">
        <v>163.9247</v>
      </c>
      <c r="M4004">
        <v>-0.20476449999999999</v>
      </c>
      <c r="N4004">
        <v>0</v>
      </c>
      <c r="O4004">
        <v>-0.9787034</v>
      </c>
      <c r="P4004">
        <v>-0.46210449999999997</v>
      </c>
      <c r="Q4004">
        <v>0.14252670000000001</v>
      </c>
      <c r="R4004">
        <v>-0.8752974</v>
      </c>
      <c r="S4004">
        <v>-1.643097</v>
      </c>
      <c r="T4004">
        <v>-0.31098569999999998</v>
      </c>
      <c r="U4004">
        <v>-2.6100919999999999</v>
      </c>
      <c r="V4004">
        <v>0.27485100000000001</v>
      </c>
      <c r="W4004">
        <v>0.15317539999999999</v>
      </c>
      <c r="X4004">
        <v>0.94920720000000003</v>
      </c>
      <c r="Y4004">
        <v>0.3453484</v>
      </c>
      <c r="Z4004">
        <v>0.10187880000000001</v>
      </c>
      <c r="AA4004">
        <v>0.93292830000000004</v>
      </c>
      <c r="AB4004">
        <v>30</v>
      </c>
      <c r="AC4004">
        <v>-5.80440000000001</v>
      </c>
      <c r="AD4004">
        <v>-1.1057335243399999</v>
      </c>
      <c r="AE4004">
        <v>-9.1118999999999897</v>
      </c>
      <c r="AF4004">
        <v>3.7758423570305601</v>
      </c>
      <c r="AG4004">
        <v>-1.1057335243399999</v>
      </c>
      <c r="AH4004">
        <v>10.002669396204601</v>
      </c>
      <c r="AI4004">
        <v>95.904580136353502</v>
      </c>
      <c r="AJ4004">
        <v>69.319307272178193</v>
      </c>
      <c r="AK4004">
        <v>10.7486290838303</v>
      </c>
      <c r="AL4004">
        <v>81.189009631532997</v>
      </c>
      <c r="AM4004">
        <v>73.851178184945596</v>
      </c>
      <c r="AN4004">
        <v>1.0000000419489901</v>
      </c>
    </row>
    <row r="4005" spans="1:40" x14ac:dyDescent="0.25">
      <c r="A4005" t="str">
        <f>"20190312172450391"</f>
        <v>20190312172450391</v>
      </c>
      <c r="B4005" t="str">
        <f>"1552382690384015"</f>
        <v>1552382690384015</v>
      </c>
      <c r="C4005" t="s">
        <v>40</v>
      </c>
      <c r="D4005">
        <v>4.3061309999999997</v>
      </c>
      <c r="E4005">
        <v>0.53027219999999997</v>
      </c>
      <c r="F4005" t="s">
        <v>49</v>
      </c>
      <c r="G4005">
        <v>-196.93270000000001</v>
      </c>
      <c r="H4005" s="1">
        <v>-1.3432629999999999E-5</v>
      </c>
      <c r="I4005">
        <v>154.5428</v>
      </c>
      <c r="J4005">
        <v>-191.0411</v>
      </c>
      <c r="K4005">
        <v>1.105672</v>
      </c>
      <c r="L4005">
        <v>163.76070000000001</v>
      </c>
      <c r="M4005">
        <v>-0.20800779999999999</v>
      </c>
      <c r="N4005">
        <v>0</v>
      </c>
      <c r="O4005">
        <v>-0.97801930000000004</v>
      </c>
      <c r="P4005">
        <v>-0.4640611</v>
      </c>
      <c r="Q4005">
        <v>0.1431656</v>
      </c>
      <c r="R4005">
        <v>-0.87415769999999904</v>
      </c>
      <c r="S4005">
        <v>-1.6479029999999999</v>
      </c>
      <c r="T4005">
        <v>-0.3073071</v>
      </c>
      <c r="U4005">
        <v>-2.607437</v>
      </c>
      <c r="V4005">
        <v>0.27387420000000001</v>
      </c>
      <c r="W4005">
        <v>0.15379590000000001</v>
      </c>
      <c r="X4005">
        <v>0.94938909999999999</v>
      </c>
      <c r="Y4005">
        <v>0.3439644</v>
      </c>
      <c r="Z4005">
        <v>0.10064910000000001</v>
      </c>
      <c r="AA4005">
        <v>0.93357279999999998</v>
      </c>
      <c r="AB4005">
        <v>30</v>
      </c>
      <c r="AC4005">
        <v>-5.8916000000000102</v>
      </c>
      <c r="AD4005">
        <v>-1.1056854326300001</v>
      </c>
      <c r="AE4005">
        <v>-9.2179000000000109</v>
      </c>
      <c r="AF4005">
        <v>3.8062283896366198</v>
      </c>
      <c r="AG4005">
        <v>-1.1056854326300001</v>
      </c>
      <c r="AH4005">
        <v>10.138300491502999</v>
      </c>
      <c r="AI4005">
        <v>95.829801127143099</v>
      </c>
      <c r="AJ4005">
        <v>69.422327221434998</v>
      </c>
      <c r="AK4005">
        <v>10.8855432425771</v>
      </c>
      <c r="AL4005">
        <v>81.153030556306106</v>
      </c>
      <c r="AM4005">
        <v>73.908517333274403</v>
      </c>
      <c r="AN4005">
        <v>0.99999995974062905</v>
      </c>
    </row>
    <row r="4006" spans="1:40" x14ac:dyDescent="0.25">
      <c r="A4006" t="str">
        <f>"20190312172450410"</f>
        <v>20190312172450410</v>
      </c>
      <c r="B4006" t="str">
        <f>"1552382690404511"</f>
        <v>1552382690404511</v>
      </c>
      <c r="C4006" t="s">
        <v>40</v>
      </c>
      <c r="D4006">
        <v>4.310816</v>
      </c>
      <c r="E4006">
        <v>0.52973909999999902</v>
      </c>
      <c r="F4006" t="s">
        <v>49</v>
      </c>
      <c r="G4006">
        <v>-197.02529999999999</v>
      </c>
      <c r="H4006" s="1">
        <v>-1.3388069999999999E-5</v>
      </c>
      <c r="I4006">
        <v>154.333</v>
      </c>
      <c r="J4006">
        <v>-191.09809999999999</v>
      </c>
      <c r="K4006">
        <v>1.105599</v>
      </c>
      <c r="L4006">
        <v>163.5171</v>
      </c>
      <c r="M4006">
        <v>-0.21288770000000001</v>
      </c>
      <c r="N4006">
        <v>0</v>
      </c>
      <c r="O4006">
        <v>-0.97696850000000002</v>
      </c>
      <c r="P4006">
        <v>-0.46796260000000001</v>
      </c>
      <c r="Q4006">
        <v>0.14464669999999999</v>
      </c>
      <c r="R4006">
        <v>-0.87183060000000001</v>
      </c>
      <c r="S4006">
        <v>-1.6531070000000001</v>
      </c>
      <c r="T4006">
        <v>-0.30543700000000001</v>
      </c>
      <c r="U4006">
        <v>-2.6043090000000002</v>
      </c>
      <c r="V4006">
        <v>0.27347640000000001</v>
      </c>
      <c r="W4006">
        <v>0.15523190000000001</v>
      </c>
      <c r="X4006">
        <v>0.94927010000000001</v>
      </c>
      <c r="Y4006">
        <v>0.34115069999999997</v>
      </c>
      <c r="Z4006">
        <v>9.998775E-2</v>
      </c>
      <c r="AA4006">
        <v>0.9346757</v>
      </c>
      <c r="AB4006">
        <v>30</v>
      </c>
      <c r="AC4006">
        <v>-5.9271999999999903</v>
      </c>
      <c r="AD4006">
        <v>-1.10561238807</v>
      </c>
      <c r="AE4006">
        <v>-9.1841000000000008</v>
      </c>
      <c r="AF4006">
        <v>3.7970639141814302</v>
      </c>
      <c r="AG4006">
        <v>-1.10561238807</v>
      </c>
      <c r="AH4006">
        <v>10.131828732554199</v>
      </c>
      <c r="AI4006">
        <v>95.834382895235507</v>
      </c>
      <c r="AJ4006">
        <v>69.455714974094704</v>
      </c>
      <c r="AK4006">
        <v>10.8763057416958</v>
      </c>
      <c r="AL4006">
        <v>81.069754095402104</v>
      </c>
      <c r="AM4006">
        <v>73.9287723197627</v>
      </c>
      <c r="AN4006">
        <v>1.00000000344429</v>
      </c>
    </row>
    <row r="4007" spans="1:40" x14ac:dyDescent="0.25">
      <c r="A4007" t="str">
        <f>"20190312172450423"</f>
        <v>20190312172450423</v>
      </c>
      <c r="B4007" t="str">
        <f>"1552382690414271"</f>
        <v>1552382690414271</v>
      </c>
      <c r="C4007" t="s">
        <v>40</v>
      </c>
      <c r="D4007">
        <v>4.3068239999999998</v>
      </c>
      <c r="E4007">
        <v>0.53006519999999901</v>
      </c>
      <c r="F4007" t="s">
        <v>49</v>
      </c>
      <c r="G4007">
        <v>-196.53970000000001</v>
      </c>
      <c r="H4007" s="1">
        <v>-1.3572839999999999E-5</v>
      </c>
      <c r="I4007">
        <v>154.9812</v>
      </c>
      <c r="J4007">
        <v>-191.13980000000001</v>
      </c>
      <c r="K4007">
        <v>1.105545</v>
      </c>
      <c r="L4007">
        <v>163.34180000000001</v>
      </c>
      <c r="M4007">
        <v>-0.21645</v>
      </c>
      <c r="N4007">
        <v>0</v>
      </c>
      <c r="O4007">
        <v>-0.97618539999999998</v>
      </c>
      <c r="P4007">
        <v>-0.47129389999999999</v>
      </c>
      <c r="Q4007">
        <v>0.1449211</v>
      </c>
      <c r="R4007">
        <v>-0.86998889999999995</v>
      </c>
      <c r="S4007">
        <v>-1.661011</v>
      </c>
      <c r="T4007">
        <v>-0.33747769999999999</v>
      </c>
      <c r="U4007">
        <v>-2.6054840000000001</v>
      </c>
      <c r="V4007">
        <v>0.2736808</v>
      </c>
      <c r="W4007">
        <v>0.15546689999999999</v>
      </c>
      <c r="X4007">
        <v>0.94917269999999998</v>
      </c>
      <c r="Y4007">
        <v>0.33896759999999998</v>
      </c>
      <c r="Z4007">
        <v>0.1101343</v>
      </c>
      <c r="AA4007">
        <v>0.93432939999999998</v>
      </c>
      <c r="AB4007">
        <v>30</v>
      </c>
      <c r="AC4007">
        <v>-5.3998999999999997</v>
      </c>
      <c r="AD4007">
        <v>-1.1055585728399999</v>
      </c>
      <c r="AE4007">
        <v>-8.3605999999999998</v>
      </c>
      <c r="AF4007">
        <v>3.4198213768876702</v>
      </c>
      <c r="AG4007">
        <v>-1.1055585728399999</v>
      </c>
      <c r="AH4007">
        <v>9.2175574365695603</v>
      </c>
      <c r="AI4007">
        <v>96.415989576564996</v>
      </c>
      <c r="AJ4007">
        <v>69.644558463719704</v>
      </c>
      <c r="AK4007">
        <v>9.8934727524897301</v>
      </c>
      <c r="AL4007">
        <v>81.056123864842803</v>
      </c>
      <c r="AM4007">
        <v>73.9158163355239</v>
      </c>
      <c r="AN4007">
        <v>0.99999997585476896</v>
      </c>
    </row>
    <row r="4008" spans="1:40" x14ac:dyDescent="0.25">
      <c r="A4008" t="str">
        <f>"20190312172450436"</f>
        <v>20190312172450436</v>
      </c>
      <c r="B4008" t="str">
        <f>"1552382690424031"</f>
        <v>1552382690424031</v>
      </c>
      <c r="C4008" t="s">
        <v>40</v>
      </c>
      <c r="D4008">
        <v>4.2902889999999996</v>
      </c>
      <c r="E4008">
        <v>0.5299585</v>
      </c>
      <c r="F4008" t="s">
        <v>49</v>
      </c>
      <c r="G4008">
        <v>-196.55629999999999</v>
      </c>
      <c r="H4008" s="1">
        <v>-1.35503299999999E-5</v>
      </c>
      <c r="I4008">
        <v>154.9254</v>
      </c>
      <c r="J4008">
        <v>-191.1831</v>
      </c>
      <c r="K4008">
        <v>1.1054900000000001</v>
      </c>
      <c r="L4008">
        <v>163.16419999999999</v>
      </c>
      <c r="M4008">
        <v>-0.22011739999999999</v>
      </c>
      <c r="N4008">
        <v>0</v>
      </c>
      <c r="O4008">
        <v>-0.97536480000000003</v>
      </c>
      <c r="P4008">
        <v>-0.47437049999999997</v>
      </c>
      <c r="Q4008">
        <v>0.1452532</v>
      </c>
      <c r="R4008">
        <v>-0.86825949999999996</v>
      </c>
      <c r="S4008">
        <v>-1.672668</v>
      </c>
      <c r="T4008">
        <v>-0.3414104</v>
      </c>
      <c r="U4008">
        <v>-2.599091</v>
      </c>
      <c r="V4008">
        <v>0.27351150000000002</v>
      </c>
      <c r="W4008">
        <v>0.15576699999999999</v>
      </c>
      <c r="X4008">
        <v>0.94917229999999997</v>
      </c>
      <c r="Y4008">
        <v>0.3393697</v>
      </c>
      <c r="Z4008">
        <v>0.11135730000000001</v>
      </c>
      <c r="AA4008">
        <v>0.93403840000000005</v>
      </c>
      <c r="AB4008">
        <v>30</v>
      </c>
      <c r="AC4008">
        <v>-5.37319999999999</v>
      </c>
      <c r="AD4008">
        <v>-1.1055035503299999</v>
      </c>
      <c r="AE4008">
        <v>-8.2387999999999906</v>
      </c>
      <c r="AF4008">
        <v>3.3849314101859198</v>
      </c>
      <c r="AG4008">
        <v>-1.1055035503299999</v>
      </c>
      <c r="AH4008">
        <v>9.1045380541211198</v>
      </c>
      <c r="AI4008">
        <v>96.493012486524293</v>
      </c>
      <c r="AJ4008">
        <v>69.605616806893494</v>
      </c>
      <c r="AK4008">
        <v>9.7761194719784008</v>
      </c>
      <c r="AL4008">
        <v>81.0387173559524</v>
      </c>
      <c r="AM4008">
        <v>73.925245549508304</v>
      </c>
      <c r="AN4008">
        <v>0.99999997700426901</v>
      </c>
    </row>
    <row r="4009" spans="1:40" x14ac:dyDescent="0.25">
      <c r="A4009" t="str">
        <f>"20190312172450456"</f>
        <v>20190312172450456</v>
      </c>
      <c r="B4009" t="str">
        <f>"1552382690444527"</f>
        <v>1552382690444527</v>
      </c>
      <c r="C4009" t="s">
        <v>40</v>
      </c>
      <c r="D4009">
        <v>4.3004480000000003</v>
      </c>
      <c r="E4009">
        <v>0.53015269999999903</v>
      </c>
      <c r="F4009" t="s">
        <v>49</v>
      </c>
      <c r="G4009">
        <v>-196.625</v>
      </c>
      <c r="H4009" s="1">
        <v>-1.34903E-5</v>
      </c>
      <c r="I4009">
        <v>154.77119999999999</v>
      </c>
      <c r="J4009">
        <v>-191.24520000000001</v>
      </c>
      <c r="K4009">
        <v>1.1054029999999999</v>
      </c>
      <c r="L4009">
        <v>162.91399999999999</v>
      </c>
      <c r="M4009">
        <v>-0.225356</v>
      </c>
      <c r="N4009">
        <v>0</v>
      </c>
      <c r="O4009">
        <v>-0.97416760000000002</v>
      </c>
      <c r="P4009">
        <v>-0.47997669999999998</v>
      </c>
      <c r="Q4009">
        <v>0.1440534</v>
      </c>
      <c r="R4009">
        <v>-0.86537350000000002</v>
      </c>
      <c r="S4009">
        <v>-1.6816409999999999</v>
      </c>
      <c r="T4009">
        <v>-0.34161710000000001</v>
      </c>
      <c r="U4009">
        <v>-2.5935670000000002</v>
      </c>
      <c r="V4009">
        <v>0.27452219999999999</v>
      </c>
      <c r="W4009">
        <v>0.15450829999999999</v>
      </c>
      <c r="X4009">
        <v>0.94908630000000005</v>
      </c>
      <c r="Y4009">
        <v>0.33749980000000002</v>
      </c>
      <c r="Z4009">
        <v>0.1113606</v>
      </c>
      <c r="AA4009">
        <v>0.93471530000000003</v>
      </c>
      <c r="AB4009">
        <v>30</v>
      </c>
      <c r="AC4009">
        <v>-5.3797999999999799</v>
      </c>
      <c r="AD4009">
        <v>-1.1054164903000001</v>
      </c>
      <c r="AE4009">
        <v>-8.1427999999999905</v>
      </c>
      <c r="AF4009">
        <v>3.3630146752266401</v>
      </c>
      <c r="AG4009">
        <v>-1.1054164903000001</v>
      </c>
      <c r="AH4009">
        <v>9.0299456710301698</v>
      </c>
      <c r="AI4009">
        <v>96.544307890419006</v>
      </c>
      <c r="AJ4009">
        <v>69.573204283445406</v>
      </c>
      <c r="AK4009">
        <v>9.6990583122576108</v>
      </c>
      <c r="AL4009">
        <v>81.111719871850596</v>
      </c>
      <c r="AM4009">
        <v>73.867543581566693</v>
      </c>
      <c r="AN4009">
        <v>1.0000000289547</v>
      </c>
    </row>
    <row r="4010" spans="1:40" x14ac:dyDescent="0.25">
      <c r="A4010" t="str">
        <f>"20190312172450476"</f>
        <v>20190312172450476</v>
      </c>
      <c r="B4010" t="str">
        <f>"1552382690474784"</f>
        <v>1552382690474784</v>
      </c>
      <c r="C4010" t="s">
        <v>40</v>
      </c>
      <c r="D4010">
        <v>4.2850199999999896</v>
      </c>
      <c r="E4010">
        <v>0.5301903</v>
      </c>
      <c r="F4010" t="s">
        <v>49</v>
      </c>
      <c r="G4010">
        <v>-196.6361</v>
      </c>
      <c r="H4010" s="1">
        <v>-1.3473019999999999E-5</v>
      </c>
      <c r="I4010">
        <v>154.7287</v>
      </c>
      <c r="J4010">
        <v>-191.31440000000001</v>
      </c>
      <c r="K4010">
        <v>1.1053139999999999</v>
      </c>
      <c r="L4010">
        <v>162.6421</v>
      </c>
      <c r="M4010">
        <v>-0.23113810000000001</v>
      </c>
      <c r="N4010">
        <v>0</v>
      </c>
      <c r="O4010">
        <v>-0.97281189999999995</v>
      </c>
      <c r="P4010">
        <v>-0.4866721</v>
      </c>
      <c r="Q4010">
        <v>0.14135300000000001</v>
      </c>
      <c r="R4010">
        <v>-0.86207309999999904</v>
      </c>
      <c r="S4010">
        <v>-1.7002870000000001</v>
      </c>
      <c r="T4010">
        <v>-0.34864889999999998</v>
      </c>
      <c r="U4010">
        <v>-2.5816650000000001</v>
      </c>
      <c r="V4010">
        <v>0.27613929999999998</v>
      </c>
      <c r="W4010">
        <v>0.15174219999999999</v>
      </c>
      <c r="X4010">
        <v>0.9490634</v>
      </c>
      <c r="Y4010">
        <v>0.33845999999999998</v>
      </c>
      <c r="Z4010">
        <v>0.113592899999999</v>
      </c>
      <c r="AA4010">
        <v>0.93409929999999997</v>
      </c>
      <c r="AB4010">
        <v>30</v>
      </c>
      <c r="AC4010">
        <v>-5.3216999999999901</v>
      </c>
      <c r="AD4010">
        <v>-1.10532747302</v>
      </c>
      <c r="AE4010">
        <v>-7.9133999999999904</v>
      </c>
      <c r="AF4010">
        <v>3.3038945319357902</v>
      </c>
      <c r="AG4010">
        <v>-1.10532747302</v>
      </c>
      <c r="AH4010">
        <v>8.8108765950772394</v>
      </c>
      <c r="AI4010">
        <v>96.699469907444495</v>
      </c>
      <c r="AJ4010">
        <v>69.445004884948204</v>
      </c>
      <c r="AK4010">
        <v>9.4746511426251399</v>
      </c>
      <c r="AL4010">
        <v>81.272096646862394</v>
      </c>
      <c r="AM4010">
        <v>73.777127454949706</v>
      </c>
      <c r="AN4010">
        <v>0.99999997274244401</v>
      </c>
    </row>
    <row r="4011" spans="1:40" x14ac:dyDescent="0.25">
      <c r="A4011" t="str">
        <f>"20190312172450491"</f>
        <v>20190312172450491</v>
      </c>
      <c r="B4011" t="str">
        <f>"1552382690484543"</f>
        <v>1552382690484543</v>
      </c>
      <c r="C4011" t="s">
        <v>40</v>
      </c>
      <c r="D4011">
        <v>4.2826029999999999</v>
      </c>
      <c r="E4011">
        <v>0.53029539999999997</v>
      </c>
      <c r="F4011" t="s">
        <v>49</v>
      </c>
      <c r="G4011">
        <v>-196.5806</v>
      </c>
      <c r="H4011" s="1">
        <v>-1.3487060000000001E-5</v>
      </c>
      <c r="I4011">
        <v>154.77279999999999</v>
      </c>
      <c r="J4011">
        <v>-191.3629</v>
      </c>
      <c r="K4011">
        <v>1.105264</v>
      </c>
      <c r="L4011">
        <v>162.45580000000001</v>
      </c>
      <c r="M4011">
        <v>-0.23515130000000001</v>
      </c>
      <c r="N4011">
        <v>0</v>
      </c>
      <c r="O4011">
        <v>-0.97184950000000003</v>
      </c>
      <c r="P4011">
        <v>-0.49114730000000001</v>
      </c>
      <c r="Q4011">
        <v>0.14037379999999999</v>
      </c>
      <c r="R4011">
        <v>-0.85969169999999995</v>
      </c>
      <c r="S4011">
        <v>-1.719009</v>
      </c>
      <c r="T4011">
        <v>-0.36080269999999998</v>
      </c>
      <c r="U4011">
        <v>-2.568695</v>
      </c>
      <c r="V4011">
        <v>0.27712540000000002</v>
      </c>
      <c r="W4011">
        <v>0.15072179999999999</v>
      </c>
      <c r="X4011">
        <v>0.94893859999999997</v>
      </c>
      <c r="Y4011">
        <v>0.34120040000000001</v>
      </c>
      <c r="Z4011">
        <v>0.1175317</v>
      </c>
      <c r="AA4011">
        <v>0.93261380000000005</v>
      </c>
      <c r="AB4011">
        <v>30</v>
      </c>
      <c r="AC4011">
        <v>-5.2176999999999998</v>
      </c>
      <c r="AD4011">
        <v>-1.10527748706</v>
      </c>
      <c r="AE4011">
        <v>-7.6830000000000203</v>
      </c>
      <c r="AF4011">
        <v>3.2189075971457402</v>
      </c>
      <c r="AG4011">
        <v>-1.10527748706</v>
      </c>
      <c r="AH4011">
        <v>8.5731665192894901</v>
      </c>
      <c r="AI4011">
        <v>96.882075553346496</v>
      </c>
      <c r="AJ4011">
        <v>69.420696396939206</v>
      </c>
      <c r="AK4011">
        <v>9.2240006835337205</v>
      </c>
      <c r="AL4011">
        <v>81.331241834761002</v>
      </c>
      <c r="AM4011">
        <v>73.720230102945607</v>
      </c>
      <c r="AN4011">
        <v>1.00000000744517</v>
      </c>
    </row>
    <row r="4012" spans="1:40" x14ac:dyDescent="0.25">
      <c r="A4012" t="str">
        <f>"20190312172450503"</f>
        <v>20190312172450503</v>
      </c>
      <c r="B4012" t="str">
        <f>"1552382690494305"</f>
        <v>1552382690494305</v>
      </c>
      <c r="C4012" t="s">
        <v>40</v>
      </c>
      <c r="D4012">
        <v>4.3065819999999997</v>
      </c>
      <c r="E4012">
        <v>0.53029539999999997</v>
      </c>
      <c r="F4012" t="s">
        <v>49</v>
      </c>
      <c r="G4012">
        <v>-196.61369999999999</v>
      </c>
      <c r="H4012" s="1">
        <v>-1.34597799999999E-5</v>
      </c>
      <c r="I4012">
        <v>154.70240000000001</v>
      </c>
      <c r="J4012">
        <v>-191.4068</v>
      </c>
      <c r="K4012">
        <v>1.1052230000000001</v>
      </c>
      <c r="L4012">
        <v>162.28970000000001</v>
      </c>
      <c r="M4012">
        <v>-0.23875450000000001</v>
      </c>
      <c r="N4012">
        <v>0</v>
      </c>
      <c r="O4012">
        <v>-0.97097069999999996</v>
      </c>
      <c r="P4012">
        <v>-0.49540329999999999</v>
      </c>
      <c r="Q4012">
        <v>0.1396183</v>
      </c>
      <c r="R4012">
        <v>-0.85736970000000001</v>
      </c>
      <c r="S4012">
        <v>-1.733063</v>
      </c>
      <c r="T4012">
        <v>-0.36480629999999997</v>
      </c>
      <c r="U4012">
        <v>-2.5590820000000001</v>
      </c>
      <c r="V4012">
        <v>0.27828740000000002</v>
      </c>
      <c r="W4012">
        <v>0.149927</v>
      </c>
      <c r="X4012">
        <v>0.94872440000000002</v>
      </c>
      <c r="Y4012">
        <v>0.34276630000000002</v>
      </c>
      <c r="Z4012">
        <v>0.1188203</v>
      </c>
      <c r="AA4012">
        <v>0.93187609999999999</v>
      </c>
      <c r="AB4012">
        <v>30</v>
      </c>
      <c r="AC4012">
        <v>-5.2068999999999903</v>
      </c>
      <c r="AD4012">
        <v>-1.10523645978</v>
      </c>
      <c r="AE4012">
        <v>-7.5872999999999902</v>
      </c>
      <c r="AF4012">
        <v>3.1984498880749501</v>
      </c>
      <c r="AG4012">
        <v>-1.10523645978</v>
      </c>
      <c r="AH4012">
        <v>8.4886758670105191</v>
      </c>
      <c r="AI4012">
        <v>96.946644332935705</v>
      </c>
      <c r="AJ4012">
        <v>69.354082511198797</v>
      </c>
      <c r="AK4012">
        <v>9.1383394166402301</v>
      </c>
      <c r="AL4012">
        <v>81.377303740349006</v>
      </c>
      <c r="AM4012">
        <v>73.652111533344197</v>
      </c>
      <c r="AN4012">
        <v>0.99999998474155904</v>
      </c>
    </row>
    <row r="4013" spans="1:40" x14ac:dyDescent="0.25">
      <c r="A4013" t="str">
        <f>"20190312172450515"</f>
        <v>20190312172450515</v>
      </c>
      <c r="B4013" t="str">
        <f>"1552382690504064"</f>
        <v>1552382690504064</v>
      </c>
      <c r="C4013" t="s">
        <v>40</v>
      </c>
      <c r="D4013">
        <v>4.2776680000000002</v>
      </c>
      <c r="E4013">
        <v>0.53026419999999996</v>
      </c>
      <c r="F4013" t="s">
        <v>49</v>
      </c>
      <c r="G4013">
        <v>-196.66130000000001</v>
      </c>
      <c r="H4013" s="1">
        <v>-1.3426E-5</v>
      </c>
      <c r="I4013">
        <v>154.6121</v>
      </c>
      <c r="J4013">
        <v>-191.45099999999999</v>
      </c>
      <c r="K4013">
        <v>1.1051869999999999</v>
      </c>
      <c r="L4013">
        <v>162.12530000000001</v>
      </c>
      <c r="M4013">
        <v>-0.2423517</v>
      </c>
      <c r="N4013">
        <v>0</v>
      </c>
      <c r="O4013">
        <v>-0.97007880000000002</v>
      </c>
      <c r="P4013">
        <v>-0.49949090000000002</v>
      </c>
      <c r="Q4013">
        <v>0.13984829999999901</v>
      </c>
      <c r="R4013">
        <v>-0.85495689999999902</v>
      </c>
      <c r="S4013">
        <v>-1.745438</v>
      </c>
      <c r="T4013">
        <v>-0.36713279999999998</v>
      </c>
      <c r="U4013">
        <v>-2.5503079999999998</v>
      </c>
      <c r="V4013">
        <v>0.27932610000000002</v>
      </c>
      <c r="W4013">
        <v>0.1501207</v>
      </c>
      <c r="X4013">
        <v>0.94838849999999997</v>
      </c>
      <c r="Y4013">
        <v>0.34380870000000002</v>
      </c>
      <c r="Z4013">
        <v>0.1195664</v>
      </c>
      <c r="AA4013">
        <v>0.93139649999999996</v>
      </c>
      <c r="AB4013">
        <v>30</v>
      </c>
      <c r="AC4013">
        <v>-5.2103000000000099</v>
      </c>
      <c r="AD4013">
        <v>-1.1052004259999999</v>
      </c>
      <c r="AE4013">
        <v>-7.5132000000000101</v>
      </c>
      <c r="AF4013">
        <v>3.1873365516613501</v>
      </c>
      <c r="AG4013">
        <v>-1.1052004259999999</v>
      </c>
      <c r="AH4013">
        <v>8.4288711404649295</v>
      </c>
      <c r="AI4013">
        <v>96.992120085707995</v>
      </c>
      <c r="AJ4013">
        <v>69.286132591694496</v>
      </c>
      <c r="AK4013">
        <v>9.0789014191007507</v>
      </c>
      <c r="AL4013">
        <v>81.366078818576597</v>
      </c>
      <c r="AM4013">
        <v>73.588870773423807</v>
      </c>
      <c r="AN4013">
        <v>1.0000000208209701</v>
      </c>
    </row>
    <row r="4014" spans="1:40" x14ac:dyDescent="0.25">
      <c r="A4014" t="str">
        <f>"20190312172450533"</f>
        <v>20190312172450533</v>
      </c>
      <c r="B4014" t="str">
        <f>"1552382690524559"</f>
        <v>1552382690524559</v>
      </c>
      <c r="C4014" t="s">
        <v>40</v>
      </c>
      <c r="D4014">
        <v>4.2758919999999998</v>
      </c>
      <c r="E4014">
        <v>0.53012930000000003</v>
      </c>
      <c r="F4014" t="s">
        <v>49</v>
      </c>
      <c r="G4014">
        <v>-196.74379999999999</v>
      </c>
      <c r="H4014" s="1">
        <v>-1.3396710000000001E-5</v>
      </c>
      <c r="I4014">
        <v>154.4666</v>
      </c>
      <c r="J4014">
        <v>-191.51390000000001</v>
      </c>
      <c r="K4014">
        <v>1.1051409999999999</v>
      </c>
      <c r="L4014">
        <v>161.89570000000001</v>
      </c>
      <c r="M4014">
        <v>-0.2474055</v>
      </c>
      <c r="N4014">
        <v>0</v>
      </c>
      <c r="O4014">
        <v>-0.96880239999999995</v>
      </c>
      <c r="P4014">
        <v>-0.50655059999999996</v>
      </c>
      <c r="Q4014">
        <v>0.1407775</v>
      </c>
      <c r="R4014">
        <v>-0.85064019999999996</v>
      </c>
      <c r="S4014">
        <v>-1.7570190000000001</v>
      </c>
      <c r="T4014">
        <v>-0.36688969999999999</v>
      </c>
      <c r="U4014">
        <v>-2.5424349999999998</v>
      </c>
      <c r="V4014">
        <v>0.282300299999999</v>
      </c>
      <c r="W4014">
        <v>0.15097629999999901</v>
      </c>
      <c r="X4014">
        <v>0.94737150000000003</v>
      </c>
      <c r="Y4014">
        <v>0.34314689999999998</v>
      </c>
      <c r="Z4014">
        <v>0.11943139999999899</v>
      </c>
      <c r="AA4014">
        <v>0.93165790000000004</v>
      </c>
      <c r="AB4014">
        <v>30</v>
      </c>
      <c r="AC4014">
        <v>-5.2298999999999802</v>
      </c>
      <c r="AD4014">
        <v>-1.1051543967099999</v>
      </c>
      <c r="AE4014">
        <v>-7.4291</v>
      </c>
      <c r="AF4014">
        <v>3.18199950332439</v>
      </c>
      <c r="AG4014">
        <v>-1.1051543967099999</v>
      </c>
      <c r="AH4014">
        <v>8.3683148678488308</v>
      </c>
      <c r="AI4014">
        <v>97.037072522648501</v>
      </c>
      <c r="AJ4014">
        <v>69.181005875203297</v>
      </c>
      <c r="AK4014">
        <v>9.0208192980008199</v>
      </c>
      <c r="AL4014">
        <v>81.316491469523896</v>
      </c>
      <c r="AM4014">
        <v>73.406854767185195</v>
      </c>
      <c r="AN4014">
        <v>1.0000000307770101</v>
      </c>
    </row>
    <row r="4015" spans="1:40" x14ac:dyDescent="0.25">
      <c r="A4015" t="str">
        <f>"20190312172450546"</f>
        <v>20190312172450546</v>
      </c>
      <c r="B4015" t="str">
        <f>"1552382690534320"</f>
        <v>1552382690534320</v>
      </c>
      <c r="C4015" t="s">
        <v>40</v>
      </c>
      <c r="D4015">
        <v>4.2963879999999897</v>
      </c>
      <c r="E4015">
        <v>0.52998049999999997</v>
      </c>
      <c r="F4015" t="s">
        <v>49</v>
      </c>
      <c r="G4015">
        <v>-196.86369999999999</v>
      </c>
      <c r="H4015" s="1">
        <v>-1.335831E-5</v>
      </c>
      <c r="I4015">
        <v>154.27170000000001</v>
      </c>
      <c r="J4015">
        <v>-191.55779999999999</v>
      </c>
      <c r="K4015">
        <v>1.105116</v>
      </c>
      <c r="L4015">
        <v>161.73779999999999</v>
      </c>
      <c r="M4015">
        <v>-0.2508958</v>
      </c>
      <c r="N4015">
        <v>0</v>
      </c>
      <c r="O4015">
        <v>-0.96790430000000005</v>
      </c>
      <c r="P4015">
        <v>-0.51091309999999901</v>
      </c>
      <c r="Q4015">
        <v>0.141493799999999</v>
      </c>
      <c r="R4015">
        <v>-0.84790769999999904</v>
      </c>
      <c r="S4015">
        <v>-1.7754669999999999</v>
      </c>
      <c r="T4015">
        <v>-0.36677179999999998</v>
      </c>
      <c r="U4015">
        <v>-2.5301969999999998</v>
      </c>
      <c r="V4015">
        <v>0.28380119999999998</v>
      </c>
      <c r="W4015">
        <v>0.1516537</v>
      </c>
      <c r="X4015">
        <v>0.94681470000000001</v>
      </c>
      <c r="Y4015">
        <v>0.34643679999999999</v>
      </c>
      <c r="Z4015">
        <v>0.11939619999999999</v>
      </c>
      <c r="AA4015">
        <v>0.9304441</v>
      </c>
      <c r="AB4015">
        <v>30</v>
      </c>
      <c r="AC4015">
        <v>-5.3059000000000003</v>
      </c>
      <c r="AD4015">
        <v>-1.1051293583099999</v>
      </c>
      <c r="AE4015">
        <v>-7.4660999999999804</v>
      </c>
      <c r="AF4015">
        <v>3.2159210732385599</v>
      </c>
      <c r="AG4015">
        <v>-1.1051293583099999</v>
      </c>
      <c r="AH4015">
        <v>8.4358031664918602</v>
      </c>
      <c r="AI4015">
        <v>96.9789253846413</v>
      </c>
      <c r="AJ4015">
        <v>69.132009507866798</v>
      </c>
      <c r="AK4015">
        <v>9.0953963251577292</v>
      </c>
      <c r="AL4015">
        <v>81.277227118193593</v>
      </c>
      <c r="AM4015">
        <v>73.314259170192699</v>
      </c>
      <c r="AN4015">
        <v>1.0000000209906099</v>
      </c>
    </row>
    <row r="4016" spans="1:40" x14ac:dyDescent="0.25">
      <c r="A4016" t="str">
        <f>"20190312172450558"</f>
        <v>20190312172450558</v>
      </c>
      <c r="B4016" t="str">
        <f>"1552382690554815"</f>
        <v>1552382690554815</v>
      </c>
      <c r="C4016" t="s">
        <v>40</v>
      </c>
      <c r="D4016">
        <v>4.2767739999999996</v>
      </c>
      <c r="E4016">
        <v>0.52967319999999996</v>
      </c>
      <c r="F4016" t="s">
        <v>49</v>
      </c>
      <c r="G4016">
        <v>-196.95859999999999</v>
      </c>
      <c r="H4016" s="1">
        <v>-1.33265899999999E-5</v>
      </c>
      <c r="I4016">
        <v>154.1122</v>
      </c>
      <c r="J4016">
        <v>-191.6046</v>
      </c>
      <c r="K4016">
        <v>1.1050979999999999</v>
      </c>
      <c r="L4016">
        <v>161.57239999999999</v>
      </c>
      <c r="M4016">
        <v>-0.25456420000000002</v>
      </c>
      <c r="N4016">
        <v>0</v>
      </c>
      <c r="O4016">
        <v>-0.96694579999999997</v>
      </c>
      <c r="P4016">
        <v>-0.51559909999999998</v>
      </c>
      <c r="Q4016">
        <v>0.14227890000000001</v>
      </c>
      <c r="R4016">
        <v>-0.84493459999999998</v>
      </c>
      <c r="S4016">
        <v>-1.786591</v>
      </c>
      <c r="T4016">
        <v>-0.36558390000000002</v>
      </c>
      <c r="U4016">
        <v>-2.522583</v>
      </c>
      <c r="V4016">
        <v>0.28550530000000002</v>
      </c>
      <c r="W4016">
        <v>0.152398799999999</v>
      </c>
      <c r="X4016">
        <v>0.94618250000000004</v>
      </c>
      <c r="Y4016">
        <v>0.34696890000000002</v>
      </c>
      <c r="Z4016">
        <v>0.1189819</v>
      </c>
      <c r="AA4016">
        <v>0.93029879999999998</v>
      </c>
      <c r="AB4016">
        <v>30</v>
      </c>
      <c r="AC4016">
        <v>-5.3539999999999797</v>
      </c>
      <c r="AD4016">
        <v>-1.1051113265900001</v>
      </c>
      <c r="AE4016">
        <v>-7.46019999999998</v>
      </c>
      <c r="AF4016">
        <v>3.2314729896669201</v>
      </c>
      <c r="AG4016">
        <v>-1.1051113265900001</v>
      </c>
      <c r="AH4016">
        <v>8.4549984969238601</v>
      </c>
      <c r="AI4016">
        <v>96.960887629535094</v>
      </c>
      <c r="AJ4016">
        <v>69.083306071708705</v>
      </c>
      <c r="AK4016">
        <v>9.1186999243362106</v>
      </c>
      <c r="AL4016">
        <v>81.234033762822193</v>
      </c>
      <c r="AM4016">
        <v>73.209103949953501</v>
      </c>
      <c r="AN4016">
        <v>0.99999999693788999</v>
      </c>
    </row>
    <row r="4017" spans="1:40" x14ac:dyDescent="0.25">
      <c r="A4017" t="str">
        <f>"20190312172450577"</f>
        <v>20190312172450577</v>
      </c>
      <c r="B4017" t="str">
        <f>"1552382690574335"</f>
        <v>1552382690574335</v>
      </c>
      <c r="C4017" t="s">
        <v>40</v>
      </c>
      <c r="D4017">
        <v>4.2685490000000001</v>
      </c>
      <c r="E4017">
        <v>0.52943809999999902</v>
      </c>
      <c r="F4017" t="s">
        <v>49</v>
      </c>
      <c r="G4017">
        <v>-197.06190000000001</v>
      </c>
      <c r="H4017" s="1">
        <v>-1.3292049999999999E-5</v>
      </c>
      <c r="I4017">
        <v>153.9385</v>
      </c>
      <c r="J4017">
        <v>-191.672</v>
      </c>
      <c r="K4017">
        <v>1.1050850000000001</v>
      </c>
      <c r="L4017">
        <v>161.3382</v>
      </c>
      <c r="M4017">
        <v>-0.25977600000000001</v>
      </c>
      <c r="N4017">
        <v>0</v>
      </c>
      <c r="O4017">
        <v>-0.96555869999999999</v>
      </c>
      <c r="P4017">
        <v>-0.523007</v>
      </c>
      <c r="Q4017">
        <v>0.1423915</v>
      </c>
      <c r="R4017">
        <v>-0.84035040000000005</v>
      </c>
      <c r="S4017">
        <v>-1.797806</v>
      </c>
      <c r="T4017">
        <v>-0.36405280000000001</v>
      </c>
      <c r="U4017">
        <v>-2.5148009999999998</v>
      </c>
      <c r="V4017">
        <v>0.28873720000000003</v>
      </c>
      <c r="W4017">
        <v>0.15244679999999999</v>
      </c>
      <c r="X4017">
        <v>0.94519350000000002</v>
      </c>
      <c r="Y4017">
        <v>0.34606130000000002</v>
      </c>
      <c r="Z4017">
        <v>0.1184171</v>
      </c>
      <c r="AA4017">
        <v>0.9307088</v>
      </c>
      <c r="AB4017">
        <v>30</v>
      </c>
      <c r="AC4017">
        <v>-5.3899000000000097</v>
      </c>
      <c r="AD4017">
        <v>-1.1050982920499901</v>
      </c>
      <c r="AE4017">
        <v>-7.3996999999999904</v>
      </c>
      <c r="AF4017">
        <v>3.23520576483876</v>
      </c>
      <c r="AG4017">
        <v>-1.1050982920499901</v>
      </c>
      <c r="AH4017">
        <v>8.4231770092466398</v>
      </c>
      <c r="AI4017">
        <v>96.982483775045907</v>
      </c>
      <c r="AJ4017">
        <v>68.989026720158506</v>
      </c>
      <c r="AK4017">
        <v>9.0905285602674901</v>
      </c>
      <c r="AL4017">
        <v>81.231250856294395</v>
      </c>
      <c r="AM4017">
        <v>73.013164441846399</v>
      </c>
      <c r="AN4017">
        <v>0.99999997496816395</v>
      </c>
    </row>
    <row r="4018" spans="1:40" x14ac:dyDescent="0.25">
      <c r="A4018" t="str">
        <f>"20190312172450588"</f>
        <v>20190312172450588</v>
      </c>
      <c r="B4018" t="str">
        <f>"1552382690584095"</f>
        <v>1552382690584095</v>
      </c>
      <c r="C4018" t="s">
        <v>40</v>
      </c>
      <c r="D4018">
        <v>4.2382019999999896</v>
      </c>
      <c r="E4018">
        <v>0.529335</v>
      </c>
      <c r="F4018" t="s">
        <v>49</v>
      </c>
      <c r="G4018">
        <v>-197.1814</v>
      </c>
      <c r="H4018" s="1">
        <v>-1.3257540000000001E-5</v>
      </c>
      <c r="I4018">
        <v>153.75919999999999</v>
      </c>
      <c r="J4018">
        <v>-191.7174</v>
      </c>
      <c r="K4018">
        <v>1.1050770000000001</v>
      </c>
      <c r="L4018">
        <v>161.1832</v>
      </c>
      <c r="M4018">
        <v>-0.26323180000000002</v>
      </c>
      <c r="N4018">
        <v>0</v>
      </c>
      <c r="O4018">
        <v>-0.96462230000000004</v>
      </c>
      <c r="P4018">
        <v>-0.52712309999999996</v>
      </c>
      <c r="Q4018">
        <v>0.14260989999999901</v>
      </c>
      <c r="R4018">
        <v>-0.83773729999999902</v>
      </c>
      <c r="S4018">
        <v>-1.8176730000000001</v>
      </c>
      <c r="T4018">
        <v>-0.36459720000000001</v>
      </c>
      <c r="U4018">
        <v>-2.5004729999999999</v>
      </c>
      <c r="V4018">
        <v>0.29000670000000001</v>
      </c>
      <c r="W4018">
        <v>0.1526391</v>
      </c>
      <c r="X4018">
        <v>0.94477370000000005</v>
      </c>
      <c r="Y4018">
        <v>0.35006209999999999</v>
      </c>
      <c r="Z4018">
        <v>0.11862399999999999</v>
      </c>
      <c r="AA4018">
        <v>0.92918500000000004</v>
      </c>
      <c r="AB4018">
        <v>30</v>
      </c>
      <c r="AC4018">
        <v>-5.4639999999999898</v>
      </c>
      <c r="AD4018">
        <v>-1.1050902575399999</v>
      </c>
      <c r="AE4018">
        <v>-7.4240000000000004</v>
      </c>
      <c r="AF4018">
        <v>3.2698216987926498</v>
      </c>
      <c r="AG4018">
        <v>-1.1050902575399999</v>
      </c>
      <c r="AH4018">
        <v>8.4787117582722793</v>
      </c>
      <c r="AI4018">
        <v>96.933538870613901</v>
      </c>
      <c r="AJ4018">
        <v>68.910828555288901</v>
      </c>
      <c r="AK4018">
        <v>9.1543165500800594</v>
      </c>
      <c r="AL4018">
        <v>81.220102295646996</v>
      </c>
      <c r="AM4018">
        <v>72.935665604386699</v>
      </c>
      <c r="AN4018">
        <v>0.99999996255269397</v>
      </c>
    </row>
    <row r="4019" spans="1:40" x14ac:dyDescent="0.25">
      <c r="A4019" t="str">
        <f>"20190312172450601"</f>
        <v>20190312172450601</v>
      </c>
      <c r="B4019" t="str">
        <f>"1552382690594831"</f>
        <v>1552382690594831</v>
      </c>
      <c r="C4019" t="s">
        <v>40</v>
      </c>
      <c r="D4019">
        <v>4.2623449999999998</v>
      </c>
      <c r="E4019">
        <v>0.52925659999999997</v>
      </c>
      <c r="F4019" t="s">
        <v>49</v>
      </c>
      <c r="G4019">
        <v>-197.27369999999999</v>
      </c>
      <c r="H4019" s="1">
        <v>-1.322982E-5</v>
      </c>
      <c r="I4019">
        <v>153.6165</v>
      </c>
      <c r="J4019">
        <v>-191.7672</v>
      </c>
      <c r="K4019">
        <v>1.1050679999999999</v>
      </c>
      <c r="L4019">
        <v>161.0145</v>
      </c>
      <c r="M4019">
        <v>-0.26699260000000002</v>
      </c>
      <c r="N4019">
        <v>0</v>
      </c>
      <c r="O4019">
        <v>-0.96358820000000001</v>
      </c>
      <c r="P4019">
        <v>-0.53148169999999995</v>
      </c>
      <c r="Q4019">
        <v>0.14196810000000001</v>
      </c>
      <c r="R4019">
        <v>-0.835088099999999</v>
      </c>
      <c r="S4019">
        <v>-1.829712</v>
      </c>
      <c r="T4019">
        <v>-0.36390689999999998</v>
      </c>
      <c r="U4019">
        <v>-2.4916990000000001</v>
      </c>
      <c r="V4019">
        <v>0.29121150000000001</v>
      </c>
      <c r="W4019">
        <v>0.15197559999999999</v>
      </c>
      <c r="X4019">
        <v>0.94451010000000002</v>
      </c>
      <c r="Y4019">
        <v>0.35090660000000001</v>
      </c>
      <c r="Z4019">
        <v>0.11837590000000001</v>
      </c>
      <c r="AA4019">
        <v>0.92889820000000001</v>
      </c>
      <c r="AB4019">
        <v>30</v>
      </c>
      <c r="AC4019">
        <v>-5.5064999999999804</v>
      </c>
      <c r="AD4019">
        <v>-1.1050812298199999</v>
      </c>
      <c r="AE4019">
        <v>-7.3979999999999899</v>
      </c>
      <c r="AF4019">
        <v>3.2839888883057098</v>
      </c>
      <c r="AG4019">
        <v>-1.1050812298199999</v>
      </c>
      <c r="AH4019">
        <v>8.4780049709141903</v>
      </c>
      <c r="AI4019">
        <v>96.930123564427703</v>
      </c>
      <c r="AJ4019">
        <v>68.825925406551804</v>
      </c>
      <c r="AK4019">
        <v>9.1587311255359793</v>
      </c>
      <c r="AL4019">
        <v>81.258567355129003</v>
      </c>
      <c r="AM4019">
        <v>72.864415034275595</v>
      </c>
      <c r="AN4019">
        <v>1.0000000248648</v>
      </c>
    </row>
    <row r="4020" spans="1:40" x14ac:dyDescent="0.25">
      <c r="A4020" t="str">
        <f>"20190312172450613"</f>
        <v>20190312172450613</v>
      </c>
      <c r="B4020" t="str">
        <f>"1552382690604592"</f>
        <v>1552382690604592</v>
      </c>
      <c r="C4020" t="s">
        <v>40</v>
      </c>
      <c r="D4020">
        <v>4.2735560000000001</v>
      </c>
      <c r="E4020">
        <v>0.5291574</v>
      </c>
      <c r="F4020" t="s">
        <v>49</v>
      </c>
      <c r="G4020">
        <v>-197.3252</v>
      </c>
      <c r="H4020" s="1">
        <v>-1.321205E-5</v>
      </c>
      <c r="I4020">
        <v>153.52780000000001</v>
      </c>
      <c r="J4020">
        <v>-191.81720000000001</v>
      </c>
      <c r="K4020">
        <v>1.1050679999999999</v>
      </c>
      <c r="L4020">
        <v>160.84899999999999</v>
      </c>
      <c r="M4020">
        <v>-0.27068920000000002</v>
      </c>
      <c r="N4020">
        <v>0</v>
      </c>
      <c r="O4020">
        <v>-0.96255610000000003</v>
      </c>
      <c r="P4020">
        <v>-0.53584009999999904</v>
      </c>
      <c r="Q4020">
        <v>0.14174709999999999</v>
      </c>
      <c r="R4020">
        <v>-0.83233599999999996</v>
      </c>
      <c r="S4020">
        <v>-1.842606</v>
      </c>
      <c r="T4020">
        <v>-0.36636229999999997</v>
      </c>
      <c r="U4020">
        <v>-2.48204</v>
      </c>
      <c r="V4020">
        <v>0.29251349999999998</v>
      </c>
      <c r="W4020">
        <v>0.1517319</v>
      </c>
      <c r="X4020">
        <v>0.94414690000000001</v>
      </c>
      <c r="Y4020">
        <v>0.3520993</v>
      </c>
      <c r="Z4020">
        <v>0.1191483</v>
      </c>
      <c r="AA4020">
        <v>0.9283479</v>
      </c>
      <c r="AB4020">
        <v>30</v>
      </c>
      <c r="AC4020">
        <v>-5.5079999999999796</v>
      </c>
      <c r="AD4020">
        <v>-1.10508121205</v>
      </c>
      <c r="AE4020">
        <v>-7.32119999999997</v>
      </c>
      <c r="AF4020">
        <v>3.2727285094003702</v>
      </c>
      <c r="AG4020">
        <v>-1.10508121205</v>
      </c>
      <c r="AH4020">
        <v>8.4164813647100498</v>
      </c>
      <c r="AI4020">
        <v>96.976802877279397</v>
      </c>
      <c r="AJ4020">
        <v>68.751549839983795</v>
      </c>
      <c r="AK4020">
        <v>9.0977532910043006</v>
      </c>
      <c r="AL4020">
        <v>81.272694324506801</v>
      </c>
      <c r="AM4020">
        <v>72.786089185802595</v>
      </c>
      <c r="AN4020">
        <v>1.00000004296973</v>
      </c>
    </row>
    <row r="4021" spans="1:40" x14ac:dyDescent="0.25">
      <c r="A4021" t="str">
        <f>"20190312172450626"</f>
        <v>20190312172450626</v>
      </c>
      <c r="B4021" t="str">
        <f>"1552382690614352"</f>
        <v>1552382690614352</v>
      </c>
      <c r="C4021" t="s">
        <v>40</v>
      </c>
      <c r="D4021">
        <v>4.2346510000000004</v>
      </c>
      <c r="E4021">
        <v>0.52906569999999997</v>
      </c>
      <c r="F4021" t="s">
        <v>49</v>
      </c>
      <c r="G4021">
        <v>-197.40209999999999</v>
      </c>
      <c r="H4021" s="1">
        <v>-1.3188719999999999E-5</v>
      </c>
      <c r="I4021">
        <v>153.40790000000001</v>
      </c>
      <c r="J4021">
        <v>-191.8605</v>
      </c>
      <c r="K4021">
        <v>1.10507</v>
      </c>
      <c r="L4021">
        <v>160.70670000000001</v>
      </c>
      <c r="M4021">
        <v>-0.27386719999999998</v>
      </c>
      <c r="N4021">
        <v>0</v>
      </c>
      <c r="O4021">
        <v>-0.96165670000000003</v>
      </c>
      <c r="P4021">
        <v>-0.53971440000000004</v>
      </c>
      <c r="Q4021">
        <v>0.1414927</v>
      </c>
      <c r="R4021">
        <v>-0.82987259999999996</v>
      </c>
      <c r="S4021">
        <v>-1.8555600000000001</v>
      </c>
      <c r="T4021">
        <v>-0.36715540000000002</v>
      </c>
      <c r="U4021">
        <v>-2.4722599999999999</v>
      </c>
      <c r="V4021">
        <v>0.29378339999999997</v>
      </c>
      <c r="W4021">
        <v>0.1514557</v>
      </c>
      <c r="X4021">
        <v>0.94379690000000005</v>
      </c>
      <c r="Y4021">
        <v>0.35386600000000001</v>
      </c>
      <c r="Z4021">
        <v>0.1194011</v>
      </c>
      <c r="AA4021">
        <v>0.92764340000000001</v>
      </c>
      <c r="AB4021">
        <v>30</v>
      </c>
      <c r="AC4021">
        <v>-5.5415999999999803</v>
      </c>
      <c r="AD4021">
        <v>-1.1050831887200001</v>
      </c>
      <c r="AE4021">
        <v>-7.2988</v>
      </c>
      <c r="AF4021">
        <v>3.2828329996228698</v>
      </c>
      <c r="AG4021">
        <v>-1.1050831887200001</v>
      </c>
      <c r="AH4021">
        <v>8.4151447647567892</v>
      </c>
      <c r="AI4021">
        <v>96.974963182547995</v>
      </c>
      <c r="AJ4021">
        <v>68.688740936291595</v>
      </c>
      <c r="AK4021">
        <v>9.1001572936525701</v>
      </c>
      <c r="AL4021">
        <v>81.288704526800402</v>
      </c>
      <c r="AM4021">
        <v>72.709773411049298</v>
      </c>
      <c r="AN4021">
        <v>1.0000000518138199</v>
      </c>
    </row>
    <row r="4022" spans="1:40" x14ac:dyDescent="0.25">
      <c r="A4022" t="str">
        <f>"20190312172450646"</f>
        <v>20190312172450646</v>
      </c>
      <c r="B4022" t="str">
        <f>"1552382690644608"</f>
        <v>1552382690644608</v>
      </c>
      <c r="C4022" t="s">
        <v>40</v>
      </c>
      <c r="D4022">
        <v>4.2436319999999998</v>
      </c>
      <c r="E4022">
        <v>0.5252812</v>
      </c>
      <c r="F4022" t="s">
        <v>49</v>
      </c>
      <c r="G4022">
        <v>-197.45500000000001</v>
      </c>
      <c r="H4022" s="1">
        <v>-1.317187E-5</v>
      </c>
      <c r="I4022">
        <v>153.32230000000001</v>
      </c>
      <c r="J4022">
        <v>-191.94290000000001</v>
      </c>
      <c r="K4022">
        <v>1.1050759999999999</v>
      </c>
      <c r="L4022">
        <v>160.44110000000001</v>
      </c>
      <c r="M4022">
        <v>-0.27980070000000001</v>
      </c>
      <c r="N4022">
        <v>0</v>
      </c>
      <c r="O4022">
        <v>-0.9599472</v>
      </c>
      <c r="P4022">
        <v>-0.54695389999999999</v>
      </c>
      <c r="Q4022">
        <v>0.14180110000000001</v>
      </c>
      <c r="R4022">
        <v>-0.82506610000000002</v>
      </c>
      <c r="S4022">
        <v>-1.8666689999999999</v>
      </c>
      <c r="T4022">
        <v>-0.36872159999999998</v>
      </c>
      <c r="U4022">
        <v>-2.4638819999999999</v>
      </c>
      <c r="V4022">
        <v>0.296234</v>
      </c>
      <c r="W4022">
        <v>0.151723</v>
      </c>
      <c r="X4022">
        <v>0.94298760000000004</v>
      </c>
      <c r="Y4022">
        <v>0.35223850000000001</v>
      </c>
      <c r="Z4022">
        <v>0.1198017</v>
      </c>
      <c r="AA4022">
        <v>0.92821100000000001</v>
      </c>
      <c r="AB4022">
        <v>30</v>
      </c>
      <c r="AC4022">
        <v>-5.5121000000000002</v>
      </c>
      <c r="AD4022">
        <v>-1.10508917187</v>
      </c>
      <c r="AE4022">
        <v>-7.1187999999999896</v>
      </c>
      <c r="AF4022">
        <v>3.2508551646865098</v>
      </c>
      <c r="AG4022">
        <v>-1.10508917187</v>
      </c>
      <c r="AH4022">
        <v>8.2525246638820899</v>
      </c>
      <c r="AI4022">
        <v>97.101940798046101</v>
      </c>
      <c r="AJ4022">
        <v>68.499403490544296</v>
      </c>
      <c r="AK4022">
        <v>8.9383133032768196</v>
      </c>
      <c r="AL4022">
        <v>81.273210138853301</v>
      </c>
      <c r="AM4022">
        <v>72.560195867037095</v>
      </c>
      <c r="AN4022">
        <v>1.0000000326193701</v>
      </c>
    </row>
    <row r="4023" spans="1:40" x14ac:dyDescent="0.25">
      <c r="A4023" t="str">
        <f>"20190312172450667"</f>
        <v>20190312172450667</v>
      </c>
      <c r="B4023" t="str">
        <f>"1552382690664127"</f>
        <v>1552382690664127</v>
      </c>
      <c r="C4023" t="s">
        <v>40</v>
      </c>
      <c r="D4023">
        <v>4.2303569999999997</v>
      </c>
      <c r="E4023">
        <v>0.52533989999999997</v>
      </c>
      <c r="F4023" t="s">
        <v>49</v>
      </c>
      <c r="G4023">
        <v>-197.44919999999999</v>
      </c>
      <c r="H4023" s="1">
        <v>-1.312991E-5</v>
      </c>
      <c r="I4023">
        <v>153.1576</v>
      </c>
      <c r="J4023">
        <v>-192.02789999999999</v>
      </c>
      <c r="K4023">
        <v>1.1050759999999999</v>
      </c>
      <c r="L4023">
        <v>160.1728</v>
      </c>
      <c r="M4023">
        <v>-0.2857924</v>
      </c>
      <c r="N4023">
        <v>0</v>
      </c>
      <c r="O4023">
        <v>-0.95818040000000004</v>
      </c>
      <c r="P4023">
        <v>-0.55391769999999996</v>
      </c>
      <c r="Q4023">
        <v>0.1429859</v>
      </c>
      <c r="R4023">
        <v>-0.82020159999999998</v>
      </c>
      <c r="S4023">
        <v>-1.86351</v>
      </c>
      <c r="T4023">
        <v>-0.37399939999999998</v>
      </c>
      <c r="U4023">
        <v>-2.4649809999999999</v>
      </c>
      <c r="V4023">
        <v>0.29840070000000002</v>
      </c>
      <c r="W4023">
        <v>0.15287000000000001</v>
      </c>
      <c r="X4023">
        <v>0.94211880000000003</v>
      </c>
      <c r="Y4023">
        <v>0.34531309999999998</v>
      </c>
      <c r="Z4023">
        <v>0.1213226</v>
      </c>
      <c r="AA4023">
        <v>0.93061249999999995</v>
      </c>
      <c r="AB4023">
        <v>30</v>
      </c>
      <c r="AC4023">
        <v>-5.4212999999999996</v>
      </c>
      <c r="AD4023">
        <v>-1.1050891299100001</v>
      </c>
      <c r="AE4023">
        <v>-7.0151999999999903</v>
      </c>
      <c r="AF4023">
        <v>3.1412287216908101</v>
      </c>
      <c r="AG4023">
        <v>-1.1050891299100001</v>
      </c>
      <c r="AH4023">
        <v>8.1455218802125593</v>
      </c>
      <c r="AI4023">
        <v>97.214244221080406</v>
      </c>
      <c r="AJ4023">
        <v>68.911428917768802</v>
      </c>
      <c r="AK4023">
        <v>8.7998901452258007</v>
      </c>
      <c r="AL4023">
        <v>81.206716139919806</v>
      </c>
      <c r="AM4023">
        <v>72.425254655315698</v>
      </c>
      <c r="AN4023">
        <v>1.00000002398696</v>
      </c>
    </row>
    <row r="4024" spans="1:40" x14ac:dyDescent="0.25">
      <c r="A4024" t="str">
        <f>"20190312172450689"</f>
        <v>20190312172450689</v>
      </c>
      <c r="B4024" t="str">
        <f>"1552382690684624"</f>
        <v>1552382690684624</v>
      </c>
      <c r="C4024" t="s">
        <v>40</v>
      </c>
      <c r="D4024">
        <v>4.1991639999999997</v>
      </c>
      <c r="E4024">
        <v>0.52513089999999996</v>
      </c>
      <c r="F4024" t="s">
        <v>49</v>
      </c>
      <c r="G4024">
        <v>-197.5855</v>
      </c>
      <c r="H4024" s="1">
        <v>-1.309131E-5</v>
      </c>
      <c r="I4024">
        <v>152.95609999999999</v>
      </c>
      <c r="J4024">
        <v>-192.11879999999999</v>
      </c>
      <c r="K4024">
        <v>1.1050819999999999</v>
      </c>
      <c r="L4024">
        <v>159.8922</v>
      </c>
      <c r="M4024">
        <v>-0.29206330000000003</v>
      </c>
      <c r="N4024">
        <v>0</v>
      </c>
      <c r="O4024">
        <v>-0.95628769999999996</v>
      </c>
      <c r="P4024">
        <v>-0.56057239999999997</v>
      </c>
      <c r="Q4024">
        <v>0.14492910000000001</v>
      </c>
      <c r="R4024">
        <v>-0.81532490000000002</v>
      </c>
      <c r="S4024">
        <v>-1.886139</v>
      </c>
      <c r="T4024">
        <v>-0.37504549999999998</v>
      </c>
      <c r="U4024">
        <v>-2.4492029999999998</v>
      </c>
      <c r="V4024">
        <v>0.30002050000000002</v>
      </c>
      <c r="W4024">
        <v>0.15478339999999999</v>
      </c>
      <c r="X4024">
        <v>0.94129160000000001</v>
      </c>
      <c r="Y4024">
        <v>0.34744899999999901</v>
      </c>
      <c r="Z4024">
        <v>0.1215618</v>
      </c>
      <c r="AA4024">
        <v>0.929786</v>
      </c>
      <c r="AB4024">
        <v>30</v>
      </c>
      <c r="AC4024">
        <v>-5.4667000000000003</v>
      </c>
      <c r="AD4024">
        <v>-1.1050950913099999</v>
      </c>
      <c r="AE4024">
        <v>-6.9360999999999997</v>
      </c>
      <c r="AF4024">
        <v>3.1529299600860599</v>
      </c>
      <c r="AG4024">
        <v>-1.1050950913099999</v>
      </c>
      <c r="AH4024">
        <v>8.1035206005086895</v>
      </c>
      <c r="AI4024">
        <v>97.242963643188006</v>
      </c>
      <c r="AJ4024">
        <v>68.739908997827101</v>
      </c>
      <c r="AK4024">
        <v>8.7652295244856298</v>
      </c>
      <c r="AL4024">
        <v>81.095765964495996</v>
      </c>
      <c r="AM4024">
        <v>72.321214024666702</v>
      </c>
      <c r="AN4024">
        <v>1.00000003878318</v>
      </c>
    </row>
    <row r="4025" spans="1:40" x14ac:dyDescent="0.25">
      <c r="A4025" t="str">
        <f>"20190312172450703"</f>
        <v>20190312172450703</v>
      </c>
      <c r="B4025" t="str">
        <f>"1552382690694384"</f>
        <v>1552382690694384</v>
      </c>
      <c r="C4025" t="s">
        <v>40</v>
      </c>
      <c r="D4025">
        <v>4.2106269999999997</v>
      </c>
      <c r="E4025">
        <v>0.52513089999999996</v>
      </c>
      <c r="F4025" t="s">
        <v>49</v>
      </c>
      <c r="G4025">
        <v>-197.809</v>
      </c>
      <c r="H4025" s="1">
        <v>-1.302789E-5</v>
      </c>
      <c r="I4025">
        <v>152.62530000000001</v>
      </c>
      <c r="J4025">
        <v>-192.1771</v>
      </c>
      <c r="K4025">
        <v>1.105083</v>
      </c>
      <c r="L4025">
        <v>159.71530000000001</v>
      </c>
      <c r="M4025">
        <v>-0.29602060000000002</v>
      </c>
      <c r="N4025">
        <v>0</v>
      </c>
      <c r="O4025">
        <v>-0.95506999999999997</v>
      </c>
      <c r="P4025">
        <v>-0.56447219999999998</v>
      </c>
      <c r="Q4025">
        <v>0.1461568</v>
      </c>
      <c r="R4025">
        <v>-0.81240950000000001</v>
      </c>
      <c r="S4025">
        <v>-1.906342</v>
      </c>
      <c r="T4025">
        <v>-0.37023479999999998</v>
      </c>
      <c r="U4025">
        <v>-2.4346009999999998</v>
      </c>
      <c r="V4025">
        <v>0.30071409999999998</v>
      </c>
      <c r="W4025">
        <v>0.15599769999999999</v>
      </c>
      <c r="X4025">
        <v>0.94086970000000003</v>
      </c>
      <c r="Y4025">
        <v>0.35117999999999999</v>
      </c>
      <c r="Z4025">
        <v>0.120004</v>
      </c>
      <c r="AA4025">
        <v>0.92858580000000002</v>
      </c>
      <c r="AB4025">
        <v>30</v>
      </c>
      <c r="AC4025">
        <v>-5.6319000000000301</v>
      </c>
      <c r="AD4025">
        <v>-1.1050960278899999</v>
      </c>
      <c r="AE4025">
        <v>-7.09</v>
      </c>
      <c r="AF4025">
        <v>3.2322755170665101</v>
      </c>
      <c r="AG4025">
        <v>-1.1050960278899999</v>
      </c>
      <c r="AH4025">
        <v>8.3156375162177891</v>
      </c>
      <c r="AI4025">
        <v>97.061007478054606</v>
      </c>
      <c r="AJ4025">
        <v>68.758972432309605</v>
      </c>
      <c r="AK4025">
        <v>8.9899204418178602</v>
      </c>
      <c r="AL4025">
        <v>81.025336046590098</v>
      </c>
      <c r="AM4025">
        <v>72.275449276688406</v>
      </c>
      <c r="AN4025">
        <v>1.0000000223610901</v>
      </c>
    </row>
    <row r="4026" spans="1:40" x14ac:dyDescent="0.25">
      <c r="A4026" t="str">
        <f>"20190312172450714"</f>
        <v>20190312172450714</v>
      </c>
      <c r="B4026" t="str">
        <f>"1552382690704143"</f>
        <v>1552382690704143</v>
      </c>
      <c r="C4026" t="s">
        <v>40</v>
      </c>
      <c r="D4026">
        <v>4.2194669999999999</v>
      </c>
      <c r="E4026">
        <v>0.52584839999999999</v>
      </c>
      <c r="F4026" t="s">
        <v>49</v>
      </c>
      <c r="G4026">
        <v>-197.9641</v>
      </c>
      <c r="H4026" s="1">
        <v>-1.29849E-5</v>
      </c>
      <c r="I4026">
        <v>152.3998</v>
      </c>
      <c r="J4026">
        <v>-192.2296</v>
      </c>
      <c r="K4026">
        <v>1.1050869999999999</v>
      </c>
      <c r="L4026">
        <v>159.55869999999999</v>
      </c>
      <c r="M4026">
        <v>-0.29953150000000001</v>
      </c>
      <c r="N4026">
        <v>0</v>
      </c>
      <c r="O4026">
        <v>-0.95397500000000002</v>
      </c>
      <c r="P4026">
        <v>-0.56813649999999905</v>
      </c>
      <c r="Q4026">
        <v>0.1469357</v>
      </c>
      <c r="R4026">
        <v>-0.80971070000000001</v>
      </c>
      <c r="S4026">
        <v>-1.918701</v>
      </c>
      <c r="T4026">
        <v>-0.36640159999999999</v>
      </c>
      <c r="U4026">
        <v>-2.4254910000000001</v>
      </c>
      <c r="V4026">
        <v>0.30155769999999998</v>
      </c>
      <c r="W4026">
        <v>0.15676029999999999</v>
      </c>
      <c r="X4026">
        <v>0.9404728</v>
      </c>
      <c r="Y4026">
        <v>0.3524446</v>
      </c>
      <c r="Z4026">
        <v>0.118731</v>
      </c>
      <c r="AA4026">
        <v>0.92827029999999999</v>
      </c>
      <c r="AB4026">
        <v>30</v>
      </c>
      <c r="AC4026">
        <v>-5.7344999999999899</v>
      </c>
      <c r="AD4026">
        <v>-1.1050999849000001</v>
      </c>
      <c r="AE4026">
        <v>-7.1588999999999796</v>
      </c>
      <c r="AF4026">
        <v>3.2790109374876799</v>
      </c>
      <c r="AG4026">
        <v>-1.1050999849000001</v>
      </c>
      <c r="AH4026">
        <v>8.4256812546258697</v>
      </c>
      <c r="AI4026">
        <v>96.968628648640006</v>
      </c>
      <c r="AJ4026">
        <v>68.735572745835796</v>
      </c>
      <c r="AK4026">
        <v>9.1085269560639492</v>
      </c>
      <c r="AL4026">
        <v>80.981097488585903</v>
      </c>
      <c r="AM4026">
        <v>72.221822734887695</v>
      </c>
      <c r="AN4026">
        <v>0.99999996281260894</v>
      </c>
    </row>
    <row r="4027" spans="1:40" x14ac:dyDescent="0.25">
      <c r="A4027" t="str">
        <f>"20190312172450727"</f>
        <v>20190312172450727</v>
      </c>
      <c r="B4027" t="str">
        <f>"1552382690724641"</f>
        <v>1552382690724641</v>
      </c>
      <c r="C4027" t="s">
        <v>40</v>
      </c>
      <c r="D4027">
        <v>4.1783950000000001</v>
      </c>
      <c r="E4027">
        <v>0.52554639999999997</v>
      </c>
      <c r="F4027" t="s">
        <v>49</v>
      </c>
      <c r="G4027">
        <v>-197.5232</v>
      </c>
      <c r="H4027" s="1">
        <v>-1.308435E-5</v>
      </c>
      <c r="I4027">
        <v>152.95050000000001</v>
      </c>
      <c r="J4027">
        <v>-192.28210000000001</v>
      </c>
      <c r="K4027">
        <v>1.1050869999999999</v>
      </c>
      <c r="L4027">
        <v>159.4033</v>
      </c>
      <c r="M4027">
        <v>-0.30302259999999998</v>
      </c>
      <c r="N4027">
        <v>0</v>
      </c>
      <c r="O4027">
        <v>-0.95287180000000005</v>
      </c>
      <c r="P4027">
        <v>-0.57165589999999999</v>
      </c>
      <c r="Q4027">
        <v>0.14755370000000001</v>
      </c>
      <c r="R4027">
        <v>-0.80711709999999903</v>
      </c>
      <c r="S4027">
        <v>-1.9376679999999999</v>
      </c>
      <c r="T4027">
        <v>-0.4045067</v>
      </c>
      <c r="U4027">
        <v>-2.4188540000000001</v>
      </c>
      <c r="V4027">
        <v>0.30225259999999998</v>
      </c>
      <c r="W4027">
        <v>0.15736259999999999</v>
      </c>
      <c r="X4027">
        <v>0.94014909999999996</v>
      </c>
      <c r="Y4027">
        <v>0.35374549999999999</v>
      </c>
      <c r="Z4027">
        <v>0.1305906</v>
      </c>
      <c r="AA4027">
        <v>0.92618049999999996</v>
      </c>
      <c r="AB4027">
        <v>30</v>
      </c>
      <c r="AC4027">
        <v>-5.2410999999999799</v>
      </c>
      <c r="AD4027">
        <v>-1.1051000843500001</v>
      </c>
      <c r="AE4027">
        <v>-6.4527999999999901</v>
      </c>
      <c r="AF4027">
        <v>2.98630247419575</v>
      </c>
      <c r="AG4027">
        <v>-1.1051000843500001</v>
      </c>
      <c r="AH4027">
        <v>7.6033225552597896</v>
      </c>
      <c r="AI4027">
        <v>97.704418138455694</v>
      </c>
      <c r="AJ4027">
        <v>68.556945129690902</v>
      </c>
      <c r="AK4027">
        <v>8.2431645951746102</v>
      </c>
      <c r="AL4027">
        <v>80.946154677929897</v>
      </c>
      <c r="AM4027">
        <v>72.177696551175899</v>
      </c>
      <c r="AN4027">
        <v>0.99999997615816405</v>
      </c>
    </row>
    <row r="4028" spans="1:40" x14ac:dyDescent="0.25">
      <c r="A4028" t="str">
        <f>"20190312172450745"</f>
        <v>20190312172450745</v>
      </c>
      <c r="B4028" t="str">
        <f>"1552382690734403"</f>
        <v>1552382690734403</v>
      </c>
      <c r="C4028" t="s">
        <v>40</v>
      </c>
      <c r="D4028">
        <v>4.3413810000000002</v>
      </c>
      <c r="E4028">
        <v>0.52586099999999902</v>
      </c>
      <c r="F4028" t="s">
        <v>49</v>
      </c>
      <c r="G4028">
        <v>-197.8244</v>
      </c>
      <c r="H4028" s="1">
        <v>-1.300703E-5</v>
      </c>
      <c r="I4028">
        <v>152.53700000000001</v>
      </c>
      <c r="J4028">
        <v>-192.3562</v>
      </c>
      <c r="K4028">
        <v>1.1050899999999999</v>
      </c>
      <c r="L4028">
        <v>159.1874</v>
      </c>
      <c r="M4028">
        <v>-0.30789299999999997</v>
      </c>
      <c r="N4028">
        <v>0</v>
      </c>
      <c r="O4028">
        <v>-0.95130919999999997</v>
      </c>
      <c r="P4028">
        <v>-0.57740590000000003</v>
      </c>
      <c r="Q4028">
        <v>0.14793319999999999</v>
      </c>
      <c r="R4028">
        <v>-0.80294379999999999</v>
      </c>
      <c r="S4028">
        <v>-1.9452670000000001</v>
      </c>
      <c r="T4028">
        <v>-0.3878781</v>
      </c>
      <c r="U4028">
        <v>-2.4100190000000001</v>
      </c>
      <c r="V4028">
        <v>0.30419159999999901</v>
      </c>
      <c r="W4028">
        <v>0.1577007</v>
      </c>
      <c r="X4028">
        <v>0.93946689999999999</v>
      </c>
      <c r="Y4028">
        <v>0.35283360000000002</v>
      </c>
      <c r="Z4028">
        <v>0.12528359999999999</v>
      </c>
      <c r="AA4028">
        <v>0.92726070000000005</v>
      </c>
      <c r="AB4028">
        <v>30</v>
      </c>
      <c r="AC4028">
        <v>-5.4681999999999897</v>
      </c>
      <c r="AD4028">
        <v>-1.1051030070300001</v>
      </c>
      <c r="AE4028">
        <v>-6.6503999999999897</v>
      </c>
      <c r="AF4028">
        <v>3.1035429858158898</v>
      </c>
      <c r="AG4028">
        <v>-1.1051030070300001</v>
      </c>
      <c r="AH4028">
        <v>7.8812186367062198</v>
      </c>
      <c r="AI4028">
        <v>97.433298995954999</v>
      </c>
      <c r="AJ4028">
        <v>68.505989015745698</v>
      </c>
      <c r="AK4028">
        <v>8.5420629194896094</v>
      </c>
      <c r="AL4028">
        <v>80.926538699340497</v>
      </c>
      <c r="AM4028">
        <v>72.058476380540398</v>
      </c>
      <c r="AN4028">
        <v>1.00000004824332</v>
      </c>
    </row>
    <row r="4029" spans="1:40" x14ac:dyDescent="0.25">
      <c r="A4029" t="str">
        <f>"20190312172450757"</f>
        <v>20190312172450757</v>
      </c>
      <c r="B4029" t="str">
        <f>"1552382690753919"</f>
        <v>1552382690753919</v>
      </c>
      <c r="C4029" t="s">
        <v>40</v>
      </c>
      <c r="D4029">
        <v>4.1564839999999998</v>
      </c>
      <c r="E4029">
        <v>0.52507329999999997</v>
      </c>
      <c r="F4029" t="s">
        <v>49</v>
      </c>
      <c r="G4029">
        <v>-198.00409999999999</v>
      </c>
      <c r="H4029" s="1">
        <v>-1.2963190000000001E-5</v>
      </c>
      <c r="I4029">
        <v>152.29939999999999</v>
      </c>
      <c r="J4029">
        <v>-192.4119</v>
      </c>
      <c r="K4029">
        <v>1.1050799999999901</v>
      </c>
      <c r="L4029">
        <v>159.02780000000001</v>
      </c>
      <c r="M4029">
        <v>-0.3115156</v>
      </c>
      <c r="N4029">
        <v>0</v>
      </c>
      <c r="O4029">
        <v>-0.950129</v>
      </c>
      <c r="P4029">
        <v>-0.58130630000000005</v>
      </c>
      <c r="Q4029">
        <v>0.14752409999999999</v>
      </c>
      <c r="R4029">
        <v>-0.80020029999999998</v>
      </c>
      <c r="S4029">
        <v>-1.9636990000000001</v>
      </c>
      <c r="T4029">
        <v>-0.38423099999999999</v>
      </c>
      <c r="U4029">
        <v>-2.394882</v>
      </c>
      <c r="V4029">
        <v>0.30516159999999998</v>
      </c>
      <c r="W4029">
        <v>0.15726599999999999</v>
      </c>
      <c r="X4029">
        <v>0.93922510000000003</v>
      </c>
      <c r="Y4029">
        <v>0.35650470000000001</v>
      </c>
      <c r="Z4029">
        <v>0.12414219999999999</v>
      </c>
      <c r="AA4029">
        <v>0.92600919999999998</v>
      </c>
      <c r="AB4029">
        <v>30</v>
      </c>
      <c r="AC4029">
        <v>-5.5921999999999903</v>
      </c>
      <c r="AD4029">
        <v>-1.1050929631899999</v>
      </c>
      <c r="AE4029">
        <v>-6.7284000000000201</v>
      </c>
      <c r="AF4029">
        <v>3.16712220337523</v>
      </c>
      <c r="AG4029">
        <v>-1.1050929631899999</v>
      </c>
      <c r="AH4029">
        <v>8.0080070595514492</v>
      </c>
      <c r="AI4029">
        <v>97.312617719454906</v>
      </c>
      <c r="AJ4029">
        <v>68.421478810653198</v>
      </c>
      <c r="AK4029">
        <v>8.6821696927801604</v>
      </c>
      <c r="AL4029">
        <v>80.951759385685705</v>
      </c>
      <c r="AM4029">
        <v>72.000614363761699</v>
      </c>
      <c r="AN4029">
        <v>0.99999999267028405</v>
      </c>
    </row>
    <row r="4030" spans="1:40" x14ac:dyDescent="0.25">
      <c r="A4030" t="str">
        <f>"20190312172450770"</f>
        <v>20190312172450770</v>
      </c>
      <c r="B4030" t="str">
        <f>"1552382690764656"</f>
        <v>1552382690764656</v>
      </c>
      <c r="C4030" t="s">
        <v>40</v>
      </c>
      <c r="D4030">
        <v>4.2521769999999997</v>
      </c>
      <c r="E4030">
        <v>0.52569379999999999</v>
      </c>
      <c r="F4030" t="s">
        <v>49</v>
      </c>
      <c r="G4030">
        <v>-198.09379999999999</v>
      </c>
      <c r="H4030" s="1">
        <v>-1.2930280000000001E-5</v>
      </c>
      <c r="I4030">
        <v>152.137</v>
      </c>
      <c r="J4030">
        <v>-192.46969999999999</v>
      </c>
      <c r="K4030">
        <v>1.105067</v>
      </c>
      <c r="L4030">
        <v>158.86429999999999</v>
      </c>
      <c r="M4030">
        <v>-0.31525150000000002</v>
      </c>
      <c r="N4030">
        <v>0</v>
      </c>
      <c r="O4030">
        <v>-0.94889599999999996</v>
      </c>
      <c r="P4030">
        <v>-0.58518870000000001</v>
      </c>
      <c r="Q4030">
        <v>0.1475516</v>
      </c>
      <c r="R4030">
        <v>-0.79735979999999995</v>
      </c>
      <c r="S4030">
        <v>-1.969711</v>
      </c>
      <c r="T4030">
        <v>-0.38309480000000001</v>
      </c>
      <c r="U4030">
        <v>-2.3887939999999999</v>
      </c>
      <c r="V4030">
        <v>0.3060425</v>
      </c>
      <c r="W4030">
        <v>0.15726560000000001</v>
      </c>
      <c r="X4030">
        <v>0.93893850000000001</v>
      </c>
      <c r="Y4030">
        <v>0.35540949999999999</v>
      </c>
      <c r="Z4030">
        <v>0.12372610000000001</v>
      </c>
      <c r="AA4030">
        <v>0.92648580000000003</v>
      </c>
      <c r="AB4030">
        <v>30</v>
      </c>
      <c r="AC4030">
        <v>-5.6240999999999897</v>
      </c>
      <c r="AD4030">
        <v>-1.1050799302800001</v>
      </c>
      <c r="AE4030">
        <v>-6.7272999999999801</v>
      </c>
      <c r="AF4030">
        <v>3.1659519259088298</v>
      </c>
      <c r="AG4030">
        <v>-1.1050799302800001</v>
      </c>
      <c r="AH4030">
        <v>8.0298438437509603</v>
      </c>
      <c r="AI4030">
        <v>97.295871160123795</v>
      </c>
      <c r="AJ4030">
        <v>68.4820130944629</v>
      </c>
      <c r="AK4030">
        <v>8.7018874621830609</v>
      </c>
      <c r="AL4030">
        <v>80.951782602776404</v>
      </c>
      <c r="AM4030">
        <v>71.946869632049498</v>
      </c>
      <c r="AN4030">
        <v>0.99999999376592996</v>
      </c>
    </row>
    <row r="4031" spans="1:40" x14ac:dyDescent="0.25">
      <c r="A4031" t="str">
        <f>"20190312172450790"</f>
        <v>20190312172450790</v>
      </c>
      <c r="B4031" t="str">
        <f>"1552382690784175"</f>
        <v>1552382690784175</v>
      </c>
      <c r="C4031" t="s">
        <v>40</v>
      </c>
      <c r="D4031">
        <v>4.2086249999999996</v>
      </c>
      <c r="E4031">
        <v>0.52812799999999904</v>
      </c>
      <c r="F4031" t="s">
        <v>49</v>
      </c>
      <c r="G4031">
        <v>-198.41730000000001</v>
      </c>
      <c r="H4031" s="1">
        <v>-1.2860999999999999E-5</v>
      </c>
      <c r="I4031">
        <v>151.74760000000001</v>
      </c>
      <c r="J4031">
        <v>-192.5548</v>
      </c>
      <c r="K4031">
        <v>1.105032</v>
      </c>
      <c r="L4031">
        <v>158.62700000000001</v>
      </c>
      <c r="M4031">
        <v>-0.32071939999999999</v>
      </c>
      <c r="N4031">
        <v>0</v>
      </c>
      <c r="O4031">
        <v>-0.94706190000000001</v>
      </c>
      <c r="P4031">
        <v>-0.59091380000000004</v>
      </c>
      <c r="Q4031">
        <v>0.1471683</v>
      </c>
      <c r="R4031">
        <v>-0.79319779999999995</v>
      </c>
      <c r="S4031">
        <v>-1.984299</v>
      </c>
      <c r="T4031">
        <v>-0.36868919999999999</v>
      </c>
      <c r="U4031">
        <v>-2.3743590000000001</v>
      </c>
      <c r="V4031">
        <v>0.30737530000000002</v>
      </c>
      <c r="W4031">
        <v>0.15683420000000001</v>
      </c>
      <c r="X4031">
        <v>0.93857520000000005</v>
      </c>
      <c r="Y4031">
        <v>0.35651579999999999</v>
      </c>
      <c r="Z4031">
        <v>0.11912929999999999</v>
      </c>
      <c r="AA4031">
        <v>0.92666320000000002</v>
      </c>
      <c r="AB4031">
        <v>30</v>
      </c>
      <c r="AC4031">
        <v>-5.8625000000000096</v>
      </c>
      <c r="AD4031">
        <v>-1.1050448609999901</v>
      </c>
      <c r="AE4031">
        <v>-6.8794000000000004</v>
      </c>
      <c r="AF4031">
        <v>3.296869983229</v>
      </c>
      <c r="AG4031">
        <v>-1.1050448609999901</v>
      </c>
      <c r="AH4031">
        <v>8.27267411715364</v>
      </c>
      <c r="AI4031">
        <v>97.073492435119604</v>
      </c>
      <c r="AJ4031">
        <v>68.271466970614</v>
      </c>
      <c r="AK4031">
        <v>8.9737178961544402</v>
      </c>
      <c r="AL4031">
        <v>80.976810400330805</v>
      </c>
      <c r="AM4031">
        <v>71.866823928321693</v>
      </c>
      <c r="AN4031">
        <v>0.99999997369738403</v>
      </c>
    </row>
    <row r="4032" spans="1:40" x14ac:dyDescent="0.25">
      <c r="A4032" t="str">
        <f>"20190312172450803"</f>
        <v>20190312172450803</v>
      </c>
      <c r="B4032" t="str">
        <f>"1552382690794912"</f>
        <v>1552382690794912</v>
      </c>
      <c r="C4032" t="s">
        <v>40</v>
      </c>
      <c r="D4032">
        <v>4.2198909999999996</v>
      </c>
      <c r="E4032">
        <v>0.52914669999999997</v>
      </c>
      <c r="F4032" t="s">
        <v>49</v>
      </c>
      <c r="G4032">
        <v>-198.9333</v>
      </c>
      <c r="H4032" s="1">
        <v>-1.2770889999999999E-5</v>
      </c>
      <c r="I4032">
        <v>151.20760000000001</v>
      </c>
      <c r="J4032">
        <v>-192.6163</v>
      </c>
      <c r="K4032">
        <v>1.105005</v>
      </c>
      <c r="L4032">
        <v>158.4579</v>
      </c>
      <c r="M4032">
        <v>-0.32464989999999999</v>
      </c>
      <c r="N4032">
        <v>0</v>
      </c>
      <c r="O4032">
        <v>-0.94572149999999999</v>
      </c>
      <c r="P4032">
        <v>-0.59367309999999995</v>
      </c>
      <c r="Q4032">
        <v>0.14689059999999901</v>
      </c>
      <c r="R4032">
        <v>-0.79118619999999995</v>
      </c>
      <c r="S4032">
        <v>-2.0160680000000002</v>
      </c>
      <c r="T4032">
        <v>-0.34927150000000001</v>
      </c>
      <c r="U4032">
        <v>-2.345062</v>
      </c>
      <c r="V4032">
        <v>0.30673689999999998</v>
      </c>
      <c r="W4032">
        <v>0.1565464</v>
      </c>
      <c r="X4032">
        <v>0.93883209999999995</v>
      </c>
      <c r="Y4032">
        <v>0.3660349</v>
      </c>
      <c r="Z4032">
        <v>0.1131201</v>
      </c>
      <c r="AA4032">
        <v>0.92370030000000003</v>
      </c>
      <c r="AB4032">
        <v>30</v>
      </c>
      <c r="AC4032">
        <v>-6.3170000000000002</v>
      </c>
      <c r="AD4032">
        <v>-1.10501777089</v>
      </c>
      <c r="AE4032">
        <v>-7.2502999999999798</v>
      </c>
      <c r="AF4032">
        <v>3.5735122246088502</v>
      </c>
      <c r="AG4032">
        <v>-1.10501777089</v>
      </c>
      <c r="AH4032">
        <v>8.7924259899534505</v>
      </c>
      <c r="AI4032">
        <v>96.641016826853701</v>
      </c>
      <c r="AJ4032">
        <v>67.881663424560003</v>
      </c>
      <c r="AK4032">
        <v>9.5549886803815998</v>
      </c>
      <c r="AL4032">
        <v>80.993506656864298</v>
      </c>
      <c r="AM4032">
        <v>71.906657108551201</v>
      </c>
      <c r="AN4032">
        <v>1.0000000065824799</v>
      </c>
    </row>
    <row r="4033" spans="1:40" x14ac:dyDescent="0.25">
      <c r="A4033" t="str">
        <f>"20190312172450815"</f>
        <v>20190312172450815</v>
      </c>
      <c r="B4033" t="str">
        <f>"1552382690804672"</f>
        <v>1552382690804672</v>
      </c>
      <c r="C4033" t="s">
        <v>40</v>
      </c>
      <c r="D4033">
        <v>4.2216870000000002</v>
      </c>
      <c r="E4033">
        <v>0.5299857</v>
      </c>
      <c r="F4033" t="s">
        <v>49</v>
      </c>
      <c r="G4033">
        <v>-199.16890000000001</v>
      </c>
      <c r="H4033" s="1">
        <v>-1.2722840000000001E-5</v>
      </c>
      <c r="I4033">
        <v>150.93360000000001</v>
      </c>
      <c r="J4033">
        <v>-192.67580000000001</v>
      </c>
      <c r="K4033">
        <v>1.1049629999999999</v>
      </c>
      <c r="L4033">
        <v>158.29730000000001</v>
      </c>
      <c r="M4033">
        <v>-0.32843359999999999</v>
      </c>
      <c r="N4033">
        <v>0</v>
      </c>
      <c r="O4033">
        <v>-0.94441410000000003</v>
      </c>
      <c r="P4033">
        <v>-0.59688750000000002</v>
      </c>
      <c r="Q4033">
        <v>0.14723539999999999</v>
      </c>
      <c r="R4033">
        <v>-0.788699699999999</v>
      </c>
      <c r="S4033">
        <v>-2.0305629999999999</v>
      </c>
      <c r="T4033">
        <v>-0.34243319999999999</v>
      </c>
      <c r="U4033">
        <v>-2.3317109999999999</v>
      </c>
      <c r="V4033">
        <v>0.30683850000000001</v>
      </c>
      <c r="W4033">
        <v>0.1568639</v>
      </c>
      <c r="X4033">
        <v>0.93874590000000002</v>
      </c>
      <c r="Y4033">
        <v>0.36836360000000001</v>
      </c>
      <c r="Z4033">
        <v>0.11093500000000001</v>
      </c>
      <c r="AA4033">
        <v>0.92303939999999995</v>
      </c>
      <c r="AB4033">
        <v>29</v>
      </c>
      <c r="AC4033">
        <v>-6.4930999999999903</v>
      </c>
      <c r="AD4033">
        <v>-1.1049757228399999</v>
      </c>
      <c r="AE4033">
        <v>-7.3636999999999899</v>
      </c>
      <c r="AF4033">
        <v>3.6676245088157899</v>
      </c>
      <c r="AG4033">
        <v>-1.1049757228399999</v>
      </c>
      <c r="AH4033">
        <v>8.9742209886533999</v>
      </c>
      <c r="AI4033">
        <v>96.502327095802599</v>
      </c>
      <c r="AJ4033">
        <v>67.7709292137299</v>
      </c>
      <c r="AK4033">
        <v>9.7575141936314491</v>
      </c>
      <c r="AL4033">
        <v>80.975087687601501</v>
      </c>
      <c r="AM4033">
        <v>71.899501266784597</v>
      </c>
      <c r="AN4033">
        <v>1.0000000064861301</v>
      </c>
    </row>
    <row r="4034" spans="1:40" x14ac:dyDescent="0.25">
      <c r="A4034" t="str">
        <f>"20190312172450828"</f>
        <v>20190312172450828</v>
      </c>
      <c r="B4034" t="str">
        <f>"1552382690824191"</f>
        <v>1552382690824191</v>
      </c>
      <c r="C4034" t="s">
        <v>40</v>
      </c>
      <c r="D4034">
        <v>4.2252039999999997</v>
      </c>
      <c r="E4034">
        <v>0.53140710000000002</v>
      </c>
      <c r="F4034" t="s">
        <v>49</v>
      </c>
      <c r="G4034">
        <v>-199.41980000000001</v>
      </c>
      <c r="H4034" s="1">
        <v>-1.267501E-5</v>
      </c>
      <c r="I4034">
        <v>150.6551</v>
      </c>
      <c r="J4034">
        <v>-192.73169999999999</v>
      </c>
      <c r="K4034">
        <v>1.104924</v>
      </c>
      <c r="L4034">
        <v>158.14789999999999</v>
      </c>
      <c r="M4034">
        <v>-0.33198040000000001</v>
      </c>
      <c r="N4034">
        <v>0</v>
      </c>
      <c r="O4034">
        <v>-0.94317320000000004</v>
      </c>
      <c r="P4034">
        <v>-0.60032369999999902</v>
      </c>
      <c r="Q4034">
        <v>0.14757419999999999</v>
      </c>
      <c r="R4034">
        <v>-0.7860239</v>
      </c>
      <c r="S4034">
        <v>-2.0456850000000002</v>
      </c>
      <c r="T4034">
        <v>-0.33517770000000002</v>
      </c>
      <c r="U4034">
        <v>-2.318146</v>
      </c>
      <c r="V4034">
        <v>0.30744860000000002</v>
      </c>
      <c r="W4034">
        <v>0.15716620000000001</v>
      </c>
      <c r="X4034">
        <v>0.93849570000000004</v>
      </c>
      <c r="Y4034">
        <v>0.37111230000000001</v>
      </c>
      <c r="Z4034">
        <v>0.108612899999999</v>
      </c>
      <c r="AA4034">
        <v>0.92221410000000004</v>
      </c>
      <c r="AB4034">
        <v>29</v>
      </c>
      <c r="AC4034">
        <v>-6.6881000000000101</v>
      </c>
      <c r="AD4034">
        <v>-1.10493667501</v>
      </c>
      <c r="AE4034">
        <v>-7.4927999999999804</v>
      </c>
      <c r="AF4034">
        <v>3.7752883701723001</v>
      </c>
      <c r="AG4034">
        <v>-1.10493667501</v>
      </c>
      <c r="AH4034">
        <v>9.1772428471755507</v>
      </c>
      <c r="AI4034">
        <v>96.353495308359896</v>
      </c>
      <c r="AJ4034">
        <v>67.6389585957386</v>
      </c>
      <c r="AK4034">
        <v>9.9847620707643898</v>
      </c>
      <c r="AL4034">
        <v>80.957549735528005</v>
      </c>
      <c r="AM4034">
        <v>71.861347018521002</v>
      </c>
      <c r="AN4034">
        <v>1.0000000174914401</v>
      </c>
    </row>
    <row r="4035" spans="1:40" x14ac:dyDescent="0.25">
      <c r="A4035" t="str">
        <f>"20190312172450847"</f>
        <v>20190312172450847</v>
      </c>
      <c r="B4035" t="str">
        <f>"1552382690844687"</f>
        <v>1552382690844687</v>
      </c>
      <c r="C4035" t="s">
        <v>40</v>
      </c>
      <c r="D4035">
        <v>4.1845369999999997</v>
      </c>
      <c r="E4035">
        <v>0.53242250000000002</v>
      </c>
      <c r="F4035" t="s">
        <v>49</v>
      </c>
      <c r="G4035">
        <v>-199.7696</v>
      </c>
      <c r="H4035" s="1">
        <v>-1.2617819999999999E-5</v>
      </c>
      <c r="I4035">
        <v>150.30439999999999</v>
      </c>
      <c r="J4035">
        <v>-192.82169999999999</v>
      </c>
      <c r="K4035">
        <v>1.104857</v>
      </c>
      <c r="L4035">
        <v>157.9111</v>
      </c>
      <c r="M4035">
        <v>-0.33767550000000002</v>
      </c>
      <c r="N4035">
        <v>0</v>
      </c>
      <c r="O4035">
        <v>-0.94114920000000002</v>
      </c>
      <c r="P4035">
        <v>-0.60540090000000002</v>
      </c>
      <c r="Q4035">
        <v>0.1478119</v>
      </c>
      <c r="R4035">
        <v>-0.78207550000000003</v>
      </c>
      <c r="S4035">
        <v>-2.0644680000000002</v>
      </c>
      <c r="T4035">
        <v>-0.3241153</v>
      </c>
      <c r="U4035">
        <v>-2.3007659999999999</v>
      </c>
      <c r="V4035">
        <v>0.30789709999999998</v>
      </c>
      <c r="W4035">
        <v>0.1573513</v>
      </c>
      <c r="X4035">
        <v>0.93831759999999997</v>
      </c>
      <c r="Y4035">
        <v>0.37340279999999998</v>
      </c>
      <c r="Z4035">
        <v>0.10503079999999999</v>
      </c>
      <c r="AA4035">
        <v>0.92170439999999998</v>
      </c>
      <c r="AB4035">
        <v>29</v>
      </c>
      <c r="AC4035">
        <v>-6.9478999999999997</v>
      </c>
      <c r="AD4035">
        <v>-1.1048696178199999</v>
      </c>
      <c r="AE4035">
        <v>-7.6067000000000098</v>
      </c>
      <c r="AF4035">
        <v>3.92568596801366</v>
      </c>
      <c r="AG4035">
        <v>-1.1048696178199999</v>
      </c>
      <c r="AH4035">
        <v>9.3980955591390707</v>
      </c>
      <c r="AI4035">
        <v>96.191211305304606</v>
      </c>
      <c r="AJ4035">
        <v>67.329179530814201</v>
      </c>
      <c r="AK4035">
        <v>10.244800990285301</v>
      </c>
      <c r="AL4035">
        <v>80.946810388190897</v>
      </c>
      <c r="AM4035">
        <v>71.833401933289693</v>
      </c>
      <c r="AN4035">
        <v>0.99999998713492899</v>
      </c>
    </row>
    <row r="4036" spans="1:40" x14ac:dyDescent="0.25">
      <c r="A4036" t="str">
        <f>"20190312172450872"</f>
        <v>20190312172450872</v>
      </c>
      <c r="B4036" t="str">
        <f>"1552382690864207"</f>
        <v>1552382690864207</v>
      </c>
      <c r="C4036" t="s">
        <v>40</v>
      </c>
      <c r="D4036">
        <v>4.1889180000000001</v>
      </c>
      <c r="E4036">
        <v>0.53318880000000002</v>
      </c>
      <c r="F4036" t="s">
        <v>49</v>
      </c>
      <c r="G4036">
        <v>-200.1413</v>
      </c>
      <c r="H4036" s="1">
        <v>-1.2445419999999999E-5</v>
      </c>
      <c r="I4036">
        <v>149.9083</v>
      </c>
      <c r="J4036">
        <v>-192.94800000000001</v>
      </c>
      <c r="K4036">
        <v>1.104757</v>
      </c>
      <c r="L4036">
        <v>157.58629999999999</v>
      </c>
      <c r="M4036">
        <v>-0.3456554</v>
      </c>
      <c r="N4036">
        <v>0</v>
      </c>
      <c r="O4036">
        <v>-0.93824770000000002</v>
      </c>
      <c r="P4036">
        <v>-0.6124309</v>
      </c>
      <c r="Q4036">
        <v>0.14860290000000001</v>
      </c>
      <c r="R4036">
        <v>-0.7764316</v>
      </c>
      <c r="S4036">
        <v>-2.0859830000000001</v>
      </c>
      <c r="T4036">
        <v>-0.31487310000000002</v>
      </c>
      <c r="U4036">
        <v>-2.2806850000000001</v>
      </c>
      <c r="V4036">
        <v>0.30849700000000002</v>
      </c>
      <c r="W4036">
        <v>0.1580618</v>
      </c>
      <c r="X4036">
        <v>0.93800110000000003</v>
      </c>
      <c r="Y4036">
        <v>0.3745289</v>
      </c>
      <c r="Z4036">
        <v>0.101964899999999</v>
      </c>
      <c r="AA4036">
        <v>0.92159170000000001</v>
      </c>
      <c r="AB4036">
        <v>29</v>
      </c>
      <c r="AC4036">
        <v>-7.1933000000000202</v>
      </c>
      <c r="AD4036">
        <v>-1.1047694454200001</v>
      </c>
      <c r="AE4036">
        <v>-7.6779999999999902</v>
      </c>
      <c r="AF4036">
        <v>4.0509272995745302</v>
      </c>
      <c r="AG4036">
        <v>-1.1047694454200001</v>
      </c>
      <c r="AH4036">
        <v>9.5856138185670101</v>
      </c>
      <c r="AI4036">
        <v>96.059941593766396</v>
      </c>
      <c r="AJ4036">
        <v>67.090842787777305</v>
      </c>
      <c r="AK4036">
        <v>10.464918527760901</v>
      </c>
      <c r="AL4036">
        <v>80.905585948556407</v>
      </c>
      <c r="AM4036">
        <v>71.794601866378301</v>
      </c>
      <c r="AN4036">
        <v>0.99999999761472502</v>
      </c>
    </row>
    <row r="4037" spans="1:40" x14ac:dyDescent="0.25">
      <c r="A4037" t="str">
        <f>"20190312172450894"</f>
        <v>20190312172450894</v>
      </c>
      <c r="B4037" t="str">
        <f>"1552382690884704"</f>
        <v>1552382690884704</v>
      </c>
      <c r="C4037" t="s">
        <v>40</v>
      </c>
      <c r="D4037">
        <v>4.164142</v>
      </c>
      <c r="E4037">
        <v>0.53374679999999997</v>
      </c>
      <c r="F4037" t="s">
        <v>49</v>
      </c>
      <c r="G4037">
        <v>-200.57839999999999</v>
      </c>
      <c r="H4037" s="1">
        <v>-1.213055E-5</v>
      </c>
      <c r="I4037">
        <v>149.42949999999999</v>
      </c>
      <c r="J4037">
        <v>-193.05369999999999</v>
      </c>
      <c r="K4037">
        <v>1.1046720000000001</v>
      </c>
      <c r="L4037">
        <v>157.321</v>
      </c>
      <c r="M4037">
        <v>-0.35231319999999999</v>
      </c>
      <c r="N4037">
        <v>0</v>
      </c>
      <c r="O4037">
        <v>-0.93576789999999999</v>
      </c>
      <c r="P4037">
        <v>-0.61872199999999999</v>
      </c>
      <c r="Q4037">
        <v>0.1492136</v>
      </c>
      <c r="R4037">
        <v>-0.77130959999999904</v>
      </c>
      <c r="S4037">
        <v>-2.1113279999999999</v>
      </c>
      <c r="T4037">
        <v>-0.30568899999999999</v>
      </c>
      <c r="U4037">
        <v>-2.2569889999999999</v>
      </c>
      <c r="V4037">
        <v>0.30954340000000002</v>
      </c>
      <c r="W4037">
        <v>0.15859379999999901</v>
      </c>
      <c r="X4037">
        <v>0.93756649999999997</v>
      </c>
      <c r="Y4037">
        <v>0.37850329999999999</v>
      </c>
      <c r="Z4037">
        <v>9.8985329999999996E-2</v>
      </c>
      <c r="AA4037">
        <v>0.92029190000000005</v>
      </c>
      <c r="AB4037">
        <v>29</v>
      </c>
      <c r="AC4037">
        <v>-7.5246999999999904</v>
      </c>
      <c r="AD4037">
        <v>-1.1046841305499999</v>
      </c>
      <c r="AE4037">
        <v>-7.8914999999999997</v>
      </c>
      <c r="AF4037">
        <v>4.2182537107565796</v>
      </c>
      <c r="AG4037">
        <v>-1.1046841305499999</v>
      </c>
      <c r="AH4037">
        <v>9.9347688237834202</v>
      </c>
      <c r="AI4037">
        <v>95.843871198252202</v>
      </c>
      <c r="AJ4037">
        <v>66.994162874677002</v>
      </c>
      <c r="AK4037">
        <v>10.849590912961601</v>
      </c>
      <c r="AL4037">
        <v>80.874715468881803</v>
      </c>
      <c r="AM4037">
        <v>71.7290393396773</v>
      </c>
      <c r="AN4037">
        <v>1.00000002590212</v>
      </c>
    </row>
    <row r="4038" spans="1:40" x14ac:dyDescent="0.25">
      <c r="A4038" t="str">
        <f>"20190312172450913"</f>
        <v>20190312172450913</v>
      </c>
      <c r="B4038" t="str">
        <f>"1552382690904223"</f>
        <v>1552382690904223</v>
      </c>
      <c r="C4038" t="s">
        <v>40</v>
      </c>
      <c r="D4038">
        <v>4.1445210000000001</v>
      </c>
      <c r="E4038">
        <v>0.53417869999999901</v>
      </c>
      <c r="F4038" t="s">
        <v>49</v>
      </c>
      <c r="G4038">
        <v>-200.9426</v>
      </c>
      <c r="H4038" s="1">
        <v>-1.1856620000000001E-5</v>
      </c>
      <c r="I4038">
        <v>149.05160000000001</v>
      </c>
      <c r="J4038">
        <v>-193.1448</v>
      </c>
      <c r="K4038">
        <v>1.1045959999999999</v>
      </c>
      <c r="L4038">
        <v>157.09710000000001</v>
      </c>
      <c r="M4038">
        <v>-0.35804239999999998</v>
      </c>
      <c r="N4038">
        <v>0</v>
      </c>
      <c r="O4038">
        <v>-0.93359049999999999</v>
      </c>
      <c r="P4038">
        <v>-0.62404329999999997</v>
      </c>
      <c r="Q4038">
        <v>0.1502696</v>
      </c>
      <c r="R4038">
        <v>-0.76680459999999995</v>
      </c>
      <c r="S4038">
        <v>-2.1332239999999998</v>
      </c>
      <c r="T4038">
        <v>-0.29871490000000001</v>
      </c>
      <c r="U4038">
        <v>-2.2361149999999999</v>
      </c>
      <c r="V4038">
        <v>0.3104037</v>
      </c>
      <c r="W4038">
        <v>0.15957959999999999</v>
      </c>
      <c r="X4038">
        <v>0.93711469999999997</v>
      </c>
      <c r="Y4038">
        <v>0.38200050000000002</v>
      </c>
      <c r="Z4038">
        <v>9.6718289999999998E-2</v>
      </c>
      <c r="AA4038">
        <v>0.91908710000000005</v>
      </c>
      <c r="AB4038">
        <v>29</v>
      </c>
      <c r="AC4038">
        <v>-7.7977999999999899</v>
      </c>
      <c r="AD4038">
        <v>-1.1046078566199999</v>
      </c>
      <c r="AE4038">
        <v>-8.0455000000000005</v>
      </c>
      <c r="AF4038">
        <v>4.3574409700868504</v>
      </c>
      <c r="AG4038">
        <v>-1.1046078566199999</v>
      </c>
      <c r="AH4038">
        <v>10.2050609552869</v>
      </c>
      <c r="AI4038">
        <v>95.684855258482898</v>
      </c>
      <c r="AJ4038">
        <v>66.878087944289504</v>
      </c>
      <c r="AK4038">
        <v>11.1512653733026</v>
      </c>
      <c r="AL4038">
        <v>80.817504755955397</v>
      </c>
      <c r="AM4038">
        <v>71.673404247976507</v>
      </c>
      <c r="AN4038">
        <v>1.0000000333329599</v>
      </c>
    </row>
    <row r="4039" spans="1:40" x14ac:dyDescent="0.25">
      <c r="A4039" t="str">
        <f>"20190312172450925"</f>
        <v>20190312172450925</v>
      </c>
      <c r="B4039" t="str">
        <f>"1552382690913983"</f>
        <v>1552382690913983</v>
      </c>
      <c r="C4039" t="s">
        <v>40</v>
      </c>
      <c r="D4039">
        <v>4.131596</v>
      </c>
      <c r="E4039">
        <v>0.53433589999999997</v>
      </c>
      <c r="F4039" t="s">
        <v>49</v>
      </c>
      <c r="G4039">
        <v>-201.2884</v>
      </c>
      <c r="H4039" s="1">
        <v>-1.159853E-5</v>
      </c>
      <c r="I4039">
        <v>148.6995</v>
      </c>
      <c r="J4039">
        <v>-193.20670000000001</v>
      </c>
      <c r="K4039">
        <v>1.10454599999999</v>
      </c>
      <c r="L4039">
        <v>156.947</v>
      </c>
      <c r="M4039">
        <v>-0.36193510000000001</v>
      </c>
      <c r="N4039">
        <v>0</v>
      </c>
      <c r="O4039">
        <v>-0.93208840000000004</v>
      </c>
      <c r="P4039">
        <v>-0.62756780000000001</v>
      </c>
      <c r="Q4039">
        <v>0.150883399999999</v>
      </c>
      <c r="R4039">
        <v>-0.76380199999999998</v>
      </c>
      <c r="S4039">
        <v>-2.1514890000000002</v>
      </c>
      <c r="T4039">
        <v>-0.2918288</v>
      </c>
      <c r="U4039">
        <v>-2.2185969999999999</v>
      </c>
      <c r="V4039">
        <v>0.31088339999999998</v>
      </c>
      <c r="W4039">
        <v>0.16014679999999901</v>
      </c>
      <c r="X4039">
        <v>0.93685879999999999</v>
      </c>
      <c r="Y4039">
        <v>0.38582519999999998</v>
      </c>
      <c r="Z4039">
        <v>9.4511129999999999E-2</v>
      </c>
      <c r="AA4039">
        <v>0.91771820000000004</v>
      </c>
      <c r="AB4039">
        <v>29</v>
      </c>
      <c r="AC4039">
        <v>-8.0816999999999801</v>
      </c>
      <c r="AD4039">
        <v>-1.10455759852999</v>
      </c>
      <c r="AE4039">
        <v>-8.2475000000000005</v>
      </c>
      <c r="AF4039">
        <v>4.5070457105358104</v>
      </c>
      <c r="AG4039">
        <v>-1.10455759852999</v>
      </c>
      <c r="AH4039">
        <v>10.5173505362344</v>
      </c>
      <c r="AI4039">
        <v>95.513799385892298</v>
      </c>
      <c r="AJ4039">
        <v>66.803205521474297</v>
      </c>
      <c r="AK4039">
        <v>11.495571792101501</v>
      </c>
      <c r="AL4039">
        <v>80.784582403884997</v>
      </c>
      <c r="AM4039">
        <v>71.642301850478404</v>
      </c>
      <c r="AN4039">
        <v>0.999999948541618</v>
      </c>
    </row>
    <row r="4040" spans="1:40" x14ac:dyDescent="0.25">
      <c r="A4040" t="str">
        <f>"20190312172450946"</f>
        <v>20190312172450946</v>
      </c>
      <c r="B4040" t="str">
        <f>"1552382690934480"</f>
        <v>1552382690934480</v>
      </c>
      <c r="C4040" t="s">
        <v>40</v>
      </c>
      <c r="D4040">
        <v>4.1637870000000001</v>
      </c>
      <c r="E4040">
        <v>0.5345377</v>
      </c>
      <c r="F4040" t="s">
        <v>49</v>
      </c>
      <c r="G4040">
        <v>-201.50020000000001</v>
      </c>
      <c r="H4040" s="1">
        <v>-1.143984E-5</v>
      </c>
      <c r="I4040">
        <v>148.48179999999999</v>
      </c>
      <c r="J4040">
        <v>-193.31200000000001</v>
      </c>
      <c r="K4040">
        <v>1.10446</v>
      </c>
      <c r="L4040">
        <v>156.6962</v>
      </c>
      <c r="M4040">
        <v>-0.36855549999999998</v>
      </c>
      <c r="N4040">
        <v>0</v>
      </c>
      <c r="O4040">
        <v>-0.92949000000000004</v>
      </c>
      <c r="P4040">
        <v>-0.63336719999999902</v>
      </c>
      <c r="Q4040">
        <v>0.1519711</v>
      </c>
      <c r="R4040">
        <v>-0.75878239999999997</v>
      </c>
      <c r="S4040">
        <v>-2.1627960000000002</v>
      </c>
      <c r="T4040">
        <v>-0.28804770000000002</v>
      </c>
      <c r="U4040">
        <v>-2.2075809999999998</v>
      </c>
      <c r="V4040">
        <v>0.31149019999999999</v>
      </c>
      <c r="W4040">
        <v>0.1611582</v>
      </c>
      <c r="X4040">
        <v>0.93648379999999998</v>
      </c>
      <c r="Y4040">
        <v>0.38404660000000002</v>
      </c>
      <c r="Z4040">
        <v>9.3144969999999994E-2</v>
      </c>
      <c r="AA4040">
        <v>0.91860339999999996</v>
      </c>
      <c r="AB4040">
        <v>29</v>
      </c>
      <c r="AC4040">
        <v>-8.1881999999999895</v>
      </c>
      <c r="AD4040">
        <v>-1.10447143984</v>
      </c>
      <c r="AE4040">
        <v>-8.2144000000000101</v>
      </c>
      <c r="AF4040">
        <v>4.5426877483749397</v>
      </c>
      <c r="AG4040">
        <v>-1.10447143984</v>
      </c>
      <c r="AH4040">
        <v>10.5584112741737</v>
      </c>
      <c r="AI4040">
        <v>95.488680950497496</v>
      </c>
      <c r="AJ4040">
        <v>66.720522133034194</v>
      </c>
      <c r="AK4040">
        <v>11.547117292868201</v>
      </c>
      <c r="AL4040">
        <v>80.725871408669903</v>
      </c>
      <c r="AM4040">
        <v>71.602010486831404</v>
      </c>
      <c r="AN4040">
        <v>1.00000000889285</v>
      </c>
    </row>
    <row r="4041" spans="1:40" x14ac:dyDescent="0.25">
      <c r="A4041" t="str">
        <f>"20190312172450960"</f>
        <v>20190312172450960</v>
      </c>
      <c r="B4041" t="str">
        <f>"1552382690954000"</f>
        <v>1552382690954000</v>
      </c>
      <c r="C4041" t="s">
        <v>40</v>
      </c>
      <c r="D4041">
        <v>4.1526959999999997</v>
      </c>
      <c r="E4041">
        <v>0.53462369999999904</v>
      </c>
      <c r="F4041" t="s">
        <v>49</v>
      </c>
      <c r="G4041">
        <v>-201.88050000000001</v>
      </c>
      <c r="H4041" s="1">
        <v>-1.1156359999999999E-5</v>
      </c>
      <c r="I4041">
        <v>148.09569999999999</v>
      </c>
      <c r="J4041">
        <v>-193.3895</v>
      </c>
      <c r="K4041">
        <v>1.104393</v>
      </c>
      <c r="L4041">
        <v>156.51480000000001</v>
      </c>
      <c r="M4041">
        <v>-0.37341439999999998</v>
      </c>
      <c r="N4041">
        <v>0</v>
      </c>
      <c r="O4041">
        <v>-0.92754890000000001</v>
      </c>
      <c r="P4041">
        <v>-0.63758499999999996</v>
      </c>
      <c r="Q4041">
        <v>0.1523901</v>
      </c>
      <c r="R4041">
        <v>-0.75515759999999998</v>
      </c>
      <c r="S4041">
        <v>-2.1811829999999999</v>
      </c>
      <c r="T4041">
        <v>-0.28115459999999998</v>
      </c>
      <c r="U4041">
        <v>-2.189346</v>
      </c>
      <c r="V4041">
        <v>0.31187419999999999</v>
      </c>
      <c r="W4041">
        <v>0.161523</v>
      </c>
      <c r="X4041">
        <v>0.93629320000000005</v>
      </c>
      <c r="Y4041">
        <v>0.3870672</v>
      </c>
      <c r="Z4041">
        <v>9.0904559999999995E-2</v>
      </c>
      <c r="AA4041">
        <v>0.91755940000000002</v>
      </c>
      <c r="AB4041">
        <v>29</v>
      </c>
      <c r="AC4041">
        <v>-8.4910000000000103</v>
      </c>
      <c r="AD4041">
        <v>-1.10440415636</v>
      </c>
      <c r="AE4041">
        <v>-8.4191000000000091</v>
      </c>
      <c r="AF4041">
        <v>4.69248238512903</v>
      </c>
      <c r="AG4041">
        <v>-1.10440415636</v>
      </c>
      <c r="AH4041">
        <v>10.888084380711501</v>
      </c>
      <c r="AI4041">
        <v>95.321735473767006</v>
      </c>
      <c r="AJ4041">
        <v>66.685209207479701</v>
      </c>
      <c r="AK4041">
        <v>11.907538828692701</v>
      </c>
      <c r="AL4041">
        <v>80.704693069862401</v>
      </c>
      <c r="AM4041">
        <v>71.577363122079902</v>
      </c>
      <c r="AN4041">
        <v>1.00000007626043</v>
      </c>
    </row>
    <row r="4042" spans="1:40" x14ac:dyDescent="0.25">
      <c r="A4042" t="str">
        <f>"20190312172450974"</f>
        <v>20190312172450974</v>
      </c>
      <c r="B4042" t="str">
        <f>"1552382690964736"</f>
        <v>1552382690964736</v>
      </c>
      <c r="C4042" t="s">
        <v>40</v>
      </c>
      <c r="D4042">
        <v>4.1251930000000003</v>
      </c>
      <c r="E4042">
        <v>0.53464899999999904</v>
      </c>
      <c r="F4042" t="s">
        <v>49</v>
      </c>
      <c r="G4042">
        <v>-202.1508</v>
      </c>
      <c r="H4042" s="1">
        <v>-1.095559E-5</v>
      </c>
      <c r="I4042">
        <v>147.8237</v>
      </c>
      <c r="J4042">
        <v>-193.46010000000001</v>
      </c>
      <c r="K4042">
        <v>1.104331</v>
      </c>
      <c r="L4042">
        <v>156.3527</v>
      </c>
      <c r="M4042">
        <v>-0.37783339999999999</v>
      </c>
      <c r="N4042">
        <v>0</v>
      </c>
      <c r="O4042">
        <v>-0.92575750000000001</v>
      </c>
      <c r="P4042">
        <v>-0.64126039999999995</v>
      </c>
      <c r="Q4042">
        <v>0.15276219999999999</v>
      </c>
      <c r="R4042">
        <v>-0.7519633</v>
      </c>
      <c r="S4042">
        <v>-2.1938170000000001</v>
      </c>
      <c r="T4042">
        <v>-0.27654139999999999</v>
      </c>
      <c r="U4042">
        <v>-2.1762239999999999</v>
      </c>
      <c r="V4042">
        <v>0.31203439999999999</v>
      </c>
      <c r="W4042">
        <v>0.16185139999999901</v>
      </c>
      <c r="X4042">
        <v>0.93618299999999999</v>
      </c>
      <c r="Y4042">
        <v>0.38818330000000001</v>
      </c>
      <c r="Z4042">
        <v>8.9374590000000004E-2</v>
      </c>
      <c r="AA4042">
        <v>0.9172382</v>
      </c>
      <c r="AB4042">
        <v>29</v>
      </c>
      <c r="AC4042">
        <v>-8.6906999999999908</v>
      </c>
      <c r="AD4042">
        <v>-1.10434195559</v>
      </c>
      <c r="AE4042">
        <v>-8.5289999999999893</v>
      </c>
      <c r="AF4042">
        <v>4.7841077677972903</v>
      </c>
      <c r="AG4042">
        <v>-1.10434195559</v>
      </c>
      <c r="AH4042">
        <v>11.0894113957345</v>
      </c>
      <c r="AI4042">
        <v>95.224539341445606</v>
      </c>
      <c r="AJ4042">
        <v>66.664041594796402</v>
      </c>
      <c r="AK4042">
        <v>12.1277493127381</v>
      </c>
      <c r="AL4042">
        <v>80.685625314861596</v>
      </c>
      <c r="AM4042">
        <v>71.566516352853796</v>
      </c>
      <c r="AN4042">
        <v>0.99999997597715895</v>
      </c>
    </row>
    <row r="4043" spans="1:40" x14ac:dyDescent="0.25">
      <c r="A4043" t="str">
        <f>"20190312172450993"</f>
        <v>20190312172450993</v>
      </c>
      <c r="B4043" t="str">
        <f>"1552382690984256"</f>
        <v>1552382690984256</v>
      </c>
      <c r="C4043" t="s">
        <v>40</v>
      </c>
      <c r="D4043">
        <v>4.138776</v>
      </c>
      <c r="E4043">
        <v>0.53466269999999905</v>
      </c>
      <c r="F4043" t="s">
        <v>49</v>
      </c>
      <c r="G4043">
        <v>-202.3433</v>
      </c>
      <c r="H4043" s="1">
        <v>-1.081289E-5</v>
      </c>
      <c r="I4043">
        <v>147.6311</v>
      </c>
      <c r="J4043">
        <v>-193.55709999999999</v>
      </c>
      <c r="K4043">
        <v>1.1042430000000001</v>
      </c>
      <c r="L4043">
        <v>156.1328</v>
      </c>
      <c r="M4043">
        <v>-0.38390089999999999</v>
      </c>
      <c r="N4043">
        <v>0</v>
      </c>
      <c r="O4043">
        <v>-0.92325780000000002</v>
      </c>
      <c r="P4043">
        <v>-0.64726049999999902</v>
      </c>
      <c r="Q4043">
        <v>0.153171</v>
      </c>
      <c r="R4043">
        <v>-0.74672130000000003</v>
      </c>
      <c r="S4043">
        <v>-2.204987</v>
      </c>
      <c r="T4043">
        <v>-0.2741189</v>
      </c>
      <c r="U4043">
        <v>-2.1648710000000002</v>
      </c>
      <c r="V4043">
        <v>0.3134615</v>
      </c>
      <c r="W4043">
        <v>0.16217509999999999</v>
      </c>
      <c r="X4043">
        <v>0.93565010000000004</v>
      </c>
      <c r="Y4043">
        <v>0.38692480000000001</v>
      </c>
      <c r="Z4043">
        <v>8.8462020000000002E-2</v>
      </c>
      <c r="AA4043">
        <v>0.91785819999999996</v>
      </c>
      <c r="AB4043">
        <v>29</v>
      </c>
      <c r="AC4043">
        <v>-8.7861999999999991</v>
      </c>
      <c r="AD4043">
        <v>-1.1042538128899999</v>
      </c>
      <c r="AE4043">
        <v>-8.5016999999999996</v>
      </c>
      <c r="AF4043">
        <v>4.8094054755967903</v>
      </c>
      <c r="AG4043">
        <v>-1.1042538128899999</v>
      </c>
      <c r="AH4043">
        <v>11.1326816092025</v>
      </c>
      <c r="AI4043">
        <v>95.202809847818301</v>
      </c>
      <c r="AJ4043">
        <v>66.635278099811302</v>
      </c>
      <c r="AK4043">
        <v>12.1772885867034</v>
      </c>
      <c r="AL4043">
        <v>80.666830516572205</v>
      </c>
      <c r="AM4043">
        <v>71.478120044982205</v>
      </c>
      <c r="AN4043">
        <v>0.99999999233613401</v>
      </c>
    </row>
    <row r="4044" spans="1:40" x14ac:dyDescent="0.25">
      <c r="A4044" t="str">
        <f>"20190312172451017"</f>
        <v>20190312172451017</v>
      </c>
      <c r="B4044" t="str">
        <f>"1552382691014513"</f>
        <v>1552382691014513</v>
      </c>
      <c r="C4044" t="s">
        <v>40</v>
      </c>
      <c r="D4044">
        <v>4.1066909999999996</v>
      </c>
      <c r="E4044">
        <v>0.53456400000000004</v>
      </c>
      <c r="F4044" t="s">
        <v>49</v>
      </c>
      <c r="G4044">
        <v>-202.61609999999999</v>
      </c>
      <c r="H4044" s="1">
        <v>-1.0618149999999999E-5</v>
      </c>
      <c r="I4044">
        <v>147.38310000000001</v>
      </c>
      <c r="J4044">
        <v>-193.6841</v>
      </c>
      <c r="K4044">
        <v>1.104128</v>
      </c>
      <c r="L4044">
        <v>155.8511</v>
      </c>
      <c r="M4044">
        <v>-0.39181939999999998</v>
      </c>
      <c r="N4044">
        <v>0</v>
      </c>
      <c r="O4044">
        <v>-0.91992490000000005</v>
      </c>
      <c r="P4044">
        <v>-0.65490230000000005</v>
      </c>
      <c r="Q4044">
        <v>0.152978</v>
      </c>
      <c r="R4044">
        <v>-0.74006839999999996</v>
      </c>
      <c r="S4044">
        <v>-2.2225489999999999</v>
      </c>
      <c r="T4044">
        <v>-0.27091969999999999</v>
      </c>
      <c r="U4044">
        <v>-2.146652</v>
      </c>
      <c r="V4044">
        <v>0.31507000000000002</v>
      </c>
      <c r="W4044">
        <v>0.1618763</v>
      </c>
      <c r="X4044">
        <v>0.93516149999999998</v>
      </c>
      <c r="Y4044">
        <v>0.38659949999999998</v>
      </c>
      <c r="Z4044">
        <v>8.7283269999999996E-2</v>
      </c>
      <c r="AA4044">
        <v>0.91810800000000004</v>
      </c>
      <c r="AB4044">
        <v>29</v>
      </c>
      <c r="AC4044">
        <v>-8.9319999999999808</v>
      </c>
      <c r="AD4044">
        <v>-1.1041386181499999</v>
      </c>
      <c r="AE4044">
        <v>-8.4679999999999893</v>
      </c>
      <c r="AF4044">
        <v>4.8602573112871399</v>
      </c>
      <c r="AG4044">
        <v>-1.1041386181499999</v>
      </c>
      <c r="AH4044">
        <v>11.200733158035201</v>
      </c>
      <c r="AI4044">
        <v>95.167244575530901</v>
      </c>
      <c r="AJ4044">
        <v>66.542862302956706</v>
      </c>
      <c r="AK4044">
        <v>12.259594059246799</v>
      </c>
      <c r="AL4044">
        <v>80.684180151640405</v>
      </c>
      <c r="AM4044">
        <v>71.380553630086695</v>
      </c>
      <c r="AN4044">
        <v>1.0000000362419601</v>
      </c>
    </row>
    <row r="4045" spans="1:40" x14ac:dyDescent="0.25">
      <c r="A4045" t="str">
        <f>"20190312172451037"</f>
        <v>20190312172451037</v>
      </c>
      <c r="B4045" t="str">
        <f>"1552382691034032"</f>
        <v>1552382691034032</v>
      </c>
      <c r="C4045" t="s">
        <v>40</v>
      </c>
      <c r="D4045">
        <v>4.1065569999999996</v>
      </c>
      <c r="E4045">
        <v>0.53444820000000004</v>
      </c>
      <c r="F4045" t="s">
        <v>49</v>
      </c>
      <c r="G4045">
        <v>-202.887</v>
      </c>
      <c r="H4045" s="1">
        <v>-1.04255399999999E-5</v>
      </c>
      <c r="I4045">
        <v>147.1395</v>
      </c>
      <c r="J4045">
        <v>-193.80109999999999</v>
      </c>
      <c r="K4045">
        <v>1.1040179999999999</v>
      </c>
      <c r="L4045">
        <v>155.5976</v>
      </c>
      <c r="M4045">
        <v>-0.39909109999999998</v>
      </c>
      <c r="N4045">
        <v>0</v>
      </c>
      <c r="O4045">
        <v>-0.91679350000000004</v>
      </c>
      <c r="P4045">
        <v>-0.66253799999999996</v>
      </c>
      <c r="Q4045">
        <v>0.1527664</v>
      </c>
      <c r="R4045">
        <v>-0.73328450000000001</v>
      </c>
      <c r="S4045">
        <v>-2.2436370000000001</v>
      </c>
      <c r="T4045">
        <v>-0.26918320000000001</v>
      </c>
      <c r="U4045">
        <v>-2.12384</v>
      </c>
      <c r="V4045">
        <v>0.31738240000000001</v>
      </c>
      <c r="W4045">
        <v>0.161553</v>
      </c>
      <c r="X4045">
        <v>0.93443509999999996</v>
      </c>
      <c r="Y4045">
        <v>0.38857190000000003</v>
      </c>
      <c r="Z4045">
        <v>8.6637149999999996E-2</v>
      </c>
      <c r="AA4045">
        <v>0.91733629999999999</v>
      </c>
      <c r="AB4045">
        <v>29</v>
      </c>
      <c r="AC4045">
        <v>-9.0859000000000094</v>
      </c>
      <c r="AD4045">
        <v>-1.1040284255399999</v>
      </c>
      <c r="AE4045">
        <v>-8.4581</v>
      </c>
      <c r="AF4045">
        <v>4.9159911344068403</v>
      </c>
      <c r="AG4045">
        <v>-1.1040284255399999</v>
      </c>
      <c r="AH4045">
        <v>11.2923394411138</v>
      </c>
      <c r="AI4045">
        <v>95.122404819817007</v>
      </c>
      <c r="AJ4045">
        <v>66.474648819558197</v>
      </c>
      <c r="AK4045">
        <v>12.365386271819499</v>
      </c>
      <c r="AL4045">
        <v>80.702950210950604</v>
      </c>
      <c r="AM4045">
        <v>71.239860777723194</v>
      </c>
      <c r="AN4045">
        <v>0.99999995787538398</v>
      </c>
    </row>
    <row r="4046" spans="1:40" x14ac:dyDescent="0.25">
      <c r="A4046" t="str">
        <f>"20190312172451061"</f>
        <v>20190312172451061</v>
      </c>
      <c r="B4046" t="str">
        <f>"1552382691054527"</f>
        <v>1552382691054527</v>
      </c>
      <c r="C4046" t="s">
        <v>40</v>
      </c>
      <c r="D4046">
        <v>4.0883710000000004</v>
      </c>
      <c r="E4046">
        <v>0.5343213</v>
      </c>
      <c r="F4046" t="s">
        <v>49</v>
      </c>
      <c r="G4046">
        <v>-203.1165</v>
      </c>
      <c r="H4046" s="1">
        <v>-1.0269359999999999E-5</v>
      </c>
      <c r="I4046">
        <v>146.95670000000001</v>
      </c>
      <c r="J4046">
        <v>-193.9299</v>
      </c>
      <c r="K4046">
        <v>1.1039079999999999</v>
      </c>
      <c r="L4046">
        <v>155.3244</v>
      </c>
      <c r="M4046">
        <v>-0.40707120000000002</v>
      </c>
      <c r="N4046">
        <v>0</v>
      </c>
      <c r="O4046">
        <v>-0.91327789999999998</v>
      </c>
      <c r="P4046">
        <v>-0.67057909999999998</v>
      </c>
      <c r="Q4046">
        <v>0.15222439999999901</v>
      </c>
      <c r="R4046">
        <v>-0.72605200000000003</v>
      </c>
      <c r="S4046">
        <v>-2.2648009999999998</v>
      </c>
      <c r="T4046">
        <v>-0.26841389999999998</v>
      </c>
      <c r="U4046">
        <v>-2.1008</v>
      </c>
      <c r="V4046">
        <v>0.31952390000000003</v>
      </c>
      <c r="W4046">
        <v>0.1608975</v>
      </c>
      <c r="X4046">
        <v>0.93381820000000004</v>
      </c>
      <c r="Y4046">
        <v>0.38985259999999999</v>
      </c>
      <c r="Z4046">
        <v>8.6262130000000006E-2</v>
      </c>
      <c r="AA4046">
        <v>0.91682810000000003</v>
      </c>
      <c r="AB4046">
        <v>29</v>
      </c>
      <c r="AC4046">
        <v>-9.1866000000000003</v>
      </c>
      <c r="AD4046">
        <v>-1.10391826935999</v>
      </c>
      <c r="AE4046">
        <v>-8.3676999999999797</v>
      </c>
      <c r="AF4046">
        <v>4.9451808094196004</v>
      </c>
      <c r="AG4046">
        <v>-1.10391826935999</v>
      </c>
      <c r="AH4046">
        <v>11.293736789336601</v>
      </c>
      <c r="AI4046">
        <v>95.116540877562301</v>
      </c>
      <c r="AJ4046">
        <v>66.352863918220393</v>
      </c>
      <c r="AK4046">
        <v>12.3782849963189</v>
      </c>
      <c r="AL4046">
        <v>80.7410056504837</v>
      </c>
      <c r="AM4046">
        <v>71.110629161651303</v>
      </c>
      <c r="AN4046">
        <v>0.99999997941434904</v>
      </c>
    </row>
    <row r="4047" spans="1:40" x14ac:dyDescent="0.25">
      <c r="A4047" t="str">
        <f>"20190312172451081"</f>
        <v>20190312172451081</v>
      </c>
      <c r="B4047" t="str">
        <f>"1552382691074389"</f>
        <v>1552382691074389</v>
      </c>
      <c r="C4047" t="s">
        <v>40</v>
      </c>
      <c r="D4047">
        <v>4.1677070000000001</v>
      </c>
      <c r="E4047">
        <v>0.53428750000000003</v>
      </c>
      <c r="F4047" t="s">
        <v>49</v>
      </c>
      <c r="G4047">
        <v>-203.328</v>
      </c>
      <c r="H4047" s="1">
        <v>-1.012707E-5</v>
      </c>
      <c r="I4047">
        <v>146.7936</v>
      </c>
      <c r="J4047">
        <v>-194.0444</v>
      </c>
      <c r="K4047">
        <v>1.1038159999999999</v>
      </c>
      <c r="L4047">
        <v>155.0873</v>
      </c>
      <c r="M4047">
        <v>-0.4141338</v>
      </c>
      <c r="N4047">
        <v>0</v>
      </c>
      <c r="O4047">
        <v>-0.91009669999999998</v>
      </c>
      <c r="P4047">
        <v>-0.67769049999999997</v>
      </c>
      <c r="Q4047">
        <v>0.15193719999999999</v>
      </c>
      <c r="R4047">
        <v>-0.719479599999999</v>
      </c>
      <c r="S4047">
        <v>-2.2870330000000001</v>
      </c>
      <c r="T4047">
        <v>-0.26863959999999998</v>
      </c>
      <c r="U4047">
        <v>-2.075974</v>
      </c>
      <c r="V4047">
        <v>0.32148949999999998</v>
      </c>
      <c r="W4047">
        <v>0.16050880000000001</v>
      </c>
      <c r="X4047">
        <v>0.93321030000000005</v>
      </c>
      <c r="Y4047">
        <v>0.39261030000000002</v>
      </c>
      <c r="Z4047">
        <v>8.6251380000000002E-2</v>
      </c>
      <c r="AA4047">
        <v>0.91565160000000001</v>
      </c>
      <c r="AB4047">
        <v>29</v>
      </c>
      <c r="AC4047">
        <v>-9.2835999999999999</v>
      </c>
      <c r="AD4047">
        <v>-1.1038261270699901</v>
      </c>
      <c r="AE4047">
        <v>-8.2936999999999994</v>
      </c>
      <c r="AF4047">
        <v>4.9756962350424896</v>
      </c>
      <c r="AG4047">
        <v>-1.1038261270699901</v>
      </c>
      <c r="AH4047">
        <v>11.305074622742399</v>
      </c>
      <c r="AI4047">
        <v>95.106784847566104</v>
      </c>
      <c r="AJ4047">
        <v>66.244292054069305</v>
      </c>
      <c r="AK4047">
        <v>12.4008345432069</v>
      </c>
      <c r="AL4047">
        <v>80.763570158165507</v>
      </c>
      <c r="AM4047">
        <v>70.991249839552694</v>
      </c>
      <c r="AN4047">
        <v>1.00000001875688</v>
      </c>
    </row>
    <row r="4048" spans="1:40" x14ac:dyDescent="0.25">
      <c r="A4048" t="str">
        <f>"20190312172451103"</f>
        <v>20190312172451103</v>
      </c>
      <c r="B4048" t="str">
        <f>"1552382691094887"</f>
        <v>1552382691094887</v>
      </c>
      <c r="C4048" t="s">
        <v>40</v>
      </c>
      <c r="D4048">
        <v>4.0775189999999997</v>
      </c>
      <c r="E4048">
        <v>0.55803919999999996</v>
      </c>
      <c r="F4048" t="s">
        <v>49</v>
      </c>
      <c r="G4048">
        <v>-203.5564</v>
      </c>
      <c r="H4048" s="1">
        <v>-9.9809350000000003E-6</v>
      </c>
      <c r="I4048">
        <v>146.62110000000001</v>
      </c>
      <c r="J4048">
        <v>-194.17679999999999</v>
      </c>
      <c r="K4048">
        <v>1.1037129999999999</v>
      </c>
      <c r="L4048">
        <v>154.81950000000001</v>
      </c>
      <c r="M4048">
        <v>-0.42226550000000002</v>
      </c>
      <c r="N4048">
        <v>0</v>
      </c>
      <c r="O4048">
        <v>-0.90635220000000005</v>
      </c>
      <c r="P4048">
        <v>-0.68567709999999904</v>
      </c>
      <c r="Q4048">
        <v>0.1516586</v>
      </c>
      <c r="R4048">
        <v>-0.71193189999999995</v>
      </c>
      <c r="S4048">
        <v>-2.3069310000000001</v>
      </c>
      <c r="T4048">
        <v>-0.26771080000000003</v>
      </c>
      <c r="U4048">
        <v>-2.053299</v>
      </c>
      <c r="V4048">
        <v>0.3235653</v>
      </c>
      <c r="W4048">
        <v>0.1601167</v>
      </c>
      <c r="X4048">
        <v>0.93255999999999994</v>
      </c>
      <c r="Y4048">
        <v>0.39335110000000001</v>
      </c>
      <c r="Z4048">
        <v>8.5802009999999998E-2</v>
      </c>
      <c r="AA4048">
        <v>0.91537579999999996</v>
      </c>
      <c r="AB4048">
        <v>29</v>
      </c>
      <c r="AC4048">
        <v>-9.3795999999999999</v>
      </c>
      <c r="AD4048">
        <v>-1.103722980935</v>
      </c>
      <c r="AE4048">
        <v>-8.1983999999999906</v>
      </c>
      <c r="AF4048">
        <v>5.0006143674490504</v>
      </c>
      <c r="AG4048">
        <v>-1.103722980935</v>
      </c>
      <c r="AH4048">
        <v>11.3038266181895</v>
      </c>
      <c r="AI4048">
        <v>95.102645604505696</v>
      </c>
      <c r="AJ4048">
        <v>66.136243083079407</v>
      </c>
      <c r="AK4048">
        <v>12.409707679259499</v>
      </c>
      <c r="AL4048">
        <v>80.786330098776403</v>
      </c>
      <c r="AM4048">
        <v>70.865036539290699</v>
      </c>
      <c r="AN4048">
        <v>1.0000000072914801</v>
      </c>
    </row>
    <row r="4049" spans="1:40" x14ac:dyDescent="0.25">
      <c r="A4049" t="str">
        <f>"20190312172451126"</f>
        <v>20190312172451126</v>
      </c>
      <c r="B4049" t="str">
        <f>"1552382691114408"</f>
        <v>1552382691114408</v>
      </c>
      <c r="C4049" t="s">
        <v>40</v>
      </c>
      <c r="D4049">
        <v>4.092346</v>
      </c>
      <c r="E4049">
        <v>0.56497790000000003</v>
      </c>
      <c r="F4049" t="s">
        <v>49</v>
      </c>
      <c r="G4049">
        <v>-208.37180000000001</v>
      </c>
      <c r="H4049" s="1">
        <v>-7.2264369999999902E-6</v>
      </c>
      <c r="I4049">
        <v>143.9203</v>
      </c>
      <c r="J4049">
        <v>-194.30590000000001</v>
      </c>
      <c r="K4049">
        <v>1.103613</v>
      </c>
      <c r="L4049">
        <v>154.5642</v>
      </c>
      <c r="M4049">
        <v>-0.43015700000000001</v>
      </c>
      <c r="N4049">
        <v>0</v>
      </c>
      <c r="O4049">
        <v>-0.90263309999999997</v>
      </c>
      <c r="P4049">
        <v>-0.69346079999999999</v>
      </c>
      <c r="Q4049">
        <v>0.15119839999999901</v>
      </c>
      <c r="R4049">
        <v>-0.70445089999999999</v>
      </c>
      <c r="S4049">
        <v>-2.4579770000000001</v>
      </c>
      <c r="T4049">
        <v>-0.19111790000000001</v>
      </c>
      <c r="U4049">
        <v>-1.887283</v>
      </c>
      <c r="V4049">
        <v>0.3256735</v>
      </c>
      <c r="W4049">
        <v>0.1595462</v>
      </c>
      <c r="X4049">
        <v>0.93192370000000002</v>
      </c>
      <c r="Y4049">
        <v>0.45237759999999999</v>
      </c>
      <c r="Z4049">
        <v>6.1919149999999999E-2</v>
      </c>
      <c r="AA4049">
        <v>0.88967439999999998</v>
      </c>
      <c r="AB4049">
        <v>29</v>
      </c>
      <c r="AC4049">
        <v>-14.065899999999999</v>
      </c>
      <c r="AD4049">
        <v>-1.1036202264370001</v>
      </c>
      <c r="AE4049">
        <v>-10.6439</v>
      </c>
      <c r="AF4049">
        <v>8.0870286323426495</v>
      </c>
      <c r="AG4049">
        <v>-1.1036202264370001</v>
      </c>
      <c r="AH4049">
        <v>15.5987304572051</v>
      </c>
      <c r="AI4049">
        <v>93.594094104997197</v>
      </c>
      <c r="AJ4049">
        <v>62.595904154146901</v>
      </c>
      <c r="AK4049">
        <v>17.6050674972028</v>
      </c>
      <c r="AL4049">
        <v>80.819442968348795</v>
      </c>
      <c r="AM4049">
        <v>70.737332960363105</v>
      </c>
      <c r="AN4049">
        <v>1.00000000057919</v>
      </c>
    </row>
    <row r="4050" spans="1:40" x14ac:dyDescent="0.25">
      <c r="A4050" t="str">
        <f>"20190312172451141"</f>
        <v>20190312172451141</v>
      </c>
      <c r="B4050" t="str">
        <f>"1552382691134900"</f>
        <v>1552382691134900</v>
      </c>
      <c r="C4050" t="s">
        <v>40</v>
      </c>
      <c r="D4050">
        <v>4.0438150000000004</v>
      </c>
      <c r="E4050">
        <v>0.56763209999999997</v>
      </c>
      <c r="F4050" t="s">
        <v>49</v>
      </c>
      <c r="G4050">
        <v>-208.61150000000001</v>
      </c>
      <c r="H4050" s="1">
        <v>-7.1977949999999996E-6</v>
      </c>
      <c r="I4050">
        <v>144.21440000000001</v>
      </c>
      <c r="J4050">
        <v>-194.40299999999999</v>
      </c>
      <c r="K4050">
        <v>1.1035360000000001</v>
      </c>
      <c r="L4050">
        <v>154.37549999999999</v>
      </c>
      <c r="M4050">
        <v>-0.43605250000000001</v>
      </c>
      <c r="N4050">
        <v>0</v>
      </c>
      <c r="O4050">
        <v>-0.89979959999999903</v>
      </c>
      <c r="P4050">
        <v>-0.69885559999999902</v>
      </c>
      <c r="Q4050">
        <v>0.15116280000000001</v>
      </c>
      <c r="R4050">
        <v>-0.69910719999999904</v>
      </c>
      <c r="S4050">
        <v>-2.517944</v>
      </c>
      <c r="T4050">
        <v>-0.19424939999999999</v>
      </c>
      <c r="U4050">
        <v>-1.821671</v>
      </c>
      <c r="V4050">
        <v>0.32676660000000002</v>
      </c>
      <c r="W4050">
        <v>0.1594431</v>
      </c>
      <c r="X4050">
        <v>0.93155860000000001</v>
      </c>
      <c r="Y4050">
        <v>0.4717365</v>
      </c>
      <c r="Z4050">
        <v>6.2978580000000006E-2</v>
      </c>
      <c r="AA4050">
        <v>0.87948760000000004</v>
      </c>
      <c r="AB4050">
        <v>29</v>
      </c>
      <c r="AC4050">
        <v>-14.208500000000001</v>
      </c>
      <c r="AD4050">
        <v>-1.1035431977949901</v>
      </c>
      <c r="AE4050">
        <v>-10.1610999999999</v>
      </c>
      <c r="AF4050">
        <v>8.3217310335358103</v>
      </c>
      <c r="AG4050">
        <v>-1.1035431977949901</v>
      </c>
      <c r="AH4050">
        <v>15.2793032210222</v>
      </c>
      <c r="AI4050">
        <v>93.629262772031595</v>
      </c>
      <c r="AJ4050">
        <v>61.425488502907399</v>
      </c>
      <c r="AK4050">
        <v>17.433477045725901</v>
      </c>
      <c r="AL4050">
        <v>80.825426471926804</v>
      </c>
      <c r="AM4050">
        <v>70.670452543479797</v>
      </c>
      <c r="AN4050">
        <v>0.99999996912356404</v>
      </c>
    </row>
    <row r="4051" spans="1:40" x14ac:dyDescent="0.25">
      <c r="A4051" t="str">
        <f>"20190312172451159"</f>
        <v>20190312172451159</v>
      </c>
      <c r="B4051" t="str">
        <f>"1552382691154421"</f>
        <v>1552382691154421</v>
      </c>
      <c r="C4051" t="s">
        <v>40</v>
      </c>
      <c r="D4051">
        <v>4.064597</v>
      </c>
      <c r="E4051">
        <v>0.56836200000000003</v>
      </c>
      <c r="F4051" t="s">
        <v>49</v>
      </c>
      <c r="G4051">
        <v>-208.72120000000001</v>
      </c>
      <c r="H4051" s="1">
        <v>-7.1790689999999998E-6</v>
      </c>
      <c r="I4051">
        <v>144.3278</v>
      </c>
      <c r="J4051">
        <v>-194.51310000000001</v>
      </c>
      <c r="K4051">
        <v>1.103464</v>
      </c>
      <c r="L4051">
        <v>154.166</v>
      </c>
      <c r="M4051">
        <v>-0.4426891</v>
      </c>
      <c r="N4051">
        <v>0</v>
      </c>
      <c r="O4051">
        <v>-0.89655319999999905</v>
      </c>
      <c r="P4051">
        <v>-0.70581450000000001</v>
      </c>
      <c r="Q4051">
        <v>0.1511942</v>
      </c>
      <c r="R4051">
        <v>-0.69207399999999997</v>
      </c>
      <c r="S4051">
        <v>-2.5471339999999998</v>
      </c>
      <c r="T4051">
        <v>-0.19631419999999999</v>
      </c>
      <c r="U4051">
        <v>-1.7874300000000001</v>
      </c>
      <c r="V4051">
        <v>0.32923849999999999</v>
      </c>
      <c r="W4051">
        <v>0.1593753</v>
      </c>
      <c r="X4051">
        <v>0.93069950000000001</v>
      </c>
      <c r="Y4051">
        <v>0.47785689999999997</v>
      </c>
      <c r="Z4051">
        <v>6.3570489999999993E-2</v>
      </c>
      <c r="AA4051">
        <v>0.87613449999999904</v>
      </c>
      <c r="AB4051">
        <v>29</v>
      </c>
      <c r="AC4051">
        <v>-14.2081</v>
      </c>
      <c r="AD4051">
        <v>-1.1034711790689999</v>
      </c>
      <c r="AE4051">
        <v>-9.8382000000000005</v>
      </c>
      <c r="AF4051">
        <v>8.3499275869107308</v>
      </c>
      <c r="AG4051">
        <v>-1.1034711790689999</v>
      </c>
      <c r="AH4051">
        <v>15.0505318676359</v>
      </c>
      <c r="AI4051">
        <v>93.6683261968099</v>
      </c>
      <c r="AJ4051">
        <v>60.978799619948497</v>
      </c>
      <c r="AK4051">
        <v>17.246954770289499</v>
      </c>
      <c r="AL4051">
        <v>80.829361893455797</v>
      </c>
      <c r="AM4051">
        <v>70.518572408562505</v>
      </c>
      <c r="AN4051">
        <v>1.00000001771629</v>
      </c>
    </row>
    <row r="4052" spans="1:40" x14ac:dyDescent="0.25">
      <c r="A4052" t="str">
        <f>"20190312172451182"</f>
        <v>20190312172451182</v>
      </c>
      <c r="B4052" t="str">
        <f>"1552382691174431"</f>
        <v>1552382691174431</v>
      </c>
      <c r="C4052" t="s">
        <v>40</v>
      </c>
      <c r="D4052">
        <v>4.0514199999999896</v>
      </c>
      <c r="E4052">
        <v>0.56871530000000003</v>
      </c>
      <c r="F4052" t="s">
        <v>49</v>
      </c>
      <c r="G4052">
        <v>-208.69990000000001</v>
      </c>
      <c r="H4052" s="1">
        <v>-7.2229330000000002E-6</v>
      </c>
      <c r="I4052">
        <v>144.4581</v>
      </c>
      <c r="J4052">
        <v>-194.64609999999999</v>
      </c>
      <c r="K4052">
        <v>1.1033809999999999</v>
      </c>
      <c r="L4052">
        <v>153.91759999999999</v>
      </c>
      <c r="M4052">
        <v>-0.45066000000000001</v>
      </c>
      <c r="N4052">
        <v>0</v>
      </c>
      <c r="O4052">
        <v>-0.89257310000000001</v>
      </c>
      <c r="P4052">
        <v>-0.71379510000000002</v>
      </c>
      <c r="Q4052">
        <v>0.15095410000000001</v>
      </c>
      <c r="R4052">
        <v>-0.68389350000000004</v>
      </c>
      <c r="S4052">
        <v>-2.5693049999999999</v>
      </c>
      <c r="T4052">
        <v>-0.19984450000000001</v>
      </c>
      <c r="U4052">
        <v>-1.758148</v>
      </c>
      <c r="V4052">
        <v>0.33174979999999998</v>
      </c>
      <c r="W4052">
        <v>0.15902740000000001</v>
      </c>
      <c r="X4052">
        <v>0.92986690000000005</v>
      </c>
      <c r="Y4052">
        <v>0.48030109999999898</v>
      </c>
      <c r="Z4052">
        <v>6.4596349999999997E-2</v>
      </c>
      <c r="AA4052">
        <v>0.87472179999999999</v>
      </c>
      <c r="AB4052">
        <v>29</v>
      </c>
      <c r="AC4052">
        <v>-14.053800000000001</v>
      </c>
      <c r="AD4052">
        <v>-1.1033882229330001</v>
      </c>
      <c r="AE4052">
        <v>-9.4594999999999896</v>
      </c>
      <c r="AF4052">
        <v>8.2469468364614809</v>
      </c>
      <c r="AG4052">
        <v>-1.1033882229330001</v>
      </c>
      <c r="AH4052">
        <v>14.7159701795869</v>
      </c>
      <c r="AI4052">
        <v>93.742284226270201</v>
      </c>
      <c r="AJ4052">
        <v>60.733382589447601</v>
      </c>
      <c r="AK4052">
        <v>16.9053061498578</v>
      </c>
      <c r="AL4052">
        <v>80.849552881537093</v>
      </c>
      <c r="AM4052">
        <v>70.365059843596995</v>
      </c>
      <c r="AN4052">
        <v>1.0000000477332001</v>
      </c>
    </row>
    <row r="4053" spans="1:40" x14ac:dyDescent="0.25">
      <c r="A4053" t="str">
        <f>"20190312172451203"</f>
        <v>20190312172451203</v>
      </c>
      <c r="B4053" t="str">
        <f>"1552382691193951"</f>
        <v>1552382691193951</v>
      </c>
      <c r="C4053" t="s">
        <v>40</v>
      </c>
      <c r="D4053">
        <v>4.0441570000000002</v>
      </c>
      <c r="E4053">
        <v>0.56879449999999998</v>
      </c>
      <c r="F4053" t="s">
        <v>49</v>
      </c>
      <c r="G4053">
        <v>-208.58</v>
      </c>
      <c r="H4053" s="1">
        <v>-7.3226720000000003E-6</v>
      </c>
      <c r="I4053">
        <v>144.63470000000001</v>
      </c>
      <c r="J4053">
        <v>-194.78790000000001</v>
      </c>
      <c r="K4053">
        <v>1.103294</v>
      </c>
      <c r="L4053">
        <v>153.6593</v>
      </c>
      <c r="M4053">
        <v>-0.45910079999999998</v>
      </c>
      <c r="N4053">
        <v>0</v>
      </c>
      <c r="O4053">
        <v>-0.88826039999999995</v>
      </c>
      <c r="P4053">
        <v>-0.72178390000000003</v>
      </c>
      <c r="Q4053">
        <v>0.15089839999999999</v>
      </c>
      <c r="R4053">
        <v>-0.67546809999999902</v>
      </c>
      <c r="S4053">
        <v>-2.5918730000000001</v>
      </c>
      <c r="T4053">
        <v>-0.2052428</v>
      </c>
      <c r="U4053">
        <v>-1.7267300000000001</v>
      </c>
      <c r="V4053">
        <v>0.33389770000000002</v>
      </c>
      <c r="W4053">
        <v>0.15886500000000001</v>
      </c>
      <c r="X4053">
        <v>0.92912550000000005</v>
      </c>
      <c r="Y4053">
        <v>0.4827533</v>
      </c>
      <c r="Z4053">
        <v>6.6215709999999997E-2</v>
      </c>
      <c r="AA4053">
        <v>0.87324950000000001</v>
      </c>
      <c r="AB4053">
        <v>29</v>
      </c>
      <c r="AC4053">
        <v>-13.7921</v>
      </c>
      <c r="AD4053">
        <v>-1.1033013226719901</v>
      </c>
      <c r="AE4053">
        <v>-9.0245999999999906</v>
      </c>
      <c r="AF4053">
        <v>8.0724957488700397</v>
      </c>
      <c r="AG4053">
        <v>-1.1033013226719901</v>
      </c>
      <c r="AH4053">
        <v>14.285725677826299</v>
      </c>
      <c r="AI4053">
        <v>93.846697277090897</v>
      </c>
      <c r="AJ4053">
        <v>60.530326968162399</v>
      </c>
      <c r="AK4053">
        <v>16.445802490795</v>
      </c>
      <c r="AL4053">
        <v>80.858976890812002</v>
      </c>
      <c r="AM4053">
        <v>70.233201412841595</v>
      </c>
      <c r="AN4053">
        <v>0.99999997852026901</v>
      </c>
    </row>
    <row r="4054" spans="1:40" x14ac:dyDescent="0.25">
      <c r="A4054" t="str">
        <f>"20190312172451216"</f>
        <v>20190312172451216</v>
      </c>
      <c r="B4054" t="str">
        <f>"1552382691204688"</f>
        <v>1552382691204688</v>
      </c>
      <c r="C4054" t="s">
        <v>40</v>
      </c>
      <c r="D4054">
        <v>4.2530250000000001</v>
      </c>
      <c r="E4054">
        <v>0.56878439999999997</v>
      </c>
      <c r="F4054" t="s">
        <v>49</v>
      </c>
      <c r="G4054">
        <v>-208.66380000000001</v>
      </c>
      <c r="H4054" s="1">
        <v>-7.2904009999999999E-6</v>
      </c>
      <c r="I4054">
        <v>144.65299999999999</v>
      </c>
      <c r="J4054">
        <v>-194.86750000000001</v>
      </c>
      <c r="K4054">
        <v>1.1032420000000001</v>
      </c>
      <c r="L4054">
        <v>153.51679999999999</v>
      </c>
      <c r="M4054">
        <v>-0.4638082</v>
      </c>
      <c r="N4054">
        <v>0</v>
      </c>
      <c r="O4054">
        <v>-0.88581129999999997</v>
      </c>
      <c r="P4054">
        <v>-0.72614230000000002</v>
      </c>
      <c r="Q4054">
        <v>0.15101919999999999</v>
      </c>
      <c r="R4054">
        <v>-0.67075399999999996</v>
      </c>
      <c r="S4054">
        <v>-2.612778</v>
      </c>
      <c r="T4054">
        <v>-0.20774819999999999</v>
      </c>
      <c r="U4054">
        <v>-1.6958470000000001</v>
      </c>
      <c r="V4054">
        <v>0.33501900000000001</v>
      </c>
      <c r="W4054">
        <v>0.15892809999999999</v>
      </c>
      <c r="X4054">
        <v>0.92871099999999995</v>
      </c>
      <c r="Y4054">
        <v>0.48850270000000001</v>
      </c>
      <c r="Z4054">
        <v>6.7037199999999894E-2</v>
      </c>
      <c r="AA4054">
        <v>0.86998339999999996</v>
      </c>
      <c r="AB4054">
        <v>29</v>
      </c>
      <c r="AC4054">
        <v>-13.7963</v>
      </c>
      <c r="AD4054">
        <v>-1.1032492904009901</v>
      </c>
      <c r="AE4054">
        <v>-8.8637999999999906</v>
      </c>
      <c r="AF4054">
        <v>8.0741622053096105</v>
      </c>
      <c r="AG4054">
        <v>-1.1032492904009901</v>
      </c>
      <c r="AH4054">
        <v>14.187841961200901</v>
      </c>
      <c r="AI4054">
        <v>93.866325508249503</v>
      </c>
      <c r="AJ4054">
        <v>60.356218673139203</v>
      </c>
      <c r="AK4054">
        <v>16.3616659857862</v>
      </c>
      <c r="AL4054">
        <v>80.855315168783505</v>
      </c>
      <c r="AM4054">
        <v>70.163827697365406</v>
      </c>
      <c r="AN4054">
        <v>0.99999999642580395</v>
      </c>
    </row>
    <row r="4055" spans="1:40" x14ac:dyDescent="0.25">
      <c r="A4055" t="str">
        <f>"20190312172451238"</f>
        <v>20190312172451238</v>
      </c>
      <c r="B4055" t="str">
        <f>"1552382691234943"</f>
        <v>1552382691234943</v>
      </c>
      <c r="C4055" t="s">
        <v>40</v>
      </c>
      <c r="D4055">
        <v>4.0135249999999996</v>
      </c>
      <c r="E4055">
        <v>0.56839319999999904</v>
      </c>
      <c r="F4055" t="s">
        <v>49</v>
      </c>
      <c r="G4055">
        <v>-208.8809</v>
      </c>
      <c r="H4055" s="1">
        <v>-7.1670409999999998E-6</v>
      </c>
      <c r="I4055">
        <v>144.5505</v>
      </c>
      <c r="J4055">
        <v>-195.00460000000001</v>
      </c>
      <c r="K4055">
        <v>1.1031610000000001</v>
      </c>
      <c r="L4055">
        <v>153.2756</v>
      </c>
      <c r="M4055">
        <v>-0.47185919999999998</v>
      </c>
      <c r="N4055">
        <v>0</v>
      </c>
      <c r="O4055">
        <v>-0.88154880000000002</v>
      </c>
      <c r="P4055">
        <v>-0.7338595</v>
      </c>
      <c r="Q4055">
        <v>0.15073539999999999</v>
      </c>
      <c r="R4055">
        <v>-0.66236649999999997</v>
      </c>
      <c r="S4055">
        <v>-2.623688</v>
      </c>
      <c r="T4055">
        <v>-0.2065582</v>
      </c>
      <c r="U4055">
        <v>-1.678741</v>
      </c>
      <c r="V4055">
        <v>0.3373119</v>
      </c>
      <c r="W4055">
        <v>0.15853970000000001</v>
      </c>
      <c r="X4055">
        <v>0.92794719999999997</v>
      </c>
      <c r="Y4055">
        <v>0.48625459999999898</v>
      </c>
      <c r="Z4055">
        <v>6.6471199999999994E-2</v>
      </c>
      <c r="AA4055">
        <v>0.87128530000000004</v>
      </c>
      <c r="AB4055">
        <v>29</v>
      </c>
      <c r="AC4055">
        <v>-13.876299999999899</v>
      </c>
      <c r="AD4055">
        <v>-1.1031681670410001</v>
      </c>
      <c r="AE4055">
        <v>-8.7250999999999905</v>
      </c>
      <c r="AF4055">
        <v>8.0799143267853193</v>
      </c>
      <c r="AG4055">
        <v>-1.1031681670410001</v>
      </c>
      <c r="AH4055">
        <v>14.176619264146501</v>
      </c>
      <c r="AI4055">
        <v>93.867673176001205</v>
      </c>
      <c r="AJ4055">
        <v>60.3191741252718</v>
      </c>
      <c r="AK4055">
        <v>16.354770841975501</v>
      </c>
      <c r="AL4055">
        <v>80.877855388897899</v>
      </c>
      <c r="AM4055">
        <v>70.023625690768995</v>
      </c>
      <c r="AN4055">
        <v>1.00000008017276</v>
      </c>
    </row>
    <row r="4056" spans="1:40" x14ac:dyDescent="0.25">
      <c r="A4056" t="str">
        <f>"20190312172451265"</f>
        <v>20190312172451265</v>
      </c>
      <c r="B4056" t="str">
        <f>"1552382691254463"</f>
        <v>1552382691254463</v>
      </c>
      <c r="C4056" t="s">
        <v>40</v>
      </c>
      <c r="D4056">
        <v>4.0517969999999996</v>
      </c>
      <c r="E4056">
        <v>0.56810249999999995</v>
      </c>
      <c r="F4056" t="s">
        <v>49</v>
      </c>
      <c r="G4056">
        <v>-208.92349999999999</v>
      </c>
      <c r="H4056" s="1">
        <v>-7.1534909999999997E-6</v>
      </c>
      <c r="I4056">
        <v>144.57069999999999</v>
      </c>
      <c r="J4056">
        <v>-195.17570000000001</v>
      </c>
      <c r="K4056">
        <v>1.1030519999999999</v>
      </c>
      <c r="L4056">
        <v>152.98179999999999</v>
      </c>
      <c r="M4056">
        <v>-0.48182750000000002</v>
      </c>
      <c r="N4056">
        <v>0</v>
      </c>
      <c r="O4056">
        <v>-0.87613989999999997</v>
      </c>
      <c r="P4056">
        <v>-0.74271799999999999</v>
      </c>
      <c r="Q4056">
        <v>0.15003329999999901</v>
      </c>
      <c r="R4056">
        <v>-0.65257980000000004</v>
      </c>
      <c r="S4056">
        <v>-2.6404719999999999</v>
      </c>
      <c r="T4056">
        <v>-0.20927570000000001</v>
      </c>
      <c r="U4056">
        <v>-1.6513519999999999</v>
      </c>
      <c r="V4056">
        <v>0.33924530000000003</v>
      </c>
      <c r="W4056">
        <v>0.1577247</v>
      </c>
      <c r="X4056">
        <v>0.92738100000000001</v>
      </c>
      <c r="Y4056">
        <v>0.48528870000000002</v>
      </c>
      <c r="Z4056">
        <v>6.7145070000000001E-2</v>
      </c>
      <c r="AA4056">
        <v>0.87177199999999899</v>
      </c>
      <c r="AB4056">
        <v>29</v>
      </c>
      <c r="AC4056">
        <v>-13.7477999999999</v>
      </c>
      <c r="AD4056">
        <v>-1.1030591534909999</v>
      </c>
      <c r="AE4056">
        <v>-8.4110999999999994</v>
      </c>
      <c r="AF4056">
        <v>7.9559128157491203</v>
      </c>
      <c r="AG4056">
        <v>-1.1030591534909999</v>
      </c>
      <c r="AH4056">
        <v>13.9296652098907</v>
      </c>
      <c r="AI4056">
        <v>93.933610405419003</v>
      </c>
      <c r="AJ4056">
        <v>60.267200237040299</v>
      </c>
      <c r="AK4056">
        <v>16.0794546265581</v>
      </c>
      <c r="AL4056">
        <v>80.925145611556999</v>
      </c>
      <c r="AM4056">
        <v>69.906971924506607</v>
      </c>
      <c r="AN4056">
        <v>0.99999998686158897</v>
      </c>
    </row>
    <row r="4057" spans="1:40" x14ac:dyDescent="0.25">
      <c r="A4057" t="str">
        <f>"20190312172451283"</f>
        <v>20190312172451283</v>
      </c>
      <c r="B4057" t="str">
        <f>"1552382691274491"</f>
        <v>1552382691274491</v>
      </c>
      <c r="C4057" t="s">
        <v>40</v>
      </c>
      <c r="D4057">
        <v>4.0428300000000004</v>
      </c>
      <c r="E4057">
        <v>0.56755829999999996</v>
      </c>
      <c r="F4057" t="s">
        <v>49</v>
      </c>
      <c r="G4057">
        <v>-208.88310000000001</v>
      </c>
      <c r="H4057" s="1">
        <v>-7.1907210000000004E-6</v>
      </c>
      <c r="I4057">
        <v>144.6438</v>
      </c>
      <c r="J4057">
        <v>-195.30090000000001</v>
      </c>
      <c r="K4057">
        <v>1.1029739999999999</v>
      </c>
      <c r="L4057">
        <v>152.77180000000001</v>
      </c>
      <c r="M4057">
        <v>-0.48906909999999998</v>
      </c>
      <c r="N4057">
        <v>0</v>
      </c>
      <c r="O4057">
        <v>-0.87211830000000001</v>
      </c>
      <c r="P4057">
        <v>-0.7494516</v>
      </c>
      <c r="Q4057">
        <v>0.14971609999999999</v>
      </c>
      <c r="R4057">
        <v>-0.64490939999999997</v>
      </c>
      <c r="S4057">
        <v>-2.6605219999999998</v>
      </c>
      <c r="T4057">
        <v>-0.21409800000000001</v>
      </c>
      <c r="U4057">
        <v>-1.6183620000000001</v>
      </c>
      <c r="V4057">
        <v>0.34118159999999997</v>
      </c>
      <c r="W4057">
        <v>0.15731029999999999</v>
      </c>
      <c r="X4057">
        <v>0.92674089999999998</v>
      </c>
      <c r="Y4057">
        <v>0.48875590000000002</v>
      </c>
      <c r="Z4057">
        <v>6.8616960000000005E-2</v>
      </c>
      <c r="AA4057">
        <v>0.86971799999999999</v>
      </c>
      <c r="AB4057">
        <v>29</v>
      </c>
      <c r="AC4057">
        <v>-13.5822</v>
      </c>
      <c r="AD4057">
        <v>-1.1029811907210001</v>
      </c>
      <c r="AE4057">
        <v>-8.1280000000000108</v>
      </c>
      <c r="AF4057">
        <v>7.83296657022884</v>
      </c>
      <c r="AG4057">
        <v>-1.1029811907210001</v>
      </c>
      <c r="AH4057">
        <v>13.6663692547938</v>
      </c>
      <c r="AI4057">
        <v>94.005411865644206</v>
      </c>
      <c r="AJ4057">
        <v>60.180546893426502</v>
      </c>
      <c r="AK4057">
        <v>15.790553549694801</v>
      </c>
      <c r="AL4057">
        <v>80.949189761468304</v>
      </c>
      <c r="AM4057">
        <v>69.788710400335702</v>
      </c>
      <c r="AN4057">
        <v>1.00000005519872</v>
      </c>
    </row>
    <row r="4058" spans="1:40" x14ac:dyDescent="0.25">
      <c r="A4058" t="str">
        <f>"20190312172451304"</f>
        <v>20190312172451304</v>
      </c>
      <c r="B4058" t="str">
        <f>"1552382691294995"</f>
        <v>1552382691294995</v>
      </c>
      <c r="C4058" t="s">
        <v>40</v>
      </c>
      <c r="D4058">
        <v>4.0183049999999998</v>
      </c>
      <c r="E4058">
        <v>0.56700399999999995</v>
      </c>
      <c r="F4058" t="s">
        <v>49</v>
      </c>
      <c r="G4058">
        <v>-208.93369999999999</v>
      </c>
      <c r="H4058" s="1">
        <v>-7.1678939999999998E-6</v>
      </c>
      <c r="I4058">
        <v>144.64240000000001</v>
      </c>
      <c r="J4058">
        <v>-195.44839999999999</v>
      </c>
      <c r="K4058">
        <v>1.1028929999999999</v>
      </c>
      <c r="L4058">
        <v>152.5299</v>
      </c>
      <c r="M4058">
        <v>-0.49752239999999998</v>
      </c>
      <c r="N4058">
        <v>0</v>
      </c>
      <c r="O4058">
        <v>-0.86732319999999996</v>
      </c>
      <c r="P4058">
        <v>-0.75689289999999998</v>
      </c>
      <c r="Q4058">
        <v>0.14964669999999999</v>
      </c>
      <c r="R4058">
        <v>-0.63617590000000002</v>
      </c>
      <c r="S4058">
        <v>-2.6740110000000001</v>
      </c>
      <c r="T4058">
        <v>-0.21634600000000001</v>
      </c>
      <c r="U4058">
        <v>-1.5945590000000001</v>
      </c>
      <c r="V4058">
        <v>0.34296729999999997</v>
      </c>
      <c r="W4058">
        <v>0.15714359999999999</v>
      </c>
      <c r="X4058">
        <v>0.92610979999999998</v>
      </c>
      <c r="Y4058">
        <v>0.48788179999999998</v>
      </c>
      <c r="Z4058">
        <v>6.9153790000000007E-2</v>
      </c>
      <c r="AA4058">
        <v>0.87016610000000005</v>
      </c>
      <c r="AB4058">
        <v>29</v>
      </c>
      <c r="AC4058">
        <v>-13.485299999999899</v>
      </c>
      <c r="AD4058">
        <v>-1.102900167894</v>
      </c>
      <c r="AE4058">
        <v>-7.8874999999999797</v>
      </c>
      <c r="AF4058">
        <v>7.73422194464968</v>
      </c>
      <c r="AG4058">
        <v>-1.102900167894</v>
      </c>
      <c r="AH4058">
        <v>13.48454939887</v>
      </c>
      <c r="AI4058">
        <v>94.058234984326404</v>
      </c>
      <c r="AJ4058">
        <v>60.163066069137301</v>
      </c>
      <c r="AK4058">
        <v>15.584211573256001</v>
      </c>
      <c r="AL4058">
        <v>80.958860942775502</v>
      </c>
      <c r="AM4058">
        <v>69.678839683310102</v>
      </c>
      <c r="AN4058">
        <v>1.0000000207731401</v>
      </c>
    </row>
    <row r="4059" spans="1:40" x14ac:dyDescent="0.25">
      <c r="A4059" t="str">
        <f>"20190312172451327"</f>
        <v>20190312172451327</v>
      </c>
      <c r="B4059" t="str">
        <f>"1552382691324268"</f>
        <v>1552382691324268</v>
      </c>
      <c r="C4059" t="s">
        <v>40</v>
      </c>
      <c r="D4059">
        <v>4.0570740000000001</v>
      </c>
      <c r="E4059">
        <v>0.56673379999999995</v>
      </c>
      <c r="F4059" t="s">
        <v>49</v>
      </c>
      <c r="G4059">
        <v>-209.0711</v>
      </c>
      <c r="H4059" s="1">
        <v>-7.0938940000000002E-6</v>
      </c>
      <c r="I4059">
        <v>144.59299999999999</v>
      </c>
      <c r="J4059">
        <v>-195.59780000000001</v>
      </c>
      <c r="K4059">
        <v>1.102811</v>
      </c>
      <c r="L4059">
        <v>152.29040000000001</v>
      </c>
      <c r="M4059">
        <v>-0.50600489999999998</v>
      </c>
      <c r="N4059">
        <v>0</v>
      </c>
      <c r="O4059">
        <v>-0.86240169999999905</v>
      </c>
      <c r="P4059">
        <v>-0.76422460000000003</v>
      </c>
      <c r="Q4059">
        <v>0.15031369999999999</v>
      </c>
      <c r="R4059">
        <v>-0.62718969999999996</v>
      </c>
      <c r="S4059">
        <v>-2.689575</v>
      </c>
      <c r="T4059">
        <v>-0.21774940000000001</v>
      </c>
      <c r="U4059">
        <v>-1.5670170000000001</v>
      </c>
      <c r="V4059">
        <v>0.3447595</v>
      </c>
      <c r="W4059">
        <v>0.15771479999999999</v>
      </c>
      <c r="X4059">
        <v>0.92534689999999997</v>
      </c>
      <c r="Y4059">
        <v>0.4881451</v>
      </c>
      <c r="Z4059">
        <v>6.9430919999999993E-2</v>
      </c>
      <c r="AA4059">
        <v>0.8699964</v>
      </c>
      <c r="AB4059">
        <v>29</v>
      </c>
      <c r="AC4059">
        <v>-13.473299999999901</v>
      </c>
      <c r="AD4059">
        <v>-1.102818093894</v>
      </c>
      <c r="AE4059">
        <v>-7.6974000000000098</v>
      </c>
      <c r="AF4059">
        <v>7.68650813429237</v>
      </c>
      <c r="AG4059">
        <v>-1.102818093894</v>
      </c>
      <c r="AH4059">
        <v>13.389670016480499</v>
      </c>
      <c r="AI4059">
        <v>94.085711142004499</v>
      </c>
      <c r="AJ4059">
        <v>60.1414803856864</v>
      </c>
      <c r="AK4059">
        <v>15.478432678956899</v>
      </c>
      <c r="AL4059">
        <v>80.925719949610396</v>
      </c>
      <c r="AM4059">
        <v>69.565952336825106</v>
      </c>
      <c r="AN4059">
        <v>0.99999997815944897</v>
      </c>
    </row>
    <row r="4060" spans="1:40" x14ac:dyDescent="0.25">
      <c r="A4060" t="str">
        <f>"20190312172451350"</f>
        <v>20190312172451350</v>
      </c>
      <c r="B4060" t="str">
        <f>"1552382691344764"</f>
        <v>1552382691344764</v>
      </c>
      <c r="C4060" t="s">
        <v>40</v>
      </c>
      <c r="D4060">
        <v>3.9954710000000002</v>
      </c>
      <c r="E4060">
        <v>0.59343080000000004</v>
      </c>
      <c r="F4060" t="s">
        <v>49</v>
      </c>
      <c r="G4060">
        <v>-209.34829999999999</v>
      </c>
      <c r="H4060" s="1">
        <v>-6.9412100000000004E-6</v>
      </c>
      <c r="I4060">
        <v>144.4802</v>
      </c>
      <c r="J4060">
        <v>-195.7559</v>
      </c>
      <c r="K4060">
        <v>1.102733</v>
      </c>
      <c r="L4060">
        <v>152.0428</v>
      </c>
      <c r="M4060">
        <v>-0.51489779999999996</v>
      </c>
      <c r="N4060">
        <v>0</v>
      </c>
      <c r="O4060">
        <v>-0.85712169999999899</v>
      </c>
      <c r="P4060">
        <v>-0.77176239999999996</v>
      </c>
      <c r="Q4060">
        <v>0.15080569999999999</v>
      </c>
      <c r="R4060">
        <v>-0.61777090000000001</v>
      </c>
      <c r="S4060">
        <v>-2.7065730000000001</v>
      </c>
      <c r="T4060">
        <v>-0.2170726</v>
      </c>
      <c r="U4060">
        <v>-1.537323</v>
      </c>
      <c r="V4060">
        <v>0.34649750000000001</v>
      </c>
      <c r="W4060">
        <v>0.15811169999999999</v>
      </c>
      <c r="X4060">
        <v>0.9246297</v>
      </c>
      <c r="Y4060">
        <v>0.48871009999999998</v>
      </c>
      <c r="Z4060">
        <v>6.9024859999999993E-2</v>
      </c>
      <c r="AA4060">
        <v>0.86971149999999997</v>
      </c>
      <c r="AB4060">
        <v>28</v>
      </c>
      <c r="AC4060">
        <v>-13.5923999999999</v>
      </c>
      <c r="AD4060">
        <v>-1.1027399412100001</v>
      </c>
      <c r="AE4060">
        <v>-7.5625999999999998</v>
      </c>
      <c r="AF4060">
        <v>7.7184451677478103</v>
      </c>
      <c r="AG4060">
        <v>-1.1027399412100001</v>
      </c>
      <c r="AH4060">
        <v>13.414842654111499</v>
      </c>
      <c r="AI4060">
        <v>94.075494285575402</v>
      </c>
      <c r="AJ4060">
        <v>60.085338353909698</v>
      </c>
      <c r="AK4060">
        <v>15.5160702054367</v>
      </c>
      <c r="AL4060">
        <v>80.902690085125897</v>
      </c>
      <c r="AM4060">
        <v>69.456920225866796</v>
      </c>
      <c r="AN4060">
        <v>0.99999995465261404</v>
      </c>
    </row>
    <row r="4061" spans="1:40" x14ac:dyDescent="0.25">
      <c r="A4061" t="str">
        <f>"20190312172451371"</f>
        <v>20190312172451371</v>
      </c>
      <c r="B4061" t="str">
        <f>"1552382691364283"</f>
        <v>1552382691364283</v>
      </c>
      <c r="C4061" t="s">
        <v>40</v>
      </c>
      <c r="D4061">
        <v>3.9898289999999998</v>
      </c>
      <c r="E4061">
        <v>0.59712149999999997</v>
      </c>
      <c r="F4061" t="s">
        <v>43</v>
      </c>
      <c r="G4061">
        <v>-210.2012</v>
      </c>
      <c r="H4061" s="1">
        <v>-5.6378740000000004E-6</v>
      </c>
      <c r="I4061">
        <v>145.27549999999999</v>
      </c>
      <c r="J4061">
        <v>-195.90979999999999</v>
      </c>
      <c r="K4061">
        <v>1.1026640000000001</v>
      </c>
      <c r="L4061">
        <v>151.80719999999999</v>
      </c>
      <c r="M4061">
        <v>-0.52347279999999996</v>
      </c>
      <c r="N4061">
        <v>0</v>
      </c>
      <c r="O4061">
        <v>-0.85191099999999997</v>
      </c>
      <c r="P4061">
        <v>-0.77961210000000003</v>
      </c>
      <c r="Q4061">
        <v>0.15181259999999999</v>
      </c>
      <c r="R4061">
        <v>-0.60758350000000005</v>
      </c>
      <c r="S4061">
        <v>-2.858047</v>
      </c>
      <c r="T4061">
        <v>-0.21817990000000001</v>
      </c>
      <c r="U4061">
        <v>-1.3389279999999999</v>
      </c>
      <c r="V4061">
        <v>0.34924709999999998</v>
      </c>
      <c r="W4061">
        <v>0.15900110000000001</v>
      </c>
      <c r="X4061">
        <v>0.92344199999999999</v>
      </c>
      <c r="Y4061">
        <v>0.54697459999999998</v>
      </c>
      <c r="Z4061">
        <v>6.9551520000000006E-2</v>
      </c>
      <c r="AA4061">
        <v>0.83425499999999997</v>
      </c>
      <c r="AB4061">
        <v>28</v>
      </c>
      <c r="AC4061">
        <v>-14.291399999999999</v>
      </c>
      <c r="AD4061">
        <v>-1.102669637874</v>
      </c>
      <c r="AE4061">
        <v>-6.5316999999999998</v>
      </c>
      <c r="AF4061">
        <v>8.7139027411285497</v>
      </c>
      <c r="AG4061">
        <v>-1.102669637874</v>
      </c>
      <c r="AH4061">
        <v>12.983112207230199</v>
      </c>
      <c r="AI4061">
        <v>94.033816951672605</v>
      </c>
      <c r="AJ4061">
        <v>56.131589819932799</v>
      </c>
      <c r="AK4061">
        <v>15.675113521045599</v>
      </c>
      <c r="AL4061">
        <v>80.851078804899501</v>
      </c>
      <c r="AM4061">
        <v>69.2833095019014</v>
      </c>
      <c r="AN4061">
        <v>1.00000000701181</v>
      </c>
    </row>
    <row r="4062" spans="1:40" x14ac:dyDescent="0.25">
      <c r="A4062" t="str">
        <f>"20190312172451395"</f>
        <v>20190312172451395</v>
      </c>
      <c r="B4062" t="str">
        <f>"1552382691384315"</f>
        <v>1552382691384315</v>
      </c>
      <c r="C4062" t="s">
        <v>40</v>
      </c>
      <c r="D4062">
        <v>3.9521850000000001</v>
      </c>
      <c r="E4062">
        <v>0.59803499999999998</v>
      </c>
      <c r="F4062" t="s">
        <v>43</v>
      </c>
      <c r="G4062">
        <v>-210.52510000000001</v>
      </c>
      <c r="H4062" s="1">
        <v>-5.52572E-6</v>
      </c>
      <c r="I4062">
        <v>145.34450000000001</v>
      </c>
      <c r="J4062">
        <v>-196.0753</v>
      </c>
      <c r="K4062">
        <v>1.1025969999999901</v>
      </c>
      <c r="L4062">
        <v>151.55959999999999</v>
      </c>
      <c r="M4062">
        <v>-0.53259979999999996</v>
      </c>
      <c r="N4062">
        <v>0</v>
      </c>
      <c r="O4062">
        <v>-0.84623470000000001</v>
      </c>
      <c r="P4062">
        <v>-0.7862055</v>
      </c>
      <c r="Q4062">
        <v>0.15232379999999901</v>
      </c>
      <c r="R4062">
        <v>-0.59889759999999903</v>
      </c>
      <c r="S4062">
        <v>-2.8934329999999999</v>
      </c>
      <c r="T4062">
        <v>-0.21829870000000001</v>
      </c>
      <c r="U4062">
        <v>-1.2794490000000001</v>
      </c>
      <c r="V4062">
        <v>0.34952240000000001</v>
      </c>
      <c r="W4062">
        <v>0.15945490000000001</v>
      </c>
      <c r="X4062">
        <v>0.92325959999999996</v>
      </c>
      <c r="Y4062">
        <v>0.55612130000000004</v>
      </c>
      <c r="Z4062">
        <v>6.9441009999999997E-2</v>
      </c>
      <c r="AA4062">
        <v>0.82819500000000001</v>
      </c>
      <c r="AB4062">
        <v>28</v>
      </c>
      <c r="AC4062">
        <v>-14.4498</v>
      </c>
      <c r="AD4062">
        <v>-1.1026025257199901</v>
      </c>
      <c r="AE4062">
        <v>-6.2150999999999703</v>
      </c>
      <c r="AF4062">
        <v>8.8751528312287302</v>
      </c>
      <c r="AG4062">
        <v>-1.1026025257199901</v>
      </c>
      <c r="AH4062">
        <v>12.893494081379099</v>
      </c>
      <c r="AI4062">
        <v>94.0293265494237</v>
      </c>
      <c r="AJ4062">
        <v>55.458672406409498</v>
      </c>
      <c r="AK4062">
        <v>15.691598380469401</v>
      </c>
      <c r="AL4062">
        <v>80.824742193514098</v>
      </c>
      <c r="AM4062">
        <v>69.264619818822396</v>
      </c>
      <c r="AN4062">
        <v>1.0000000311139601</v>
      </c>
    </row>
    <row r="4063" spans="1:40" x14ac:dyDescent="0.25">
      <c r="A4063" t="str">
        <f>"20190312172451416"</f>
        <v>20190312172451416</v>
      </c>
      <c r="B4063" t="str">
        <f>"1552382691404811"</f>
        <v>1552382691404811</v>
      </c>
      <c r="C4063" t="s">
        <v>40</v>
      </c>
      <c r="D4063">
        <v>3.9315790000000002</v>
      </c>
      <c r="E4063">
        <v>0.59786830000000002</v>
      </c>
      <c r="F4063" t="s">
        <v>43</v>
      </c>
      <c r="G4063">
        <v>-210.8903</v>
      </c>
      <c r="H4063" s="1">
        <v>-5.366924E-6</v>
      </c>
      <c r="I4063">
        <v>145.2398</v>
      </c>
      <c r="J4063">
        <v>-196.23</v>
      </c>
      <c r="K4063">
        <v>1.1025320000000001</v>
      </c>
      <c r="L4063">
        <v>151.33340000000001</v>
      </c>
      <c r="M4063">
        <v>-0.54104039999999998</v>
      </c>
      <c r="N4063">
        <v>0</v>
      </c>
      <c r="O4063">
        <v>-0.84086289999999997</v>
      </c>
      <c r="P4063">
        <v>-0.79205230000000004</v>
      </c>
      <c r="Q4063">
        <v>0.1534034</v>
      </c>
      <c r="R4063">
        <v>-0.59086430000000001</v>
      </c>
      <c r="S4063">
        <v>-2.9116360000000001</v>
      </c>
      <c r="T4063">
        <v>-0.21669830000000001</v>
      </c>
      <c r="U4063">
        <v>-1.2420500000000001</v>
      </c>
      <c r="V4063">
        <v>0.34955540000000002</v>
      </c>
      <c r="W4063">
        <v>0.16048760000000001</v>
      </c>
      <c r="X4063">
        <v>0.92306809999999995</v>
      </c>
      <c r="Y4063">
        <v>0.55873200000000001</v>
      </c>
      <c r="Z4063">
        <v>6.8767579999999995E-2</v>
      </c>
      <c r="AA4063">
        <v>0.82649240000000002</v>
      </c>
      <c r="AB4063">
        <v>28</v>
      </c>
      <c r="AC4063">
        <v>-14.660299999999999</v>
      </c>
      <c r="AD4063">
        <v>-1.102537366924</v>
      </c>
      <c r="AE4063">
        <v>-6.0936000000000003</v>
      </c>
      <c r="AF4063">
        <v>8.9880873707136093</v>
      </c>
      <c r="AG4063">
        <v>-1.102537366924</v>
      </c>
      <c r="AH4063">
        <v>12.9944965262209</v>
      </c>
      <c r="AI4063">
        <v>93.991656224626695</v>
      </c>
      <c r="AJ4063">
        <v>55.329004267299602</v>
      </c>
      <c r="AK4063">
        <v>15.8385050809416</v>
      </c>
      <c r="AL4063">
        <v>80.7648004429645</v>
      </c>
      <c r="AM4063">
        <v>69.258892580347194</v>
      </c>
      <c r="AN4063">
        <v>0.99999998233026399</v>
      </c>
    </row>
    <row r="4064" spans="1:40" x14ac:dyDescent="0.25">
      <c r="A4064" t="str">
        <f>"20190312172451438"</f>
        <v>20190312172451438</v>
      </c>
      <c r="B4064" t="str">
        <f>"1552382691434088"</f>
        <v>1552382691434088</v>
      </c>
      <c r="C4064" t="s">
        <v>40</v>
      </c>
      <c r="D4064">
        <v>3.9049149999999999</v>
      </c>
      <c r="E4064">
        <v>0.59751709999999902</v>
      </c>
      <c r="F4064" t="s">
        <v>43</v>
      </c>
      <c r="G4064">
        <v>-211.45590000000001</v>
      </c>
      <c r="H4064" s="1">
        <v>-5.1090109999999998E-6</v>
      </c>
      <c r="I4064">
        <v>145.0103</v>
      </c>
      <c r="J4064">
        <v>-196.39230000000001</v>
      </c>
      <c r="K4064">
        <v>1.102463</v>
      </c>
      <c r="L4064">
        <v>151.10149999999999</v>
      </c>
      <c r="M4064">
        <v>-0.54979160000000005</v>
      </c>
      <c r="N4064">
        <v>0</v>
      </c>
      <c r="O4064">
        <v>-0.83516710000000005</v>
      </c>
      <c r="P4064">
        <v>-0.79834229999999995</v>
      </c>
      <c r="Q4064">
        <v>0.15452630000000001</v>
      </c>
      <c r="R4064">
        <v>-0.58204060000000002</v>
      </c>
      <c r="S4064">
        <v>-2.923035</v>
      </c>
      <c r="T4064">
        <v>-0.21166370000000001</v>
      </c>
      <c r="U4064">
        <v>-1.213913</v>
      </c>
      <c r="V4064">
        <v>0.35002660000000002</v>
      </c>
      <c r="W4064">
        <v>0.16155310000000001</v>
      </c>
      <c r="X4064">
        <v>0.92270359999999996</v>
      </c>
      <c r="Y4064">
        <v>0.55813029999999997</v>
      </c>
      <c r="Z4064">
        <v>6.6968340000000001E-2</v>
      </c>
      <c r="AA4064">
        <v>0.82704650000000002</v>
      </c>
      <c r="AB4064">
        <v>28</v>
      </c>
      <c r="AC4064">
        <v>-15.063599999999999</v>
      </c>
      <c r="AD4064">
        <v>-1.102468109011</v>
      </c>
      <c r="AE4064">
        <v>-6.0911999999999802</v>
      </c>
      <c r="AF4064">
        <v>9.1904619719684906</v>
      </c>
      <c r="AG4064">
        <v>-1.102468109011</v>
      </c>
      <c r="AH4064">
        <v>13.3092442766443</v>
      </c>
      <c r="AI4064">
        <v>93.899402557947596</v>
      </c>
      <c r="AJ4064">
        <v>55.373671195375898</v>
      </c>
      <c r="AK4064">
        <v>16.211601105534701</v>
      </c>
      <c r="AL4064">
        <v>80.702944604559505</v>
      </c>
      <c r="AM4064">
        <v>69.225813913122394</v>
      </c>
      <c r="AN4064">
        <v>0.999999979140064</v>
      </c>
    </row>
    <row r="4065" spans="1:40" x14ac:dyDescent="0.25">
      <c r="A4065" t="str">
        <f>"20190312172451463"</f>
        <v>20190312172451463</v>
      </c>
      <c r="B4065" t="str">
        <f>"1552382691454584"</f>
        <v>1552382691454584</v>
      </c>
      <c r="C4065" t="s">
        <v>40</v>
      </c>
      <c r="D4065">
        <v>3.9240010000000001</v>
      </c>
      <c r="E4065">
        <v>0.59702999999999995</v>
      </c>
      <c r="F4065" t="s">
        <v>43</v>
      </c>
      <c r="G4065">
        <v>-211.87139999999999</v>
      </c>
      <c r="H4065" s="1">
        <v>-4.9215290000000004E-6</v>
      </c>
      <c r="I4065">
        <v>144.85290000000001</v>
      </c>
      <c r="J4065">
        <v>-196.57849999999999</v>
      </c>
      <c r="K4065">
        <v>1.102387</v>
      </c>
      <c r="L4065">
        <v>150.84180000000001</v>
      </c>
      <c r="M4065">
        <v>-0.559704599999999</v>
      </c>
      <c r="N4065">
        <v>0</v>
      </c>
      <c r="O4065">
        <v>-0.82855590000000001</v>
      </c>
      <c r="P4065">
        <v>-0.80549559999999998</v>
      </c>
      <c r="Q4065">
        <v>0.15497269999999999</v>
      </c>
      <c r="R4065">
        <v>-0.57197940000000003</v>
      </c>
      <c r="S4065">
        <v>-2.934555</v>
      </c>
      <c r="T4065">
        <v>-0.2090079</v>
      </c>
      <c r="U4065">
        <v>-1.184631</v>
      </c>
      <c r="V4065">
        <v>0.35057389999999999</v>
      </c>
      <c r="W4065">
        <v>0.16194169999999999</v>
      </c>
      <c r="X4065">
        <v>0.92242769999999996</v>
      </c>
      <c r="Y4065">
        <v>0.55654479999999995</v>
      </c>
      <c r="Z4065">
        <v>6.5865670000000001E-2</v>
      </c>
      <c r="AA4065">
        <v>0.82820269999999996</v>
      </c>
      <c r="AB4065">
        <v>28</v>
      </c>
      <c r="AC4065">
        <v>-15.292899999999999</v>
      </c>
      <c r="AD4065">
        <v>-1.1023919215289999</v>
      </c>
      <c r="AE4065">
        <v>-5.9889000000000001</v>
      </c>
      <c r="AF4065">
        <v>9.2782586478749494</v>
      </c>
      <c r="AG4065">
        <v>-1.1023919215289999</v>
      </c>
      <c r="AH4065">
        <v>13.4625191416128</v>
      </c>
      <c r="AI4065">
        <v>93.857284258167198</v>
      </c>
      <c r="AJ4065">
        <v>55.425704661645497</v>
      </c>
      <c r="AK4065">
        <v>16.387213708370599</v>
      </c>
      <c r="AL4065">
        <v>80.680382730897406</v>
      </c>
      <c r="AM4065">
        <v>69.190420634012895</v>
      </c>
      <c r="AN4065">
        <v>1.0000000176436901</v>
      </c>
    </row>
    <row r="4066" spans="1:40" x14ac:dyDescent="0.25">
      <c r="A4066" t="str">
        <f>"20190312172451485"</f>
        <v>20190312172451485</v>
      </c>
      <c r="B4066" t="str">
        <f>"1552382691474611"</f>
        <v>1552382691474611</v>
      </c>
      <c r="C4066" t="s">
        <v>40</v>
      </c>
      <c r="D4066">
        <v>3.9039440000000001</v>
      </c>
      <c r="E4066">
        <v>0.59657830000000001</v>
      </c>
      <c r="F4066" t="s">
        <v>43</v>
      </c>
      <c r="G4066">
        <v>-212.18549999999999</v>
      </c>
      <c r="H4066" s="1">
        <v>-4.7814909999999901E-6</v>
      </c>
      <c r="I4066">
        <v>144.74350000000001</v>
      </c>
      <c r="J4066">
        <v>-196.744</v>
      </c>
      <c r="K4066">
        <v>1.1023369999999999</v>
      </c>
      <c r="L4066">
        <v>150.61689999999999</v>
      </c>
      <c r="M4066">
        <v>-0.56838459999999902</v>
      </c>
      <c r="N4066">
        <v>0</v>
      </c>
      <c r="O4066">
        <v>-0.82262559999999996</v>
      </c>
      <c r="P4066">
        <v>-0.81175439999999999</v>
      </c>
      <c r="Q4066">
        <v>0.15472420000000001</v>
      </c>
      <c r="R4066">
        <v>-0.56313009999999997</v>
      </c>
      <c r="S4066">
        <v>-2.9468230000000002</v>
      </c>
      <c r="T4066">
        <v>-0.20814730000000001</v>
      </c>
      <c r="U4066">
        <v>-1.151459</v>
      </c>
      <c r="V4066">
        <v>0.35102680000000003</v>
      </c>
      <c r="W4066">
        <v>0.16165089999999999</v>
      </c>
      <c r="X4066">
        <v>0.92230639999999997</v>
      </c>
      <c r="Y4066">
        <v>0.55710019999999905</v>
      </c>
      <c r="Z4066">
        <v>6.5411200000000003E-2</v>
      </c>
      <c r="AA4066">
        <v>0.82786519999999997</v>
      </c>
      <c r="AB4066">
        <v>28</v>
      </c>
      <c r="AC4066">
        <v>-15.4414999999999</v>
      </c>
      <c r="AD4066">
        <v>-1.1023417814909999</v>
      </c>
      <c r="AE4066">
        <v>-5.87339999999997</v>
      </c>
      <c r="AF4066">
        <v>9.3237708546384592</v>
      </c>
      <c r="AG4066">
        <v>-1.1023417814909999</v>
      </c>
      <c r="AH4066">
        <v>13.549533809604799</v>
      </c>
      <c r="AI4066">
        <v>93.834318136787005</v>
      </c>
      <c r="AJ4066">
        <v>55.4671736165269</v>
      </c>
      <c r="AK4066">
        <v>16.4844692608118</v>
      </c>
      <c r="AL4066">
        <v>80.697266279244005</v>
      </c>
      <c r="AM4066">
        <v>69.163338889004706</v>
      </c>
      <c r="AN4066">
        <v>0.99999996163500404</v>
      </c>
    </row>
    <row r="4067" spans="1:40" x14ac:dyDescent="0.25">
      <c r="A4067" t="str">
        <f>"20190312172451505"</f>
        <v>20190312172451505</v>
      </c>
      <c r="B4067" t="str">
        <f>"1552382691494131"</f>
        <v>1552382691494131</v>
      </c>
      <c r="C4067" t="s">
        <v>40</v>
      </c>
      <c r="D4067">
        <v>3.995511</v>
      </c>
      <c r="E4067">
        <v>0.59651449999999995</v>
      </c>
      <c r="F4067" t="s">
        <v>43</v>
      </c>
      <c r="G4067">
        <v>-212.42570000000001</v>
      </c>
      <c r="H4067" s="1">
        <v>-4.6764419999999997E-6</v>
      </c>
      <c r="I4067">
        <v>144.6713</v>
      </c>
      <c r="J4067">
        <v>-196.90379999999999</v>
      </c>
      <c r="K4067">
        <v>1.1022879999999999</v>
      </c>
      <c r="L4067">
        <v>150.40430000000001</v>
      </c>
      <c r="M4067">
        <v>-0.57665369999999905</v>
      </c>
      <c r="N4067">
        <v>0</v>
      </c>
      <c r="O4067">
        <v>-0.81684999999999997</v>
      </c>
      <c r="P4067">
        <v>-0.81778869999999904</v>
      </c>
      <c r="Q4067">
        <v>0.1550704</v>
      </c>
      <c r="R4067">
        <v>-0.55423359999999899</v>
      </c>
      <c r="S4067">
        <v>-2.9574579999999999</v>
      </c>
      <c r="T4067">
        <v>-0.2078931</v>
      </c>
      <c r="U4067">
        <v>-1.1213070000000001</v>
      </c>
      <c r="V4067">
        <v>0.35176390000000002</v>
      </c>
      <c r="W4067">
        <v>0.1619554</v>
      </c>
      <c r="X4067">
        <v>0.92197209999999996</v>
      </c>
      <c r="Y4067">
        <v>0.55710909999999902</v>
      </c>
      <c r="Z4067">
        <v>6.5137529999999999E-2</v>
      </c>
      <c r="AA4067">
        <v>0.82788079999999997</v>
      </c>
      <c r="AB4067">
        <v>28</v>
      </c>
      <c r="AC4067">
        <v>-15.5219</v>
      </c>
      <c r="AD4067">
        <v>-1.102292676442</v>
      </c>
      <c r="AE4067">
        <v>-5.7329999999999997</v>
      </c>
      <c r="AF4067">
        <v>9.3327537493793393</v>
      </c>
      <c r="AG4067">
        <v>-1.102292676442</v>
      </c>
      <c r="AH4067">
        <v>13.5750638652499</v>
      </c>
      <c r="AI4067">
        <v>93.828085409270699</v>
      </c>
      <c r="AJ4067">
        <v>55.491771233295196</v>
      </c>
      <c r="AK4067">
        <v>16.510533020974901</v>
      </c>
      <c r="AL4067">
        <v>80.679586858835293</v>
      </c>
      <c r="AM4067">
        <v>69.116435879661793</v>
      </c>
      <c r="AN4067">
        <v>0.99999997305538901</v>
      </c>
    </row>
    <row r="4068" spans="1:40" x14ac:dyDescent="0.25">
      <c r="A4068" t="str">
        <f>"20190312172451527"</f>
        <v>20190312172451527</v>
      </c>
      <c r="B4068" t="str">
        <f>"1552382691524388"</f>
        <v>1552382691524388</v>
      </c>
      <c r="C4068" t="s">
        <v>40</v>
      </c>
      <c r="D4068">
        <v>3.8789319999999998</v>
      </c>
      <c r="E4068">
        <v>0.5907772</v>
      </c>
      <c r="F4068" t="s">
        <v>43</v>
      </c>
      <c r="G4068">
        <v>-212.73769999999999</v>
      </c>
      <c r="H4068" s="1">
        <v>-4.5437420000000001E-6</v>
      </c>
      <c r="I4068">
        <v>144.5985</v>
      </c>
      <c r="J4068">
        <v>-197.07089999999999</v>
      </c>
      <c r="K4068">
        <v>1.102258</v>
      </c>
      <c r="L4068">
        <v>150.18680000000001</v>
      </c>
      <c r="M4068">
        <v>-0.58517209999999997</v>
      </c>
      <c r="N4068">
        <v>0</v>
      </c>
      <c r="O4068">
        <v>-0.81076930000000003</v>
      </c>
      <c r="P4068">
        <v>-0.82387849999999996</v>
      </c>
      <c r="Q4068">
        <v>0.15562429999999999</v>
      </c>
      <c r="R4068">
        <v>-0.54498199999999997</v>
      </c>
      <c r="S4068">
        <v>-2.969681</v>
      </c>
      <c r="T4068">
        <v>-0.2067378</v>
      </c>
      <c r="U4068">
        <v>-1.0888819999999999</v>
      </c>
      <c r="V4068">
        <v>0.35244589999999998</v>
      </c>
      <c r="W4068">
        <v>0.16247200000000001</v>
      </c>
      <c r="X4068">
        <v>0.92162069999999996</v>
      </c>
      <c r="Y4068">
        <v>0.55753050000000004</v>
      </c>
      <c r="Z4068">
        <v>6.4558019999999994E-2</v>
      </c>
      <c r="AA4068">
        <v>0.8276424</v>
      </c>
      <c r="AB4068">
        <v>28</v>
      </c>
      <c r="AC4068">
        <v>-15.666799999999901</v>
      </c>
      <c r="AD4068">
        <v>-1.1022625437419999</v>
      </c>
      <c r="AE4068">
        <v>-5.5883000000000003</v>
      </c>
      <c r="AF4068">
        <v>9.3918700037023406</v>
      </c>
      <c r="AG4068">
        <v>-1.1022625437419999</v>
      </c>
      <c r="AH4068">
        <v>13.640250895457401</v>
      </c>
      <c r="AI4068">
        <v>93.807881858125995</v>
      </c>
      <c r="AJ4068">
        <v>55.451000776792299</v>
      </c>
      <c r="AK4068">
        <v>16.5975494990317</v>
      </c>
      <c r="AL4068">
        <v>80.649590726594099</v>
      </c>
      <c r="AM4068">
        <v>69.072161827908104</v>
      </c>
      <c r="AN4068">
        <v>0.99999998893964903</v>
      </c>
    </row>
    <row r="4069" spans="1:40" x14ac:dyDescent="0.25">
      <c r="A4069" t="str">
        <f>"20190312172451550"</f>
        <v>20190312172451550</v>
      </c>
      <c r="B4069" t="str">
        <f>"1552382691544883"</f>
        <v>1552382691544883</v>
      </c>
      <c r="C4069" t="s">
        <v>40</v>
      </c>
      <c r="D4069">
        <v>3.8785590000000001</v>
      </c>
      <c r="E4069">
        <v>0.59030119999999997</v>
      </c>
      <c r="F4069" t="s">
        <v>43</v>
      </c>
      <c r="G4069">
        <v>-213.34139999999999</v>
      </c>
      <c r="H4069" s="1">
        <v>-4.2356760000000001E-6</v>
      </c>
      <c r="I4069">
        <v>144.16890000000001</v>
      </c>
      <c r="J4069">
        <v>-197.25540000000001</v>
      </c>
      <c r="K4069">
        <v>1.1022299999999901</v>
      </c>
      <c r="L4069">
        <v>149.9521</v>
      </c>
      <c r="M4069">
        <v>-0.59442830000000002</v>
      </c>
      <c r="N4069">
        <v>0</v>
      </c>
      <c r="O4069">
        <v>-0.80400749999999999</v>
      </c>
      <c r="P4069">
        <v>-0.82999529999999999</v>
      </c>
      <c r="Q4069">
        <v>0.15627389999999999</v>
      </c>
      <c r="R4069">
        <v>-0.5354312</v>
      </c>
      <c r="S4069">
        <v>-2.9559479999999998</v>
      </c>
      <c r="T4069">
        <v>-0.2002535</v>
      </c>
      <c r="U4069">
        <v>-1.0932919999999999</v>
      </c>
      <c r="V4069">
        <v>0.35245140000000003</v>
      </c>
      <c r="W4069">
        <v>0.1631029</v>
      </c>
      <c r="X4069">
        <v>0.92150710000000002</v>
      </c>
      <c r="Y4069">
        <v>0.54578950000000004</v>
      </c>
      <c r="Z4069">
        <v>6.2224059999999998E-2</v>
      </c>
      <c r="AA4069">
        <v>0.83560869999999998</v>
      </c>
      <c r="AB4069">
        <v>28</v>
      </c>
      <c r="AC4069">
        <v>-16.085999999999899</v>
      </c>
      <c r="AD4069">
        <v>-1.10223423567599</v>
      </c>
      <c r="AE4069">
        <v>-5.7831999999999901</v>
      </c>
      <c r="AF4069">
        <v>9.45732315393162</v>
      </c>
      <c r="AG4069">
        <v>-1.10223423567599</v>
      </c>
      <c r="AH4069">
        <v>14.1544716214927</v>
      </c>
      <c r="AI4069">
        <v>93.704665453443894</v>
      </c>
      <c r="AJ4069">
        <v>56.251098177233303</v>
      </c>
      <c r="AK4069">
        <v>17.058867149720999</v>
      </c>
      <c r="AL4069">
        <v>80.612953668295106</v>
      </c>
      <c r="AM4069">
        <v>69.069507049014504</v>
      </c>
      <c r="AN4069">
        <v>0.99999994035038797</v>
      </c>
    </row>
    <row r="4070" spans="1:40" x14ac:dyDescent="0.25">
      <c r="A4070" t="str">
        <f>"20190312172451573"</f>
        <v>20190312172451573</v>
      </c>
      <c r="B4070" t="str">
        <f>"1552382691564406"</f>
        <v>1552382691564406</v>
      </c>
      <c r="C4070" t="s">
        <v>40</v>
      </c>
      <c r="D4070">
        <v>3.957592</v>
      </c>
      <c r="E4070">
        <v>0.59038429999999997</v>
      </c>
      <c r="F4070" t="s">
        <v>43</v>
      </c>
      <c r="G4070">
        <v>-213.80869999999999</v>
      </c>
      <c r="H4070" s="1">
        <v>-4.030087E-6</v>
      </c>
      <c r="I4070">
        <v>144.0215</v>
      </c>
      <c r="J4070">
        <v>-197.43440000000001</v>
      </c>
      <c r="K4070">
        <v>1.102204</v>
      </c>
      <c r="L4070">
        <v>149.72980000000001</v>
      </c>
      <c r="M4070">
        <v>-0.60326299999999999</v>
      </c>
      <c r="N4070">
        <v>0</v>
      </c>
      <c r="O4070">
        <v>-0.79739979999999999</v>
      </c>
      <c r="P4070">
        <v>-0.83602860000000001</v>
      </c>
      <c r="Q4070">
        <v>0.15661340000000001</v>
      </c>
      <c r="R4070">
        <v>-0.5258602</v>
      </c>
      <c r="S4070">
        <v>-2.9660950000000001</v>
      </c>
      <c r="T4070">
        <v>-0.1975036</v>
      </c>
      <c r="U4070">
        <v>-1.062683</v>
      </c>
      <c r="V4070">
        <v>0.3528404</v>
      </c>
      <c r="W4070">
        <v>0.16341620000000001</v>
      </c>
      <c r="X4070">
        <v>0.92130270000000003</v>
      </c>
      <c r="Y4070">
        <v>0.54516849999999994</v>
      </c>
      <c r="Z4070">
        <v>6.112625E-2</v>
      </c>
      <c r="AA4070">
        <v>0.83609500000000003</v>
      </c>
      <c r="AB4070">
        <v>28</v>
      </c>
      <c r="AC4070">
        <v>-16.374299999999899</v>
      </c>
      <c r="AD4070">
        <v>-1.1022080300870001</v>
      </c>
      <c r="AE4070">
        <v>-5.7083000000000004</v>
      </c>
      <c r="AF4070">
        <v>9.5756636781037496</v>
      </c>
      <c r="AG4070">
        <v>-1.1022080300870001</v>
      </c>
      <c r="AH4070">
        <v>14.3733772975491</v>
      </c>
      <c r="AI4070">
        <v>93.651575253545204</v>
      </c>
      <c r="AJ4070">
        <v>56.328116865343098</v>
      </c>
      <c r="AK4070">
        <v>17.306131062587198</v>
      </c>
      <c r="AL4070">
        <v>80.594758717905407</v>
      </c>
      <c r="AM4070">
        <v>69.044165341638404</v>
      </c>
      <c r="AN4070">
        <v>0.99999993366094198</v>
      </c>
    </row>
    <row r="4071" spans="1:40" x14ac:dyDescent="0.25">
      <c r="A4071" t="str">
        <f>"20190312172451595"</f>
        <v>20190312172451595</v>
      </c>
      <c r="B4071" t="str">
        <f>"1552382691584432"</f>
        <v>1552382691584432</v>
      </c>
      <c r="C4071" t="s">
        <v>40</v>
      </c>
      <c r="D4071">
        <v>3.9002140000000001</v>
      </c>
      <c r="E4071">
        <v>0.59031699999999998</v>
      </c>
      <c r="F4071" t="s">
        <v>43</v>
      </c>
      <c r="G4071">
        <v>-214.13390000000001</v>
      </c>
      <c r="H4071" s="1">
        <v>-3.8950580000000003E-6</v>
      </c>
      <c r="I4071">
        <v>143.96430000000001</v>
      </c>
      <c r="J4071">
        <v>-197.61160000000001</v>
      </c>
      <c r="K4071">
        <v>1.102176</v>
      </c>
      <c r="L4071">
        <v>149.5145</v>
      </c>
      <c r="M4071">
        <v>-0.61187419999999904</v>
      </c>
      <c r="N4071">
        <v>0</v>
      </c>
      <c r="O4071">
        <v>-0.79081119999999905</v>
      </c>
      <c r="P4071">
        <v>-0.84166600000000003</v>
      </c>
      <c r="Q4071">
        <v>0.15703139999999999</v>
      </c>
      <c r="R4071">
        <v>-0.51666210000000001</v>
      </c>
      <c r="S4071">
        <v>-2.978424</v>
      </c>
      <c r="T4071">
        <v>-0.19658300000000001</v>
      </c>
      <c r="U4071">
        <v>-1.0282899999999999</v>
      </c>
      <c r="V4071">
        <v>0.35291109999999998</v>
      </c>
      <c r="W4071">
        <v>0.16381419999999999</v>
      </c>
      <c r="X4071">
        <v>0.92120500000000005</v>
      </c>
      <c r="Y4071">
        <v>0.54580989999999996</v>
      </c>
      <c r="Z4071">
        <v>6.0603249999999997E-2</v>
      </c>
      <c r="AA4071">
        <v>0.83571459999999997</v>
      </c>
      <c r="AB4071">
        <v>28</v>
      </c>
      <c r="AC4071">
        <v>-16.522300000000001</v>
      </c>
      <c r="AD4071">
        <v>-1.102179895058</v>
      </c>
      <c r="AE4071">
        <v>-5.5501999999999896</v>
      </c>
      <c r="AF4071">
        <v>9.6325776130153606</v>
      </c>
      <c r="AG4071">
        <v>-1.102179895058</v>
      </c>
      <c r="AH4071">
        <v>14.4426265181628</v>
      </c>
      <c r="AI4071">
        <v>93.632773058360499</v>
      </c>
      <c r="AJ4071">
        <v>56.298508838497902</v>
      </c>
      <c r="AK4071">
        <v>17.395137617592301</v>
      </c>
      <c r="AL4071">
        <v>80.571644077884301</v>
      </c>
      <c r="AM4071">
        <v>69.038301205588198</v>
      </c>
      <c r="AN4071">
        <v>0.99999999432492503</v>
      </c>
    </row>
    <row r="4072" spans="1:40" x14ac:dyDescent="0.25">
      <c r="A4072" t="str">
        <f>"20190312172451616"</f>
        <v>20190312172451616</v>
      </c>
      <c r="B4072" t="str">
        <f>"1552382691604928"</f>
        <v>1552382691604928</v>
      </c>
      <c r="C4072" t="s">
        <v>40</v>
      </c>
      <c r="D4072">
        <v>3.848487</v>
      </c>
      <c r="E4072">
        <v>0.58983390000000002</v>
      </c>
      <c r="F4072" t="s">
        <v>43</v>
      </c>
      <c r="G4072">
        <v>-214.29220000000001</v>
      </c>
      <c r="H4072" s="1">
        <v>-3.8331989999999998E-6</v>
      </c>
      <c r="I4072">
        <v>143.9581</v>
      </c>
      <c r="J4072">
        <v>-197.7859</v>
      </c>
      <c r="K4072">
        <v>1.1021479999999999</v>
      </c>
      <c r="L4072">
        <v>149.3075</v>
      </c>
      <c r="M4072">
        <v>-0.62021599999999999</v>
      </c>
      <c r="N4072">
        <v>0</v>
      </c>
      <c r="O4072">
        <v>-0.78428549999999997</v>
      </c>
      <c r="P4072">
        <v>-0.84697630000000002</v>
      </c>
      <c r="Q4072">
        <v>0.1581282</v>
      </c>
      <c r="R4072">
        <v>-0.5075691</v>
      </c>
      <c r="S4072">
        <v>-2.9898380000000002</v>
      </c>
      <c r="T4072">
        <v>-0.19755600000000001</v>
      </c>
      <c r="U4072">
        <v>-0.99592590000000003</v>
      </c>
      <c r="V4072">
        <v>0.35294900000000001</v>
      </c>
      <c r="W4072">
        <v>0.16488800000000001</v>
      </c>
      <c r="X4072">
        <v>0.92099889999999995</v>
      </c>
      <c r="Y4072">
        <v>0.54603250000000003</v>
      </c>
      <c r="Z4072">
        <v>6.0647479999999997E-2</v>
      </c>
      <c r="AA4072">
        <v>0.83556589999999997</v>
      </c>
      <c r="AB4072">
        <v>28</v>
      </c>
      <c r="AC4072">
        <v>-16.5063</v>
      </c>
      <c r="AD4072">
        <v>-1.1021518331989999</v>
      </c>
      <c r="AE4072">
        <v>-5.3494000000000002</v>
      </c>
      <c r="AF4072">
        <v>9.5902740846817895</v>
      </c>
      <c r="AG4072">
        <v>-1.1021518331989999</v>
      </c>
      <c r="AH4072">
        <v>14.376571575483799</v>
      </c>
      <c r="AI4072">
        <v>93.649121863007494</v>
      </c>
      <c r="AJ4072">
        <v>56.293676115634497</v>
      </c>
      <c r="AK4072">
        <v>17.3168676713704</v>
      </c>
      <c r="AL4072">
        <v>80.509271885139896</v>
      </c>
      <c r="AM4072">
        <v>69.031962164899397</v>
      </c>
      <c r="AN4072">
        <v>1.0000000114731</v>
      </c>
    </row>
    <row r="4073" spans="1:40" x14ac:dyDescent="0.25">
      <c r="A4073" t="str">
        <f>"20190312172451642"</f>
        <v>20190312172451642</v>
      </c>
      <c r="B4073" t="str">
        <f>"1552382691634205"</f>
        <v>1552382691634205</v>
      </c>
      <c r="C4073" t="s">
        <v>40</v>
      </c>
      <c r="D4073">
        <v>3.8059419999999999</v>
      </c>
      <c r="E4073">
        <v>0.58920550000000005</v>
      </c>
      <c r="F4073" t="s">
        <v>43</v>
      </c>
      <c r="G4073">
        <v>-214.90029999999999</v>
      </c>
      <c r="H4073" s="1">
        <v>-3.5015549999999999E-6</v>
      </c>
      <c r="I4073">
        <v>143.78960000000001</v>
      </c>
      <c r="J4073">
        <v>-197.99789999999999</v>
      </c>
      <c r="K4073">
        <v>1.1021110000000001</v>
      </c>
      <c r="L4073">
        <v>149.06139999999999</v>
      </c>
      <c r="M4073">
        <v>-0.63020889999999996</v>
      </c>
      <c r="N4073">
        <v>0</v>
      </c>
      <c r="O4073">
        <v>-0.77627849999999998</v>
      </c>
      <c r="P4073">
        <v>-0.85315110000000005</v>
      </c>
      <c r="Q4073">
        <v>0.1590512</v>
      </c>
      <c r="R4073">
        <v>-0.4968262</v>
      </c>
      <c r="S4073">
        <v>-2.9986570000000001</v>
      </c>
      <c r="T4073">
        <v>-0.19311130000000001</v>
      </c>
      <c r="U4073">
        <v>-0.96681209999999995</v>
      </c>
      <c r="V4073">
        <v>0.35269620000000002</v>
      </c>
      <c r="W4073">
        <v>0.16578809999999999</v>
      </c>
      <c r="X4073">
        <v>0.92093409999999998</v>
      </c>
      <c r="Y4073">
        <v>0.54348419999999997</v>
      </c>
      <c r="Z4073">
        <v>5.8927840000000002E-2</v>
      </c>
      <c r="AA4073">
        <v>0.83734850000000005</v>
      </c>
      <c r="AB4073">
        <v>28</v>
      </c>
      <c r="AC4073">
        <v>-16.9024</v>
      </c>
      <c r="AD4073">
        <v>-1.102114501555</v>
      </c>
      <c r="AE4073">
        <v>-5.2717999999999803</v>
      </c>
      <c r="AF4073">
        <v>9.76192913105732</v>
      </c>
      <c r="AG4073">
        <v>-1.102114501555</v>
      </c>
      <c r="AH4073">
        <v>14.689195846933499</v>
      </c>
      <c r="AI4073">
        <v>93.575670921851994</v>
      </c>
      <c r="AJ4073">
        <v>56.3933687251862</v>
      </c>
      <c r="AK4073">
        <v>17.671513556113101</v>
      </c>
      <c r="AL4073">
        <v>80.456979765495106</v>
      </c>
      <c r="AM4073">
        <v>69.044329936108994</v>
      </c>
      <c r="AN4073">
        <v>0.99999996006942904</v>
      </c>
    </row>
    <row r="4074" spans="1:40" x14ac:dyDescent="0.25">
      <c r="A4074" t="str">
        <f>"20190312172451665"</f>
        <v>20190312172451665</v>
      </c>
      <c r="B4074" t="str">
        <f>"1552382691654702"</f>
        <v>1552382691654702</v>
      </c>
      <c r="C4074" t="s">
        <v>40</v>
      </c>
      <c r="D4074">
        <v>3.8438409999999998</v>
      </c>
      <c r="E4074">
        <v>0.5890841</v>
      </c>
      <c r="F4074" t="s">
        <v>43</v>
      </c>
      <c r="G4074">
        <v>-215.24709999999999</v>
      </c>
      <c r="H4074" s="1">
        <v>-3.3162659999999998E-6</v>
      </c>
      <c r="I4074">
        <v>143.70949999999999</v>
      </c>
      <c r="J4074">
        <v>-198.18899999999999</v>
      </c>
      <c r="K4074">
        <v>1.102061</v>
      </c>
      <c r="L4074">
        <v>148.84569999999999</v>
      </c>
      <c r="M4074">
        <v>-0.63906669999999999</v>
      </c>
      <c r="N4074">
        <v>0</v>
      </c>
      <c r="O4074">
        <v>-0.76900269999999904</v>
      </c>
      <c r="P4074">
        <v>-0.85861589999999999</v>
      </c>
      <c r="Q4074">
        <v>0.15932270000000001</v>
      </c>
      <c r="R4074">
        <v>-0.48723230000000001</v>
      </c>
      <c r="S4074">
        <v>-3.008591</v>
      </c>
      <c r="T4074">
        <v>-0.19222990000000001</v>
      </c>
      <c r="U4074">
        <v>-0.93348690000000001</v>
      </c>
      <c r="V4074">
        <v>0.35244520000000001</v>
      </c>
      <c r="W4074">
        <v>0.1660392</v>
      </c>
      <c r="X4074">
        <v>0.92098500000000005</v>
      </c>
      <c r="Y4074">
        <v>0.54313959999999994</v>
      </c>
      <c r="Z4074">
        <v>5.8378449999999998E-2</v>
      </c>
      <c r="AA4074">
        <v>0.83761049999999904</v>
      </c>
      <c r="AB4074">
        <v>28</v>
      </c>
      <c r="AC4074">
        <v>-17.0580999999999</v>
      </c>
      <c r="AD4074">
        <v>-1.102064316266</v>
      </c>
      <c r="AE4074">
        <v>-5.1361999999999997</v>
      </c>
      <c r="AF4074">
        <v>9.7989739155199302</v>
      </c>
      <c r="AG4074">
        <v>-1.102064316266</v>
      </c>
      <c r="AH4074">
        <v>14.7960879375819</v>
      </c>
      <c r="AI4074">
        <v>93.553493217141806</v>
      </c>
      <c r="AJ4074">
        <v>56.484770184995</v>
      </c>
      <c r="AK4074">
        <v>17.780850761729099</v>
      </c>
      <c r="AL4074">
        <v>80.442391002977402</v>
      </c>
      <c r="AM4074">
        <v>69.059006711956499</v>
      </c>
      <c r="AN4074">
        <v>1.0000000025823399</v>
      </c>
    </row>
    <row r="4075" spans="1:40" x14ac:dyDescent="0.25">
      <c r="A4075" t="str">
        <f>"20190312172451685"</f>
        <v>20190312172451685</v>
      </c>
      <c r="B4075" t="str">
        <f>"1552382691674728"</f>
        <v>1552382691674728</v>
      </c>
      <c r="C4075" t="s">
        <v>40</v>
      </c>
      <c r="D4075">
        <v>3.8629009999999999</v>
      </c>
      <c r="E4075">
        <v>0.58878520000000001</v>
      </c>
      <c r="F4075" t="s">
        <v>43</v>
      </c>
      <c r="G4075">
        <v>-215.3708</v>
      </c>
      <c r="H4075" s="1">
        <v>-3.2606230000000002E-6</v>
      </c>
      <c r="I4075">
        <v>143.72</v>
      </c>
      <c r="J4075">
        <v>-198.36089999999999</v>
      </c>
      <c r="K4075">
        <v>1.1020270000000001</v>
      </c>
      <c r="L4075">
        <v>148.6557</v>
      </c>
      <c r="M4075">
        <v>-0.64692190000000005</v>
      </c>
      <c r="N4075">
        <v>0</v>
      </c>
      <c r="O4075">
        <v>-0.76240600000000003</v>
      </c>
      <c r="P4075">
        <v>-0.86330779999999996</v>
      </c>
      <c r="Q4075">
        <v>0.16004009999999999</v>
      </c>
      <c r="R4075">
        <v>-0.47863040000000001</v>
      </c>
      <c r="S4075">
        <v>-3.018875</v>
      </c>
      <c r="T4075">
        <v>-0.19363530000000001</v>
      </c>
      <c r="U4075">
        <v>-0.90060419999999997</v>
      </c>
      <c r="V4075">
        <v>0.35212529999999997</v>
      </c>
      <c r="W4075">
        <v>0.16674259999999999</v>
      </c>
      <c r="X4075">
        <v>0.92098029999999997</v>
      </c>
      <c r="Y4075">
        <v>0.54367369999999904</v>
      </c>
      <c r="Z4075">
        <v>5.8551209999999999E-2</v>
      </c>
      <c r="AA4075">
        <v>0.83725179999999999</v>
      </c>
      <c r="AB4075">
        <v>28</v>
      </c>
      <c r="AC4075">
        <v>-17.009899999999998</v>
      </c>
      <c r="AD4075">
        <v>-1.1020302606229999</v>
      </c>
      <c r="AE4075">
        <v>-4.93569999999999</v>
      </c>
      <c r="AF4075">
        <v>9.7388539453331795</v>
      </c>
      <c r="AG4075">
        <v>-1.1020302606229999</v>
      </c>
      <c r="AH4075">
        <v>14.711820003953401</v>
      </c>
      <c r="AI4075">
        <v>93.574165481441995</v>
      </c>
      <c r="AJ4075">
        <v>56.4964451688247</v>
      </c>
      <c r="AK4075">
        <v>17.6775958402885</v>
      </c>
      <c r="AL4075">
        <v>80.401519537675398</v>
      </c>
      <c r="AM4075">
        <v>69.076270426378898</v>
      </c>
      <c r="AN4075">
        <v>1.00000001727146</v>
      </c>
    </row>
    <row r="4076" spans="1:40" x14ac:dyDescent="0.25">
      <c r="A4076" t="str">
        <f>"20190312172451706"</f>
        <v>20190312172451706</v>
      </c>
      <c r="B4076" t="str">
        <f>"1552382691704985"</f>
        <v>1552382691704985</v>
      </c>
      <c r="C4076" t="s">
        <v>40</v>
      </c>
      <c r="D4076">
        <v>3.804907</v>
      </c>
      <c r="E4076">
        <v>0.58814390000000005</v>
      </c>
      <c r="F4076" t="s">
        <v>43</v>
      </c>
      <c r="G4076">
        <v>-215.71639999999999</v>
      </c>
      <c r="H4076" s="1">
        <v>-3.0803259999999998E-6</v>
      </c>
      <c r="I4076">
        <v>143.65639999999999</v>
      </c>
      <c r="J4076">
        <v>-198.5429</v>
      </c>
      <c r="K4076">
        <v>1.1019939999999999</v>
      </c>
      <c r="L4076">
        <v>148.45910000000001</v>
      </c>
      <c r="M4076">
        <v>-0.65511779999999997</v>
      </c>
      <c r="N4076">
        <v>0</v>
      </c>
      <c r="O4076">
        <v>-0.75537480000000001</v>
      </c>
      <c r="P4076">
        <v>-0.8681738</v>
      </c>
      <c r="Q4076">
        <v>0.16122909999999999</v>
      </c>
      <c r="R4076">
        <v>-0.46933950000000002</v>
      </c>
      <c r="S4076">
        <v>-3.0271910000000002</v>
      </c>
      <c r="T4076">
        <v>-0.19221949999999999</v>
      </c>
      <c r="U4076">
        <v>-0.87199400000000005</v>
      </c>
      <c r="V4076">
        <v>0.35193439999999998</v>
      </c>
      <c r="W4076">
        <v>0.1679128</v>
      </c>
      <c r="X4076">
        <v>0.92084069999999996</v>
      </c>
      <c r="Y4076">
        <v>0.54257709999999904</v>
      </c>
      <c r="Z4076">
        <v>5.781683E-2</v>
      </c>
      <c r="AA4076">
        <v>0.83801389999999998</v>
      </c>
      <c r="AB4076">
        <v>28</v>
      </c>
      <c r="AC4076">
        <v>-17.173499999999901</v>
      </c>
      <c r="AD4076">
        <v>-1.101997080326</v>
      </c>
      <c r="AE4076">
        <v>-4.8027000000000104</v>
      </c>
      <c r="AF4076">
        <v>9.7898363980796592</v>
      </c>
      <c r="AG4076">
        <v>-1.101997080326</v>
      </c>
      <c r="AH4076">
        <v>14.823602135205</v>
      </c>
      <c r="AI4076">
        <v>93.5497039863113</v>
      </c>
      <c r="AJ4076">
        <v>56.5583405478298</v>
      </c>
      <c r="AK4076">
        <v>17.798721148696799</v>
      </c>
      <c r="AL4076">
        <v>80.333513656795304</v>
      </c>
      <c r="AM4076">
        <v>69.083736461199607</v>
      </c>
      <c r="AN4076">
        <v>1.0000000625418399</v>
      </c>
    </row>
    <row r="4077" spans="1:40" x14ac:dyDescent="0.25">
      <c r="A4077" t="str">
        <f>"20190312172451728"</f>
        <v>20190312172451728</v>
      </c>
      <c r="B4077" t="str">
        <f>"1552382691724505"</f>
        <v>1552382691724505</v>
      </c>
      <c r="C4077" t="s">
        <v>40</v>
      </c>
      <c r="D4077">
        <v>3.8544879999999999</v>
      </c>
      <c r="E4077">
        <v>0.58759110000000003</v>
      </c>
      <c r="F4077" t="s">
        <v>43</v>
      </c>
      <c r="G4077">
        <v>-216.13159999999999</v>
      </c>
      <c r="H4077" s="1">
        <v>-2.860392E-6</v>
      </c>
      <c r="I4077">
        <v>143.56739999999999</v>
      </c>
      <c r="J4077">
        <v>-198.73050000000001</v>
      </c>
      <c r="K4077">
        <v>1.1019600000000001</v>
      </c>
      <c r="L4077">
        <v>148.26070000000001</v>
      </c>
      <c r="M4077">
        <v>-0.66345980000000004</v>
      </c>
      <c r="N4077">
        <v>0</v>
      </c>
      <c r="O4077">
        <v>-0.74805840000000001</v>
      </c>
      <c r="P4077">
        <v>-0.87332809999999905</v>
      </c>
      <c r="Q4077">
        <v>0.16208410000000001</v>
      </c>
      <c r="R4077">
        <v>-0.45937640000000002</v>
      </c>
      <c r="S4077">
        <v>-3.0346069999999998</v>
      </c>
      <c r="T4077">
        <v>-0.1901294</v>
      </c>
      <c r="U4077">
        <v>-0.84396360000000004</v>
      </c>
      <c r="V4077">
        <v>0.35216710000000001</v>
      </c>
      <c r="W4077">
        <v>0.16873529999999901</v>
      </c>
      <c r="X4077">
        <v>0.92060129999999996</v>
      </c>
      <c r="Y4077">
        <v>0.54103080000000003</v>
      </c>
      <c r="Z4077">
        <v>5.6866470000000002E-2</v>
      </c>
      <c r="AA4077">
        <v>0.83907799999999999</v>
      </c>
      <c r="AB4077">
        <v>28</v>
      </c>
      <c r="AC4077">
        <v>-17.4010999999999</v>
      </c>
      <c r="AD4077">
        <v>-1.101962860392</v>
      </c>
      <c r="AE4077">
        <v>-4.6933000000000202</v>
      </c>
      <c r="AF4077">
        <v>9.8674724355605505</v>
      </c>
      <c r="AG4077">
        <v>-1.101962860392</v>
      </c>
      <c r="AH4077">
        <v>15.0014412902628</v>
      </c>
      <c r="AI4077">
        <v>93.511889278388196</v>
      </c>
      <c r="AJ4077">
        <v>56.6643491646538</v>
      </c>
      <c r="AK4077">
        <v>17.9895685105962</v>
      </c>
      <c r="AL4077">
        <v>80.285705234022402</v>
      </c>
      <c r="AM4077">
        <v>69.066133036217494</v>
      </c>
      <c r="AN4077">
        <v>1.0000000106750899</v>
      </c>
    </row>
    <row r="4078" spans="1:40" x14ac:dyDescent="0.25">
      <c r="A4078" t="str">
        <f>"20190312172451751"</f>
        <v>20190312172451751</v>
      </c>
      <c r="B4078" t="str">
        <f>"1552382691745001"</f>
        <v>1552382691745001</v>
      </c>
      <c r="C4078" t="s">
        <v>40</v>
      </c>
      <c r="D4078">
        <v>3.7952599999999999</v>
      </c>
      <c r="E4078">
        <v>0.58735159999999997</v>
      </c>
      <c r="F4078" t="s">
        <v>43</v>
      </c>
      <c r="G4078">
        <v>-216.47239999999999</v>
      </c>
      <c r="H4078" s="1">
        <v>-2.6853430000000001E-6</v>
      </c>
      <c r="I4078">
        <v>143.51509999999999</v>
      </c>
      <c r="J4078">
        <v>-198.9342</v>
      </c>
      <c r="K4078">
        <v>1.1019129999999999</v>
      </c>
      <c r="L4078">
        <v>148.0505</v>
      </c>
      <c r="M4078">
        <v>-0.67238920000000002</v>
      </c>
      <c r="N4078">
        <v>0</v>
      </c>
      <c r="O4078">
        <v>-0.74004250000000005</v>
      </c>
      <c r="P4078">
        <v>-0.87872929999999905</v>
      </c>
      <c r="Q4078">
        <v>0.1625289</v>
      </c>
      <c r="R4078">
        <v>-0.44879770000000002</v>
      </c>
      <c r="S4078">
        <v>-3.04216</v>
      </c>
      <c r="T4078">
        <v>-0.1889508</v>
      </c>
      <c r="U4078">
        <v>-0.81372069999999996</v>
      </c>
      <c r="V4078">
        <v>0.35220400000000002</v>
      </c>
      <c r="W4078">
        <v>0.16914889999999999</v>
      </c>
      <c r="X4078">
        <v>0.92051119999999997</v>
      </c>
      <c r="Y4078">
        <v>0.53928599999999904</v>
      </c>
      <c r="Z4078">
        <v>5.6158909999999999E-2</v>
      </c>
      <c r="AA4078">
        <v>0.84024799999999999</v>
      </c>
      <c r="AB4078">
        <v>28</v>
      </c>
      <c r="AC4078">
        <v>-17.5381999999999</v>
      </c>
      <c r="AD4078">
        <v>-1.1019156853430001</v>
      </c>
      <c r="AE4078">
        <v>-4.5354000000000099</v>
      </c>
      <c r="AF4078">
        <v>9.8939920467931692</v>
      </c>
      <c r="AG4078">
        <v>-1.1019156853430001</v>
      </c>
      <c r="AH4078">
        <v>15.094774241984901</v>
      </c>
      <c r="AI4078">
        <v>93.493771629421502</v>
      </c>
      <c r="AJ4078">
        <v>56.756837843305902</v>
      </c>
      <c r="AK4078">
        <v>18.081966326041599</v>
      </c>
      <c r="AL4078">
        <v>80.261661394999294</v>
      </c>
      <c r="AM4078">
        <v>69.062258080930505</v>
      </c>
      <c r="AN4078">
        <v>0.99999993865632297</v>
      </c>
    </row>
    <row r="4079" spans="1:40" x14ac:dyDescent="0.25">
      <c r="A4079" t="str">
        <f>"20190312172451773"</f>
        <v>20190312172451773</v>
      </c>
      <c r="B4079" t="str">
        <f>"1552382691764520"</f>
        <v>1552382691764520</v>
      </c>
      <c r="C4079" t="s">
        <v>40</v>
      </c>
      <c r="D4079">
        <v>3.8307820000000001</v>
      </c>
      <c r="E4079">
        <v>0.57972429999999997</v>
      </c>
      <c r="F4079" t="s">
        <v>43</v>
      </c>
      <c r="G4079">
        <v>-216.8279</v>
      </c>
      <c r="H4079" s="1">
        <v>-2.508361E-6</v>
      </c>
      <c r="I4079">
        <v>143.48150000000001</v>
      </c>
      <c r="J4079">
        <v>-199.13419999999999</v>
      </c>
      <c r="K4079">
        <v>1.101869</v>
      </c>
      <c r="L4079">
        <v>147.84899999999999</v>
      </c>
      <c r="M4079">
        <v>-0.68103959999999997</v>
      </c>
      <c r="N4079">
        <v>0</v>
      </c>
      <c r="O4079">
        <v>-0.7320892</v>
      </c>
      <c r="P4079">
        <v>-0.88371029999999995</v>
      </c>
      <c r="Q4079">
        <v>0.16281499999999999</v>
      </c>
      <c r="R4079">
        <v>-0.43880219999999998</v>
      </c>
      <c r="S4079">
        <v>-3.050888</v>
      </c>
      <c r="T4079">
        <v>-0.18787690000000001</v>
      </c>
      <c r="U4079">
        <v>-0.7790222</v>
      </c>
      <c r="V4079">
        <v>0.35181519999999999</v>
      </c>
      <c r="W4079">
        <v>0.16941210000000001</v>
      </c>
      <c r="X4079">
        <v>0.92061159999999997</v>
      </c>
      <c r="Y4079">
        <v>0.53897810000000002</v>
      </c>
      <c r="Z4079">
        <v>5.5515870000000002E-2</v>
      </c>
      <c r="AA4079">
        <v>0.84048829999999997</v>
      </c>
      <c r="AB4079">
        <v>28</v>
      </c>
      <c r="AC4079">
        <v>-17.6937</v>
      </c>
      <c r="AD4079">
        <v>-1.101871508361</v>
      </c>
      <c r="AE4079">
        <v>-4.3674999999999704</v>
      </c>
      <c r="AF4079">
        <v>9.9437277655813308</v>
      </c>
      <c r="AG4079">
        <v>-1.101871508361</v>
      </c>
      <c r="AH4079">
        <v>15.1937277259807</v>
      </c>
      <c r="AI4079">
        <v>93.472514521543602</v>
      </c>
      <c r="AJ4079">
        <v>56.796749985639003</v>
      </c>
      <c r="AK4079">
        <v>18.191789491640598</v>
      </c>
      <c r="AL4079">
        <v>80.246361477196103</v>
      </c>
      <c r="AM4079">
        <v>69.085454713320402</v>
      </c>
      <c r="AN4079">
        <v>1.0000000563160001</v>
      </c>
    </row>
    <row r="4080" spans="1:40" x14ac:dyDescent="0.25">
      <c r="A4080" t="str">
        <f>"20190312172451795"</f>
        <v>20190312172451795</v>
      </c>
      <c r="B4080" t="str">
        <f>"1552382691784551"</f>
        <v>1552382691784551</v>
      </c>
      <c r="C4080" t="s">
        <v>40</v>
      </c>
      <c r="D4080">
        <v>3.834114</v>
      </c>
      <c r="E4080">
        <v>0.57980669999999901</v>
      </c>
      <c r="F4080" t="s">
        <v>43</v>
      </c>
      <c r="G4080">
        <v>-216.2313</v>
      </c>
      <c r="H4080" s="1">
        <v>-2.7539539999999998E-6</v>
      </c>
      <c r="I4080">
        <v>143.34450000000001</v>
      </c>
      <c r="J4080">
        <v>-199.3263</v>
      </c>
      <c r="K4080">
        <v>1.10182</v>
      </c>
      <c r="L4080">
        <v>147.66</v>
      </c>
      <c r="M4080">
        <v>-0.68924540000000001</v>
      </c>
      <c r="N4080">
        <v>0</v>
      </c>
      <c r="O4080">
        <v>-0.72436859999999903</v>
      </c>
      <c r="P4080">
        <v>-0.88829400000000003</v>
      </c>
      <c r="Q4080">
        <v>0.16321540000000001</v>
      </c>
      <c r="R4080">
        <v>-0.4292956</v>
      </c>
      <c r="S4080">
        <v>-3.0338750000000001</v>
      </c>
      <c r="T4080">
        <v>-0.19552720000000001</v>
      </c>
      <c r="U4080">
        <v>-0.79933169999999898</v>
      </c>
      <c r="V4080">
        <v>0.35129749999999998</v>
      </c>
      <c r="W4080">
        <v>0.169789</v>
      </c>
      <c r="X4080">
        <v>0.9207398</v>
      </c>
      <c r="Y4080">
        <v>0.5228621</v>
      </c>
      <c r="Z4080">
        <v>5.7206920000000001E-2</v>
      </c>
      <c r="AA4080">
        <v>0.85049549999999996</v>
      </c>
      <c r="AB4080">
        <v>28</v>
      </c>
      <c r="AC4080">
        <v>-16.905000000000001</v>
      </c>
      <c r="AD4080">
        <v>-1.101822753954</v>
      </c>
      <c r="AE4080">
        <v>-4.3154999999999797</v>
      </c>
      <c r="AF4080">
        <v>9.2352513491981405</v>
      </c>
      <c r="AG4080">
        <v>-1.101822753954</v>
      </c>
      <c r="AH4080">
        <v>14.7207037629019</v>
      </c>
      <c r="AI4080">
        <v>93.627921363463201</v>
      </c>
      <c r="AJ4080">
        <v>57.897287183311398</v>
      </c>
      <c r="AK4080">
        <v>17.412725235847201</v>
      </c>
      <c r="AL4080">
        <v>80.224448783807404</v>
      </c>
      <c r="AM4080">
        <v>69.116231383928906</v>
      </c>
      <c r="AN4080">
        <v>1.00000000866564</v>
      </c>
    </row>
    <row r="4081" spans="1:40" x14ac:dyDescent="0.25">
      <c r="A4081" t="str">
        <f>"20190312172451817"</f>
        <v>20190312172451817</v>
      </c>
      <c r="B4081" t="str">
        <f>"1552382691814804"</f>
        <v>1552382691814804</v>
      </c>
      <c r="C4081" t="s">
        <v>40</v>
      </c>
      <c r="D4081">
        <v>3.8066019999999998</v>
      </c>
      <c r="E4081">
        <v>0.57856430000000003</v>
      </c>
      <c r="F4081" t="s">
        <v>43</v>
      </c>
      <c r="G4081">
        <v>-216.24039999999999</v>
      </c>
      <c r="H4081" s="1">
        <v>-2.7652740000000001E-6</v>
      </c>
      <c r="I4081">
        <v>143.4032</v>
      </c>
      <c r="J4081">
        <v>-199.52600000000001</v>
      </c>
      <c r="K4081">
        <v>1.101753</v>
      </c>
      <c r="L4081">
        <v>147.46809999999999</v>
      </c>
      <c r="M4081">
        <v>-0.6976791</v>
      </c>
      <c r="N4081">
        <v>0</v>
      </c>
      <c r="O4081">
        <v>-0.71624880000000002</v>
      </c>
      <c r="P4081">
        <v>-0.89331819999999895</v>
      </c>
      <c r="Q4081">
        <v>0.16419879999999901</v>
      </c>
      <c r="R4081">
        <v>-0.41835539999999999</v>
      </c>
      <c r="S4081">
        <v>-3.0435180000000002</v>
      </c>
      <c r="T4081">
        <v>-0.19826199999999999</v>
      </c>
      <c r="U4081">
        <v>-0.76597599999999999</v>
      </c>
      <c r="V4081">
        <v>0.35174529999999998</v>
      </c>
      <c r="W4081">
        <v>0.17071410000000001</v>
      </c>
      <c r="X4081">
        <v>0.92039769999999999</v>
      </c>
      <c r="Y4081">
        <v>0.52225429999999995</v>
      </c>
      <c r="Z4081">
        <v>5.7608079999999999E-2</v>
      </c>
      <c r="AA4081">
        <v>0.85084179999999998</v>
      </c>
      <c r="AB4081">
        <v>28</v>
      </c>
      <c r="AC4081">
        <v>-16.714400000000001</v>
      </c>
      <c r="AD4081">
        <v>-1.101755765274</v>
      </c>
      <c r="AE4081">
        <v>-4.06489999999999</v>
      </c>
      <c r="AF4081">
        <v>9.0994019310049303</v>
      </c>
      <c r="AG4081">
        <v>-1.101755765274</v>
      </c>
      <c r="AH4081">
        <v>14.5149092376508</v>
      </c>
      <c r="AI4081">
        <v>93.679762231084098</v>
      </c>
      <c r="AJ4081">
        <v>57.916385755298201</v>
      </c>
      <c r="AK4081">
        <v>17.166699491909601</v>
      </c>
      <c r="AL4081">
        <v>80.170659007528101</v>
      </c>
      <c r="AM4081">
        <v>69.084811440261205</v>
      </c>
      <c r="AN4081">
        <v>0.99999999308809495</v>
      </c>
    </row>
    <row r="4082" spans="1:40" x14ac:dyDescent="0.25">
      <c r="A4082" t="str">
        <f>"20190312172451840"</f>
        <v>20190312172451840</v>
      </c>
      <c r="B4082" t="str">
        <f>"1552382691834323"</f>
        <v>1552382691834323</v>
      </c>
      <c r="C4082" t="s">
        <v>40</v>
      </c>
      <c r="D4082">
        <v>3.8288700000000002</v>
      </c>
      <c r="E4082">
        <v>0.57826519999999904</v>
      </c>
      <c r="F4082" t="s">
        <v>43</v>
      </c>
      <c r="G4082">
        <v>-216.66659999999999</v>
      </c>
      <c r="H4082" s="1">
        <v>-2.5420890000000001E-6</v>
      </c>
      <c r="I4082">
        <v>143.32159999999999</v>
      </c>
      <c r="J4082">
        <v>-199.73140000000001</v>
      </c>
      <c r="K4082">
        <v>1.10168</v>
      </c>
      <c r="L4082">
        <v>147.27549999999999</v>
      </c>
      <c r="M4082">
        <v>-0.70625380000000004</v>
      </c>
      <c r="N4082">
        <v>0</v>
      </c>
      <c r="O4082">
        <v>-0.70779479999999995</v>
      </c>
      <c r="P4082">
        <v>-0.89878340000000001</v>
      </c>
      <c r="Q4082">
        <v>0.1638616</v>
      </c>
      <c r="R4082">
        <v>-0.4066169</v>
      </c>
      <c r="S4082">
        <v>-3.0489039999999998</v>
      </c>
      <c r="T4082">
        <v>-0.19597629999999999</v>
      </c>
      <c r="U4082">
        <v>-0.73756409999999994</v>
      </c>
      <c r="V4082">
        <v>0.35278939999999998</v>
      </c>
      <c r="W4082">
        <v>0.1703007</v>
      </c>
      <c r="X4082">
        <v>0.92007459999999996</v>
      </c>
      <c r="Y4082">
        <v>0.51988519999999905</v>
      </c>
      <c r="Z4082">
        <v>5.6531980000000003E-2</v>
      </c>
      <c r="AA4082">
        <v>0.85236350000000005</v>
      </c>
      <c r="AB4082">
        <v>28</v>
      </c>
      <c r="AC4082">
        <v>-16.935199999999899</v>
      </c>
      <c r="AD4082">
        <v>-1.101682542089</v>
      </c>
      <c r="AE4082">
        <v>-3.9539</v>
      </c>
      <c r="AF4082">
        <v>9.1585025822871309</v>
      </c>
      <c r="AG4082">
        <v>-1.101682542089</v>
      </c>
      <c r="AH4082">
        <v>14.7018121424139</v>
      </c>
      <c r="AI4082">
        <v>93.639304049406903</v>
      </c>
      <c r="AJ4082">
        <v>58.079133164584498</v>
      </c>
      <c r="AK4082">
        <v>17.3561272824364</v>
      </c>
      <c r="AL4082">
        <v>80.194696951415906</v>
      </c>
      <c r="AM4082">
        <v>69.021395634084399</v>
      </c>
      <c r="AN4082">
        <v>0.99999997936900398</v>
      </c>
    </row>
    <row r="4083" spans="1:40" x14ac:dyDescent="0.25">
      <c r="A4083" t="str">
        <f>"20190312172451875"</f>
        <v>20190312172451875</v>
      </c>
      <c r="B4083" t="str">
        <f>"1552382691864579"</f>
        <v>1552382691864579</v>
      </c>
      <c r="C4083" t="s">
        <v>40</v>
      </c>
      <c r="D4083">
        <v>3.8077899999999998</v>
      </c>
      <c r="E4083">
        <v>0.57745109999999999</v>
      </c>
      <c r="F4083" t="s">
        <v>43</v>
      </c>
      <c r="G4083">
        <v>-216.31319999999999</v>
      </c>
      <c r="H4083" s="1">
        <v>-2.7497359999999998E-6</v>
      </c>
      <c r="I4083">
        <v>143.47409999999999</v>
      </c>
      <c r="J4083">
        <v>-200.0592</v>
      </c>
      <c r="K4083">
        <v>1.1015459999999999</v>
      </c>
      <c r="L4083">
        <v>146.9785</v>
      </c>
      <c r="M4083">
        <v>-0.7197424</v>
      </c>
      <c r="N4083">
        <v>0</v>
      </c>
      <c r="O4083">
        <v>-0.69407359999999996</v>
      </c>
      <c r="P4083">
        <v>-0.90699490000000005</v>
      </c>
      <c r="Q4083">
        <v>0.16369690000000001</v>
      </c>
      <c r="R4083">
        <v>-0.38802569999999997</v>
      </c>
      <c r="S4083">
        <v>-3.0577700000000001</v>
      </c>
      <c r="T4083">
        <v>-0.2031569</v>
      </c>
      <c r="U4083">
        <v>-0.70098879999999997</v>
      </c>
      <c r="V4083">
        <v>0.35410459999999999</v>
      </c>
      <c r="W4083">
        <v>0.17001640000000001</v>
      </c>
      <c r="X4083">
        <v>0.91962189999999999</v>
      </c>
      <c r="Y4083">
        <v>0.51355309999999998</v>
      </c>
      <c r="Z4083">
        <v>5.7766320000000003E-2</v>
      </c>
      <c r="AA4083">
        <v>0.85611109999999901</v>
      </c>
      <c r="AB4083">
        <v>27</v>
      </c>
      <c r="AC4083">
        <v>-16.253999999999898</v>
      </c>
      <c r="AD4083">
        <v>-1.1015487497359999</v>
      </c>
      <c r="AE4083">
        <v>-3.5044</v>
      </c>
      <c r="AF4083">
        <v>8.7219467864681306</v>
      </c>
      <c r="AG4083">
        <v>-1.1015487497359999</v>
      </c>
      <c r="AH4083">
        <v>14.0708934997645</v>
      </c>
      <c r="AI4083">
        <v>93.806816186618704</v>
      </c>
      <c r="AJ4083">
        <v>58.206991281941498</v>
      </c>
      <c r="AK4083">
        <v>16.591437830270799</v>
      </c>
      <c r="AL4083">
        <v>80.211227821688894</v>
      </c>
      <c r="AM4083">
        <v>68.940572275290194</v>
      </c>
      <c r="AN4083">
        <v>1.00000004148486</v>
      </c>
    </row>
    <row r="4084" spans="1:40" x14ac:dyDescent="0.25">
      <c r="A4084" t="str">
        <f>"20190312172451897"</f>
        <v>20190312172451897</v>
      </c>
      <c r="B4084" t="str">
        <f>"1552382691894367"</f>
        <v>1552382691894367</v>
      </c>
      <c r="C4084" t="s">
        <v>40</v>
      </c>
      <c r="D4084">
        <v>3.824579</v>
      </c>
      <c r="E4084">
        <v>0.57161149999999905</v>
      </c>
      <c r="F4084" t="s">
        <v>43</v>
      </c>
      <c r="G4084">
        <v>-216.23509999999999</v>
      </c>
      <c r="H4084" s="1">
        <v>-2.8153770000000002E-6</v>
      </c>
      <c r="I4084">
        <v>143.5822</v>
      </c>
      <c r="J4084">
        <v>-200.2578</v>
      </c>
      <c r="K4084">
        <v>1.1014729999999999</v>
      </c>
      <c r="L4084">
        <v>146.80420000000001</v>
      </c>
      <c r="M4084">
        <v>-0.72778779999999998</v>
      </c>
      <c r="N4084">
        <v>0</v>
      </c>
      <c r="O4084">
        <v>-0.68563209999999997</v>
      </c>
      <c r="P4084">
        <v>-0.91166000000000003</v>
      </c>
      <c r="Q4084">
        <v>0.16355610000000001</v>
      </c>
      <c r="R4084">
        <v>-0.37699529999999998</v>
      </c>
      <c r="S4084">
        <v>-3.0696409999999998</v>
      </c>
      <c r="T4084">
        <v>-0.20903679999999999</v>
      </c>
      <c r="U4084">
        <v>-0.64450069999999904</v>
      </c>
      <c r="V4084">
        <v>0.35458200000000001</v>
      </c>
      <c r="W4084">
        <v>0.1698152</v>
      </c>
      <c r="X4084">
        <v>0.91947509999999999</v>
      </c>
      <c r="Y4084">
        <v>0.51917079999999904</v>
      </c>
      <c r="Z4084">
        <v>5.920251E-2</v>
      </c>
      <c r="AA4084">
        <v>0.85261759999999998</v>
      </c>
      <c r="AB4084">
        <v>27</v>
      </c>
      <c r="AC4084">
        <v>-15.9772999999999</v>
      </c>
      <c r="AD4084">
        <v>-1.1014758153769999</v>
      </c>
      <c r="AE4084">
        <v>-3.222</v>
      </c>
      <c r="AF4084">
        <v>8.5714770276521399</v>
      </c>
      <c r="AG4084">
        <v>-1.1014758153769999</v>
      </c>
      <c r="AH4084">
        <v>13.775892167064599</v>
      </c>
      <c r="AI4084">
        <v>93.883750465001995</v>
      </c>
      <c r="AJ4084">
        <v>58.109775510329399</v>
      </c>
      <c r="AK4084">
        <v>16.262185351484</v>
      </c>
      <c r="AL4084">
        <v>80.222925706586693</v>
      </c>
      <c r="AM4084">
        <v>68.911603091942197</v>
      </c>
      <c r="AN4084">
        <v>1.0000000281975201</v>
      </c>
    </row>
    <row r="4085" spans="1:40" x14ac:dyDescent="0.25">
      <c r="A4085" t="str">
        <f>"20190312172451919"</f>
        <v>20190312172451919</v>
      </c>
      <c r="B4085" t="str">
        <f>"1552382691914863"</f>
        <v>1552382691914863</v>
      </c>
      <c r="C4085" t="s">
        <v>40</v>
      </c>
      <c r="D4085">
        <v>3.8833289999999998</v>
      </c>
      <c r="E4085">
        <v>0.57412549999999996</v>
      </c>
      <c r="F4085" t="s">
        <v>43</v>
      </c>
      <c r="G4085">
        <v>-215.2561</v>
      </c>
      <c r="H4085" s="1">
        <v>-3.2870500000000001E-6</v>
      </c>
      <c r="I4085">
        <v>143.6156</v>
      </c>
      <c r="J4085">
        <v>-200.47149999999999</v>
      </c>
      <c r="K4085">
        <v>1.101397</v>
      </c>
      <c r="L4085">
        <v>146.62110000000001</v>
      </c>
      <c r="M4085">
        <v>-0.73634369999999905</v>
      </c>
      <c r="N4085">
        <v>0</v>
      </c>
      <c r="O4085">
        <v>-0.67643439999999999</v>
      </c>
      <c r="P4085">
        <v>-0.91634170000000004</v>
      </c>
      <c r="Q4085">
        <v>0.16412939999999901</v>
      </c>
      <c r="R4085">
        <v>-0.36521140000000002</v>
      </c>
      <c r="S4085">
        <v>-3.061874</v>
      </c>
      <c r="T4085">
        <v>-0.22486320000000001</v>
      </c>
      <c r="U4085">
        <v>-0.65092469999999902</v>
      </c>
      <c r="V4085">
        <v>0.35486139999999999</v>
      </c>
      <c r="W4085">
        <v>0.17033119999999999</v>
      </c>
      <c r="X4085">
        <v>0.91927179999999997</v>
      </c>
      <c r="Y4085">
        <v>0.50590709999999905</v>
      </c>
      <c r="Z4085">
        <v>6.2872129999999998E-2</v>
      </c>
      <c r="AA4085">
        <v>0.86029359999999999</v>
      </c>
      <c r="AB4085">
        <v>27</v>
      </c>
      <c r="AC4085">
        <v>-14.784599999999999</v>
      </c>
      <c r="AD4085">
        <v>-1.1014002870499999</v>
      </c>
      <c r="AE4085">
        <v>-3.0055000000000098</v>
      </c>
      <c r="AF4085">
        <v>7.74735477370933</v>
      </c>
      <c r="AG4085">
        <v>-1.1014002870499999</v>
      </c>
      <c r="AH4085">
        <v>12.8525878571115</v>
      </c>
      <c r="AI4085">
        <v>94.197546614329696</v>
      </c>
      <c r="AJ4085">
        <v>58.919032796659401</v>
      </c>
      <c r="AK4085">
        <v>15.0473786157856</v>
      </c>
      <c r="AL4085">
        <v>80.192923590894196</v>
      </c>
      <c r="AM4085">
        <v>68.892192010960301</v>
      </c>
      <c r="AN4085">
        <v>0.99999998658931899</v>
      </c>
    </row>
    <row r="4086" spans="1:40" x14ac:dyDescent="0.25">
      <c r="A4086" t="str">
        <f>"20190312172451941"</f>
        <v>20190312172451941</v>
      </c>
      <c r="B4086" t="str">
        <f>"1552382691934383"</f>
        <v>1552382691934383</v>
      </c>
      <c r="C4086" t="s">
        <v>40</v>
      </c>
      <c r="D4086">
        <v>3.8200050000000001</v>
      </c>
      <c r="E4086">
        <v>0.58084550000000001</v>
      </c>
      <c r="F4086" t="s">
        <v>43</v>
      </c>
      <c r="G4086">
        <v>-215.2834</v>
      </c>
      <c r="H4086" s="1">
        <v>-3.3145070000000002E-6</v>
      </c>
      <c r="I4086">
        <v>143.7672</v>
      </c>
      <c r="J4086">
        <v>-200.67760000000001</v>
      </c>
      <c r="K4086">
        <v>1.1013250000000001</v>
      </c>
      <c r="L4086">
        <v>146.44909999999999</v>
      </c>
      <c r="M4086">
        <v>-0.74449350000000003</v>
      </c>
      <c r="N4086">
        <v>0</v>
      </c>
      <c r="O4086">
        <v>-0.66745390000000004</v>
      </c>
      <c r="P4086">
        <v>-0.92070810000000003</v>
      </c>
      <c r="Q4086">
        <v>0.16492309999999999</v>
      </c>
      <c r="R4086">
        <v>-0.35369070000000002</v>
      </c>
      <c r="S4086">
        <v>-3.0784910000000001</v>
      </c>
      <c r="T4086">
        <v>-0.2289149</v>
      </c>
      <c r="U4086">
        <v>-0.59315490000000004</v>
      </c>
      <c r="V4086">
        <v>0.35519669999999998</v>
      </c>
      <c r="W4086">
        <v>0.17106789999999999</v>
      </c>
      <c r="X4086">
        <v>0.91900550000000003</v>
      </c>
      <c r="Y4086">
        <v>0.5118163</v>
      </c>
      <c r="Z4086">
        <v>6.3612290000000002E-2</v>
      </c>
      <c r="AA4086">
        <v>0.85673659999999996</v>
      </c>
      <c r="AB4086">
        <v>27</v>
      </c>
      <c r="AC4086">
        <v>-14.605799999999901</v>
      </c>
      <c r="AD4086">
        <v>-1.1013283145070001</v>
      </c>
      <c r="AE4086">
        <v>-2.6818999999999802</v>
      </c>
      <c r="AF4086">
        <v>7.7105411589554498</v>
      </c>
      <c r="AG4086">
        <v>-1.1013283145070001</v>
      </c>
      <c r="AH4086">
        <v>12.5961722965082</v>
      </c>
      <c r="AI4086">
        <v>94.264740222297405</v>
      </c>
      <c r="AJ4086">
        <v>58.527796293323298</v>
      </c>
      <c r="AK4086">
        <v>14.809757781395399</v>
      </c>
      <c r="AL4086">
        <v>80.150085340927006</v>
      </c>
      <c r="AM4086">
        <v>68.868424654761498</v>
      </c>
      <c r="AN4086">
        <v>1.00000001556577</v>
      </c>
    </row>
    <row r="4087" spans="1:40" x14ac:dyDescent="0.25">
      <c r="A4087" t="str">
        <f>"20190312172451965"</f>
        <v>20190312172451965</v>
      </c>
      <c r="B4087" t="str">
        <f>"1552382691954879"</f>
        <v>1552382691954879</v>
      </c>
      <c r="C4087" t="s">
        <v>40</v>
      </c>
      <c r="D4087">
        <v>3.8199109999999998</v>
      </c>
      <c r="E4087">
        <v>0.58458509999999997</v>
      </c>
      <c r="F4087" t="s">
        <v>43</v>
      </c>
      <c r="G4087">
        <v>-217.01419999999999</v>
      </c>
      <c r="H4087" s="1">
        <v>-2.5037069999999998E-6</v>
      </c>
      <c r="I4087">
        <v>143.79480000000001</v>
      </c>
      <c r="J4087">
        <v>-200.91069999999999</v>
      </c>
      <c r="K4087">
        <v>1.1012379999999999</v>
      </c>
      <c r="L4087">
        <v>146.2603</v>
      </c>
      <c r="M4087">
        <v>-0.75358950000000002</v>
      </c>
      <c r="N4087">
        <v>0</v>
      </c>
      <c r="O4087">
        <v>-0.65716589999999997</v>
      </c>
      <c r="P4087">
        <v>-0.92551930000000004</v>
      </c>
      <c r="Q4087">
        <v>0.16519519999999999</v>
      </c>
      <c r="R4087">
        <v>-0.34077049999999998</v>
      </c>
      <c r="S4087">
        <v>-3.1021730000000001</v>
      </c>
      <c r="T4087">
        <v>-0.20913300000000001</v>
      </c>
      <c r="U4087">
        <v>-0.50402829999999998</v>
      </c>
      <c r="V4087">
        <v>0.35544789999999998</v>
      </c>
      <c r="W4087">
        <v>0.1712822</v>
      </c>
      <c r="X4087">
        <v>0.91886849999999998</v>
      </c>
      <c r="Y4087">
        <v>0.52552010000000005</v>
      </c>
      <c r="Z4087">
        <v>5.7904560000000001E-2</v>
      </c>
      <c r="AA4087">
        <v>0.84880829999999996</v>
      </c>
      <c r="AB4087">
        <v>27</v>
      </c>
      <c r="AC4087">
        <v>-16.103499999999901</v>
      </c>
      <c r="AD4087">
        <v>-1.1012405037070001</v>
      </c>
      <c r="AE4087">
        <v>-2.4654999999999898</v>
      </c>
      <c r="AF4087">
        <v>8.6860350322309294</v>
      </c>
      <c r="AG4087">
        <v>-1.1012405037070001</v>
      </c>
      <c r="AH4087">
        <v>13.6947165120063</v>
      </c>
      <c r="AI4087">
        <v>93.884784530864806</v>
      </c>
      <c r="AJ4087">
        <v>57.614606083058703</v>
      </c>
      <c r="AK4087">
        <v>16.2543900399973</v>
      </c>
      <c r="AL4087">
        <v>80.137623370344798</v>
      </c>
      <c r="AM4087">
        <v>68.851926139775401</v>
      </c>
      <c r="AN4087">
        <v>1.0000000609717401</v>
      </c>
    </row>
    <row r="4088" spans="1:40" x14ac:dyDescent="0.25">
      <c r="A4088" t="str">
        <f>"20190312172451988"</f>
        <v>20190312172451988</v>
      </c>
      <c r="B4088" t="str">
        <f>"1552382691984667"</f>
        <v>1552382691984667</v>
      </c>
      <c r="C4088" t="s">
        <v>40</v>
      </c>
      <c r="D4088">
        <v>3.8376250000000001</v>
      </c>
      <c r="E4088">
        <v>0.58743570000000001</v>
      </c>
      <c r="F4088" t="s">
        <v>43</v>
      </c>
      <c r="G4088">
        <v>-218.18549999999999</v>
      </c>
      <c r="H4088" s="1">
        <v>-1.9686379999999999E-6</v>
      </c>
      <c r="I4088">
        <v>143.86490000000001</v>
      </c>
      <c r="J4088">
        <v>-201.13120000000001</v>
      </c>
      <c r="K4088">
        <v>1.1011649999999999</v>
      </c>
      <c r="L4088">
        <v>146.0866</v>
      </c>
      <c r="M4088">
        <v>-0.76206640000000003</v>
      </c>
      <c r="N4088">
        <v>0</v>
      </c>
      <c r="O4088">
        <v>-0.64731649999999996</v>
      </c>
      <c r="P4088">
        <v>-0.92986769999999996</v>
      </c>
      <c r="Q4088">
        <v>0.16529639999999901</v>
      </c>
      <c r="R4088">
        <v>-0.3286693</v>
      </c>
      <c r="S4088">
        <v>-3.1177220000000001</v>
      </c>
      <c r="T4088">
        <v>-0.19875000000000001</v>
      </c>
      <c r="U4088">
        <v>-0.43232730000000003</v>
      </c>
      <c r="V4088">
        <v>0.35551509999999997</v>
      </c>
      <c r="W4088">
        <v>0.17133660000000001</v>
      </c>
      <c r="X4088">
        <v>0.91883230000000005</v>
      </c>
      <c r="Y4088">
        <v>0.53444209999999903</v>
      </c>
      <c r="Z4088">
        <v>5.4759889999999999E-2</v>
      </c>
      <c r="AA4088">
        <v>0.84342929999999905</v>
      </c>
      <c r="AB4088">
        <v>27</v>
      </c>
      <c r="AC4088">
        <v>-17.054299999999898</v>
      </c>
      <c r="AD4088">
        <v>-1.1011669686379999</v>
      </c>
      <c r="AE4088">
        <v>-2.22169999999999</v>
      </c>
      <c r="AF4088">
        <v>9.3093868876462302</v>
      </c>
      <c r="AG4088">
        <v>-1.1011669686379999</v>
      </c>
      <c r="AH4088">
        <v>14.377416646279899</v>
      </c>
      <c r="AI4088">
        <v>93.678469337604398</v>
      </c>
      <c r="AJ4088">
        <v>57.076916090574898</v>
      </c>
      <c r="AK4088">
        <v>17.163547486968501</v>
      </c>
      <c r="AL4088">
        <v>80.134459166668194</v>
      </c>
      <c r="AM4088">
        <v>68.847521750093605</v>
      </c>
      <c r="AN4088">
        <v>1.0000000061754299</v>
      </c>
    </row>
    <row r="4089" spans="1:40" x14ac:dyDescent="0.25">
      <c r="A4089" t="str">
        <f>"20190312172452010"</f>
        <v>20190312172452010</v>
      </c>
      <c r="B4089" t="str">
        <f>"1552382692004187"</f>
        <v>1552382692004187</v>
      </c>
      <c r="C4089" t="s">
        <v>40</v>
      </c>
      <c r="D4089">
        <v>3.8306520000000002</v>
      </c>
      <c r="E4089">
        <v>0.58831909999999998</v>
      </c>
      <c r="F4089" t="s">
        <v>43</v>
      </c>
      <c r="G4089">
        <v>-219.13929999999999</v>
      </c>
      <c r="H4089" s="1">
        <v>-1.5424850000000001E-6</v>
      </c>
      <c r="I4089">
        <v>143.95779999999999</v>
      </c>
      <c r="J4089">
        <v>-201.3408</v>
      </c>
      <c r="K4089">
        <v>1.1011010000000001</v>
      </c>
      <c r="L4089">
        <v>145.92580000000001</v>
      </c>
      <c r="M4089">
        <v>-0.76999740000000005</v>
      </c>
      <c r="N4089">
        <v>0</v>
      </c>
      <c r="O4089">
        <v>-0.63786129999999996</v>
      </c>
      <c r="P4089">
        <v>-0.93363320000000005</v>
      </c>
      <c r="Q4089">
        <v>0.1655054</v>
      </c>
      <c r="R4089">
        <v>-0.31770559999999998</v>
      </c>
      <c r="S4089">
        <v>-3.1295169999999999</v>
      </c>
      <c r="T4089">
        <v>-0.1913648</v>
      </c>
      <c r="U4089">
        <v>-0.36994929999999998</v>
      </c>
      <c r="V4089">
        <v>0.3549929</v>
      </c>
      <c r="W4089">
        <v>0.1715246</v>
      </c>
      <c r="X4089">
        <v>0.91899909999999996</v>
      </c>
      <c r="Y4089">
        <v>0.54114030000000002</v>
      </c>
      <c r="Z4089">
        <v>5.2434790000000002E-2</v>
      </c>
      <c r="AA4089">
        <v>0.83929599999999904</v>
      </c>
      <c r="AB4089">
        <v>27</v>
      </c>
      <c r="AC4089">
        <v>-17.798499999999901</v>
      </c>
      <c r="AD4089">
        <v>-1.1011025424850001</v>
      </c>
      <c r="AE4089">
        <v>-1.96800000000001</v>
      </c>
      <c r="AF4089">
        <v>9.8017245518551803</v>
      </c>
      <c r="AG4089">
        <v>-1.1011025424850001</v>
      </c>
      <c r="AH4089">
        <v>14.905524215437801</v>
      </c>
      <c r="AI4089">
        <v>93.531967061062204</v>
      </c>
      <c r="AJ4089">
        <v>56.671477796103602</v>
      </c>
      <c r="AK4089">
        <v>17.873468693471601</v>
      </c>
      <c r="AL4089">
        <v>80.123525608110597</v>
      </c>
      <c r="AM4089">
        <v>68.879345981984898</v>
      </c>
      <c r="AN4089">
        <v>0.99999999662818895</v>
      </c>
    </row>
    <row r="4090" spans="1:40" x14ac:dyDescent="0.25">
      <c r="A4090" t="str">
        <f>"20190312172452031"</f>
        <v>20190312172452031</v>
      </c>
      <c r="B4090" t="str">
        <f>"1552382692024683"</f>
        <v>1552382692024683</v>
      </c>
      <c r="C4090" t="s">
        <v>40</v>
      </c>
      <c r="D4090">
        <v>3.7912469999999998</v>
      </c>
      <c r="E4090">
        <v>0.58869839999999996</v>
      </c>
      <c r="F4090" t="s">
        <v>43</v>
      </c>
      <c r="G4090">
        <v>-219.6737</v>
      </c>
      <c r="H4090" s="1">
        <v>-1.305629E-6</v>
      </c>
      <c r="I4090">
        <v>144.017</v>
      </c>
      <c r="J4090">
        <v>-201.56190000000001</v>
      </c>
      <c r="K4090">
        <v>1.1010359999999999</v>
      </c>
      <c r="L4090">
        <v>145.76070000000001</v>
      </c>
      <c r="M4090">
        <v>-0.77822999999999998</v>
      </c>
      <c r="N4090">
        <v>0</v>
      </c>
      <c r="O4090">
        <v>-0.62779030000000002</v>
      </c>
      <c r="P4090">
        <v>-0.93763660000000004</v>
      </c>
      <c r="Q4090">
        <v>0.165358</v>
      </c>
      <c r="R4090">
        <v>-0.30576890000000001</v>
      </c>
      <c r="S4090">
        <v>-3.1355439999999999</v>
      </c>
      <c r="T4090">
        <v>-0.18832489999999999</v>
      </c>
      <c r="U4090">
        <v>-0.32646180000000002</v>
      </c>
      <c r="V4090">
        <v>0.3547998</v>
      </c>
      <c r="W4090">
        <v>0.17135120000000001</v>
      </c>
      <c r="X4090">
        <v>0.91910599999999998</v>
      </c>
      <c r="Y4090">
        <v>0.54197510000000004</v>
      </c>
      <c r="Z4090">
        <v>5.1153190000000001E-2</v>
      </c>
      <c r="AA4090">
        <v>0.83883629999999998</v>
      </c>
      <c r="AB4090">
        <v>27</v>
      </c>
      <c r="AC4090">
        <v>-18.111799999999899</v>
      </c>
      <c r="AD4090">
        <v>-1.1010373056289999</v>
      </c>
      <c r="AE4090">
        <v>-1.74370000000001</v>
      </c>
      <c r="AF4090">
        <v>9.9780655923119195</v>
      </c>
      <c r="AG4090">
        <v>-1.1010373056289999</v>
      </c>
      <c r="AH4090">
        <v>15.1362043370825</v>
      </c>
      <c r="AI4090">
        <v>93.475472456930703</v>
      </c>
      <c r="AJ4090">
        <v>56.606391086370301</v>
      </c>
      <c r="AK4090">
        <v>18.162564737579899</v>
      </c>
      <c r="AL4090">
        <v>80.1336098858133</v>
      </c>
      <c r="AM4090">
        <v>68.892061646672005</v>
      </c>
      <c r="AN4090">
        <v>0.99999998552873903</v>
      </c>
    </row>
    <row r="4091" spans="1:40" x14ac:dyDescent="0.25">
      <c r="A4091" t="str">
        <f>"20190312172452053"</f>
        <v>20190312172452053</v>
      </c>
      <c r="B4091" t="str">
        <f>"1552382692044203"</f>
        <v>1552382692044203</v>
      </c>
      <c r="C4091" t="s">
        <v>40</v>
      </c>
      <c r="D4091">
        <v>3.797345</v>
      </c>
      <c r="E4091">
        <v>0.58866099999999999</v>
      </c>
      <c r="F4091" t="s">
        <v>43</v>
      </c>
      <c r="G4091">
        <v>-220.12520000000001</v>
      </c>
      <c r="H4091" s="1">
        <v>-5.0257769999999998E-6</v>
      </c>
      <c r="I4091">
        <v>144.08320000000001</v>
      </c>
      <c r="J4091">
        <v>-201.78620000000001</v>
      </c>
      <c r="K4091">
        <v>1.100983</v>
      </c>
      <c r="L4091">
        <v>145.59780000000001</v>
      </c>
      <c r="M4091">
        <v>-0.78643599999999902</v>
      </c>
      <c r="N4091">
        <v>0</v>
      </c>
      <c r="O4091">
        <v>-0.61747890000000005</v>
      </c>
      <c r="P4091">
        <v>-0.94155160000000004</v>
      </c>
      <c r="Q4091">
        <v>0.16516589999999901</v>
      </c>
      <c r="R4091">
        <v>-0.29360019999999998</v>
      </c>
      <c r="S4091">
        <v>-3.1398320000000002</v>
      </c>
      <c r="T4091">
        <v>-0.1862328</v>
      </c>
      <c r="U4091">
        <v>-0.28373720000000002</v>
      </c>
      <c r="V4091">
        <v>0.354628</v>
      </c>
      <c r="W4091">
        <v>0.1711365</v>
      </c>
      <c r="X4091">
        <v>0.91921229999999998</v>
      </c>
      <c r="Y4091">
        <v>0.54239209999999904</v>
      </c>
      <c r="Z4091">
        <v>5.0131059999999998E-2</v>
      </c>
      <c r="AA4091">
        <v>0.8386285</v>
      </c>
      <c r="AB4091">
        <v>27</v>
      </c>
      <c r="AC4091">
        <v>-18.338999999999999</v>
      </c>
      <c r="AD4091">
        <v>-1.1009880257769999</v>
      </c>
      <c r="AE4091">
        <v>-1.5145999999999999</v>
      </c>
      <c r="AF4091">
        <v>10.0978681577984</v>
      </c>
      <c r="AG4091">
        <v>-1.1009880257769999</v>
      </c>
      <c r="AH4091">
        <v>15.3047247546875</v>
      </c>
      <c r="AI4091">
        <v>93.436245959782497</v>
      </c>
      <c r="AJ4091">
        <v>56.583665257786201</v>
      </c>
      <c r="AK4091">
        <v>18.368824561793001</v>
      </c>
      <c r="AL4091">
        <v>80.146095729336906</v>
      </c>
      <c r="AM4091">
        <v>68.903608311450995</v>
      </c>
      <c r="AN4091">
        <v>0.99999998624376896</v>
      </c>
    </row>
    <row r="4092" spans="1:40" x14ac:dyDescent="0.25">
      <c r="A4092" t="str">
        <f>"20190312172452077"</f>
        <v>20190312172452077</v>
      </c>
      <c r="B4092" t="str">
        <f>"1552382692074966"</f>
        <v>1552382692074966</v>
      </c>
      <c r="C4092" t="s">
        <v>40</v>
      </c>
      <c r="D4092">
        <v>3.7960039999999999</v>
      </c>
      <c r="E4092">
        <v>0.58811440000000004</v>
      </c>
      <c r="F4092" t="s">
        <v>43</v>
      </c>
      <c r="G4092">
        <v>-220.70519999999999</v>
      </c>
      <c r="H4092" s="1">
        <v>-4.8372609999999901E-6</v>
      </c>
      <c r="I4092">
        <v>144.13319999999999</v>
      </c>
      <c r="J4092">
        <v>-202.0196</v>
      </c>
      <c r="K4092">
        <v>1.10093</v>
      </c>
      <c r="L4092">
        <v>145.4331</v>
      </c>
      <c r="M4092">
        <v>-0.79481389999999996</v>
      </c>
      <c r="N4092">
        <v>0</v>
      </c>
      <c r="O4092">
        <v>-0.60665669999999905</v>
      </c>
      <c r="P4092">
        <v>-0.94525320000000002</v>
      </c>
      <c r="Q4092">
        <v>0.1654794</v>
      </c>
      <c r="R4092">
        <v>-0.28127099999999999</v>
      </c>
      <c r="S4092">
        <v>-3.1424560000000001</v>
      </c>
      <c r="T4092">
        <v>-0.18287529999999999</v>
      </c>
      <c r="U4092">
        <v>-0.24327090000000001</v>
      </c>
      <c r="V4092">
        <v>0.35405239999999999</v>
      </c>
      <c r="W4092">
        <v>0.17144139999999999</v>
      </c>
      <c r="X4092">
        <v>0.91937729999999995</v>
      </c>
      <c r="Y4092">
        <v>0.54177240000000004</v>
      </c>
      <c r="Z4092">
        <v>4.8738650000000001E-2</v>
      </c>
      <c r="AA4092">
        <v>0.83911089999999999</v>
      </c>
      <c r="AB4092">
        <v>27</v>
      </c>
      <c r="AC4092">
        <v>-18.685599999999901</v>
      </c>
      <c r="AD4092">
        <v>-1.1009348372609999</v>
      </c>
      <c r="AE4092">
        <v>-1.2999000000000001</v>
      </c>
      <c r="AF4092">
        <v>10.2683205750889</v>
      </c>
      <c r="AG4092">
        <v>-1.1009348372609999</v>
      </c>
      <c r="AH4092">
        <v>15.5881804337604</v>
      </c>
      <c r="AI4092">
        <v>93.375388684402097</v>
      </c>
      <c r="AJ4092">
        <v>56.626113952300003</v>
      </c>
      <c r="AK4092">
        <v>18.698712099611502</v>
      </c>
      <c r="AL4092">
        <v>80.128363704159696</v>
      </c>
      <c r="AM4092">
        <v>68.938293682666298</v>
      </c>
      <c r="AN4092">
        <v>0.99999993766750295</v>
      </c>
    </row>
    <row r="4093" spans="1:40" x14ac:dyDescent="0.25">
      <c r="A4093" t="str">
        <f>"20190312172452099"</f>
        <v>20190312172452099</v>
      </c>
      <c r="B4093" t="str">
        <f>"1552382692094486"</f>
        <v>1552382692094486</v>
      </c>
      <c r="C4093" t="s">
        <v>40</v>
      </c>
      <c r="D4093">
        <v>3.7840039999999999</v>
      </c>
      <c r="E4093">
        <v>0.58773609999999998</v>
      </c>
      <c r="F4093" t="s">
        <v>43</v>
      </c>
      <c r="G4093">
        <v>-221.66370000000001</v>
      </c>
      <c r="H4093" s="1">
        <v>-4.5131540000000003E-6</v>
      </c>
      <c r="I4093">
        <v>144.14490000000001</v>
      </c>
      <c r="J4093">
        <v>-202.2431</v>
      </c>
      <c r="K4093">
        <v>1.1008929999999999</v>
      </c>
      <c r="L4093">
        <v>145.28</v>
      </c>
      <c r="M4093">
        <v>-0.80267980000000005</v>
      </c>
      <c r="N4093">
        <v>0</v>
      </c>
      <c r="O4093">
        <v>-0.59620949999999995</v>
      </c>
      <c r="P4093">
        <v>-0.94842179999999998</v>
      </c>
      <c r="Q4093">
        <v>0.16587109999999999</v>
      </c>
      <c r="R4093">
        <v>-0.27015299999999998</v>
      </c>
      <c r="S4093">
        <v>-3.143265</v>
      </c>
      <c r="T4093">
        <v>-0.1761614</v>
      </c>
      <c r="U4093">
        <v>-0.20613100000000001</v>
      </c>
      <c r="V4093">
        <v>0.3528057</v>
      </c>
      <c r="W4093">
        <v>0.17184959999999999</v>
      </c>
      <c r="X4093">
        <v>0.91978040000000005</v>
      </c>
      <c r="Y4093">
        <v>0.54081279999999998</v>
      </c>
      <c r="Z4093">
        <v>4.6497789999999997E-2</v>
      </c>
      <c r="AA4093">
        <v>0.83985679999999996</v>
      </c>
      <c r="AB4093">
        <v>27</v>
      </c>
      <c r="AC4093">
        <v>-19.4206</v>
      </c>
      <c r="AD4093">
        <v>-1.100897513154</v>
      </c>
      <c r="AE4093">
        <v>-1.13509999999999</v>
      </c>
      <c r="AF4093">
        <v>10.634843414050099</v>
      </c>
      <c r="AG4093">
        <v>-1.100897513154</v>
      </c>
      <c r="AH4093">
        <v>16.215298509257899</v>
      </c>
      <c r="AI4093">
        <v>93.249293898536493</v>
      </c>
      <c r="AJ4093">
        <v>56.741035759009698</v>
      </c>
      <c r="AK4093">
        <v>19.422867335184499</v>
      </c>
      <c r="AL4093">
        <v>80.104624506312206</v>
      </c>
      <c r="AM4093">
        <v>69.014384391038803</v>
      </c>
      <c r="AN4093">
        <v>1.0000000655984</v>
      </c>
    </row>
    <row r="4094" spans="1:40" x14ac:dyDescent="0.25">
      <c r="A4094" t="str">
        <f>"20190312172452119"</f>
        <v>20190312172452119</v>
      </c>
      <c r="B4094" t="str">
        <f>"1552382692114005"</f>
        <v>1552382692114005</v>
      </c>
      <c r="C4094" t="s">
        <v>40</v>
      </c>
      <c r="D4094">
        <v>3.8486189999999998</v>
      </c>
      <c r="E4094">
        <v>0.58731949999999999</v>
      </c>
      <c r="F4094" t="s">
        <v>43</v>
      </c>
      <c r="G4094">
        <v>-222.27010000000001</v>
      </c>
      <c r="H4094" s="1">
        <v>-4.3139390000000003E-6</v>
      </c>
      <c r="I4094">
        <v>144.18520000000001</v>
      </c>
      <c r="J4094">
        <v>-202.4545</v>
      </c>
      <c r="K4094">
        <v>1.1008610000000001</v>
      </c>
      <c r="L4094">
        <v>145.13919999999999</v>
      </c>
      <c r="M4094">
        <v>-0.80997659999999905</v>
      </c>
      <c r="N4094">
        <v>0</v>
      </c>
      <c r="O4094">
        <v>-0.5862579</v>
      </c>
      <c r="P4094">
        <v>-0.95124070000000005</v>
      </c>
      <c r="Q4094">
        <v>0.16641919999999999</v>
      </c>
      <c r="R4094">
        <v>-0.259704299999999</v>
      </c>
      <c r="S4094">
        <v>-3.1443940000000001</v>
      </c>
      <c r="T4094">
        <v>-0.17284929999999901</v>
      </c>
      <c r="U4094">
        <v>-0.171890299999999</v>
      </c>
      <c r="V4094">
        <v>0.35154020000000002</v>
      </c>
      <c r="W4094">
        <v>0.17241890000000001</v>
      </c>
      <c r="X4094">
        <v>0.92015829999999998</v>
      </c>
      <c r="Y4094">
        <v>0.53964789999999996</v>
      </c>
      <c r="Z4094">
        <v>4.5176979999999999E-2</v>
      </c>
      <c r="AA4094">
        <v>0.84067789999999998</v>
      </c>
      <c r="AB4094">
        <v>27</v>
      </c>
      <c r="AC4094">
        <v>-19.8156</v>
      </c>
      <c r="AD4094">
        <v>-1.1008653139389999</v>
      </c>
      <c r="AE4094">
        <v>-0.95399999999997898</v>
      </c>
      <c r="AF4094">
        <v>10.812339488907099</v>
      </c>
      <c r="AG4094">
        <v>-1.1008653139389999</v>
      </c>
      <c r="AH4094">
        <v>16.560458170898201</v>
      </c>
      <c r="AI4094">
        <v>93.185915134308303</v>
      </c>
      <c r="AJ4094">
        <v>56.859440664587197</v>
      </c>
      <c r="AK4094">
        <v>19.808265055094601</v>
      </c>
      <c r="AL4094">
        <v>80.071511538505206</v>
      </c>
      <c r="AM4094">
        <v>69.090984319687905</v>
      </c>
      <c r="AN4094">
        <v>1.0000000431760601</v>
      </c>
    </row>
    <row r="4095" spans="1:40" x14ac:dyDescent="0.25">
      <c r="A4095" t="str">
        <f>"20190312172452143"</f>
        <v>20190312172452143</v>
      </c>
      <c r="B4095" t="str">
        <f>"1552382692134505"</f>
        <v>1552382692134505</v>
      </c>
      <c r="C4095" t="s">
        <v>40</v>
      </c>
      <c r="D4095">
        <v>3.8214809999999999</v>
      </c>
      <c r="E4095">
        <v>0.58685419999999999</v>
      </c>
      <c r="F4095" t="s">
        <v>43</v>
      </c>
      <c r="G4095">
        <v>-222.7242</v>
      </c>
      <c r="H4095" s="1">
        <v>-4.1675359999999996E-6</v>
      </c>
      <c r="I4095">
        <v>144.23089999999999</v>
      </c>
      <c r="J4095">
        <v>-202.69550000000001</v>
      </c>
      <c r="K4095">
        <v>1.1008340000000001</v>
      </c>
      <c r="L4095">
        <v>144.98339999999999</v>
      </c>
      <c r="M4095">
        <v>-0.8181138</v>
      </c>
      <c r="N4095">
        <v>0</v>
      </c>
      <c r="O4095">
        <v>-0.57484729999999995</v>
      </c>
      <c r="P4095">
        <v>-0.9544899</v>
      </c>
      <c r="Q4095">
        <v>0.1664349</v>
      </c>
      <c r="R4095">
        <v>-0.2474846</v>
      </c>
      <c r="S4095">
        <v>-3.1451720000000001</v>
      </c>
      <c r="T4095">
        <v>-0.17081769999999999</v>
      </c>
      <c r="U4095">
        <v>-0.14093020000000001</v>
      </c>
      <c r="V4095">
        <v>0.35045219999999999</v>
      </c>
      <c r="W4095">
        <v>0.17245460000000001</v>
      </c>
      <c r="X4095">
        <v>0.92056649999999995</v>
      </c>
      <c r="Y4095">
        <v>0.53617479999999995</v>
      </c>
      <c r="Z4095">
        <v>4.4069249999999997E-2</v>
      </c>
      <c r="AA4095">
        <v>0.84295580000000003</v>
      </c>
      <c r="AB4095">
        <v>27</v>
      </c>
      <c r="AC4095">
        <v>-20.028699999999901</v>
      </c>
      <c r="AD4095">
        <v>-1.1008381675359999</v>
      </c>
      <c r="AE4095">
        <v>-0.75249999999999695</v>
      </c>
      <c r="AF4095">
        <v>10.8663433436194</v>
      </c>
      <c r="AG4095">
        <v>-1.1008381675359999</v>
      </c>
      <c r="AH4095">
        <v>16.769761364474299</v>
      </c>
      <c r="AI4095">
        <v>93.153235642130795</v>
      </c>
      <c r="AJ4095">
        <v>57.057874274595697</v>
      </c>
      <c r="AK4095">
        <v>20.012849835891501</v>
      </c>
      <c r="AL4095">
        <v>80.069434613013101</v>
      </c>
      <c r="AM4095">
        <v>69.158576673787195</v>
      </c>
      <c r="AN4095">
        <v>1.00000000723412</v>
      </c>
    </row>
    <row r="4096" spans="1:40" x14ac:dyDescent="0.25">
      <c r="A4096" t="str">
        <f>"20190312172452164"</f>
        <v>20190312172452164</v>
      </c>
      <c r="B4096" t="str">
        <f>"1552382692154031"</f>
        <v>1552382692154031</v>
      </c>
      <c r="C4096" t="s">
        <v>40</v>
      </c>
      <c r="D4096">
        <v>3.8067630000000001</v>
      </c>
      <c r="E4096">
        <v>0.58622649999999998</v>
      </c>
      <c r="F4096" t="s">
        <v>43</v>
      </c>
      <c r="G4096">
        <v>-223.06950000000001</v>
      </c>
      <c r="H4096" s="1">
        <v>-4.0638209999999999E-6</v>
      </c>
      <c r="I4096">
        <v>144.30879999999999</v>
      </c>
      <c r="J4096">
        <v>-202.9205</v>
      </c>
      <c r="K4096">
        <v>1.1008249999999999</v>
      </c>
      <c r="L4096">
        <v>144.8424</v>
      </c>
      <c r="M4096">
        <v>-0.82553549999999998</v>
      </c>
      <c r="N4096">
        <v>0</v>
      </c>
      <c r="O4096">
        <v>-0.564137</v>
      </c>
      <c r="P4096">
        <v>-0.95723480000000005</v>
      </c>
      <c r="Q4096">
        <v>0.1668365</v>
      </c>
      <c r="R4096">
        <v>-0.23636280000000001</v>
      </c>
      <c r="S4096">
        <v>-3.1456759999999999</v>
      </c>
      <c r="T4096">
        <v>-0.16996549999999999</v>
      </c>
      <c r="U4096">
        <v>-0.1041565</v>
      </c>
      <c r="V4096">
        <v>0.34914070000000003</v>
      </c>
      <c r="W4096">
        <v>0.1728895</v>
      </c>
      <c r="X4096">
        <v>0.92098310000000005</v>
      </c>
      <c r="Y4096">
        <v>0.53505740000000002</v>
      </c>
      <c r="Z4096">
        <v>4.3369449999999997E-2</v>
      </c>
      <c r="AA4096">
        <v>0.8437017</v>
      </c>
      <c r="AB4096">
        <v>27</v>
      </c>
      <c r="AC4096">
        <v>-20.149000000000001</v>
      </c>
      <c r="AD4096">
        <v>-1.1008290638210001</v>
      </c>
      <c r="AE4096">
        <v>-0.53360000000000696</v>
      </c>
      <c r="AF4096">
        <v>10.8951070128086</v>
      </c>
      <c r="AG4096">
        <v>-1.1008290638210001</v>
      </c>
      <c r="AH4096">
        <v>16.886406512695999</v>
      </c>
      <c r="AI4096">
        <v>93.135425286655007</v>
      </c>
      <c r="AJ4096">
        <v>57.169898095090097</v>
      </c>
      <c r="AK4096">
        <v>20.126249187574199</v>
      </c>
      <c r="AL4096">
        <v>80.044136001955493</v>
      </c>
      <c r="AM4096">
        <v>69.238499251545704</v>
      </c>
      <c r="AN4096">
        <v>0.99999993904617301</v>
      </c>
    </row>
    <row r="4097" spans="1:40" x14ac:dyDescent="0.25">
      <c r="A4097" t="str">
        <f>"20190312172452186"</f>
        <v>20190312172452186</v>
      </c>
      <c r="B4097" t="str">
        <f>"1552382692184565"</f>
        <v>1552382692184565</v>
      </c>
      <c r="C4097" t="s">
        <v>40</v>
      </c>
      <c r="D4097">
        <v>3.8105220000000002</v>
      </c>
      <c r="E4097">
        <v>0.58532329999999999</v>
      </c>
      <c r="F4097" t="s">
        <v>43</v>
      </c>
      <c r="G4097">
        <v>-223.57650000000001</v>
      </c>
      <c r="H4097" s="1">
        <v>-3.9021840000000001E-6</v>
      </c>
      <c r="I4097">
        <v>144.37010000000001</v>
      </c>
      <c r="J4097">
        <v>-203.14859999999999</v>
      </c>
      <c r="K4097">
        <v>1.100822</v>
      </c>
      <c r="L4097">
        <v>144.7037</v>
      </c>
      <c r="M4097">
        <v>-0.83287949999999999</v>
      </c>
      <c r="N4097">
        <v>0</v>
      </c>
      <c r="O4097">
        <v>-0.55323669999999903</v>
      </c>
      <c r="P4097">
        <v>-0.95981110000000003</v>
      </c>
      <c r="Q4097">
        <v>0.167048799999999</v>
      </c>
      <c r="R4097">
        <v>-0.2255161</v>
      </c>
      <c r="S4097">
        <v>-3.1454930000000001</v>
      </c>
      <c r="T4097">
        <v>-0.16763459999999999</v>
      </c>
      <c r="U4097">
        <v>-7.191467E-2</v>
      </c>
      <c r="V4097">
        <v>0.34743930000000001</v>
      </c>
      <c r="W4097">
        <v>0.17315440000000001</v>
      </c>
      <c r="X4097">
        <v>0.92157659999999997</v>
      </c>
      <c r="Y4097">
        <v>0.53265569999999995</v>
      </c>
      <c r="Z4097">
        <v>4.2255260000000003E-2</v>
      </c>
      <c r="AA4097">
        <v>0.84527649999999999</v>
      </c>
      <c r="AB4097">
        <v>27</v>
      </c>
      <c r="AC4097">
        <v>-20.427900000000001</v>
      </c>
      <c r="AD4097">
        <v>-1.1008259021839999</v>
      </c>
      <c r="AE4097">
        <v>-0.33359999999998902</v>
      </c>
      <c r="AF4097">
        <v>10.9930286288779</v>
      </c>
      <c r="AG4097">
        <v>-1.1008259021839999</v>
      </c>
      <c r="AH4097">
        <v>17.1508188512842</v>
      </c>
      <c r="AI4097">
        <v>93.093117843437298</v>
      </c>
      <c r="AJ4097">
        <v>57.341658783123698</v>
      </c>
      <c r="AK4097">
        <v>20.4012029883488</v>
      </c>
      <c r="AL4097">
        <v>80.028726261200504</v>
      </c>
      <c r="AM4097">
        <v>69.343289149246502</v>
      </c>
      <c r="AN4097">
        <v>0.99999997154570397</v>
      </c>
    </row>
    <row r="4098" spans="1:40" x14ac:dyDescent="0.25">
      <c r="A4098" t="str">
        <f>"20190312172452209"</f>
        <v>20190312172452209</v>
      </c>
      <c r="B4098" t="str">
        <f>"1552382692204085"</f>
        <v>1552382692204085</v>
      </c>
      <c r="C4098" t="s">
        <v>40</v>
      </c>
      <c r="D4098">
        <v>3.7979880000000001</v>
      </c>
      <c r="E4098">
        <v>0.57422269999999997</v>
      </c>
      <c r="F4098" t="s">
        <v>43</v>
      </c>
      <c r="G4098">
        <v>-224.00540000000001</v>
      </c>
      <c r="H4098" s="1">
        <v>-3.7655639999999998E-6</v>
      </c>
      <c r="I4098">
        <v>144.4229</v>
      </c>
      <c r="J4098">
        <v>-203.38919999999999</v>
      </c>
      <c r="K4098">
        <v>1.1008260000000001</v>
      </c>
      <c r="L4098">
        <v>144.5617</v>
      </c>
      <c r="M4098">
        <v>-0.84042669999999997</v>
      </c>
      <c r="N4098">
        <v>0</v>
      </c>
      <c r="O4098">
        <v>-0.54170260000000003</v>
      </c>
      <c r="P4098">
        <v>-0.96230020000000005</v>
      </c>
      <c r="Q4098">
        <v>0.16779369999999999</v>
      </c>
      <c r="R4098">
        <v>-0.21406510000000001</v>
      </c>
      <c r="S4098">
        <v>-3.144577</v>
      </c>
      <c r="T4098">
        <v>-0.16597139999999999</v>
      </c>
      <c r="U4098">
        <v>-4.2327879999999998E-2</v>
      </c>
      <c r="V4098">
        <v>0.34565610000000002</v>
      </c>
      <c r="W4098">
        <v>0.1739598</v>
      </c>
      <c r="X4098">
        <v>0.92209540000000001</v>
      </c>
      <c r="Y4098">
        <v>0.52898400000000001</v>
      </c>
      <c r="Z4098">
        <v>4.1258620000000003E-2</v>
      </c>
      <c r="AA4098">
        <v>0.8476283</v>
      </c>
      <c r="AB4098">
        <v>27</v>
      </c>
      <c r="AC4098">
        <v>-20.616199999999999</v>
      </c>
      <c r="AD4098">
        <v>-1.100829765564</v>
      </c>
      <c r="AE4098">
        <v>-0.138800000000003</v>
      </c>
      <c r="AF4098">
        <v>11.021109605027</v>
      </c>
      <c r="AG4098">
        <v>-1.100829765564</v>
      </c>
      <c r="AH4098">
        <v>17.354215172239002</v>
      </c>
      <c r="AI4098">
        <v>93.065110898967404</v>
      </c>
      <c r="AJ4098">
        <v>57.581669428485398</v>
      </c>
      <c r="AK4098">
        <v>20.587507555387599</v>
      </c>
      <c r="AL4098">
        <v>79.981869808398002</v>
      </c>
      <c r="AM4098">
        <v>69.451019260827593</v>
      </c>
      <c r="AN4098">
        <v>1.0000000390921999</v>
      </c>
    </row>
    <row r="4099" spans="1:40" x14ac:dyDescent="0.25">
      <c r="A4099" t="str">
        <f>"20190312172452232"</f>
        <v>20190312172452232</v>
      </c>
      <c r="B4099" t="str">
        <f>"1552382692224581"</f>
        <v>1552382692224581</v>
      </c>
      <c r="C4099" t="s">
        <v>40</v>
      </c>
      <c r="D4099">
        <v>3.7933849999999998</v>
      </c>
      <c r="E4099">
        <v>0.57388680000000003</v>
      </c>
      <c r="F4099" t="s">
        <v>43</v>
      </c>
      <c r="G4099">
        <v>-223.71199999999999</v>
      </c>
      <c r="H4099" s="1">
        <v>-3.7844440000000001E-6</v>
      </c>
      <c r="I4099">
        <v>143.96639999999999</v>
      </c>
      <c r="J4099">
        <v>-203.6336</v>
      </c>
      <c r="K4099">
        <v>1.1008500000000001</v>
      </c>
      <c r="L4099">
        <v>144.4221</v>
      </c>
      <c r="M4099">
        <v>-0.84788140000000001</v>
      </c>
      <c r="N4099">
        <v>0</v>
      </c>
      <c r="O4099">
        <v>-0.5299585</v>
      </c>
      <c r="P4099">
        <v>-0.96456129999999995</v>
      </c>
      <c r="Q4099">
        <v>0.1685412</v>
      </c>
      <c r="R4099">
        <v>-0.20301669999999999</v>
      </c>
      <c r="S4099">
        <v>-3.1266940000000001</v>
      </c>
      <c r="T4099">
        <v>-0.1693646</v>
      </c>
      <c r="U4099">
        <v>-9.1583250000000005E-2</v>
      </c>
      <c r="V4099">
        <v>0.34333829999999999</v>
      </c>
      <c r="W4099">
        <v>0.17478949999999999</v>
      </c>
      <c r="X4099">
        <v>0.92280410000000002</v>
      </c>
      <c r="Y4099">
        <v>0.50352379999999997</v>
      </c>
      <c r="Z4099">
        <v>4.1071570000000002E-2</v>
      </c>
      <c r="AA4099">
        <v>0.86300460000000001</v>
      </c>
      <c r="AB4099">
        <v>27</v>
      </c>
      <c r="AC4099">
        <v>-20.078399999999998</v>
      </c>
      <c r="AD4099">
        <v>-1.1008537844440001</v>
      </c>
      <c r="AE4099">
        <v>-0.45570000000000699</v>
      </c>
      <c r="AF4099">
        <v>10.2248547332252</v>
      </c>
      <c r="AG4099">
        <v>-1.1008537844440001</v>
      </c>
      <c r="AH4099">
        <v>17.215959933506699</v>
      </c>
      <c r="AI4099">
        <v>93.146858715094695</v>
      </c>
      <c r="AJ4099">
        <v>59.293195067080298</v>
      </c>
      <c r="AK4099">
        <v>20.05364829158</v>
      </c>
      <c r="AL4099">
        <v>79.933591274309904</v>
      </c>
      <c r="AM4099">
        <v>69.591789720378799</v>
      </c>
      <c r="AN4099">
        <v>0.99999998226697495</v>
      </c>
    </row>
    <row r="4100" spans="1:40" x14ac:dyDescent="0.25">
      <c r="A4100" t="str">
        <f>"20190312172452254"</f>
        <v>20190312172452254</v>
      </c>
      <c r="B4100" t="str">
        <f>"1552382692244101"</f>
        <v>1552382692244101</v>
      </c>
      <c r="C4100" t="s">
        <v>40</v>
      </c>
      <c r="D4100">
        <v>3.8268270000000002</v>
      </c>
      <c r="E4100">
        <v>0.57328789999999996</v>
      </c>
      <c r="F4100" t="s">
        <v>43</v>
      </c>
      <c r="G4100">
        <v>-223.42169999999999</v>
      </c>
      <c r="H4100" s="1">
        <v>-3.8987529999999996E-6</v>
      </c>
      <c r="I4100">
        <v>144.0538</v>
      </c>
      <c r="J4100">
        <v>-203.87020000000001</v>
      </c>
      <c r="K4100">
        <v>1.1008739999999999</v>
      </c>
      <c r="L4100">
        <v>144.2911</v>
      </c>
      <c r="M4100">
        <v>-0.8548962</v>
      </c>
      <c r="N4100">
        <v>0</v>
      </c>
      <c r="O4100">
        <v>-0.51856629999999904</v>
      </c>
      <c r="P4100">
        <v>-0.96647640000000001</v>
      </c>
      <c r="Q4100">
        <v>0.16914889999999999</v>
      </c>
      <c r="R4100">
        <v>-0.19316330000000001</v>
      </c>
      <c r="S4100">
        <v>-3.1283720000000002</v>
      </c>
      <c r="T4100">
        <v>-0.17403850000000001</v>
      </c>
      <c r="U4100">
        <v>-5.8212279999999998E-2</v>
      </c>
      <c r="V4100">
        <v>0.34035009999999999</v>
      </c>
      <c r="W4100">
        <v>0.17550160000000001</v>
      </c>
      <c r="X4100">
        <v>0.92377540000000002</v>
      </c>
      <c r="Y4100">
        <v>0.50112250000000003</v>
      </c>
      <c r="Z4100">
        <v>4.1593129999999999E-2</v>
      </c>
      <c r="AA4100">
        <v>0.86437619999999904</v>
      </c>
      <c r="AB4100">
        <v>27</v>
      </c>
      <c r="AC4100">
        <v>-19.551499999999901</v>
      </c>
      <c r="AD4100">
        <v>-1.1008778987529999</v>
      </c>
      <c r="AE4100">
        <v>-0.23730000000000401</v>
      </c>
      <c r="AF4100">
        <v>9.9056813788136608</v>
      </c>
      <c r="AG4100">
        <v>-1.1008778987529999</v>
      </c>
      <c r="AH4100">
        <v>16.7863799696113</v>
      </c>
      <c r="AI4100">
        <v>93.232682566756395</v>
      </c>
      <c r="AJ4100">
        <v>59.455047605314199</v>
      </c>
      <c r="AK4100">
        <v>19.522218321971199</v>
      </c>
      <c r="AL4100">
        <v>79.892150516821303</v>
      </c>
      <c r="AM4100">
        <v>69.774496449933494</v>
      </c>
      <c r="AN4100">
        <v>0.99999999590886401</v>
      </c>
    </row>
    <row r="4101" spans="1:40" x14ac:dyDescent="0.25">
      <c r="A4101" t="str">
        <f>"20190312172452278"</f>
        <v>20190312172452278</v>
      </c>
      <c r="B4101" t="str">
        <f>"1552382692274356"</f>
        <v>1552382692274356</v>
      </c>
      <c r="C4101" t="s">
        <v>40</v>
      </c>
      <c r="D4101">
        <v>3.8067090000000001</v>
      </c>
      <c r="E4101">
        <v>0.57227490000000003</v>
      </c>
      <c r="F4101" t="s">
        <v>43</v>
      </c>
      <c r="G4101">
        <v>-223.2843</v>
      </c>
      <c r="H4101" s="1">
        <v>-3.9544169999999996E-6</v>
      </c>
      <c r="I4101">
        <v>144.10409999999999</v>
      </c>
      <c r="J4101">
        <v>-204.1122</v>
      </c>
      <c r="K4101">
        <v>1.1008979999999999</v>
      </c>
      <c r="L4101">
        <v>144.16130000000001</v>
      </c>
      <c r="M4101">
        <v>-0.86186430000000003</v>
      </c>
      <c r="N4101">
        <v>0</v>
      </c>
      <c r="O4101">
        <v>-0.50690069999999998</v>
      </c>
      <c r="P4101">
        <v>-0.96829379999999998</v>
      </c>
      <c r="Q4101">
        <v>0.1697931</v>
      </c>
      <c r="R4101">
        <v>-0.1832413</v>
      </c>
      <c r="S4101">
        <v>-3.1290589999999998</v>
      </c>
      <c r="T4101">
        <v>-0.1774337</v>
      </c>
      <c r="U4101">
        <v>-3.0120850000000001E-2</v>
      </c>
      <c r="V4101">
        <v>0.33720869999999997</v>
      </c>
      <c r="W4101">
        <v>0.17625689999999999</v>
      </c>
      <c r="X4101">
        <v>0.92478309999999997</v>
      </c>
      <c r="Y4101">
        <v>0.49709110000000001</v>
      </c>
      <c r="Z4101">
        <v>4.1722950000000002E-2</v>
      </c>
      <c r="AA4101">
        <v>0.86669470000000004</v>
      </c>
      <c r="AB4101">
        <v>27</v>
      </c>
      <c r="AC4101">
        <v>-19.1721</v>
      </c>
      <c r="AD4101">
        <v>-1.100901954417</v>
      </c>
      <c r="AE4101">
        <v>-5.7200000000023003E-2</v>
      </c>
      <c r="AF4101">
        <v>9.63844004256622</v>
      </c>
      <c r="AG4101">
        <v>-1.100901954417</v>
      </c>
      <c r="AH4101">
        <v>16.500337263001601</v>
      </c>
      <c r="AI4101">
        <v>93.297231909694204</v>
      </c>
      <c r="AJ4101">
        <v>59.709263977825998</v>
      </c>
      <c r="AK4101">
        <v>19.140863129968398</v>
      </c>
      <c r="AL4101">
        <v>79.848189702480099</v>
      </c>
      <c r="AM4101">
        <v>69.966351740690101</v>
      </c>
      <c r="AN4101">
        <v>0.999999992099454</v>
      </c>
    </row>
    <row r="4102" spans="1:40" x14ac:dyDescent="0.25">
      <c r="A4102" t="str">
        <f>"20190312172452299"</f>
        <v>20190312172452299</v>
      </c>
      <c r="B4102" t="str">
        <f>"1552382692294853"</f>
        <v>1552382692294853</v>
      </c>
      <c r="C4102" t="s">
        <v>40</v>
      </c>
      <c r="D4102">
        <v>3.8103359999999999</v>
      </c>
      <c r="E4102">
        <v>0.57127099999999997</v>
      </c>
      <c r="F4102" t="s">
        <v>43</v>
      </c>
      <c r="G4102">
        <v>-222.97239999999999</v>
      </c>
      <c r="H4102" s="1">
        <v>-4.065205E-6</v>
      </c>
      <c r="I4102">
        <v>144.13030000000001</v>
      </c>
      <c r="J4102">
        <v>-204.3494</v>
      </c>
      <c r="K4102">
        <v>1.100938</v>
      </c>
      <c r="L4102">
        <v>144.03819999999999</v>
      </c>
      <c r="M4102">
        <v>-0.86849589999999999</v>
      </c>
      <c r="N4102">
        <v>0</v>
      </c>
      <c r="O4102">
        <v>-0.49545270000000002</v>
      </c>
      <c r="P4102">
        <v>-0.96991970000000005</v>
      </c>
      <c r="Q4102">
        <v>0.17047899999999999</v>
      </c>
      <c r="R4102">
        <v>-0.17376069999999999</v>
      </c>
      <c r="S4102">
        <v>-3.1292879999999998</v>
      </c>
      <c r="T4102">
        <v>-0.18266189999999999</v>
      </c>
      <c r="U4102">
        <v>-5.1422120000000002E-3</v>
      </c>
      <c r="V4102">
        <v>0.33395419999999998</v>
      </c>
      <c r="W4102">
        <v>0.17705670000000001</v>
      </c>
      <c r="X4102">
        <v>0.92581080000000004</v>
      </c>
      <c r="Y4102">
        <v>0.49246250000000003</v>
      </c>
      <c r="Z4102">
        <v>4.2240189999999997E-2</v>
      </c>
      <c r="AA4102">
        <v>0.86930810000000003</v>
      </c>
      <c r="AB4102">
        <v>27</v>
      </c>
      <c r="AC4102">
        <v>-18.622999999999902</v>
      </c>
      <c r="AD4102">
        <v>-1.1009420652049999</v>
      </c>
      <c r="AE4102">
        <v>9.2100000000016197E-2</v>
      </c>
      <c r="AF4102">
        <v>9.2755122619157504</v>
      </c>
      <c r="AG4102">
        <v>-1.1009420652049999</v>
      </c>
      <c r="AH4102">
        <v>16.0741402767433</v>
      </c>
      <c r="AI4102">
        <v>93.394990563441198</v>
      </c>
      <c r="AJ4102">
        <v>60.013093008205402</v>
      </c>
      <c r="AK4102">
        <v>18.590997466201401</v>
      </c>
      <c r="AL4102">
        <v>79.8016330057402</v>
      </c>
      <c r="AM4102">
        <v>70.164845985349999</v>
      </c>
      <c r="AN4102">
        <v>1.00000006005458</v>
      </c>
    </row>
    <row r="4103" spans="1:40" x14ac:dyDescent="0.25">
      <c r="A4103" t="str">
        <f>"20190312172452322"</f>
        <v>20190312172452322</v>
      </c>
      <c r="B4103" t="str">
        <f>"1552382692314373"</f>
        <v>1552382692314373</v>
      </c>
      <c r="C4103" t="s">
        <v>40</v>
      </c>
      <c r="D4103">
        <v>3.7761300000000002</v>
      </c>
      <c r="E4103">
        <v>0.57038149999999999</v>
      </c>
      <c r="F4103" t="s">
        <v>43</v>
      </c>
      <c r="G4103">
        <v>-222.97059999999999</v>
      </c>
      <c r="H4103" s="1">
        <v>-4.0682409999999999E-6</v>
      </c>
      <c r="I4103">
        <v>144.1438</v>
      </c>
      <c r="J4103">
        <v>-204.59059999999999</v>
      </c>
      <c r="K4103">
        <v>1.1009789999999999</v>
      </c>
      <c r="L4103">
        <v>143.9171</v>
      </c>
      <c r="M4103">
        <v>-0.87503249999999999</v>
      </c>
      <c r="N4103">
        <v>0</v>
      </c>
      <c r="O4103">
        <v>-0.48381449999999998</v>
      </c>
      <c r="P4103">
        <v>-0.97150950000000003</v>
      </c>
      <c r="Q4103">
        <v>0.17093259999999999</v>
      </c>
      <c r="R4103">
        <v>-0.16416900000000001</v>
      </c>
      <c r="S4103">
        <v>-3.1287379999999998</v>
      </c>
      <c r="T4103">
        <v>-0.1849816</v>
      </c>
      <c r="U4103">
        <v>1.7761229999999999E-2</v>
      </c>
      <c r="V4103">
        <v>0.33069090000000001</v>
      </c>
      <c r="W4103">
        <v>0.177626799999999</v>
      </c>
      <c r="X4103">
        <v>0.92687229999999998</v>
      </c>
      <c r="Y4103">
        <v>0.48719259999999898</v>
      </c>
      <c r="Z4103">
        <v>4.202993E-2</v>
      </c>
      <c r="AA4103">
        <v>0.87228259999999902</v>
      </c>
      <c r="AB4103">
        <v>27</v>
      </c>
      <c r="AC4103">
        <v>-18.3799999999999</v>
      </c>
      <c r="AD4103">
        <v>-1.100983068241</v>
      </c>
      <c r="AE4103">
        <v>0.22669999999999299</v>
      </c>
      <c r="AF4103">
        <v>9.0594772041376803</v>
      </c>
      <c r="AG4103">
        <v>-1.100983068241</v>
      </c>
      <c r="AH4103">
        <v>15.9182386713496</v>
      </c>
      <c r="AI4103">
        <v>93.439994486301103</v>
      </c>
      <c r="AJ4103">
        <v>60.354687601267003</v>
      </c>
      <c r="AK4103">
        <v>18.348749639332201</v>
      </c>
      <c r="AL4103">
        <v>79.768442033697298</v>
      </c>
      <c r="AM4103">
        <v>70.364539598267001</v>
      </c>
      <c r="AN4103">
        <v>1.0000000059641601</v>
      </c>
    </row>
    <row r="4104" spans="1:40" x14ac:dyDescent="0.25">
      <c r="A4104" t="str">
        <f>"20190312172452343"</f>
        <v>20190312172452343</v>
      </c>
      <c r="B4104" t="str">
        <f>"1552382692334869"</f>
        <v>1552382692334869</v>
      </c>
      <c r="C4104" t="s">
        <v>40</v>
      </c>
      <c r="D4104">
        <v>3.7966570000000002</v>
      </c>
      <c r="E4104">
        <v>0.56940380000000002</v>
      </c>
      <c r="F4104" t="s">
        <v>43</v>
      </c>
      <c r="G4104">
        <v>-222.9838</v>
      </c>
      <c r="H4104" s="1">
        <v>-4.0667559999999901E-6</v>
      </c>
      <c r="I4104">
        <v>144.16079999999999</v>
      </c>
      <c r="J4104">
        <v>-204.8262</v>
      </c>
      <c r="K4104">
        <v>1.1010279999999999</v>
      </c>
      <c r="L4104">
        <v>143.80289999999999</v>
      </c>
      <c r="M4104">
        <v>-0.88121179999999999</v>
      </c>
      <c r="N4104">
        <v>0</v>
      </c>
      <c r="O4104">
        <v>-0.4724661</v>
      </c>
      <c r="P4104">
        <v>-0.97271660000000004</v>
      </c>
      <c r="Q4104">
        <v>0.17239959999999999</v>
      </c>
      <c r="R4104">
        <v>-0.15524399999999999</v>
      </c>
      <c r="S4104">
        <v>-3.127945</v>
      </c>
      <c r="T4104">
        <v>-0.18723380000000001</v>
      </c>
      <c r="U4104">
        <v>4.1458130000000003E-2</v>
      </c>
      <c r="V4104">
        <v>0.32710499999999998</v>
      </c>
      <c r="W4104">
        <v>0.17922060000000001</v>
      </c>
      <c r="X4104">
        <v>0.92783740000000003</v>
      </c>
      <c r="Y4104">
        <v>0.48250340000000003</v>
      </c>
      <c r="Z4104">
        <v>4.1815329999999998E-2</v>
      </c>
      <c r="AA4104">
        <v>0.87489539999999999</v>
      </c>
      <c r="AB4104">
        <v>27</v>
      </c>
      <c r="AC4104">
        <v>-18.157599999999999</v>
      </c>
      <c r="AD4104">
        <v>-1.1010320667560001</v>
      </c>
      <c r="AE4104">
        <v>0.3579</v>
      </c>
      <c r="AF4104">
        <v>8.8627357179261903</v>
      </c>
      <c r="AG4104">
        <v>-1.1010320667560001</v>
      </c>
      <c r="AH4104">
        <v>15.775525486703399</v>
      </c>
      <c r="AI4104">
        <v>93.482073880593205</v>
      </c>
      <c r="AJ4104">
        <v>60.672597036092398</v>
      </c>
      <c r="AK4104">
        <v>18.1280876100999</v>
      </c>
      <c r="AL4104">
        <v>79.675634454342202</v>
      </c>
      <c r="AM4104">
        <v>70.580121575575205</v>
      </c>
      <c r="AN4104">
        <v>0.99999997266405904</v>
      </c>
    </row>
    <row r="4105" spans="1:40" x14ac:dyDescent="0.25">
      <c r="A4105" t="str">
        <f>"20190312172452367"</f>
        <v>20190312172452367</v>
      </c>
      <c r="B4105" t="str">
        <f>"1552382692364149"</f>
        <v>1552382692364149</v>
      </c>
      <c r="C4105" t="s">
        <v>40</v>
      </c>
      <c r="D4105">
        <v>3.8070979999999999</v>
      </c>
      <c r="E4105">
        <v>0.55955919999999904</v>
      </c>
      <c r="F4105" t="s">
        <v>43</v>
      </c>
      <c r="G4105">
        <v>-223.3493</v>
      </c>
      <c r="H4105" s="1">
        <v>-3.9444659999999996E-6</v>
      </c>
      <c r="I4105">
        <v>144.1728</v>
      </c>
      <c r="J4105">
        <v>-205.07669999999999</v>
      </c>
      <c r="K4105">
        <v>1.101092</v>
      </c>
      <c r="L4105">
        <v>143.68549999999999</v>
      </c>
      <c r="M4105">
        <v>-0.88757030000000003</v>
      </c>
      <c r="N4105">
        <v>0</v>
      </c>
      <c r="O4105">
        <v>-0.4604105</v>
      </c>
      <c r="P4105">
        <v>-0.97393450000000004</v>
      </c>
      <c r="Q4105">
        <v>0.17354220000000001</v>
      </c>
      <c r="R4105">
        <v>-0.1460651</v>
      </c>
      <c r="S4105">
        <v>-3.1270449999999999</v>
      </c>
      <c r="T4105">
        <v>-0.18587429999999999</v>
      </c>
      <c r="U4105">
        <v>6.2454219999999998E-2</v>
      </c>
      <c r="V4105">
        <v>0.32310529999999998</v>
      </c>
      <c r="W4105">
        <v>0.18050630000000001</v>
      </c>
      <c r="X4105">
        <v>0.92898890000000001</v>
      </c>
      <c r="Y4105">
        <v>0.4764911</v>
      </c>
      <c r="Z4105">
        <v>4.0708460000000002E-2</v>
      </c>
      <c r="AA4105">
        <v>0.87823639999999903</v>
      </c>
      <c r="AB4105">
        <v>26</v>
      </c>
      <c r="AC4105">
        <v>-18.272600000000001</v>
      </c>
      <c r="AD4105">
        <v>-1.101095944466</v>
      </c>
      <c r="AE4105">
        <v>0.48730000000000401</v>
      </c>
      <c r="AF4105">
        <v>8.8144921701703698</v>
      </c>
      <c r="AG4105">
        <v>-1.101095944466</v>
      </c>
      <c r="AH4105">
        <v>15.9379550080765</v>
      </c>
      <c r="AI4105">
        <v>93.459695081778705</v>
      </c>
      <c r="AJ4105">
        <v>61.055195434289203</v>
      </c>
      <c r="AK4105">
        <v>18.246262475816401</v>
      </c>
      <c r="AL4105">
        <v>79.600747931909893</v>
      </c>
      <c r="AM4105">
        <v>70.822162452988593</v>
      </c>
      <c r="AN4105">
        <v>0.99999996777549405</v>
      </c>
    </row>
    <row r="4106" spans="1:40" x14ac:dyDescent="0.25">
      <c r="A4106" t="str">
        <f>"20190312172452388"</f>
        <v>20190312172452388</v>
      </c>
      <c r="B4106" t="str">
        <f>"1552382692384645"</f>
        <v>1552382692384645</v>
      </c>
      <c r="C4106" t="s">
        <v>40</v>
      </c>
      <c r="D4106">
        <v>3.7808929999999998</v>
      </c>
      <c r="E4106">
        <v>0.55927069999999901</v>
      </c>
      <c r="F4106" t="s">
        <v>43</v>
      </c>
      <c r="G4106">
        <v>-222.3211</v>
      </c>
      <c r="H4106" s="1">
        <v>-4.2223089999999998E-6</v>
      </c>
      <c r="I4106">
        <v>143.76650000000001</v>
      </c>
      <c r="J4106">
        <v>-205.31440000000001</v>
      </c>
      <c r="K4106">
        <v>1.1011580000000001</v>
      </c>
      <c r="L4106">
        <v>143.5778</v>
      </c>
      <c r="M4106">
        <v>-0.89339639999999998</v>
      </c>
      <c r="N4106">
        <v>0</v>
      </c>
      <c r="O4106">
        <v>-0.44900109999999899</v>
      </c>
      <c r="P4106">
        <v>-0.97507690000000002</v>
      </c>
      <c r="Q4106">
        <v>0.1738036</v>
      </c>
      <c r="R4106">
        <v>-0.1379049</v>
      </c>
      <c r="S4106">
        <v>-3.117966</v>
      </c>
      <c r="T4106">
        <v>-0.1990895</v>
      </c>
      <c r="U4106">
        <v>1.46637E-2</v>
      </c>
      <c r="V4106">
        <v>0.3189282</v>
      </c>
      <c r="W4106">
        <v>0.1809219</v>
      </c>
      <c r="X4106">
        <v>0.93035049999999997</v>
      </c>
      <c r="Y4106">
        <v>0.45146890000000001</v>
      </c>
      <c r="Z4106">
        <v>4.2244110000000001E-2</v>
      </c>
      <c r="AA4106">
        <v>0.89128629999999998</v>
      </c>
      <c r="AB4106">
        <v>26</v>
      </c>
      <c r="AC4106">
        <v>-17.006699999999899</v>
      </c>
      <c r="AD4106">
        <v>-1.1011622223090001</v>
      </c>
      <c r="AE4106">
        <v>0.188700000000011</v>
      </c>
      <c r="AF4106">
        <v>7.7729677205249503</v>
      </c>
      <c r="AG4106">
        <v>-1.1011622223090001</v>
      </c>
      <c r="AH4106">
        <v>15.0477397915959</v>
      </c>
      <c r="AI4106">
        <v>93.719915220152402</v>
      </c>
      <c r="AJ4106">
        <v>62.6812115173649</v>
      </c>
      <c r="AK4106">
        <v>16.9725088970294</v>
      </c>
      <c r="AL4106">
        <v>79.576537444050402</v>
      </c>
      <c r="AM4106">
        <v>71.078062180620904</v>
      </c>
      <c r="AN4106">
        <v>0.99999999175254894</v>
      </c>
    </row>
    <row r="4107" spans="1:40" x14ac:dyDescent="0.25">
      <c r="A4107" t="str">
        <f>"20190312172452411"</f>
        <v>20190312172452411</v>
      </c>
      <c r="B4107" t="str">
        <f>"1552382692404165"</f>
        <v>1552382692404165</v>
      </c>
      <c r="C4107" t="s">
        <v>40</v>
      </c>
      <c r="D4107">
        <v>3.8141579999999999</v>
      </c>
      <c r="E4107">
        <v>0.55816080000000001</v>
      </c>
      <c r="F4107" t="s">
        <v>43</v>
      </c>
      <c r="G4107">
        <v>-222.70009999999999</v>
      </c>
      <c r="H4107" s="1">
        <v>-4.0991850000000003E-6</v>
      </c>
      <c r="I4107">
        <v>143.79939999999999</v>
      </c>
      <c r="J4107">
        <v>-205.57550000000001</v>
      </c>
      <c r="K4107">
        <v>1.1012420000000001</v>
      </c>
      <c r="L4107">
        <v>143.46360000000001</v>
      </c>
      <c r="M4107">
        <v>-0.89955879999999999</v>
      </c>
      <c r="N4107">
        <v>0</v>
      </c>
      <c r="O4107">
        <v>-0.43652400000000002</v>
      </c>
      <c r="P4107">
        <v>-0.9764022</v>
      </c>
      <c r="Q4107">
        <v>0.17315749999999999</v>
      </c>
      <c r="R4107">
        <v>-0.12905639999999999</v>
      </c>
      <c r="S4107">
        <v>-3.1174770000000001</v>
      </c>
      <c r="T4107">
        <v>-0.19745289999999999</v>
      </c>
      <c r="U4107">
        <v>3.9749149999999997E-2</v>
      </c>
      <c r="V4107">
        <v>0.31440210000000002</v>
      </c>
      <c r="W4107">
        <v>0.1804529</v>
      </c>
      <c r="X4107">
        <v>0.9319807</v>
      </c>
      <c r="Y4107">
        <v>0.44628630000000002</v>
      </c>
      <c r="Z4107">
        <v>4.103043E-2</v>
      </c>
      <c r="AA4107">
        <v>0.8939492</v>
      </c>
      <c r="AB4107">
        <v>26</v>
      </c>
      <c r="AC4107">
        <v>-17.124599999999901</v>
      </c>
      <c r="AD4107">
        <v>-1.1012460991849999</v>
      </c>
      <c r="AE4107">
        <v>0.33579999999997701</v>
      </c>
      <c r="AF4107">
        <v>7.7462847176998801</v>
      </c>
      <c r="AG4107">
        <v>-1.1012460991849999</v>
      </c>
      <c r="AH4107">
        <v>15.197013902911401</v>
      </c>
      <c r="AI4107">
        <v>93.693961931650193</v>
      </c>
      <c r="AJ4107">
        <v>62.9909633242778</v>
      </c>
      <c r="AK4107">
        <v>17.092890377695699</v>
      </c>
      <c r="AL4107">
        <v>79.603858708935704</v>
      </c>
      <c r="AM4107">
        <v>71.358264831729002</v>
      </c>
      <c r="AN4107">
        <v>0.999999977387654</v>
      </c>
    </row>
    <row r="4108" spans="1:40" x14ac:dyDescent="0.25">
      <c r="A4108" t="str">
        <f>"20190312172452434"</f>
        <v>20190312172452434</v>
      </c>
      <c r="B4108" t="str">
        <f>"1552382692424664"</f>
        <v>1552382692424664</v>
      </c>
      <c r="C4108" t="s">
        <v>40</v>
      </c>
      <c r="D4108">
        <v>3.824881</v>
      </c>
      <c r="E4108">
        <v>0.55755279999999996</v>
      </c>
      <c r="F4108" t="s">
        <v>43</v>
      </c>
      <c r="G4108">
        <v>-222.23400000000001</v>
      </c>
      <c r="H4108" s="1">
        <v>-4.2556840000000002E-6</v>
      </c>
      <c r="I4108">
        <v>143.78749999999999</v>
      </c>
      <c r="J4108">
        <v>-205.8237</v>
      </c>
      <c r="K4108">
        <v>1.1013459999999999</v>
      </c>
      <c r="L4108">
        <v>143.35890000000001</v>
      </c>
      <c r="M4108">
        <v>-0.9051785</v>
      </c>
      <c r="N4108">
        <v>0</v>
      </c>
      <c r="O4108">
        <v>-0.42474889999999998</v>
      </c>
      <c r="P4108">
        <v>-0.97733119999999996</v>
      </c>
      <c r="Q4108">
        <v>0.1731365</v>
      </c>
      <c r="R4108">
        <v>-0.12184970000000001</v>
      </c>
      <c r="S4108">
        <v>-3.1170650000000002</v>
      </c>
      <c r="T4108">
        <v>-0.20606140000000001</v>
      </c>
      <c r="U4108">
        <v>6.0607910000000001E-2</v>
      </c>
      <c r="V4108">
        <v>0.309056</v>
      </c>
      <c r="W4108">
        <v>0.18063770000000001</v>
      </c>
      <c r="X4108">
        <v>0.93373139999999999</v>
      </c>
      <c r="Y4108">
        <v>0.4404729</v>
      </c>
      <c r="Z4108">
        <v>4.1922260000000003E-2</v>
      </c>
      <c r="AA4108">
        <v>0.89678659999999999</v>
      </c>
      <c r="AB4108">
        <v>26</v>
      </c>
      <c r="AC4108">
        <v>-16.410299999999999</v>
      </c>
      <c r="AD4108">
        <v>-1.101350255684</v>
      </c>
      <c r="AE4108">
        <v>0.42859999999998799</v>
      </c>
      <c r="AF4108">
        <v>7.3261246104014601</v>
      </c>
      <c r="AG4108">
        <v>-1.101350255684</v>
      </c>
      <c r="AH4108">
        <v>14.608212723224099</v>
      </c>
      <c r="AI4108">
        <v>93.8554735793943</v>
      </c>
      <c r="AJ4108">
        <v>63.365903169826602</v>
      </c>
      <c r="AK4108">
        <v>16.379406373852301</v>
      </c>
      <c r="AL4108">
        <v>79.5930933430637</v>
      </c>
      <c r="AM4108">
        <v>71.685959315287505</v>
      </c>
      <c r="AN4108">
        <v>0.99999995857162405</v>
      </c>
    </row>
    <row r="4109" spans="1:40" x14ac:dyDescent="0.25">
      <c r="A4109" t="str">
        <f>"20190312172452455"</f>
        <v>20190312172452455</v>
      </c>
      <c r="B4109" t="str">
        <f>"1552382692444181"</f>
        <v>1552382692444181</v>
      </c>
      <c r="C4109" t="s">
        <v>40</v>
      </c>
      <c r="D4109">
        <v>3.8139280000000002</v>
      </c>
      <c r="E4109">
        <v>0.55644479999999996</v>
      </c>
      <c r="F4109" t="s">
        <v>43</v>
      </c>
      <c r="G4109">
        <v>-222.38050000000001</v>
      </c>
      <c r="H4109" s="1">
        <v>-4.205306E-6</v>
      </c>
      <c r="I4109">
        <v>143.78450000000001</v>
      </c>
      <c r="J4109">
        <v>-206.06190000000001</v>
      </c>
      <c r="K4109">
        <v>1.101464</v>
      </c>
      <c r="L4109">
        <v>143.2619</v>
      </c>
      <c r="M4109">
        <v>-0.91035160000000004</v>
      </c>
      <c r="N4109">
        <v>0</v>
      </c>
      <c r="O4109">
        <v>-0.41354609999999897</v>
      </c>
      <c r="P4109">
        <v>-0.97769220000000001</v>
      </c>
      <c r="Q4109">
        <v>0.17424200000000001</v>
      </c>
      <c r="R4109">
        <v>-0.1172945</v>
      </c>
      <c r="S4109">
        <v>-3.1162869999999998</v>
      </c>
      <c r="T4109">
        <v>-0.20729429999999999</v>
      </c>
      <c r="U4109">
        <v>8.0108639999999995E-2</v>
      </c>
      <c r="V4109">
        <v>0.30174980000000001</v>
      </c>
      <c r="W4109">
        <v>0.18200459999999999</v>
      </c>
      <c r="X4109">
        <v>0.9358533</v>
      </c>
      <c r="Y4109">
        <v>0.43501970000000001</v>
      </c>
      <c r="Z4109">
        <v>4.1319590000000003E-2</v>
      </c>
      <c r="AA4109">
        <v>0.89947239999999995</v>
      </c>
      <c r="AB4109">
        <v>26</v>
      </c>
      <c r="AC4109">
        <v>-16.3186</v>
      </c>
      <c r="AD4109">
        <v>-1.1014682053059901</v>
      </c>
      <c r="AE4109">
        <v>0.52260000000001094</v>
      </c>
      <c r="AF4109">
        <v>7.1923742444804297</v>
      </c>
      <c r="AG4109">
        <v>-1.1014682053059901</v>
      </c>
      <c r="AH4109">
        <v>14.5749638192746</v>
      </c>
      <c r="AI4109">
        <v>93.877016631201599</v>
      </c>
      <c r="AJ4109">
        <v>63.734831756638201</v>
      </c>
      <c r="AK4109">
        <v>16.2902747003582</v>
      </c>
      <c r="AL4109">
        <v>79.513456173106206</v>
      </c>
      <c r="AM4109">
        <v>72.128976245563507</v>
      </c>
      <c r="AN4109">
        <v>1.00000000767104</v>
      </c>
    </row>
    <row r="4110" spans="1:40" x14ac:dyDescent="0.25">
      <c r="A4110" t="str">
        <f>"20190312172452491"</f>
        <v>20190312172452491</v>
      </c>
      <c r="B4110" t="str">
        <f>"1552382692484198"</f>
        <v>1552382692484198</v>
      </c>
      <c r="C4110" t="s">
        <v>40</v>
      </c>
      <c r="D4110">
        <v>3.8279730000000001</v>
      </c>
      <c r="E4110">
        <v>0.55520590000000003</v>
      </c>
      <c r="F4110" t="s">
        <v>43</v>
      </c>
      <c r="G4110">
        <v>-222.61529999999999</v>
      </c>
      <c r="H4110" s="1">
        <v>-4.1149540000000004E-6</v>
      </c>
      <c r="I4110">
        <v>143.72569999999999</v>
      </c>
      <c r="J4110">
        <v>-206.4443</v>
      </c>
      <c r="K4110">
        <v>1.101683</v>
      </c>
      <c r="L4110">
        <v>143.113</v>
      </c>
      <c r="M4110">
        <v>-0.91818929999999999</v>
      </c>
      <c r="N4110">
        <v>0</v>
      </c>
      <c r="O4110">
        <v>-0.39584069999999999</v>
      </c>
      <c r="P4110">
        <v>-0.97904179999999996</v>
      </c>
      <c r="Q4110">
        <v>0.17396519999999999</v>
      </c>
      <c r="R4110">
        <v>-0.1058921</v>
      </c>
      <c r="S4110">
        <v>-3.115875</v>
      </c>
      <c r="T4110">
        <v>-0.20733180000000001</v>
      </c>
      <c r="U4110">
        <v>8.7310789999999999E-2</v>
      </c>
      <c r="V4110">
        <v>0.29441990000000001</v>
      </c>
      <c r="W4110">
        <v>0.18204590000000001</v>
      </c>
      <c r="X4110">
        <v>0.93817709999999999</v>
      </c>
      <c r="Y4110">
        <v>0.41968460000000002</v>
      </c>
      <c r="Z4110">
        <v>3.9728810000000003E-2</v>
      </c>
      <c r="AA4110">
        <v>0.90680019999999995</v>
      </c>
      <c r="AB4110">
        <v>26</v>
      </c>
      <c r="AC4110">
        <v>-16.1709999999999</v>
      </c>
      <c r="AD4110">
        <v>-1.101687114954</v>
      </c>
      <c r="AE4110">
        <v>0.61269999999998903</v>
      </c>
      <c r="AF4110">
        <v>6.9324157577388004</v>
      </c>
      <c r="AG4110">
        <v>-1.101687114954</v>
      </c>
      <c r="AH4110">
        <v>14.5398623413825</v>
      </c>
      <c r="AI4110">
        <v>93.912594886716406</v>
      </c>
      <c r="AJ4110">
        <v>64.508805808269003</v>
      </c>
      <c r="AK4110">
        <v>16.145578331040198</v>
      </c>
      <c r="AL4110">
        <v>79.511049881018295</v>
      </c>
      <c r="AM4110">
        <v>72.577034908164407</v>
      </c>
      <c r="AN4110">
        <v>1.00000002909361</v>
      </c>
    </row>
    <row r="4111" spans="1:40" x14ac:dyDescent="0.25">
      <c r="A4111" t="str">
        <f>"20190312172452512"</f>
        <v>20190312172452512</v>
      </c>
      <c r="B4111" t="str">
        <f>"1552382692504693"</f>
        <v>1552382692504693</v>
      </c>
      <c r="C4111" t="s">
        <v>40</v>
      </c>
      <c r="D4111">
        <v>3.820446</v>
      </c>
      <c r="E4111">
        <v>0.55049499999999996</v>
      </c>
      <c r="F4111" t="s">
        <v>43</v>
      </c>
      <c r="G4111">
        <v>-222.40520000000001</v>
      </c>
      <c r="H4111" s="1">
        <v>-4.182117E-6</v>
      </c>
      <c r="I4111">
        <v>143.7012</v>
      </c>
      <c r="J4111">
        <v>-206.70169999999999</v>
      </c>
      <c r="K4111">
        <v>1.101834</v>
      </c>
      <c r="L4111">
        <v>143.01730000000001</v>
      </c>
      <c r="M4111">
        <v>-0.92315369999999997</v>
      </c>
      <c r="N4111">
        <v>0</v>
      </c>
      <c r="O4111">
        <v>-0.38412259999999998</v>
      </c>
      <c r="P4111">
        <v>-0.98005759999999997</v>
      </c>
      <c r="Q4111">
        <v>0.17222979999999999</v>
      </c>
      <c r="R4111">
        <v>-9.9115529999999993E-2</v>
      </c>
      <c r="S4111">
        <v>-3.114868</v>
      </c>
      <c r="T4111">
        <v>-0.21500159999999999</v>
      </c>
      <c r="U4111">
        <v>0.1147919</v>
      </c>
      <c r="V4111">
        <v>0.28895769999999998</v>
      </c>
      <c r="W4111">
        <v>0.18054339999999999</v>
      </c>
      <c r="X4111">
        <v>0.94016359999999999</v>
      </c>
      <c r="Y4111">
        <v>0.41603780000000001</v>
      </c>
      <c r="Z4111">
        <v>4.033101E-2</v>
      </c>
      <c r="AA4111">
        <v>0.9084525</v>
      </c>
      <c r="AB4111">
        <v>26</v>
      </c>
      <c r="AC4111">
        <v>-15.7035</v>
      </c>
      <c r="AD4111">
        <v>-1.101838182117</v>
      </c>
      <c r="AE4111">
        <v>0.68389999999999396</v>
      </c>
      <c r="AF4111">
        <v>6.6316174522443596</v>
      </c>
      <c r="AG4111">
        <v>-1.101838182117</v>
      </c>
      <c r="AH4111">
        <v>14.166120392721</v>
      </c>
      <c r="AI4111">
        <v>94.029438472467305</v>
      </c>
      <c r="AJ4111">
        <v>64.914191562380296</v>
      </c>
      <c r="AK4111">
        <v>15.6802858517805</v>
      </c>
      <c r="AL4111">
        <v>79.598587439416505</v>
      </c>
      <c r="AM4111">
        <v>72.915277414663194</v>
      </c>
      <c r="AN4111">
        <v>1.0000000332189001</v>
      </c>
    </row>
    <row r="4112" spans="1:40" x14ac:dyDescent="0.25">
      <c r="A4112" t="str">
        <f>"20190312172452533"</f>
        <v>20190312172452533</v>
      </c>
      <c r="B4112" t="str">
        <f>"1552382692524213"</f>
        <v>1552382692524213</v>
      </c>
      <c r="C4112" t="s">
        <v>40</v>
      </c>
      <c r="D4112">
        <v>3.8198539999999999</v>
      </c>
      <c r="E4112">
        <v>0.55014869999999905</v>
      </c>
      <c r="F4112" t="s">
        <v>43</v>
      </c>
      <c r="G4112">
        <v>-221.1739</v>
      </c>
      <c r="H4112" s="1">
        <v>-4.5620289999999999E-6</v>
      </c>
      <c r="I4112">
        <v>143.48070000000001</v>
      </c>
      <c r="J4112">
        <v>-206.9426</v>
      </c>
      <c r="K4112">
        <v>1.1019829999999999</v>
      </c>
      <c r="L4112">
        <v>142.9308</v>
      </c>
      <c r="M4112">
        <v>-0.92758010000000002</v>
      </c>
      <c r="N4112">
        <v>0</v>
      </c>
      <c r="O4112">
        <v>-0.37330839999999998</v>
      </c>
      <c r="P4112">
        <v>-0.98073980000000005</v>
      </c>
      <c r="Q4112">
        <v>0.1717011</v>
      </c>
      <c r="R4112">
        <v>-9.3104210000000007E-2</v>
      </c>
      <c r="S4112">
        <v>-3.112778</v>
      </c>
      <c r="T4112">
        <v>-0.23699120000000001</v>
      </c>
      <c r="U4112">
        <v>9.9685670000000004E-2</v>
      </c>
      <c r="V4112">
        <v>0.2836727</v>
      </c>
      <c r="W4112">
        <v>0.18022769999999999</v>
      </c>
      <c r="X4112">
        <v>0.94183209999999995</v>
      </c>
      <c r="Y4112">
        <v>0.40065089999999998</v>
      </c>
      <c r="Z4112">
        <v>4.3112129999999999E-2</v>
      </c>
      <c r="AA4112">
        <v>0.91521589999999997</v>
      </c>
      <c r="AB4112">
        <v>26</v>
      </c>
      <c r="AC4112">
        <v>-14.231299999999999</v>
      </c>
      <c r="AD4112">
        <v>-1.1019875620289901</v>
      </c>
      <c r="AE4112">
        <v>0.54990000000000705</v>
      </c>
      <c r="AF4112">
        <v>5.7887694011678201</v>
      </c>
      <c r="AG4112">
        <v>-1.1019875620289901</v>
      </c>
      <c r="AH4112">
        <v>12.9195713664341</v>
      </c>
      <c r="AI4112">
        <v>94.450905288113006</v>
      </c>
      <c r="AJ4112">
        <v>65.864660392721902</v>
      </c>
      <c r="AK4112">
        <v>14.199984227426</v>
      </c>
      <c r="AL4112">
        <v>79.616976664933802</v>
      </c>
      <c r="AM4112">
        <v>73.238096285373501</v>
      </c>
      <c r="AN4112">
        <v>0.99999996458149398</v>
      </c>
    </row>
    <row r="4113" spans="1:40" x14ac:dyDescent="0.25">
      <c r="A4113" t="str">
        <f>"20190312172452556"</f>
        <v>20190312172452556</v>
      </c>
      <c r="B4113" t="str">
        <f>"1552382692554469"</f>
        <v>1552382692554469</v>
      </c>
      <c r="C4113" t="s">
        <v>40</v>
      </c>
      <c r="D4113">
        <v>3.8582879999999999</v>
      </c>
      <c r="E4113">
        <v>0.55001999999999995</v>
      </c>
      <c r="F4113" t="s">
        <v>43</v>
      </c>
      <c r="G4113">
        <v>-220.40960000000001</v>
      </c>
      <c r="H4113" s="1">
        <v>-4.8142999999999998E-6</v>
      </c>
      <c r="I4113">
        <v>143.4367</v>
      </c>
      <c r="J4113">
        <v>-207.19200000000001</v>
      </c>
      <c r="K4113">
        <v>1.1021510000000001</v>
      </c>
      <c r="L4113">
        <v>142.84440000000001</v>
      </c>
      <c r="M4113">
        <v>-0.93193970000000004</v>
      </c>
      <c r="N4113">
        <v>0</v>
      </c>
      <c r="O4113">
        <v>-0.36228919999999998</v>
      </c>
      <c r="P4113">
        <v>-0.98122299999999996</v>
      </c>
      <c r="Q4113">
        <v>0.17225499999999999</v>
      </c>
      <c r="R4113">
        <v>-8.6775210000000005E-2</v>
      </c>
      <c r="S4113">
        <v>-3.1146240000000001</v>
      </c>
      <c r="T4113">
        <v>-0.25486530000000002</v>
      </c>
      <c r="U4113">
        <v>0.117004399999999</v>
      </c>
      <c r="V4113">
        <v>0.2784722</v>
      </c>
      <c r="W4113">
        <v>0.18099080000000001</v>
      </c>
      <c r="X4113">
        <v>0.94323679999999999</v>
      </c>
      <c r="Y4113">
        <v>0.3945728</v>
      </c>
      <c r="Z4113">
        <v>4.5229510000000001E-2</v>
      </c>
      <c r="AA4113">
        <v>0.91775079999999998</v>
      </c>
      <c r="AB4113">
        <v>26</v>
      </c>
      <c r="AC4113">
        <v>-13.217599999999999</v>
      </c>
      <c r="AD4113">
        <v>-1.1021558143000001</v>
      </c>
      <c r="AE4113">
        <v>0.59229999999999405</v>
      </c>
      <c r="AF4113">
        <v>5.3044007480191597</v>
      </c>
      <c r="AG4113">
        <v>-1.1021558143000001</v>
      </c>
      <c r="AH4113">
        <v>12.021425167261</v>
      </c>
      <c r="AI4113">
        <v>94.794741672830099</v>
      </c>
      <c r="AJ4113">
        <v>66.190741910278604</v>
      </c>
      <c r="AK4113">
        <v>13.185828672731899</v>
      </c>
      <c r="AL4113">
        <v>79.572524096044305</v>
      </c>
      <c r="AM4113">
        <v>73.551796185411206</v>
      </c>
      <c r="AN4113">
        <v>1.00000004836585</v>
      </c>
    </row>
    <row r="4114" spans="1:40" x14ac:dyDescent="0.25">
      <c r="A4114" t="str">
        <f>"20190312172452578"</f>
        <v>20190312172452578</v>
      </c>
      <c r="B4114" t="str">
        <f>"1552382692573989"</f>
        <v>1552382692573989</v>
      </c>
      <c r="C4114" t="s">
        <v>40</v>
      </c>
      <c r="D4114">
        <v>3.8610579999999999</v>
      </c>
      <c r="E4114">
        <v>0.5496337</v>
      </c>
      <c r="F4114" t="s">
        <v>43</v>
      </c>
      <c r="G4114">
        <v>-221.18969999999999</v>
      </c>
      <c r="H4114" s="1">
        <v>-4.5526850000000003E-6</v>
      </c>
      <c r="I4114">
        <v>143.45849999999999</v>
      </c>
      <c r="J4114">
        <v>-207.44040000000001</v>
      </c>
      <c r="K4114">
        <v>1.1023369999999999</v>
      </c>
      <c r="L4114">
        <v>142.76140000000001</v>
      </c>
      <c r="M4114">
        <v>-0.93605680000000002</v>
      </c>
      <c r="N4114">
        <v>0</v>
      </c>
      <c r="O4114">
        <v>-0.35151660000000001</v>
      </c>
      <c r="P4114">
        <v>-0.98163750000000005</v>
      </c>
      <c r="Q4114">
        <v>0.1730015</v>
      </c>
      <c r="R4114">
        <v>-8.0364740000000004E-2</v>
      </c>
      <c r="S4114">
        <v>-3.1125029999999998</v>
      </c>
      <c r="T4114">
        <v>-0.2450736</v>
      </c>
      <c r="U4114">
        <v>0.1365509</v>
      </c>
      <c r="V4114">
        <v>0.27362969999999998</v>
      </c>
      <c r="W4114">
        <v>0.18193419999999999</v>
      </c>
      <c r="X4114">
        <v>0.94447170000000003</v>
      </c>
      <c r="Y4114">
        <v>0.3899879</v>
      </c>
      <c r="Z4114">
        <v>4.2544789999999999E-2</v>
      </c>
      <c r="AA4114">
        <v>0.9198366</v>
      </c>
      <c r="AB4114">
        <v>26</v>
      </c>
      <c r="AC4114">
        <v>-13.7492999999999</v>
      </c>
      <c r="AD4114">
        <v>-1.102341552685</v>
      </c>
      <c r="AE4114">
        <v>0.69709999999997696</v>
      </c>
      <c r="AF4114">
        <v>5.4513227406201299</v>
      </c>
      <c r="AG4114">
        <v>-1.102341552685</v>
      </c>
      <c r="AH4114">
        <v>12.546120516570401</v>
      </c>
      <c r="AI4114">
        <v>94.607219027342694</v>
      </c>
      <c r="AJ4114">
        <v>66.514925509960406</v>
      </c>
      <c r="AK4114">
        <v>13.723600713278101</v>
      </c>
      <c r="AL4114">
        <v>79.517558509858404</v>
      </c>
      <c r="AM4114">
        <v>73.842788178863998</v>
      </c>
      <c r="AN4114">
        <v>1.0000000289763</v>
      </c>
    </row>
    <row r="4115" spans="1:40" x14ac:dyDescent="0.25">
      <c r="A4115" t="str">
        <f>"20190312172452600"</f>
        <v>20190312172452600</v>
      </c>
      <c r="B4115" t="str">
        <f>"1552382692594485"</f>
        <v>1552382692594485</v>
      </c>
      <c r="C4115" t="s">
        <v>40</v>
      </c>
      <c r="D4115">
        <v>3.8941499999999998</v>
      </c>
      <c r="E4115">
        <v>0.52807490000000001</v>
      </c>
      <c r="F4115" t="s">
        <v>43</v>
      </c>
      <c r="G4115">
        <v>-221.7277</v>
      </c>
      <c r="H4115" s="1">
        <v>-4.3711980000000001E-6</v>
      </c>
      <c r="I4115">
        <v>143.4674</v>
      </c>
      <c r="J4115">
        <v>-207.68889999999999</v>
      </c>
      <c r="K4115">
        <v>1.1025229999999999</v>
      </c>
      <c r="L4115">
        <v>142.68129999999999</v>
      </c>
      <c r="M4115">
        <v>-0.93996299999999999</v>
      </c>
      <c r="N4115">
        <v>0</v>
      </c>
      <c r="O4115">
        <v>-0.34093479999999998</v>
      </c>
      <c r="P4115">
        <v>-0.98224020000000001</v>
      </c>
      <c r="Q4115">
        <v>0.17220239999999901</v>
      </c>
      <c r="R4115">
        <v>-7.4498880000000003E-2</v>
      </c>
      <c r="S4115">
        <v>-3.110992</v>
      </c>
      <c r="T4115">
        <v>-0.24002960000000001</v>
      </c>
      <c r="U4115">
        <v>0.15373229999999999</v>
      </c>
      <c r="V4115">
        <v>0.2685517</v>
      </c>
      <c r="W4115">
        <v>0.18134020000000001</v>
      </c>
      <c r="X4115">
        <v>0.9460421</v>
      </c>
      <c r="Y4115">
        <v>0.38482709999999998</v>
      </c>
      <c r="Z4115">
        <v>4.071702E-2</v>
      </c>
      <c r="AA4115">
        <v>0.92209010000000002</v>
      </c>
      <c r="AB4115">
        <v>26</v>
      </c>
      <c r="AC4115">
        <v>-14.0388</v>
      </c>
      <c r="AD4115">
        <v>-1.1025273711979999</v>
      </c>
      <c r="AE4115">
        <v>0.78610000000000402</v>
      </c>
      <c r="AF4115">
        <v>5.4920968592486696</v>
      </c>
      <c r="AG4115">
        <v>-1.1025273711979999</v>
      </c>
      <c r="AH4115">
        <v>12.8504410954354</v>
      </c>
      <c r="AI4115">
        <v>94.510925374332004</v>
      </c>
      <c r="AJ4115">
        <v>66.858821471852394</v>
      </c>
      <c r="AK4115">
        <v>14.018292722827001</v>
      </c>
      <c r="AL4115">
        <v>79.552167278531996</v>
      </c>
      <c r="AM4115">
        <v>74.152417562702396</v>
      </c>
      <c r="AN4115">
        <v>0.99999996934066904</v>
      </c>
    </row>
    <row r="4116" spans="1:40" x14ac:dyDescent="0.25">
      <c r="A4116" t="str">
        <f>"20190312172452634"</f>
        <v>20190312172452634</v>
      </c>
      <c r="B4116" t="str">
        <f>"1552382692624745"</f>
        <v>1552382692624745</v>
      </c>
      <c r="C4116" t="s">
        <v>40</v>
      </c>
      <c r="D4116">
        <v>3.8740839999999999</v>
      </c>
      <c r="E4116">
        <v>0.51978950000000002</v>
      </c>
      <c r="F4116" t="s">
        <v>43</v>
      </c>
      <c r="G4116">
        <v>-222.1473</v>
      </c>
      <c r="H4116" s="1">
        <v>-4.0897269999999997E-6</v>
      </c>
      <c r="I4116">
        <v>142.68559999999999</v>
      </c>
      <c r="J4116">
        <v>-208.06979999999999</v>
      </c>
      <c r="K4116">
        <v>1.1028180000000001</v>
      </c>
      <c r="L4116">
        <v>142.5643</v>
      </c>
      <c r="M4116">
        <v>-0.94553770000000004</v>
      </c>
      <c r="N4116">
        <v>0</v>
      </c>
      <c r="O4116">
        <v>-0.32515850000000002</v>
      </c>
      <c r="P4116">
        <v>-0.98339750000000004</v>
      </c>
      <c r="Q4116">
        <v>0.16877410000000001</v>
      </c>
      <c r="R4116">
        <v>-6.6669060000000002E-2</v>
      </c>
      <c r="S4116">
        <v>-3.0957180000000002</v>
      </c>
      <c r="T4116">
        <v>-0.23606559999999999</v>
      </c>
      <c r="U4116">
        <v>9.307861E-4</v>
      </c>
      <c r="V4116">
        <v>0.2602254</v>
      </c>
      <c r="W4116">
        <v>0.17823820000000001</v>
      </c>
      <c r="X4116">
        <v>0.94895410000000002</v>
      </c>
      <c r="Y4116">
        <v>0.32362299999999999</v>
      </c>
      <c r="Z4116">
        <v>3.6737119999999998E-2</v>
      </c>
      <c r="AA4116">
        <v>0.94547270000000005</v>
      </c>
      <c r="AB4116">
        <v>26</v>
      </c>
      <c r="AC4116">
        <v>-14.077500000000001</v>
      </c>
      <c r="AD4116">
        <v>-1.102822089727</v>
      </c>
      <c r="AE4116">
        <v>0.12129999999999</v>
      </c>
      <c r="AF4116">
        <v>4.6640318661604603</v>
      </c>
      <c r="AG4116">
        <v>-1.102822089727</v>
      </c>
      <c r="AH4116">
        <v>13.191940799420699</v>
      </c>
      <c r="AI4116">
        <v>94.506573818173194</v>
      </c>
      <c r="AJ4116">
        <v>70.528870214506696</v>
      </c>
      <c r="AK4116">
        <v>14.035551712190401</v>
      </c>
      <c r="AL4116">
        <v>79.732843265496896</v>
      </c>
      <c r="AM4116">
        <v>74.665125554171993</v>
      </c>
      <c r="AN4116">
        <v>0.99999999932560502</v>
      </c>
    </row>
    <row r="4117" spans="1:40" x14ac:dyDescent="0.25">
      <c r="A4117" t="str">
        <f>"20190312172452656"</f>
        <v>20190312172452656</v>
      </c>
      <c r="B4117" t="str">
        <f>"1552382692654022"</f>
        <v>1552382692654022</v>
      </c>
      <c r="C4117" t="s">
        <v>40</v>
      </c>
      <c r="D4117">
        <v>3.8406600000000002</v>
      </c>
      <c r="E4117">
        <v>0.51748950000000005</v>
      </c>
      <c r="F4117" t="s">
        <v>43</v>
      </c>
      <c r="G4117">
        <v>-222.5326</v>
      </c>
      <c r="H4117" s="1">
        <v>-3.9040170000000001E-6</v>
      </c>
      <c r="I4117">
        <v>142.37780000000001</v>
      </c>
      <c r="J4117">
        <v>-208.31950000000001</v>
      </c>
      <c r="K4117">
        <v>1.1029960000000001</v>
      </c>
      <c r="L4117">
        <v>142.49090000000001</v>
      </c>
      <c r="M4117">
        <v>-0.94895629999999997</v>
      </c>
      <c r="N4117">
        <v>0</v>
      </c>
      <c r="O4117">
        <v>-0.31504460000000001</v>
      </c>
      <c r="P4117">
        <v>-0.98398459999999999</v>
      </c>
      <c r="Q4117">
        <v>0.16730909999999999</v>
      </c>
      <c r="R4117">
        <v>-6.1501899999999998E-2</v>
      </c>
      <c r="S4117">
        <v>-3.0883479999999999</v>
      </c>
      <c r="T4117">
        <v>-0.2354946</v>
      </c>
      <c r="U4117">
        <v>-3.9810180000000001E-2</v>
      </c>
      <c r="V4117">
        <v>0.2550327</v>
      </c>
      <c r="W4117">
        <v>0.1769684</v>
      </c>
      <c r="X4117">
        <v>0.95060009999999995</v>
      </c>
      <c r="Y4117">
        <v>0.30105910000000002</v>
      </c>
      <c r="Z4117">
        <v>3.512502E-2</v>
      </c>
      <c r="AA4117">
        <v>0.95295839999999998</v>
      </c>
      <c r="AB4117">
        <v>26</v>
      </c>
      <c r="AC4117">
        <v>-14.213099999999899</v>
      </c>
      <c r="AD4117">
        <v>-1.10299990401699</v>
      </c>
      <c r="AE4117">
        <v>-0.113100000000002</v>
      </c>
      <c r="AF4117">
        <v>4.3447690938247696</v>
      </c>
      <c r="AG4117">
        <v>-1.10299990401699</v>
      </c>
      <c r="AH4117">
        <v>13.4438302396357</v>
      </c>
      <c r="AI4117">
        <v>94.463988431936698</v>
      </c>
      <c r="AJ4117">
        <v>72.090235694998398</v>
      </c>
      <c r="AK4117">
        <v>14.1714571861562</v>
      </c>
      <c r="AL4117">
        <v>79.806772998471601</v>
      </c>
      <c r="AM4117">
        <v>74.981996473538402</v>
      </c>
      <c r="AN4117">
        <v>1.00000002139392</v>
      </c>
    </row>
    <row r="4118" spans="1:40" x14ac:dyDescent="0.25">
      <c r="A4118" t="str">
        <f>"20190312172452678"</f>
        <v>20190312172452678</v>
      </c>
      <c r="B4118" t="str">
        <f>"1552382692674517"</f>
        <v>1552382692674517</v>
      </c>
      <c r="C4118" t="s">
        <v>40</v>
      </c>
      <c r="D4118">
        <v>3.8526340000000001</v>
      </c>
      <c r="E4118">
        <v>0.51657379999999997</v>
      </c>
      <c r="F4118" t="s">
        <v>43</v>
      </c>
      <c r="G4118">
        <v>-222.64349999999999</v>
      </c>
      <c r="H4118" s="1">
        <v>-3.8516079999999999E-6</v>
      </c>
      <c r="I4118">
        <v>142.29750000000001</v>
      </c>
      <c r="J4118">
        <v>-208.56649999999999</v>
      </c>
      <c r="K4118">
        <v>1.103154</v>
      </c>
      <c r="L4118">
        <v>142.42089999999999</v>
      </c>
      <c r="M4118">
        <v>-0.95216020000000001</v>
      </c>
      <c r="N4118">
        <v>0</v>
      </c>
      <c r="O4118">
        <v>-0.3052261</v>
      </c>
      <c r="P4118">
        <v>-0.98455009999999998</v>
      </c>
      <c r="Q4118">
        <v>0.1656463</v>
      </c>
      <c r="R4118">
        <v>-5.676838E-2</v>
      </c>
      <c r="S4118">
        <v>-3.0866549999999999</v>
      </c>
      <c r="T4118">
        <v>-0.2376839</v>
      </c>
      <c r="U4118">
        <v>-4.167175E-2</v>
      </c>
      <c r="V4118">
        <v>0.249749</v>
      </c>
      <c r="W4118">
        <v>0.17549319999999999</v>
      </c>
      <c r="X4118">
        <v>0.95227499999999998</v>
      </c>
      <c r="Y4118">
        <v>0.29063820000000001</v>
      </c>
      <c r="Z4118">
        <v>3.4344099999999898E-2</v>
      </c>
      <c r="AA4118">
        <v>0.95621650000000002</v>
      </c>
      <c r="AB4118">
        <v>26</v>
      </c>
      <c r="AC4118">
        <v>-14.0769999999999</v>
      </c>
      <c r="AD4118">
        <v>-1.1031578516080001</v>
      </c>
      <c r="AE4118">
        <v>-0.123399999999975</v>
      </c>
      <c r="AF4118">
        <v>4.1541381669617596</v>
      </c>
      <c r="AG4118">
        <v>-1.1031578516080001</v>
      </c>
      <c r="AH4118">
        <v>13.360711624150801</v>
      </c>
      <c r="AI4118">
        <v>94.508112397546796</v>
      </c>
      <c r="AJ4118">
        <v>72.728385189776304</v>
      </c>
      <c r="AK4118">
        <v>14.0350431513227</v>
      </c>
      <c r="AL4118">
        <v>79.892639950736907</v>
      </c>
      <c r="AM4118">
        <v>75.304259740529403</v>
      </c>
      <c r="AN4118">
        <v>1.00000005093611</v>
      </c>
    </row>
    <row r="4119" spans="1:40" x14ac:dyDescent="0.25">
      <c r="A4119" t="str">
        <f>"20190312172452703"</f>
        <v>20190312172452703</v>
      </c>
      <c r="B4119" t="str">
        <f>"1552382692694038"</f>
        <v>1552382692694038</v>
      </c>
      <c r="C4119" t="s">
        <v>40</v>
      </c>
      <c r="D4119">
        <v>3.8445390000000002</v>
      </c>
      <c r="E4119">
        <v>0.51580559999999998</v>
      </c>
      <c r="F4119" t="s">
        <v>43</v>
      </c>
      <c r="G4119">
        <v>-222.93170000000001</v>
      </c>
      <c r="H4119" s="1">
        <v>-3.7186120000000002E-6</v>
      </c>
      <c r="I4119">
        <v>142.26220000000001</v>
      </c>
      <c r="J4119">
        <v>-208.85140000000001</v>
      </c>
      <c r="K4119">
        <v>1.1033379999999999</v>
      </c>
      <c r="L4119">
        <v>142.3433</v>
      </c>
      <c r="M4119">
        <v>-0.95563830000000005</v>
      </c>
      <c r="N4119">
        <v>0</v>
      </c>
      <c r="O4119">
        <v>-0.29415799999999998</v>
      </c>
      <c r="P4119">
        <v>-0.98529299999999997</v>
      </c>
      <c r="Q4119">
        <v>0.16299859999999999</v>
      </c>
      <c r="R4119">
        <v>-5.1278110000000002E-2</v>
      </c>
      <c r="S4119">
        <v>-3.0849760000000002</v>
      </c>
      <c r="T4119">
        <v>-0.23690839999999999</v>
      </c>
      <c r="U4119">
        <v>-3.407288E-2</v>
      </c>
      <c r="V4119">
        <v>0.2439867</v>
      </c>
      <c r="W4119">
        <v>0.17305110000000001</v>
      </c>
      <c r="X4119">
        <v>0.95421369999999905</v>
      </c>
      <c r="Y4119">
        <v>0.28194279999999999</v>
      </c>
      <c r="Z4119">
        <v>3.3103130000000001E-2</v>
      </c>
      <c r="AA4119">
        <v>0.95886000000000005</v>
      </c>
      <c r="AB4119">
        <v>26</v>
      </c>
      <c r="AC4119">
        <v>-14.0802999999999</v>
      </c>
      <c r="AD4119">
        <v>-1.103341718612</v>
      </c>
      <c r="AE4119">
        <v>-8.1099999999992095E-2</v>
      </c>
      <c r="AF4119">
        <v>4.0399847300575198</v>
      </c>
      <c r="AG4119">
        <v>-1.103341718612</v>
      </c>
      <c r="AH4119">
        <v>13.3987859568532</v>
      </c>
      <c r="AI4119">
        <v>94.507903795017</v>
      </c>
      <c r="AJ4119">
        <v>73.220957994230403</v>
      </c>
      <c r="AK4119">
        <v>14.038030655497799</v>
      </c>
      <c r="AL4119">
        <v>80.034735811272895</v>
      </c>
      <c r="AM4119">
        <v>75.657119836885798</v>
      </c>
      <c r="AN4119">
        <v>0.99999998912789401</v>
      </c>
    </row>
    <row r="4120" spans="1:40" x14ac:dyDescent="0.25">
      <c r="A4120" t="str">
        <f>"20190312172452725"</f>
        <v>20190312172452725</v>
      </c>
      <c r="B4120" t="str">
        <f>"1552382692714533"</f>
        <v>1552382692714533</v>
      </c>
      <c r="C4120" t="s">
        <v>40</v>
      </c>
      <c r="D4120">
        <v>3.9348179999999999</v>
      </c>
      <c r="E4120">
        <v>0.51523859999999999</v>
      </c>
      <c r="F4120" t="s">
        <v>43</v>
      </c>
      <c r="G4120">
        <v>-222.94829999999999</v>
      </c>
      <c r="H4120" s="1">
        <v>-3.7072670000000002E-6</v>
      </c>
      <c r="I4120">
        <v>142.24639999999999</v>
      </c>
      <c r="J4120">
        <v>-209.10429999999999</v>
      </c>
      <c r="K4120">
        <v>1.1035079999999999</v>
      </c>
      <c r="L4120">
        <v>142.2773</v>
      </c>
      <c r="M4120">
        <v>-0.95853820000000001</v>
      </c>
      <c r="N4120">
        <v>0</v>
      </c>
      <c r="O4120">
        <v>-0.28456859999999901</v>
      </c>
      <c r="P4120">
        <v>-0.98564799999999997</v>
      </c>
      <c r="Q4120">
        <v>0.16207750000000001</v>
      </c>
      <c r="R4120">
        <v>-4.7210439999999999E-2</v>
      </c>
      <c r="S4120">
        <v>-3.083618</v>
      </c>
      <c r="T4120">
        <v>-0.2413498</v>
      </c>
      <c r="U4120">
        <v>-2.1179199999999999E-2</v>
      </c>
      <c r="V4120">
        <v>0.23829690000000001</v>
      </c>
      <c r="W4120">
        <v>0.1723161</v>
      </c>
      <c r="X4120">
        <v>0.9557833</v>
      </c>
      <c r="Y4120">
        <v>0.2763138</v>
      </c>
      <c r="Z4120">
        <v>3.2797079999999999E-2</v>
      </c>
      <c r="AA4120">
        <v>0.96050769999999996</v>
      </c>
      <c r="AB4120">
        <v>26</v>
      </c>
      <c r="AC4120">
        <v>-13.8439999999999</v>
      </c>
      <c r="AD4120">
        <v>-1.103511707267</v>
      </c>
      <c r="AE4120">
        <v>-3.0900000000002498E-2</v>
      </c>
      <c r="AF4120">
        <v>3.8857005829315101</v>
      </c>
      <c r="AG4120">
        <v>-1.103511707267</v>
      </c>
      <c r="AH4120">
        <v>13.196445053490599</v>
      </c>
      <c r="AI4120">
        <v>94.586259558851097</v>
      </c>
      <c r="AJ4120">
        <v>73.592905624988006</v>
      </c>
      <c r="AK4120">
        <v>13.800817698892599</v>
      </c>
      <c r="AL4120">
        <v>80.077490445332401</v>
      </c>
      <c r="AM4120">
        <v>76.000374824391997</v>
      </c>
      <c r="AN4120">
        <v>0.99999998371385401</v>
      </c>
    </row>
    <row r="4121" spans="1:40" x14ac:dyDescent="0.25">
      <c r="A4121" t="str">
        <f>"20190312172452745"</f>
        <v>20190312172452745</v>
      </c>
      <c r="B4121" t="str">
        <f>"1552382692734053"</f>
        <v>1552382692734053</v>
      </c>
      <c r="C4121" t="s">
        <v>40</v>
      </c>
      <c r="D4121">
        <v>3.8675630000000001</v>
      </c>
      <c r="E4121">
        <v>0.51479490000000006</v>
      </c>
      <c r="F4121" t="s">
        <v>43</v>
      </c>
      <c r="G4121">
        <v>-223.21780000000001</v>
      </c>
      <c r="H4121" s="1">
        <v>-3.5863350000000002E-6</v>
      </c>
      <c r="I4121">
        <v>142.22649999999999</v>
      </c>
      <c r="J4121">
        <v>-209.33690000000001</v>
      </c>
      <c r="K4121">
        <v>1.103666</v>
      </c>
      <c r="L4121">
        <v>142.21870000000001</v>
      </c>
      <c r="M4121">
        <v>-0.96106930000000002</v>
      </c>
      <c r="N4121">
        <v>0</v>
      </c>
      <c r="O4121">
        <v>-0.27590130000000002</v>
      </c>
      <c r="P4121">
        <v>-0.98594590000000004</v>
      </c>
      <c r="Q4121">
        <v>0.16133929999999999</v>
      </c>
      <c r="R4121">
        <v>-4.3361900000000002E-2</v>
      </c>
      <c r="S4121">
        <v>-3.0828090000000001</v>
      </c>
      <c r="T4121">
        <v>-0.24104020000000001</v>
      </c>
      <c r="U4121">
        <v>-1.109314E-2</v>
      </c>
      <c r="V4121">
        <v>0.2333365</v>
      </c>
      <c r="W4121">
        <v>0.1717341</v>
      </c>
      <c r="X4121">
        <v>0.95711100000000005</v>
      </c>
      <c r="Y4121">
        <v>0.27082030000000001</v>
      </c>
      <c r="Z4121">
        <v>3.1896929999999997E-2</v>
      </c>
      <c r="AA4121">
        <v>0.96210130000000005</v>
      </c>
      <c r="AB4121">
        <v>26</v>
      </c>
      <c r="AC4121">
        <v>-13.880899999999899</v>
      </c>
      <c r="AD4121">
        <v>-1.1036695863349999</v>
      </c>
      <c r="AE4121">
        <v>7.79999999997471E-3</v>
      </c>
      <c r="AF4121">
        <v>3.81357628677844</v>
      </c>
      <c r="AG4121">
        <v>-1.1036695863349999</v>
      </c>
      <c r="AH4121">
        <v>13.2560483120082</v>
      </c>
      <c r="AI4121">
        <v>94.574637456186593</v>
      </c>
      <c r="AJ4121">
        <v>73.950226668841694</v>
      </c>
      <c r="AK4121">
        <v>13.8377840531342</v>
      </c>
      <c r="AL4121">
        <v>80.111341329245903</v>
      </c>
      <c r="AM4121">
        <v>76.298983574233702</v>
      </c>
      <c r="AN4121">
        <v>0.99999999482803004</v>
      </c>
    </row>
    <row r="4122" spans="1:40" x14ac:dyDescent="0.25">
      <c r="A4122" t="str">
        <f>"20190312172452767"</f>
        <v>20190312172452767</v>
      </c>
      <c r="B4122" t="str">
        <f>"1552382692764309"</f>
        <v>1552382692764309</v>
      </c>
      <c r="C4122" t="s">
        <v>40</v>
      </c>
      <c r="D4122">
        <v>3.8893589999999998</v>
      </c>
      <c r="E4122">
        <v>0.51415119999999903</v>
      </c>
      <c r="F4122" t="s">
        <v>43</v>
      </c>
      <c r="G4122">
        <v>-223.39609999999999</v>
      </c>
      <c r="H4122" s="1">
        <v>-3.5029860000000002E-6</v>
      </c>
      <c r="I4122">
        <v>142.20070000000001</v>
      </c>
      <c r="J4122">
        <v>-209.57239999999999</v>
      </c>
      <c r="K4122">
        <v>1.103826</v>
      </c>
      <c r="L4122">
        <v>142.16149999999999</v>
      </c>
      <c r="M4122">
        <v>-0.96350270000000005</v>
      </c>
      <c r="N4122">
        <v>0</v>
      </c>
      <c r="O4122">
        <v>-0.26728210000000002</v>
      </c>
      <c r="P4122">
        <v>-0.98596260000000002</v>
      </c>
      <c r="Q4122">
        <v>0.16221279999999999</v>
      </c>
      <c r="R4122">
        <v>-3.9557780000000001E-2</v>
      </c>
      <c r="S4122">
        <v>-3.0821839999999998</v>
      </c>
      <c r="T4122">
        <v>-0.24195639999999999</v>
      </c>
      <c r="U4122">
        <v>-3.9367680000000002E-3</v>
      </c>
      <c r="V4122">
        <v>0.22835240000000001</v>
      </c>
      <c r="W4122">
        <v>0.17275470000000001</v>
      </c>
      <c r="X4122">
        <v>0.95812889999999995</v>
      </c>
      <c r="Y4122">
        <v>0.26446039999999998</v>
      </c>
      <c r="Z4122">
        <v>3.1121179999999998E-2</v>
      </c>
      <c r="AA4122">
        <v>0.96389429999999998</v>
      </c>
      <c r="AB4122">
        <v>26</v>
      </c>
      <c r="AC4122">
        <v>-13.823700000000001</v>
      </c>
      <c r="AD4122">
        <v>-1.1038295029859999</v>
      </c>
      <c r="AE4122">
        <v>3.92000000000223E-2</v>
      </c>
      <c r="AF4122">
        <v>3.7093617151183298</v>
      </c>
      <c r="AG4122">
        <v>-1.1038295029859999</v>
      </c>
      <c r="AH4122">
        <v>13.2258491140368</v>
      </c>
      <c r="AI4122">
        <v>94.594377189265103</v>
      </c>
      <c r="AJ4122">
        <v>74.333155558196495</v>
      </c>
      <c r="AK4122">
        <v>13.780453138141599</v>
      </c>
      <c r="AL4122">
        <v>80.051978045817094</v>
      </c>
      <c r="AM4122">
        <v>76.594686566445901</v>
      </c>
      <c r="AN4122">
        <v>0.99999999698652997</v>
      </c>
    </row>
    <row r="4123" spans="1:40" x14ac:dyDescent="0.25">
      <c r="A4123" t="str">
        <f>"20190312172452790"</f>
        <v>20190312172452790</v>
      </c>
      <c r="B4123" t="str">
        <f>"1552382692784806"</f>
        <v>1552382692784806</v>
      </c>
      <c r="C4123" t="s">
        <v>40</v>
      </c>
      <c r="D4123">
        <v>3.8589479999999998</v>
      </c>
      <c r="E4123">
        <v>0.51378789999999996</v>
      </c>
      <c r="F4123" t="s">
        <v>43</v>
      </c>
      <c r="G4123">
        <v>-223.86869999999999</v>
      </c>
      <c r="H4123" s="1">
        <v>-3.290383E-6</v>
      </c>
      <c r="I4123">
        <v>142.1635</v>
      </c>
      <c r="J4123">
        <v>-209.84370000000001</v>
      </c>
      <c r="K4123">
        <v>1.104017</v>
      </c>
      <c r="L4123">
        <v>142.09809999999999</v>
      </c>
      <c r="M4123">
        <v>-0.96614509999999998</v>
      </c>
      <c r="N4123">
        <v>0</v>
      </c>
      <c r="O4123">
        <v>-0.25756960000000001</v>
      </c>
      <c r="P4123">
        <v>-0.98615319999999995</v>
      </c>
      <c r="Q4123">
        <v>0.16211320000000001</v>
      </c>
      <c r="R4123">
        <v>-3.4947659999999998E-2</v>
      </c>
      <c r="S4123">
        <v>-3.0818629999999998</v>
      </c>
      <c r="T4123">
        <v>-0.23795430000000001</v>
      </c>
      <c r="U4123">
        <v>4.577637E-4</v>
      </c>
      <c r="V4123">
        <v>0.22309780000000001</v>
      </c>
      <c r="W4123">
        <v>0.17281489999999999</v>
      </c>
      <c r="X4123">
        <v>0.95935519999999996</v>
      </c>
      <c r="Y4123">
        <v>0.25622549999999999</v>
      </c>
      <c r="Z4123">
        <v>2.9566350000000002E-2</v>
      </c>
      <c r="AA4123">
        <v>0.96616480000000005</v>
      </c>
      <c r="AB4123">
        <v>26</v>
      </c>
      <c r="AC4123">
        <v>-14.024999999999901</v>
      </c>
      <c r="AD4123">
        <v>-1.1040202903829901</v>
      </c>
      <c r="AE4123">
        <v>6.5400000000010894E-2</v>
      </c>
      <c r="AF4123">
        <v>3.6533690470947402</v>
      </c>
      <c r="AG4123">
        <v>-1.1040202903829901</v>
      </c>
      <c r="AH4123">
        <v>13.4514886547157</v>
      </c>
      <c r="AI4123">
        <v>94.528653997993601</v>
      </c>
      <c r="AJ4123">
        <v>74.805234229544595</v>
      </c>
      <c r="AK4123">
        <v>13.9824358830568</v>
      </c>
      <c r="AL4123">
        <v>80.048476290002</v>
      </c>
      <c r="AM4123">
        <v>76.908563633725294</v>
      </c>
      <c r="AN4123">
        <v>1.0000000088969401</v>
      </c>
    </row>
    <row r="4124" spans="1:40" x14ac:dyDescent="0.25">
      <c r="A4124" t="str">
        <f>"20190312172452813"</f>
        <v>20190312172452813</v>
      </c>
      <c r="B4124" t="str">
        <f>"1552382692804329"</f>
        <v>1552382692804329</v>
      </c>
      <c r="C4124" t="s">
        <v>40</v>
      </c>
      <c r="D4124">
        <v>3.8554170000000001</v>
      </c>
      <c r="E4124">
        <v>0.5133683</v>
      </c>
      <c r="F4124" t="s">
        <v>43</v>
      </c>
      <c r="G4124">
        <v>-224.24539999999999</v>
      </c>
      <c r="H4124" s="1">
        <v>-3.126574E-6</v>
      </c>
      <c r="I4124">
        <v>142.15520000000001</v>
      </c>
      <c r="J4124">
        <v>-210.10509999999999</v>
      </c>
      <c r="K4124">
        <v>1.104214</v>
      </c>
      <c r="L4124">
        <v>142.0394</v>
      </c>
      <c r="M4124">
        <v>-0.9685378</v>
      </c>
      <c r="N4124">
        <v>0</v>
      </c>
      <c r="O4124">
        <v>-0.24842339999999999</v>
      </c>
      <c r="P4124">
        <v>-0.98631170000000001</v>
      </c>
      <c r="Q4124">
        <v>0.16198419999999999</v>
      </c>
      <c r="R4124">
        <v>-3.0828060000000001E-2</v>
      </c>
      <c r="S4124">
        <v>-3.0813899999999999</v>
      </c>
      <c r="T4124">
        <v>-0.23621629999999999</v>
      </c>
      <c r="U4124">
        <v>1.223755E-2</v>
      </c>
      <c r="V4124">
        <v>0.2179468</v>
      </c>
      <c r="W4124">
        <v>0.172838299999999</v>
      </c>
      <c r="X4124">
        <v>0.96053429999999995</v>
      </c>
      <c r="Y4124">
        <v>0.25084210000000001</v>
      </c>
      <c r="Z4124">
        <v>2.8469209999999998E-2</v>
      </c>
      <c r="AA4124">
        <v>0.96760930000000001</v>
      </c>
      <c r="AB4124">
        <v>26</v>
      </c>
      <c r="AC4124">
        <v>-14.1402999999999</v>
      </c>
      <c r="AD4124">
        <v>-1.104217126574</v>
      </c>
      <c r="AE4124">
        <v>0.11580000000000699</v>
      </c>
      <c r="AF4124">
        <v>3.6033654474863601</v>
      </c>
      <c r="AG4124">
        <v>-1.104217126574</v>
      </c>
      <c r="AH4124">
        <v>13.58531504251</v>
      </c>
      <c r="AI4124">
        <v>94.492136223588204</v>
      </c>
      <c r="AJ4124">
        <v>75.144938865493302</v>
      </c>
      <c r="AK4124">
        <v>14.098380148620199</v>
      </c>
      <c r="AL4124">
        <v>80.047115132283594</v>
      </c>
      <c r="AM4124">
        <v>77.215953451182102</v>
      </c>
      <c r="AN4124">
        <v>1.0000000135268099</v>
      </c>
    </row>
    <row r="4125" spans="1:40" x14ac:dyDescent="0.25">
      <c r="A4125" t="str">
        <f>"20190312172452835"</f>
        <v>20190312172452835</v>
      </c>
      <c r="B4125" t="str">
        <f>"1552382692824821"</f>
        <v>1552382692824821</v>
      </c>
      <c r="C4125" t="s">
        <v>40</v>
      </c>
      <c r="D4125">
        <v>3.9260079999999999</v>
      </c>
      <c r="E4125">
        <v>0.51314139999999997</v>
      </c>
      <c r="F4125" t="s">
        <v>43</v>
      </c>
      <c r="G4125">
        <v>-224.511</v>
      </c>
      <c r="H4125" s="1">
        <v>-3.0112850000000001E-6</v>
      </c>
      <c r="I4125">
        <v>142.15020000000001</v>
      </c>
      <c r="J4125">
        <v>-210.3526</v>
      </c>
      <c r="K4125">
        <v>1.104403</v>
      </c>
      <c r="L4125">
        <v>141.98599999999999</v>
      </c>
      <c r="M4125">
        <v>-0.97066609999999998</v>
      </c>
      <c r="N4125">
        <v>0</v>
      </c>
      <c r="O4125">
        <v>-0.23997579999999999</v>
      </c>
      <c r="P4125">
        <v>-0.98634120000000003</v>
      </c>
      <c r="Q4125">
        <v>0.16242760000000001</v>
      </c>
      <c r="R4125">
        <v>-2.7359229999999998E-2</v>
      </c>
      <c r="S4125">
        <v>-3.0811769999999998</v>
      </c>
      <c r="T4125">
        <v>-0.23617460000000001</v>
      </c>
      <c r="U4125">
        <v>2.36969E-2</v>
      </c>
      <c r="V4125">
        <v>0.2128555</v>
      </c>
      <c r="W4125">
        <v>0.17342869999999999</v>
      </c>
      <c r="X4125">
        <v>0.96156909999999896</v>
      </c>
      <c r="Y4125">
        <v>0.24604500000000001</v>
      </c>
      <c r="Z4125">
        <v>2.7652779999999998E-2</v>
      </c>
      <c r="AA4125">
        <v>0.96886380000000005</v>
      </c>
      <c r="AB4125">
        <v>26</v>
      </c>
      <c r="AC4125">
        <v>-14.1584</v>
      </c>
      <c r="AD4125">
        <v>-1.104406011285</v>
      </c>
      <c r="AE4125">
        <v>0.164200000000022</v>
      </c>
      <c r="AF4125">
        <v>3.5359344795351202</v>
      </c>
      <c r="AG4125">
        <v>-1.104406011285</v>
      </c>
      <c r="AH4125">
        <v>13.622300698419201</v>
      </c>
      <c r="AI4125">
        <v>94.486968831182594</v>
      </c>
      <c r="AJ4125">
        <v>75.448887473704502</v>
      </c>
      <c r="AK4125">
        <v>14.116997612788699</v>
      </c>
      <c r="AL4125">
        <v>80.012769449810804</v>
      </c>
      <c r="AM4125">
        <v>77.518132143641395</v>
      </c>
      <c r="AN4125">
        <v>1.00000005596937</v>
      </c>
    </row>
    <row r="4126" spans="1:40" x14ac:dyDescent="0.25">
      <c r="A4126" t="str">
        <f>"20190312172452857"</f>
        <v>20190312172452857</v>
      </c>
      <c r="B4126" t="str">
        <f>"1552382692855078"</f>
        <v>1552382692855078</v>
      </c>
      <c r="C4126" t="s">
        <v>40</v>
      </c>
      <c r="D4126">
        <v>3.8834439999999999</v>
      </c>
      <c r="E4126">
        <v>0.51263190000000003</v>
      </c>
      <c r="F4126" t="s">
        <v>43</v>
      </c>
      <c r="G4126">
        <v>-224.8767</v>
      </c>
      <c r="H4126" s="1">
        <v>-2.8523810000000001E-6</v>
      </c>
      <c r="I4126">
        <v>142.14259999999999</v>
      </c>
      <c r="J4126">
        <v>-210.60390000000001</v>
      </c>
      <c r="K4126">
        <v>1.1046049999999901</v>
      </c>
      <c r="L4126">
        <v>141.93389999999999</v>
      </c>
      <c r="M4126">
        <v>-0.97269380000000005</v>
      </c>
      <c r="N4126">
        <v>0</v>
      </c>
      <c r="O4126">
        <v>-0.2316222</v>
      </c>
      <c r="P4126">
        <v>-0.98639319999999997</v>
      </c>
      <c r="Q4126">
        <v>0.16270689999999999</v>
      </c>
      <c r="R4126">
        <v>-2.3565329999999999E-2</v>
      </c>
      <c r="S4126">
        <v>-3.0810390000000001</v>
      </c>
      <c r="T4126">
        <v>-0.2342812</v>
      </c>
      <c r="U4126">
        <v>3.3218379999999999E-2</v>
      </c>
      <c r="V4126">
        <v>0.2081857</v>
      </c>
      <c r="W4126">
        <v>0.17384849999999999</v>
      </c>
      <c r="X4126">
        <v>0.96251520000000002</v>
      </c>
      <c r="Y4126">
        <v>0.24076649999999999</v>
      </c>
      <c r="Z4126">
        <v>2.6613000000000001E-2</v>
      </c>
      <c r="AA4126">
        <v>0.97021809999999997</v>
      </c>
      <c r="AB4126">
        <v>26</v>
      </c>
      <c r="AC4126">
        <v>-14.272799999999901</v>
      </c>
      <c r="AD4126">
        <v>-1.1046078523809999</v>
      </c>
      <c r="AE4126">
        <v>0.208699999999993</v>
      </c>
      <c r="AF4126">
        <v>3.48839133239415</v>
      </c>
      <c r="AG4126">
        <v>-1.1046078523809999</v>
      </c>
      <c r="AH4126">
        <v>13.7538696667291</v>
      </c>
      <c r="AI4126">
        <v>94.451363675405204</v>
      </c>
      <c r="AJ4126">
        <v>75.768185294950996</v>
      </c>
      <c r="AK4126">
        <v>14.232285951485</v>
      </c>
      <c r="AL4126">
        <v>79.988345595720105</v>
      </c>
      <c r="AM4126">
        <v>77.795305697998401</v>
      </c>
      <c r="AN4126">
        <v>1.00000004843388</v>
      </c>
    </row>
    <row r="4127" spans="1:40" x14ac:dyDescent="0.25">
      <c r="A4127" t="str">
        <f>"20190312172452879"</f>
        <v>20190312172452879</v>
      </c>
      <c r="B4127" t="str">
        <f>"1552382692874598"</f>
        <v>1552382692874598</v>
      </c>
      <c r="C4127" t="s">
        <v>40</v>
      </c>
      <c r="D4127">
        <v>3.8899409999999999</v>
      </c>
      <c r="E4127">
        <v>0.51218869999999905</v>
      </c>
      <c r="F4127" t="s">
        <v>43</v>
      </c>
      <c r="G4127">
        <v>-225.02940000000001</v>
      </c>
      <c r="H4127" s="1">
        <v>-2.7806469999999999E-6</v>
      </c>
      <c r="I4127">
        <v>142.11920000000001</v>
      </c>
      <c r="J4127">
        <v>-210.85839999999999</v>
      </c>
      <c r="K4127">
        <v>1.104806</v>
      </c>
      <c r="L4127">
        <v>141.88299999999899</v>
      </c>
      <c r="M4127">
        <v>-0.97461469999999994</v>
      </c>
      <c r="N4127">
        <v>0</v>
      </c>
      <c r="O4127">
        <v>-0.22340499999999999</v>
      </c>
      <c r="P4127">
        <v>-0.98654580000000003</v>
      </c>
      <c r="Q4127">
        <v>0.16226650000000001</v>
      </c>
      <c r="R4127">
        <v>-1.9930199999999999E-2</v>
      </c>
      <c r="S4127">
        <v>-3.081223</v>
      </c>
      <c r="T4127">
        <v>-0.23593939999999999</v>
      </c>
      <c r="U4127">
        <v>3.9596560000000003E-2</v>
      </c>
      <c r="V4127">
        <v>0.20351739999999999</v>
      </c>
      <c r="W4127">
        <v>0.1735526</v>
      </c>
      <c r="X4127">
        <v>0.96356640000000005</v>
      </c>
      <c r="Y4127">
        <v>0.23460259999999999</v>
      </c>
      <c r="Z4127">
        <v>2.5948280000000001E-2</v>
      </c>
      <c r="AA4127">
        <v>0.97174499999999997</v>
      </c>
      <c r="AB4127">
        <v>26</v>
      </c>
      <c r="AC4127">
        <v>-14.170999999999999</v>
      </c>
      <c r="AD4127">
        <v>-1.1048087806469999</v>
      </c>
      <c r="AE4127">
        <v>0.236200000000025</v>
      </c>
      <c r="AF4127">
        <v>3.3759299537504202</v>
      </c>
      <c r="AG4127">
        <v>-1.1048087806469999</v>
      </c>
      <c r="AH4127">
        <v>13.6768781347416</v>
      </c>
      <c r="AI4127">
        <v>94.484271630702395</v>
      </c>
      <c r="AJ4127">
        <v>76.134566165442493</v>
      </c>
      <c r="AK4127">
        <v>14.130622810300901</v>
      </c>
      <c r="AL4127">
        <v>80.005560852066495</v>
      </c>
      <c r="AM4127">
        <v>78.073692775080303</v>
      </c>
      <c r="AN4127">
        <v>1.00000002213923</v>
      </c>
    </row>
    <row r="4128" spans="1:40" x14ac:dyDescent="0.25">
      <c r="A4128" t="str">
        <f>"20190312172452903"</f>
        <v>20190312172452903</v>
      </c>
      <c r="B4128" t="str">
        <f>"1552382692894117"</f>
        <v>1552382692894117</v>
      </c>
      <c r="C4128" t="s">
        <v>40</v>
      </c>
      <c r="D4128">
        <v>3.8752209999999998</v>
      </c>
      <c r="E4128">
        <v>0.51171899999999904</v>
      </c>
      <c r="F4128" t="s">
        <v>43</v>
      </c>
      <c r="G4128">
        <v>-225.20060000000001</v>
      </c>
      <c r="H4128" s="1">
        <v>-2.7018870000000002E-6</v>
      </c>
      <c r="I4128">
        <v>142.0992</v>
      </c>
      <c r="J4128">
        <v>-211.13059999999999</v>
      </c>
      <c r="K4128">
        <v>1.105027</v>
      </c>
      <c r="L4128">
        <v>141.83080000000001</v>
      </c>
      <c r="M4128">
        <v>-0.97652130000000004</v>
      </c>
      <c r="N4128">
        <v>0</v>
      </c>
      <c r="O4128">
        <v>-0.21492149999999999</v>
      </c>
      <c r="P4128">
        <v>-0.98698830000000004</v>
      </c>
      <c r="Q4128">
        <v>0.15990480000000001</v>
      </c>
      <c r="R4128">
        <v>-1.687899E-2</v>
      </c>
      <c r="S4128">
        <v>-3.0808870000000002</v>
      </c>
      <c r="T4128">
        <v>-0.23732700000000001</v>
      </c>
      <c r="U4128">
        <v>4.6463009999999999E-2</v>
      </c>
      <c r="V4128">
        <v>0.1980537</v>
      </c>
      <c r="W4128">
        <v>0.17135729999999999</v>
      </c>
      <c r="X4128">
        <v>0.96509659999999997</v>
      </c>
      <c r="Y4128">
        <v>0.2283406</v>
      </c>
      <c r="Z4128">
        <v>2.5222270000000001E-2</v>
      </c>
      <c r="AA4128">
        <v>0.97325459999999997</v>
      </c>
      <c r="AB4128">
        <v>26</v>
      </c>
      <c r="AC4128">
        <v>-14.07</v>
      </c>
      <c r="AD4128">
        <v>-1.1050297018869999</v>
      </c>
      <c r="AE4128">
        <v>0.26839999999998498</v>
      </c>
      <c r="AF4128">
        <v>3.2662573053181401</v>
      </c>
      <c r="AG4128">
        <v>-1.1050297018869999</v>
      </c>
      <c r="AH4128">
        <v>13.599585429429</v>
      </c>
      <c r="AI4128">
        <v>94.517434722973803</v>
      </c>
      <c r="AJ4128">
        <v>76.494878535417797</v>
      </c>
      <c r="AK4128">
        <v>14.029905604776401</v>
      </c>
      <c r="AL4128">
        <v>80.133255476518201</v>
      </c>
      <c r="AM4128">
        <v>78.402972666720601</v>
      </c>
      <c r="AN4128">
        <v>1.00000001983926</v>
      </c>
    </row>
    <row r="4129" spans="1:40" x14ac:dyDescent="0.25">
      <c r="A4129" t="str">
        <f>"20190312172452926"</f>
        <v>20190312172452926</v>
      </c>
      <c r="B4129" t="str">
        <f>"1552382692914613"</f>
        <v>1552382692914613</v>
      </c>
      <c r="C4129" t="s">
        <v>40</v>
      </c>
      <c r="D4129">
        <v>3.9018540000000002</v>
      </c>
      <c r="E4129">
        <v>0.50277970000000005</v>
      </c>
      <c r="F4129" t="s">
        <v>43</v>
      </c>
      <c r="G4129">
        <v>-225.04560000000001</v>
      </c>
      <c r="H4129" s="1">
        <v>-2.7603949999999999E-6</v>
      </c>
      <c r="I4129">
        <v>142.0693</v>
      </c>
      <c r="J4129">
        <v>-211.38800000000001</v>
      </c>
      <c r="K4129">
        <v>1.105226</v>
      </c>
      <c r="L4129">
        <v>141.7834</v>
      </c>
      <c r="M4129">
        <v>-0.97819089999999997</v>
      </c>
      <c r="N4129">
        <v>0</v>
      </c>
      <c r="O4129">
        <v>-0.2071923</v>
      </c>
      <c r="P4129">
        <v>-0.98744739999999998</v>
      </c>
      <c r="Q4129">
        <v>0.15733249999999999</v>
      </c>
      <c r="R4129">
        <v>-1.393231E-2</v>
      </c>
      <c r="S4129">
        <v>-3.0800779999999999</v>
      </c>
      <c r="T4129">
        <v>-0.24459839999999999</v>
      </c>
      <c r="U4129">
        <v>5.2795410000000001E-2</v>
      </c>
      <c r="V4129">
        <v>0.19324730000000001</v>
      </c>
      <c r="W4129">
        <v>0.16893129999999901</v>
      </c>
      <c r="X4129">
        <v>0.96649770000000002</v>
      </c>
      <c r="Y4129">
        <v>0.22260369999999999</v>
      </c>
      <c r="Z4129">
        <v>2.5169779999999999E-2</v>
      </c>
      <c r="AA4129">
        <v>0.97458400000000001</v>
      </c>
      <c r="AB4129">
        <v>26</v>
      </c>
      <c r="AC4129">
        <v>-13.6576</v>
      </c>
      <c r="AD4129">
        <v>-1.105228760395</v>
      </c>
      <c r="AE4129">
        <v>0.28589999999999799</v>
      </c>
      <c r="AF4129">
        <v>3.0895234392625102</v>
      </c>
      <c r="AG4129">
        <v>-1.105228760395</v>
      </c>
      <c r="AH4129">
        <v>13.215420554385499</v>
      </c>
      <c r="AI4129">
        <v>94.655663020839597</v>
      </c>
      <c r="AJ4129">
        <v>76.841617210439594</v>
      </c>
      <c r="AK4129">
        <v>13.616681905803301</v>
      </c>
      <c r="AL4129">
        <v>80.274312124314704</v>
      </c>
      <c r="AM4129">
        <v>78.693045330263701</v>
      </c>
      <c r="AN4129">
        <v>1.00000005359113</v>
      </c>
    </row>
    <row r="4130" spans="1:40" x14ac:dyDescent="0.25">
      <c r="A4130" t="str">
        <f>"20190312172452946"</f>
        <v>20190312172452946</v>
      </c>
      <c r="B4130" t="str">
        <f>"1552382692944869"</f>
        <v>1552382692944869</v>
      </c>
      <c r="C4130" t="s">
        <v>40</v>
      </c>
      <c r="D4130">
        <v>3.9225680000000001</v>
      </c>
      <c r="E4130">
        <v>0.50252619999999903</v>
      </c>
      <c r="F4130" t="s">
        <v>43</v>
      </c>
      <c r="G4130">
        <v>-224.26220000000001</v>
      </c>
      <c r="H4130" s="1">
        <v>-3.0107240000000001E-6</v>
      </c>
      <c r="I4130">
        <v>141.74700000000001</v>
      </c>
      <c r="J4130">
        <v>-211.6207</v>
      </c>
      <c r="K4130">
        <v>1.1053809999999999</v>
      </c>
      <c r="L4130">
        <v>141.74209999999999</v>
      </c>
      <c r="M4130">
        <v>-0.97960469999999999</v>
      </c>
      <c r="N4130">
        <v>0</v>
      </c>
      <c r="O4130">
        <v>-0.20040479999999999</v>
      </c>
      <c r="P4130">
        <v>-0.98780889999999999</v>
      </c>
      <c r="Q4130">
        <v>0.15526319999999999</v>
      </c>
      <c r="R4130">
        <v>-1.127419E-2</v>
      </c>
      <c r="S4130">
        <v>-3.080139</v>
      </c>
      <c r="T4130">
        <v>-0.2644262</v>
      </c>
      <c r="U4130">
        <v>-8.7127690000000004E-3</v>
      </c>
      <c r="V4130">
        <v>0.1891003</v>
      </c>
      <c r="W4130">
        <v>0.16697909999999999</v>
      </c>
      <c r="X4130">
        <v>0.96765650000000003</v>
      </c>
      <c r="Y4130">
        <v>0.19620290000000001</v>
      </c>
      <c r="Z4130">
        <v>2.5491739999999999E-2</v>
      </c>
      <c r="AA4130">
        <v>0.98023190000000004</v>
      </c>
      <c r="AB4130">
        <v>26</v>
      </c>
      <c r="AC4130">
        <v>-12.641500000000001</v>
      </c>
      <c r="AD4130">
        <v>-1.1053840107240001</v>
      </c>
      <c r="AE4130">
        <v>4.9000000000205502E-3</v>
      </c>
      <c r="AF4130">
        <v>2.51922536597705</v>
      </c>
      <c r="AG4130">
        <v>-1.1053840107240001</v>
      </c>
      <c r="AH4130">
        <v>12.290038493880401</v>
      </c>
      <c r="AI4130">
        <v>95.035296263213098</v>
      </c>
      <c r="AJ4130">
        <v>78.4159140857399</v>
      </c>
      <c r="AK4130">
        <v>12.5941818486478</v>
      </c>
      <c r="AL4130">
        <v>80.387776465811896</v>
      </c>
      <c r="AM4130">
        <v>78.942560687598601</v>
      </c>
      <c r="AN4130">
        <v>1.00000002264457</v>
      </c>
    </row>
    <row r="4131" spans="1:40" x14ac:dyDescent="0.25">
      <c r="A4131" t="str">
        <f>"20190312172452970"</f>
        <v>20190312172452970</v>
      </c>
      <c r="B4131" t="str">
        <f>"1552382692964390"</f>
        <v>1552382692964390</v>
      </c>
      <c r="C4131" t="s">
        <v>40</v>
      </c>
      <c r="D4131">
        <v>3.904442</v>
      </c>
      <c r="E4131">
        <v>0.50230249999999999</v>
      </c>
      <c r="F4131" t="s">
        <v>43</v>
      </c>
      <c r="G4131">
        <v>-224.29759999999999</v>
      </c>
      <c r="H4131" s="1">
        <v>-2.9904300000000002E-6</v>
      </c>
      <c r="I4131">
        <v>141.7278</v>
      </c>
      <c r="J4131">
        <v>-211.8861</v>
      </c>
      <c r="K4131">
        <v>1.1055549999999901</v>
      </c>
      <c r="L4131">
        <v>141.6968</v>
      </c>
      <c r="M4131">
        <v>-0.98110779999999997</v>
      </c>
      <c r="N4131">
        <v>0</v>
      </c>
      <c r="O4131">
        <v>-0.1929138</v>
      </c>
      <c r="P4131">
        <v>-0.98808779999999996</v>
      </c>
      <c r="Q4131">
        <v>0.15365970000000001</v>
      </c>
      <c r="R4131">
        <v>-8.4302519999999992E-3</v>
      </c>
      <c r="S4131">
        <v>-3.0791930000000001</v>
      </c>
      <c r="T4131">
        <v>-0.26849529999999999</v>
      </c>
      <c r="U4131">
        <v>-3.4637449999999998E-3</v>
      </c>
      <c r="V4131">
        <v>0.18442910000000001</v>
      </c>
      <c r="W4131">
        <v>0.16549749999999999</v>
      </c>
      <c r="X4131">
        <v>0.96881189999999995</v>
      </c>
      <c r="Y4131">
        <v>0.19038289999999999</v>
      </c>
      <c r="Z4131">
        <v>2.499579E-2</v>
      </c>
      <c r="AA4131">
        <v>0.98139169999999998</v>
      </c>
      <c r="AB4131">
        <v>26</v>
      </c>
      <c r="AC4131">
        <v>-12.411499999999901</v>
      </c>
      <c r="AD4131">
        <v>-1.1055579904299999</v>
      </c>
      <c r="AE4131">
        <v>3.1000000000005901E-2</v>
      </c>
      <c r="AF4131">
        <v>2.40593121377132</v>
      </c>
      <c r="AG4131">
        <v>-1.1055579904299999</v>
      </c>
      <c r="AH4131">
        <v>12.0765086036114</v>
      </c>
      <c r="AI4131">
        <v>95.130360984042099</v>
      </c>
      <c r="AJ4131">
        <v>78.732821423658294</v>
      </c>
      <c r="AK4131">
        <v>12.363366189218199</v>
      </c>
      <c r="AL4131">
        <v>80.473863596453199</v>
      </c>
      <c r="AM4131">
        <v>79.221780177821799</v>
      </c>
      <c r="AN4131">
        <v>1.00000000650733</v>
      </c>
    </row>
    <row r="4132" spans="1:40" x14ac:dyDescent="0.25">
      <c r="A4132" t="str">
        <f>"20190312172452994"</f>
        <v>20190312172452994</v>
      </c>
      <c r="B4132" t="str">
        <f>"1552382692984886"</f>
        <v>1552382692984886</v>
      </c>
      <c r="C4132" t="s">
        <v>40</v>
      </c>
      <c r="D4132">
        <v>3.8740679999999998</v>
      </c>
      <c r="E4132">
        <v>0.50196549999999995</v>
      </c>
      <c r="F4132" t="s">
        <v>43</v>
      </c>
      <c r="G4132">
        <v>-224.34870000000001</v>
      </c>
      <c r="H4132" s="1">
        <v>-2.963558E-6</v>
      </c>
      <c r="I4132">
        <v>141.70920000000001</v>
      </c>
      <c r="J4132">
        <v>-212.15780000000001</v>
      </c>
      <c r="K4132">
        <v>1.105742</v>
      </c>
      <c r="L4132">
        <v>141.65209999999999</v>
      </c>
      <c r="M4132">
        <v>-0.98253120000000005</v>
      </c>
      <c r="N4132">
        <v>0</v>
      </c>
      <c r="O4132">
        <v>-0.185532</v>
      </c>
      <c r="P4132">
        <v>-0.98820220000000003</v>
      </c>
      <c r="Q4132">
        <v>0.15301049999999999</v>
      </c>
      <c r="R4132">
        <v>-6.6489069999999999E-3</v>
      </c>
      <c r="S4132">
        <v>-3.078659</v>
      </c>
      <c r="T4132">
        <v>-0.27310849999999998</v>
      </c>
      <c r="U4132">
        <v>3.0822750000000002E-3</v>
      </c>
      <c r="V4132">
        <v>0.17880699999999999</v>
      </c>
      <c r="W4132">
        <v>0.16497879999999901</v>
      </c>
      <c r="X4132">
        <v>0.96995370000000003</v>
      </c>
      <c r="Y4132">
        <v>0.185086</v>
      </c>
      <c r="Z4132">
        <v>2.454976E-2</v>
      </c>
      <c r="AA4132">
        <v>0.98241559999999994</v>
      </c>
      <c r="AB4132">
        <v>25</v>
      </c>
      <c r="AC4132">
        <v>-12.190899999999999</v>
      </c>
      <c r="AD4132">
        <v>-1.1057449635579999</v>
      </c>
      <c r="AE4132">
        <v>5.71000000000196E-2</v>
      </c>
      <c r="AF4132">
        <v>2.29923313607115</v>
      </c>
      <c r="AG4132">
        <v>-1.1057449635579999</v>
      </c>
      <c r="AH4132">
        <v>11.8709449757211</v>
      </c>
      <c r="AI4132">
        <v>95.225032949851695</v>
      </c>
      <c r="AJ4132">
        <v>79.038350232921701</v>
      </c>
      <c r="AK4132">
        <v>12.142012994353101</v>
      </c>
      <c r="AL4132">
        <v>80.503997692575794</v>
      </c>
      <c r="AM4132">
        <v>79.5550223530023</v>
      </c>
      <c r="AN4132">
        <v>1.00000006392106</v>
      </c>
    </row>
    <row r="4133" spans="1:40" x14ac:dyDescent="0.25">
      <c r="A4133" t="str">
        <f>"20190312172453016"</f>
        <v>20190312172453016</v>
      </c>
      <c r="B4133" t="str">
        <f>"1552382693004405"</f>
        <v>1552382693004405</v>
      </c>
      <c r="C4133" t="s">
        <v>40</v>
      </c>
      <c r="D4133">
        <v>3.9251900000000002</v>
      </c>
      <c r="E4133">
        <v>0.50165400000000004</v>
      </c>
      <c r="F4133" t="s">
        <v>41</v>
      </c>
      <c r="G4133">
        <v>-212.99440000000001</v>
      </c>
      <c r="H4133">
        <v>1.031074</v>
      </c>
      <c r="I4133">
        <v>141.6542</v>
      </c>
      <c r="J4133">
        <v>-212.40369999999999</v>
      </c>
      <c r="K4133">
        <v>1.105939</v>
      </c>
      <c r="L4133">
        <v>141.61330000000001</v>
      </c>
      <c r="M4133">
        <v>-0.98372079999999995</v>
      </c>
      <c r="N4133">
        <v>0</v>
      </c>
      <c r="O4133">
        <v>-0.17912129999999901</v>
      </c>
      <c r="P4133">
        <v>-0.98826340000000001</v>
      </c>
      <c r="Q4133">
        <v>0.1527338</v>
      </c>
      <c r="R4133">
        <v>-2.9121300000000002E-3</v>
      </c>
      <c r="S4133">
        <v>-3.0783839999999998</v>
      </c>
      <c r="T4133">
        <v>-0.27450980000000003</v>
      </c>
      <c r="U4133">
        <v>6.6680910000000001E-3</v>
      </c>
      <c r="V4133">
        <v>0.17607020000000001</v>
      </c>
      <c r="W4133">
        <v>0.16478689999999999</v>
      </c>
      <c r="X4133">
        <v>0.97048679999999998</v>
      </c>
      <c r="Y4133">
        <v>0.17985179999999901</v>
      </c>
      <c r="Z4133">
        <v>2.3881610000000001E-2</v>
      </c>
      <c r="AA4133">
        <v>0.98340380000000005</v>
      </c>
      <c r="AB4133">
        <v>25</v>
      </c>
      <c r="AC4133">
        <v>-0.59070000000002598</v>
      </c>
      <c r="AD4133">
        <v>-7.4864999999999904E-2</v>
      </c>
      <c r="AE4133">
        <v>4.0899999999993497E-2</v>
      </c>
      <c r="AF4133">
        <v>0.14375823729981699</v>
      </c>
      <c r="AG4133">
        <v>-7.4864999999999904E-2</v>
      </c>
      <c r="AH4133">
        <v>0.56478891043961699</v>
      </c>
      <c r="AI4133">
        <v>97.3200129603687</v>
      </c>
      <c r="AJ4133">
        <v>75.719496163260402</v>
      </c>
      <c r="AK4133">
        <v>0.58758634460998205</v>
      </c>
      <c r="AL4133">
        <v>80.515145035309303</v>
      </c>
      <c r="AM4133">
        <v>79.716982829005801</v>
      </c>
      <c r="AN4133">
        <v>1.0000000333569401</v>
      </c>
    </row>
    <row r="4134" spans="1:40" x14ac:dyDescent="0.25">
      <c r="A4134" t="str">
        <f>"20190312172453037"</f>
        <v>20190312172453037</v>
      </c>
      <c r="B4134" t="str">
        <f>"1552382693034662"</f>
        <v>1552382693034662</v>
      </c>
      <c r="C4134" t="s">
        <v>40</v>
      </c>
      <c r="D4134">
        <v>3.900928</v>
      </c>
      <c r="E4134">
        <v>0.5011989</v>
      </c>
      <c r="F4134" t="s">
        <v>41</v>
      </c>
      <c r="G4134">
        <v>-213.21469999999999</v>
      </c>
      <c r="H4134">
        <v>1.033431</v>
      </c>
      <c r="I4134">
        <v>141.61760000000001</v>
      </c>
      <c r="J4134">
        <v>-212.6472</v>
      </c>
      <c r="K4134">
        <v>1.1061479999999999</v>
      </c>
      <c r="L4134">
        <v>141.5762</v>
      </c>
      <c r="M4134">
        <v>-0.98480909999999999</v>
      </c>
      <c r="N4134">
        <v>0</v>
      </c>
      <c r="O4134">
        <v>-0.1730401</v>
      </c>
      <c r="P4134">
        <v>-0.98832850000000005</v>
      </c>
      <c r="Q4134">
        <v>0.15232599999999999</v>
      </c>
      <c r="R4134">
        <v>-1.9103010000000001E-3</v>
      </c>
      <c r="S4134">
        <v>-3.078201</v>
      </c>
      <c r="T4134">
        <v>-0.27508690000000002</v>
      </c>
      <c r="U4134">
        <v>1.6235349999999999E-2</v>
      </c>
      <c r="V4134">
        <v>0.17096410000000001</v>
      </c>
      <c r="W4134">
        <v>0.16450190000000001</v>
      </c>
      <c r="X4134">
        <v>0.97144759999999997</v>
      </c>
      <c r="Y4134">
        <v>0.17686089999999999</v>
      </c>
      <c r="Z4134">
        <v>2.326456E-2</v>
      </c>
      <c r="AA4134">
        <v>0.98396090000000003</v>
      </c>
      <c r="AB4134">
        <v>25</v>
      </c>
      <c r="AC4134">
        <v>-0.56749999999999501</v>
      </c>
      <c r="AD4134">
        <v>-7.2716999999999907E-2</v>
      </c>
      <c r="AE4134">
        <v>4.1400000000009998E-2</v>
      </c>
      <c r="AF4134">
        <v>0.13675240205858799</v>
      </c>
      <c r="AG4134">
        <v>-7.2716999999999907E-2</v>
      </c>
      <c r="AH4134">
        <v>0.54290608240316396</v>
      </c>
      <c r="AI4134">
        <v>97.400332109830998</v>
      </c>
      <c r="AJ4134">
        <v>75.861903805712799</v>
      </c>
      <c r="AK4134">
        <v>0.564567087127955</v>
      </c>
      <c r="AL4134">
        <v>80.531700124774602</v>
      </c>
      <c r="AM4134">
        <v>80.0187815546454</v>
      </c>
      <c r="AN4134">
        <v>1.0000000190690801</v>
      </c>
    </row>
    <row r="4135" spans="1:40" x14ac:dyDescent="0.25">
      <c r="A4135" t="str">
        <f>"20190312172453060"</f>
        <v>20190312172453060</v>
      </c>
      <c r="B4135" t="str">
        <f>"1552382693054182"</f>
        <v>1552382693054182</v>
      </c>
      <c r="C4135" t="s">
        <v>40</v>
      </c>
      <c r="D4135">
        <v>3.9970810000000001</v>
      </c>
      <c r="E4135">
        <v>0.5012065</v>
      </c>
      <c r="F4135" t="s">
        <v>41</v>
      </c>
      <c r="G4135">
        <v>-213.44</v>
      </c>
      <c r="H4135">
        <v>1.035236</v>
      </c>
      <c r="I4135">
        <v>141.58019999999999</v>
      </c>
      <c r="J4135">
        <v>-212.8954</v>
      </c>
      <c r="K4135">
        <v>1.106392</v>
      </c>
      <c r="L4135">
        <v>141.5395</v>
      </c>
      <c r="M4135">
        <v>-0.98582950000000003</v>
      </c>
      <c r="N4135">
        <v>0</v>
      </c>
      <c r="O4135">
        <v>-0.16713249999999999</v>
      </c>
      <c r="P4135">
        <v>-0.98824270000000003</v>
      </c>
      <c r="Q4135">
        <v>0.15289040000000001</v>
      </c>
      <c r="R4135">
        <v>-9.0480550000000002E-4</v>
      </c>
      <c r="S4135">
        <v>-3.0778810000000001</v>
      </c>
      <c r="T4135">
        <v>-0.27518769999999998</v>
      </c>
      <c r="U4135">
        <v>1.528931E-2</v>
      </c>
      <c r="V4135">
        <v>0.16600889999999999</v>
      </c>
      <c r="W4135">
        <v>0.16518949999999999</v>
      </c>
      <c r="X4135">
        <v>0.97219</v>
      </c>
      <c r="Y4135">
        <v>0.1707021</v>
      </c>
      <c r="Z4135">
        <v>2.2479180000000001E-2</v>
      </c>
      <c r="AA4135">
        <v>0.9850662</v>
      </c>
      <c r="AB4135">
        <v>25</v>
      </c>
      <c r="AC4135">
        <v>-0.54460000000000197</v>
      </c>
      <c r="AD4135">
        <v>-7.1155999999999997E-2</v>
      </c>
      <c r="AE4135">
        <v>4.0699999999986802E-2</v>
      </c>
      <c r="AF4135">
        <v>0.128967765474018</v>
      </c>
      <c r="AG4135">
        <v>-7.1155999999999997E-2</v>
      </c>
      <c r="AH4135">
        <v>0.52128568252295604</v>
      </c>
      <c r="AI4135">
        <v>97.548061106550094</v>
      </c>
      <c r="AJ4135">
        <v>76.103873428567695</v>
      </c>
      <c r="AK4135">
        <v>0.54169606207797605</v>
      </c>
      <c r="AL4135">
        <v>80.4917565430774</v>
      </c>
      <c r="AM4135">
        <v>80.309767980716003</v>
      </c>
      <c r="AN4135">
        <v>0.99999996094472898</v>
      </c>
    </row>
    <row r="4136" spans="1:40" x14ac:dyDescent="0.25">
      <c r="A4136" t="str">
        <f>"20190312172453081"</f>
        <v>20190312172453081</v>
      </c>
      <c r="B4136" t="str">
        <f>"1552382693074677"</f>
        <v>1552382693074677</v>
      </c>
      <c r="C4136" t="s">
        <v>40</v>
      </c>
      <c r="D4136">
        <v>3.9192420000000001</v>
      </c>
      <c r="E4136">
        <v>0.50109700000000001</v>
      </c>
      <c r="F4136" t="s">
        <v>41</v>
      </c>
      <c r="G4136">
        <v>-213.6662</v>
      </c>
      <c r="H4136">
        <v>1.0379969999999901</v>
      </c>
      <c r="I4136">
        <v>141.54390000000001</v>
      </c>
      <c r="J4136">
        <v>-213.14080000000001</v>
      </c>
      <c r="K4136">
        <v>1.1066480000000001</v>
      </c>
      <c r="L4136">
        <v>141.5044</v>
      </c>
      <c r="M4136">
        <v>-0.98675020000000002</v>
      </c>
      <c r="N4136">
        <v>0</v>
      </c>
      <c r="O4136">
        <v>-0.1616107</v>
      </c>
      <c r="P4136">
        <v>-0.98812199999999994</v>
      </c>
      <c r="Q4136">
        <v>0.15366840000000001</v>
      </c>
      <c r="R4136">
        <v>-8.5405069999999999E-4</v>
      </c>
      <c r="S4136">
        <v>-3.0779269999999999</v>
      </c>
      <c r="T4136">
        <v>-0.27298749999999999</v>
      </c>
      <c r="U4136">
        <v>1.6922E-2</v>
      </c>
      <c r="V4136">
        <v>0.16048570000000001</v>
      </c>
      <c r="W4136">
        <v>0.1660971</v>
      </c>
      <c r="X4136">
        <v>0.97296260000000001</v>
      </c>
      <c r="Y4136">
        <v>0.16576920000000001</v>
      </c>
      <c r="Z4136">
        <v>2.1597769999999999E-2</v>
      </c>
      <c r="AA4136">
        <v>0.98592809999999997</v>
      </c>
      <c r="AB4136">
        <v>25</v>
      </c>
      <c r="AC4136">
        <v>-0.52539999999998999</v>
      </c>
      <c r="AD4136">
        <v>-6.8651000000000004E-2</v>
      </c>
      <c r="AE4136">
        <v>3.9500000000003803E-2</v>
      </c>
      <c r="AF4136">
        <v>0.121831305294179</v>
      </c>
      <c r="AG4136">
        <v>-6.8651000000000004E-2</v>
      </c>
      <c r="AH4136">
        <v>0.50355867714180702</v>
      </c>
      <c r="AI4136">
        <v>97.548210902982802</v>
      </c>
      <c r="AJ4136">
        <v>76.399178753124403</v>
      </c>
      <c r="AK4136">
        <v>0.52261569826736998</v>
      </c>
      <c r="AL4136">
        <v>80.439027454316204</v>
      </c>
      <c r="AM4136">
        <v>80.633660668260703</v>
      </c>
      <c r="AN4136">
        <v>1.00000006376582</v>
      </c>
    </row>
    <row r="4137" spans="1:40" x14ac:dyDescent="0.25">
      <c r="A4137" t="str">
        <f>"20190312172453105"</f>
        <v>20190312172453105</v>
      </c>
      <c r="B4137" t="str">
        <f>"1552382693094199"</f>
        <v>1552382693094199</v>
      </c>
      <c r="C4137" t="s">
        <v>40</v>
      </c>
      <c r="D4137">
        <v>3.9177590000000002</v>
      </c>
      <c r="E4137">
        <v>0.50098880000000001</v>
      </c>
      <c r="F4137" t="s">
        <v>41</v>
      </c>
      <c r="G4137">
        <v>-213.8922</v>
      </c>
      <c r="H4137">
        <v>1.040667</v>
      </c>
      <c r="I4137">
        <v>141.50829999999999</v>
      </c>
      <c r="J4137">
        <v>-213.41640000000001</v>
      </c>
      <c r="K4137">
        <v>1.1069329999999999</v>
      </c>
      <c r="L4137">
        <v>141.46629999999999</v>
      </c>
      <c r="M4137">
        <v>-0.98767859999999996</v>
      </c>
      <c r="N4137">
        <v>0</v>
      </c>
      <c r="O4137">
        <v>-0.15584129999999999</v>
      </c>
      <c r="P4137">
        <v>-0.98823289999999997</v>
      </c>
      <c r="Q4137">
        <v>0.1529529</v>
      </c>
      <c r="R4137">
        <v>-1.1966469999999999E-3</v>
      </c>
      <c r="S4137">
        <v>-3.0780940000000001</v>
      </c>
      <c r="T4137">
        <v>-0.27017740000000001</v>
      </c>
      <c r="U4137">
        <v>1.564026E-2</v>
      </c>
      <c r="V4137">
        <v>0.154335</v>
      </c>
      <c r="W4137">
        <v>0.16552620000000001</v>
      </c>
      <c r="X4137">
        <v>0.97405430000000004</v>
      </c>
      <c r="Y4137">
        <v>0.15966459999999999</v>
      </c>
      <c r="Z4137">
        <v>2.0606940000000001E-2</v>
      </c>
      <c r="AA4137">
        <v>0.98695619999999995</v>
      </c>
      <c r="AB4137">
        <v>25</v>
      </c>
      <c r="AC4137">
        <v>-0.47579999999999201</v>
      </c>
      <c r="AD4137">
        <v>-6.6265999999999894E-2</v>
      </c>
      <c r="AE4137">
        <v>4.2000000000001501E-2</v>
      </c>
      <c r="AF4137">
        <v>0.113459860024008</v>
      </c>
      <c r="AG4137">
        <v>-6.6265999999999894E-2</v>
      </c>
      <c r="AH4137">
        <v>0.45468816941790502</v>
      </c>
      <c r="AI4137">
        <v>98.048466140142693</v>
      </c>
      <c r="AJ4137">
        <v>75.988923848823603</v>
      </c>
      <c r="AK4137">
        <v>0.47329235573931799</v>
      </c>
      <c r="AL4137">
        <v>80.472196121459405</v>
      </c>
      <c r="AM4137">
        <v>80.996559674774005</v>
      </c>
      <c r="AN4137">
        <v>0.99999999722996402</v>
      </c>
    </row>
    <row r="4138" spans="1:40" x14ac:dyDescent="0.25">
      <c r="A4138" t="str">
        <f>"20190312172453129"</f>
        <v>20190312172453129</v>
      </c>
      <c r="B4138" t="str">
        <f>"1552382693124454"</f>
        <v>1552382693124454</v>
      </c>
      <c r="C4138" t="s">
        <v>40</v>
      </c>
      <c r="D4138">
        <v>3.9147609999999999</v>
      </c>
      <c r="E4138">
        <v>0.50092570000000003</v>
      </c>
      <c r="F4138" t="s">
        <v>41</v>
      </c>
      <c r="G4138">
        <v>-214.33529999999999</v>
      </c>
      <c r="H4138">
        <v>1.025425</v>
      </c>
      <c r="I4138">
        <v>141.4709</v>
      </c>
      <c r="J4138">
        <v>-213.673</v>
      </c>
      <c r="K4138">
        <v>1.1071899999999999</v>
      </c>
      <c r="L4138">
        <v>141.43180000000001</v>
      </c>
      <c r="M4138">
        <v>-0.98845510000000003</v>
      </c>
      <c r="N4138">
        <v>0</v>
      </c>
      <c r="O4138">
        <v>-0.15084149999999999</v>
      </c>
      <c r="P4138">
        <v>-0.98845740000000004</v>
      </c>
      <c r="Q4138">
        <v>0.15148699999999901</v>
      </c>
      <c r="R4138">
        <v>-2.058186E-3</v>
      </c>
      <c r="S4138">
        <v>-3.0779719999999999</v>
      </c>
      <c r="T4138">
        <v>-0.27289950000000002</v>
      </c>
      <c r="U4138">
        <v>1.48468E-2</v>
      </c>
      <c r="V4138">
        <v>0.14845429999999901</v>
      </c>
      <c r="W4138">
        <v>0.16418820000000001</v>
      </c>
      <c r="X4138">
        <v>0.97519409999999895</v>
      </c>
      <c r="Y4138">
        <v>0.15442899999999901</v>
      </c>
      <c r="Z4138">
        <v>2.0144309999999999E-2</v>
      </c>
      <c r="AA4138">
        <v>0.98779850000000002</v>
      </c>
      <c r="AB4138">
        <v>25</v>
      </c>
      <c r="AC4138">
        <v>-0.66229999999998701</v>
      </c>
      <c r="AD4138">
        <v>-8.1764999999999796E-2</v>
      </c>
      <c r="AE4138">
        <v>3.9099999999990503E-2</v>
      </c>
      <c r="AF4138">
        <v>0.13649190495722499</v>
      </c>
      <c r="AG4138">
        <v>-8.1764999999999796E-2</v>
      </c>
      <c r="AH4138">
        <v>0.63911470316154695</v>
      </c>
      <c r="AI4138">
        <v>97.131414079120105</v>
      </c>
      <c r="AJ4138">
        <v>77.944783457306002</v>
      </c>
      <c r="AK4138">
        <v>0.658622167210552</v>
      </c>
      <c r="AL4138">
        <v>80.549921277033604</v>
      </c>
      <c r="AM4138">
        <v>81.3442885856103</v>
      </c>
      <c r="AN4138">
        <v>0.99999998844126903</v>
      </c>
    </row>
    <row r="4139" spans="1:40" x14ac:dyDescent="0.25">
      <c r="A4139" t="str">
        <f>"20190312172453148"</f>
        <v>20190312172453148</v>
      </c>
      <c r="B4139" t="str">
        <f>"1552382693144951"</f>
        <v>1552382693144951</v>
      </c>
      <c r="C4139" t="s">
        <v>40</v>
      </c>
      <c r="D4139">
        <v>3.8866290000000001</v>
      </c>
      <c r="E4139">
        <v>0.50088940000000004</v>
      </c>
      <c r="F4139" t="s">
        <v>41</v>
      </c>
      <c r="G4139">
        <v>-214.5598</v>
      </c>
      <c r="H4139">
        <v>1.0273680000000001</v>
      </c>
      <c r="I4139">
        <v>141.43539999999999</v>
      </c>
      <c r="J4139">
        <v>-213.90710000000001</v>
      </c>
      <c r="K4139">
        <v>1.107391</v>
      </c>
      <c r="L4139">
        <v>141.40110000000001</v>
      </c>
      <c r="M4139">
        <v>-0.98910140000000002</v>
      </c>
      <c r="N4139">
        <v>0</v>
      </c>
      <c r="O4139">
        <v>-0.1465466</v>
      </c>
      <c r="P4139">
        <v>-0.9886142</v>
      </c>
      <c r="Q4139">
        <v>0.15043779999999901</v>
      </c>
      <c r="R4139">
        <v>-3.2490000000000002E-3</v>
      </c>
      <c r="S4139">
        <v>-3.077515</v>
      </c>
      <c r="T4139">
        <v>-0.27697110000000003</v>
      </c>
      <c r="U4139">
        <v>1.2573239999999999E-2</v>
      </c>
      <c r="V4139">
        <v>0.1429578</v>
      </c>
      <c r="W4139">
        <v>0.16324079999999999</v>
      </c>
      <c r="X4139">
        <v>0.97617390000000004</v>
      </c>
      <c r="Y4139">
        <v>0.1494085</v>
      </c>
      <c r="Z4139">
        <v>1.9838479999999999E-2</v>
      </c>
      <c r="AA4139">
        <v>0.98857649999999997</v>
      </c>
      <c r="AB4139">
        <v>25</v>
      </c>
      <c r="AC4139">
        <v>-0.65269999999998096</v>
      </c>
      <c r="AD4139">
        <v>-8.00229999999999E-2</v>
      </c>
      <c r="AE4139">
        <v>3.4299999999973303E-2</v>
      </c>
      <c r="AF4139">
        <v>0.12767638378996499</v>
      </c>
      <c r="AG4139">
        <v>-8.00229999999999E-2</v>
      </c>
      <c r="AH4139">
        <v>0.63116359667263899</v>
      </c>
      <c r="AI4139">
        <v>97.083795973365298</v>
      </c>
      <c r="AJ4139">
        <v>78.564110637021201</v>
      </c>
      <c r="AK4139">
        <v>0.64890093640818802</v>
      </c>
      <c r="AL4139">
        <v>80.604945692434001</v>
      </c>
      <c r="AM4139">
        <v>81.668426242748197</v>
      </c>
      <c r="AN4139">
        <v>0.99999998720334404</v>
      </c>
    </row>
    <row r="4140" spans="1:40" x14ac:dyDescent="0.25">
      <c r="A4140" t="str">
        <f>"20190312172453170"</f>
        <v>20190312172453170</v>
      </c>
      <c r="B4140" t="str">
        <f>"1552382693164470"</f>
        <v>1552382693164470</v>
      </c>
      <c r="C4140" t="s">
        <v>40</v>
      </c>
      <c r="D4140">
        <v>3.9823719999999998</v>
      </c>
      <c r="E4140">
        <v>0.50089259999999902</v>
      </c>
      <c r="F4140" t="s">
        <v>41</v>
      </c>
      <c r="G4140">
        <v>-214.78370000000001</v>
      </c>
      <c r="H4140">
        <v>1.0276559999999999</v>
      </c>
      <c r="I4140">
        <v>141.40350000000001</v>
      </c>
      <c r="J4140">
        <v>-214.15020000000001</v>
      </c>
      <c r="K4140">
        <v>1.1075969999999999</v>
      </c>
      <c r="L4140">
        <v>141.37010000000001</v>
      </c>
      <c r="M4140">
        <v>-0.98971160000000002</v>
      </c>
      <c r="N4140">
        <v>0</v>
      </c>
      <c r="O4140">
        <v>-0.1423692</v>
      </c>
      <c r="P4140">
        <v>-0.98859790000000003</v>
      </c>
      <c r="Q4140">
        <v>0.1505039</v>
      </c>
      <c r="R4140">
        <v>-4.7695130000000004E-3</v>
      </c>
      <c r="S4140">
        <v>-3.0771329999999999</v>
      </c>
      <c r="T4140">
        <v>-0.27980690000000003</v>
      </c>
      <c r="U4140">
        <v>7.6141359999999996E-3</v>
      </c>
      <c r="V4140">
        <v>0.13723779999999999</v>
      </c>
      <c r="W4140">
        <v>0.1633984</v>
      </c>
      <c r="X4140">
        <v>0.97696819999999895</v>
      </c>
      <c r="Y4140">
        <v>0.14365520000000001</v>
      </c>
      <c r="Z4140">
        <v>1.9405740000000001E-2</v>
      </c>
      <c r="AA4140">
        <v>0.98943749999999997</v>
      </c>
      <c r="AB4140">
        <v>25</v>
      </c>
      <c r="AC4140">
        <v>-0.63349999999999795</v>
      </c>
      <c r="AD4140">
        <v>-7.9940999999999998E-2</v>
      </c>
      <c r="AE4140">
        <v>3.3400000000000298E-2</v>
      </c>
      <c r="AF4140">
        <v>0.121332980195555</v>
      </c>
      <c r="AG4140">
        <v>-7.9940999999999998E-2</v>
      </c>
      <c r="AH4140">
        <v>0.61256273965317798</v>
      </c>
      <c r="AI4140">
        <v>97.295068138458703</v>
      </c>
      <c r="AJ4140">
        <v>78.796193566022296</v>
      </c>
      <c r="AK4140">
        <v>0.62955966006053898</v>
      </c>
      <c r="AL4140">
        <v>80.595793651610904</v>
      </c>
      <c r="AM4140">
        <v>82.003802997732905</v>
      </c>
      <c r="AN4140">
        <v>1.0000000573413099</v>
      </c>
    </row>
    <row r="4141" spans="1:40" x14ac:dyDescent="0.25">
      <c r="A4141" t="str">
        <f>"20190312172453193"</f>
        <v>20190312172453193</v>
      </c>
      <c r="B4141" t="str">
        <f>"1552382693184966"</f>
        <v>1552382693184966</v>
      </c>
      <c r="C4141" t="s">
        <v>40</v>
      </c>
      <c r="D4141">
        <v>3.9513820000000002</v>
      </c>
      <c r="E4141">
        <v>0.50094359999999905</v>
      </c>
      <c r="F4141" t="s">
        <v>41</v>
      </c>
      <c r="G4141">
        <v>-215.00810000000001</v>
      </c>
      <c r="H4141">
        <v>1.029687</v>
      </c>
      <c r="I4141">
        <v>141.3708</v>
      </c>
      <c r="J4141">
        <v>-214.4144</v>
      </c>
      <c r="K4141">
        <v>1.107818</v>
      </c>
      <c r="L4141">
        <v>141.3372</v>
      </c>
      <c r="M4141">
        <v>-0.99030890000000005</v>
      </c>
      <c r="N4141">
        <v>0</v>
      </c>
      <c r="O4141">
        <v>-0.1381578</v>
      </c>
      <c r="P4141">
        <v>-0.9885041</v>
      </c>
      <c r="Q4141">
        <v>0.15104049999999999</v>
      </c>
      <c r="R4141">
        <v>-6.842468E-3</v>
      </c>
      <c r="S4141">
        <v>-3.0771480000000002</v>
      </c>
      <c r="T4141">
        <v>-0.2794954</v>
      </c>
      <c r="U4141">
        <v>2.7770999999999998E-3</v>
      </c>
      <c r="V4141">
        <v>0.13092329999999999</v>
      </c>
      <c r="W4141">
        <v>0.16402729999999999</v>
      </c>
      <c r="X4141">
        <v>0.97772910000000002</v>
      </c>
      <c r="Y4141">
        <v>0.13793150000000001</v>
      </c>
      <c r="Z4141">
        <v>1.8745459999999999E-2</v>
      </c>
      <c r="AA4141">
        <v>0.99026440000000004</v>
      </c>
      <c r="AB4141">
        <v>25</v>
      </c>
      <c r="AC4141">
        <v>-0.593700000000012</v>
      </c>
      <c r="AD4141">
        <v>-7.8130999999999895E-2</v>
      </c>
      <c r="AE4141">
        <v>3.3600000000006902E-2</v>
      </c>
      <c r="AF4141">
        <v>0.113353383375473</v>
      </c>
      <c r="AG4141">
        <v>-7.8130999999999895E-2</v>
      </c>
      <c r="AH4141">
        <v>0.57346297180435701</v>
      </c>
      <c r="AI4141">
        <v>97.612925971295496</v>
      </c>
      <c r="AJ4141">
        <v>78.818781965193693</v>
      </c>
      <c r="AK4141">
        <v>0.58975691832682398</v>
      </c>
      <c r="AL4141">
        <v>80.559267261070104</v>
      </c>
      <c r="AM4141">
        <v>82.373149168266394</v>
      </c>
      <c r="AN4141">
        <v>1.00000002930749</v>
      </c>
    </row>
    <row r="4142" spans="1:40" x14ac:dyDescent="0.25">
      <c r="A4142" t="str">
        <f>"20190312172453215"</f>
        <v>20190312172453215</v>
      </c>
      <c r="B4142" t="str">
        <f>"1552382693204489"</f>
        <v>1552382693204489</v>
      </c>
      <c r="C4142" t="s">
        <v>40</v>
      </c>
      <c r="D4142">
        <v>3.94129</v>
      </c>
      <c r="E4142">
        <v>0.5010867</v>
      </c>
      <c r="F4142" t="s">
        <v>41</v>
      </c>
      <c r="G4142">
        <v>-215.2329</v>
      </c>
      <c r="H4142">
        <v>1.0338799999999999</v>
      </c>
      <c r="I4142">
        <v>141.33680000000001</v>
      </c>
      <c r="J4142">
        <v>-214.65119999999999</v>
      </c>
      <c r="K4142">
        <v>1.1080159999999999</v>
      </c>
      <c r="L4142">
        <v>141.30840000000001</v>
      </c>
      <c r="M4142">
        <v>-0.99079079999999997</v>
      </c>
      <c r="N4142">
        <v>0</v>
      </c>
      <c r="O4142">
        <v>-0.1346617</v>
      </c>
      <c r="P4142">
        <v>-0.98811450000000001</v>
      </c>
      <c r="Q4142">
        <v>0.1534449</v>
      </c>
      <c r="R4142">
        <v>-9.2006610000000006E-3</v>
      </c>
      <c r="S4142">
        <v>-3.0773470000000001</v>
      </c>
      <c r="T4142">
        <v>-0.27785910000000003</v>
      </c>
      <c r="U4142">
        <v>-2.4566649999999998E-3</v>
      </c>
      <c r="V4142">
        <v>0.1250106</v>
      </c>
      <c r="W4142">
        <v>0.1665085</v>
      </c>
      <c r="X4142">
        <v>0.97808349999999999</v>
      </c>
      <c r="Y4142">
        <v>0.13279850000000001</v>
      </c>
      <c r="Z4142">
        <v>1.8090519999999999E-2</v>
      </c>
      <c r="AA4142">
        <v>0.99097789999999997</v>
      </c>
      <c r="AB4142">
        <v>25</v>
      </c>
      <c r="AC4142">
        <v>-0.58170000000001199</v>
      </c>
      <c r="AD4142">
        <v>-7.4135999999999896E-2</v>
      </c>
      <c r="AE4142">
        <v>2.84000000000048E-2</v>
      </c>
      <c r="AF4142">
        <v>0.10478387514333699</v>
      </c>
      <c r="AG4142">
        <v>-7.4135999999999896E-2</v>
      </c>
      <c r="AH4142">
        <v>0.56344566706935095</v>
      </c>
      <c r="AI4142">
        <v>97.370749596395399</v>
      </c>
      <c r="AJ4142">
        <v>79.4650648202947</v>
      </c>
      <c r="AK4142">
        <v>0.57788132581463503</v>
      </c>
      <c r="AL4142">
        <v>80.415122788424497</v>
      </c>
      <c r="AM4142">
        <v>82.716413917805795</v>
      </c>
      <c r="AN4142">
        <v>1.0000000318284199</v>
      </c>
    </row>
    <row r="4143" spans="1:40" x14ac:dyDescent="0.25">
      <c r="A4143" t="str">
        <f>"20190312172453237"</f>
        <v>20190312172453237</v>
      </c>
      <c r="B4143" t="str">
        <f>"1552382693234742"</f>
        <v>1552382693234742</v>
      </c>
      <c r="C4143" t="s">
        <v>40</v>
      </c>
      <c r="D4143">
        <v>4.0292909999999997</v>
      </c>
      <c r="E4143">
        <v>0.50285760000000002</v>
      </c>
      <c r="F4143" t="s">
        <v>41</v>
      </c>
      <c r="G4143">
        <v>-215.45769999999999</v>
      </c>
      <c r="H4143">
        <v>1.0371159999999999</v>
      </c>
      <c r="I4143">
        <v>141.3065</v>
      </c>
      <c r="J4143">
        <v>-214.89699999999999</v>
      </c>
      <c r="K4143">
        <v>1.1082399999999999</v>
      </c>
      <c r="L4143">
        <v>141.279</v>
      </c>
      <c r="M4143">
        <v>-0.99124159999999994</v>
      </c>
      <c r="N4143">
        <v>0</v>
      </c>
      <c r="O4143">
        <v>-0.13130530000000001</v>
      </c>
      <c r="P4143">
        <v>-0.98764890000000005</v>
      </c>
      <c r="Q4143">
        <v>0.15624879999999999</v>
      </c>
      <c r="R4143">
        <v>-1.167325E-2</v>
      </c>
      <c r="S4143">
        <v>-3.0780789999999998</v>
      </c>
      <c r="T4143">
        <v>-0.27064250000000001</v>
      </c>
      <c r="U4143">
        <v>-7.2631839999999998E-3</v>
      </c>
      <c r="V4143">
        <v>0.11910560000000001</v>
      </c>
      <c r="W4143">
        <v>0.16938710000000001</v>
      </c>
      <c r="X4143">
        <v>0.97832600000000003</v>
      </c>
      <c r="Y4143">
        <v>0.1279807</v>
      </c>
      <c r="Z4143">
        <v>1.7114040000000001E-2</v>
      </c>
      <c r="AA4143">
        <v>0.99162899999999998</v>
      </c>
      <c r="AB4143">
        <v>25</v>
      </c>
      <c r="AC4143">
        <v>-0.560699999999968</v>
      </c>
      <c r="AD4143">
        <v>-7.1123999999999896E-2</v>
      </c>
      <c r="AE4143">
        <v>2.75000000000034E-2</v>
      </c>
      <c r="AF4143">
        <v>9.9298136687752905E-2</v>
      </c>
      <c r="AG4143">
        <v>-7.1123999999999896E-2</v>
      </c>
      <c r="AH4143">
        <v>0.54350884493065099</v>
      </c>
      <c r="AI4143">
        <v>97.335344917389094</v>
      </c>
      <c r="AJ4143">
        <v>79.646348253949697</v>
      </c>
      <c r="AK4143">
        <v>0.55706427622269095</v>
      </c>
      <c r="AL4143">
        <v>80.247813809674199</v>
      </c>
      <c r="AM4143">
        <v>83.058725513133297</v>
      </c>
      <c r="AN4143">
        <v>0.99999994793688296</v>
      </c>
    </row>
    <row r="4144" spans="1:40" x14ac:dyDescent="0.25">
      <c r="A4144" t="str">
        <f>"20190312172453260"</f>
        <v>20190312172453260</v>
      </c>
      <c r="B4144" t="str">
        <f>"1552382693254262"</f>
        <v>1552382693254262</v>
      </c>
      <c r="C4144" t="s">
        <v>40</v>
      </c>
      <c r="D4144">
        <v>3.9364319999999999</v>
      </c>
      <c r="E4144">
        <v>0.50482229999999995</v>
      </c>
      <c r="F4144" t="s">
        <v>41</v>
      </c>
      <c r="G4144">
        <v>-215.67509999999999</v>
      </c>
      <c r="H4144">
        <v>1.025595</v>
      </c>
      <c r="I4144">
        <v>141.2792</v>
      </c>
      <c r="J4144">
        <v>-215.1489</v>
      </c>
      <c r="K4144">
        <v>1.1084799999999999</v>
      </c>
      <c r="L4144">
        <v>141.24950000000001</v>
      </c>
      <c r="M4144">
        <v>-0.99165479999999995</v>
      </c>
      <c r="N4144">
        <v>0</v>
      </c>
      <c r="O4144">
        <v>-0.1281505</v>
      </c>
      <c r="P4144">
        <v>-0.98737140000000001</v>
      </c>
      <c r="Q4144">
        <v>0.15772929999999999</v>
      </c>
      <c r="R4144">
        <v>-1.4819529999999999E-2</v>
      </c>
      <c r="S4144">
        <v>-3.089432</v>
      </c>
      <c r="T4144">
        <v>-0.32809090000000002</v>
      </c>
      <c r="U4144">
        <v>2.5939939999999997E-4</v>
      </c>
      <c r="V4144">
        <v>0.1127421</v>
      </c>
      <c r="W4144">
        <v>0.17094619999999999</v>
      </c>
      <c r="X4144">
        <v>0.97880880000000003</v>
      </c>
      <c r="Y4144">
        <v>0.1268157</v>
      </c>
      <c r="Z4144">
        <v>2.0259220000000001E-2</v>
      </c>
      <c r="AA4144">
        <v>0.99171940000000003</v>
      </c>
      <c r="AB4144">
        <v>25</v>
      </c>
      <c r="AC4144">
        <v>-0.52619999999998801</v>
      </c>
      <c r="AD4144">
        <v>-8.2884999999999806E-2</v>
      </c>
      <c r="AE4144">
        <v>2.9699999999991102E-2</v>
      </c>
      <c r="AF4144">
        <v>9.4555934625807095E-2</v>
      </c>
      <c r="AG4144">
        <v>-8.2884999999999806E-2</v>
      </c>
      <c r="AH4144">
        <v>0.50555047844628198</v>
      </c>
      <c r="AI4144">
        <v>99.154814250347599</v>
      </c>
      <c r="AJ4144">
        <v>79.406051638413501</v>
      </c>
      <c r="AK4144">
        <v>0.52095300580304205</v>
      </c>
      <c r="AL4144">
        <v>80.157162585461705</v>
      </c>
      <c r="AM4144">
        <v>83.429457507490397</v>
      </c>
      <c r="AN4144">
        <v>1.00000002568214</v>
      </c>
    </row>
    <row r="4145" spans="1:40" x14ac:dyDescent="0.25">
      <c r="A4145" t="str">
        <f>"20190312172453282"</f>
        <v>20190312172453282</v>
      </c>
      <c r="B4145" t="str">
        <f>"1552382693274758"</f>
        <v>1552382693274758</v>
      </c>
      <c r="C4145" t="s">
        <v>40</v>
      </c>
      <c r="D4145">
        <v>3.9294229999999999</v>
      </c>
      <c r="E4145">
        <v>0.50515169999999998</v>
      </c>
      <c r="F4145" t="s">
        <v>41</v>
      </c>
      <c r="G4145">
        <v>-215.911</v>
      </c>
      <c r="H4145">
        <v>1.0468</v>
      </c>
      <c r="I4145">
        <v>141.2508</v>
      </c>
      <c r="J4145">
        <v>-215.39750000000001</v>
      </c>
      <c r="K4145">
        <v>1.108711</v>
      </c>
      <c r="L4145">
        <v>141.22069999999999</v>
      </c>
      <c r="M4145">
        <v>-0.9920158</v>
      </c>
      <c r="N4145">
        <v>0</v>
      </c>
      <c r="O4145">
        <v>-0.1253272</v>
      </c>
      <c r="P4145">
        <v>-0.98728289999999996</v>
      </c>
      <c r="Q4145">
        <v>0.1578302</v>
      </c>
      <c r="R4145">
        <v>-1.9026339999999999E-2</v>
      </c>
      <c r="S4145">
        <v>-3.0782470000000002</v>
      </c>
      <c r="T4145">
        <v>-0.249141</v>
      </c>
      <c r="U4145">
        <v>5.2185060000000004E-3</v>
      </c>
      <c r="V4145">
        <v>0.105672</v>
      </c>
      <c r="W4145">
        <v>0.17112620000000001</v>
      </c>
      <c r="X4145">
        <v>0.97956589999999999</v>
      </c>
      <c r="Y4145">
        <v>0.12620029999999999</v>
      </c>
      <c r="Z4145">
        <v>1.5206839999999999E-2</v>
      </c>
      <c r="AA4145">
        <v>0.9918882</v>
      </c>
      <c r="AB4145">
        <v>25</v>
      </c>
      <c r="AC4145">
        <v>-0.51349999999996498</v>
      </c>
      <c r="AD4145">
        <v>-6.1911000000000001E-2</v>
      </c>
      <c r="AE4145">
        <v>3.0100000000004401E-2</v>
      </c>
      <c r="AF4145">
        <v>9.28790127119518E-2</v>
      </c>
      <c r="AG4145">
        <v>-6.1911000000000001E-2</v>
      </c>
      <c r="AH4145">
        <v>0.49845684319299499</v>
      </c>
      <c r="AI4145">
        <v>96.961565844658296</v>
      </c>
      <c r="AJ4145">
        <v>79.444945698117294</v>
      </c>
      <c r="AK4145">
        <v>0.51080202373255401</v>
      </c>
      <c r="AL4145">
        <v>80.146695348166304</v>
      </c>
      <c r="AM4145">
        <v>83.842950236361403</v>
      </c>
      <c r="AN4145">
        <v>1.00000005017662</v>
      </c>
    </row>
    <row r="4146" spans="1:40" x14ac:dyDescent="0.25">
      <c r="A4146" t="str">
        <f>"20190312172453305"</f>
        <v>20190312172453305</v>
      </c>
      <c r="B4146" t="str">
        <f>"1552382693294281"</f>
        <v>1552382693294281</v>
      </c>
      <c r="C4146" t="s">
        <v>40</v>
      </c>
      <c r="D4146">
        <v>3.942237</v>
      </c>
      <c r="E4146">
        <v>0.50542829999999905</v>
      </c>
      <c r="F4146" t="s">
        <v>41</v>
      </c>
      <c r="G4146">
        <v>-216.34829999999999</v>
      </c>
      <c r="H4146">
        <v>1.030794</v>
      </c>
      <c r="I4146">
        <v>141.2193</v>
      </c>
      <c r="J4146">
        <v>-215.6636</v>
      </c>
      <c r="K4146">
        <v>1.108922</v>
      </c>
      <c r="L4146">
        <v>141.19049999999999</v>
      </c>
      <c r="M4146">
        <v>-0.99235359999999995</v>
      </c>
      <c r="N4146">
        <v>0</v>
      </c>
      <c r="O4146">
        <v>-0.122631</v>
      </c>
      <c r="P4146">
        <v>-0.98716429999999999</v>
      </c>
      <c r="Q4146">
        <v>0.15813150000000001</v>
      </c>
      <c r="R4146">
        <v>-2.2396889999999999E-2</v>
      </c>
      <c r="S4146">
        <v>-3.0789029999999999</v>
      </c>
      <c r="T4146">
        <v>-0.25232460000000001</v>
      </c>
      <c r="U4146">
        <v>-5.0048829999999999E-3</v>
      </c>
      <c r="V4146">
        <v>9.9555000000000005E-2</v>
      </c>
      <c r="W4146">
        <v>0.1714696</v>
      </c>
      <c r="X4146">
        <v>0.98014639999999997</v>
      </c>
      <c r="Y4146">
        <v>0.120217</v>
      </c>
      <c r="Z4146">
        <v>1.4932630000000001E-2</v>
      </c>
      <c r="AA4146">
        <v>0.9926353</v>
      </c>
      <c r="AB4146">
        <v>25</v>
      </c>
      <c r="AC4146">
        <v>-0.68469999999999198</v>
      </c>
      <c r="AD4146">
        <v>-7.8127999999999906E-2</v>
      </c>
      <c r="AE4146">
        <v>2.8800000000018099E-2</v>
      </c>
      <c r="AF4146">
        <v>0.111112127952929</v>
      </c>
      <c r="AG4146">
        <v>-7.8127999999999906E-2</v>
      </c>
      <c r="AH4146">
        <v>0.66732570707954997</v>
      </c>
      <c r="AI4146">
        <v>96.587697927517794</v>
      </c>
      <c r="AJ4146">
        <v>80.546768938030695</v>
      </c>
      <c r="AK4146">
        <v>0.68100916931525202</v>
      </c>
      <c r="AL4146">
        <v>80.126724235015203</v>
      </c>
      <c r="AM4146">
        <v>84.200268506411703</v>
      </c>
      <c r="AN4146">
        <v>0.99999999359105995</v>
      </c>
    </row>
    <row r="4147" spans="1:40" x14ac:dyDescent="0.25">
      <c r="A4147" t="str">
        <f>"20190312172453328"</f>
        <v>20190312172453328</v>
      </c>
      <c r="B4147" t="str">
        <f>"1552382693324534"</f>
        <v>1552382693324534</v>
      </c>
      <c r="C4147" t="s">
        <v>40</v>
      </c>
      <c r="D4147">
        <v>3.9076550000000001</v>
      </c>
      <c r="E4147">
        <v>0.50601430000000003</v>
      </c>
      <c r="F4147" t="s">
        <v>41</v>
      </c>
      <c r="G4147">
        <v>-216.57089999999999</v>
      </c>
      <c r="H4147">
        <v>1.0337019999999999</v>
      </c>
      <c r="I4147">
        <v>141.18680000000001</v>
      </c>
      <c r="J4147">
        <v>-215.9091</v>
      </c>
      <c r="K4147">
        <v>1.109075</v>
      </c>
      <c r="L4147">
        <v>141.16290000000001</v>
      </c>
      <c r="M4147">
        <v>-0.99263310000000005</v>
      </c>
      <c r="N4147">
        <v>0</v>
      </c>
      <c r="O4147">
        <v>-0.12035419999999999</v>
      </c>
      <c r="P4147">
        <v>-0.98697069999999998</v>
      </c>
      <c r="Q4147">
        <v>0.158946</v>
      </c>
      <c r="R4147">
        <v>-2.500469E-2</v>
      </c>
      <c r="S4147">
        <v>-3.0796199999999998</v>
      </c>
      <c r="T4147">
        <v>-0.25528190000000001</v>
      </c>
      <c r="U4147">
        <v>-1.3412479999999999E-2</v>
      </c>
      <c r="V4147">
        <v>9.4624990000000006E-2</v>
      </c>
      <c r="W4147">
        <v>0.17228550000000001</v>
      </c>
      <c r="X4147">
        <v>0.98049160000000002</v>
      </c>
      <c r="Y4147">
        <v>0.1152348</v>
      </c>
      <c r="Z4147">
        <v>1.470957E-2</v>
      </c>
      <c r="AA4147">
        <v>0.99322940000000004</v>
      </c>
      <c r="AB4147">
        <v>25</v>
      </c>
      <c r="AC4147">
        <v>-0.66179999999999894</v>
      </c>
      <c r="AD4147">
        <v>-7.5372999999999898E-2</v>
      </c>
      <c r="AE4147">
        <v>2.38999999999975E-2</v>
      </c>
      <c r="AF4147">
        <v>0.102062250655967</v>
      </c>
      <c r="AG4147">
        <v>-7.5372999999999898E-2</v>
      </c>
      <c r="AH4147">
        <v>0.64574654372819096</v>
      </c>
      <c r="AI4147">
        <v>96.5766579511793</v>
      </c>
      <c r="AJ4147">
        <v>81.018520109944006</v>
      </c>
      <c r="AK4147">
        <v>0.65809299561297996</v>
      </c>
      <c r="AL4147">
        <v>80.079270277618903</v>
      </c>
      <c r="AM4147">
        <v>84.487587472211402</v>
      </c>
      <c r="AN4147">
        <v>0.99999997995665402</v>
      </c>
    </row>
    <row r="4148" spans="1:40" x14ac:dyDescent="0.25">
      <c r="A4148" t="str">
        <f>"20190312172453348"</f>
        <v>20190312172453348</v>
      </c>
      <c r="B4148" t="str">
        <f>"1552382693345030"</f>
        <v>1552382693345030</v>
      </c>
      <c r="C4148" t="s">
        <v>40</v>
      </c>
      <c r="D4148">
        <v>4.0593979999999998</v>
      </c>
      <c r="E4148">
        <v>0.5064729</v>
      </c>
      <c r="F4148" t="s">
        <v>41</v>
      </c>
      <c r="G4148">
        <v>-216.79320000000001</v>
      </c>
      <c r="H4148">
        <v>1.0352059999999901</v>
      </c>
      <c r="I4148">
        <v>141.15780000000001</v>
      </c>
      <c r="J4148">
        <v>-216.13740000000001</v>
      </c>
      <c r="K4148">
        <v>1.109178</v>
      </c>
      <c r="L4148">
        <v>141.13759999999999</v>
      </c>
      <c r="M4148">
        <v>-0.992869</v>
      </c>
      <c r="N4148">
        <v>0</v>
      </c>
      <c r="O4148">
        <v>-0.1184022</v>
      </c>
      <c r="P4148">
        <v>-0.98682550000000002</v>
      </c>
      <c r="Q4148">
        <v>0.15939619999999999</v>
      </c>
      <c r="R4148">
        <v>-2.7715460000000001E-2</v>
      </c>
      <c r="S4148">
        <v>-3.080597</v>
      </c>
      <c r="T4148">
        <v>-0.25739220000000002</v>
      </c>
      <c r="U4148">
        <v>-1.8020629999999999E-2</v>
      </c>
      <c r="V4148">
        <v>8.9935780000000007E-2</v>
      </c>
      <c r="W4148">
        <v>0.17270070000000001</v>
      </c>
      <c r="X4148">
        <v>0.98085979999999995</v>
      </c>
      <c r="Y4148">
        <v>0.1118026</v>
      </c>
      <c r="Z4148">
        <v>1.4520709999999999E-2</v>
      </c>
      <c r="AA4148">
        <v>0.99362430000000002</v>
      </c>
      <c r="AB4148">
        <v>25</v>
      </c>
      <c r="AC4148">
        <v>-0.65579999999999905</v>
      </c>
      <c r="AD4148">
        <v>-7.3972000000000093E-2</v>
      </c>
      <c r="AE4148">
        <v>2.0200000000016798E-2</v>
      </c>
      <c r="AF4148">
        <v>9.64870529625622E-2</v>
      </c>
      <c r="AG4148">
        <v>-7.3972000000000093E-2</v>
      </c>
      <c r="AH4148">
        <v>0.64065075705312402</v>
      </c>
      <c r="AI4148">
        <v>96.5136074315256</v>
      </c>
      <c r="AJ4148">
        <v>81.435174825859207</v>
      </c>
      <c r="AK4148">
        <v>0.652085117669573</v>
      </c>
      <c r="AL4148">
        <v>80.055118877466995</v>
      </c>
      <c r="AM4148">
        <v>84.761155022656794</v>
      </c>
      <c r="AN4148">
        <v>0.99999996178036799</v>
      </c>
    </row>
    <row r="4149" spans="1:40" x14ac:dyDescent="0.25">
      <c r="A4149" t="str">
        <f>"20190312172453371"</f>
        <v>20190312172453371</v>
      </c>
      <c r="B4149" t="str">
        <f>"1552382693364550"</f>
        <v>1552382693364550</v>
      </c>
      <c r="C4149" t="s">
        <v>40</v>
      </c>
      <c r="D4149">
        <v>3.9135019999999998</v>
      </c>
      <c r="E4149">
        <v>0.50673869999999999</v>
      </c>
      <c r="F4149" t="s">
        <v>41</v>
      </c>
      <c r="G4149">
        <v>-217.0153</v>
      </c>
      <c r="H4149">
        <v>1.0356479999999999</v>
      </c>
      <c r="I4149">
        <v>141.13140000000001</v>
      </c>
      <c r="J4149">
        <v>-216.3939</v>
      </c>
      <c r="K4149">
        <v>1.1092649999999999</v>
      </c>
      <c r="L4149">
        <v>141.1095</v>
      </c>
      <c r="M4149">
        <v>-0.99310940000000003</v>
      </c>
      <c r="N4149">
        <v>0</v>
      </c>
      <c r="O4149">
        <v>-0.1163855</v>
      </c>
      <c r="P4149">
        <v>-0.98668610000000001</v>
      </c>
      <c r="Q4149">
        <v>0.1596561</v>
      </c>
      <c r="R4149">
        <v>-3.0995439999999999E-2</v>
      </c>
      <c r="S4149">
        <v>-3.0811000000000002</v>
      </c>
      <c r="T4149">
        <v>-0.25803530000000002</v>
      </c>
      <c r="U4149">
        <v>-2.2521969999999999E-2</v>
      </c>
      <c r="V4149">
        <v>8.4619310000000003E-2</v>
      </c>
      <c r="W4149">
        <v>0.17286979999999999</v>
      </c>
      <c r="X4149">
        <v>0.98130300000000004</v>
      </c>
      <c r="Y4149">
        <v>0.10834829999999999</v>
      </c>
      <c r="Z4149">
        <v>1.4242100000000001E-2</v>
      </c>
      <c r="AA4149">
        <v>0.99401099999999998</v>
      </c>
      <c r="AB4149">
        <v>25</v>
      </c>
      <c r="AC4149">
        <v>-0.62139999999999396</v>
      </c>
      <c r="AD4149">
        <v>-7.3617000000000002E-2</v>
      </c>
      <c r="AE4149">
        <v>2.1900000000016399E-2</v>
      </c>
      <c r="AF4149">
        <v>9.2779349096742805E-2</v>
      </c>
      <c r="AG4149">
        <v>-7.3617000000000002E-2</v>
      </c>
      <c r="AH4149">
        <v>0.60613064180254494</v>
      </c>
      <c r="AI4149">
        <v>96.845920152899893</v>
      </c>
      <c r="AJ4149">
        <v>81.297383587064004</v>
      </c>
      <c r="AK4149">
        <v>0.61759357609983301</v>
      </c>
      <c r="AL4149">
        <v>80.045282462120298</v>
      </c>
      <c r="AM4149">
        <v>85.071486123318195</v>
      </c>
      <c r="AN4149">
        <v>0.99999998659295797</v>
      </c>
    </row>
    <row r="4150" spans="1:40" x14ac:dyDescent="0.25">
      <c r="A4150" t="str">
        <f>"20190312172453394"</f>
        <v>20190312172453394</v>
      </c>
      <c r="B4150" t="str">
        <f>"1552382693385046"</f>
        <v>1552382693385046</v>
      </c>
      <c r="C4150" t="s">
        <v>40</v>
      </c>
      <c r="D4150">
        <v>3.991803</v>
      </c>
      <c r="E4150">
        <v>0.50812789999999997</v>
      </c>
      <c r="F4150" t="s">
        <v>41</v>
      </c>
      <c r="G4150">
        <v>-217.2381</v>
      </c>
      <c r="H4150">
        <v>1.038589</v>
      </c>
      <c r="I4150">
        <v>141.10169999999999</v>
      </c>
      <c r="J4150">
        <v>-216.6523</v>
      </c>
      <c r="K4150">
        <v>1.109326</v>
      </c>
      <c r="L4150">
        <v>141.08150000000001</v>
      </c>
      <c r="M4150">
        <v>-0.99332960000000003</v>
      </c>
      <c r="N4150">
        <v>0</v>
      </c>
      <c r="O4150">
        <v>-0.11451359999999999</v>
      </c>
      <c r="P4150">
        <v>-0.98649759999999997</v>
      </c>
      <c r="Q4150">
        <v>0.16017049999999999</v>
      </c>
      <c r="R4150">
        <v>-3.4181320000000001E-2</v>
      </c>
      <c r="S4150">
        <v>-3.0813449999999998</v>
      </c>
      <c r="T4150">
        <v>-0.2579767</v>
      </c>
      <c r="U4150">
        <v>-2.8518680000000001E-2</v>
      </c>
      <c r="V4150">
        <v>7.9536789999999996E-2</v>
      </c>
      <c r="W4150">
        <v>0.17324320000000001</v>
      </c>
      <c r="X4150">
        <v>0.98166220000000004</v>
      </c>
      <c r="Y4150">
        <v>0.10456029999999999</v>
      </c>
      <c r="Z4150">
        <v>1.3923420000000001E-2</v>
      </c>
      <c r="AA4150">
        <v>0.99442109999999995</v>
      </c>
      <c r="AB4150">
        <v>25</v>
      </c>
      <c r="AC4150">
        <v>-0.58580000000000598</v>
      </c>
      <c r="AD4150">
        <v>-7.0736999999999994E-2</v>
      </c>
      <c r="AE4150">
        <v>2.0199999999988401E-2</v>
      </c>
      <c r="AF4150">
        <v>8.5904195028167707E-2</v>
      </c>
      <c r="AG4150">
        <v>-7.0736999999999994E-2</v>
      </c>
      <c r="AH4150">
        <v>0.571311784519409</v>
      </c>
      <c r="AI4150">
        <v>96.980475988341496</v>
      </c>
      <c r="AJ4150">
        <v>81.448890734045094</v>
      </c>
      <c r="AK4150">
        <v>0.58204845934268101</v>
      </c>
      <c r="AL4150">
        <v>80.023560519571504</v>
      </c>
      <c r="AM4150">
        <v>85.367867381589704</v>
      </c>
      <c r="AN4150">
        <v>0.99999999110929205</v>
      </c>
    </row>
    <row r="4151" spans="1:40" x14ac:dyDescent="0.25">
      <c r="A4151" t="str">
        <f>"20190312172453416"</f>
        <v>20190312172453416</v>
      </c>
      <c r="B4151" t="str">
        <f>"1552382693404569"</f>
        <v>1552382693404569</v>
      </c>
      <c r="C4151" t="s">
        <v>40</v>
      </c>
      <c r="D4151">
        <v>3.9327679999999998</v>
      </c>
      <c r="E4151">
        <v>0.50859179999999904</v>
      </c>
      <c r="F4151" t="s">
        <v>41</v>
      </c>
      <c r="G4151">
        <v>-217.46039999999999</v>
      </c>
      <c r="H4151">
        <v>1.0393669999999999</v>
      </c>
      <c r="I4151">
        <v>141.0752</v>
      </c>
      <c r="J4151">
        <v>-216.8913</v>
      </c>
      <c r="K4151">
        <v>1.1093839999999999</v>
      </c>
      <c r="L4151">
        <v>141.05590000000001</v>
      </c>
      <c r="M4151">
        <v>-0.99351769999999995</v>
      </c>
      <c r="N4151">
        <v>0</v>
      </c>
      <c r="O4151">
        <v>-0.1128913</v>
      </c>
      <c r="P4151">
        <v>-0.9862649</v>
      </c>
      <c r="Q4151">
        <v>0.1609795</v>
      </c>
      <c r="R4151">
        <v>-3.6974970000000003E-2</v>
      </c>
      <c r="S4151">
        <v>-3.083542</v>
      </c>
      <c r="T4151">
        <v>-0.26696900000000001</v>
      </c>
      <c r="U4151">
        <v>-2.4612430000000001E-2</v>
      </c>
      <c r="V4151">
        <v>7.509209E-2</v>
      </c>
      <c r="W4151">
        <v>0.17389499999999999</v>
      </c>
      <c r="X4151">
        <v>0.98189700000000002</v>
      </c>
      <c r="Y4151">
        <v>0.10415679999999999</v>
      </c>
      <c r="Z4151">
        <v>1.4240060000000001E-2</v>
      </c>
      <c r="AA4151">
        <v>0.99445890000000003</v>
      </c>
      <c r="AB4151">
        <v>25</v>
      </c>
      <c r="AC4151">
        <v>-0.56909999999999095</v>
      </c>
      <c r="AD4151">
        <v>-7.0016999999999996E-2</v>
      </c>
      <c r="AE4151">
        <v>1.9299999999986901E-2</v>
      </c>
      <c r="AF4151">
        <v>8.2186167229166995E-2</v>
      </c>
      <c r="AG4151">
        <v>-7.0016999999999996E-2</v>
      </c>
      <c r="AH4151">
        <v>0.55489272395387401</v>
      </c>
      <c r="AI4151">
        <v>97.114832451014607</v>
      </c>
      <c r="AJ4151">
        <v>81.575068142755995</v>
      </c>
      <c r="AK4151">
        <v>0.565298931070783</v>
      </c>
      <c r="AL4151">
        <v>79.985639702048701</v>
      </c>
      <c r="AM4151">
        <v>85.626729416156195</v>
      </c>
      <c r="AN4151">
        <v>1.00000000580728</v>
      </c>
    </row>
    <row r="4152" spans="1:40" x14ac:dyDescent="0.25">
      <c r="A4152" t="str">
        <f>"20190312172453438"</f>
        <v>20190312172453438</v>
      </c>
      <c r="B4152" t="str">
        <f>"1552382693434823"</f>
        <v>1552382693434823</v>
      </c>
      <c r="C4152" t="s">
        <v>40</v>
      </c>
      <c r="D4152">
        <v>4.022875</v>
      </c>
      <c r="E4152">
        <v>0.51017429999999997</v>
      </c>
      <c r="F4152" t="s">
        <v>41</v>
      </c>
      <c r="G4152">
        <v>-217.68289999999999</v>
      </c>
      <c r="H4152">
        <v>1.040451</v>
      </c>
      <c r="I4152">
        <v>141.04900000000001</v>
      </c>
      <c r="J4152">
        <v>-217.13560000000001</v>
      </c>
      <c r="K4152">
        <v>1.109434</v>
      </c>
      <c r="L4152">
        <v>141.03</v>
      </c>
      <c r="M4152">
        <v>-0.99369879999999999</v>
      </c>
      <c r="N4152">
        <v>0</v>
      </c>
      <c r="O4152">
        <v>-0.1113116</v>
      </c>
      <c r="P4152">
        <v>-0.98592579999999996</v>
      </c>
      <c r="Q4152">
        <v>0.16250709999999999</v>
      </c>
      <c r="R4152">
        <v>-3.9268650000000002E-2</v>
      </c>
      <c r="S4152">
        <v>-3.0845950000000002</v>
      </c>
      <c r="T4152">
        <v>-0.26861600000000002</v>
      </c>
      <c r="U4152">
        <v>-2.7633669999999999E-2</v>
      </c>
      <c r="V4152">
        <v>7.1180110000000005E-2</v>
      </c>
      <c r="W4152">
        <v>0.1752425</v>
      </c>
      <c r="X4152">
        <v>0.98194879999999996</v>
      </c>
      <c r="Y4152">
        <v>0.1016099</v>
      </c>
      <c r="Z4152">
        <v>1.407519E-2</v>
      </c>
      <c r="AA4152">
        <v>0.99472479999999996</v>
      </c>
      <c r="AB4152">
        <v>25</v>
      </c>
      <c r="AC4152">
        <v>-0.54729999999997803</v>
      </c>
      <c r="AD4152">
        <v>-6.8983000000000003E-2</v>
      </c>
      <c r="AE4152">
        <v>1.9000000000005401E-2</v>
      </c>
      <c r="AF4152">
        <v>7.8561418459248605E-2</v>
      </c>
      <c r="AG4152">
        <v>-6.8983000000000003E-2</v>
      </c>
      <c r="AH4152">
        <v>0.53332064502655596</v>
      </c>
      <c r="AI4152">
        <v>97.292239453227495</v>
      </c>
      <c r="AJ4152">
        <v>81.620242789686003</v>
      </c>
      <c r="AK4152">
        <v>0.54347167467207602</v>
      </c>
      <c r="AL4152">
        <v>79.907229523621794</v>
      </c>
      <c r="AM4152">
        <v>85.853959989910507</v>
      </c>
      <c r="AN4152">
        <v>0.99999999384365001</v>
      </c>
    </row>
    <row r="4153" spans="1:40" x14ac:dyDescent="0.25">
      <c r="A4153" t="str">
        <f>"20190312172453460"</f>
        <v>20190312172453460</v>
      </c>
      <c r="B4153" t="str">
        <f>"1552382693454342"</f>
        <v>1552382693454342</v>
      </c>
      <c r="C4153" t="s">
        <v>40</v>
      </c>
      <c r="D4153">
        <v>3.9855849999999999</v>
      </c>
      <c r="E4153">
        <v>0.51099589999999995</v>
      </c>
      <c r="F4153" t="s">
        <v>41</v>
      </c>
      <c r="G4153">
        <v>-217.90549999999999</v>
      </c>
      <c r="H4153">
        <v>1.0409889999999999</v>
      </c>
      <c r="I4153">
        <v>141.02500000000001</v>
      </c>
      <c r="J4153">
        <v>-217.38079999999999</v>
      </c>
      <c r="K4153">
        <v>1.1094580000000001</v>
      </c>
      <c r="L4153">
        <v>141.0043</v>
      </c>
      <c r="M4153">
        <v>-0.99387099999999995</v>
      </c>
      <c r="N4153">
        <v>0</v>
      </c>
      <c r="O4153">
        <v>-0.109788</v>
      </c>
      <c r="P4153">
        <v>-0.98566450000000005</v>
      </c>
      <c r="Q4153">
        <v>0.1636707</v>
      </c>
      <c r="R4153">
        <v>-4.0958260000000003E-2</v>
      </c>
      <c r="S4153">
        <v>-3.0872190000000002</v>
      </c>
      <c r="T4153">
        <v>-0.274512799999999</v>
      </c>
      <c r="U4153">
        <v>-2.1163939999999999E-2</v>
      </c>
      <c r="V4153">
        <v>6.7940490000000006E-2</v>
      </c>
      <c r="W4153">
        <v>0.1762156</v>
      </c>
      <c r="X4153">
        <v>0.98200419999999999</v>
      </c>
      <c r="Y4153">
        <v>0.10214620000000001</v>
      </c>
      <c r="Z4153">
        <v>1.4260399999999901E-2</v>
      </c>
      <c r="AA4153">
        <v>0.99466719999999997</v>
      </c>
      <c r="AB4153">
        <v>25</v>
      </c>
      <c r="AC4153">
        <v>-0.52469999999999495</v>
      </c>
      <c r="AD4153">
        <v>-6.8469000000000099E-2</v>
      </c>
      <c r="AE4153">
        <v>2.0700000000004999E-2</v>
      </c>
      <c r="AF4153">
        <v>7.6878366086525304E-2</v>
      </c>
      <c r="AG4153">
        <v>-6.8469000000000099E-2</v>
      </c>
      <c r="AH4153">
        <v>0.51057427714669101</v>
      </c>
      <c r="AI4153">
        <v>97.553757690097399</v>
      </c>
      <c r="AJ4153">
        <v>81.437165751545706</v>
      </c>
      <c r="AK4153">
        <v>0.52084967084274902</v>
      </c>
      <c r="AL4153">
        <v>79.850594221813196</v>
      </c>
      <c r="AM4153">
        <v>86.0422673102224</v>
      </c>
      <c r="AN4153">
        <v>1.0000000483412099</v>
      </c>
    </row>
    <row r="4154" spans="1:40" x14ac:dyDescent="0.25">
      <c r="A4154" t="str">
        <f>"20190312172453483"</f>
        <v>20190312172453483</v>
      </c>
      <c r="B4154" t="str">
        <f>"1552382693474841"</f>
        <v>1552382693474841</v>
      </c>
      <c r="C4154" t="s">
        <v>40</v>
      </c>
      <c r="D4154">
        <v>4.0255169999999998</v>
      </c>
      <c r="E4154">
        <v>0.51176259999999996</v>
      </c>
      <c r="F4154" t="s">
        <v>41</v>
      </c>
      <c r="G4154">
        <v>-218.12860000000001</v>
      </c>
      <c r="H4154">
        <v>1.0426010000000001</v>
      </c>
      <c r="I4154">
        <v>140.99969999999999</v>
      </c>
      <c r="J4154">
        <v>-217.64279999999999</v>
      </c>
      <c r="K4154">
        <v>1.1094649999999999</v>
      </c>
      <c r="L4154">
        <v>140.97720000000001</v>
      </c>
      <c r="M4154">
        <v>-0.99404669999999895</v>
      </c>
      <c r="N4154">
        <v>0</v>
      </c>
      <c r="O4154">
        <v>-0.1082138</v>
      </c>
      <c r="P4154">
        <v>-0.98558310000000005</v>
      </c>
      <c r="Q4154">
        <v>0.16374459999999999</v>
      </c>
      <c r="R4154">
        <v>-4.2591770000000001E-2</v>
      </c>
      <c r="S4154">
        <v>-3.0887150000000001</v>
      </c>
      <c r="T4154">
        <v>-0.27618769999999998</v>
      </c>
      <c r="U4154">
        <v>-1.9241330000000001E-2</v>
      </c>
      <c r="V4154">
        <v>6.4734739999999999E-2</v>
      </c>
      <c r="W4154">
        <v>0.1760785</v>
      </c>
      <c r="X4154">
        <v>0.98224529999999999</v>
      </c>
      <c r="Y4154">
        <v>0.1011934</v>
      </c>
      <c r="Z4154">
        <v>1.4157869999999999E-2</v>
      </c>
      <c r="AA4154">
        <v>0.99476600000000004</v>
      </c>
      <c r="AB4154">
        <v>25</v>
      </c>
      <c r="AC4154">
        <v>-0.485800000000011</v>
      </c>
      <c r="AD4154">
        <v>-6.6863999999999799E-2</v>
      </c>
      <c r="AE4154">
        <v>2.2499999999979502E-2</v>
      </c>
      <c r="AF4154">
        <v>7.3551965823457299E-2</v>
      </c>
      <c r="AG4154">
        <v>-6.6863999999999799E-2</v>
      </c>
      <c r="AH4154">
        <v>0.47159697391801902</v>
      </c>
      <c r="AI4154">
        <v>97.974584398427695</v>
      </c>
      <c r="AJ4154">
        <v>81.135359507932705</v>
      </c>
      <c r="AK4154">
        <v>0.481958911092147</v>
      </c>
      <c r="AL4154">
        <v>79.858574031377998</v>
      </c>
      <c r="AM4154">
        <v>86.229382468273201</v>
      </c>
      <c r="AN4154">
        <v>1.0000000270486</v>
      </c>
    </row>
    <row r="4155" spans="1:40" x14ac:dyDescent="0.25">
      <c r="A4155" t="str">
        <f>"20190312172453506"</f>
        <v>20190312172453506</v>
      </c>
      <c r="B4155" t="str">
        <f>"1552382693494362"</f>
        <v>1552382693494362</v>
      </c>
      <c r="C4155" t="s">
        <v>40</v>
      </c>
      <c r="D4155">
        <v>3.9127809999999998</v>
      </c>
      <c r="E4155">
        <v>0.51233799999999996</v>
      </c>
      <c r="F4155" t="s">
        <v>41</v>
      </c>
      <c r="G4155">
        <v>-218.56780000000001</v>
      </c>
      <c r="H4155">
        <v>1.0252969999999999</v>
      </c>
      <c r="I4155">
        <v>140.97219999999999</v>
      </c>
      <c r="J4155">
        <v>-217.88929999999999</v>
      </c>
      <c r="K4155">
        <v>1.1094489999999999</v>
      </c>
      <c r="L4155">
        <v>140.9521</v>
      </c>
      <c r="M4155">
        <v>-0.9942067</v>
      </c>
      <c r="N4155">
        <v>0</v>
      </c>
      <c r="O4155">
        <v>-0.1067599</v>
      </c>
      <c r="P4155">
        <v>-0.98545970000000005</v>
      </c>
      <c r="Q4155">
        <v>0.16410279999999999</v>
      </c>
      <c r="R4155">
        <v>-4.4043609999999997E-2</v>
      </c>
      <c r="S4155">
        <v>-3.0898590000000001</v>
      </c>
      <c r="T4155">
        <v>-0.28114060000000002</v>
      </c>
      <c r="U4155">
        <v>-1.7318730000000001E-2</v>
      </c>
      <c r="V4155">
        <v>6.1835580000000001E-2</v>
      </c>
      <c r="W4155">
        <v>0.1762292</v>
      </c>
      <c r="X4155">
        <v>0.98240499999999997</v>
      </c>
      <c r="Y4155">
        <v>0.1003395</v>
      </c>
      <c r="Z4155">
        <v>1.42352999999999E-2</v>
      </c>
      <c r="AA4155">
        <v>0.99485140000000005</v>
      </c>
      <c r="AB4155">
        <v>25</v>
      </c>
      <c r="AC4155">
        <v>-0.67850000000001298</v>
      </c>
      <c r="AD4155">
        <v>-8.4152000000000005E-2</v>
      </c>
      <c r="AE4155">
        <v>2.0099999999985099E-2</v>
      </c>
      <c r="AF4155">
        <v>9.1028304520248501E-2</v>
      </c>
      <c r="AG4155">
        <v>-8.4152000000000005E-2</v>
      </c>
      <c r="AH4155">
        <v>0.66229671316721395</v>
      </c>
      <c r="AI4155">
        <v>97.174513521730901</v>
      </c>
      <c r="AJ4155">
        <v>82.174106921910905</v>
      </c>
      <c r="AK4155">
        <v>0.67379866993036297</v>
      </c>
      <c r="AL4155">
        <v>79.849801878585197</v>
      </c>
      <c r="AM4155">
        <v>86.398379449740901</v>
      </c>
      <c r="AN4155">
        <v>0.99999997695578702</v>
      </c>
    </row>
    <row r="4156" spans="1:40" x14ac:dyDescent="0.25">
      <c r="A4156" t="str">
        <f>"20190312172453529"</f>
        <v>20190312172453529</v>
      </c>
      <c r="B4156" t="str">
        <f>"1552382693524614"</f>
        <v>1552382693524614</v>
      </c>
      <c r="C4156" t="s">
        <v>40</v>
      </c>
      <c r="D4156">
        <v>4.0402310000000003</v>
      </c>
      <c r="E4156">
        <v>0.51330480000000001</v>
      </c>
      <c r="F4156" t="s">
        <v>41</v>
      </c>
      <c r="G4156">
        <v>-218.79150000000001</v>
      </c>
      <c r="H4156">
        <v>1.0268040000000001</v>
      </c>
      <c r="I4156">
        <v>140.94749999999999</v>
      </c>
      <c r="J4156">
        <v>-218.1491</v>
      </c>
      <c r="K4156">
        <v>1.109429</v>
      </c>
      <c r="L4156">
        <v>140.92599999999999</v>
      </c>
      <c r="M4156">
        <v>-0.99437200000000003</v>
      </c>
      <c r="N4156">
        <v>0</v>
      </c>
      <c r="O4156">
        <v>-0.10523540000000001</v>
      </c>
      <c r="P4156">
        <v>-0.98532310000000001</v>
      </c>
      <c r="Q4156">
        <v>0.16417899999999999</v>
      </c>
      <c r="R4156">
        <v>-4.6731090000000003E-2</v>
      </c>
      <c r="S4156">
        <v>-3.090668</v>
      </c>
      <c r="T4156">
        <v>-0.28313579999999999</v>
      </c>
      <c r="U4156">
        <v>-1.6357420000000001E-2</v>
      </c>
      <c r="V4156">
        <v>5.7641739999999997E-2</v>
      </c>
      <c r="W4156">
        <v>0.176094</v>
      </c>
      <c r="X4156">
        <v>0.98268429999999996</v>
      </c>
      <c r="Y4156">
        <v>9.9124320000000002E-2</v>
      </c>
      <c r="Z4156">
        <v>1.413789E-2</v>
      </c>
      <c r="AA4156">
        <v>0.99497460000000004</v>
      </c>
      <c r="AB4156">
        <v>25</v>
      </c>
      <c r="AC4156">
        <v>-0.64240000000000896</v>
      </c>
      <c r="AD4156">
        <v>-8.2624999999999907E-2</v>
      </c>
      <c r="AE4156">
        <v>2.1499999999974699E-2</v>
      </c>
      <c r="AF4156">
        <v>8.7542302104337097E-2</v>
      </c>
      <c r="AG4156">
        <v>-8.2624999999999907E-2</v>
      </c>
      <c r="AH4156">
        <v>0.62622176537727003</v>
      </c>
      <c r="AI4156">
        <v>97.444739781945998</v>
      </c>
      <c r="AJ4156">
        <v>82.041942942551003</v>
      </c>
      <c r="AK4156">
        <v>0.63768663520176705</v>
      </c>
      <c r="AL4156">
        <v>79.857672087771405</v>
      </c>
      <c r="AM4156">
        <v>86.643023148378802</v>
      </c>
      <c r="AN4156">
        <v>1.00000005024635</v>
      </c>
    </row>
    <row r="4157" spans="1:40" x14ac:dyDescent="0.25">
      <c r="A4157" t="str">
        <f>"20190312172453561"</f>
        <v>20190312172453561</v>
      </c>
      <c r="B4157" t="str">
        <f>"1552382693554870"</f>
        <v>1552382693554870</v>
      </c>
      <c r="C4157" t="s">
        <v>40</v>
      </c>
      <c r="D4157">
        <v>4.0052279999999998</v>
      </c>
      <c r="E4157">
        <v>0.51386399999999999</v>
      </c>
      <c r="F4157" t="s">
        <v>41</v>
      </c>
      <c r="G4157">
        <v>-219.0155</v>
      </c>
      <c r="H4157">
        <v>1.028637</v>
      </c>
      <c r="I4157">
        <v>140.92160000000001</v>
      </c>
      <c r="J4157">
        <v>-218.51349999999999</v>
      </c>
      <c r="K4157">
        <v>1.1093729999999999</v>
      </c>
      <c r="L4157">
        <v>140.88990000000001</v>
      </c>
      <c r="M4157">
        <v>-0.99460159999999997</v>
      </c>
      <c r="N4157">
        <v>0</v>
      </c>
      <c r="O4157">
        <v>-0.1030817</v>
      </c>
      <c r="P4157">
        <v>-0.98513110000000004</v>
      </c>
      <c r="Q4157">
        <v>0.16536589999999901</v>
      </c>
      <c r="R4157">
        <v>-4.659522E-2</v>
      </c>
      <c r="S4157">
        <v>-3.0919949999999998</v>
      </c>
      <c r="T4157">
        <v>-0.28832079999999999</v>
      </c>
      <c r="U4157">
        <v>-1.5777590000000001E-2</v>
      </c>
      <c r="V4157">
        <v>5.563531E-2</v>
      </c>
      <c r="W4157">
        <v>0.17696509999999999</v>
      </c>
      <c r="X4157">
        <v>0.98264339999999994</v>
      </c>
      <c r="Y4157">
        <v>9.7144930000000004E-2</v>
      </c>
      <c r="Z4157">
        <v>1.409789E-2</v>
      </c>
      <c r="AA4157">
        <v>0.99517040000000001</v>
      </c>
      <c r="AB4157">
        <v>25</v>
      </c>
      <c r="AC4157">
        <v>-0.50200000000000899</v>
      </c>
      <c r="AD4157">
        <v>-8.0735999999999905E-2</v>
      </c>
      <c r="AE4157">
        <v>3.17000000000007E-2</v>
      </c>
      <c r="AF4157">
        <v>8.1190079048969299E-2</v>
      </c>
      <c r="AG4157">
        <v>-8.0735999999999905E-2</v>
      </c>
      <c r="AH4157">
        <v>0.48359847815796903</v>
      </c>
      <c r="AI4157">
        <v>99.349538165937105</v>
      </c>
      <c r="AJ4157">
        <v>80.469640166086293</v>
      </c>
      <c r="AK4157">
        <v>0.49696842828159798</v>
      </c>
      <c r="AL4157">
        <v>79.806964813589303</v>
      </c>
      <c r="AM4157">
        <v>86.759486846783304</v>
      </c>
      <c r="AN4157">
        <v>0.99999999295018305</v>
      </c>
    </row>
    <row r="4158" spans="1:40" x14ac:dyDescent="0.25">
      <c r="A4158" t="str">
        <f>"20190312172453584"</f>
        <v>20190312172453584</v>
      </c>
      <c r="B4158" t="str">
        <f>"1552382693574390"</f>
        <v>1552382693574390</v>
      </c>
      <c r="C4158" t="s">
        <v>40</v>
      </c>
      <c r="D4158">
        <v>4.0066369999999996</v>
      </c>
      <c r="E4158">
        <v>0.51431669999999996</v>
      </c>
      <c r="F4158" t="s">
        <v>41</v>
      </c>
      <c r="G4158">
        <v>-219.46080000000001</v>
      </c>
      <c r="H4158">
        <v>1.0211110000000001</v>
      </c>
      <c r="I4158">
        <v>140.88650000000001</v>
      </c>
      <c r="J4158">
        <v>-218.7637</v>
      </c>
      <c r="K4158">
        <v>1.1093329999999999</v>
      </c>
      <c r="L4158">
        <v>140.8657</v>
      </c>
      <c r="M4158">
        <v>-0.99475840000000004</v>
      </c>
      <c r="N4158">
        <v>0</v>
      </c>
      <c r="O4158">
        <v>-0.1015812</v>
      </c>
      <c r="P4158">
        <v>-0.9850894</v>
      </c>
      <c r="Q4158">
        <v>0.16604630000000001</v>
      </c>
      <c r="R4158">
        <v>-4.5029939999999997E-2</v>
      </c>
      <c r="S4158">
        <v>-3.0930939999999998</v>
      </c>
      <c r="T4158">
        <v>-0.28818059999999901</v>
      </c>
      <c r="U4158">
        <v>-1.173401E-2</v>
      </c>
      <c r="V4158">
        <v>5.5709950000000001E-2</v>
      </c>
      <c r="W4158">
        <v>0.17742550000000001</v>
      </c>
      <c r="X4158">
        <v>0.98255619999999999</v>
      </c>
      <c r="Y4158">
        <v>9.6954819999999997E-2</v>
      </c>
      <c r="Z4158">
        <v>1.393848E-2</v>
      </c>
      <c r="AA4158">
        <v>0.99519120000000005</v>
      </c>
      <c r="AB4158">
        <v>25</v>
      </c>
      <c r="AC4158">
        <v>-0.69710000000000505</v>
      </c>
      <c r="AD4158">
        <v>-8.8221999999999801E-2</v>
      </c>
      <c r="AE4158">
        <v>2.0800000000008301E-2</v>
      </c>
      <c r="AF4158">
        <v>9.0068216018252101E-2</v>
      </c>
      <c r="AG4158">
        <v>-8.8221999999999801E-2</v>
      </c>
      <c r="AH4158">
        <v>0.68049125441790004</v>
      </c>
      <c r="AI4158">
        <v>97.323715878864803</v>
      </c>
      <c r="AJ4158">
        <v>82.460290310588704</v>
      </c>
      <c r="AK4158">
        <v>0.69207207150697603</v>
      </c>
      <c r="AL4158">
        <v>79.780162247698797</v>
      </c>
      <c r="AM4158">
        <v>86.754861318368498</v>
      </c>
      <c r="AN4158">
        <v>1.0000000463688401</v>
      </c>
    </row>
    <row r="4159" spans="1:40" x14ac:dyDescent="0.25">
      <c r="A4159" t="str">
        <f>"20190312172453605"</f>
        <v>20190312172453605</v>
      </c>
      <c r="B4159" t="str">
        <f>"1552382693594889"</f>
        <v>1552382693594889</v>
      </c>
      <c r="C4159" t="s">
        <v>40</v>
      </c>
      <c r="D4159">
        <v>3.9869270000000001</v>
      </c>
      <c r="E4159">
        <v>0.51448070000000001</v>
      </c>
      <c r="F4159" t="s">
        <v>41</v>
      </c>
      <c r="G4159">
        <v>-219.68620000000001</v>
      </c>
      <c r="H4159">
        <v>1.0230319999999999</v>
      </c>
      <c r="I4159">
        <v>140.86429999999999</v>
      </c>
      <c r="J4159">
        <v>-219.00899999999999</v>
      </c>
      <c r="K4159">
        <v>1.109294</v>
      </c>
      <c r="L4159">
        <v>140.84229999999999</v>
      </c>
      <c r="M4159">
        <v>-0.99491130000000005</v>
      </c>
      <c r="N4159">
        <v>0</v>
      </c>
      <c r="O4159">
        <v>-0.1000954</v>
      </c>
      <c r="P4159">
        <v>-0.98525910000000005</v>
      </c>
      <c r="Q4159">
        <v>0.1654823</v>
      </c>
      <c r="R4159">
        <v>-4.335746E-2</v>
      </c>
      <c r="S4159">
        <v>-3.0939640000000002</v>
      </c>
      <c r="T4159">
        <v>-0.28943720000000001</v>
      </c>
      <c r="U4159">
        <v>-5.2642820000000003E-3</v>
      </c>
      <c r="V4159">
        <v>5.5923920000000002E-2</v>
      </c>
      <c r="W4159">
        <v>0.17666189999999901</v>
      </c>
      <c r="X4159">
        <v>0.98268160000000004</v>
      </c>
      <c r="Y4159">
        <v>9.7547149999999999E-2</v>
      </c>
      <c r="Z4159">
        <v>1.3884830000000001E-2</v>
      </c>
      <c r="AA4159">
        <v>0.99513410000000002</v>
      </c>
      <c r="AB4159">
        <v>25</v>
      </c>
      <c r="AC4159">
        <v>-0.67719999999999902</v>
      </c>
      <c r="AD4159">
        <v>-8.6262000000000005E-2</v>
      </c>
      <c r="AE4159">
        <v>2.1999999999991301E-2</v>
      </c>
      <c r="AF4159">
        <v>8.8248206184903297E-2</v>
      </c>
      <c r="AG4159">
        <v>-8.6262000000000005E-2</v>
      </c>
      <c r="AH4159">
        <v>0.66088425369364301</v>
      </c>
      <c r="AI4159">
        <v>97.371796115037199</v>
      </c>
      <c r="AJ4159">
        <v>82.394257309966505</v>
      </c>
      <c r="AK4159">
        <v>0.67230712871354903</v>
      </c>
      <c r="AL4159">
        <v>79.824615255213999</v>
      </c>
      <c r="AM4159">
        <v>86.742839030534299</v>
      </c>
      <c r="AN4159">
        <v>1.0000000193591601</v>
      </c>
    </row>
    <row r="4160" spans="1:40" x14ac:dyDescent="0.25">
      <c r="A4160" t="str">
        <f>"20190312172453628"</f>
        <v>20190312172453628</v>
      </c>
      <c r="B4160" t="str">
        <f>"1552382693624166"</f>
        <v>1552382693624166</v>
      </c>
      <c r="C4160" t="s">
        <v>40</v>
      </c>
      <c r="D4160">
        <v>3.9751080000000001</v>
      </c>
      <c r="E4160">
        <v>0.49473080000000003</v>
      </c>
      <c r="F4160" t="s">
        <v>41</v>
      </c>
      <c r="G4160">
        <v>-219.91159999999999</v>
      </c>
      <c r="H4160">
        <v>1.024319</v>
      </c>
      <c r="I4160">
        <v>140.8424</v>
      </c>
      <c r="J4160">
        <v>-219.25720000000001</v>
      </c>
      <c r="K4160">
        <v>1.1092610000000001</v>
      </c>
      <c r="L4160">
        <v>140.81909999999999</v>
      </c>
      <c r="M4160">
        <v>-0.99506459999999997</v>
      </c>
      <c r="N4160">
        <v>0</v>
      </c>
      <c r="O4160">
        <v>-9.8582059999999999E-2</v>
      </c>
      <c r="P4160">
        <v>-0.98532459999999999</v>
      </c>
      <c r="Q4160">
        <v>0.1655845</v>
      </c>
      <c r="R4160">
        <v>-4.1439179999999999E-2</v>
      </c>
      <c r="S4160">
        <v>-3.093826</v>
      </c>
      <c r="T4160">
        <v>-0.2912902</v>
      </c>
      <c r="U4160">
        <v>1.67846699999999E-4</v>
      </c>
      <c r="V4160">
        <v>5.6346130000000001E-2</v>
      </c>
      <c r="W4160">
        <v>0.17657320000000001</v>
      </c>
      <c r="X4160">
        <v>0.98267340000000003</v>
      </c>
      <c r="Y4160">
        <v>9.7775000000000001E-2</v>
      </c>
      <c r="Z4160">
        <v>1.38432E-2</v>
      </c>
      <c r="AA4160">
        <v>0.9951122</v>
      </c>
      <c r="AB4160">
        <v>25</v>
      </c>
      <c r="AC4160">
        <v>-0.654399999999981</v>
      </c>
      <c r="AD4160">
        <v>-8.4942000000000004E-2</v>
      </c>
      <c r="AE4160">
        <v>2.3300000000006E-2</v>
      </c>
      <c r="AF4160">
        <v>8.6251362646743601E-2</v>
      </c>
      <c r="AG4160">
        <v>-8.4942000000000004E-2</v>
      </c>
      <c r="AH4160">
        <v>0.63817622269582497</v>
      </c>
      <c r="AI4160">
        <v>97.514047943842002</v>
      </c>
      <c r="AJ4160">
        <v>82.302949084916406</v>
      </c>
      <c r="AK4160">
        <v>0.64955625786896298</v>
      </c>
      <c r="AL4160">
        <v>79.829778322131503</v>
      </c>
      <c r="AM4160">
        <v>86.718274594322807</v>
      </c>
      <c r="AN4160">
        <v>0.99999999619588797</v>
      </c>
    </row>
    <row r="4161" spans="1:40" x14ac:dyDescent="0.25">
      <c r="A4161" t="str">
        <f>"20190312172453651"</f>
        <v>20190312172453651</v>
      </c>
      <c r="B4161" t="str">
        <f>"1552382693644663"</f>
        <v>1552382693644663</v>
      </c>
      <c r="C4161" t="s">
        <v>40</v>
      </c>
      <c r="D4161">
        <v>3.911416</v>
      </c>
      <c r="E4161">
        <v>0.49518800000000002</v>
      </c>
      <c r="F4161" t="s">
        <v>41</v>
      </c>
      <c r="G4161">
        <v>-220.1421</v>
      </c>
      <c r="H4161">
        <v>1.043609</v>
      </c>
      <c r="I4161">
        <v>140.77520000000001</v>
      </c>
      <c r="J4161">
        <v>-219.51580000000001</v>
      </c>
      <c r="K4161">
        <v>1.1092280000000001</v>
      </c>
      <c r="L4161">
        <v>140.79519999999999</v>
      </c>
      <c r="M4161">
        <v>-0.99522239999999995</v>
      </c>
      <c r="N4161">
        <v>0</v>
      </c>
      <c r="O4161">
        <v>-9.699924E-2</v>
      </c>
      <c r="P4161">
        <v>-0.98528769999999999</v>
      </c>
      <c r="Q4161">
        <v>0.16626060000000001</v>
      </c>
      <c r="R4161">
        <v>-3.9571530000000001E-2</v>
      </c>
      <c r="S4161">
        <v>-3.0766300000000002</v>
      </c>
      <c r="T4161">
        <v>-0.22821330000000001</v>
      </c>
      <c r="U4161">
        <v>-0.15278630000000001</v>
      </c>
      <c r="V4161">
        <v>5.6640999999999997E-2</v>
      </c>
      <c r="W4161">
        <v>0.17705950000000001</v>
      </c>
      <c r="X4161">
        <v>0.98256900000000003</v>
      </c>
      <c r="Y4161">
        <v>4.7126719999999997E-2</v>
      </c>
      <c r="Z4161">
        <v>8.9127909999999998E-3</v>
      </c>
      <c r="AA4161">
        <v>0.99884919999999999</v>
      </c>
      <c r="AB4161">
        <v>25</v>
      </c>
      <c r="AC4161">
        <v>-0.62629999999998598</v>
      </c>
      <c r="AD4161">
        <v>-6.5619000000000094E-2</v>
      </c>
      <c r="AE4161">
        <v>-1.99999999999818E-2</v>
      </c>
      <c r="AF4161">
        <v>4.0405607480622302E-2</v>
      </c>
      <c r="AG4161">
        <v>-6.5619000000000094E-2</v>
      </c>
      <c r="AH4161">
        <v>0.61850382576110197</v>
      </c>
      <c r="AI4161">
        <v>96.043247858017295</v>
      </c>
      <c r="AJ4161">
        <v>86.262293439370396</v>
      </c>
      <c r="AK4161">
        <v>0.62328600879371399</v>
      </c>
      <c r="AL4161">
        <v>79.801469945861299</v>
      </c>
      <c r="AM4161">
        <v>86.700788796037102</v>
      </c>
      <c r="AN4161">
        <v>1.0000000545911201</v>
      </c>
    </row>
    <row r="4162" spans="1:40" x14ac:dyDescent="0.25">
      <c r="A4162" t="str">
        <f>"20190312172453673"</f>
        <v>20190312172453673</v>
      </c>
      <c r="B4162" t="str">
        <f>"1552382693664182"</f>
        <v>1552382693664182</v>
      </c>
      <c r="C4162" t="s">
        <v>40</v>
      </c>
      <c r="D4162">
        <v>3.9569390000000002</v>
      </c>
      <c r="E4162">
        <v>0.49470999999999998</v>
      </c>
      <c r="F4162" t="s">
        <v>41</v>
      </c>
      <c r="G4162">
        <v>-220.3725</v>
      </c>
      <c r="H4162">
        <v>1.0487850000000001</v>
      </c>
      <c r="I4162">
        <v>140.75489999999999</v>
      </c>
      <c r="J4162">
        <v>-219.7773</v>
      </c>
      <c r="K4162">
        <v>1.1091979999999999</v>
      </c>
      <c r="L4162">
        <v>140.7715</v>
      </c>
      <c r="M4162">
        <v>-0.99537929999999997</v>
      </c>
      <c r="N4162">
        <v>0</v>
      </c>
      <c r="O4162">
        <v>-9.5397770000000007E-2</v>
      </c>
      <c r="P4162">
        <v>-0.98526749999999996</v>
      </c>
      <c r="Q4162">
        <v>0.16676250000000001</v>
      </c>
      <c r="R4162">
        <v>-3.7929360000000002E-2</v>
      </c>
      <c r="S4162">
        <v>-3.0756070000000002</v>
      </c>
      <c r="T4162">
        <v>-0.2170135</v>
      </c>
      <c r="U4162">
        <v>-0.14480589999999999</v>
      </c>
      <c r="V4162">
        <v>5.6694609999999999E-2</v>
      </c>
      <c r="W4162">
        <v>0.1773795</v>
      </c>
      <c r="X4162">
        <v>0.9825081</v>
      </c>
      <c r="Y4162">
        <v>4.8127349999999999E-2</v>
      </c>
      <c r="Z4162">
        <v>8.4029869999999902E-3</v>
      </c>
      <c r="AA4162">
        <v>0.99880590000000002</v>
      </c>
      <c r="AB4162">
        <v>25</v>
      </c>
      <c r="AC4162">
        <v>-0.59520000000000495</v>
      </c>
      <c r="AD4162">
        <v>-6.04129999999998E-2</v>
      </c>
      <c r="AE4162">
        <v>-1.6600000000010998E-2</v>
      </c>
      <c r="AF4162">
        <v>3.9849633672621801E-2</v>
      </c>
      <c r="AG4162">
        <v>-6.04129999999998E-2</v>
      </c>
      <c r="AH4162">
        <v>0.58801558866844095</v>
      </c>
      <c r="AI4162">
        <v>95.852682526782402</v>
      </c>
      <c r="AJ4162">
        <v>86.123010902158995</v>
      </c>
      <c r="AK4162">
        <v>0.59245257733419898</v>
      </c>
      <c r="AL4162">
        <v>79.782839504237003</v>
      </c>
      <c r="AM4162">
        <v>86.697468802409901</v>
      </c>
      <c r="AN4162">
        <v>0.99999996619445497</v>
      </c>
    </row>
    <row r="4163" spans="1:40" x14ac:dyDescent="0.25">
      <c r="A4163" t="str">
        <f>"20190312172453695"</f>
        <v>20190312172453695</v>
      </c>
      <c r="B4163" t="str">
        <f>"1552382693684209"</f>
        <v>1552382693684209</v>
      </c>
      <c r="C4163" t="s">
        <v>40</v>
      </c>
      <c r="D4163">
        <v>3.9189400000000001</v>
      </c>
      <c r="E4163">
        <v>0.49470960000000003</v>
      </c>
      <c r="F4163" t="s">
        <v>41</v>
      </c>
      <c r="G4163">
        <v>-220.6011</v>
      </c>
      <c r="H4163">
        <v>1.0516639999999999</v>
      </c>
      <c r="I4163">
        <v>140.73230000000001</v>
      </c>
      <c r="J4163">
        <v>-220.02379999999999</v>
      </c>
      <c r="K4163">
        <v>1.109175</v>
      </c>
      <c r="L4163">
        <v>140.74950000000001</v>
      </c>
      <c r="M4163">
        <v>-0.99552439999999998</v>
      </c>
      <c r="N4163">
        <v>0</v>
      </c>
      <c r="O4163">
        <v>-9.3888550000000001E-2</v>
      </c>
      <c r="P4163">
        <v>-0.98541250000000002</v>
      </c>
      <c r="Q4163">
        <v>0.16592999999999999</v>
      </c>
      <c r="R4163">
        <v>-3.7806659999999999E-2</v>
      </c>
      <c r="S4163">
        <v>-3.0755919999999999</v>
      </c>
      <c r="T4163">
        <v>-0.21481929999999999</v>
      </c>
      <c r="U4163">
        <v>-0.14646909999999999</v>
      </c>
      <c r="V4163">
        <v>5.5338730000000003E-2</v>
      </c>
      <c r="W4163">
        <v>0.17639489999999999</v>
      </c>
      <c r="X4163">
        <v>0.98276269999999999</v>
      </c>
      <c r="Y4163">
        <v>4.6089329999999998E-2</v>
      </c>
      <c r="Z4163">
        <v>8.1423109999999993E-3</v>
      </c>
      <c r="AA4163">
        <v>0.99890409999999996</v>
      </c>
      <c r="AB4163">
        <v>25</v>
      </c>
      <c r="AC4163">
        <v>-0.57730000000000803</v>
      </c>
      <c r="AD4163">
        <v>-5.7511E-2</v>
      </c>
      <c r="AE4163">
        <v>-1.7200000000002501E-2</v>
      </c>
      <c r="AF4163">
        <v>3.6716927362852501E-2</v>
      </c>
      <c r="AG4163">
        <v>-5.7511E-2</v>
      </c>
      <c r="AH4163">
        <v>0.57070576387419403</v>
      </c>
      <c r="AI4163">
        <v>95.742575412814602</v>
      </c>
      <c r="AJ4163">
        <v>86.318891852076405</v>
      </c>
      <c r="AK4163">
        <v>0.57477014257457404</v>
      </c>
      <c r="AL4163">
        <v>79.840157418291298</v>
      </c>
      <c r="AM4163">
        <v>86.777115268047794</v>
      </c>
      <c r="AN4163">
        <v>1.0000000301476499</v>
      </c>
    </row>
    <row r="4164" spans="1:40" x14ac:dyDescent="0.25">
      <c r="A4164" t="str">
        <f>"20190312172453718"</f>
        <v>20190312172453718</v>
      </c>
      <c r="B4164" t="str">
        <f>"1552382693714465"</f>
        <v>1552382693714465</v>
      </c>
      <c r="C4164" t="s">
        <v>40</v>
      </c>
      <c r="D4164">
        <v>3.9049990000000001</v>
      </c>
      <c r="E4164">
        <v>0.4948205</v>
      </c>
      <c r="F4164" t="s">
        <v>41</v>
      </c>
      <c r="G4164">
        <v>-220.83459999999999</v>
      </c>
      <c r="H4164">
        <v>1.0521290000000001</v>
      </c>
      <c r="I4164">
        <v>140.71080000000001</v>
      </c>
      <c r="J4164">
        <v>-220.28229999999999</v>
      </c>
      <c r="K4164">
        <v>1.109151</v>
      </c>
      <c r="L4164">
        <v>140.7269</v>
      </c>
      <c r="M4164">
        <v>-0.99567399999999995</v>
      </c>
      <c r="N4164">
        <v>0</v>
      </c>
      <c r="O4164">
        <v>-9.2307120000000006E-2</v>
      </c>
      <c r="P4164">
        <v>-0.98540499999999998</v>
      </c>
      <c r="Q4164">
        <v>0.16571469999999999</v>
      </c>
      <c r="R4164">
        <v>-3.8937909999999999E-2</v>
      </c>
      <c r="S4164">
        <v>-3.0751949999999999</v>
      </c>
      <c r="T4164">
        <v>-0.21641489999999999</v>
      </c>
      <c r="U4164">
        <v>-0.14720150000000001</v>
      </c>
      <c r="V4164">
        <v>5.2649939999999999E-2</v>
      </c>
      <c r="W4164">
        <v>0.1760321</v>
      </c>
      <c r="X4164">
        <v>0.98297540000000005</v>
      </c>
      <c r="Y4164">
        <v>4.4262129999999997E-2</v>
      </c>
      <c r="Z4164">
        <v>8.0288310000000002E-3</v>
      </c>
      <c r="AA4164">
        <v>0.99898770000000003</v>
      </c>
      <c r="AB4164">
        <v>25</v>
      </c>
      <c r="AC4164">
        <v>-0.55230000000000201</v>
      </c>
      <c r="AD4164">
        <v>-5.7021999999999899E-2</v>
      </c>
      <c r="AE4164">
        <v>-1.60999999999944E-2</v>
      </c>
      <c r="AF4164">
        <v>3.4584501529172501E-2</v>
      </c>
      <c r="AG4164">
        <v>-5.7021999999999899E-2</v>
      </c>
      <c r="AH4164">
        <v>0.54561692512870497</v>
      </c>
      <c r="AI4164">
        <v>95.9544149293787</v>
      </c>
      <c r="AJ4164">
        <v>86.373099056314999</v>
      </c>
      <c r="AK4164">
        <v>0.549677564774954</v>
      </c>
      <c r="AL4164">
        <v>79.861274224012206</v>
      </c>
      <c r="AM4164">
        <v>86.934064119164205</v>
      </c>
      <c r="AN4164">
        <v>0.99999997670878604</v>
      </c>
    </row>
    <row r="4165" spans="1:40" x14ac:dyDescent="0.25">
      <c r="A4165" t="str">
        <f>"20190312172453740"</f>
        <v>20190312172453740</v>
      </c>
      <c r="B4165" t="str">
        <f>"1552382693734961"</f>
        <v>1552382693734961</v>
      </c>
      <c r="C4165" t="s">
        <v>40</v>
      </c>
      <c r="D4165">
        <v>3.9873029999999998</v>
      </c>
      <c r="E4165">
        <v>0.49485829999999997</v>
      </c>
      <c r="F4165" t="s">
        <v>43</v>
      </c>
      <c r="G4165">
        <v>-236.17449999999999</v>
      </c>
      <c r="H4165" s="1">
        <v>-1.715096E-6</v>
      </c>
      <c r="I4165">
        <v>139.96080000000001</v>
      </c>
      <c r="J4165">
        <v>-220.53229999999999</v>
      </c>
      <c r="K4165">
        <v>1.1091219999999999</v>
      </c>
      <c r="L4165">
        <v>140.7054</v>
      </c>
      <c r="M4165">
        <v>-0.99581600000000003</v>
      </c>
      <c r="N4165">
        <v>0</v>
      </c>
      <c r="O4165">
        <v>-9.0778899999999996E-2</v>
      </c>
      <c r="P4165">
        <v>-0.98527909999999996</v>
      </c>
      <c r="Q4165">
        <v>0.16612950000000001</v>
      </c>
      <c r="R4165">
        <v>-4.0325949999999999E-2</v>
      </c>
      <c r="S4165">
        <v>-3.0746609999999999</v>
      </c>
      <c r="T4165">
        <v>-0.21458830000000001</v>
      </c>
      <c r="U4165">
        <v>-0.1482086</v>
      </c>
      <c r="V4165">
        <v>4.9748069999999998E-2</v>
      </c>
      <c r="W4165">
        <v>0.1763052</v>
      </c>
      <c r="X4165">
        <v>0.9830776</v>
      </c>
      <c r="Y4165">
        <v>4.2407649999999998E-2</v>
      </c>
      <c r="Z4165">
        <v>7.7918939999999997E-3</v>
      </c>
      <c r="AA4165">
        <v>0.99907000000000001</v>
      </c>
      <c r="AB4165">
        <v>25</v>
      </c>
      <c r="AC4165">
        <v>-15.642200000000001</v>
      </c>
      <c r="AD4165">
        <v>-1.1091237150960001</v>
      </c>
      <c r="AE4165">
        <v>-0.74459999999999105</v>
      </c>
      <c r="AF4165">
        <v>0.67514760362764903</v>
      </c>
      <c r="AG4165">
        <v>-1.1091237150960001</v>
      </c>
      <c r="AH4165">
        <v>15.567116117964</v>
      </c>
      <c r="AI4165">
        <v>94.071500733342901</v>
      </c>
      <c r="AJ4165">
        <v>87.516631764150802</v>
      </c>
      <c r="AK4165">
        <v>15.6211742174603</v>
      </c>
      <c r="AL4165">
        <v>79.845378173460603</v>
      </c>
      <c r="AM4165">
        <v>87.103051567724094</v>
      </c>
      <c r="AN4165">
        <v>0.99999998081876196</v>
      </c>
    </row>
    <row r="4166" spans="1:40" x14ac:dyDescent="0.25">
      <c r="A4166" t="str">
        <f>"20190312172453763"</f>
        <v>20190312172453763</v>
      </c>
      <c r="B4166" t="str">
        <f>"1552382693754481"</f>
        <v>1552382693754481</v>
      </c>
      <c r="C4166" t="s">
        <v>40</v>
      </c>
      <c r="D4166">
        <v>3.8693200000000001</v>
      </c>
      <c r="E4166">
        <v>0.49498989999999998</v>
      </c>
      <c r="F4166" t="s">
        <v>43</v>
      </c>
      <c r="G4166">
        <v>-236.63329999999999</v>
      </c>
      <c r="H4166" s="1">
        <v>-1.506157E-6</v>
      </c>
      <c r="I4166">
        <v>139.9152</v>
      </c>
      <c r="J4166">
        <v>-220.78890000000001</v>
      </c>
      <c r="K4166">
        <v>1.109094</v>
      </c>
      <c r="L4166">
        <v>140.68369999999999</v>
      </c>
      <c r="M4166">
        <v>-0.99596010000000001</v>
      </c>
      <c r="N4166">
        <v>0</v>
      </c>
      <c r="O4166">
        <v>-8.9204510000000001E-2</v>
      </c>
      <c r="P4166">
        <v>-0.98501799999999995</v>
      </c>
      <c r="Q4166">
        <v>0.1675092</v>
      </c>
      <c r="R4166">
        <v>-4.0998149999999997E-2</v>
      </c>
      <c r="S4166">
        <v>-3.0743710000000002</v>
      </c>
      <c r="T4166">
        <v>-0.21177969999999999</v>
      </c>
      <c r="U4166">
        <v>-0.15086359999999999</v>
      </c>
      <c r="V4166">
        <v>4.7504860000000003E-2</v>
      </c>
      <c r="W4166">
        <v>0.17752970000000001</v>
      </c>
      <c r="X4166">
        <v>0.98296819999999896</v>
      </c>
      <c r="Y4166">
        <v>3.9980370000000001E-2</v>
      </c>
      <c r="Z4166">
        <v>7.499375E-3</v>
      </c>
      <c r="AA4166">
        <v>0.99917230000000001</v>
      </c>
      <c r="AB4166">
        <v>25</v>
      </c>
      <c r="AC4166">
        <v>-15.844399999999901</v>
      </c>
      <c r="AD4166">
        <v>-1.109095506157</v>
      </c>
      <c r="AE4166">
        <v>-0.76849999999998797</v>
      </c>
      <c r="AF4166">
        <v>0.64487854166778502</v>
      </c>
      <c r="AG4166">
        <v>-1.109095506157</v>
      </c>
      <c r="AH4166">
        <v>15.7726812003246</v>
      </c>
      <c r="AI4166">
        <v>94.018928533920004</v>
      </c>
      <c r="AJ4166">
        <v>87.658720770361995</v>
      </c>
      <c r="AK4166">
        <v>15.8247727763261</v>
      </c>
      <c r="AL4166">
        <v>79.774095181031299</v>
      </c>
      <c r="AM4166">
        <v>87.233163879011499</v>
      </c>
      <c r="AN4166">
        <v>0.99999999415847396</v>
      </c>
    </row>
    <row r="4167" spans="1:40" x14ac:dyDescent="0.25">
      <c r="A4167" t="str">
        <f>"20190312172453785"</f>
        <v>20190312172453785</v>
      </c>
      <c r="B4167" t="str">
        <f>"1552382693774977"</f>
        <v>1552382693774977</v>
      </c>
      <c r="C4167" t="s">
        <v>40</v>
      </c>
      <c r="D4167">
        <v>3.8870239999999998</v>
      </c>
      <c r="E4167">
        <v>0.49516480000000002</v>
      </c>
      <c r="F4167" t="s">
        <v>41</v>
      </c>
      <c r="G4167">
        <v>-221.73320000000001</v>
      </c>
      <c r="H4167">
        <v>1.0457970000000001</v>
      </c>
      <c r="I4167">
        <v>140.63720000000001</v>
      </c>
      <c r="J4167">
        <v>-221.0454</v>
      </c>
      <c r="K4167">
        <v>1.1090679999999999</v>
      </c>
      <c r="L4167">
        <v>140.66239999999999</v>
      </c>
      <c r="M4167">
        <v>-0.99610259999999995</v>
      </c>
      <c r="N4167">
        <v>0</v>
      </c>
      <c r="O4167">
        <v>-8.7616360000000004E-2</v>
      </c>
      <c r="P4167">
        <v>-0.98466620000000005</v>
      </c>
      <c r="Q4167">
        <v>0.16955709999999999</v>
      </c>
      <c r="R4167">
        <v>-4.102198E-2</v>
      </c>
      <c r="S4167">
        <v>-3.074341</v>
      </c>
      <c r="T4167">
        <v>-0.20608380000000001</v>
      </c>
      <c r="U4167">
        <v>-0.15188599999999999</v>
      </c>
      <c r="V4167">
        <v>4.5890439999999998E-2</v>
      </c>
      <c r="W4167">
        <v>0.17941389999999999</v>
      </c>
      <c r="X4167">
        <v>0.98270270000000004</v>
      </c>
      <c r="Y4167">
        <v>3.8078969999999997E-2</v>
      </c>
      <c r="Z4167">
        <v>7.1286459999999998E-3</v>
      </c>
      <c r="AA4167">
        <v>0.99924930000000001</v>
      </c>
      <c r="AB4167">
        <v>26</v>
      </c>
      <c r="AC4167">
        <v>-0.68780000000000996</v>
      </c>
      <c r="AD4167">
        <v>-6.3270999999999994E-2</v>
      </c>
      <c r="AE4167">
        <v>-2.5199999999983898E-2</v>
      </c>
      <c r="AF4167">
        <v>3.4867892789556702E-2</v>
      </c>
      <c r="AG4167">
        <v>-6.3270999999999994E-2</v>
      </c>
      <c r="AH4167">
        <v>0.68160254682048804</v>
      </c>
      <c r="AI4167">
        <v>95.296501094354298</v>
      </c>
      <c r="AJ4167">
        <v>87.071543872413301</v>
      </c>
      <c r="AK4167">
        <v>0.685420324487653</v>
      </c>
      <c r="AL4167">
        <v>79.6643763472199</v>
      </c>
      <c r="AM4167">
        <v>87.326333028900706</v>
      </c>
      <c r="AN4167">
        <v>0.999999938291945</v>
      </c>
    </row>
    <row r="4168" spans="1:40" x14ac:dyDescent="0.25">
      <c r="A4168" t="str">
        <f>"20190312172453806"</f>
        <v>20190312172453806</v>
      </c>
      <c r="B4168" t="str">
        <f>"1552382693804765"</f>
        <v>1552382693804765</v>
      </c>
      <c r="C4168" t="s">
        <v>40</v>
      </c>
      <c r="D4168">
        <v>3.9659239999999998</v>
      </c>
      <c r="E4168">
        <v>0.4952452</v>
      </c>
      <c r="F4168" t="s">
        <v>41</v>
      </c>
      <c r="G4168">
        <v>-221.96539999999999</v>
      </c>
      <c r="H4168">
        <v>1.049515</v>
      </c>
      <c r="I4168">
        <v>140.6174</v>
      </c>
      <c r="J4168">
        <v>-221.2903</v>
      </c>
      <c r="K4168">
        <v>1.10904</v>
      </c>
      <c r="L4168">
        <v>140.64259999999999</v>
      </c>
      <c r="M4168">
        <v>-0.99623790000000001</v>
      </c>
      <c r="N4168">
        <v>0</v>
      </c>
      <c r="O4168">
        <v>-8.6084389999999997E-2</v>
      </c>
      <c r="P4168">
        <v>-0.98449830000000005</v>
      </c>
      <c r="Q4168">
        <v>0.17035229999999901</v>
      </c>
      <c r="R4168">
        <v>-4.175533E-2</v>
      </c>
      <c r="S4168">
        <v>-3.0746920000000002</v>
      </c>
      <c r="T4168">
        <v>-0.1990738</v>
      </c>
      <c r="U4168">
        <v>-0.15103150000000001</v>
      </c>
      <c r="V4168">
        <v>4.3640129999999999E-2</v>
      </c>
      <c r="W4168">
        <v>0.18006220000000001</v>
      </c>
      <c r="X4168">
        <v>0.98268670000000002</v>
      </c>
      <c r="Y4168">
        <v>3.6849260000000002E-2</v>
      </c>
      <c r="Z4168">
        <v>6.7475620000000004E-3</v>
      </c>
      <c r="AA4168">
        <v>0.99929800000000002</v>
      </c>
      <c r="AB4168">
        <v>26</v>
      </c>
      <c r="AC4168">
        <v>-0.67509999999998604</v>
      </c>
      <c r="AD4168">
        <v>-5.9525000000000002E-2</v>
      </c>
      <c r="AE4168">
        <v>-2.5199999999983898E-2</v>
      </c>
      <c r="AF4168">
        <v>3.2757704769144601E-2</v>
      </c>
      <c r="AG4168">
        <v>-5.9525000000000002E-2</v>
      </c>
      <c r="AH4168">
        <v>0.66956494014413004</v>
      </c>
      <c r="AI4168">
        <v>95.074259588729802</v>
      </c>
      <c r="AJ4168">
        <v>87.199102282173001</v>
      </c>
      <c r="AK4168">
        <v>0.67300334465510203</v>
      </c>
      <c r="AL4168">
        <v>79.626617238256301</v>
      </c>
      <c r="AM4168">
        <v>87.457222649858807</v>
      </c>
      <c r="AN4168">
        <v>1.0000000035860701</v>
      </c>
    </row>
    <row r="4169" spans="1:40" x14ac:dyDescent="0.25">
      <c r="A4169" t="str">
        <f>"20190312172453830"</f>
        <v>20190312172453830</v>
      </c>
      <c r="B4169" t="str">
        <f>"1552382693824285"</f>
        <v>1552382693824285</v>
      </c>
      <c r="C4169" t="s">
        <v>40</v>
      </c>
      <c r="D4169">
        <v>3.950221</v>
      </c>
      <c r="E4169">
        <v>0.49530030000000003</v>
      </c>
      <c r="F4169" t="s">
        <v>41</v>
      </c>
      <c r="G4169">
        <v>-222.19569999999999</v>
      </c>
      <c r="H4169">
        <v>1.0504530000000001</v>
      </c>
      <c r="I4169">
        <v>140.59799999999899</v>
      </c>
      <c r="J4169">
        <v>-221.55240000000001</v>
      </c>
      <c r="K4169">
        <v>1.1089979999999999</v>
      </c>
      <c r="L4169">
        <v>140.6217</v>
      </c>
      <c r="M4169">
        <v>-0.99638210000000005</v>
      </c>
      <c r="N4169">
        <v>0</v>
      </c>
      <c r="O4169">
        <v>-8.4416110000000003E-2</v>
      </c>
      <c r="P4169">
        <v>-0.98432600000000003</v>
      </c>
      <c r="Q4169">
        <v>0.1711395</v>
      </c>
      <c r="R4169">
        <v>-4.2589349999999998E-2</v>
      </c>
      <c r="S4169">
        <v>-3.0752109999999999</v>
      </c>
      <c r="T4169">
        <v>-0.1989889</v>
      </c>
      <c r="U4169">
        <v>-0.15214539999999999</v>
      </c>
      <c r="V4169">
        <v>4.1158500000000001E-2</v>
      </c>
      <c r="W4169">
        <v>0.1807</v>
      </c>
      <c r="X4169">
        <v>0.98267669999999996</v>
      </c>
      <c r="Y4169">
        <v>3.4830890000000003E-2</v>
      </c>
      <c r="Z4169">
        <v>6.5709050000000001E-3</v>
      </c>
      <c r="AA4169">
        <v>0.99937160000000003</v>
      </c>
      <c r="AB4169">
        <v>26</v>
      </c>
      <c r="AC4169">
        <v>-0.643299999999982</v>
      </c>
      <c r="AD4169">
        <v>-5.8544999999999799E-2</v>
      </c>
      <c r="AE4169">
        <v>-2.3700000000019299E-2</v>
      </c>
      <c r="AF4169">
        <v>3.0440335568460399E-2</v>
      </c>
      <c r="AG4169">
        <v>-5.8544999999999799E-2</v>
      </c>
      <c r="AH4169">
        <v>0.63772960700075298</v>
      </c>
      <c r="AI4169">
        <v>95.239246608516595</v>
      </c>
      <c r="AJ4169">
        <v>87.267211732404107</v>
      </c>
      <c r="AK4169">
        <v>0.64113429381047404</v>
      </c>
      <c r="AL4169">
        <v>79.589464575499605</v>
      </c>
      <c r="AM4169">
        <v>87.601621358794404</v>
      </c>
      <c r="AN4169">
        <v>1.0000000044225601</v>
      </c>
    </row>
    <row r="4170" spans="1:40" x14ac:dyDescent="0.25">
      <c r="A4170" t="str">
        <f>"20190312172453852"</f>
        <v>20190312172453852</v>
      </c>
      <c r="B4170" t="str">
        <f>"1552382693844780"</f>
        <v>1552382693844780</v>
      </c>
      <c r="C4170" t="s">
        <v>40</v>
      </c>
      <c r="D4170">
        <v>3.8853810000000002</v>
      </c>
      <c r="E4170">
        <v>0.49534109999999998</v>
      </c>
      <c r="F4170" t="s">
        <v>43</v>
      </c>
      <c r="G4170">
        <v>-238.77680000000001</v>
      </c>
      <c r="H4170" s="1">
        <v>-5.4583259999999896E-7</v>
      </c>
      <c r="I4170">
        <v>139.762</v>
      </c>
      <c r="J4170">
        <v>-221.81180000000001</v>
      </c>
      <c r="K4170">
        <v>1.108951</v>
      </c>
      <c r="L4170">
        <v>140.60159999999999</v>
      </c>
      <c r="M4170">
        <v>-0.99652560000000001</v>
      </c>
      <c r="N4170">
        <v>0</v>
      </c>
      <c r="O4170">
        <v>-8.2721799999999998E-2</v>
      </c>
      <c r="P4170">
        <v>-0.98415019999999998</v>
      </c>
      <c r="Q4170">
        <v>0.17207210000000001</v>
      </c>
      <c r="R4170">
        <v>-4.2892729999999997E-2</v>
      </c>
      <c r="S4170">
        <v>-3.075577</v>
      </c>
      <c r="T4170">
        <v>-0.1980219</v>
      </c>
      <c r="U4170">
        <v>-0.15350339999999901</v>
      </c>
      <c r="V4170">
        <v>3.9184579999999997E-2</v>
      </c>
      <c r="W4170">
        <v>0.18148690000000001</v>
      </c>
      <c r="X4170">
        <v>0.98261240000000005</v>
      </c>
      <c r="Y4170">
        <v>3.2707430000000003E-2</v>
      </c>
      <c r="Z4170">
        <v>6.361401E-3</v>
      </c>
      <c r="AA4170">
        <v>0.99944469999999996</v>
      </c>
      <c r="AB4170">
        <v>26</v>
      </c>
      <c r="AC4170">
        <v>-16.965</v>
      </c>
      <c r="AD4170">
        <v>-1.1089515458326</v>
      </c>
      <c r="AE4170">
        <v>-0.83959999999999002</v>
      </c>
      <c r="AF4170">
        <v>0.56431369699175804</v>
      </c>
      <c r="AG4170">
        <v>-1.1089515458326</v>
      </c>
      <c r="AH4170">
        <v>16.904253684847198</v>
      </c>
      <c r="AI4170">
        <v>93.751251489227599</v>
      </c>
      <c r="AJ4170">
        <v>88.088008438111999</v>
      </c>
      <c r="AK4170">
        <v>16.9499857262857</v>
      </c>
      <c r="AL4170">
        <v>79.543620778250897</v>
      </c>
      <c r="AM4170">
        <v>87.7163710809116</v>
      </c>
      <c r="AN4170">
        <v>1.00000002740757</v>
      </c>
    </row>
    <row r="4171" spans="1:40" x14ac:dyDescent="0.25">
      <c r="A4171" t="str">
        <f>"20190312172453874"</f>
        <v>20190312172453874</v>
      </c>
      <c r="B4171" t="str">
        <f>"1552382693864300"</f>
        <v>1552382693864300</v>
      </c>
      <c r="C4171" t="s">
        <v>40</v>
      </c>
      <c r="D4171">
        <v>3.8995310000000001</v>
      </c>
      <c r="E4171">
        <v>0.49540139999999999</v>
      </c>
      <c r="F4171" t="s">
        <v>43</v>
      </c>
      <c r="G4171">
        <v>-239.15600000000001</v>
      </c>
      <c r="H4171" s="1">
        <v>-3.7605619999999997E-7</v>
      </c>
      <c r="I4171">
        <v>139.73519999999999</v>
      </c>
      <c r="J4171">
        <v>-222.06780000000001</v>
      </c>
      <c r="K4171">
        <v>1.1088830000000001</v>
      </c>
      <c r="L4171">
        <v>140.5822</v>
      </c>
      <c r="M4171">
        <v>-0.99666920000000003</v>
      </c>
      <c r="N4171">
        <v>0</v>
      </c>
      <c r="O4171">
        <v>-8.099133E-2</v>
      </c>
      <c r="P4171">
        <v>-0.9839232</v>
      </c>
      <c r="Q4171">
        <v>0.17324609999999999</v>
      </c>
      <c r="R4171">
        <v>-4.3372790000000001E-2</v>
      </c>
      <c r="S4171">
        <v>-3.075974</v>
      </c>
      <c r="T4171">
        <v>-0.19667119999999999</v>
      </c>
      <c r="U4171">
        <v>-0.15364069999999999</v>
      </c>
      <c r="V4171">
        <v>3.7001439999999997E-2</v>
      </c>
      <c r="W4171">
        <v>0.1825203</v>
      </c>
      <c r="X4171">
        <v>0.98250559999999998</v>
      </c>
      <c r="Y4171">
        <v>3.0944099999999999E-2</v>
      </c>
      <c r="Z4171">
        <v>6.1509169999999997E-3</v>
      </c>
      <c r="AA4171">
        <v>0.99950220000000001</v>
      </c>
      <c r="AB4171">
        <v>26</v>
      </c>
      <c r="AC4171">
        <v>-17.088199999999901</v>
      </c>
      <c r="AD4171">
        <v>-1.1088833760562</v>
      </c>
      <c r="AE4171">
        <v>-0.84700000000000797</v>
      </c>
      <c r="AF4171">
        <v>0.53758358747827095</v>
      </c>
      <c r="AG4171">
        <v>-1.1088833760562</v>
      </c>
      <c r="AH4171">
        <v>17.029126713916</v>
      </c>
      <c r="AI4171">
        <v>93.723811894215402</v>
      </c>
      <c r="AJ4171">
        <v>88.191860013252807</v>
      </c>
      <c r="AK4171">
        <v>17.0736573438097</v>
      </c>
      <c r="AL4171">
        <v>79.483405413759499</v>
      </c>
      <c r="AM4171">
        <v>87.843243922181301</v>
      </c>
      <c r="AN4171">
        <v>1.00000001025276</v>
      </c>
    </row>
    <row r="4172" spans="1:40" x14ac:dyDescent="0.25">
      <c r="A4172" t="str">
        <f>"20190312172453896"</f>
        <v>20190312172453896</v>
      </c>
      <c r="B4172" t="str">
        <f>"1552382693884331"</f>
        <v>1552382693884331</v>
      </c>
      <c r="C4172" t="s">
        <v>40</v>
      </c>
      <c r="D4172">
        <v>3.8915999999999999</v>
      </c>
      <c r="E4172">
        <v>0.49555450000000001</v>
      </c>
      <c r="F4172" t="s">
        <v>43</v>
      </c>
      <c r="G4172">
        <v>-239.7302</v>
      </c>
      <c r="H4172" s="1">
        <v>-1.1860250000000001E-7</v>
      </c>
      <c r="I4172">
        <v>139.6935</v>
      </c>
      <c r="J4172">
        <v>-222.31450000000001</v>
      </c>
      <c r="K4172">
        <v>1.1088070000000001</v>
      </c>
      <c r="L4172">
        <v>140.56399999999999</v>
      </c>
      <c r="M4172">
        <v>-0.99681019999999998</v>
      </c>
      <c r="N4172">
        <v>0</v>
      </c>
      <c r="O4172">
        <v>-7.9253569999999995E-2</v>
      </c>
      <c r="P4172">
        <v>-0.98365860000000005</v>
      </c>
      <c r="Q4172">
        <v>0.17472399999999999</v>
      </c>
      <c r="R4172">
        <v>-4.3446459999999999E-2</v>
      </c>
      <c r="S4172">
        <v>-3.0762179999999999</v>
      </c>
      <c r="T4172">
        <v>-0.19313159999999999</v>
      </c>
      <c r="U4172">
        <v>-0.15476989999999999</v>
      </c>
      <c r="V4172">
        <v>3.5219609999999998E-2</v>
      </c>
      <c r="W4172">
        <v>0.18386659999999999</v>
      </c>
      <c r="X4172">
        <v>0.98231999999999997</v>
      </c>
      <c r="Y4172">
        <v>2.8854959999999999E-2</v>
      </c>
      <c r="Z4172">
        <v>5.8658440000000003E-3</v>
      </c>
      <c r="AA4172">
        <v>0.99956639999999997</v>
      </c>
      <c r="AB4172">
        <v>26</v>
      </c>
      <c r="AC4172">
        <v>-17.415699999999902</v>
      </c>
      <c r="AD4172">
        <v>-1.1088071186024999</v>
      </c>
      <c r="AE4172">
        <v>-0.87049999999999195</v>
      </c>
      <c r="AF4172">
        <v>0.51049162825241501</v>
      </c>
      <c r="AG4172">
        <v>-1.1088071186024999</v>
      </c>
      <c r="AH4172">
        <v>17.359714919694301</v>
      </c>
      <c r="AI4172">
        <v>93.653081035364295</v>
      </c>
      <c r="AJ4172">
        <v>88.315606608475903</v>
      </c>
      <c r="AK4172">
        <v>17.4025790336329</v>
      </c>
      <c r="AL4172">
        <v>79.404939739060893</v>
      </c>
      <c r="AM4172">
        <v>87.946625327699607</v>
      </c>
      <c r="AN4172">
        <v>0.99999996496205501</v>
      </c>
    </row>
    <row r="4173" spans="1:40" x14ac:dyDescent="0.25">
      <c r="A4173" t="str">
        <f>"20190312172453919"</f>
        <v>20190312172453919</v>
      </c>
      <c r="B4173" t="str">
        <f>"1552382693914584"</f>
        <v>1552382693914584</v>
      </c>
      <c r="C4173" t="s">
        <v>40</v>
      </c>
      <c r="D4173">
        <v>3.7771889999999999</v>
      </c>
      <c r="E4173">
        <v>0.4957145</v>
      </c>
      <c r="F4173" t="s">
        <v>43</v>
      </c>
      <c r="G4173">
        <v>-240.35400000000001</v>
      </c>
      <c r="H4173" s="1">
        <v>-4.1318650000000003E-6</v>
      </c>
      <c r="I4173">
        <v>139.6593</v>
      </c>
      <c r="J4173">
        <v>-222.59010000000001</v>
      </c>
      <c r="K4173">
        <v>1.108716</v>
      </c>
      <c r="L4173">
        <v>140.54429999999999</v>
      </c>
      <c r="M4173">
        <v>-0.99697139999999995</v>
      </c>
      <c r="N4173">
        <v>0</v>
      </c>
      <c r="O4173">
        <v>-7.7217789999999994E-2</v>
      </c>
      <c r="P4173">
        <v>-0.98345570000000004</v>
      </c>
      <c r="Q4173">
        <v>0.17585700000000001</v>
      </c>
      <c r="R4173">
        <v>-4.3470370000000001E-2</v>
      </c>
      <c r="S4173">
        <v>-3.0766140000000002</v>
      </c>
      <c r="T4173">
        <v>-0.18910679999999999</v>
      </c>
      <c r="U4173">
        <v>-0.15428159999999999</v>
      </c>
      <c r="V4173">
        <v>3.320683E-2</v>
      </c>
      <c r="W4173">
        <v>0.184863</v>
      </c>
      <c r="X4173">
        <v>0.9822031</v>
      </c>
      <c r="Y4173">
        <v>2.699433E-2</v>
      </c>
      <c r="Z4173">
        <v>5.5614999999999996E-3</v>
      </c>
      <c r="AA4173">
        <v>0.99962010000000001</v>
      </c>
      <c r="AB4173">
        <v>26</v>
      </c>
      <c r="AC4173">
        <v>-17.7639</v>
      </c>
      <c r="AD4173">
        <v>-1.108720131865</v>
      </c>
      <c r="AE4173">
        <v>-0.88499999999999002</v>
      </c>
      <c r="AF4173">
        <v>0.48749596188944</v>
      </c>
      <c r="AG4173">
        <v>-1.108720131865</v>
      </c>
      <c r="AH4173">
        <v>17.710376948606498</v>
      </c>
      <c r="AI4173">
        <v>93.580851689343902</v>
      </c>
      <c r="AJ4173">
        <v>88.423274103512895</v>
      </c>
      <c r="AK4173">
        <v>17.751742570953301</v>
      </c>
      <c r="AL4173">
        <v>79.346854634799797</v>
      </c>
      <c r="AM4173">
        <v>88.063652210165799</v>
      </c>
      <c r="AN4173">
        <v>0.999999975988629</v>
      </c>
    </row>
    <row r="4174" spans="1:40" x14ac:dyDescent="0.25">
      <c r="A4174" t="str">
        <f>"20190312172453943"</f>
        <v>20190312172453943</v>
      </c>
      <c r="B4174" t="str">
        <f>"1552382693935079"</f>
        <v>1552382693935079</v>
      </c>
      <c r="C4174" t="s">
        <v>40</v>
      </c>
      <c r="D4174">
        <v>3.884436</v>
      </c>
      <c r="E4174">
        <v>0.49589460000000002</v>
      </c>
      <c r="F4174" t="s">
        <v>43</v>
      </c>
      <c r="G4174">
        <v>-240.5351</v>
      </c>
      <c r="H4174" s="1">
        <v>-4.052087E-6</v>
      </c>
      <c r="I4174">
        <v>139.6515</v>
      </c>
      <c r="J4174">
        <v>-222.8723</v>
      </c>
      <c r="K4174">
        <v>1.1086129999999901</v>
      </c>
      <c r="L4174">
        <v>140.5248</v>
      </c>
      <c r="M4174">
        <v>-0.99714119999999995</v>
      </c>
      <c r="N4174">
        <v>0</v>
      </c>
      <c r="O4174">
        <v>-7.5007470000000007E-2</v>
      </c>
      <c r="P4174">
        <v>-0.98323240000000001</v>
      </c>
      <c r="Q4174">
        <v>0.17711250000000001</v>
      </c>
      <c r="R4174">
        <v>-4.3420710000000001E-2</v>
      </c>
      <c r="S4174">
        <v>-3.0777130000000001</v>
      </c>
      <c r="T4174">
        <v>-0.19015409999999999</v>
      </c>
      <c r="U4174">
        <v>-0.15310670000000001</v>
      </c>
      <c r="V4174">
        <v>3.1101589999999998E-2</v>
      </c>
      <c r="W4174">
        <v>0.18598480000000001</v>
      </c>
      <c r="X4174">
        <v>0.9820603</v>
      </c>
      <c r="Y4174">
        <v>2.5182260000000001E-2</v>
      </c>
      <c r="Z4174">
        <v>5.3984970000000004E-3</v>
      </c>
      <c r="AA4174">
        <v>0.99966829999999995</v>
      </c>
      <c r="AB4174">
        <v>26</v>
      </c>
      <c r="AC4174">
        <v>-17.662800000000001</v>
      </c>
      <c r="AD4174">
        <v>-1.10861705208699</v>
      </c>
      <c r="AE4174">
        <v>-0.87329999999999997</v>
      </c>
      <c r="AF4174">
        <v>0.45228002061185102</v>
      </c>
      <c r="AG4174">
        <v>-1.10861705208699</v>
      </c>
      <c r="AH4174">
        <v>17.609342702344598</v>
      </c>
      <c r="AI4174">
        <v>93.601184976850107</v>
      </c>
      <c r="AJ4174">
        <v>88.528733250495193</v>
      </c>
      <c r="AK4174">
        <v>17.650001115972799</v>
      </c>
      <c r="AL4174">
        <v>79.281446682702594</v>
      </c>
      <c r="AM4174">
        <v>88.186064094691702</v>
      </c>
      <c r="AN4174">
        <v>1.0000000437838199</v>
      </c>
    </row>
    <row r="4175" spans="1:40" x14ac:dyDescent="0.25">
      <c r="A4175" t="str">
        <f>"20190312172454053"</f>
        <v>20190312172454053</v>
      </c>
      <c r="B4175" t="str">
        <f>"1552382694044900"</f>
        <v>1552382694044900</v>
      </c>
      <c r="C4175" t="s">
        <v>40</v>
      </c>
      <c r="D4175">
        <v>3.8311470000000001</v>
      </c>
      <c r="E4175">
        <v>0.51761049999999997</v>
      </c>
      <c r="F4175" t="s">
        <v>41</v>
      </c>
      <c r="G4175">
        <v>-224.7081</v>
      </c>
      <c r="H4175">
        <v>0.94559009999999999</v>
      </c>
      <c r="I4175">
        <v>140.4504</v>
      </c>
      <c r="J4175">
        <v>-224.16739999999999</v>
      </c>
      <c r="K4175">
        <v>1.1081719999999999</v>
      </c>
      <c r="L4175">
        <v>140.44550000000001</v>
      </c>
      <c r="M4175">
        <v>-0.99795040000000002</v>
      </c>
      <c r="N4175">
        <v>0</v>
      </c>
      <c r="O4175">
        <v>-6.3416420000000001E-2</v>
      </c>
      <c r="P4175">
        <v>-0.98345729999999998</v>
      </c>
      <c r="Q4175">
        <v>0.17722789999999999</v>
      </c>
      <c r="R4175">
        <v>-3.7448620000000002E-2</v>
      </c>
      <c r="S4175">
        <v>-3.1647029999999998</v>
      </c>
      <c r="T4175">
        <v>-0.63891409999999904</v>
      </c>
      <c r="U4175">
        <v>-3.965759E-2</v>
      </c>
      <c r="V4175">
        <v>2.5802950000000002E-2</v>
      </c>
      <c r="W4175">
        <v>0.18554390000000001</v>
      </c>
      <c r="X4175">
        <v>0.98229710000000003</v>
      </c>
      <c r="Y4175">
        <v>4.8649810000000002E-2</v>
      </c>
      <c r="Z4175">
        <v>1.7529070000000001E-2</v>
      </c>
      <c r="AA4175">
        <v>0.9986621</v>
      </c>
      <c r="AB4175">
        <v>26</v>
      </c>
      <c r="AC4175">
        <v>-0.54070000000001495</v>
      </c>
      <c r="AD4175">
        <v>-0.162581899999999</v>
      </c>
      <c r="AE4175">
        <v>4.8999999999921303E-3</v>
      </c>
      <c r="AF4175">
        <v>3.5932177428450202E-2</v>
      </c>
      <c r="AG4175">
        <v>-0.162581899999999</v>
      </c>
      <c r="AH4175">
        <v>0.494587293721791</v>
      </c>
      <c r="AI4175">
        <v>108.15215749878</v>
      </c>
      <c r="AJ4175">
        <v>85.844714528081397</v>
      </c>
      <c r="AK4175">
        <v>0.521862612852659</v>
      </c>
      <c r="AL4175">
        <v>79.307154990584493</v>
      </c>
      <c r="AM4175">
        <v>88.495302246536596</v>
      </c>
      <c r="AN4175">
        <v>0.99999996186216</v>
      </c>
    </row>
    <row r="4176" spans="1:40" x14ac:dyDescent="0.25">
      <c r="A4176" t="str">
        <f>"20190312172454075"</f>
        <v>20190312172454075</v>
      </c>
      <c r="B4176" t="str">
        <f>"1552382694064424"</f>
        <v>1552382694064424</v>
      </c>
      <c r="C4176" t="s">
        <v>40</v>
      </c>
      <c r="D4176">
        <v>4.0984350000000003</v>
      </c>
      <c r="E4176">
        <v>0.51800859999999904</v>
      </c>
      <c r="F4176" t="s">
        <v>43</v>
      </c>
      <c r="G4176">
        <v>-245.45869999999999</v>
      </c>
      <c r="H4176" s="1">
        <v>-2.2155689999999998E-6</v>
      </c>
      <c r="I4176">
        <v>140.6876</v>
      </c>
      <c r="J4176">
        <v>-224.4265</v>
      </c>
      <c r="K4176">
        <v>1.1080970000000001</v>
      </c>
      <c r="L4176">
        <v>140.43170000000001</v>
      </c>
      <c r="M4176">
        <v>-0.99810960000000004</v>
      </c>
      <c r="N4176">
        <v>0</v>
      </c>
      <c r="O4176">
        <v>-6.0873280000000002E-2</v>
      </c>
      <c r="P4176">
        <v>-0.98358179999999995</v>
      </c>
      <c r="Q4176">
        <v>0.17698889999999901</v>
      </c>
      <c r="R4176">
        <v>-3.5242969999999998E-2</v>
      </c>
      <c r="S4176">
        <v>-3.0806879999999999</v>
      </c>
      <c r="T4176">
        <v>-0.1603444</v>
      </c>
      <c r="U4176">
        <v>3.5034179999999998E-2</v>
      </c>
      <c r="V4176">
        <v>2.5528950000000002E-2</v>
      </c>
      <c r="W4176">
        <v>0.18520880000000001</v>
      </c>
      <c r="X4176">
        <v>0.98236749999999995</v>
      </c>
      <c r="Y4176">
        <v>7.2042060000000005E-2</v>
      </c>
      <c r="Z4176">
        <v>5.0385200000000003E-3</v>
      </c>
      <c r="AA4176">
        <v>0.99738879999999996</v>
      </c>
      <c r="AB4176">
        <v>26</v>
      </c>
      <c r="AC4176">
        <v>-21.0321999999999</v>
      </c>
      <c r="AD4176">
        <v>-1.1080992155689999</v>
      </c>
      <c r="AE4176">
        <v>0.25589999999999602</v>
      </c>
      <c r="AF4176">
        <v>1.53151972126418</v>
      </c>
      <c r="AG4176">
        <v>-1.1080992155689999</v>
      </c>
      <c r="AH4176">
        <v>20.919555136490899</v>
      </c>
      <c r="AI4176">
        <v>93.024019416092898</v>
      </c>
      <c r="AJ4176">
        <v>85.812848435430595</v>
      </c>
      <c r="AK4176">
        <v>21.004790492572202</v>
      </c>
      <c r="AL4176">
        <v>79.326693500053395</v>
      </c>
      <c r="AM4176">
        <v>88.511379953346804</v>
      </c>
      <c r="AN4176">
        <v>0.99999996597089502</v>
      </c>
    </row>
    <row r="4177" spans="1:40" x14ac:dyDescent="0.25">
      <c r="A4177" t="str">
        <f>"20190312172454096"</f>
        <v>20190312172454096</v>
      </c>
      <c r="B4177" t="str">
        <f>"1552382694084451"</f>
        <v>1552382694084451</v>
      </c>
      <c r="C4177" t="s">
        <v>40</v>
      </c>
      <c r="D4177">
        <v>3.984064</v>
      </c>
      <c r="E4177">
        <v>0.51835679999999995</v>
      </c>
      <c r="F4177" t="s">
        <v>43</v>
      </c>
      <c r="G4177">
        <v>-243.1079</v>
      </c>
      <c r="H4177" s="1">
        <v>-3.227866E-6</v>
      </c>
      <c r="I4177">
        <v>140.70179999999999</v>
      </c>
      <c r="J4177">
        <v>-224.67160000000001</v>
      </c>
      <c r="K4177">
        <v>1.1080369999999999</v>
      </c>
      <c r="L4177">
        <v>140.41929999999999</v>
      </c>
      <c r="M4177">
        <v>-0.9982569</v>
      </c>
      <c r="N4177">
        <v>0</v>
      </c>
      <c r="O4177">
        <v>-5.8419150000000003E-2</v>
      </c>
      <c r="P4177">
        <v>-0.98366160000000002</v>
      </c>
      <c r="Q4177">
        <v>0.1769597</v>
      </c>
      <c r="R4177">
        <v>-3.3092370000000003E-2</v>
      </c>
      <c r="S4177">
        <v>-3.0845790000000002</v>
      </c>
      <c r="T4177">
        <v>-0.1829644</v>
      </c>
      <c r="U4177">
        <v>4.4616700000000002E-2</v>
      </c>
      <c r="V4177">
        <v>2.5283409999999999E-2</v>
      </c>
      <c r="W4177">
        <v>0.18509829999999999</v>
      </c>
      <c r="X4177">
        <v>0.98239469999999995</v>
      </c>
      <c r="Y4177">
        <v>7.2623090000000001E-2</v>
      </c>
      <c r="Z4177">
        <v>5.6128119999999896E-3</v>
      </c>
      <c r="AA4177">
        <v>0.99734370000000006</v>
      </c>
      <c r="AB4177">
        <v>26</v>
      </c>
      <c r="AC4177">
        <v>-18.4362999999999</v>
      </c>
      <c r="AD4177">
        <v>-1.108040227866</v>
      </c>
      <c r="AE4177">
        <v>0.28249999999999797</v>
      </c>
      <c r="AF4177">
        <v>1.35419797345006</v>
      </c>
      <c r="AG4177">
        <v>-1.108040227866</v>
      </c>
      <c r="AH4177">
        <v>18.3221407873252</v>
      </c>
      <c r="AI4177">
        <v>93.4513834217029</v>
      </c>
      <c r="AJ4177">
        <v>85.772928180625399</v>
      </c>
      <c r="AK4177">
        <v>18.405500491114999</v>
      </c>
      <c r="AL4177">
        <v>79.333136327577094</v>
      </c>
      <c r="AM4177">
        <v>88.525732102221596</v>
      </c>
      <c r="AN4177">
        <v>0.99999998903610299</v>
      </c>
    </row>
    <row r="4178" spans="1:40" x14ac:dyDescent="0.25">
      <c r="A4178" t="str">
        <f>"20190312172454121"</f>
        <v>20190312172454121</v>
      </c>
      <c r="B4178" t="str">
        <f>"1552382694114703"</f>
        <v>1552382694114703</v>
      </c>
      <c r="C4178" t="s">
        <v>40</v>
      </c>
      <c r="D4178">
        <v>3.8879329999999999</v>
      </c>
      <c r="E4178">
        <v>0.51884889999999995</v>
      </c>
      <c r="F4178" t="s">
        <v>41</v>
      </c>
      <c r="G4178">
        <v>-225.48519999999999</v>
      </c>
      <c r="H4178">
        <v>1.0556380000000001</v>
      </c>
      <c r="I4178">
        <v>140.43340000000001</v>
      </c>
      <c r="J4178">
        <v>-224.9693</v>
      </c>
      <c r="K4178">
        <v>1.1079669999999999</v>
      </c>
      <c r="L4178">
        <v>140.4051</v>
      </c>
      <c r="M4178">
        <v>-0.99843040000000005</v>
      </c>
      <c r="N4178">
        <v>0</v>
      </c>
      <c r="O4178">
        <v>-5.5388279999999998E-2</v>
      </c>
      <c r="P4178">
        <v>-0.98368219999999995</v>
      </c>
      <c r="Q4178">
        <v>0.17727270000000001</v>
      </c>
      <c r="R4178">
        <v>-3.0723230000000001E-2</v>
      </c>
      <c r="S4178">
        <v>-3.087402</v>
      </c>
      <c r="T4178">
        <v>-0.19886529999999999</v>
      </c>
      <c r="U4178">
        <v>5.3573610000000001E-2</v>
      </c>
      <c r="V4178">
        <v>2.4688580000000002E-2</v>
      </c>
      <c r="W4178">
        <v>0.18532509999999999</v>
      </c>
      <c r="X4178">
        <v>0.98236710000000005</v>
      </c>
      <c r="Y4178">
        <v>7.2440130000000005E-2</v>
      </c>
      <c r="Z4178">
        <v>5.8932940000000003E-3</v>
      </c>
      <c r="AA4178">
        <v>0.99735529999999994</v>
      </c>
      <c r="AB4178">
        <v>27</v>
      </c>
      <c r="AC4178">
        <v>-0.51589999999998704</v>
      </c>
      <c r="AD4178">
        <v>-5.2329000000000001E-2</v>
      </c>
      <c r="AE4178">
        <v>2.8300000000001501E-2</v>
      </c>
      <c r="AF4178">
        <v>5.6255302564526398E-2</v>
      </c>
      <c r="AG4178">
        <v>-5.2329000000000001E-2</v>
      </c>
      <c r="AH4178">
        <v>0.50832619553106295</v>
      </c>
      <c r="AI4178">
        <v>95.842120557645799</v>
      </c>
      <c r="AJ4178">
        <v>83.684903937093694</v>
      </c>
      <c r="AK4178">
        <v>0.514099702752988</v>
      </c>
      <c r="AL4178">
        <v>79.319913183588</v>
      </c>
      <c r="AM4178">
        <v>88.560361256959993</v>
      </c>
      <c r="AN4178">
        <v>1.0000000189174101</v>
      </c>
    </row>
    <row r="4179" spans="1:40" x14ac:dyDescent="0.25">
      <c r="A4179" t="str">
        <f>"20190312172454144"</f>
        <v>20190312172454144</v>
      </c>
      <c r="B4179" t="str">
        <f>"1552382694134224"</f>
        <v>1552382694134224</v>
      </c>
      <c r="C4179" t="s">
        <v>40</v>
      </c>
      <c r="D4179">
        <v>3.8813629999999999</v>
      </c>
      <c r="E4179">
        <v>0.51885029999999999</v>
      </c>
      <c r="F4179" t="s">
        <v>43</v>
      </c>
      <c r="G4179">
        <v>-242.15479999999999</v>
      </c>
      <c r="H4179" s="1">
        <v>-3.6532360000000002E-6</v>
      </c>
      <c r="I4179">
        <v>140.76390000000001</v>
      </c>
      <c r="J4179">
        <v>-225.25319999999999</v>
      </c>
      <c r="K4179">
        <v>1.1079129999999999</v>
      </c>
      <c r="L4179">
        <v>140.39250000000001</v>
      </c>
      <c r="M4179">
        <v>-0.99858979999999997</v>
      </c>
      <c r="N4179">
        <v>0</v>
      </c>
      <c r="O4179">
        <v>-5.2447599999999997E-2</v>
      </c>
      <c r="P4179">
        <v>-0.98364019999999996</v>
      </c>
      <c r="Q4179">
        <v>0.17794399999999999</v>
      </c>
      <c r="R4179">
        <v>-2.8073850000000001E-2</v>
      </c>
      <c r="S4179">
        <v>-3.0876459999999999</v>
      </c>
      <c r="T4179">
        <v>-0.19906460000000001</v>
      </c>
      <c r="U4179">
        <v>6.4483639999999995E-2</v>
      </c>
      <c r="V4179">
        <v>2.4457779999999998E-2</v>
      </c>
      <c r="W4179">
        <v>0.18591869999999999</v>
      </c>
      <c r="X4179">
        <v>0.98226069999999999</v>
      </c>
      <c r="Y4179">
        <v>7.3028659999999995E-2</v>
      </c>
      <c r="Z4179">
        <v>5.7283339999999999E-3</v>
      </c>
      <c r="AA4179">
        <v>0.99731340000000002</v>
      </c>
      <c r="AB4179">
        <v>27</v>
      </c>
      <c r="AC4179">
        <v>-16.901599999999998</v>
      </c>
      <c r="AD4179">
        <v>-1.1079166532360001</v>
      </c>
      <c r="AE4179">
        <v>0.37139999999999401</v>
      </c>
      <c r="AF4179">
        <v>1.25199002537731</v>
      </c>
      <c r="AG4179">
        <v>-1.1079166532360001</v>
      </c>
      <c r="AH4179">
        <v>16.7867599119792</v>
      </c>
      <c r="AI4179">
        <v>93.765584453364994</v>
      </c>
      <c r="AJ4179">
        <v>85.734663432453701</v>
      </c>
      <c r="AK4179">
        <v>16.8698033976864</v>
      </c>
      <c r="AL4179">
        <v>79.285300841282506</v>
      </c>
      <c r="AM4179">
        <v>88.573659642818797</v>
      </c>
      <c r="AN4179">
        <v>1.0000000143883501</v>
      </c>
    </row>
    <row r="4180" spans="1:40" x14ac:dyDescent="0.25">
      <c r="A4180" t="str">
        <f>"20190312172454165"</f>
        <v>20190312172454165</v>
      </c>
      <c r="B4180" t="str">
        <f>"1552382694154719"</f>
        <v>1552382694154719</v>
      </c>
      <c r="C4180" t="s">
        <v>40</v>
      </c>
      <c r="D4180">
        <v>3.9780120000000001</v>
      </c>
      <c r="E4180">
        <v>0.51866129999999999</v>
      </c>
      <c r="F4180" t="s">
        <v>41</v>
      </c>
      <c r="G4180">
        <v>-226.19229999999999</v>
      </c>
      <c r="H4180">
        <v>1.047088</v>
      </c>
      <c r="I4180">
        <v>140.4144</v>
      </c>
      <c r="J4180">
        <v>-225.50829999999999</v>
      </c>
      <c r="K4180">
        <v>1.107869</v>
      </c>
      <c r="L4180">
        <v>140.3819</v>
      </c>
      <c r="M4180">
        <v>-0.99872709999999998</v>
      </c>
      <c r="N4180">
        <v>0</v>
      </c>
      <c r="O4180">
        <v>-4.977413E-2</v>
      </c>
      <c r="P4180">
        <v>-0.98354949999999997</v>
      </c>
      <c r="Q4180">
        <v>0.17875099999999999</v>
      </c>
      <c r="R4180">
        <v>-2.6049429999999998E-2</v>
      </c>
      <c r="S4180">
        <v>-3.08812</v>
      </c>
      <c r="T4180">
        <v>-0.20002400000000001</v>
      </c>
      <c r="U4180">
        <v>7.1792599999999998E-2</v>
      </c>
      <c r="V4180">
        <v>2.3861250000000001E-2</v>
      </c>
      <c r="W4180">
        <v>0.18666260000000001</v>
      </c>
      <c r="X4180">
        <v>0.98213430000000002</v>
      </c>
      <c r="Y4180">
        <v>7.2718699999999997E-2</v>
      </c>
      <c r="Z4180">
        <v>5.5720309999999999E-3</v>
      </c>
      <c r="AA4180">
        <v>0.99733689999999997</v>
      </c>
      <c r="AB4180">
        <v>27</v>
      </c>
      <c r="AC4180">
        <v>-0.68399999999999705</v>
      </c>
      <c r="AD4180">
        <v>-6.0780999999999898E-2</v>
      </c>
      <c r="AE4180">
        <v>3.2499999999998801E-2</v>
      </c>
      <c r="AF4180">
        <v>6.5986479065569495E-2</v>
      </c>
      <c r="AG4180">
        <v>-6.0780999999999898E-2</v>
      </c>
      <c r="AH4180">
        <v>0.67620690902590297</v>
      </c>
      <c r="AI4180">
        <v>95.112087686598699</v>
      </c>
      <c r="AJ4180">
        <v>84.426537062095306</v>
      </c>
      <c r="AK4180">
        <v>0.68213219334292996</v>
      </c>
      <c r="AL4180">
        <v>79.241919316530002</v>
      </c>
      <c r="AM4180">
        <v>88.608255487831499</v>
      </c>
      <c r="AN4180">
        <v>1.0000000343633999</v>
      </c>
    </row>
    <row r="4181" spans="1:40" x14ac:dyDescent="0.25">
      <c r="A4181" t="str">
        <f>"20190312172454186"</f>
        <v>20190312172454186</v>
      </c>
      <c r="B4181" t="str">
        <f>"1552382694184976"</f>
        <v>1552382694184976</v>
      </c>
      <c r="C4181" t="s">
        <v>40</v>
      </c>
      <c r="D4181">
        <v>3.9222610000000002</v>
      </c>
      <c r="E4181">
        <v>0.51842310000000003</v>
      </c>
      <c r="F4181" t="s">
        <v>41</v>
      </c>
      <c r="G4181">
        <v>-226.43270000000001</v>
      </c>
      <c r="H4181">
        <v>1.0456000000000001</v>
      </c>
      <c r="I4181">
        <v>140.40459999999999</v>
      </c>
      <c r="J4181">
        <v>-225.7679</v>
      </c>
      <c r="K4181">
        <v>1.1078300000000001</v>
      </c>
      <c r="L4181">
        <v>140.37190000000001</v>
      </c>
      <c r="M4181">
        <v>-0.99886050000000004</v>
      </c>
      <c r="N4181">
        <v>0</v>
      </c>
      <c r="O4181">
        <v>-4.7030009999999997E-2</v>
      </c>
      <c r="P4181">
        <v>-0.98355599999999999</v>
      </c>
      <c r="Q4181">
        <v>0.178917299999999</v>
      </c>
      <c r="R4181">
        <v>-2.4623880000000001E-2</v>
      </c>
      <c r="S4181">
        <v>-3.090042</v>
      </c>
      <c r="T4181">
        <v>-0.20815</v>
      </c>
      <c r="U4181">
        <v>7.6156619999999994E-2</v>
      </c>
      <c r="V4181">
        <v>2.259779E-2</v>
      </c>
      <c r="W4181">
        <v>0.1867751</v>
      </c>
      <c r="X4181">
        <v>0.98214270000000004</v>
      </c>
      <c r="Y4181">
        <v>7.1360199999999999E-2</v>
      </c>
      <c r="Z4181">
        <v>5.5640189999999999E-3</v>
      </c>
      <c r="AA4181">
        <v>0.99743510000000002</v>
      </c>
      <c r="AB4181">
        <v>27</v>
      </c>
      <c r="AC4181">
        <v>-0.66480000000001305</v>
      </c>
      <c r="AD4181">
        <v>-6.2229999999999702E-2</v>
      </c>
      <c r="AE4181">
        <v>3.2699999999976997E-2</v>
      </c>
      <c r="AF4181">
        <v>6.3376412758796796E-2</v>
      </c>
      <c r="AG4181">
        <v>-6.2229999999999702E-2</v>
      </c>
      <c r="AH4181">
        <v>0.65678534989810999</v>
      </c>
      <c r="AI4181">
        <v>95.387703967605006</v>
      </c>
      <c r="AJ4181">
        <v>84.488316204529397</v>
      </c>
      <c r="AK4181">
        <v>0.66276401413697505</v>
      </c>
      <c r="AL4181">
        <v>79.235357131873002</v>
      </c>
      <c r="AM4181">
        <v>88.681933302699505</v>
      </c>
      <c r="AN4181">
        <v>0.99999994062808994</v>
      </c>
    </row>
    <row r="4182" spans="1:40" x14ac:dyDescent="0.25">
      <c r="A4182" t="str">
        <f>"20190312172454209"</f>
        <v>20190312172454209</v>
      </c>
      <c r="B4182" t="str">
        <f>"1552382694204496"</f>
        <v>1552382694204496</v>
      </c>
      <c r="C4182" t="s">
        <v>40</v>
      </c>
      <c r="D4182">
        <v>3.8396979999999998</v>
      </c>
      <c r="E4182">
        <v>0.51834820000000004</v>
      </c>
      <c r="F4182" t="s">
        <v>41</v>
      </c>
      <c r="G4182">
        <v>-226.67519999999999</v>
      </c>
      <c r="H4182">
        <v>1.0466569999999999</v>
      </c>
      <c r="I4182">
        <v>140.39519999999999</v>
      </c>
      <c r="J4182">
        <v>-226.02809999999999</v>
      </c>
      <c r="K4182">
        <v>1.1077859999999999</v>
      </c>
      <c r="L4182">
        <v>140.36250000000001</v>
      </c>
      <c r="M4182">
        <v>-0.99898770000000003</v>
      </c>
      <c r="N4182">
        <v>0</v>
      </c>
      <c r="O4182">
        <v>-4.4256459999999997E-2</v>
      </c>
      <c r="P4182">
        <v>-0.98355689999999996</v>
      </c>
      <c r="Q4182">
        <v>0.17912629999999999</v>
      </c>
      <c r="R4182">
        <v>-2.3015259999999999E-2</v>
      </c>
      <c r="S4182">
        <v>-3.0899960000000002</v>
      </c>
      <c r="T4182">
        <v>-0.20822370000000001</v>
      </c>
      <c r="U4182">
        <v>7.8918459999999996E-2</v>
      </c>
      <c r="V4182">
        <v>2.1486890000000002E-2</v>
      </c>
      <c r="W4182">
        <v>0.18693199999999999</v>
      </c>
      <c r="X4182">
        <v>0.98213790000000001</v>
      </c>
      <c r="Y4182">
        <v>6.9492269999999995E-2</v>
      </c>
      <c r="Z4182">
        <v>5.3165929999999997E-3</v>
      </c>
      <c r="AA4182">
        <v>0.99756829999999996</v>
      </c>
      <c r="AB4182">
        <v>27</v>
      </c>
      <c r="AC4182">
        <v>-0.64709999999999401</v>
      </c>
      <c r="AD4182">
        <v>-6.1129000000000197E-2</v>
      </c>
      <c r="AE4182">
        <v>3.2699999999976997E-2</v>
      </c>
      <c r="AF4182">
        <v>6.0766355730393302E-2</v>
      </c>
      <c r="AG4182">
        <v>-6.1129000000000197E-2</v>
      </c>
      <c r="AH4182">
        <v>0.63932797006952902</v>
      </c>
      <c r="AI4182">
        <v>95.437344320496706</v>
      </c>
      <c r="AJ4182">
        <v>84.570505361063695</v>
      </c>
      <c r="AK4182">
        <v>0.64511205068807798</v>
      </c>
      <c r="AL4182">
        <v>79.226207523296097</v>
      </c>
      <c r="AM4182">
        <v>88.746701708453003</v>
      </c>
      <c r="AN4182">
        <v>1.00000005684113</v>
      </c>
    </row>
    <row r="4183" spans="1:40" x14ac:dyDescent="0.25">
      <c r="A4183" t="str">
        <f>"20190312172454231"</f>
        <v>20190312172454231</v>
      </c>
      <c r="B4183" t="str">
        <f>"1552382694224991"</f>
        <v>1552382694224991</v>
      </c>
      <c r="C4183" t="s">
        <v>40</v>
      </c>
      <c r="D4183">
        <v>3.9523320000000002</v>
      </c>
      <c r="E4183">
        <v>0.51804669999999997</v>
      </c>
      <c r="F4183" t="s">
        <v>41</v>
      </c>
      <c r="G4183">
        <v>-226.91759999999999</v>
      </c>
      <c r="H4183">
        <v>1.0461670000000001</v>
      </c>
      <c r="I4183">
        <v>140.387</v>
      </c>
      <c r="J4183">
        <v>-226.31280000000001</v>
      </c>
      <c r="K4183">
        <v>1.1077459999999999</v>
      </c>
      <c r="L4183">
        <v>140.35319999999999</v>
      </c>
      <c r="M4183">
        <v>-0.99911930000000004</v>
      </c>
      <c r="N4183">
        <v>0</v>
      </c>
      <c r="O4183">
        <v>-4.1194059999999998E-2</v>
      </c>
      <c r="P4183">
        <v>-0.98355930000000003</v>
      </c>
      <c r="Q4183">
        <v>0.17935599999999999</v>
      </c>
      <c r="R4183">
        <v>-2.1042269999999998E-2</v>
      </c>
      <c r="S4183">
        <v>-3.0911409999999999</v>
      </c>
      <c r="T4183">
        <v>-0.21412870000000001</v>
      </c>
      <c r="U4183">
        <v>8.4960939999999999E-2</v>
      </c>
      <c r="V4183">
        <v>2.045833E-2</v>
      </c>
      <c r="W4183">
        <v>0.1871072</v>
      </c>
      <c r="X4183">
        <v>0.98212639999999995</v>
      </c>
      <c r="Y4183">
        <v>6.8369029999999997E-2</v>
      </c>
      <c r="Z4183">
        <v>5.2142630000000002E-3</v>
      </c>
      <c r="AA4183">
        <v>0.99764649999999999</v>
      </c>
      <c r="AB4183">
        <v>27</v>
      </c>
      <c r="AC4183">
        <v>-0.60479999999998302</v>
      </c>
      <c r="AD4183">
        <v>-6.1578999999999801E-2</v>
      </c>
      <c r="AE4183">
        <v>3.3800000000013597E-2</v>
      </c>
      <c r="AF4183">
        <v>5.8085981540422202E-2</v>
      </c>
      <c r="AG4183">
        <v>-6.1578999999999801E-2</v>
      </c>
      <c r="AH4183">
        <v>0.59672733880111195</v>
      </c>
      <c r="AI4183">
        <v>95.864233847063204</v>
      </c>
      <c r="AJ4183">
        <v>84.440292471897806</v>
      </c>
      <c r="AK4183">
        <v>0.60270180965811904</v>
      </c>
      <c r="AL4183">
        <v>79.215987915408903</v>
      </c>
      <c r="AM4183">
        <v>88.806664328468102</v>
      </c>
      <c r="AN4183">
        <v>0.999999956567593</v>
      </c>
    </row>
    <row r="4184" spans="1:40" x14ac:dyDescent="0.25">
      <c r="A4184" t="str">
        <f>"20190312172454255"</f>
        <v>20190312172454255</v>
      </c>
      <c r="B4184" t="str">
        <f>"1552382694244515"</f>
        <v>1552382694244515</v>
      </c>
      <c r="C4184" t="s">
        <v>40</v>
      </c>
      <c r="D4184">
        <v>3.8346019999999998</v>
      </c>
      <c r="E4184">
        <v>0.51790000000000003</v>
      </c>
      <c r="F4184" t="s">
        <v>41</v>
      </c>
      <c r="G4184">
        <v>-227.1626</v>
      </c>
      <c r="H4184">
        <v>1.048119</v>
      </c>
      <c r="I4184">
        <v>140.37799999999999</v>
      </c>
      <c r="J4184">
        <v>-226.59030000000001</v>
      </c>
      <c r="K4184">
        <v>1.1076999999999999</v>
      </c>
      <c r="L4184">
        <v>140.3449</v>
      </c>
      <c r="M4184">
        <v>-0.99923960000000001</v>
      </c>
      <c r="N4184">
        <v>0</v>
      </c>
      <c r="O4184">
        <v>-3.8175290000000001E-2</v>
      </c>
      <c r="P4184">
        <v>-0.98345839999999995</v>
      </c>
      <c r="Q4184">
        <v>0.18015890000000001</v>
      </c>
      <c r="R4184">
        <v>-1.8778799999999998E-2</v>
      </c>
      <c r="S4184">
        <v>-3.0916139999999999</v>
      </c>
      <c r="T4184">
        <v>-0.21687819999999999</v>
      </c>
      <c r="U4184">
        <v>8.9599609999999996E-2</v>
      </c>
      <c r="V4184">
        <v>1.9764400000000001E-2</v>
      </c>
      <c r="W4184">
        <v>0.1878552</v>
      </c>
      <c r="X4184">
        <v>0.98199780000000003</v>
      </c>
      <c r="Y4184">
        <v>6.6850770000000004E-2</v>
      </c>
      <c r="Z4184">
        <v>5.0155729999999997E-3</v>
      </c>
      <c r="AA4184">
        <v>0.99775040000000004</v>
      </c>
      <c r="AB4184">
        <v>27</v>
      </c>
      <c r="AC4184">
        <v>-0.57229999999998404</v>
      </c>
      <c r="AD4184">
        <v>-5.9580999999999801E-2</v>
      </c>
      <c r="AE4184">
        <v>3.3099999999990297E-2</v>
      </c>
      <c r="AF4184">
        <v>5.4337305841377803E-2</v>
      </c>
      <c r="AG4184">
        <v>-5.9580999999999801E-2</v>
      </c>
      <c r="AH4184">
        <v>0.56452101175724601</v>
      </c>
      <c r="AI4184">
        <v>95.997324805520293</v>
      </c>
      <c r="AJ4184">
        <v>84.501999691597106</v>
      </c>
      <c r="AK4184">
        <v>0.57025118244728201</v>
      </c>
      <c r="AL4184">
        <v>79.172356870604801</v>
      </c>
      <c r="AM4184">
        <v>88.846979256578294</v>
      </c>
      <c r="AN4184">
        <v>0.99999994343961796</v>
      </c>
    </row>
    <row r="4185" spans="1:40" x14ac:dyDescent="0.25">
      <c r="A4185" t="str">
        <f>"20190312172454278"</f>
        <v>20190312172454278</v>
      </c>
      <c r="B4185" t="str">
        <f>"1552382694274768"</f>
        <v>1552382694274768</v>
      </c>
      <c r="C4185" t="s">
        <v>40</v>
      </c>
      <c r="D4185">
        <v>3.9078900000000001</v>
      </c>
      <c r="E4185">
        <v>0.51743320000000004</v>
      </c>
      <c r="F4185" t="s">
        <v>41</v>
      </c>
      <c r="G4185">
        <v>-227.40880000000001</v>
      </c>
      <c r="H4185">
        <v>1.0504659999999999</v>
      </c>
      <c r="I4185">
        <v>140.37029999999999</v>
      </c>
      <c r="J4185">
        <v>-226.85939999999999</v>
      </c>
      <c r="K4185">
        <v>1.1076459999999999</v>
      </c>
      <c r="L4185">
        <v>140.33770000000001</v>
      </c>
      <c r="M4185">
        <v>-0.99934880000000004</v>
      </c>
      <c r="N4185">
        <v>0</v>
      </c>
      <c r="O4185">
        <v>-3.5210869999999998E-2</v>
      </c>
      <c r="P4185">
        <v>-0.98334180000000004</v>
      </c>
      <c r="Q4185">
        <v>0.1809442</v>
      </c>
      <c r="R4185">
        <v>-1.726927E-2</v>
      </c>
      <c r="S4185">
        <v>-3.091904</v>
      </c>
      <c r="T4185">
        <v>-0.2161778</v>
      </c>
      <c r="U4185">
        <v>9.5733639999999995E-2</v>
      </c>
      <c r="V4185">
        <v>1.8373250000000001E-2</v>
      </c>
      <c r="W4185">
        <v>0.1885928</v>
      </c>
      <c r="X4185">
        <v>0.98188350000000002</v>
      </c>
      <c r="Y4185">
        <v>6.5877190000000002E-2</v>
      </c>
      <c r="Z4185">
        <v>4.7579179999999999E-3</v>
      </c>
      <c r="AA4185">
        <v>0.99781640000000005</v>
      </c>
      <c r="AB4185">
        <v>27</v>
      </c>
      <c r="AC4185">
        <v>-0.54940000000001898</v>
      </c>
      <c r="AD4185">
        <v>-5.7180000000000002E-2</v>
      </c>
      <c r="AE4185">
        <v>3.2599999999973699E-2</v>
      </c>
      <c r="AF4185">
        <v>5.13707385081325E-2</v>
      </c>
      <c r="AG4185">
        <v>-5.7180000000000002E-2</v>
      </c>
      <c r="AH4185">
        <v>0.54206036022439896</v>
      </c>
      <c r="AI4185">
        <v>95.994992606937004</v>
      </c>
      <c r="AJ4185">
        <v>84.5862816600157</v>
      </c>
      <c r="AK4185">
        <v>0.54748327764551497</v>
      </c>
      <c r="AL4185">
        <v>79.129327155351206</v>
      </c>
      <c r="AM4185">
        <v>88.927992130868105</v>
      </c>
      <c r="AN4185">
        <v>1.00000001404982</v>
      </c>
    </row>
    <row r="4186" spans="1:40" x14ac:dyDescent="0.25">
      <c r="A4186" t="str">
        <f>"20190312172454298"</f>
        <v>20190312172454298</v>
      </c>
      <c r="B4186" t="str">
        <f>"1552382694294796"</f>
        <v>1552382694294796</v>
      </c>
      <c r="C4186" t="s">
        <v>40</v>
      </c>
      <c r="D4186">
        <v>3.9126439999999998</v>
      </c>
      <c r="E4186">
        <v>0.51715519999999904</v>
      </c>
      <c r="F4186" t="s">
        <v>41</v>
      </c>
      <c r="G4186">
        <v>-227.65549999999999</v>
      </c>
      <c r="H4186">
        <v>1.052516</v>
      </c>
      <c r="I4186">
        <v>140.3629</v>
      </c>
      <c r="J4186">
        <v>-227.1225</v>
      </c>
      <c r="K4186">
        <v>1.10759599999999</v>
      </c>
      <c r="L4186">
        <v>140.33150000000001</v>
      </c>
      <c r="M4186">
        <v>-0.99944849999999996</v>
      </c>
      <c r="N4186">
        <v>0</v>
      </c>
      <c r="O4186">
        <v>-3.2272330000000002E-2</v>
      </c>
      <c r="P4186">
        <v>-0.98329520000000004</v>
      </c>
      <c r="Q4186">
        <v>0.18133949999999999</v>
      </c>
      <c r="R4186">
        <v>-1.5701840000000002E-2</v>
      </c>
      <c r="S4186">
        <v>-3.0919189999999999</v>
      </c>
      <c r="T4186">
        <v>-0.2141062</v>
      </c>
      <c r="U4186">
        <v>9.7015379999999998E-2</v>
      </c>
      <c r="V4186">
        <v>1.7068779999999999E-2</v>
      </c>
      <c r="W4186">
        <v>0.18894259999999999</v>
      </c>
      <c r="X4186">
        <v>0.98183980000000004</v>
      </c>
      <c r="Y4186">
        <v>6.3373890000000002E-2</v>
      </c>
      <c r="Z4186">
        <v>4.4226669999999999E-3</v>
      </c>
      <c r="AA4186">
        <v>0.99798010000000004</v>
      </c>
      <c r="AB4186">
        <v>27</v>
      </c>
      <c r="AC4186">
        <v>-0.53299999999998704</v>
      </c>
      <c r="AD4186">
        <v>-5.5079999999999803E-2</v>
      </c>
      <c r="AE4186">
        <v>3.1399999999990699E-2</v>
      </c>
      <c r="AF4186">
        <v>4.8073714352699901E-2</v>
      </c>
      <c r="AG4186">
        <v>-5.5079999999999803E-2</v>
      </c>
      <c r="AH4186">
        <v>0.52611003355084096</v>
      </c>
      <c r="AI4186">
        <v>95.952072597599098</v>
      </c>
      <c r="AJ4186">
        <v>84.779052105016603</v>
      </c>
      <c r="AK4186">
        <v>0.53116537520298901</v>
      </c>
      <c r="AL4186">
        <v>79.108918252260807</v>
      </c>
      <c r="AM4186">
        <v>89.004042662984801</v>
      </c>
      <c r="AN4186">
        <v>1.00000002110474</v>
      </c>
    </row>
    <row r="4187" spans="1:40" x14ac:dyDescent="0.25">
      <c r="A4187" t="str">
        <f>"20190312172454321"</f>
        <v>20190312172454321</v>
      </c>
      <c r="B4187" t="str">
        <f>"1552382694314316"</f>
        <v>1552382694314316</v>
      </c>
      <c r="C4187" t="s">
        <v>40</v>
      </c>
      <c r="D4187">
        <v>4.02576</v>
      </c>
      <c r="E4187">
        <v>0.51700970000000002</v>
      </c>
      <c r="F4187" t="s">
        <v>41</v>
      </c>
      <c r="G4187">
        <v>-227.9025</v>
      </c>
      <c r="H4187">
        <v>1.054103</v>
      </c>
      <c r="I4187">
        <v>140.35669999999999</v>
      </c>
      <c r="J4187">
        <v>-227.40620000000001</v>
      </c>
      <c r="K4187">
        <v>1.1075390000000001</v>
      </c>
      <c r="L4187">
        <v>140.32560000000001</v>
      </c>
      <c r="M4187">
        <v>-0.99954750000000003</v>
      </c>
      <c r="N4187">
        <v>0</v>
      </c>
      <c r="O4187">
        <v>-2.9059600000000001E-2</v>
      </c>
      <c r="P4187">
        <v>-0.98320730000000001</v>
      </c>
      <c r="Q4187">
        <v>0.1819239</v>
      </c>
      <c r="R4187">
        <v>-1.4385200000000001E-2</v>
      </c>
      <c r="S4187">
        <v>-3.0916600000000001</v>
      </c>
      <c r="T4187">
        <v>-0.21193809999999999</v>
      </c>
      <c r="U4187">
        <v>9.9761959999999997E-2</v>
      </c>
      <c r="V4187">
        <v>1.524706E-2</v>
      </c>
      <c r="W4187">
        <v>0.1894815</v>
      </c>
      <c r="X4187">
        <v>0.98176589999999997</v>
      </c>
      <c r="Y4187">
        <v>6.10717E-2</v>
      </c>
      <c r="Z4187">
        <v>4.0795980000000003E-3</v>
      </c>
      <c r="AA4187">
        <v>0.99812500000000004</v>
      </c>
      <c r="AB4187">
        <v>27</v>
      </c>
      <c r="AC4187">
        <v>-0.49629999999999003</v>
      </c>
      <c r="AD4187">
        <v>-5.3435999999999997E-2</v>
      </c>
      <c r="AE4187">
        <v>3.1099999999980799E-2</v>
      </c>
      <c r="AF4187">
        <v>4.49900695832951E-2</v>
      </c>
      <c r="AG4187">
        <v>-5.3435999999999997E-2</v>
      </c>
      <c r="AH4187">
        <v>0.48953385599663102</v>
      </c>
      <c r="AI4187">
        <v>96.203627067781198</v>
      </c>
      <c r="AJ4187">
        <v>84.749045130103795</v>
      </c>
      <c r="AK4187">
        <v>0.49449257691500298</v>
      </c>
      <c r="AL4187">
        <v>79.077473281602394</v>
      </c>
      <c r="AM4187">
        <v>89.110254323638202</v>
      </c>
      <c r="AN4187">
        <v>0.99999999704185105</v>
      </c>
    </row>
    <row r="4188" spans="1:40" x14ac:dyDescent="0.25">
      <c r="A4188" t="str">
        <f>"20190312172454345"</f>
        <v>20190312172454345</v>
      </c>
      <c r="B4188" t="str">
        <f>"1552382694334811"</f>
        <v>1552382694334811</v>
      </c>
      <c r="C4188" t="s">
        <v>40</v>
      </c>
      <c r="D4188">
        <v>4.0899109999999999</v>
      </c>
      <c r="E4188">
        <v>0.51692280000000002</v>
      </c>
      <c r="F4188" t="s">
        <v>43</v>
      </c>
      <c r="G4188">
        <v>-243.52350000000001</v>
      </c>
      <c r="H4188" s="1">
        <v>-3.0915890000000001E-6</v>
      </c>
      <c r="I4188">
        <v>140.8597</v>
      </c>
      <c r="J4188">
        <v>-227.69659999999999</v>
      </c>
      <c r="K4188">
        <v>1.1074820000000001</v>
      </c>
      <c r="L4188">
        <v>140.32079999999999</v>
      </c>
      <c r="M4188">
        <v>-0.99963930000000001</v>
      </c>
      <c r="N4188">
        <v>0</v>
      </c>
      <c r="O4188">
        <v>-2.5725890000000001E-2</v>
      </c>
      <c r="P4188">
        <v>-0.98327600000000004</v>
      </c>
      <c r="Q4188">
        <v>0.1816951</v>
      </c>
      <c r="R4188">
        <v>-1.247033E-2</v>
      </c>
      <c r="S4188">
        <v>-3.0920559999999999</v>
      </c>
      <c r="T4188">
        <v>-0.2124799</v>
      </c>
      <c r="U4188">
        <v>0.102478</v>
      </c>
      <c r="V4188">
        <v>1.3903830000000001E-2</v>
      </c>
      <c r="W4188">
        <v>0.18920580000000001</v>
      </c>
      <c r="X4188">
        <v>0.98183900000000002</v>
      </c>
      <c r="Y4188">
        <v>5.8626989999999997E-2</v>
      </c>
      <c r="Z4188">
        <v>3.776803E-3</v>
      </c>
      <c r="AA4188">
        <v>0.99827279999999996</v>
      </c>
      <c r="AB4188">
        <v>27</v>
      </c>
      <c r="AC4188">
        <v>-15.8269</v>
      </c>
      <c r="AD4188">
        <v>-1.107485091589</v>
      </c>
      <c r="AE4188">
        <v>0.53890000000001204</v>
      </c>
      <c r="AF4188">
        <v>0.94129114695078597</v>
      </c>
      <c r="AG4188">
        <v>-1.107485091589</v>
      </c>
      <c r="AH4188">
        <v>15.7308607767705</v>
      </c>
      <c r="AI4188">
        <v>94.019930025883795</v>
      </c>
      <c r="AJ4188">
        <v>86.575662263078399</v>
      </c>
      <c r="AK4188">
        <v>15.7978648250185</v>
      </c>
      <c r="AL4188">
        <v>79.093560620482293</v>
      </c>
      <c r="AM4188">
        <v>89.188688233085998</v>
      </c>
      <c r="AN4188">
        <v>0.99999998658165401</v>
      </c>
    </row>
    <row r="4189" spans="1:40" x14ac:dyDescent="0.25">
      <c r="A4189" t="str">
        <f>"20190312172454367"</f>
        <v>20190312172454367</v>
      </c>
      <c r="B4189" t="str">
        <f>"1552382694365069"</f>
        <v>1552382694365069</v>
      </c>
      <c r="C4189" t="s">
        <v>40</v>
      </c>
      <c r="D4189">
        <v>3.9077229999999998</v>
      </c>
      <c r="E4189">
        <v>0.51646819999999904</v>
      </c>
      <c r="F4189" t="s">
        <v>41</v>
      </c>
      <c r="G4189">
        <v>-228.6345</v>
      </c>
      <c r="H4189">
        <v>1.041828</v>
      </c>
      <c r="I4189">
        <v>140.3537</v>
      </c>
      <c r="J4189">
        <v>-227.9769</v>
      </c>
      <c r="K4189">
        <v>1.1074379999999999</v>
      </c>
      <c r="L4189">
        <v>140.31700000000001</v>
      </c>
      <c r="M4189">
        <v>-0.999718</v>
      </c>
      <c r="N4189">
        <v>0</v>
      </c>
      <c r="O4189">
        <v>-2.2477690000000002E-2</v>
      </c>
      <c r="P4189">
        <v>-0.98340890000000003</v>
      </c>
      <c r="Q4189">
        <v>0.18108170000000001</v>
      </c>
      <c r="R4189">
        <v>-1.0789099999999999E-2</v>
      </c>
      <c r="S4189">
        <v>-3.0923919999999998</v>
      </c>
      <c r="T4189">
        <v>-0.2164006</v>
      </c>
      <c r="U4189">
        <v>0.1080627</v>
      </c>
      <c r="V4189">
        <v>1.24054E-2</v>
      </c>
      <c r="W4189">
        <v>0.188554</v>
      </c>
      <c r="X4189">
        <v>0.98198450000000004</v>
      </c>
      <c r="Y4189">
        <v>5.7184600000000002E-2</v>
      </c>
      <c r="Z4189">
        <v>3.5684470000000002E-3</v>
      </c>
      <c r="AA4189">
        <v>0.99835719999999994</v>
      </c>
      <c r="AB4189">
        <v>28</v>
      </c>
      <c r="AC4189">
        <v>-0.65760000000000196</v>
      </c>
      <c r="AD4189">
        <v>-6.5609999999999905E-2</v>
      </c>
      <c r="AE4189">
        <v>3.6699999999996097E-2</v>
      </c>
      <c r="AF4189">
        <v>5.0966720175365E-2</v>
      </c>
      <c r="AG4189">
        <v>-6.5609999999999905E-2</v>
      </c>
      <c r="AH4189">
        <v>0.65015704020605103</v>
      </c>
      <c r="AI4189">
        <v>95.744936393358799</v>
      </c>
      <c r="AJ4189">
        <v>85.517670290891999</v>
      </c>
      <c r="AK4189">
        <v>0.65544370894450299</v>
      </c>
      <c r="AL4189">
        <v>79.131591036725993</v>
      </c>
      <c r="AM4189">
        <v>89.276221513428794</v>
      </c>
      <c r="AN4189">
        <v>1.0000000315527</v>
      </c>
    </row>
    <row r="4190" spans="1:40" x14ac:dyDescent="0.25">
      <c r="A4190" t="str">
        <f>"20190312172454387"</f>
        <v>20190312172454387</v>
      </c>
      <c r="B4190" t="str">
        <f>"1552382694384118"</f>
        <v>1552382694384118</v>
      </c>
      <c r="C4190" t="s">
        <v>40</v>
      </c>
      <c r="D4190">
        <v>3.929684</v>
      </c>
      <c r="E4190">
        <v>0.51617179999999996</v>
      </c>
      <c r="F4190" t="s">
        <v>41</v>
      </c>
      <c r="G4190">
        <v>-228.88409999999999</v>
      </c>
      <c r="H4190">
        <v>1.0442359999999999</v>
      </c>
      <c r="I4190">
        <v>140.34899999999999</v>
      </c>
      <c r="J4190">
        <v>-228.22399999999999</v>
      </c>
      <c r="K4190">
        <v>1.1074029999999999</v>
      </c>
      <c r="L4190">
        <v>140.31440000000001</v>
      </c>
      <c r="M4190">
        <v>-0.99977890000000003</v>
      </c>
      <c r="N4190">
        <v>0</v>
      </c>
      <c r="O4190">
        <v>-1.959895E-2</v>
      </c>
      <c r="P4190">
        <v>-0.98349200000000003</v>
      </c>
      <c r="Q4190">
        <v>0.1807193</v>
      </c>
      <c r="R4190">
        <v>-9.1890740000000002E-3</v>
      </c>
      <c r="S4190">
        <v>-3.0914760000000001</v>
      </c>
      <c r="T4190">
        <v>-0.215338</v>
      </c>
      <c r="U4190">
        <v>0.1088715</v>
      </c>
      <c r="V4190">
        <v>1.118448E-2</v>
      </c>
      <c r="W4190">
        <v>0.18816240000000001</v>
      </c>
      <c r="X4190">
        <v>0.98207429999999996</v>
      </c>
      <c r="Y4190">
        <v>5.4595879999999999E-2</v>
      </c>
      <c r="Z4190">
        <v>3.261753E-3</v>
      </c>
      <c r="AA4190">
        <v>0.99850320000000004</v>
      </c>
      <c r="AB4190">
        <v>28</v>
      </c>
      <c r="AC4190">
        <v>-0.66009999999997104</v>
      </c>
      <c r="AD4190">
        <v>-6.3166999999999904E-2</v>
      </c>
      <c r="AE4190">
        <v>3.4599999999983297E-2</v>
      </c>
      <c r="AF4190">
        <v>4.7100867374041899E-2</v>
      </c>
      <c r="AG4190">
        <v>-6.3166999999999904E-2</v>
      </c>
      <c r="AH4190">
        <v>0.65332881108210406</v>
      </c>
      <c r="AI4190">
        <v>95.508260993350106</v>
      </c>
      <c r="AJ4190">
        <v>85.876471492768701</v>
      </c>
      <c r="AK4190">
        <v>0.65806314057721205</v>
      </c>
      <c r="AL4190">
        <v>79.154437265884994</v>
      </c>
      <c r="AM4190">
        <v>89.347507823917496</v>
      </c>
      <c r="AN4190">
        <v>1.00000005604355</v>
      </c>
    </row>
    <row r="4191" spans="1:40" x14ac:dyDescent="0.25">
      <c r="A4191" t="str">
        <f>"20190312172454409"</f>
        <v>20190312172454409</v>
      </c>
      <c r="B4191" t="str">
        <f>"1552382694404615"</f>
        <v>1552382694404615</v>
      </c>
      <c r="C4191" t="s">
        <v>40</v>
      </c>
      <c r="D4191">
        <v>3.956318</v>
      </c>
      <c r="E4191">
        <v>0.5158758</v>
      </c>
      <c r="F4191" t="s">
        <v>41</v>
      </c>
      <c r="G4191">
        <v>-229.13329999999999</v>
      </c>
      <c r="H4191">
        <v>1.0442709999999999</v>
      </c>
      <c r="I4191">
        <v>140.34700000000001</v>
      </c>
      <c r="J4191">
        <v>-228.50200000000001</v>
      </c>
      <c r="K4191">
        <v>1.1073729999999999</v>
      </c>
      <c r="L4191">
        <v>140.31229999999999</v>
      </c>
      <c r="M4191">
        <v>-0.99983750000000005</v>
      </c>
      <c r="N4191">
        <v>0</v>
      </c>
      <c r="O4191">
        <v>-1.6348060000000001E-2</v>
      </c>
      <c r="P4191">
        <v>-0.9836106</v>
      </c>
      <c r="Q4191">
        <v>0.18012929999999999</v>
      </c>
      <c r="R4191">
        <v>-7.9861169999999992E-3</v>
      </c>
      <c r="S4191">
        <v>-3.090805</v>
      </c>
      <c r="T4191">
        <v>-0.21455540000000001</v>
      </c>
      <c r="U4191">
        <v>0.11047360000000001</v>
      </c>
      <c r="V4191">
        <v>9.1973430000000002E-3</v>
      </c>
      <c r="W4191">
        <v>0.18754799999999999</v>
      </c>
      <c r="X4191">
        <v>0.98221239999999999</v>
      </c>
      <c r="Y4191">
        <v>5.1889159999999997E-2</v>
      </c>
      <c r="Z4191">
        <v>2.9314580000000001E-3</v>
      </c>
      <c r="AA4191">
        <v>0.99864850000000005</v>
      </c>
      <c r="AB4191">
        <v>28</v>
      </c>
      <c r="AC4191">
        <v>-0.63129999999998099</v>
      </c>
      <c r="AD4191">
        <v>-6.3101999999999894E-2</v>
      </c>
      <c r="AE4191">
        <v>3.4700000000014997E-2</v>
      </c>
      <c r="AF4191">
        <v>4.4572205225402603E-2</v>
      </c>
      <c r="AG4191">
        <v>-6.3101999999999894E-2</v>
      </c>
      <c r="AH4191">
        <v>0.62442838118697797</v>
      </c>
      <c r="AI4191">
        <v>95.755924333249695</v>
      </c>
      <c r="AJ4191">
        <v>85.917105721449204</v>
      </c>
      <c r="AK4191">
        <v>0.62918943658841398</v>
      </c>
      <c r="AL4191">
        <v>79.190277488622201</v>
      </c>
      <c r="AM4191">
        <v>89.463503479060293</v>
      </c>
      <c r="AN4191">
        <v>1.000000021068</v>
      </c>
    </row>
    <row r="4192" spans="1:40" x14ac:dyDescent="0.25">
      <c r="A4192" t="str">
        <f>"20190312172454432"</f>
        <v>20190312172454432</v>
      </c>
      <c r="B4192" t="str">
        <f>"1552382694425111"</f>
        <v>1552382694425111</v>
      </c>
      <c r="C4192" t="s">
        <v>40</v>
      </c>
      <c r="D4192">
        <v>3.9120010000000001</v>
      </c>
      <c r="E4192">
        <v>0.51559029999999995</v>
      </c>
      <c r="F4192" t="s">
        <v>41</v>
      </c>
      <c r="G4192">
        <v>-229.3843</v>
      </c>
      <c r="H4192">
        <v>1.0459719999999999</v>
      </c>
      <c r="I4192">
        <v>140.34399999999999</v>
      </c>
      <c r="J4192">
        <v>-228.8</v>
      </c>
      <c r="K4192">
        <v>1.1073440000000001</v>
      </c>
      <c r="L4192">
        <v>140.31110000000001</v>
      </c>
      <c r="M4192">
        <v>-0.99988880000000002</v>
      </c>
      <c r="N4192">
        <v>0</v>
      </c>
      <c r="O4192">
        <v>-1.285888E-2</v>
      </c>
      <c r="P4192">
        <v>-0.98367289999999996</v>
      </c>
      <c r="Q4192">
        <v>0.17983840000000001</v>
      </c>
      <c r="R4192">
        <v>-6.7840060000000004E-3</v>
      </c>
      <c r="S4192">
        <v>-3.090271</v>
      </c>
      <c r="T4192">
        <v>-0.21506049999999999</v>
      </c>
      <c r="U4192">
        <v>0.1109161</v>
      </c>
      <c r="V4192">
        <v>6.9740210000000004E-3</v>
      </c>
      <c r="W4192">
        <v>0.18723600000000001</v>
      </c>
      <c r="X4192">
        <v>0.9822902</v>
      </c>
      <c r="Y4192">
        <v>4.8568559999999997E-2</v>
      </c>
      <c r="Z4192">
        <v>2.5810030000000001E-3</v>
      </c>
      <c r="AA4192">
        <v>0.9988165</v>
      </c>
      <c r="AB4192">
        <v>28</v>
      </c>
      <c r="AC4192">
        <v>-0.58429999999998405</v>
      </c>
      <c r="AD4192">
        <v>-6.1372000000000197E-2</v>
      </c>
      <c r="AE4192">
        <v>3.2899999999983699E-2</v>
      </c>
      <c r="AF4192">
        <v>3.9971352544468403E-2</v>
      </c>
      <c r="AG4192">
        <v>-6.1372000000000197E-2</v>
      </c>
      <c r="AH4192">
        <v>0.57747780543894001</v>
      </c>
      <c r="AI4192">
        <v>96.052019963803204</v>
      </c>
      <c r="AJ4192">
        <v>86.040466286904703</v>
      </c>
      <c r="AK4192">
        <v>0.58210381134537204</v>
      </c>
      <c r="AL4192">
        <v>79.208475892482795</v>
      </c>
      <c r="AM4192">
        <v>89.593220765217197</v>
      </c>
      <c r="AN4192">
        <v>0.99999999684047403</v>
      </c>
    </row>
    <row r="4193" spans="1:40" x14ac:dyDescent="0.25">
      <c r="A4193" t="str">
        <f>"20190312172454455"</f>
        <v>20190312172454455</v>
      </c>
      <c r="B4193" t="str">
        <f>"1552382694444633"</f>
        <v>1552382694444633</v>
      </c>
      <c r="C4193" t="s">
        <v>40</v>
      </c>
      <c r="D4193">
        <v>3.9991469999999998</v>
      </c>
      <c r="E4193">
        <v>0.51543430000000001</v>
      </c>
      <c r="F4193" t="s">
        <v>41</v>
      </c>
      <c r="G4193">
        <v>-229.63810000000001</v>
      </c>
      <c r="H4193">
        <v>1.0492549999999901</v>
      </c>
      <c r="I4193">
        <v>140.34180000000001</v>
      </c>
      <c r="J4193">
        <v>-229.0797</v>
      </c>
      <c r="K4193">
        <v>1.1073219999999999</v>
      </c>
      <c r="L4193">
        <v>140.3109</v>
      </c>
      <c r="M4193">
        <v>-0.99992570000000003</v>
      </c>
      <c r="N4193">
        <v>0</v>
      </c>
      <c r="O4193">
        <v>-9.5854789999999992E-3</v>
      </c>
      <c r="P4193">
        <v>-0.98365179999999997</v>
      </c>
      <c r="Q4193">
        <v>0.17997579999999999</v>
      </c>
      <c r="R4193">
        <v>-6.1468790000000001E-3</v>
      </c>
      <c r="S4193">
        <v>-3.0897060000000001</v>
      </c>
      <c r="T4193">
        <v>-0.2141576</v>
      </c>
      <c r="U4193">
        <v>0.1126862</v>
      </c>
      <c r="V4193">
        <v>4.3982029999999998E-3</v>
      </c>
      <c r="W4193">
        <v>0.187362</v>
      </c>
      <c r="X4193">
        <v>0.98228110000000002</v>
      </c>
      <c r="Y4193">
        <v>4.5892019999999999E-2</v>
      </c>
      <c r="Z4193">
        <v>2.2514560000000002E-3</v>
      </c>
      <c r="AA4193">
        <v>0.9989439</v>
      </c>
      <c r="AB4193">
        <v>28</v>
      </c>
      <c r="AC4193">
        <v>-0.558400000000006</v>
      </c>
      <c r="AD4193">
        <v>-5.8067000000000001E-2</v>
      </c>
      <c r="AE4193">
        <v>3.0900000000002498E-2</v>
      </c>
      <c r="AF4193">
        <v>3.5864623920338602E-2</v>
      </c>
      <c r="AG4193">
        <v>-5.8067000000000001E-2</v>
      </c>
      <c r="AH4193">
        <v>0.55212593470206695</v>
      </c>
      <c r="AI4193">
        <v>95.991183835704902</v>
      </c>
      <c r="AJ4193">
        <v>86.283440829522505</v>
      </c>
      <c r="AK4193">
        <v>0.55632822641726398</v>
      </c>
      <c r="AL4193">
        <v>79.201126721076093</v>
      </c>
      <c r="AM4193">
        <v>89.743457564937799</v>
      </c>
      <c r="AN4193">
        <v>1.0000000113254099</v>
      </c>
    </row>
    <row r="4194" spans="1:40" x14ac:dyDescent="0.25">
      <c r="A4194" t="str">
        <f>"20190312172454476"</f>
        <v>20190312172454476</v>
      </c>
      <c r="B4194" t="str">
        <f>"1552382694474886"</f>
        <v>1552382694474886</v>
      </c>
      <c r="C4194" t="s">
        <v>40</v>
      </c>
      <c r="D4194">
        <v>3.9319730000000002</v>
      </c>
      <c r="E4194">
        <v>0.51511249999999997</v>
      </c>
      <c r="F4194" t="s">
        <v>41</v>
      </c>
      <c r="G4194">
        <v>-229.89150000000001</v>
      </c>
      <c r="H4194">
        <v>1.0510870000000001</v>
      </c>
      <c r="I4194">
        <v>140.3408</v>
      </c>
      <c r="J4194">
        <v>-229.34819999999999</v>
      </c>
      <c r="K4194">
        <v>1.10731</v>
      </c>
      <c r="L4194">
        <v>140.3116</v>
      </c>
      <c r="M4194">
        <v>-0.99995089999999998</v>
      </c>
      <c r="N4194">
        <v>0</v>
      </c>
      <c r="O4194">
        <v>-6.4485799999999998E-3</v>
      </c>
      <c r="P4194">
        <v>-0.98354070000000005</v>
      </c>
      <c r="Q4194">
        <v>0.18059510000000001</v>
      </c>
      <c r="R4194">
        <v>-5.7473790000000004E-3</v>
      </c>
      <c r="S4194">
        <v>-3.0897220000000001</v>
      </c>
      <c r="T4194">
        <v>-0.21404339999999999</v>
      </c>
      <c r="U4194">
        <v>0.1138306</v>
      </c>
      <c r="V4194">
        <v>1.7209979999999901E-3</v>
      </c>
      <c r="W4194">
        <v>0.18797459999999999</v>
      </c>
      <c r="X4194">
        <v>0.98217239999999995</v>
      </c>
      <c r="Y4194">
        <v>4.3141640000000002E-2</v>
      </c>
      <c r="Z4194">
        <v>1.938115E-3</v>
      </c>
      <c r="AA4194">
        <v>0.99906709999999999</v>
      </c>
      <c r="AB4194">
        <v>28</v>
      </c>
      <c r="AC4194">
        <v>-0.54330000000001599</v>
      </c>
      <c r="AD4194">
        <v>-5.6222999999999898E-2</v>
      </c>
      <c r="AE4194">
        <v>2.9200000000002901E-2</v>
      </c>
      <c r="AF4194">
        <v>3.23574874863609E-2</v>
      </c>
      <c r="AG4194">
        <v>-5.6222999999999898E-2</v>
      </c>
      <c r="AH4194">
        <v>0.53736236426570205</v>
      </c>
      <c r="AI4194">
        <v>95.962273267939295</v>
      </c>
      <c r="AJ4194">
        <v>86.554072791408103</v>
      </c>
      <c r="AK4194">
        <v>0.54126365410459198</v>
      </c>
      <c r="AL4194">
        <v>79.165392485601203</v>
      </c>
      <c r="AM4194">
        <v>89.899604365757895</v>
      </c>
      <c r="AN4194">
        <v>1.0000000177005099</v>
      </c>
    </row>
    <row r="4195" spans="1:40" x14ac:dyDescent="0.25">
      <c r="A4195" t="str">
        <f>"20190312172454499"</f>
        <v>20190312172454499</v>
      </c>
      <c r="B4195" t="str">
        <f>"1552382694494913"</f>
        <v>1552382694494913</v>
      </c>
      <c r="C4195" t="s">
        <v>40</v>
      </c>
      <c r="D4195">
        <v>3.90326</v>
      </c>
      <c r="E4195">
        <v>0.47519640000000002</v>
      </c>
      <c r="F4195" t="s">
        <v>41</v>
      </c>
      <c r="G4195">
        <v>-230.14519999999999</v>
      </c>
      <c r="H4195">
        <v>1.0525310000000001</v>
      </c>
      <c r="I4195">
        <v>140.3407</v>
      </c>
      <c r="J4195">
        <v>-229.63640000000001</v>
      </c>
      <c r="K4195">
        <v>1.107297</v>
      </c>
      <c r="L4195">
        <v>140.31319999999999</v>
      </c>
      <c r="M4195">
        <v>-0.99996719999999895</v>
      </c>
      <c r="N4195">
        <v>0</v>
      </c>
      <c r="O4195">
        <v>-3.0849470000000002E-3</v>
      </c>
      <c r="P4195">
        <v>-0.98336159999999995</v>
      </c>
      <c r="Q4195">
        <v>0.181592</v>
      </c>
      <c r="R4195">
        <v>-4.948348E-3</v>
      </c>
      <c r="S4195">
        <v>-3.0898279999999998</v>
      </c>
      <c r="T4195">
        <v>-0.21231910000000001</v>
      </c>
      <c r="U4195">
        <v>0.1126099</v>
      </c>
      <c r="V4195">
        <v>-7.7618079999999996E-4</v>
      </c>
      <c r="W4195">
        <v>0.1889651</v>
      </c>
      <c r="X4195">
        <v>0.98198350000000001</v>
      </c>
      <c r="Y4195">
        <v>3.9403920000000002E-2</v>
      </c>
      <c r="Z4195">
        <v>1.5634609999999999E-3</v>
      </c>
      <c r="AA4195">
        <v>0.99922219999999995</v>
      </c>
      <c r="AB4195">
        <v>28</v>
      </c>
      <c r="AC4195">
        <v>-0.50879999999997905</v>
      </c>
      <c r="AD4195">
        <v>-5.4766000000000002E-2</v>
      </c>
      <c r="AE4195">
        <v>2.75000000000034E-2</v>
      </c>
      <c r="AF4195">
        <v>2.8737555029849801E-2</v>
      </c>
      <c r="AG4195">
        <v>-5.4766000000000002E-2</v>
      </c>
      <c r="AH4195">
        <v>0.50290315204937397</v>
      </c>
      <c r="AI4195">
        <v>96.204958644483796</v>
      </c>
      <c r="AJ4195">
        <v>86.7294857247593</v>
      </c>
      <c r="AK4195">
        <v>0.50669195983979198</v>
      </c>
      <c r="AL4195">
        <v>79.107605247349298</v>
      </c>
      <c r="AM4195">
        <v>90.045287802409703</v>
      </c>
      <c r="AN4195">
        <v>1.0000000028734399</v>
      </c>
    </row>
    <row r="4196" spans="1:40" x14ac:dyDescent="0.25">
      <c r="A4196" t="str">
        <f>"20190312172454522"</f>
        <v>20190312172454522</v>
      </c>
      <c r="B4196" t="str">
        <f>"1552382694514433"</f>
        <v>1552382694514433</v>
      </c>
      <c r="C4196" t="s">
        <v>40</v>
      </c>
      <c r="D4196">
        <v>3.8403019999999999</v>
      </c>
      <c r="E4196">
        <v>0.45869280000000001</v>
      </c>
      <c r="F4196" t="s">
        <v>43</v>
      </c>
      <c r="G4196">
        <v>-251.3569</v>
      </c>
      <c r="H4196" s="1">
        <v>-3.8222420000000003E-6</v>
      </c>
      <c r="I4196">
        <v>138.8715</v>
      </c>
      <c r="J4196">
        <v>-229.9203</v>
      </c>
      <c r="K4196">
        <v>1.107281</v>
      </c>
      <c r="L4196">
        <v>140.31569999999999</v>
      </c>
      <c r="M4196">
        <v>-0.99997199999999997</v>
      </c>
      <c r="N4196">
        <v>0</v>
      </c>
      <c r="O4196">
        <v>2.2205860000000001E-4</v>
      </c>
      <c r="P4196">
        <v>-0.98323780000000005</v>
      </c>
      <c r="Q4196">
        <v>0.18222550000000001</v>
      </c>
      <c r="R4196">
        <v>-6.112709E-3</v>
      </c>
      <c r="S4196">
        <v>-3.078735</v>
      </c>
      <c r="T4196">
        <v>-0.1569526</v>
      </c>
      <c r="U4196">
        <v>-0.2043304</v>
      </c>
      <c r="V4196">
        <v>-5.182168E-3</v>
      </c>
      <c r="W4196">
        <v>0.18960930000000001</v>
      </c>
      <c r="X4196">
        <v>0.98184590000000005</v>
      </c>
      <c r="Y4196">
        <v>-6.6358109999999998E-2</v>
      </c>
      <c r="Z4196">
        <v>-1.6998040000000001E-3</v>
      </c>
      <c r="AA4196">
        <v>0.99779439999999997</v>
      </c>
      <c r="AB4196">
        <v>28</v>
      </c>
      <c r="AC4196">
        <v>-21.436599999999999</v>
      </c>
      <c r="AD4196">
        <v>-1.107284822242</v>
      </c>
      <c r="AE4196">
        <v>-1.4441999999999899</v>
      </c>
      <c r="AF4196">
        <v>-1.44512192824842</v>
      </c>
      <c r="AG4196">
        <v>-1.107284822242</v>
      </c>
      <c r="AH4196">
        <v>21.379493250497799</v>
      </c>
      <c r="AI4196">
        <v>92.958071024282503</v>
      </c>
      <c r="AJ4196">
        <v>93.866959311393401</v>
      </c>
      <c r="AK4196">
        <v>21.45686810122</v>
      </c>
      <c r="AL4196">
        <v>79.070015240046303</v>
      </c>
      <c r="AM4196">
        <v>90.302403460761994</v>
      </c>
      <c r="AN4196">
        <v>0.999999956429239</v>
      </c>
    </row>
    <row r="4197" spans="1:40" x14ac:dyDescent="0.25">
      <c r="A4197" t="str">
        <f>"20190312172454545"</f>
        <v>20190312172454545</v>
      </c>
      <c r="B4197" t="str">
        <f>"1552382694534929"</f>
        <v>1552382694534929</v>
      </c>
      <c r="C4197" t="s">
        <v>40</v>
      </c>
      <c r="D4197">
        <v>3.80951</v>
      </c>
      <c r="E4197">
        <v>0.44922269999999997</v>
      </c>
      <c r="F4197" t="s">
        <v>43</v>
      </c>
      <c r="G4197">
        <v>-254.00049999999999</v>
      </c>
      <c r="H4197" s="1">
        <v>-2.9043190000000002E-6</v>
      </c>
      <c r="I4197">
        <v>137.65309999999999</v>
      </c>
      <c r="J4197">
        <v>-230.21850000000001</v>
      </c>
      <c r="K4197">
        <v>1.107262</v>
      </c>
      <c r="L4197">
        <v>140.3194</v>
      </c>
      <c r="M4197">
        <v>-0.9999654</v>
      </c>
      <c r="N4197">
        <v>0</v>
      </c>
      <c r="O4197">
        <v>3.6919019999999999E-3</v>
      </c>
      <c r="P4197">
        <v>-0.9832246</v>
      </c>
      <c r="Q4197">
        <v>0.18220320000000001</v>
      </c>
      <c r="R4197">
        <v>-8.4712109999999993E-3</v>
      </c>
      <c r="S4197">
        <v>-3.0752410000000001</v>
      </c>
      <c r="T4197">
        <v>-0.1414098</v>
      </c>
      <c r="U4197">
        <v>-0.34002690000000002</v>
      </c>
      <c r="V4197">
        <v>-1.094582E-2</v>
      </c>
      <c r="W4197">
        <v>0.18960940000000001</v>
      </c>
      <c r="X4197">
        <v>0.98179859999999997</v>
      </c>
      <c r="Y4197">
        <v>-0.11344600000000001</v>
      </c>
      <c r="Z4197">
        <v>-2.768202E-3</v>
      </c>
      <c r="AA4197">
        <v>0.99354030000000004</v>
      </c>
      <c r="AB4197">
        <v>28</v>
      </c>
      <c r="AC4197">
        <v>-23.781999999999901</v>
      </c>
      <c r="AD4197">
        <v>-1.1072649043189999</v>
      </c>
      <c r="AE4197">
        <v>-2.6663000000000001</v>
      </c>
      <c r="AF4197">
        <v>-2.7482016583856099</v>
      </c>
      <c r="AG4197">
        <v>-1.1072649043189999</v>
      </c>
      <c r="AH4197">
        <v>23.7212109296614</v>
      </c>
      <c r="AI4197">
        <v>92.654795980395207</v>
      </c>
      <c r="AJ4197">
        <v>96.608494338700794</v>
      </c>
      <c r="AK4197">
        <v>23.905532746479</v>
      </c>
      <c r="AL4197">
        <v>79.070010033338306</v>
      </c>
      <c r="AM4197">
        <v>90.638749441605597</v>
      </c>
      <c r="AN4197">
        <v>1.0000000132528899</v>
      </c>
    </row>
    <row r="4198" spans="1:40" x14ac:dyDescent="0.25">
      <c r="A4198" t="str">
        <f>"20190312172454567"</f>
        <v>20190312172454567</v>
      </c>
      <c r="B4198" t="str">
        <f>"1552382694564209"</f>
        <v>1552382694564209</v>
      </c>
      <c r="C4198" t="s">
        <v>40</v>
      </c>
      <c r="D4198">
        <v>3.8132540000000001</v>
      </c>
      <c r="E4198">
        <v>0.44192189999999998</v>
      </c>
      <c r="F4198" t="s">
        <v>43</v>
      </c>
      <c r="G4198">
        <v>-256.02769999999998</v>
      </c>
      <c r="H4198" s="1">
        <v>-2.1920989999999999E-6</v>
      </c>
      <c r="I4198">
        <v>136.7653</v>
      </c>
      <c r="J4198">
        <v>-230.4984</v>
      </c>
      <c r="K4198">
        <v>1.1072500000000001</v>
      </c>
      <c r="L4198">
        <v>140.32380000000001</v>
      </c>
      <c r="M4198">
        <v>-0.99994810000000001</v>
      </c>
      <c r="N4198">
        <v>0</v>
      </c>
      <c r="O4198">
        <v>6.9474019999999897E-3</v>
      </c>
      <c r="P4198">
        <v>-0.98311760000000004</v>
      </c>
      <c r="Q4198">
        <v>0.1825889</v>
      </c>
      <c r="R4198">
        <v>-1.188667E-2</v>
      </c>
      <c r="S4198">
        <v>-3.0719449999999999</v>
      </c>
      <c r="T4198">
        <v>-0.131792299999999</v>
      </c>
      <c r="U4198">
        <v>-0.42301939999999999</v>
      </c>
      <c r="V4198">
        <v>-1.7552129999999999E-2</v>
      </c>
      <c r="W4198">
        <v>0.19002559999999999</v>
      </c>
      <c r="X4198">
        <v>0.9816222</v>
      </c>
      <c r="Y4198">
        <v>-0.1431606</v>
      </c>
      <c r="Z4198">
        <v>-3.3516879999999998E-3</v>
      </c>
      <c r="AA4198">
        <v>0.98969379999999996</v>
      </c>
      <c r="AB4198">
        <v>28</v>
      </c>
      <c r="AC4198">
        <v>-25.5292999999999</v>
      </c>
      <c r="AD4198">
        <v>-1.1072521920989999</v>
      </c>
      <c r="AE4198">
        <v>-3.5585</v>
      </c>
      <c r="AF4198">
        <v>-3.7289005499242101</v>
      </c>
      <c r="AG4198">
        <v>-1.1072521920989999</v>
      </c>
      <c r="AH4198">
        <v>25.4569860127291</v>
      </c>
      <c r="AI4198">
        <v>92.464248360085705</v>
      </c>
      <c r="AJ4198">
        <v>98.333335905519903</v>
      </c>
      <c r="AK4198">
        <v>25.7524531565522</v>
      </c>
      <c r="AL4198">
        <v>79.045721530803505</v>
      </c>
      <c r="AM4198">
        <v>91.024381695821802</v>
      </c>
      <c r="AN4198">
        <v>0.99999997472786795</v>
      </c>
    </row>
    <row r="4199" spans="1:40" x14ac:dyDescent="0.25">
      <c r="A4199" t="str">
        <f>"20190312172454587"</f>
        <v>20190312172454587</v>
      </c>
      <c r="B4199" t="str">
        <f>"1552382694584705"</f>
        <v>1552382694584705</v>
      </c>
      <c r="C4199" t="s">
        <v>40</v>
      </c>
      <c r="D4199">
        <v>3.8055050000000001</v>
      </c>
      <c r="E4199">
        <v>0.43895729999999999</v>
      </c>
      <c r="F4199" t="s">
        <v>43</v>
      </c>
      <c r="G4199">
        <v>-257.07260000000002</v>
      </c>
      <c r="H4199" s="1">
        <v>-1.9269480000000002E-6</v>
      </c>
      <c r="I4199">
        <v>136.0658</v>
      </c>
      <c r="J4199">
        <v>-230.7595</v>
      </c>
      <c r="K4199">
        <v>1.1072340000000001</v>
      </c>
      <c r="L4199">
        <v>140.3288</v>
      </c>
      <c r="M4199">
        <v>-0.99992239999999999</v>
      </c>
      <c r="N4199">
        <v>0</v>
      </c>
      <c r="O4199">
        <v>9.9823629999999993E-3</v>
      </c>
      <c r="P4199">
        <v>-0.98299289999999995</v>
      </c>
      <c r="Q4199">
        <v>0.18300569999999999</v>
      </c>
      <c r="R4199">
        <v>-1.529199E-2</v>
      </c>
      <c r="S4199">
        <v>-3.0692900000000001</v>
      </c>
      <c r="T4199">
        <v>-0.12788669999999999</v>
      </c>
      <c r="U4199">
        <v>-0.49179079999999997</v>
      </c>
      <c r="V4199">
        <v>-2.3931319999999999E-2</v>
      </c>
      <c r="W4199">
        <v>0.19047449999999999</v>
      </c>
      <c r="X4199">
        <v>0.98140039999999995</v>
      </c>
      <c r="Y4199">
        <v>-0.1679099</v>
      </c>
      <c r="Z4199">
        <v>-3.8876710000000001E-3</v>
      </c>
      <c r="AA4199">
        <v>0.98579470000000002</v>
      </c>
      <c r="AB4199">
        <v>28</v>
      </c>
      <c r="AC4199">
        <v>-26.313099999999999</v>
      </c>
      <c r="AD4199">
        <v>-1.1072359269480001</v>
      </c>
      <c r="AE4199">
        <v>-4.2629999999999999</v>
      </c>
      <c r="AF4199">
        <v>-4.5176671124462802</v>
      </c>
      <c r="AG4199">
        <v>-1.1072359269480001</v>
      </c>
      <c r="AH4199">
        <v>26.223986594337301</v>
      </c>
      <c r="AI4199">
        <v>92.382664935219097</v>
      </c>
      <c r="AJ4199">
        <v>99.774535251976005</v>
      </c>
      <c r="AK4199">
        <v>26.633301718652699</v>
      </c>
      <c r="AL4199">
        <v>79.019523171101198</v>
      </c>
      <c r="AM4199">
        <v>91.396873240004197</v>
      </c>
      <c r="AN4199">
        <v>0.99999999417367602</v>
      </c>
    </row>
    <row r="4200" spans="1:40" x14ac:dyDescent="0.25">
      <c r="A4200" t="str">
        <f>"20190312172454612"</f>
        <v>20190312172454612</v>
      </c>
      <c r="B4200" t="str">
        <f>"1552382694604225"</f>
        <v>1552382694604225</v>
      </c>
      <c r="C4200" t="s">
        <v>40</v>
      </c>
      <c r="D4200">
        <v>3.7747120000000001</v>
      </c>
      <c r="E4200">
        <v>0.43688719999999998</v>
      </c>
      <c r="F4200" t="s">
        <v>43</v>
      </c>
      <c r="G4200">
        <v>-258.06810000000002</v>
      </c>
      <c r="H4200" s="1">
        <v>-1.70092E-6</v>
      </c>
      <c r="I4200">
        <v>135.642</v>
      </c>
      <c r="J4200">
        <v>-231.0643</v>
      </c>
      <c r="K4200">
        <v>1.107218</v>
      </c>
      <c r="L4200">
        <v>140.3355</v>
      </c>
      <c r="M4200">
        <v>-0.99988089999999996</v>
      </c>
      <c r="N4200">
        <v>0</v>
      </c>
      <c r="O4200">
        <v>1.352283E-2</v>
      </c>
      <c r="P4200">
        <v>-0.98303720000000006</v>
      </c>
      <c r="Q4200">
        <v>0.18244540000000001</v>
      </c>
      <c r="R4200">
        <v>-1.8753289999999999E-2</v>
      </c>
      <c r="S4200">
        <v>-3.0668639999999998</v>
      </c>
      <c r="T4200">
        <v>-0.1243471</v>
      </c>
      <c r="U4200">
        <v>-0.52633669999999899</v>
      </c>
      <c r="V4200">
        <v>-3.0869130000000002E-2</v>
      </c>
      <c r="W4200">
        <v>0.1899525</v>
      </c>
      <c r="X4200">
        <v>0.98130790000000001</v>
      </c>
      <c r="Y4200">
        <v>-0.1823041</v>
      </c>
      <c r="Z4200">
        <v>-4.2117480000000004E-3</v>
      </c>
      <c r="AA4200">
        <v>0.98323320000000003</v>
      </c>
      <c r="AB4200">
        <v>28</v>
      </c>
      <c r="AC4200">
        <v>-27.003799999999998</v>
      </c>
      <c r="AD4200">
        <v>-1.10721970092</v>
      </c>
      <c r="AE4200">
        <v>-4.6935000000000002</v>
      </c>
      <c r="AF4200">
        <v>-5.0500076276205403</v>
      </c>
      <c r="AG4200">
        <v>-1.10721970092</v>
      </c>
      <c r="AH4200">
        <v>26.893971396600001</v>
      </c>
      <c r="AI4200">
        <v>92.317074911299102</v>
      </c>
      <c r="AJ4200">
        <v>100.63485957891901</v>
      </c>
      <c r="AK4200">
        <v>27.3863873116969</v>
      </c>
      <c r="AL4200">
        <v>79.0499881103635</v>
      </c>
      <c r="AM4200">
        <v>91.801766617482699</v>
      </c>
      <c r="AN4200">
        <v>1.0000000250228001</v>
      </c>
    </row>
    <row r="4201" spans="1:40" x14ac:dyDescent="0.25">
      <c r="A4201" t="str">
        <f>"20190312172454633"</f>
        <v>20190312172454633</v>
      </c>
      <c r="B4201" t="str">
        <f>"1552382694624724"</f>
        <v>1552382694624724</v>
      </c>
      <c r="C4201" t="s">
        <v>40</v>
      </c>
      <c r="D4201">
        <v>3.7677839999999998</v>
      </c>
      <c r="E4201">
        <v>0.43540469999999998</v>
      </c>
      <c r="F4201" t="s">
        <v>43</v>
      </c>
      <c r="G4201">
        <v>-258.50529999999998</v>
      </c>
      <c r="H4201" s="1">
        <v>-1.6245770000000001E-6</v>
      </c>
      <c r="I4201">
        <v>135.3698</v>
      </c>
      <c r="J4201">
        <v>-231.35409999999999</v>
      </c>
      <c r="K4201">
        <v>1.107197</v>
      </c>
      <c r="L4201">
        <v>140.34280000000001</v>
      </c>
      <c r="M4201">
        <v>-0.99982959999999999</v>
      </c>
      <c r="N4201">
        <v>0</v>
      </c>
      <c r="O4201">
        <v>1.6886930000000001E-2</v>
      </c>
      <c r="P4201">
        <v>-0.98310819999999999</v>
      </c>
      <c r="Q4201">
        <v>0.1816535</v>
      </c>
      <c r="R4201">
        <v>-2.2371309999999998E-2</v>
      </c>
      <c r="S4201">
        <v>-3.064117</v>
      </c>
      <c r="T4201">
        <v>-0.1236347</v>
      </c>
      <c r="U4201">
        <v>-0.55447389999999996</v>
      </c>
      <c r="V4201">
        <v>-3.7792619999999999E-2</v>
      </c>
      <c r="W4201">
        <v>0.18920110000000001</v>
      </c>
      <c r="X4201">
        <v>0.98121080000000005</v>
      </c>
      <c r="Y4201">
        <v>-0.19449060000000001</v>
      </c>
      <c r="Z4201">
        <v>-4.5664870000000002E-3</v>
      </c>
      <c r="AA4201">
        <v>0.98089369999999998</v>
      </c>
      <c r="AB4201">
        <v>29</v>
      </c>
      <c r="AC4201">
        <v>-27.1511999999999</v>
      </c>
      <c r="AD4201">
        <v>-1.107198624577</v>
      </c>
      <c r="AE4201">
        <v>-4.9730000000000096</v>
      </c>
      <c r="AF4201">
        <v>-5.4220801427460801</v>
      </c>
      <c r="AG4201">
        <v>-1.107198624577</v>
      </c>
      <c r="AH4201">
        <v>27.019873506198</v>
      </c>
      <c r="AI4201">
        <v>92.300692794482401</v>
      </c>
      <c r="AJ4201">
        <v>101.34684375191399</v>
      </c>
      <c r="AK4201">
        <v>27.5807615224738</v>
      </c>
      <c r="AL4201">
        <v>79.093834859873098</v>
      </c>
      <c r="AM4201">
        <v>92.205731735751698</v>
      </c>
      <c r="AN4201">
        <v>0.99999998620215702</v>
      </c>
    </row>
    <row r="4202" spans="1:40" x14ac:dyDescent="0.25">
      <c r="A4202" t="str">
        <f>"20190312172454655"</f>
        <v>20190312172454655</v>
      </c>
      <c r="B4202" t="str">
        <f>"1552382694644241"</f>
        <v>1552382694644241</v>
      </c>
      <c r="C4202" t="s">
        <v>40</v>
      </c>
      <c r="D4202">
        <v>3.7457389999999999</v>
      </c>
      <c r="E4202">
        <v>0.43395240000000002</v>
      </c>
      <c r="F4202" t="s">
        <v>43</v>
      </c>
      <c r="G4202">
        <v>-258.18950000000001</v>
      </c>
      <c r="H4202" s="1">
        <v>-1.756146E-6</v>
      </c>
      <c r="I4202">
        <v>135.2792</v>
      </c>
      <c r="J4202">
        <v>-231.637</v>
      </c>
      <c r="K4202">
        <v>1.107181</v>
      </c>
      <c r="L4202">
        <v>140.351</v>
      </c>
      <c r="M4202">
        <v>-0.99976900000000002</v>
      </c>
      <c r="N4202">
        <v>0</v>
      </c>
      <c r="O4202">
        <v>2.0170130000000001E-2</v>
      </c>
      <c r="P4202">
        <v>-0.98315379999999997</v>
      </c>
      <c r="Q4202">
        <v>0.1809972</v>
      </c>
      <c r="R4202">
        <v>-2.547748E-2</v>
      </c>
      <c r="S4202">
        <v>-3.0617519999999998</v>
      </c>
      <c r="T4202">
        <v>-0.12632449999999901</v>
      </c>
      <c r="U4202">
        <v>-0.57772829999999997</v>
      </c>
      <c r="V4202">
        <v>-4.4123299999999997E-2</v>
      </c>
      <c r="W4202">
        <v>0.18858340000000001</v>
      </c>
      <c r="X4202">
        <v>0.98106550000000003</v>
      </c>
      <c r="Y4202">
        <v>-0.20501800000000001</v>
      </c>
      <c r="Z4202">
        <v>-5.0156289999999997E-3</v>
      </c>
      <c r="AA4202">
        <v>0.97874530000000004</v>
      </c>
      <c r="AB4202">
        <v>29</v>
      </c>
      <c r="AC4202">
        <v>-26.552499999999998</v>
      </c>
      <c r="AD4202">
        <v>-1.1071827561459999</v>
      </c>
      <c r="AE4202">
        <v>-5.0717999999999899</v>
      </c>
      <c r="AF4202">
        <v>-5.5969613313224196</v>
      </c>
      <c r="AG4202">
        <v>-1.1071827561459999</v>
      </c>
      <c r="AH4202">
        <v>26.4005091505067</v>
      </c>
      <c r="AI4202">
        <v>92.349305386140799</v>
      </c>
      <c r="AJ4202">
        <v>101.969597262093</v>
      </c>
      <c r="AK4202">
        <v>27.009974328122102</v>
      </c>
      <c r="AL4202">
        <v>79.129875859969502</v>
      </c>
      <c r="AM4202">
        <v>92.575135284600705</v>
      </c>
      <c r="AN4202">
        <v>1.00000003982434</v>
      </c>
    </row>
    <row r="4203" spans="1:40" x14ac:dyDescent="0.25">
      <c r="A4203" t="str">
        <f>"20190312172454677"</f>
        <v>20190312172454677</v>
      </c>
      <c r="B4203" t="str">
        <f>"1552382694674497"</f>
        <v>1552382694674497</v>
      </c>
      <c r="C4203" t="s">
        <v>40</v>
      </c>
      <c r="D4203">
        <v>3.740542</v>
      </c>
      <c r="E4203">
        <v>0.43255339999999998</v>
      </c>
      <c r="F4203" t="s">
        <v>43</v>
      </c>
      <c r="G4203">
        <v>-258.23880000000003</v>
      </c>
      <c r="H4203" s="1">
        <v>-1.7748130000000001E-6</v>
      </c>
      <c r="I4203">
        <v>135.14590000000001</v>
      </c>
      <c r="J4203">
        <v>-231.90880000000001</v>
      </c>
      <c r="K4203">
        <v>1.1071660000000001</v>
      </c>
      <c r="L4203">
        <v>140.3597</v>
      </c>
      <c r="M4203">
        <v>-0.99970040000000004</v>
      </c>
      <c r="N4203">
        <v>0</v>
      </c>
      <c r="O4203">
        <v>2.3321979999999999E-2</v>
      </c>
      <c r="P4203">
        <v>-0.98314049999999997</v>
      </c>
      <c r="Q4203">
        <v>0.1807762</v>
      </c>
      <c r="R4203">
        <v>-2.7475389999999999E-2</v>
      </c>
      <c r="S4203">
        <v>-3.0593569999999999</v>
      </c>
      <c r="T4203">
        <v>-0.12733230000000001</v>
      </c>
      <c r="U4203">
        <v>-0.59860230000000003</v>
      </c>
      <c r="V4203">
        <v>-4.921333E-2</v>
      </c>
      <c r="W4203">
        <v>0.1883938</v>
      </c>
      <c r="X4203">
        <v>0.98085979999999995</v>
      </c>
      <c r="Y4203">
        <v>-0.2146593</v>
      </c>
      <c r="Z4203">
        <v>-5.3849689999999999E-3</v>
      </c>
      <c r="AA4203">
        <v>0.97667409999999999</v>
      </c>
      <c r="AB4203">
        <v>29</v>
      </c>
      <c r="AC4203">
        <v>-26.33</v>
      </c>
      <c r="AD4203">
        <v>-1.107167774813</v>
      </c>
      <c r="AE4203">
        <v>-5.2137999999999902</v>
      </c>
      <c r="AF4203">
        <v>-5.8165698241740698</v>
      </c>
      <c r="AG4203">
        <v>-1.107167774813</v>
      </c>
      <c r="AH4203">
        <v>26.156733890951099</v>
      </c>
      <c r="AI4203">
        <v>92.366054250142696</v>
      </c>
      <c r="AJ4203">
        <v>102.53707832497599</v>
      </c>
      <c r="AK4203">
        <v>26.818520332842802</v>
      </c>
      <c r="AL4203">
        <v>79.140937651653104</v>
      </c>
      <c r="AM4203">
        <v>92.872330538679805</v>
      </c>
      <c r="AN4203">
        <v>1.0000000614920801</v>
      </c>
    </row>
    <row r="4204" spans="1:40" x14ac:dyDescent="0.25">
      <c r="A4204" t="str">
        <f>"20190312172454699"</f>
        <v>20190312172454699</v>
      </c>
      <c r="B4204" t="str">
        <f>"1552382694694993"</f>
        <v>1552382694694993</v>
      </c>
      <c r="C4204" t="s">
        <v>40</v>
      </c>
      <c r="D4204">
        <v>7.2236979999999997</v>
      </c>
      <c r="E4204">
        <v>0.4320754</v>
      </c>
      <c r="F4204" t="s">
        <v>43</v>
      </c>
      <c r="G4204">
        <v>-258.72719999999998</v>
      </c>
      <c r="H4204" s="1">
        <v>-1.6596289999999999E-6</v>
      </c>
      <c r="I4204">
        <v>134.95419999999999</v>
      </c>
      <c r="J4204">
        <v>-232.2079</v>
      </c>
      <c r="K4204">
        <v>1.1071470000000001</v>
      </c>
      <c r="L4204">
        <v>140.37020000000001</v>
      </c>
      <c r="M4204">
        <v>-0.99961350000000004</v>
      </c>
      <c r="N4204">
        <v>0</v>
      </c>
      <c r="O4204">
        <v>2.679055E-2</v>
      </c>
      <c r="P4204">
        <v>-0.98312370000000004</v>
      </c>
      <c r="Q4204">
        <v>0.18067440000000001</v>
      </c>
      <c r="R4204">
        <v>-2.8722080000000001E-2</v>
      </c>
      <c r="S4204">
        <v>-3.0574340000000002</v>
      </c>
      <c r="T4204">
        <v>-0.12622259999999999</v>
      </c>
      <c r="U4204">
        <v>-0.6162415</v>
      </c>
      <c r="V4204">
        <v>-5.3860669999999999E-2</v>
      </c>
      <c r="W4204">
        <v>0.18832260000000001</v>
      </c>
      <c r="X4204">
        <v>0.98062919999999998</v>
      </c>
      <c r="Y4204">
        <v>-0.22356880000000001</v>
      </c>
      <c r="Z4204">
        <v>-5.6622769999999899E-3</v>
      </c>
      <c r="AA4204">
        <v>0.97467170000000003</v>
      </c>
      <c r="AB4204">
        <v>29</v>
      </c>
      <c r="AC4204">
        <v>-26.519299999999902</v>
      </c>
      <c r="AD4204">
        <v>-1.1071486596290001</v>
      </c>
      <c r="AE4204">
        <v>-5.4160000000000199</v>
      </c>
      <c r="AF4204">
        <v>-6.1143118242621597</v>
      </c>
      <c r="AG4204">
        <v>-1.1071486596290001</v>
      </c>
      <c r="AH4204">
        <v>26.320640231971201</v>
      </c>
      <c r="AI4204">
        <v>92.346261583911598</v>
      </c>
      <c r="AJ4204">
        <v>103.077916794495</v>
      </c>
      <c r="AK4204">
        <v>27.0441618368862</v>
      </c>
      <c r="AL4204">
        <v>79.145090794209594</v>
      </c>
      <c r="AM4204">
        <v>93.143789209367597</v>
      </c>
      <c r="AN4204">
        <v>1.00000000066812</v>
      </c>
    </row>
    <row r="4205" spans="1:40" x14ac:dyDescent="0.25">
      <c r="A4205" t="str">
        <f>"20190312172454723"</f>
        <v>20190312172454723</v>
      </c>
      <c r="B4205" t="str">
        <f>"1552382694714516"</f>
        <v>1552382694714516</v>
      </c>
      <c r="C4205" t="s">
        <v>40</v>
      </c>
      <c r="D4205">
        <v>3.7603800000000001</v>
      </c>
      <c r="E4205">
        <v>0.43177690000000002</v>
      </c>
      <c r="F4205" t="s">
        <v>43</v>
      </c>
      <c r="G4205">
        <v>-259.26670000000001</v>
      </c>
      <c r="H4205" s="1">
        <v>-1.5063749999999901E-6</v>
      </c>
      <c r="I4205">
        <v>134.84030000000001</v>
      </c>
      <c r="J4205">
        <v>-232.50630000000001</v>
      </c>
      <c r="K4205">
        <v>1.1071340000000001</v>
      </c>
      <c r="L4205">
        <v>140.3817</v>
      </c>
      <c r="M4205">
        <v>-0.99951489999999998</v>
      </c>
      <c r="N4205">
        <v>0</v>
      </c>
      <c r="O4205">
        <v>3.0245959999999999E-2</v>
      </c>
      <c r="P4205">
        <v>-0.98304340000000001</v>
      </c>
      <c r="Q4205">
        <v>0.18107039999999999</v>
      </c>
      <c r="R4205">
        <v>-2.897253E-2</v>
      </c>
      <c r="S4205">
        <v>-3.056244</v>
      </c>
      <c r="T4205">
        <v>-0.125051</v>
      </c>
      <c r="U4205">
        <v>-0.62458800000000003</v>
      </c>
      <c r="V4205">
        <v>-5.7494429999999999E-2</v>
      </c>
      <c r="W4205">
        <v>0.1887441</v>
      </c>
      <c r="X4205">
        <v>0.98034180000000004</v>
      </c>
      <c r="Y4205">
        <v>-0.22955980000000001</v>
      </c>
      <c r="Z4205">
        <v>-5.8717140000000001E-3</v>
      </c>
      <c r="AA4205">
        <v>0.9732769</v>
      </c>
      <c r="AB4205">
        <v>29</v>
      </c>
      <c r="AC4205">
        <v>-26.760400000000001</v>
      </c>
      <c r="AD4205">
        <v>-1.1071355063749999</v>
      </c>
      <c r="AE4205">
        <v>-5.5413999999999799</v>
      </c>
      <c r="AF4205">
        <v>-6.3378786815666501</v>
      </c>
      <c r="AG4205">
        <v>-1.1071355063749999</v>
      </c>
      <c r="AH4205">
        <v>26.5369919184837</v>
      </c>
      <c r="AI4205">
        <v>92.323740701746502</v>
      </c>
      <c r="AJ4205">
        <v>103.43243127735499</v>
      </c>
      <c r="AK4205">
        <v>27.305794170714101</v>
      </c>
      <c r="AL4205">
        <v>79.120499559631398</v>
      </c>
      <c r="AM4205">
        <v>93.356399943879893</v>
      </c>
      <c r="AN4205">
        <v>0.99999999479653701</v>
      </c>
    </row>
    <row r="4206" spans="1:40" x14ac:dyDescent="0.25">
      <c r="A4206" t="str">
        <f>"20190312172454746"</f>
        <v>20190312172454746</v>
      </c>
      <c r="B4206" t="str">
        <f>"1552382694735009"</f>
        <v>1552382694735009</v>
      </c>
      <c r="C4206" t="s">
        <v>40</v>
      </c>
      <c r="D4206">
        <v>3.800627</v>
      </c>
      <c r="E4206">
        <v>0.43154949999999997</v>
      </c>
      <c r="F4206" t="s">
        <v>43</v>
      </c>
      <c r="G4206">
        <v>-259.6472</v>
      </c>
      <c r="H4206" s="1">
        <v>-1.3859299999999999E-6</v>
      </c>
      <c r="I4206">
        <v>134.80629999999999</v>
      </c>
      <c r="J4206">
        <v>-232.81190000000001</v>
      </c>
      <c r="K4206">
        <v>1.1071310000000001</v>
      </c>
      <c r="L4206">
        <v>140.3947</v>
      </c>
      <c r="M4206">
        <v>-0.99940189999999995</v>
      </c>
      <c r="N4206">
        <v>0</v>
      </c>
      <c r="O4206">
        <v>3.376912E-2</v>
      </c>
      <c r="P4206">
        <v>-0.98308470000000003</v>
      </c>
      <c r="Q4206">
        <v>0.18094779999999999</v>
      </c>
      <c r="R4206">
        <v>-2.8325679999999999E-2</v>
      </c>
      <c r="S4206">
        <v>-3.0562290000000001</v>
      </c>
      <c r="T4206">
        <v>-0.12467060000000001</v>
      </c>
      <c r="U4206">
        <v>-0.62782289999999996</v>
      </c>
      <c r="V4206">
        <v>-6.0306699999999998E-2</v>
      </c>
      <c r="W4206">
        <v>0.1886429</v>
      </c>
      <c r="X4206">
        <v>0.98019230000000002</v>
      </c>
      <c r="Y4206">
        <v>-0.23397280000000001</v>
      </c>
      <c r="Z4206">
        <v>-6.0846829999999996E-3</v>
      </c>
      <c r="AA4206">
        <v>0.97222410000000004</v>
      </c>
      <c r="AB4206">
        <v>29</v>
      </c>
      <c r="AC4206">
        <v>-26.835299999999901</v>
      </c>
      <c r="AD4206">
        <v>-1.10713238593</v>
      </c>
      <c r="AE4206">
        <v>-5.5884</v>
      </c>
      <c r="AF4206">
        <v>-6.4808695361583499</v>
      </c>
      <c r="AG4206">
        <v>-1.10713238593</v>
      </c>
      <c r="AH4206">
        <v>26.5878989826615</v>
      </c>
      <c r="AI4206">
        <v>92.316691868521502</v>
      </c>
      <c r="AJ4206">
        <v>103.698857683783</v>
      </c>
      <c r="AK4206">
        <v>27.388752881007498</v>
      </c>
      <c r="AL4206">
        <v>79.126403943443805</v>
      </c>
      <c r="AM4206">
        <v>93.520706469835801</v>
      </c>
      <c r="AN4206">
        <v>0.99999999338229495</v>
      </c>
    </row>
    <row r="4207" spans="1:40" x14ac:dyDescent="0.25">
      <c r="A4207" t="str">
        <f>"20190312172454769"</f>
        <v>20190312172454769</v>
      </c>
      <c r="B4207" t="str">
        <f>"1552382694764289"</f>
        <v>1552382694764289</v>
      </c>
      <c r="C4207" t="s">
        <v>40</v>
      </c>
      <c r="D4207">
        <v>3.7797450000000001</v>
      </c>
      <c r="E4207">
        <v>0.43142320000000001</v>
      </c>
      <c r="F4207" t="s">
        <v>43</v>
      </c>
      <c r="G4207">
        <v>-259.51760000000002</v>
      </c>
      <c r="H4207" s="1">
        <v>-1.4013630000000001E-6</v>
      </c>
      <c r="I4207">
        <v>134.91399999999999</v>
      </c>
      <c r="J4207">
        <v>-233.10470000000001</v>
      </c>
      <c r="K4207">
        <v>1.1071200000000001</v>
      </c>
      <c r="L4207">
        <v>140.40799999999999</v>
      </c>
      <c r="M4207">
        <v>-0.99928269999999997</v>
      </c>
      <c r="N4207">
        <v>0</v>
      </c>
      <c r="O4207">
        <v>3.7128719999999997E-2</v>
      </c>
      <c r="P4207">
        <v>-0.98313329999999999</v>
      </c>
      <c r="Q4207">
        <v>0.1808041</v>
      </c>
      <c r="R4207">
        <v>-2.7553350000000001E-2</v>
      </c>
      <c r="S4207">
        <v>-3.05687</v>
      </c>
      <c r="T4207">
        <v>-0.12672820000000001</v>
      </c>
      <c r="U4207">
        <v>-0.62733459999999996</v>
      </c>
      <c r="V4207">
        <v>-6.2835219999999997E-2</v>
      </c>
      <c r="W4207">
        <v>0.1885184</v>
      </c>
      <c r="X4207">
        <v>0.98005739999999997</v>
      </c>
      <c r="Y4207">
        <v>-0.23703840000000001</v>
      </c>
      <c r="Z4207">
        <v>-6.3846859999999997E-3</v>
      </c>
      <c r="AA4207">
        <v>0.97147930000000005</v>
      </c>
      <c r="AB4207">
        <v>29</v>
      </c>
      <c r="AC4207">
        <v>-26.4129</v>
      </c>
      <c r="AD4207">
        <v>-1.107121401363</v>
      </c>
      <c r="AE4207">
        <v>-5.4939999999999998</v>
      </c>
      <c r="AF4207">
        <v>-6.4600367997579102</v>
      </c>
      <c r="AG4207">
        <v>-1.107121401363</v>
      </c>
      <c r="AH4207">
        <v>26.146663077997001</v>
      </c>
      <c r="AI4207">
        <v>92.353914214370405</v>
      </c>
      <c r="AJ4207">
        <v>103.87809357838201</v>
      </c>
      <c r="AK4207">
        <v>26.955626191314401</v>
      </c>
      <c r="AL4207">
        <v>79.133667443607095</v>
      </c>
      <c r="AM4207">
        <v>93.668430113925893</v>
      </c>
      <c r="AN4207">
        <v>0.99999997965288301</v>
      </c>
    </row>
    <row r="4208" spans="1:40" x14ac:dyDescent="0.25">
      <c r="A4208" t="str">
        <f>"20190312172454789"</f>
        <v>20190312172454789</v>
      </c>
      <c r="B4208" t="str">
        <f>"1552382694784785"</f>
        <v>1552382694784785</v>
      </c>
      <c r="C4208" t="s">
        <v>40</v>
      </c>
      <c r="D4208">
        <v>3.7672690000000002</v>
      </c>
      <c r="E4208">
        <v>0.4313941</v>
      </c>
      <c r="F4208" t="s">
        <v>43</v>
      </c>
      <c r="G4208">
        <v>-259.4126</v>
      </c>
      <c r="H4208" s="1">
        <v>-1.4080670000000001E-6</v>
      </c>
      <c r="I4208">
        <v>135.023</v>
      </c>
      <c r="J4208">
        <v>-233.3777</v>
      </c>
      <c r="K4208">
        <v>1.1071150000000001</v>
      </c>
      <c r="L4208">
        <v>140.4213</v>
      </c>
      <c r="M4208">
        <v>-0.99916229999999995</v>
      </c>
      <c r="N4208">
        <v>0</v>
      </c>
      <c r="O4208">
        <v>4.0238219999999998E-2</v>
      </c>
      <c r="P4208">
        <v>-0.98313759999999994</v>
      </c>
      <c r="Q4208">
        <v>0.1810012</v>
      </c>
      <c r="R4208">
        <v>-2.6061109999999998E-2</v>
      </c>
      <c r="S4208">
        <v>-3.0576020000000002</v>
      </c>
      <c r="T4208">
        <v>-0.1286738</v>
      </c>
      <c r="U4208">
        <v>-0.62585449999999998</v>
      </c>
      <c r="V4208">
        <v>-6.4398049999999998E-2</v>
      </c>
      <c r="W4208">
        <v>0.1887277</v>
      </c>
      <c r="X4208">
        <v>0.97991569999999995</v>
      </c>
      <c r="Y4208">
        <v>-0.23955170000000001</v>
      </c>
      <c r="Z4208">
        <v>-6.663375E-3</v>
      </c>
      <c r="AA4208">
        <v>0.97086070000000002</v>
      </c>
      <c r="AB4208">
        <v>29</v>
      </c>
      <c r="AC4208">
        <v>-26.0349</v>
      </c>
      <c r="AD4208">
        <v>-1.107116408067</v>
      </c>
      <c r="AE4208">
        <v>-5.3982999999999999</v>
      </c>
      <c r="AF4208">
        <v>-6.4304060155504201</v>
      </c>
      <c r="AG4208">
        <v>-1.107116408067</v>
      </c>
      <c r="AH4208">
        <v>25.751941412108799</v>
      </c>
      <c r="AI4208">
        <v>92.388470400427195</v>
      </c>
      <c r="AJ4208">
        <v>104.020370979151</v>
      </c>
      <c r="AK4208">
        <v>26.565735727785199</v>
      </c>
      <c r="AL4208">
        <v>79.121456644310399</v>
      </c>
      <c r="AM4208">
        <v>93.759954444456497</v>
      </c>
      <c r="AN4208">
        <v>1.0000000163487901</v>
      </c>
    </row>
    <row r="4209" spans="1:40" x14ac:dyDescent="0.25">
      <c r="A4209" t="str">
        <f>"20190312172454812"</f>
        <v>20190312172454812</v>
      </c>
      <c r="B4209" t="str">
        <f>"1552382694804305"</f>
        <v>1552382694804305</v>
      </c>
      <c r="C4209" t="s">
        <v>40</v>
      </c>
      <c r="D4209">
        <v>3.7647520000000001</v>
      </c>
      <c r="E4209">
        <v>0.43134090000000003</v>
      </c>
      <c r="F4209" t="s">
        <v>43</v>
      </c>
      <c r="G4209">
        <v>-259.63549999999998</v>
      </c>
      <c r="H4209" s="1">
        <v>-1.316124E-6</v>
      </c>
      <c r="I4209">
        <v>135.08349999999999</v>
      </c>
      <c r="J4209">
        <v>-233.67789999999999</v>
      </c>
      <c r="K4209">
        <v>1.1071249999999999</v>
      </c>
      <c r="L4209">
        <v>140.43690000000001</v>
      </c>
      <c r="M4209">
        <v>-0.99902020000000002</v>
      </c>
      <c r="N4209">
        <v>0</v>
      </c>
      <c r="O4209">
        <v>4.3623490000000001E-2</v>
      </c>
      <c r="P4209">
        <v>-0.98323819999999995</v>
      </c>
      <c r="Q4209">
        <v>0.1808826</v>
      </c>
      <c r="R4209">
        <v>-2.2891080000000001E-2</v>
      </c>
      <c r="S4209">
        <v>-3.058716</v>
      </c>
      <c r="T4209">
        <v>-0.128966</v>
      </c>
      <c r="U4209">
        <v>-0.62178040000000001</v>
      </c>
      <c r="V4209">
        <v>-6.4564910000000003E-2</v>
      </c>
      <c r="W4209">
        <v>0.1886129</v>
      </c>
      <c r="X4209">
        <v>0.97992679999999999</v>
      </c>
      <c r="Y4209">
        <v>-0.24152409999999999</v>
      </c>
      <c r="Z4209">
        <v>-6.8595610000000001E-3</v>
      </c>
      <c r="AA4209">
        <v>0.97037059999999997</v>
      </c>
      <c r="AB4209">
        <v>29</v>
      </c>
      <c r="AC4209">
        <v>-25.9575999999999</v>
      </c>
      <c r="AD4209">
        <v>-1.1071263161239999</v>
      </c>
      <c r="AE4209">
        <v>-5.3534000000000201</v>
      </c>
      <c r="AF4209">
        <v>-6.4694075168043303</v>
      </c>
      <c r="AG4209">
        <v>-1.1071263161239999</v>
      </c>
      <c r="AH4209">
        <v>25.654582433519401</v>
      </c>
      <c r="AI4209">
        <v>92.396150723141602</v>
      </c>
      <c r="AJ4209">
        <v>104.153393851225</v>
      </c>
      <c r="AK4209">
        <v>26.480871627206302</v>
      </c>
      <c r="AL4209">
        <v>79.128154238344194</v>
      </c>
      <c r="AM4209">
        <v>93.769626126579098</v>
      </c>
      <c r="AN4209">
        <v>0.99999999350397895</v>
      </c>
    </row>
    <row r="4210" spans="1:40" x14ac:dyDescent="0.25">
      <c r="A4210" t="str">
        <f>"20190312172454835"</f>
        <v>20190312172454835</v>
      </c>
      <c r="B4210" t="str">
        <f>"1552382694824801"</f>
        <v>1552382694824801</v>
      </c>
      <c r="C4210" t="s">
        <v>40</v>
      </c>
      <c r="D4210">
        <v>3.8307609999999999</v>
      </c>
      <c r="E4210">
        <v>0.4312125</v>
      </c>
      <c r="F4210" t="s">
        <v>43</v>
      </c>
      <c r="G4210">
        <v>-259.79689999999999</v>
      </c>
      <c r="H4210" s="1">
        <v>-1.2286129999999999E-6</v>
      </c>
      <c r="I4210">
        <v>135.20599999999999</v>
      </c>
      <c r="J4210">
        <v>-233.98070000000001</v>
      </c>
      <c r="K4210">
        <v>1.1071409999999999</v>
      </c>
      <c r="L4210">
        <v>140.45359999999999</v>
      </c>
      <c r="M4210">
        <v>-0.99886759999999997</v>
      </c>
      <c r="N4210">
        <v>0</v>
      </c>
      <c r="O4210">
        <v>4.6989250000000003E-2</v>
      </c>
      <c r="P4210">
        <v>-0.98335709999999998</v>
      </c>
      <c r="Q4210">
        <v>0.18060789999999999</v>
      </c>
      <c r="R4210">
        <v>-1.9746759999999999E-2</v>
      </c>
      <c r="S4210">
        <v>-3.0607600000000001</v>
      </c>
      <c r="T4210">
        <v>-0.12973899999999999</v>
      </c>
      <c r="U4210">
        <v>-0.61297609999999902</v>
      </c>
      <c r="V4210">
        <v>-6.4745449999999996E-2</v>
      </c>
      <c r="W4210">
        <v>0.1883418</v>
      </c>
      <c r="X4210">
        <v>0.97996709999999998</v>
      </c>
      <c r="Y4210">
        <v>-0.24197859999999999</v>
      </c>
      <c r="Z4210">
        <v>-7.0489910000000001E-3</v>
      </c>
      <c r="AA4210">
        <v>0.97025600000000001</v>
      </c>
      <c r="AB4210">
        <v>29</v>
      </c>
      <c r="AC4210">
        <v>-25.816199999999899</v>
      </c>
      <c r="AD4210">
        <v>-1.1071422286129999</v>
      </c>
      <c r="AE4210">
        <v>-5.2475999999999701</v>
      </c>
      <c r="AF4210">
        <v>-6.4435401552176197</v>
      </c>
      <c r="AG4210">
        <v>-1.1071422286129999</v>
      </c>
      <c r="AH4210">
        <v>25.496063033271</v>
      </c>
      <c r="AI4210">
        <v>92.410749443954899</v>
      </c>
      <c r="AJ4210">
        <v>104.183196410405</v>
      </c>
      <c r="AK4210">
        <v>26.3209840971573</v>
      </c>
      <c r="AL4210">
        <v>79.143971345002399</v>
      </c>
      <c r="AM4210">
        <v>93.779981443115403</v>
      </c>
      <c r="AN4210">
        <v>1.0000000620026701</v>
      </c>
    </row>
    <row r="4211" spans="1:40" x14ac:dyDescent="0.25">
      <c r="A4211" t="str">
        <f>"20190312172454857"</f>
        <v>20190312172454857</v>
      </c>
      <c r="B4211" t="str">
        <f>"1552382694844321"</f>
        <v>1552382694844321</v>
      </c>
      <c r="C4211" t="s">
        <v>40</v>
      </c>
      <c r="D4211">
        <v>3.702229</v>
      </c>
      <c r="E4211">
        <v>0.43100369999999999</v>
      </c>
      <c r="F4211" t="s">
        <v>43</v>
      </c>
      <c r="G4211">
        <v>-260.00439999999998</v>
      </c>
      <c r="H4211" s="1">
        <v>-5.0332299999999999E-6</v>
      </c>
      <c r="I4211">
        <v>135.31559999999999</v>
      </c>
      <c r="J4211">
        <v>-234.26750000000001</v>
      </c>
      <c r="K4211">
        <v>1.107165</v>
      </c>
      <c r="L4211">
        <v>140.47030000000001</v>
      </c>
      <c r="M4211">
        <v>-0.99871549999999998</v>
      </c>
      <c r="N4211">
        <v>0</v>
      </c>
      <c r="O4211">
        <v>5.0114260000000001E-2</v>
      </c>
      <c r="P4211">
        <v>-0.98345470000000001</v>
      </c>
      <c r="Q4211">
        <v>0.1804876</v>
      </c>
      <c r="R4211">
        <v>-1.5525219999999999E-2</v>
      </c>
      <c r="S4211">
        <v>-3.062592</v>
      </c>
      <c r="T4211">
        <v>-0.1302942</v>
      </c>
      <c r="U4211">
        <v>-0.60465999999999998</v>
      </c>
      <c r="V4211">
        <v>-6.3617969999999996E-2</v>
      </c>
      <c r="W4211">
        <v>0.1882182</v>
      </c>
      <c r="X4211">
        <v>0.98006459999999995</v>
      </c>
      <c r="Y4211">
        <v>-0.242363</v>
      </c>
      <c r="Z4211">
        <v>-7.2167169999999897E-3</v>
      </c>
      <c r="AA4211">
        <v>0.97015879999999999</v>
      </c>
      <c r="AB4211">
        <v>29</v>
      </c>
      <c r="AC4211">
        <v>-25.736899999999899</v>
      </c>
      <c r="AD4211">
        <v>-1.1071700332300001</v>
      </c>
      <c r="AE4211">
        <v>-5.1547000000000196</v>
      </c>
      <c r="AF4211">
        <v>-6.4266099657209201</v>
      </c>
      <c r="AG4211">
        <v>-1.1071700332300001</v>
      </c>
      <c r="AH4211">
        <v>25.401033733300199</v>
      </c>
      <c r="AI4211">
        <v>92.419658189596305</v>
      </c>
      <c r="AJ4211">
        <v>104.198219909564</v>
      </c>
      <c r="AK4211">
        <v>26.2247908638799</v>
      </c>
      <c r="AL4211">
        <v>79.151181147396997</v>
      </c>
      <c r="AM4211">
        <v>93.713974100242595</v>
      </c>
      <c r="AN4211">
        <v>0.99999997854566003</v>
      </c>
    </row>
    <row r="4212" spans="1:40" x14ac:dyDescent="0.25">
      <c r="A4212" t="str">
        <f>"20190312172454878"</f>
        <v>20190312172454878</v>
      </c>
      <c r="B4212" t="str">
        <f>"1552382694874577"</f>
        <v>1552382694874577</v>
      </c>
      <c r="C4212" t="s">
        <v>40</v>
      </c>
      <c r="D4212">
        <v>3.7001789999999999</v>
      </c>
      <c r="E4212">
        <v>0.430649</v>
      </c>
      <c r="F4212" t="s">
        <v>43</v>
      </c>
      <c r="G4212">
        <v>-260.26319999999998</v>
      </c>
      <c r="H4212" s="1">
        <v>-4.9013610000000002E-6</v>
      </c>
      <c r="I4212">
        <v>135.4332</v>
      </c>
      <c r="J4212">
        <v>-234.55420000000001</v>
      </c>
      <c r="K4212">
        <v>1.1072040000000001</v>
      </c>
      <c r="L4212">
        <v>140.48779999999999</v>
      </c>
      <c r="M4212">
        <v>-0.99855830000000001</v>
      </c>
      <c r="N4212">
        <v>0</v>
      </c>
      <c r="O4212">
        <v>5.3157019999999999E-2</v>
      </c>
      <c r="P4212">
        <v>-0.98352779999999995</v>
      </c>
      <c r="Q4212">
        <v>0.18043039999999999</v>
      </c>
      <c r="R4212">
        <v>-1.087542E-2</v>
      </c>
      <c r="S4212">
        <v>-3.065048</v>
      </c>
      <c r="T4212">
        <v>-0.1305422</v>
      </c>
      <c r="U4212">
        <v>-0.59390259999999995</v>
      </c>
      <c r="V4212">
        <v>-6.1988099999999997E-2</v>
      </c>
      <c r="W4212">
        <v>0.18815680000000001</v>
      </c>
      <c r="X4212">
        <v>0.98018090000000002</v>
      </c>
      <c r="Y4212">
        <v>-0.2418884</v>
      </c>
      <c r="Z4212">
        <v>-7.3456440000000001E-3</v>
      </c>
      <c r="AA4212">
        <v>0.97027629999999998</v>
      </c>
      <c r="AB4212">
        <v>29</v>
      </c>
      <c r="AC4212">
        <v>-25.7089999999999</v>
      </c>
      <c r="AD4212">
        <v>-1.107208901361</v>
      </c>
      <c r="AE4212">
        <v>-5.05459999999999</v>
      </c>
      <c r="AF4212">
        <v>-6.4026716052386501</v>
      </c>
      <c r="AG4212">
        <v>-1.107208901361</v>
      </c>
      <c r="AH4212">
        <v>25.358670849205001</v>
      </c>
      <c r="AI4212">
        <v>92.424080365484997</v>
      </c>
      <c r="AJ4212">
        <v>104.170143287199</v>
      </c>
      <c r="AK4212">
        <v>26.1778972126124</v>
      </c>
      <c r="AL4212">
        <v>79.154763905664893</v>
      </c>
      <c r="AM4212">
        <v>93.618651318936102</v>
      </c>
      <c r="AN4212">
        <v>1.0000000513263201</v>
      </c>
    </row>
    <row r="4213" spans="1:40" x14ac:dyDescent="0.25">
      <c r="A4213" t="str">
        <f>"20190312172454901"</f>
        <v>20190312172454901</v>
      </c>
      <c r="B4213" t="str">
        <f>"1552382694894097"</f>
        <v>1552382694894097</v>
      </c>
      <c r="C4213" t="s">
        <v>40</v>
      </c>
      <c r="D4213">
        <v>3.67042</v>
      </c>
      <c r="E4213">
        <v>0.43042900000000001</v>
      </c>
      <c r="F4213" t="s">
        <v>43</v>
      </c>
      <c r="G4213">
        <v>-260.65280000000001</v>
      </c>
      <c r="H4213" s="1">
        <v>-4.7179010000000004E-6</v>
      </c>
      <c r="I4213">
        <v>135.52510000000001</v>
      </c>
      <c r="J4213">
        <v>-234.85640000000001</v>
      </c>
      <c r="K4213">
        <v>1.1072690000000001</v>
      </c>
      <c r="L4213">
        <v>140.50700000000001</v>
      </c>
      <c r="M4213">
        <v>-0.9983881</v>
      </c>
      <c r="N4213">
        <v>0</v>
      </c>
      <c r="O4213">
        <v>5.6259339999999998E-2</v>
      </c>
      <c r="P4213">
        <v>-0.98368869999999997</v>
      </c>
      <c r="Q4213">
        <v>0.17977599999999999</v>
      </c>
      <c r="R4213">
        <v>-6.1065269999999996E-3</v>
      </c>
      <c r="S4213">
        <v>-3.0676570000000001</v>
      </c>
      <c r="T4213">
        <v>-0.13014249999999999</v>
      </c>
      <c r="U4213">
        <v>-0.58331299999999997</v>
      </c>
      <c r="V4213">
        <v>-6.0317830000000003E-2</v>
      </c>
      <c r="W4213">
        <v>0.1874979</v>
      </c>
      <c r="X4213">
        <v>0.98041129999999999</v>
      </c>
      <c r="Y4213">
        <v>-0.2415178</v>
      </c>
      <c r="Z4213">
        <v>-7.4421610000000001E-3</v>
      </c>
      <c r="AA4213">
        <v>0.9703678</v>
      </c>
      <c r="AB4213">
        <v>30</v>
      </c>
      <c r="AC4213">
        <v>-25.796399999999998</v>
      </c>
      <c r="AD4213">
        <v>-1.1072737179009999</v>
      </c>
      <c r="AE4213">
        <v>-4.9818999999999898</v>
      </c>
      <c r="AF4213">
        <v>-6.4139459413261903</v>
      </c>
      <c r="AG4213">
        <v>-1.1072737179009999</v>
      </c>
      <c r="AH4213">
        <v>25.430086227365901</v>
      </c>
      <c r="AI4213">
        <v>92.417574453192202</v>
      </c>
      <c r="AJ4213">
        <v>104.15583085774</v>
      </c>
      <c r="AK4213">
        <v>26.249838916760499</v>
      </c>
      <c r="AL4213">
        <v>79.193199729667398</v>
      </c>
      <c r="AM4213">
        <v>93.520569998398599</v>
      </c>
      <c r="AN4213">
        <v>1.0000000101440001</v>
      </c>
    </row>
    <row r="4214" spans="1:40" x14ac:dyDescent="0.25">
      <c r="A4214" t="str">
        <f>"20190312172454924"</f>
        <v>20190312172454924</v>
      </c>
      <c r="B4214" t="str">
        <f>"1552382694914596"</f>
        <v>1552382694914596</v>
      </c>
      <c r="C4214" t="s">
        <v>40</v>
      </c>
      <c r="D4214">
        <v>3.6918609999999998</v>
      </c>
      <c r="E4214">
        <v>0.4302047</v>
      </c>
      <c r="F4214" t="s">
        <v>43</v>
      </c>
      <c r="G4214">
        <v>-260.61250000000001</v>
      </c>
      <c r="H4214" s="1">
        <v>-4.7009479999999998E-6</v>
      </c>
      <c r="I4214">
        <v>135.7183</v>
      </c>
      <c r="J4214">
        <v>-235.1671</v>
      </c>
      <c r="K4214">
        <v>1.107348</v>
      </c>
      <c r="L4214">
        <v>140.52780000000001</v>
      </c>
      <c r="M4214">
        <v>-0.99821190000000004</v>
      </c>
      <c r="N4214">
        <v>0</v>
      </c>
      <c r="O4214">
        <v>5.930175E-2</v>
      </c>
      <c r="P4214">
        <v>-0.98391079999999997</v>
      </c>
      <c r="Q4214">
        <v>0.1786489</v>
      </c>
      <c r="R4214">
        <v>-2.0327470000000001E-3</v>
      </c>
      <c r="S4214">
        <v>-3.0703130000000001</v>
      </c>
      <c r="T4214">
        <v>-0.13199539999999901</v>
      </c>
      <c r="U4214">
        <v>-0.57084659999999998</v>
      </c>
      <c r="V4214">
        <v>-5.9299949999999997E-2</v>
      </c>
      <c r="W4214">
        <v>0.18636749999999999</v>
      </c>
      <c r="X4214">
        <v>0.98068889999999997</v>
      </c>
      <c r="Y4214">
        <v>-0.2405062</v>
      </c>
      <c r="Z4214">
        <v>-7.6526140000000003E-3</v>
      </c>
      <c r="AA4214">
        <v>0.97061739999999996</v>
      </c>
      <c r="AB4214">
        <v>30</v>
      </c>
      <c r="AC4214">
        <v>-25.445399999999999</v>
      </c>
      <c r="AD4214">
        <v>-1.107352700948</v>
      </c>
      <c r="AE4214">
        <v>-4.8095000000000097</v>
      </c>
      <c r="AF4214">
        <v>-6.2985173281175602</v>
      </c>
      <c r="AG4214">
        <v>-1.107352700948</v>
      </c>
      <c r="AH4214">
        <v>25.069555265339801</v>
      </c>
      <c r="AI4214">
        <v>92.453041367208499</v>
      </c>
      <c r="AJ4214">
        <v>104.103182335193</v>
      </c>
      <c r="AK4214">
        <v>25.872382026764001</v>
      </c>
      <c r="AL4214">
        <v>79.259129185315899</v>
      </c>
      <c r="AM4214">
        <v>93.460327687476905</v>
      </c>
      <c r="AN4214">
        <v>1.00000002385473</v>
      </c>
    </row>
    <row r="4215" spans="1:40" x14ac:dyDescent="0.25">
      <c r="A4215" t="str">
        <f>"20190312172454947"</f>
        <v>20190312172454947</v>
      </c>
      <c r="B4215" t="str">
        <f>"1552382694944849"</f>
        <v>1552382694944849</v>
      </c>
      <c r="C4215" t="s">
        <v>40</v>
      </c>
      <c r="D4215">
        <v>3.7497980000000002</v>
      </c>
      <c r="E4215">
        <v>0.43016189999999999</v>
      </c>
      <c r="F4215" t="s">
        <v>43</v>
      </c>
      <c r="G4215">
        <v>-260.20839999999998</v>
      </c>
      <c r="H4215" s="1">
        <v>-4.831092E-6</v>
      </c>
      <c r="I4215">
        <v>135.96170000000001</v>
      </c>
      <c r="J4215">
        <v>-235.4742</v>
      </c>
      <c r="K4215">
        <v>1.1074280000000001</v>
      </c>
      <c r="L4215">
        <v>140.54900000000001</v>
      </c>
      <c r="M4215">
        <v>-0.99803750000000002</v>
      </c>
      <c r="N4215">
        <v>0</v>
      </c>
      <c r="O4215">
        <v>6.2167149999999997E-2</v>
      </c>
      <c r="P4215">
        <v>-0.9841413</v>
      </c>
      <c r="Q4215">
        <v>0.17737700000000001</v>
      </c>
      <c r="R4215">
        <v>1.945369E-3</v>
      </c>
      <c r="S4215">
        <v>-3.0725709999999999</v>
      </c>
      <c r="T4215">
        <v>-0.13587249999999901</v>
      </c>
      <c r="U4215">
        <v>-0.56024169999999995</v>
      </c>
      <c r="V4215">
        <v>-5.8211060000000002E-2</v>
      </c>
      <c r="W4215">
        <v>0.18509120000000001</v>
      </c>
      <c r="X4215">
        <v>0.98099579999999997</v>
      </c>
      <c r="Y4215">
        <v>-0.23990600000000001</v>
      </c>
      <c r="Z4215">
        <v>-7.9864959999999992E-3</v>
      </c>
      <c r="AA4215">
        <v>0.9707633</v>
      </c>
      <c r="AB4215">
        <v>30</v>
      </c>
      <c r="AC4215">
        <v>-24.734199999999898</v>
      </c>
      <c r="AD4215">
        <v>-1.1074328310920001</v>
      </c>
      <c r="AE4215">
        <v>-4.5872999999999902</v>
      </c>
      <c r="AF4215">
        <v>-6.1042945333371899</v>
      </c>
      <c r="AG4215">
        <v>-1.1074328310920001</v>
      </c>
      <c r="AH4215">
        <v>24.3539700285436</v>
      </c>
      <c r="AI4215">
        <v>92.525561836289299</v>
      </c>
      <c r="AJ4215">
        <v>104.071227539375</v>
      </c>
      <c r="AK4215">
        <v>25.1317463654301</v>
      </c>
      <c r="AL4215">
        <v>79.333550611570502</v>
      </c>
      <c r="AM4215">
        <v>93.395877681117796</v>
      </c>
      <c r="AN4215">
        <v>1.0000000197207</v>
      </c>
    </row>
    <row r="4216" spans="1:40" x14ac:dyDescent="0.25">
      <c r="A4216" t="str">
        <f>"20190312172454970"</f>
        <v>20190312172454970</v>
      </c>
      <c r="B4216" t="str">
        <f>"1552382694964369"</f>
        <v>1552382694964369</v>
      </c>
      <c r="C4216" t="s">
        <v>40</v>
      </c>
      <c r="D4216">
        <v>3.756488</v>
      </c>
      <c r="E4216">
        <v>0.453069</v>
      </c>
      <c r="F4216" t="s">
        <v>43</v>
      </c>
      <c r="G4216">
        <v>-259.52550000000002</v>
      </c>
      <c r="H4216" s="1">
        <v>-1.039354E-6</v>
      </c>
      <c r="I4216">
        <v>136.26439999999999</v>
      </c>
      <c r="J4216">
        <v>-235.7722</v>
      </c>
      <c r="K4216">
        <v>1.1075079999999999</v>
      </c>
      <c r="L4216">
        <v>140.5703</v>
      </c>
      <c r="M4216">
        <v>-0.99786790000000003</v>
      </c>
      <c r="N4216">
        <v>0</v>
      </c>
      <c r="O4216">
        <v>6.482976E-2</v>
      </c>
      <c r="P4216">
        <v>-0.98414869999999999</v>
      </c>
      <c r="Q4216">
        <v>0.17725539999999901</v>
      </c>
      <c r="R4216">
        <v>5.6444529999999998E-3</v>
      </c>
      <c r="S4216">
        <v>-3.0749659999999999</v>
      </c>
      <c r="T4216">
        <v>-0.14158499999999999</v>
      </c>
      <c r="U4216">
        <v>-0.54777529999999997</v>
      </c>
      <c r="V4216">
        <v>-5.7179559999999997E-2</v>
      </c>
      <c r="W4216">
        <v>0.1849652</v>
      </c>
      <c r="X4216">
        <v>0.98108019999999996</v>
      </c>
      <c r="Y4216">
        <v>-0.23852470000000001</v>
      </c>
      <c r="Z4216">
        <v>-8.4086360000000006E-3</v>
      </c>
      <c r="AA4216">
        <v>0.97109999999999996</v>
      </c>
      <c r="AB4216">
        <v>30</v>
      </c>
      <c r="AC4216">
        <v>-23.753299999999999</v>
      </c>
      <c r="AD4216">
        <v>-1.1075090393539999</v>
      </c>
      <c r="AE4216">
        <v>-4.3059000000000003</v>
      </c>
      <c r="AF4216">
        <v>-5.8245464342010598</v>
      </c>
      <c r="AG4216">
        <v>-1.1075090393539999</v>
      </c>
      <c r="AH4216">
        <v>23.3749709154621</v>
      </c>
      <c r="AI4216">
        <v>92.632282279913994</v>
      </c>
      <c r="AJ4216">
        <v>103.99194957381</v>
      </c>
      <c r="AK4216">
        <v>24.115164994980098</v>
      </c>
      <c r="AL4216">
        <v>79.3408964359284</v>
      </c>
      <c r="AM4216">
        <v>93.335553514862198</v>
      </c>
      <c r="AN4216">
        <v>0.99999999306243603</v>
      </c>
    </row>
    <row r="4217" spans="1:40" x14ac:dyDescent="0.25">
      <c r="A4217" t="str">
        <f>"20190312172454992"</f>
        <v>20190312172454992</v>
      </c>
      <c r="B4217" t="str">
        <f>"1552382694984865"</f>
        <v>1552382694984865</v>
      </c>
      <c r="C4217" t="s">
        <v>40</v>
      </c>
      <c r="D4217">
        <v>3.9807619999999999</v>
      </c>
      <c r="E4217">
        <v>0.47296189999999999</v>
      </c>
      <c r="F4217" t="s">
        <v>43</v>
      </c>
      <c r="G4217">
        <v>-275.82929999999999</v>
      </c>
      <c r="H4217" s="1">
        <v>-2.4234329999999998E-6</v>
      </c>
      <c r="I4217">
        <v>135.941</v>
      </c>
      <c r="J4217">
        <v>-236.0718</v>
      </c>
      <c r="K4217">
        <v>1.10759599999999</v>
      </c>
      <c r="L4217">
        <v>140.5924</v>
      </c>
      <c r="M4217">
        <v>-0.99769909999999995</v>
      </c>
      <c r="N4217">
        <v>0</v>
      </c>
      <c r="O4217">
        <v>6.7375409999999997E-2</v>
      </c>
      <c r="P4217">
        <v>-0.98408079999999998</v>
      </c>
      <c r="Q4217">
        <v>0.17747769999999999</v>
      </c>
      <c r="R4217">
        <v>9.3276420000000006E-3</v>
      </c>
      <c r="S4217">
        <v>-3.065598</v>
      </c>
      <c r="T4217">
        <v>-8.4758760000000002E-2</v>
      </c>
      <c r="U4217">
        <v>-0.354278599999999</v>
      </c>
      <c r="V4217">
        <v>-5.6042759999999997E-2</v>
      </c>
      <c r="W4217">
        <v>0.1851816</v>
      </c>
      <c r="X4217">
        <v>0.981105</v>
      </c>
      <c r="Y4217">
        <v>-0.18137890000000001</v>
      </c>
      <c r="Z4217">
        <v>-4.3557170000000003E-3</v>
      </c>
      <c r="AA4217">
        <v>0.98340360000000004</v>
      </c>
      <c r="AB4217">
        <v>30</v>
      </c>
      <c r="AC4217">
        <v>-39.757499999999901</v>
      </c>
      <c r="AD4217">
        <v>-1.1075984234330001</v>
      </c>
      <c r="AE4217">
        <v>-4.65139999999999</v>
      </c>
      <c r="AF4217">
        <v>-7.3139844374796299</v>
      </c>
      <c r="AG4217">
        <v>-1.1075984234330001</v>
      </c>
      <c r="AH4217">
        <v>39.3236471634699</v>
      </c>
      <c r="AI4217">
        <v>91.586190073876395</v>
      </c>
      <c r="AJ4217">
        <v>100.536306655982</v>
      </c>
      <c r="AK4217">
        <v>40.013377373777899</v>
      </c>
      <c r="AL4217">
        <v>79.328279945111703</v>
      </c>
      <c r="AM4217">
        <v>93.269301452740393</v>
      </c>
      <c r="AN4217">
        <v>1.0000000184759801</v>
      </c>
    </row>
    <row r="4218" spans="1:40" x14ac:dyDescent="0.25">
      <c r="A4218" t="str">
        <f>"20190312172455014"</f>
        <v>20190312172455014</v>
      </c>
      <c r="B4218" t="str">
        <f>"1552382695004385"</f>
        <v>1552382695004385</v>
      </c>
      <c r="C4218" t="s">
        <v>40</v>
      </c>
      <c r="D4218">
        <v>3.8600669999999999</v>
      </c>
      <c r="E4218">
        <v>0.48389949999999998</v>
      </c>
      <c r="F4218" t="s">
        <v>43</v>
      </c>
      <c r="G4218">
        <v>-267.3073</v>
      </c>
      <c r="H4218" s="1">
        <v>-1.2972480000000001E-6</v>
      </c>
      <c r="I4218">
        <v>138.71549999999999</v>
      </c>
      <c r="J4218">
        <v>-236.37450000000001</v>
      </c>
      <c r="K4218">
        <v>1.1076900000000001</v>
      </c>
      <c r="L4218">
        <v>140.61539999999999</v>
      </c>
      <c r="M4218">
        <v>-0.99753210000000003</v>
      </c>
      <c r="N4218">
        <v>0</v>
      </c>
      <c r="O4218">
        <v>6.9804190000000002E-2</v>
      </c>
      <c r="P4218">
        <v>-0.98399250000000005</v>
      </c>
      <c r="Q4218">
        <v>0.17778279999999999</v>
      </c>
      <c r="R4218">
        <v>1.233304E-2</v>
      </c>
      <c r="S4218">
        <v>-3.0699010000000002</v>
      </c>
      <c r="T4218">
        <v>-0.1088576</v>
      </c>
      <c r="U4218">
        <v>-0.1844635</v>
      </c>
      <c r="V4218">
        <v>-5.5468780000000002E-2</v>
      </c>
      <c r="W4218">
        <v>0.18548249999999999</v>
      </c>
      <c r="X4218">
        <v>0.98108079999999998</v>
      </c>
      <c r="Y4218">
        <v>-0.129389</v>
      </c>
      <c r="Z4218">
        <v>-4.7633440000000001E-3</v>
      </c>
      <c r="AA4218">
        <v>0.99158250000000003</v>
      </c>
      <c r="AB4218">
        <v>30</v>
      </c>
      <c r="AC4218">
        <v>-30.932799999999901</v>
      </c>
      <c r="AD4218">
        <v>-1.107691297248</v>
      </c>
      <c r="AE4218">
        <v>-1.8998999999999999</v>
      </c>
      <c r="AF4218">
        <v>-4.04939288011792</v>
      </c>
      <c r="AG4218">
        <v>-1.107691297248</v>
      </c>
      <c r="AH4218">
        <v>30.685515924732499</v>
      </c>
      <c r="AI4218">
        <v>92.049621461751101</v>
      </c>
      <c r="AJ4218">
        <v>97.517560346867</v>
      </c>
      <c r="AK4218">
        <v>30.9713650050262</v>
      </c>
      <c r="AL4218">
        <v>79.310735938172101</v>
      </c>
      <c r="AM4218">
        <v>93.235969018556801</v>
      </c>
      <c r="AN4218">
        <v>1.0000000397447799</v>
      </c>
    </row>
    <row r="4219" spans="1:40" x14ac:dyDescent="0.25">
      <c r="A4219" t="str">
        <f>"20190312172455035"</f>
        <v>20190312172455035</v>
      </c>
      <c r="B4219" t="str">
        <f>"1552382695024881"</f>
        <v>1552382695024881</v>
      </c>
      <c r="C4219" t="s">
        <v>40</v>
      </c>
      <c r="D4219">
        <v>3.9019330000000001</v>
      </c>
      <c r="E4219">
        <v>0.48926140000000001</v>
      </c>
      <c r="F4219" t="s">
        <v>43</v>
      </c>
      <c r="G4219">
        <v>-265.93729999999999</v>
      </c>
      <c r="H4219" s="1">
        <v>-1.7675550000000001E-6</v>
      </c>
      <c r="I4219">
        <v>139.77549999999999</v>
      </c>
      <c r="J4219">
        <v>-236.6634</v>
      </c>
      <c r="K4219">
        <v>1.1077840000000001</v>
      </c>
      <c r="L4219">
        <v>140.6379</v>
      </c>
      <c r="M4219">
        <v>-0.99737730000000002</v>
      </c>
      <c r="N4219">
        <v>0</v>
      </c>
      <c r="O4219">
        <v>7.1981820000000002E-2</v>
      </c>
      <c r="P4219">
        <v>-0.98399099999999995</v>
      </c>
      <c r="Q4219">
        <v>0.1776462</v>
      </c>
      <c r="R4219">
        <v>1.4273879999999999E-2</v>
      </c>
      <c r="S4219">
        <v>-3.0706630000000001</v>
      </c>
      <c r="T4219">
        <v>-0.11505509999999999</v>
      </c>
      <c r="U4219">
        <v>-8.7234500000000006E-2</v>
      </c>
      <c r="V4219">
        <v>-5.5720560000000002E-2</v>
      </c>
      <c r="W4219">
        <v>0.1853438</v>
      </c>
      <c r="X4219">
        <v>0.98109270000000004</v>
      </c>
      <c r="Y4219">
        <v>-0.100158</v>
      </c>
      <c r="Z4219">
        <v>-4.5700030000000004E-3</v>
      </c>
      <c r="AA4219">
        <v>0.99496099999999998</v>
      </c>
      <c r="AB4219">
        <v>30</v>
      </c>
      <c r="AC4219">
        <v>-29.273900000000001</v>
      </c>
      <c r="AD4219">
        <v>-1.107785767555</v>
      </c>
      <c r="AE4219">
        <v>-0.86240000000000705</v>
      </c>
      <c r="AF4219">
        <v>-2.9631719080023</v>
      </c>
      <c r="AG4219">
        <v>-1.107785767555</v>
      </c>
      <c r="AH4219">
        <v>29.094251083200302</v>
      </c>
      <c r="AI4219">
        <v>92.169315902254596</v>
      </c>
      <c r="AJ4219">
        <v>95.815370334138606</v>
      </c>
      <c r="AK4219">
        <v>29.2657312082831</v>
      </c>
      <c r="AL4219">
        <v>79.318822610207405</v>
      </c>
      <c r="AM4219">
        <v>93.2505867310946</v>
      </c>
      <c r="AN4219">
        <v>0.99999999549922103</v>
      </c>
    </row>
    <row r="4220" spans="1:40" x14ac:dyDescent="0.25">
      <c r="A4220" t="str">
        <f>"20190312172455068"</f>
        <v>20190312172455068</v>
      </c>
      <c r="B4220" t="str">
        <f>"1552382695064897"</f>
        <v>1552382695064897</v>
      </c>
      <c r="C4220" t="s">
        <v>40</v>
      </c>
      <c r="D4220">
        <v>3.8094999999999999</v>
      </c>
      <c r="E4220">
        <v>0.49458269999999999</v>
      </c>
      <c r="F4220" t="s">
        <v>43</v>
      </c>
      <c r="G4220">
        <v>-263.41039999999998</v>
      </c>
      <c r="H4220" s="1">
        <v>-2.993715E-6</v>
      </c>
      <c r="I4220">
        <v>140.30959999999999</v>
      </c>
      <c r="J4220">
        <v>-237.09979999999999</v>
      </c>
      <c r="K4220">
        <v>1.1079380000000001</v>
      </c>
      <c r="L4220">
        <v>140.67269999999999</v>
      </c>
      <c r="M4220">
        <v>-0.9971544</v>
      </c>
      <c r="N4220">
        <v>0</v>
      </c>
      <c r="O4220">
        <v>7.5005390000000005E-2</v>
      </c>
      <c r="P4220">
        <v>-0.9838384</v>
      </c>
      <c r="Q4220">
        <v>0.17838770000000001</v>
      </c>
      <c r="R4220">
        <v>1.5496009999999999E-2</v>
      </c>
      <c r="S4220">
        <v>-3.072327</v>
      </c>
      <c r="T4220">
        <v>-0.12724750000000001</v>
      </c>
      <c r="U4220">
        <v>-3.7704469999999997E-2</v>
      </c>
      <c r="V4220">
        <v>-5.7535759999999998E-2</v>
      </c>
      <c r="W4220">
        <v>0.18609020000000001</v>
      </c>
      <c r="X4220">
        <v>0.98084660000000001</v>
      </c>
      <c r="Y4220">
        <v>-8.7099789999999996E-2</v>
      </c>
      <c r="Z4220">
        <v>-4.9062059999999998E-3</v>
      </c>
      <c r="AA4220">
        <v>0.9961875</v>
      </c>
      <c r="AB4220">
        <v>30</v>
      </c>
      <c r="AC4220">
        <v>-26.310599999999901</v>
      </c>
      <c r="AD4220">
        <v>-1.10794099371499</v>
      </c>
      <c r="AE4220">
        <v>-0.36310000000000198</v>
      </c>
      <c r="AF4220">
        <v>-2.3314370343261102</v>
      </c>
      <c r="AG4220">
        <v>-1.10794099371499</v>
      </c>
      <c r="AH4220">
        <v>26.1628622743706</v>
      </c>
      <c r="AI4220">
        <v>92.415344471673194</v>
      </c>
      <c r="AJ4220">
        <v>95.092316907112405</v>
      </c>
      <c r="AK4220">
        <v>26.289893386589899</v>
      </c>
      <c r="AL4220">
        <v>79.275299820784099</v>
      </c>
      <c r="AM4220">
        <v>93.357082497063601</v>
      </c>
      <c r="AN4220">
        <v>0.99999998947318802</v>
      </c>
    </row>
    <row r="4221" spans="1:40" x14ac:dyDescent="0.25">
      <c r="A4221" t="str">
        <f>"20190312172455092"</f>
        <v>20190312172455092</v>
      </c>
      <c r="B4221" t="str">
        <f>"1552382695084418"</f>
        <v>1552382695084418</v>
      </c>
      <c r="C4221" t="s">
        <v>40</v>
      </c>
      <c r="D4221">
        <v>3.8094540000000001</v>
      </c>
      <c r="E4221">
        <v>0.49578280000000002</v>
      </c>
      <c r="F4221" t="s">
        <v>43</v>
      </c>
      <c r="G4221">
        <v>-260.73790000000002</v>
      </c>
      <c r="H4221" s="1">
        <v>-4.224677E-6</v>
      </c>
      <c r="I4221">
        <v>140.7423</v>
      </c>
      <c r="J4221">
        <v>-237.41820000000001</v>
      </c>
      <c r="K4221">
        <v>1.10806</v>
      </c>
      <c r="L4221">
        <v>140.69880000000001</v>
      </c>
      <c r="M4221">
        <v>-0.99700029999999995</v>
      </c>
      <c r="N4221">
        <v>0</v>
      </c>
      <c r="O4221">
        <v>7.7022549999999995E-2</v>
      </c>
      <c r="P4221">
        <v>-0.98365020000000003</v>
      </c>
      <c r="Q4221">
        <v>0.1793092</v>
      </c>
      <c r="R4221">
        <v>1.6744459999999999E-2</v>
      </c>
      <c r="S4221">
        <v>-3.0752410000000001</v>
      </c>
      <c r="T4221">
        <v>-0.1441402</v>
      </c>
      <c r="U4221">
        <v>9.0637210000000003E-3</v>
      </c>
      <c r="V4221">
        <v>-5.8312000000000003E-2</v>
      </c>
      <c r="W4221">
        <v>0.1870154</v>
      </c>
      <c r="X4221">
        <v>0.98062479999999996</v>
      </c>
      <c r="Y4221">
        <v>-7.3920319999999998E-2</v>
      </c>
      <c r="Z4221">
        <v>-5.3368799999999996E-3</v>
      </c>
      <c r="AA4221">
        <v>0.99724979999999996</v>
      </c>
      <c r="AB4221">
        <v>30</v>
      </c>
      <c r="AC4221">
        <v>-23.319700000000001</v>
      </c>
      <c r="AD4221">
        <v>-1.1080642246770001</v>
      </c>
      <c r="AE4221">
        <v>4.3499999999994501E-2</v>
      </c>
      <c r="AF4221">
        <v>-1.74887543284227</v>
      </c>
      <c r="AG4221">
        <v>-1.1080642246770001</v>
      </c>
      <c r="AH4221">
        <v>23.201388187105401</v>
      </c>
      <c r="AI4221">
        <v>92.726561424252594</v>
      </c>
      <c r="AJ4221">
        <v>94.310692313715904</v>
      </c>
      <c r="AK4221">
        <v>23.293578201177301</v>
      </c>
      <c r="AL4221">
        <v>79.221342913500607</v>
      </c>
      <c r="AM4221">
        <v>93.403036396234398</v>
      </c>
      <c r="AN4221">
        <v>1.0000000237780899</v>
      </c>
    </row>
    <row r="4222" spans="1:40" x14ac:dyDescent="0.25">
      <c r="A4222" t="str">
        <f>"20190312172455114"</f>
        <v>20190312172455114</v>
      </c>
      <c r="B4222" t="str">
        <f>"1552382695104916"</f>
        <v>1552382695104916</v>
      </c>
      <c r="C4222" t="s">
        <v>40</v>
      </c>
      <c r="D4222">
        <v>3.765266</v>
      </c>
      <c r="E4222">
        <v>0.496363</v>
      </c>
      <c r="F4222" t="s">
        <v>43</v>
      </c>
      <c r="G4222">
        <v>-261.59620000000001</v>
      </c>
      <c r="H4222" s="1">
        <v>-3.9207740000000004E-6</v>
      </c>
      <c r="I4222">
        <v>140.86859999999999</v>
      </c>
      <c r="J4222">
        <v>-237.7304</v>
      </c>
      <c r="K4222">
        <v>1.1081700000000001</v>
      </c>
      <c r="L4222">
        <v>140.72489999999999</v>
      </c>
      <c r="M4222">
        <v>-0.99685670000000004</v>
      </c>
      <c r="N4222">
        <v>0</v>
      </c>
      <c r="O4222">
        <v>7.8858209999999998E-2</v>
      </c>
      <c r="P4222">
        <v>-0.98373449999999996</v>
      </c>
      <c r="Q4222">
        <v>0.178809</v>
      </c>
      <c r="R4222">
        <v>1.7143519999999999E-2</v>
      </c>
      <c r="S4222">
        <v>-3.0751949999999999</v>
      </c>
      <c r="T4222">
        <v>-0.14093520000000001</v>
      </c>
      <c r="U4222">
        <v>2.1606449999999999E-2</v>
      </c>
      <c r="V4222">
        <v>-5.9779800000000001E-2</v>
      </c>
      <c r="W4222">
        <v>0.186524</v>
      </c>
      <c r="X4222">
        <v>0.98063</v>
      </c>
      <c r="Y4222">
        <v>-7.1696700000000002E-2</v>
      </c>
      <c r="Z4222">
        <v>-5.2511779999999996E-3</v>
      </c>
      <c r="AA4222">
        <v>0.99741270000000004</v>
      </c>
      <c r="AB4222">
        <v>30</v>
      </c>
      <c r="AC4222">
        <v>-23.8658</v>
      </c>
      <c r="AD4222">
        <v>-1.108173920774</v>
      </c>
      <c r="AE4222">
        <v>0.143699999999995</v>
      </c>
      <c r="AF4222">
        <v>-1.7350756582786899</v>
      </c>
      <c r="AG4222">
        <v>-1.108173920774</v>
      </c>
      <c r="AH4222">
        <v>23.751597696840701</v>
      </c>
      <c r="AI4222">
        <v>92.664212442147004</v>
      </c>
      <c r="AJ4222">
        <v>94.178086946383402</v>
      </c>
      <c r="AK4222">
        <v>23.840657082622599</v>
      </c>
      <c r="AL4222">
        <v>79.250002230342403</v>
      </c>
      <c r="AM4222">
        <v>93.488468492097098</v>
      </c>
      <c r="AN4222">
        <v>1.00000001198202</v>
      </c>
    </row>
    <row r="4223" spans="1:40" x14ac:dyDescent="0.25">
      <c r="A4223" t="str">
        <f>"20190312172455247"</f>
        <v>20190312172455247</v>
      </c>
      <c r="B4223" t="str">
        <f>"1552382695244481"</f>
        <v>1552382695244481</v>
      </c>
      <c r="C4223" t="s">
        <v>40</v>
      </c>
      <c r="D4223">
        <v>3.720237</v>
      </c>
      <c r="E4223">
        <v>0.51842250000000001</v>
      </c>
      <c r="F4223" t="s">
        <v>43</v>
      </c>
      <c r="G4223">
        <v>-261.78489999999999</v>
      </c>
      <c r="H4223" s="1">
        <v>-3.8598179999999999E-6</v>
      </c>
      <c r="I4223">
        <v>140.94380000000001</v>
      </c>
      <c r="J4223">
        <v>-239.5513</v>
      </c>
      <c r="K4223">
        <v>1.1089519999999999</v>
      </c>
      <c r="L4223">
        <v>140.88290000000001</v>
      </c>
      <c r="M4223">
        <v>-0.99627290000000002</v>
      </c>
      <c r="N4223">
        <v>0</v>
      </c>
      <c r="O4223">
        <v>8.591269E-2</v>
      </c>
      <c r="P4223">
        <v>-0.98464700000000005</v>
      </c>
      <c r="Q4223">
        <v>0.17320629999999901</v>
      </c>
      <c r="R4223">
        <v>2.1684060000000002E-2</v>
      </c>
      <c r="S4223">
        <v>-3.074875</v>
      </c>
      <c r="T4223">
        <v>-0.1416578</v>
      </c>
      <c r="U4223">
        <v>2.7999880000000001E-2</v>
      </c>
      <c r="V4223">
        <v>-6.2661880000000003E-2</v>
      </c>
      <c r="W4223">
        <v>0.18090400000000001</v>
      </c>
      <c r="X4223">
        <v>0.98150250000000006</v>
      </c>
      <c r="Y4223">
        <v>-7.6667490000000005E-2</v>
      </c>
      <c r="Z4223">
        <v>-5.7168799999999997E-3</v>
      </c>
      <c r="AA4223">
        <v>0.99704029999999999</v>
      </c>
      <c r="AB4223">
        <v>31</v>
      </c>
      <c r="AC4223">
        <v>-22.233599999999999</v>
      </c>
      <c r="AD4223">
        <v>-1.108955859818</v>
      </c>
      <c r="AE4223">
        <v>6.0900000000003701E-2</v>
      </c>
      <c r="AF4223">
        <v>-1.8449404816005901</v>
      </c>
      <c r="AG4223">
        <v>-1.108955859818</v>
      </c>
      <c r="AH4223">
        <v>22.101639169942999</v>
      </c>
      <c r="AI4223">
        <v>92.862483596724999</v>
      </c>
      <c r="AJ4223">
        <v>94.771718357287497</v>
      </c>
      <c r="AK4223">
        <v>22.206216302603899</v>
      </c>
      <c r="AL4223">
        <v>79.577579942260996</v>
      </c>
      <c r="AM4223">
        <v>93.652966039812</v>
      </c>
      <c r="AN4223">
        <v>0.99999996296369098</v>
      </c>
    </row>
    <row r="4224" spans="1:40" x14ac:dyDescent="0.25">
      <c r="A4224" t="str">
        <f>"20190312172455269"</f>
        <v>20190312172455269</v>
      </c>
      <c r="B4224" t="str">
        <f>"1552382695264977"</f>
        <v>1552382695264977</v>
      </c>
      <c r="C4224" t="s">
        <v>40</v>
      </c>
      <c r="D4224">
        <v>3.7100029999999999</v>
      </c>
      <c r="E4224">
        <v>0.53029759999999904</v>
      </c>
      <c r="F4224" t="s">
        <v>41</v>
      </c>
      <c r="G4224">
        <v>-240.4332</v>
      </c>
      <c r="H4224">
        <v>0.9566808</v>
      </c>
      <c r="I4224">
        <v>140.9468</v>
      </c>
      <c r="J4224">
        <v>-239.8544</v>
      </c>
      <c r="K4224">
        <v>1.109108</v>
      </c>
      <c r="L4224">
        <v>140.90960000000001</v>
      </c>
      <c r="M4224">
        <v>-0.99622929999999998</v>
      </c>
      <c r="N4224">
        <v>0</v>
      </c>
      <c r="O4224">
        <v>8.6415420000000007E-2</v>
      </c>
      <c r="P4224">
        <v>-0.98451509999999998</v>
      </c>
      <c r="Q4224">
        <v>0.1739019</v>
      </c>
      <c r="R4224">
        <v>2.210032E-2</v>
      </c>
      <c r="S4224">
        <v>-3.137054</v>
      </c>
      <c r="T4224">
        <v>-0.54168130000000003</v>
      </c>
      <c r="U4224">
        <v>0.2271881</v>
      </c>
      <c r="V4224">
        <v>-6.2798909999999999E-2</v>
      </c>
      <c r="W4224">
        <v>0.18158820000000001</v>
      </c>
      <c r="X4224">
        <v>0.9813674</v>
      </c>
      <c r="Y4224">
        <v>-1.277522E-2</v>
      </c>
      <c r="Z4224">
        <v>-1.5861460000000001E-2</v>
      </c>
      <c r="AA4224">
        <v>0.99979260000000003</v>
      </c>
      <c r="AB4224">
        <v>31</v>
      </c>
      <c r="AC4224">
        <v>-0.57880000000000098</v>
      </c>
      <c r="AD4224">
        <v>-0.15242719999999901</v>
      </c>
      <c r="AE4224">
        <v>3.7199999999984301E-2</v>
      </c>
      <c r="AF4224">
        <v>-1.21207440114898E-2</v>
      </c>
      <c r="AG4224">
        <v>-0.15242719999999901</v>
      </c>
      <c r="AH4224">
        <v>0.54238773856630096</v>
      </c>
      <c r="AI4224">
        <v>105.69322859818</v>
      </c>
      <c r="AJ4224">
        <v>91.280176262420895</v>
      </c>
      <c r="AK4224">
        <v>0.56352943373199005</v>
      </c>
      <c r="AL4224">
        <v>79.537718098383195</v>
      </c>
      <c r="AM4224">
        <v>93.6614353150093</v>
      </c>
      <c r="AN4224">
        <v>0.99999997562959297</v>
      </c>
    </row>
    <row r="4225" spans="1:40" x14ac:dyDescent="0.25">
      <c r="A4225" t="str">
        <f>"20190312172455292"</f>
        <v>20190312172455292</v>
      </c>
      <c r="B4225" t="str">
        <f>"1552382695284497"</f>
        <v>1552382695284497</v>
      </c>
      <c r="C4225" t="s">
        <v>40</v>
      </c>
      <c r="D4225">
        <v>3.706277</v>
      </c>
      <c r="E4225">
        <v>0.53052200000000005</v>
      </c>
      <c r="F4225" t="s">
        <v>43</v>
      </c>
      <c r="G4225">
        <v>-329.87880000000001</v>
      </c>
      <c r="H4225">
        <v>7.9986840000000003E-2</v>
      </c>
      <c r="I4225">
        <v>150.233</v>
      </c>
      <c r="J4225">
        <v>-240.17429999999999</v>
      </c>
      <c r="K4225">
        <v>1.1092839999999999</v>
      </c>
      <c r="L4225">
        <v>140.93780000000001</v>
      </c>
      <c r="M4225">
        <v>-0.99620339999999996</v>
      </c>
      <c r="N4225">
        <v>0</v>
      </c>
      <c r="O4225">
        <v>8.6711849999999993E-2</v>
      </c>
      <c r="P4225">
        <v>-0.98439580000000004</v>
      </c>
      <c r="Q4225">
        <v>0.17452699999999999</v>
      </c>
      <c r="R4225">
        <v>2.2482329999999998E-2</v>
      </c>
      <c r="S4225">
        <v>-3.046265</v>
      </c>
      <c r="T4225">
        <v>-3.4823659999999999E-2</v>
      </c>
      <c r="U4225">
        <v>0.31549070000000001</v>
      </c>
      <c r="V4225">
        <v>-6.2777680000000002E-2</v>
      </c>
      <c r="W4225">
        <v>0.1821982</v>
      </c>
      <c r="X4225">
        <v>0.98125569999999895</v>
      </c>
      <c r="Y4225">
        <v>1.6378799999999999E-2</v>
      </c>
      <c r="Z4225">
        <v>-8.9320610000000005E-4</v>
      </c>
      <c r="AA4225">
        <v>0.99986549999999996</v>
      </c>
      <c r="AB4225">
        <v>31</v>
      </c>
      <c r="AC4225">
        <v>-89.704499999999996</v>
      </c>
      <c r="AD4225">
        <v>-1.02929716</v>
      </c>
      <c r="AE4225">
        <v>9.2951999999999906</v>
      </c>
      <c r="AF4225">
        <v>1.4813180653195099</v>
      </c>
      <c r="AG4225">
        <v>-1.02929716</v>
      </c>
      <c r="AH4225">
        <v>90.160885470013</v>
      </c>
      <c r="AI4225">
        <v>90.653984973415604</v>
      </c>
      <c r="AJ4225">
        <v>89.058731097432698</v>
      </c>
      <c r="AK4225">
        <v>90.178927830125801</v>
      </c>
      <c r="AL4225">
        <v>79.502174846925101</v>
      </c>
      <c r="AM4225">
        <v>93.660616405424904</v>
      </c>
      <c r="AN4225">
        <v>0.99999998498595499</v>
      </c>
    </row>
    <row r="4226" spans="1:40" x14ac:dyDescent="0.25">
      <c r="A4226" t="str">
        <f>"20190312172455315"</f>
        <v>20190312172455315</v>
      </c>
      <c r="B4226" t="str">
        <f>"1552382695304993"</f>
        <v>1552382695304993</v>
      </c>
      <c r="C4226" t="s">
        <v>40</v>
      </c>
      <c r="D4226">
        <v>3.7269489999999998</v>
      </c>
      <c r="E4226">
        <v>0.53089739999999996</v>
      </c>
      <c r="F4226" t="s">
        <v>49</v>
      </c>
      <c r="G4226">
        <v>-293.79480000000001</v>
      </c>
      <c r="H4226" s="1">
        <v>-1.044417E-5</v>
      </c>
      <c r="I4226">
        <v>146.52340000000001</v>
      </c>
      <c r="J4226">
        <v>-240.49170000000001</v>
      </c>
      <c r="K4226">
        <v>1.109478</v>
      </c>
      <c r="L4226">
        <v>140.96549999999999</v>
      </c>
      <c r="M4226">
        <v>-0.99620050000000004</v>
      </c>
      <c r="N4226">
        <v>0</v>
      </c>
      <c r="O4226">
        <v>8.6744450000000001E-2</v>
      </c>
      <c r="P4226">
        <v>-0.98447850000000003</v>
      </c>
      <c r="Q4226">
        <v>0.1741616</v>
      </c>
      <c r="R4226">
        <v>2.1682460000000001E-2</v>
      </c>
      <c r="S4226">
        <v>-3.0514679999999998</v>
      </c>
      <c r="T4226">
        <v>-6.312835E-2</v>
      </c>
      <c r="U4226">
        <v>0.31787110000000002</v>
      </c>
      <c r="V4226">
        <v>-6.3701649999999999E-2</v>
      </c>
      <c r="W4226">
        <v>0.18181659999999999</v>
      </c>
      <c r="X4226">
        <v>0.981267</v>
      </c>
      <c r="Y4226">
        <v>1.6953220000000001E-2</v>
      </c>
      <c r="Z4226">
        <v>-1.611007E-3</v>
      </c>
      <c r="AA4226">
        <v>0.99985500000000005</v>
      </c>
      <c r="AB4226">
        <v>31</v>
      </c>
      <c r="AC4226">
        <v>-53.303100000000001</v>
      </c>
      <c r="AD4226">
        <v>-1.1094884441699999</v>
      </c>
      <c r="AE4226">
        <v>5.5579000000000098</v>
      </c>
      <c r="AF4226">
        <v>0.91267087834775096</v>
      </c>
      <c r="AG4226">
        <v>-1.1094884441699999</v>
      </c>
      <c r="AH4226">
        <v>53.561342463704896</v>
      </c>
      <c r="AI4226">
        <v>91.186502984982297</v>
      </c>
      <c r="AJ4226">
        <v>89.023789792501006</v>
      </c>
      <c r="AK4226">
        <v>53.5806059993185</v>
      </c>
      <c r="AL4226">
        <v>79.524411009176504</v>
      </c>
      <c r="AM4226">
        <v>93.714301442025501</v>
      </c>
      <c r="AN4226">
        <v>1.00000005076864</v>
      </c>
    </row>
    <row r="4227" spans="1:40" x14ac:dyDescent="0.25">
      <c r="A4227" t="str">
        <f>"20190312172455338"</f>
        <v>20190312172455338</v>
      </c>
      <c r="B4227" t="str">
        <f>"1552382695334273"</f>
        <v>1552382695334273</v>
      </c>
      <c r="C4227" t="s">
        <v>40</v>
      </c>
      <c r="D4227">
        <v>3.7183009999999999</v>
      </c>
      <c r="E4227">
        <v>0.53099010000000002</v>
      </c>
      <c r="F4227" t="s">
        <v>49</v>
      </c>
      <c r="G4227">
        <v>-292.2013</v>
      </c>
      <c r="H4227" s="1">
        <v>-1.055692E-5</v>
      </c>
      <c r="I4227">
        <v>146.36539999999999</v>
      </c>
      <c r="J4227">
        <v>-240.8004</v>
      </c>
      <c r="K4227">
        <v>1.109699</v>
      </c>
      <c r="L4227">
        <v>140.9923</v>
      </c>
      <c r="M4227">
        <v>-0.99622180000000005</v>
      </c>
      <c r="N4227">
        <v>0</v>
      </c>
      <c r="O4227">
        <v>8.6496069999999994E-2</v>
      </c>
      <c r="P4227">
        <v>-0.98471869999999995</v>
      </c>
      <c r="Q4227">
        <v>0.17299719999999999</v>
      </c>
      <c r="R4227">
        <v>2.0020090000000001E-2</v>
      </c>
      <c r="S4227">
        <v>-3.0518649999999998</v>
      </c>
      <c r="T4227">
        <v>-6.5481310000000001E-2</v>
      </c>
      <c r="U4227">
        <v>0.31869509999999901</v>
      </c>
      <c r="V4227">
        <v>-6.5230200000000002E-2</v>
      </c>
      <c r="W4227">
        <v>0.18063199999999999</v>
      </c>
      <c r="X4227">
        <v>0.98138530000000002</v>
      </c>
      <c r="Y4227">
        <v>1.745708E-2</v>
      </c>
      <c r="Z4227">
        <v>-1.6601179999999999E-3</v>
      </c>
      <c r="AA4227">
        <v>0.99984620000000002</v>
      </c>
      <c r="AB4227">
        <v>31</v>
      </c>
      <c r="AC4227">
        <v>-51.4009</v>
      </c>
      <c r="AD4227">
        <v>-1.10970955692</v>
      </c>
      <c r="AE4227">
        <v>5.3730999999999902</v>
      </c>
      <c r="AF4227">
        <v>0.90643304684040304</v>
      </c>
      <c r="AG4227">
        <v>-1.10970955692</v>
      </c>
      <c r="AH4227">
        <v>51.6492003348312</v>
      </c>
      <c r="AI4227">
        <v>91.230650388793705</v>
      </c>
      <c r="AJ4227">
        <v>88.994573841389098</v>
      </c>
      <c r="AK4227">
        <v>51.669071710227698</v>
      </c>
      <c r="AL4227">
        <v>79.593425855858101</v>
      </c>
      <c r="AM4227">
        <v>93.802712173540598</v>
      </c>
      <c r="AN4227">
        <v>1.00000000273606</v>
      </c>
    </row>
    <row r="4228" spans="1:40" x14ac:dyDescent="0.25">
      <c r="A4228" t="str">
        <f>"20190312172455361"</f>
        <v>20190312172455361</v>
      </c>
      <c r="B4228" t="str">
        <f>"1552382695354770"</f>
        <v>1552382695354770</v>
      </c>
      <c r="C4228" t="s">
        <v>40</v>
      </c>
      <c r="D4228">
        <v>3.7348219999999999</v>
      </c>
      <c r="E4228">
        <v>0.53077189999999996</v>
      </c>
      <c r="F4228" t="s">
        <v>43</v>
      </c>
      <c r="G4228">
        <v>-278.85520000000002</v>
      </c>
      <c r="H4228" s="1">
        <v>-1.885938E-6</v>
      </c>
      <c r="I4228">
        <v>144.9247</v>
      </c>
      <c r="J4228">
        <v>-241.12780000000001</v>
      </c>
      <c r="K4228">
        <v>1.1099490000000001</v>
      </c>
      <c r="L4228">
        <v>141.02029999999999</v>
      </c>
      <c r="M4228">
        <v>-0.99627259999999995</v>
      </c>
      <c r="N4228">
        <v>0</v>
      </c>
      <c r="O4228">
        <v>8.5908650000000003E-2</v>
      </c>
      <c r="P4228">
        <v>-0.98480579999999995</v>
      </c>
      <c r="Q4228">
        <v>0.1726589</v>
      </c>
      <c r="R4228">
        <v>1.8618929999999999E-2</v>
      </c>
      <c r="S4228">
        <v>-3.0557859999999999</v>
      </c>
      <c r="T4228">
        <v>-8.9108709999999994E-2</v>
      </c>
      <c r="U4228">
        <v>0.31578060000000002</v>
      </c>
      <c r="V4228">
        <v>-6.6167299999999998E-2</v>
      </c>
      <c r="W4228">
        <v>0.1802676</v>
      </c>
      <c r="X4228">
        <v>0.98138959999999997</v>
      </c>
      <c r="Y4228">
        <v>1.6983850000000002E-2</v>
      </c>
      <c r="Z4228">
        <v>-2.2460560000000002E-3</v>
      </c>
      <c r="AA4228">
        <v>0.99985329999999994</v>
      </c>
      <c r="AB4228">
        <v>31</v>
      </c>
      <c r="AC4228">
        <v>-37.727400000000003</v>
      </c>
      <c r="AD4228">
        <v>-1.1099508859379901</v>
      </c>
      <c r="AE4228">
        <v>3.9043999999999999</v>
      </c>
      <c r="AF4228">
        <v>0.64820129096884804</v>
      </c>
      <c r="AG4228">
        <v>-1.1099508859379901</v>
      </c>
      <c r="AH4228">
        <v>37.890896859531502</v>
      </c>
      <c r="AI4228">
        <v>91.677659538472398</v>
      </c>
      <c r="AJ4228">
        <v>89.019934099740098</v>
      </c>
      <c r="AK4228">
        <v>37.912692079334903</v>
      </c>
      <c r="AL4228">
        <v>79.614653215713403</v>
      </c>
      <c r="AM4228">
        <v>93.857161513916196</v>
      </c>
      <c r="AN4228">
        <v>1.0000000330936001</v>
      </c>
    </row>
    <row r="4229" spans="1:40" x14ac:dyDescent="0.25">
      <c r="A4229" t="str">
        <f>"20190312172455384"</f>
        <v>20190312172455384</v>
      </c>
      <c r="B4229" t="str">
        <f>"1552382695374289"</f>
        <v>1552382695374289</v>
      </c>
      <c r="C4229" t="s">
        <v>40</v>
      </c>
      <c r="D4229">
        <v>3.7388889999999999</v>
      </c>
      <c r="E4229">
        <v>0.53082779999999996</v>
      </c>
      <c r="F4229" t="s">
        <v>43</v>
      </c>
      <c r="G4229">
        <v>-275.3313</v>
      </c>
      <c r="H4229" s="1">
        <v>-3.2818110000000002E-6</v>
      </c>
      <c r="I4229">
        <v>144.48929999999999</v>
      </c>
      <c r="J4229">
        <v>-241.44380000000001</v>
      </c>
      <c r="K4229">
        <v>1.1102190000000001</v>
      </c>
      <c r="L4229">
        <v>141.04669999999999</v>
      </c>
      <c r="M4229">
        <v>-0.99635280000000004</v>
      </c>
      <c r="N4229">
        <v>0</v>
      </c>
      <c r="O4229">
        <v>8.4971640000000001E-2</v>
      </c>
      <c r="P4229">
        <v>-0.98470880000000005</v>
      </c>
      <c r="Q4229">
        <v>0.17326559999999999</v>
      </c>
      <c r="R4229">
        <v>1.810173E-2</v>
      </c>
      <c r="S4229">
        <v>-3.0577999999999999</v>
      </c>
      <c r="T4229">
        <v>-9.9230289999999999E-2</v>
      </c>
      <c r="U4229">
        <v>0.31013489999999999</v>
      </c>
      <c r="V4229">
        <v>-6.58696E-2</v>
      </c>
      <c r="W4229">
        <v>0.18084539999999999</v>
      </c>
      <c r="X4229">
        <v>0.98130329999999999</v>
      </c>
      <c r="Y4229">
        <v>1.60368E-2</v>
      </c>
      <c r="Z4229">
        <v>-2.4848549999999998E-3</v>
      </c>
      <c r="AA4229">
        <v>0.99986830000000004</v>
      </c>
      <c r="AB4229">
        <v>31</v>
      </c>
      <c r="AC4229">
        <v>-33.887499999999903</v>
      </c>
      <c r="AD4229">
        <v>-1.1102222818109999</v>
      </c>
      <c r="AE4229">
        <v>3.4425999999999899</v>
      </c>
      <c r="AF4229">
        <v>0.55000015774287703</v>
      </c>
      <c r="AG4229">
        <v>-1.1102222818109999</v>
      </c>
      <c r="AH4229">
        <v>34.021322530345103</v>
      </c>
      <c r="AI4229">
        <v>91.868833384013101</v>
      </c>
      <c r="AJ4229">
        <v>89.073817812711098</v>
      </c>
      <c r="AK4229">
        <v>34.043875813460403</v>
      </c>
      <c r="AL4229">
        <v>79.580994328013801</v>
      </c>
      <c r="AM4229">
        <v>93.840196084664996</v>
      </c>
      <c r="AN4229">
        <v>1.0000000147481001</v>
      </c>
    </row>
    <row r="4230" spans="1:40" x14ac:dyDescent="0.25">
      <c r="A4230" t="str">
        <f>"20190312172455405"</f>
        <v>20190312172455405</v>
      </c>
      <c r="B4230" t="str">
        <f>"1552382695394785"</f>
        <v>1552382695394785</v>
      </c>
      <c r="C4230" t="s">
        <v>40</v>
      </c>
      <c r="D4230">
        <v>3.7370130000000001</v>
      </c>
      <c r="E4230">
        <v>0.5307463</v>
      </c>
      <c r="F4230" t="s">
        <v>43</v>
      </c>
      <c r="G4230">
        <v>-273.822</v>
      </c>
      <c r="H4230" s="1">
        <v>-3.8064149999999999E-6</v>
      </c>
      <c r="I4230">
        <v>144.30109999999999</v>
      </c>
      <c r="J4230">
        <v>-241.74760000000001</v>
      </c>
      <c r="K4230">
        <v>1.1104810000000001</v>
      </c>
      <c r="L4230">
        <v>141.07159999999999</v>
      </c>
      <c r="M4230">
        <v>-0.99645539999999999</v>
      </c>
      <c r="N4230">
        <v>0</v>
      </c>
      <c r="O4230">
        <v>8.3757100000000001E-2</v>
      </c>
      <c r="P4230">
        <v>-0.9846954</v>
      </c>
      <c r="Q4230">
        <v>0.17346239999999999</v>
      </c>
      <c r="R4230">
        <v>1.6896649999999999E-2</v>
      </c>
      <c r="S4230">
        <v>-3.0593720000000002</v>
      </c>
      <c r="T4230">
        <v>-0.1049035</v>
      </c>
      <c r="U4230">
        <v>0.30751040000000002</v>
      </c>
      <c r="V4230">
        <v>-6.5986820000000002E-2</v>
      </c>
      <c r="W4230">
        <v>0.18101519999999999</v>
      </c>
      <c r="X4230">
        <v>0.98126409999999997</v>
      </c>
      <c r="Y4230">
        <v>1.6358169999999998E-2</v>
      </c>
      <c r="Z4230">
        <v>-2.5788120000000002E-3</v>
      </c>
      <c r="AA4230">
        <v>0.99986280000000005</v>
      </c>
      <c r="AB4230">
        <v>31</v>
      </c>
      <c r="AC4230">
        <v>-32.074399999999997</v>
      </c>
      <c r="AD4230">
        <v>-1.1104848064149999</v>
      </c>
      <c r="AE4230">
        <v>3.2294999999999998</v>
      </c>
      <c r="AF4230">
        <v>0.53098020787581901</v>
      </c>
      <c r="AG4230">
        <v>-1.1104848064149999</v>
      </c>
      <c r="AH4230">
        <v>32.193988503720099</v>
      </c>
      <c r="AI4230">
        <v>91.975282886781798</v>
      </c>
      <c r="AJ4230">
        <v>89.055097917577896</v>
      </c>
      <c r="AK4230">
        <v>32.217510956995</v>
      </c>
      <c r="AL4230">
        <v>79.571102073688493</v>
      </c>
      <c r="AM4230">
        <v>93.847162726088598</v>
      </c>
      <c r="AN4230">
        <v>0.99999999849678101</v>
      </c>
    </row>
    <row r="4231" spans="1:40" x14ac:dyDescent="0.25">
      <c r="A4231" t="str">
        <f>"20190312172455426"</f>
        <v>20190312172455426</v>
      </c>
      <c r="B4231" t="str">
        <f>"1552382695414309"</f>
        <v>1552382695414309</v>
      </c>
      <c r="C4231" t="s">
        <v>40</v>
      </c>
      <c r="D4231">
        <v>3.7487789999999999</v>
      </c>
      <c r="E4231">
        <v>0.53056239999999999</v>
      </c>
      <c r="F4231" t="s">
        <v>43</v>
      </c>
      <c r="G4231">
        <v>-272.32069999999999</v>
      </c>
      <c r="H4231" s="1">
        <v>-4.2808489999999996E-6</v>
      </c>
      <c r="I4231">
        <v>144.09559999999999</v>
      </c>
      <c r="J4231">
        <v>-242.04060000000001</v>
      </c>
      <c r="K4231">
        <v>1.110708</v>
      </c>
      <c r="L4231">
        <v>141.0949</v>
      </c>
      <c r="M4231">
        <v>-0.99657309999999999</v>
      </c>
      <c r="N4231">
        <v>0</v>
      </c>
      <c r="O4231">
        <v>8.2345979999999999E-2</v>
      </c>
      <c r="P4231">
        <v>-0.98494630000000005</v>
      </c>
      <c r="Q4231">
        <v>0.17219699999999999</v>
      </c>
      <c r="R4231">
        <v>1.5147229999999999E-2</v>
      </c>
      <c r="S4231">
        <v>-3.0610050000000002</v>
      </c>
      <c r="T4231">
        <v>-0.11118260000000001</v>
      </c>
      <c r="U4231">
        <v>0.3027802</v>
      </c>
      <c r="V4231">
        <v>-6.6457089999999996E-2</v>
      </c>
      <c r="W4231">
        <v>0.1797282</v>
      </c>
      <c r="X4231">
        <v>0.98146889999999998</v>
      </c>
      <c r="Y4231">
        <v>1.6195020000000001E-2</v>
      </c>
      <c r="Z4231">
        <v>-2.6839580000000002E-3</v>
      </c>
      <c r="AA4231">
        <v>0.99986520000000001</v>
      </c>
      <c r="AB4231">
        <v>31</v>
      </c>
      <c r="AC4231">
        <v>-30.280099999999901</v>
      </c>
      <c r="AD4231">
        <v>-1.110712280849</v>
      </c>
      <c r="AE4231">
        <v>3.0006999999999899</v>
      </c>
      <c r="AF4231">
        <v>0.49632627921839201</v>
      </c>
      <c r="AG4231">
        <v>-1.110712280849</v>
      </c>
      <c r="AH4231">
        <v>30.38387526008</v>
      </c>
      <c r="AI4231">
        <v>92.093292005376895</v>
      </c>
      <c r="AJ4231">
        <v>89.064145971310694</v>
      </c>
      <c r="AK4231">
        <v>30.408220884595799</v>
      </c>
      <c r="AL4231">
        <v>79.646071225978702</v>
      </c>
      <c r="AM4231">
        <v>93.873691170314402</v>
      </c>
      <c r="AN4231">
        <v>0.99999998617685804</v>
      </c>
    </row>
    <row r="4232" spans="1:40" x14ac:dyDescent="0.25">
      <c r="A4232" t="str">
        <f>"20190312172455448"</f>
        <v>20190312172455448</v>
      </c>
      <c r="B4232" t="str">
        <f>"1552382695444562"</f>
        <v>1552382695444562</v>
      </c>
      <c r="C4232" t="s">
        <v>40</v>
      </c>
      <c r="D4232">
        <v>3.71679</v>
      </c>
      <c r="E4232">
        <v>0.53050779999999997</v>
      </c>
      <c r="F4232" t="s">
        <v>43</v>
      </c>
      <c r="G4232">
        <v>-270.35910000000001</v>
      </c>
      <c r="H4232" s="1">
        <v>-4.9032989999999999E-6</v>
      </c>
      <c r="I4232">
        <v>143.84129999999999</v>
      </c>
      <c r="J4232">
        <v>-242.35830000000001</v>
      </c>
      <c r="K4232">
        <v>1.1109309999999999</v>
      </c>
      <c r="L4232">
        <v>141.11949999999999</v>
      </c>
      <c r="M4232">
        <v>-0.99672000000000005</v>
      </c>
      <c r="N4232">
        <v>0</v>
      </c>
      <c r="O4232">
        <v>8.0546699999999999E-2</v>
      </c>
      <c r="P4232">
        <v>-0.98521179999999997</v>
      </c>
      <c r="Q4232">
        <v>0.17084379999999999</v>
      </c>
      <c r="R4232">
        <v>1.303672E-2</v>
      </c>
      <c r="S4232">
        <v>-3.0623019999999999</v>
      </c>
      <c r="T4232">
        <v>-0.1201103</v>
      </c>
      <c r="U4232">
        <v>0.29699710000000001</v>
      </c>
      <c r="V4232">
        <v>-6.6902790000000004E-2</v>
      </c>
      <c r="W4232">
        <v>0.1783527</v>
      </c>
      <c r="X4232">
        <v>0.98168949999999999</v>
      </c>
      <c r="Y4232">
        <v>1.6094210000000001E-2</v>
      </c>
      <c r="Z4232">
        <v>-2.8303270000000001E-3</v>
      </c>
      <c r="AA4232">
        <v>0.99986649999999999</v>
      </c>
      <c r="AB4232">
        <v>32</v>
      </c>
      <c r="AC4232">
        <v>-28.000800000000002</v>
      </c>
      <c r="AD4232">
        <v>-1.1109359032989901</v>
      </c>
      <c r="AE4232">
        <v>2.7218</v>
      </c>
      <c r="AF4232">
        <v>0.45680219102320602</v>
      </c>
      <c r="AG4232">
        <v>-1.1109359032989901</v>
      </c>
      <c r="AH4232">
        <v>28.085258271325401</v>
      </c>
      <c r="AI4232">
        <v>92.264902338907405</v>
      </c>
      <c r="AJ4232">
        <v>89.068175561456599</v>
      </c>
      <c r="AK4232">
        <v>28.110933442168299</v>
      </c>
      <c r="AL4232">
        <v>79.726175782919498</v>
      </c>
      <c r="AM4232">
        <v>93.898716921552094</v>
      </c>
      <c r="AN4232">
        <v>0.99999997165866095</v>
      </c>
    </row>
    <row r="4233" spans="1:40" x14ac:dyDescent="0.25">
      <c r="A4233" t="str">
        <f>"20190312172455470"</f>
        <v>20190312172455470</v>
      </c>
      <c r="B4233" t="str">
        <f>"1552382695465058"</f>
        <v>1552382695465058</v>
      </c>
      <c r="C4233" t="s">
        <v>40</v>
      </c>
      <c r="D4233">
        <v>3.7317770000000001</v>
      </c>
      <c r="E4233">
        <v>0.53043399999999996</v>
      </c>
      <c r="F4233" t="s">
        <v>43</v>
      </c>
      <c r="G4233">
        <v>-269.04899999999998</v>
      </c>
      <c r="H4233" s="1">
        <v>-1.465355E-6</v>
      </c>
      <c r="I4233">
        <v>143.6566</v>
      </c>
      <c r="J4233">
        <v>-242.6704</v>
      </c>
      <c r="K4233">
        <v>1.111145</v>
      </c>
      <c r="L4233">
        <v>141.14279999999999</v>
      </c>
      <c r="M4233">
        <v>-0.99688129999999997</v>
      </c>
      <c r="N4233">
        <v>0</v>
      </c>
      <c r="O4233">
        <v>7.8523930000000006E-2</v>
      </c>
      <c r="P4233">
        <v>-0.98520920000000001</v>
      </c>
      <c r="Q4233">
        <v>0.17100580000000001</v>
      </c>
      <c r="R4233">
        <v>1.095874E-2</v>
      </c>
      <c r="S4233">
        <v>-3.0632929999999998</v>
      </c>
      <c r="T4233">
        <v>-0.1275018</v>
      </c>
      <c r="U4233">
        <v>0.29119869999999998</v>
      </c>
      <c r="V4233">
        <v>-6.7070969999999994E-2</v>
      </c>
      <c r="W4233">
        <v>0.1784944</v>
      </c>
      <c r="X4233">
        <v>0.98165230000000003</v>
      </c>
      <c r="Y4233">
        <v>1.622115E-2</v>
      </c>
      <c r="Z4233">
        <v>-2.917481E-3</v>
      </c>
      <c r="AA4233">
        <v>0.99986419999999998</v>
      </c>
      <c r="AB4233">
        <v>32</v>
      </c>
      <c r="AC4233">
        <v>-26.378599999999999</v>
      </c>
      <c r="AD4233">
        <v>-1.1111464653550001</v>
      </c>
      <c r="AE4233">
        <v>2.5137999999999998</v>
      </c>
      <c r="AF4233">
        <v>0.43385938305841298</v>
      </c>
      <c r="AG4233">
        <v>-1.1111464653550001</v>
      </c>
      <c r="AH4233">
        <v>26.448037719269099</v>
      </c>
      <c r="AI4233">
        <v>92.405397234047001</v>
      </c>
      <c r="AJ4233">
        <v>89.060191822240796</v>
      </c>
      <c r="AK4233">
        <v>26.4749236001092</v>
      </c>
      <c r="AL4233">
        <v>79.717924884990197</v>
      </c>
      <c r="AM4233">
        <v>93.908634818758003</v>
      </c>
      <c r="AN4233">
        <v>1.0000000019716899</v>
      </c>
    </row>
    <row r="4234" spans="1:40" x14ac:dyDescent="0.25">
      <c r="A4234" t="str">
        <f>"20190312172455493"</f>
        <v>20190312172455493</v>
      </c>
      <c r="B4234" t="str">
        <f>"1552382695484582"</f>
        <v>1552382695484582</v>
      </c>
      <c r="C4234" t="s">
        <v>40</v>
      </c>
      <c r="D4234">
        <v>3.7312569999999998</v>
      </c>
      <c r="E4234">
        <v>0.53038359999999996</v>
      </c>
      <c r="F4234" t="s">
        <v>43</v>
      </c>
      <c r="G4234">
        <v>-268.93439999999998</v>
      </c>
      <c r="H4234" s="1">
        <v>-1.494345E-6</v>
      </c>
      <c r="I4234">
        <v>143.58070000000001</v>
      </c>
      <c r="J4234">
        <v>-242.9966</v>
      </c>
      <c r="K4234">
        <v>1.1113569999999999</v>
      </c>
      <c r="L4234">
        <v>141.16630000000001</v>
      </c>
      <c r="M4234">
        <v>-0.9970639</v>
      </c>
      <c r="N4234">
        <v>0</v>
      </c>
      <c r="O4234">
        <v>7.6167520000000002E-2</v>
      </c>
      <c r="P4234">
        <v>-0.98499230000000004</v>
      </c>
      <c r="Q4234">
        <v>0.17236209999999999</v>
      </c>
      <c r="R4234">
        <v>9.049049E-3</v>
      </c>
      <c r="S4234">
        <v>-3.064362</v>
      </c>
      <c r="T4234">
        <v>-0.1296438</v>
      </c>
      <c r="U4234">
        <v>0.28445429999999999</v>
      </c>
      <c r="V4234">
        <v>-6.6731940000000003E-2</v>
      </c>
      <c r="W4234">
        <v>0.179831399999999</v>
      </c>
      <c r="X4234">
        <v>0.98143139999999995</v>
      </c>
      <c r="Y4234">
        <v>1.6369749999999999E-2</v>
      </c>
      <c r="Z4234">
        <v>-2.8636270000000001E-3</v>
      </c>
      <c r="AA4234">
        <v>0.99986189999999997</v>
      </c>
      <c r="AB4234">
        <v>32</v>
      </c>
      <c r="AC4234">
        <v>-25.9377999999999</v>
      </c>
      <c r="AD4234">
        <v>-1.1113584943449999</v>
      </c>
      <c r="AE4234">
        <v>2.4144000000000001</v>
      </c>
      <c r="AF4234">
        <v>0.43092226042953402</v>
      </c>
      <c r="AG4234">
        <v>-1.1113584943449999</v>
      </c>
      <c r="AH4234">
        <v>25.999030646996701</v>
      </c>
      <c r="AI4234">
        <v>92.447348217628104</v>
      </c>
      <c r="AJ4234">
        <v>89.050435125231104</v>
      </c>
      <c r="AK4234">
        <v>26.026340624086298</v>
      </c>
      <c r="AL4234">
        <v>79.640060914597797</v>
      </c>
      <c r="AM4234">
        <v>93.889810882910794</v>
      </c>
      <c r="AN4234">
        <v>1.00000003857404</v>
      </c>
    </row>
    <row r="4235" spans="1:40" x14ac:dyDescent="0.25">
      <c r="A4235" t="str">
        <f>"20190312172455515"</f>
        <v>20190312172455515</v>
      </c>
      <c r="B4235" t="str">
        <f>"1552382695505073"</f>
        <v>1552382695505073</v>
      </c>
      <c r="C4235" t="s">
        <v>40</v>
      </c>
      <c r="D4235">
        <v>3.7324280000000001</v>
      </c>
      <c r="E4235">
        <v>0.53038580000000002</v>
      </c>
      <c r="F4235" t="s">
        <v>43</v>
      </c>
      <c r="G4235">
        <v>-269.53809999999999</v>
      </c>
      <c r="H4235" s="1">
        <v>-1.231877E-6</v>
      </c>
      <c r="I4235">
        <v>143.5677</v>
      </c>
      <c r="J4235">
        <v>-243.3047</v>
      </c>
      <c r="K4235">
        <v>1.111548</v>
      </c>
      <c r="L4235">
        <v>141.1876</v>
      </c>
      <c r="M4235">
        <v>-0.99724590000000002</v>
      </c>
      <c r="N4235">
        <v>0</v>
      </c>
      <c r="O4235">
        <v>7.3745270000000002E-2</v>
      </c>
      <c r="P4235">
        <v>-0.98502319999999999</v>
      </c>
      <c r="Q4235">
        <v>0.1722881</v>
      </c>
      <c r="R4235">
        <v>6.8021389999999996E-3</v>
      </c>
      <c r="S4235">
        <v>-3.0656129999999999</v>
      </c>
      <c r="T4235">
        <v>-0.12836529999999999</v>
      </c>
      <c r="U4235">
        <v>0.27737430000000002</v>
      </c>
      <c r="V4235">
        <v>-6.6669859999999997E-2</v>
      </c>
      <c r="W4235">
        <v>0.17974229999999899</v>
      </c>
      <c r="X4235">
        <v>0.98145190000000004</v>
      </c>
      <c r="Y4235">
        <v>1.6467829999999999E-2</v>
      </c>
      <c r="Z4235">
        <v>-2.7317869999999998E-3</v>
      </c>
      <c r="AA4235">
        <v>0.99986059999999999</v>
      </c>
      <c r="AB4235">
        <v>32</v>
      </c>
      <c r="AC4235">
        <v>-26.2333999999999</v>
      </c>
      <c r="AD4235">
        <v>-1.1115492318769999</v>
      </c>
      <c r="AE4235">
        <v>2.3800999999999899</v>
      </c>
      <c r="AF4235">
        <v>0.43818918526912598</v>
      </c>
      <c r="AG4235">
        <v>-1.1115492318769999</v>
      </c>
      <c r="AH4235">
        <v>26.290675973182299</v>
      </c>
      <c r="AI4235">
        <v>92.420643143155004</v>
      </c>
      <c r="AJ4235">
        <v>89.045134230402098</v>
      </c>
      <c r="AK4235">
        <v>26.317811356262801</v>
      </c>
      <c r="AL4235">
        <v>79.645250108732697</v>
      </c>
      <c r="AM4235">
        <v>93.886122403332394</v>
      </c>
      <c r="AN4235">
        <v>0.99999999832765896</v>
      </c>
    </row>
    <row r="4236" spans="1:40" x14ac:dyDescent="0.25">
      <c r="A4236" t="str">
        <f>"20190312172455537"</f>
        <v>20190312172455537</v>
      </c>
      <c r="B4236" t="str">
        <f>"1552382695534354"</f>
        <v>1552382695534354</v>
      </c>
      <c r="C4236" t="s">
        <v>40</v>
      </c>
      <c r="D4236">
        <v>3.7292580000000002</v>
      </c>
      <c r="E4236">
        <v>0.53033039999999998</v>
      </c>
      <c r="F4236" t="s">
        <v>43</v>
      </c>
      <c r="G4236">
        <v>-269.35129999999998</v>
      </c>
      <c r="H4236" s="1">
        <v>-1.291124E-6</v>
      </c>
      <c r="I4236">
        <v>143.48910000000001</v>
      </c>
      <c r="J4236">
        <v>-243.60980000000001</v>
      </c>
      <c r="K4236">
        <v>1.111713</v>
      </c>
      <c r="L4236">
        <v>141.20779999999999</v>
      </c>
      <c r="M4236">
        <v>-0.99743199999999999</v>
      </c>
      <c r="N4236">
        <v>0</v>
      </c>
      <c r="O4236">
        <v>7.1182190000000006E-2</v>
      </c>
      <c r="P4236">
        <v>-0.98503450000000004</v>
      </c>
      <c r="Q4236">
        <v>0.17231150000000001</v>
      </c>
      <c r="R4236">
        <v>4.0015889999999998E-3</v>
      </c>
      <c r="S4236">
        <v>-3.0666500000000001</v>
      </c>
      <c r="T4236">
        <v>-0.13087089999999901</v>
      </c>
      <c r="U4236">
        <v>0.27098080000000002</v>
      </c>
      <c r="V4236">
        <v>-6.7012790000000003E-2</v>
      </c>
      <c r="W4236">
        <v>0.17974979999999999</v>
      </c>
      <c r="X4236">
        <v>0.98142720000000006</v>
      </c>
      <c r="Y4236">
        <v>1.693824E-2</v>
      </c>
      <c r="Z4236">
        <v>-2.6656980000000002E-3</v>
      </c>
      <c r="AA4236">
        <v>0.99985299999999999</v>
      </c>
      <c r="AB4236">
        <v>32</v>
      </c>
      <c r="AC4236">
        <v>-25.741499999999899</v>
      </c>
      <c r="AD4236">
        <v>-1.1117142911240001</v>
      </c>
      <c r="AE4236">
        <v>2.2813000000000101</v>
      </c>
      <c r="AF4236">
        <v>0.44230058828260999</v>
      </c>
      <c r="AG4236">
        <v>-1.1117142911240001</v>
      </c>
      <c r="AH4236">
        <v>25.7908617451696</v>
      </c>
      <c r="AI4236">
        <v>92.467842444731204</v>
      </c>
      <c r="AJ4236">
        <v>89.0175018861556</v>
      </c>
      <c r="AK4236">
        <v>25.818599652846</v>
      </c>
      <c r="AL4236">
        <v>79.644813573394799</v>
      </c>
      <c r="AM4236">
        <v>93.906147746866793</v>
      </c>
      <c r="AN4236">
        <v>1.0000000267617299</v>
      </c>
    </row>
    <row r="4237" spans="1:40" x14ac:dyDescent="0.25">
      <c r="A4237" t="str">
        <f>"20190312172455561"</f>
        <v>20190312172455561</v>
      </c>
      <c r="B4237" t="str">
        <f>"1552382695554849"</f>
        <v>1552382695554849</v>
      </c>
      <c r="C4237" t="s">
        <v>40</v>
      </c>
      <c r="D4237">
        <v>3.7540429999999998</v>
      </c>
      <c r="E4237">
        <v>0.53028430000000004</v>
      </c>
      <c r="F4237" t="s">
        <v>43</v>
      </c>
      <c r="G4237">
        <v>-269.13400000000001</v>
      </c>
      <c r="H4237" s="1">
        <v>-1.358346E-6</v>
      </c>
      <c r="I4237">
        <v>143.39150000000001</v>
      </c>
      <c r="J4237">
        <v>-243.9579</v>
      </c>
      <c r="K4237">
        <v>1.111893</v>
      </c>
      <c r="L4237">
        <v>141.22980000000001</v>
      </c>
      <c r="M4237">
        <v>-0.99764739999999996</v>
      </c>
      <c r="N4237">
        <v>0</v>
      </c>
      <c r="O4237">
        <v>6.8094920000000003E-2</v>
      </c>
      <c r="P4237">
        <v>-0.98498560000000002</v>
      </c>
      <c r="Q4237">
        <v>0.172628799999999</v>
      </c>
      <c r="R4237">
        <v>1.6072759999999999E-3</v>
      </c>
      <c r="S4237">
        <v>-3.0678860000000001</v>
      </c>
      <c r="T4237">
        <v>-0.13362280000000001</v>
      </c>
      <c r="U4237">
        <v>0.26248169999999998</v>
      </c>
      <c r="V4237">
        <v>-6.6435240000000007E-2</v>
      </c>
      <c r="W4237">
        <v>0.18005750000000001</v>
      </c>
      <c r="X4237">
        <v>0.98141</v>
      </c>
      <c r="Y4237">
        <v>1.724705E-2</v>
      </c>
      <c r="Z4237">
        <v>-2.5805810000000002E-3</v>
      </c>
      <c r="AA4237">
        <v>0.99984790000000001</v>
      </c>
      <c r="AB4237">
        <v>32</v>
      </c>
      <c r="AC4237">
        <v>-25.176100000000002</v>
      </c>
      <c r="AD4237">
        <v>-1.1118943583459999</v>
      </c>
      <c r="AE4237">
        <v>2.16169999999999</v>
      </c>
      <c r="AF4237">
        <v>0.44140906916906197</v>
      </c>
      <c r="AG4237">
        <v>-1.1118943583459999</v>
      </c>
      <c r="AH4237">
        <v>25.2160397544475</v>
      </c>
      <c r="AI4237">
        <v>92.524419922524999</v>
      </c>
      <c r="AJ4237">
        <v>88.997134595918197</v>
      </c>
      <c r="AK4237">
        <v>25.2444015957666</v>
      </c>
      <c r="AL4237">
        <v>79.626890611449397</v>
      </c>
      <c r="AM4237">
        <v>93.872653138744496</v>
      </c>
      <c r="AN4237">
        <v>0.99999996626005305</v>
      </c>
    </row>
    <row r="4238" spans="1:40" x14ac:dyDescent="0.25">
      <c r="A4238" t="str">
        <f>"20190312172455584"</f>
        <v>20190312172455584</v>
      </c>
      <c r="B4238" t="str">
        <f>"1552382695574369"</f>
        <v>1552382695574369</v>
      </c>
      <c r="C4238" t="s">
        <v>40</v>
      </c>
      <c r="D4238">
        <v>3.7419120000000001</v>
      </c>
      <c r="E4238">
        <v>0.53023339999999997</v>
      </c>
      <c r="F4238" t="s">
        <v>43</v>
      </c>
      <c r="G4238">
        <v>-269.31220000000002</v>
      </c>
      <c r="H4238" s="1">
        <v>-1.265463E-6</v>
      </c>
      <c r="I4238">
        <v>143.3296</v>
      </c>
      <c r="J4238">
        <v>-244.2739</v>
      </c>
      <c r="K4238">
        <v>1.1120219999999901</v>
      </c>
      <c r="L4238">
        <v>141.24850000000001</v>
      </c>
      <c r="M4238">
        <v>-0.9978437</v>
      </c>
      <c r="N4238">
        <v>0</v>
      </c>
      <c r="O4238">
        <v>6.5154729999999994E-2</v>
      </c>
      <c r="P4238">
        <v>-0.9849348</v>
      </c>
      <c r="Q4238">
        <v>0.17292660000000001</v>
      </c>
      <c r="R4238">
        <v>-6.0543879999999997E-4</v>
      </c>
      <c r="S4238">
        <v>-3.0689090000000001</v>
      </c>
      <c r="T4238">
        <v>-0.13458529999999999</v>
      </c>
      <c r="U4238">
        <v>0.25418089999999999</v>
      </c>
      <c r="V4238">
        <v>-6.5802659999999999E-2</v>
      </c>
      <c r="W4238">
        <v>0.1803516</v>
      </c>
      <c r="X4238">
        <v>0.98139860000000001</v>
      </c>
      <c r="Y4238">
        <v>1.7477449999999999E-2</v>
      </c>
      <c r="Z4238">
        <v>-2.4653399999999999E-3</v>
      </c>
      <c r="AA4238">
        <v>0.99984419999999996</v>
      </c>
      <c r="AB4238">
        <v>32</v>
      </c>
      <c r="AC4238">
        <v>-25.0383</v>
      </c>
      <c r="AD4238">
        <v>-1.11202326546299</v>
      </c>
      <c r="AE4238">
        <v>2.08109999999999</v>
      </c>
      <c r="AF4238">
        <v>0.44439228014527998</v>
      </c>
      <c r="AG4238">
        <v>-1.11202326546299</v>
      </c>
      <c r="AH4238">
        <v>25.071577863133498</v>
      </c>
      <c r="AI4238">
        <v>92.539230744934798</v>
      </c>
      <c r="AJ4238">
        <v>88.984541927646006</v>
      </c>
      <c r="AK4238">
        <v>25.100161290094299</v>
      </c>
      <c r="AL4238">
        <v>79.609759309301296</v>
      </c>
      <c r="AM4238">
        <v>93.835933726422297</v>
      </c>
      <c r="AN4238">
        <v>0.99999995088379601</v>
      </c>
    </row>
    <row r="4239" spans="1:40" x14ac:dyDescent="0.25">
      <c r="A4239" t="str">
        <f>"20190312172455605"</f>
        <v>20190312172455605</v>
      </c>
      <c r="B4239" t="str">
        <f>"1552382695594867"</f>
        <v>1552382695594867</v>
      </c>
      <c r="C4239" t="s">
        <v>40</v>
      </c>
      <c r="D4239">
        <v>3.771153</v>
      </c>
      <c r="E4239">
        <v>0.53021940000000001</v>
      </c>
      <c r="F4239" t="s">
        <v>43</v>
      </c>
      <c r="G4239">
        <v>-269.46050000000002</v>
      </c>
      <c r="H4239" s="1">
        <v>-1.1856759999999999E-6</v>
      </c>
      <c r="I4239">
        <v>143.26900000000001</v>
      </c>
      <c r="J4239">
        <v>-244.5915</v>
      </c>
      <c r="K4239">
        <v>1.1121209999999999</v>
      </c>
      <c r="L4239">
        <v>141.2663</v>
      </c>
      <c r="M4239">
        <v>-0.99803719999999996</v>
      </c>
      <c r="N4239">
        <v>0</v>
      </c>
      <c r="O4239">
        <v>6.2118890000000003E-2</v>
      </c>
      <c r="P4239">
        <v>-0.98499329999999996</v>
      </c>
      <c r="Q4239">
        <v>0.1725631</v>
      </c>
      <c r="R4239">
        <v>-3.1768249999999999E-3</v>
      </c>
      <c r="S4239">
        <v>-3.069855</v>
      </c>
      <c r="T4239">
        <v>-0.13553860000000001</v>
      </c>
      <c r="U4239">
        <v>0.24627689999999999</v>
      </c>
      <c r="V4239">
        <v>-6.5427109999999997E-2</v>
      </c>
      <c r="W4239">
        <v>0.1799866</v>
      </c>
      <c r="X4239">
        <v>0.98149070000000005</v>
      </c>
      <c r="Y4239">
        <v>1.7933660000000001E-2</v>
      </c>
      <c r="Z4239">
        <v>-2.338906E-3</v>
      </c>
      <c r="AA4239">
        <v>0.99983639999999996</v>
      </c>
      <c r="AB4239">
        <v>32</v>
      </c>
      <c r="AC4239">
        <v>-24.869</v>
      </c>
      <c r="AD4239">
        <v>-1.112122185676</v>
      </c>
      <c r="AE4239">
        <v>2.0026999999999999</v>
      </c>
      <c r="AF4239">
        <v>0.45304855002157102</v>
      </c>
      <c r="AG4239">
        <v>-1.112122185676</v>
      </c>
      <c r="AH4239">
        <v>24.895912047556202</v>
      </c>
      <c r="AI4239">
        <v>92.557329371931402</v>
      </c>
      <c r="AJ4239">
        <v>88.957463177562701</v>
      </c>
      <c r="AK4239">
        <v>24.924857179615</v>
      </c>
      <c r="AL4239">
        <v>79.6310200611196</v>
      </c>
      <c r="AM4239">
        <v>93.813749179743795</v>
      </c>
      <c r="AN4239">
        <v>0.99999993854449898</v>
      </c>
    </row>
    <row r="4240" spans="1:40" x14ac:dyDescent="0.25">
      <c r="A4240" t="str">
        <f>"20190312172455626"</f>
        <v>20190312172455626</v>
      </c>
      <c r="B4240" t="str">
        <f>"1552382695614386"</f>
        <v>1552382695614386</v>
      </c>
      <c r="C4240" t="s">
        <v>40</v>
      </c>
      <c r="D4240">
        <v>3.7671079999999999</v>
      </c>
      <c r="E4240">
        <v>0.53023279999999995</v>
      </c>
      <c r="F4240" t="s">
        <v>43</v>
      </c>
      <c r="G4240">
        <v>-269.26620000000003</v>
      </c>
      <c r="H4240" s="1">
        <v>-1.2439240000000001E-6</v>
      </c>
      <c r="I4240">
        <v>143.1746</v>
      </c>
      <c r="J4240">
        <v>-244.88980000000001</v>
      </c>
      <c r="K4240">
        <v>1.11219</v>
      </c>
      <c r="L4240">
        <v>141.28219999999999</v>
      </c>
      <c r="M4240">
        <v>-0.99821360000000003</v>
      </c>
      <c r="N4240">
        <v>0</v>
      </c>
      <c r="O4240">
        <v>5.9213399999999999E-2</v>
      </c>
      <c r="P4240">
        <v>-0.98516219999999999</v>
      </c>
      <c r="Q4240">
        <v>0.1715352</v>
      </c>
      <c r="R4240">
        <v>-5.5981410000000001E-3</v>
      </c>
      <c r="S4240">
        <v>-3.0707239999999998</v>
      </c>
      <c r="T4240">
        <v>-0.1384021</v>
      </c>
      <c r="U4240">
        <v>0.2374878</v>
      </c>
      <c r="V4240">
        <v>-6.5020599999999998E-2</v>
      </c>
      <c r="W4240">
        <v>0.1789617</v>
      </c>
      <c r="X4240">
        <v>0.98170519999999994</v>
      </c>
      <c r="Y4240">
        <v>1.7976309999999999E-2</v>
      </c>
      <c r="Z4240">
        <v>-2.2566040000000002E-3</v>
      </c>
      <c r="AA4240">
        <v>0.99983580000000005</v>
      </c>
      <c r="AB4240">
        <v>32</v>
      </c>
      <c r="AC4240">
        <v>-24.3764</v>
      </c>
      <c r="AD4240">
        <v>-1.112191243924</v>
      </c>
      <c r="AE4240">
        <v>1.8924000000000001</v>
      </c>
      <c r="AF4240">
        <v>0.44470381774133999</v>
      </c>
      <c r="AG4240">
        <v>-1.112191243924</v>
      </c>
      <c r="AH4240">
        <v>24.3952046953127</v>
      </c>
      <c r="AI4240">
        <v>92.609906613054093</v>
      </c>
      <c r="AJ4240">
        <v>88.955662374686298</v>
      </c>
      <c r="AK4240">
        <v>24.424592995069101</v>
      </c>
      <c r="AL4240">
        <v>79.690712740454799</v>
      </c>
      <c r="AM4240">
        <v>93.789297254153894</v>
      </c>
      <c r="AN4240">
        <v>1.00000003409914</v>
      </c>
    </row>
    <row r="4241" spans="1:40" x14ac:dyDescent="0.25">
      <c r="A4241" t="str">
        <f>"20190312172455649"</f>
        <v>20190312172455649</v>
      </c>
      <c r="B4241" t="str">
        <f>"1552382695644642"</f>
        <v>1552382695644642</v>
      </c>
      <c r="C4241" t="s">
        <v>40</v>
      </c>
      <c r="D4241">
        <v>3.7552129999999999</v>
      </c>
      <c r="E4241">
        <v>0.53023560000000003</v>
      </c>
      <c r="F4241" t="s">
        <v>43</v>
      </c>
      <c r="G4241">
        <v>-268.726</v>
      </c>
      <c r="H4241" s="1">
        <v>-1.446009E-6</v>
      </c>
      <c r="I4241">
        <v>143.06309999999999</v>
      </c>
      <c r="J4241">
        <v>-245.21289999999999</v>
      </c>
      <c r="K4241">
        <v>1.1122449999999999</v>
      </c>
      <c r="L4241">
        <v>141.29830000000001</v>
      </c>
      <c r="M4241">
        <v>-0.99839750000000005</v>
      </c>
      <c r="N4241">
        <v>0</v>
      </c>
      <c r="O4241">
        <v>5.6025859999999997E-2</v>
      </c>
      <c r="P4241">
        <v>-0.98539790000000005</v>
      </c>
      <c r="Q4241">
        <v>0.17007410000000001</v>
      </c>
      <c r="R4241">
        <v>-8.1230859999999998E-3</v>
      </c>
      <c r="S4241">
        <v>-3.0714419999999998</v>
      </c>
      <c r="T4241">
        <v>-0.14331340000000001</v>
      </c>
      <c r="U4241">
        <v>0.22949220000000001</v>
      </c>
      <c r="V4241">
        <v>-6.4435820000000005E-2</v>
      </c>
      <c r="W4241">
        <v>0.1775081</v>
      </c>
      <c r="X4241">
        <v>0.98200759999999998</v>
      </c>
      <c r="Y4241">
        <v>1.8561870000000001E-2</v>
      </c>
      <c r="Z4241">
        <v>-2.1745979999999998E-3</v>
      </c>
      <c r="AA4241">
        <v>0.99982539999999998</v>
      </c>
      <c r="AB4241">
        <v>32</v>
      </c>
      <c r="AC4241">
        <v>-23.513100000000001</v>
      </c>
      <c r="AD4241">
        <v>-1.112246446009</v>
      </c>
      <c r="AE4241">
        <v>1.7647999999999699</v>
      </c>
      <c r="AF4241">
        <v>0.44365721883063303</v>
      </c>
      <c r="AG4241">
        <v>-1.112246446009</v>
      </c>
      <c r="AH4241">
        <v>23.522704096402599</v>
      </c>
      <c r="AI4241">
        <v>92.706673983115095</v>
      </c>
      <c r="AJ4241">
        <v>88.919483383116997</v>
      </c>
      <c r="AK4241">
        <v>23.553163946514601</v>
      </c>
      <c r="AL4241">
        <v>79.775352942730507</v>
      </c>
      <c r="AM4241">
        <v>93.754162056577101</v>
      </c>
      <c r="AN4241">
        <v>1.0000000134612199</v>
      </c>
    </row>
    <row r="4242" spans="1:40" x14ac:dyDescent="0.25">
      <c r="A4242" t="str">
        <f>"20190312172455671"</f>
        <v>20190312172455671</v>
      </c>
      <c r="B4242" t="str">
        <f>"1552382695665137"</f>
        <v>1552382695665137</v>
      </c>
      <c r="C4242" t="s">
        <v>40</v>
      </c>
      <c r="D4242">
        <v>3.7233670000000001</v>
      </c>
      <c r="E4242">
        <v>0.53017119999999995</v>
      </c>
      <c r="F4242" t="s">
        <v>43</v>
      </c>
      <c r="G4242">
        <v>-268.11169999999998</v>
      </c>
      <c r="H4242" s="1">
        <v>-1.678367E-6</v>
      </c>
      <c r="I4242">
        <v>142.94589999999999</v>
      </c>
      <c r="J4242">
        <v>-245.5462</v>
      </c>
      <c r="K4242">
        <v>1.1122909999999999</v>
      </c>
      <c r="L4242">
        <v>141.31379999999999</v>
      </c>
      <c r="M4242">
        <v>-0.99857779999999996</v>
      </c>
      <c r="N4242">
        <v>0</v>
      </c>
      <c r="O4242">
        <v>5.2714360000000002E-2</v>
      </c>
      <c r="P4242">
        <v>-0.98558489999999999</v>
      </c>
      <c r="Q4242">
        <v>0.16886679999999901</v>
      </c>
      <c r="R4242">
        <v>-1.0325310000000001E-2</v>
      </c>
      <c r="S4242">
        <v>-3.0720369999999999</v>
      </c>
      <c r="T4242">
        <v>-0.149216299999999</v>
      </c>
      <c r="U4242">
        <v>0.2210541</v>
      </c>
      <c r="V4242">
        <v>-6.3399319999999995E-2</v>
      </c>
      <c r="W4242">
        <v>0.17631279999999999</v>
      </c>
      <c r="X4242">
        <v>0.98229029999999995</v>
      </c>
      <c r="Y4242">
        <v>1.9130709999999999E-2</v>
      </c>
      <c r="Z4242">
        <v>-2.0899009999999999E-3</v>
      </c>
      <c r="AA4242">
        <v>0.9998148</v>
      </c>
      <c r="AB4242">
        <v>32</v>
      </c>
      <c r="AC4242">
        <v>-22.565499999999901</v>
      </c>
      <c r="AD4242">
        <v>-1.112292678367</v>
      </c>
      <c r="AE4242">
        <v>1.6321000000000001</v>
      </c>
      <c r="AF4242">
        <v>0.43920535862618798</v>
      </c>
      <c r="AG4242">
        <v>-1.112292678367</v>
      </c>
      <c r="AH4242">
        <v>22.565619679089</v>
      </c>
      <c r="AI4242">
        <v>92.821376053284496</v>
      </c>
      <c r="AJ4242">
        <v>88.884965855500695</v>
      </c>
      <c r="AK4242">
        <v>22.597284966355701</v>
      </c>
      <c r="AL4242">
        <v>79.844935534212993</v>
      </c>
      <c r="AM4242">
        <v>93.692881855015102</v>
      </c>
      <c r="AN4242">
        <v>0.99999995534719499</v>
      </c>
    </row>
    <row r="4243" spans="1:40" x14ac:dyDescent="0.25">
      <c r="A4243" t="str">
        <f>"20190312172455694"</f>
        <v>20190312172455694</v>
      </c>
      <c r="B4243" t="str">
        <f>"1552382695684661"</f>
        <v>1552382695684661</v>
      </c>
      <c r="C4243" t="s">
        <v>40</v>
      </c>
      <c r="D4243">
        <v>4.1683859999999999</v>
      </c>
      <c r="E4243">
        <v>0.53014240000000001</v>
      </c>
      <c r="F4243" t="s">
        <v>43</v>
      </c>
      <c r="G4243">
        <v>-267.74880000000002</v>
      </c>
      <c r="H4243" s="1">
        <v>-1.8085149999999999E-6</v>
      </c>
      <c r="I4243">
        <v>142.84989999999999</v>
      </c>
      <c r="J4243">
        <v>-245.86600000000001</v>
      </c>
      <c r="K4243">
        <v>1.1123289999999999</v>
      </c>
      <c r="L4243">
        <v>141.32769999999999</v>
      </c>
      <c r="M4243">
        <v>-0.99874070000000004</v>
      </c>
      <c r="N4243">
        <v>0</v>
      </c>
      <c r="O4243">
        <v>4.952757E-2</v>
      </c>
      <c r="P4243">
        <v>-0.98573909999999998</v>
      </c>
      <c r="Q4243">
        <v>0.167816299999999</v>
      </c>
      <c r="R4243">
        <v>-1.2492410000000001E-2</v>
      </c>
      <c r="S4243">
        <v>-3.0724640000000001</v>
      </c>
      <c r="T4243">
        <v>-0.15392330000000001</v>
      </c>
      <c r="U4243">
        <v>0.21258540000000001</v>
      </c>
      <c r="V4243">
        <v>-6.2443350000000002E-2</v>
      </c>
      <c r="W4243">
        <v>0.17527529999999999</v>
      </c>
      <c r="X4243">
        <v>0.9825372</v>
      </c>
      <c r="Y4243">
        <v>1.95671E-2</v>
      </c>
      <c r="Z4243">
        <v>-1.9857239999999999E-3</v>
      </c>
      <c r="AA4243">
        <v>0.99980659999999999</v>
      </c>
      <c r="AB4243">
        <v>32</v>
      </c>
      <c r="AC4243">
        <v>-21.8828</v>
      </c>
      <c r="AD4243">
        <v>-1.1123308085150001</v>
      </c>
      <c r="AE4243">
        <v>1.52219999999999</v>
      </c>
      <c r="AF4243">
        <v>0.43537564530926798</v>
      </c>
      <c r="AG4243">
        <v>-1.1123308085150001</v>
      </c>
      <c r="AH4243">
        <v>21.875086948223998</v>
      </c>
      <c r="AI4243">
        <v>92.910362377300899</v>
      </c>
      <c r="AJ4243">
        <v>88.859803664157297</v>
      </c>
      <c r="AK4243">
        <v>21.907675841413699</v>
      </c>
      <c r="AL4243">
        <v>79.905320496316307</v>
      </c>
      <c r="AM4243">
        <v>93.636437598655704</v>
      </c>
      <c r="AN4243">
        <v>0.99999997606657498</v>
      </c>
    </row>
    <row r="4244" spans="1:40" x14ac:dyDescent="0.25">
      <c r="A4244" t="str">
        <f>"20190312172455715"</f>
        <v>20190312172455715</v>
      </c>
      <c r="B4244" t="str">
        <f>"1552382695705153"</f>
        <v>1552382695705153</v>
      </c>
      <c r="C4244" t="s">
        <v>40</v>
      </c>
      <c r="D4244">
        <v>3.7526540000000002</v>
      </c>
      <c r="E4244">
        <v>0.53015219999999996</v>
      </c>
      <c r="F4244" t="s">
        <v>43</v>
      </c>
      <c r="G4244">
        <v>-267.52859999999998</v>
      </c>
      <c r="H4244" s="1">
        <v>-1.8816600000000001E-6</v>
      </c>
      <c r="I4244">
        <v>142.7698</v>
      </c>
      <c r="J4244">
        <v>-246.18629999999999</v>
      </c>
      <c r="K4244">
        <v>1.1123540000000001</v>
      </c>
      <c r="L4244">
        <v>141.34049999999999</v>
      </c>
      <c r="M4244">
        <v>-0.9988939</v>
      </c>
      <c r="N4244">
        <v>0</v>
      </c>
      <c r="O4244">
        <v>4.6334420000000001E-2</v>
      </c>
      <c r="P4244">
        <v>-0.98580959999999995</v>
      </c>
      <c r="Q4244">
        <v>0.16726389999999999</v>
      </c>
      <c r="R4244">
        <v>-1.422985E-2</v>
      </c>
      <c r="S4244">
        <v>-3.072845</v>
      </c>
      <c r="T4244">
        <v>-0.15778539999999999</v>
      </c>
      <c r="U4244">
        <v>0.2045746</v>
      </c>
      <c r="V4244">
        <v>-6.1047410000000003E-2</v>
      </c>
      <c r="W4244">
        <v>0.1747397</v>
      </c>
      <c r="X4244">
        <v>0.98272029999999999</v>
      </c>
      <c r="Y4244">
        <v>2.0157290000000001E-2</v>
      </c>
      <c r="Z4244">
        <v>-1.8569190000000001E-3</v>
      </c>
      <c r="AA4244">
        <v>0.99979510000000005</v>
      </c>
      <c r="AB4244">
        <v>32</v>
      </c>
      <c r="AC4244">
        <v>-21.342299999999899</v>
      </c>
      <c r="AD4244">
        <v>-1.1123558816600001</v>
      </c>
      <c r="AE4244">
        <v>1.42930000000001</v>
      </c>
      <c r="AF4244">
        <v>0.437666424573253</v>
      </c>
      <c r="AG4244">
        <v>-1.1123558816600001</v>
      </c>
      <c r="AH4244">
        <v>21.327926461022599</v>
      </c>
      <c r="AI4244">
        <v>92.984923327660795</v>
      </c>
      <c r="AJ4244">
        <v>88.824408928389801</v>
      </c>
      <c r="AK4244">
        <v>21.3613982368535</v>
      </c>
      <c r="AL4244">
        <v>79.936489062885897</v>
      </c>
      <c r="AM4244">
        <v>93.554694097404294</v>
      </c>
      <c r="AN4244">
        <v>0.99999996852794304</v>
      </c>
    </row>
    <row r="4245" spans="1:40" x14ac:dyDescent="0.25">
      <c r="A4245" t="str">
        <f>"20190312172455738"</f>
        <v>20190312172455738</v>
      </c>
      <c r="B4245" t="str">
        <f>"1552382695734434"</f>
        <v>1552382695734434</v>
      </c>
      <c r="C4245" t="s">
        <v>40</v>
      </c>
      <c r="D4245">
        <v>3.766543</v>
      </c>
      <c r="E4245">
        <v>0.53012130000000002</v>
      </c>
      <c r="F4245" t="s">
        <v>43</v>
      </c>
      <c r="G4245">
        <v>-267.5324</v>
      </c>
      <c r="H4245" s="1">
        <v>-1.866951E-6</v>
      </c>
      <c r="I4245">
        <v>142.72069999999999</v>
      </c>
      <c r="J4245">
        <v>-246.499</v>
      </c>
      <c r="K4245">
        <v>1.1123730000000001</v>
      </c>
      <c r="L4245">
        <v>141.35210000000001</v>
      </c>
      <c r="M4245">
        <v>-0.99903359999999997</v>
      </c>
      <c r="N4245">
        <v>0</v>
      </c>
      <c r="O4245">
        <v>4.3218029999999998E-2</v>
      </c>
      <c r="P4245">
        <v>-0.98585400000000001</v>
      </c>
      <c r="Q4245">
        <v>0.16681940000000001</v>
      </c>
      <c r="R4245">
        <v>-1.622469E-2</v>
      </c>
      <c r="S4245">
        <v>-3.0732270000000002</v>
      </c>
      <c r="T4245">
        <v>-0.16014790000000001</v>
      </c>
      <c r="U4245">
        <v>0.19871520000000001</v>
      </c>
      <c r="V4245">
        <v>-5.9980789999999999E-2</v>
      </c>
      <c r="W4245">
        <v>0.17430960000000001</v>
      </c>
      <c r="X4245">
        <v>0.98286240000000002</v>
      </c>
      <c r="Y4245">
        <v>2.1365209999999999E-2</v>
      </c>
      <c r="Z4245">
        <v>-1.691293E-3</v>
      </c>
      <c r="AA4245">
        <v>0.9997703</v>
      </c>
      <c r="AB4245">
        <v>33</v>
      </c>
      <c r="AC4245">
        <v>-21.033399999999901</v>
      </c>
      <c r="AD4245">
        <v>-1.1123748669509901</v>
      </c>
      <c r="AE4245">
        <v>1.3685999999999801</v>
      </c>
      <c r="AF4245">
        <v>0.45699714779199502</v>
      </c>
      <c r="AG4245">
        <v>-1.1123748669509901</v>
      </c>
      <c r="AH4245">
        <v>21.014368418402501</v>
      </c>
      <c r="AI4245">
        <v>93.029352687043499</v>
      </c>
      <c r="AJ4245">
        <v>88.754191381926901</v>
      </c>
      <c r="AK4245">
        <v>21.048750657986002</v>
      </c>
      <c r="AL4245">
        <v>79.961516540128699</v>
      </c>
      <c r="AM4245">
        <v>93.492237892267894</v>
      </c>
      <c r="AN4245">
        <v>1.0000000145774699</v>
      </c>
    </row>
    <row r="4246" spans="1:40" x14ac:dyDescent="0.25">
      <c r="A4246" t="str">
        <f>"20190312172455762"</f>
        <v>20190312172455762</v>
      </c>
      <c r="B4246" t="str">
        <f>"1552382695754930"</f>
        <v>1552382695754930</v>
      </c>
      <c r="C4246" t="s">
        <v>40</v>
      </c>
      <c r="D4246">
        <v>3.7239010000000001</v>
      </c>
      <c r="E4246">
        <v>0.50052680000000005</v>
      </c>
      <c r="F4246" t="s">
        <v>43</v>
      </c>
      <c r="G4246">
        <v>-267.62549999999999</v>
      </c>
      <c r="H4246" s="1">
        <v>-1.814348E-6</v>
      </c>
      <c r="I4246">
        <v>142.67310000000001</v>
      </c>
      <c r="J4246">
        <v>-246.8561</v>
      </c>
      <c r="K4246">
        <v>1.1123970000000001</v>
      </c>
      <c r="L4246">
        <v>141.36410000000001</v>
      </c>
      <c r="M4246">
        <v>-0.99918090000000004</v>
      </c>
      <c r="N4246">
        <v>0</v>
      </c>
      <c r="O4246">
        <v>3.9662709999999997E-2</v>
      </c>
      <c r="P4246">
        <v>-0.9859076</v>
      </c>
      <c r="Q4246">
        <v>0.1662091</v>
      </c>
      <c r="R4246">
        <v>-1.899669E-2</v>
      </c>
      <c r="S4246">
        <v>-3.0735929999999998</v>
      </c>
      <c r="T4246">
        <v>-0.1618346</v>
      </c>
      <c r="U4246">
        <v>0.1921997</v>
      </c>
      <c r="V4246">
        <v>-5.9257869999999997E-2</v>
      </c>
      <c r="W4246">
        <v>0.1737137</v>
      </c>
      <c r="X4246">
        <v>0.98301170000000004</v>
      </c>
      <c r="Y4246">
        <v>2.2798140000000001E-2</v>
      </c>
      <c r="Z4246">
        <v>-1.484705E-3</v>
      </c>
      <c r="AA4246">
        <v>0.99973900000000004</v>
      </c>
      <c r="AB4246">
        <v>33</v>
      </c>
      <c r="AC4246">
        <v>-20.769399999999901</v>
      </c>
      <c r="AD4246">
        <v>-1.1123988143479999</v>
      </c>
      <c r="AE4246">
        <v>1.3089999999999899</v>
      </c>
      <c r="AF4246">
        <v>0.48279322815032799</v>
      </c>
      <c r="AG4246">
        <v>-1.1123988143479999</v>
      </c>
      <c r="AH4246">
        <v>20.745700098509101</v>
      </c>
      <c r="AI4246">
        <v>93.068470838145402</v>
      </c>
      <c r="AJ4246">
        <v>88.666855200381704</v>
      </c>
      <c r="AK4246">
        <v>20.7811114476727</v>
      </c>
      <c r="AL4246">
        <v>79.996187643106495</v>
      </c>
      <c r="AM4246">
        <v>93.449727143942695</v>
      </c>
      <c r="AN4246">
        <v>0.99999997353075798</v>
      </c>
    </row>
    <row r="4247" spans="1:40" x14ac:dyDescent="0.25">
      <c r="A4247" t="str">
        <f>"20190312172455786"</f>
        <v>20190312172455786</v>
      </c>
      <c r="B4247" t="str">
        <f>"1552382695774450"</f>
        <v>1552382695774450</v>
      </c>
      <c r="C4247" t="s">
        <v>40</v>
      </c>
      <c r="D4247">
        <v>3.7141570000000002</v>
      </c>
      <c r="E4247">
        <v>0.49788369999999998</v>
      </c>
      <c r="F4247" t="s">
        <v>43</v>
      </c>
      <c r="G4247">
        <v>-267.42290000000003</v>
      </c>
      <c r="H4247" s="1">
        <v>-1.46062E-6</v>
      </c>
      <c r="I4247">
        <v>141.0171</v>
      </c>
      <c r="J4247">
        <v>-247.19300000000001</v>
      </c>
      <c r="K4247">
        <v>1.1124160000000001</v>
      </c>
      <c r="L4247">
        <v>141.3742</v>
      </c>
      <c r="M4247">
        <v>-0.99930819999999998</v>
      </c>
      <c r="N4247">
        <v>0</v>
      </c>
      <c r="O4247">
        <v>3.6311629999999998E-2</v>
      </c>
      <c r="P4247">
        <v>-0.98582519999999996</v>
      </c>
      <c r="Q4247">
        <v>0.16636960000000001</v>
      </c>
      <c r="R4247">
        <v>-2.1686540000000001E-2</v>
      </c>
      <c r="S4247">
        <v>-3.0698699999999999</v>
      </c>
      <c r="T4247">
        <v>-0.1660404</v>
      </c>
      <c r="U4247">
        <v>-5.178833E-2</v>
      </c>
      <c r="V4247">
        <v>-5.8651839999999997E-2</v>
      </c>
      <c r="W4247">
        <v>0.17388700000000001</v>
      </c>
      <c r="X4247">
        <v>0.98301740000000004</v>
      </c>
      <c r="Y4247">
        <v>-5.3033429999999999E-2</v>
      </c>
      <c r="Z4247">
        <v>-3.3953709999999999E-3</v>
      </c>
      <c r="AA4247">
        <v>0.998587</v>
      </c>
      <c r="AB4247">
        <v>33</v>
      </c>
      <c r="AC4247">
        <v>-20.229900000000001</v>
      </c>
      <c r="AD4247">
        <v>-1.1124174606199999</v>
      </c>
      <c r="AE4247">
        <v>-0.35710000000000203</v>
      </c>
      <c r="AF4247">
        <v>-1.0881794751354701</v>
      </c>
      <c r="AG4247">
        <v>-1.1124174606199999</v>
      </c>
      <c r="AH4247">
        <v>20.1427026876217</v>
      </c>
      <c r="AI4247">
        <v>93.156459258543194</v>
      </c>
      <c r="AJ4247">
        <v>93.092313038390898</v>
      </c>
      <c r="AK4247">
        <v>20.202724537515198</v>
      </c>
      <c r="AL4247">
        <v>79.986104776094805</v>
      </c>
      <c r="AM4247">
        <v>93.414510949332097</v>
      </c>
      <c r="AN4247">
        <v>0.99999996790357204</v>
      </c>
    </row>
    <row r="4248" spans="1:40" x14ac:dyDescent="0.25">
      <c r="A4248" t="str">
        <f>"20190312172455805"</f>
        <v>20190312172455805</v>
      </c>
      <c r="B4248" t="str">
        <f>"1552382695794951"</f>
        <v>1552382695794951</v>
      </c>
      <c r="C4248" t="s">
        <v>40</v>
      </c>
      <c r="D4248">
        <v>3.7268309999999998</v>
      </c>
      <c r="E4248">
        <v>0.49672850000000002</v>
      </c>
      <c r="F4248" t="s">
        <v>43</v>
      </c>
      <c r="G4248">
        <v>-268.40519999999998</v>
      </c>
      <c r="H4248" s="1">
        <v>-9.848864000000001E-7</v>
      </c>
      <c r="I4248">
        <v>140.81280000000001</v>
      </c>
      <c r="J4248">
        <v>-247.48929999999999</v>
      </c>
      <c r="K4248">
        <v>1.112428</v>
      </c>
      <c r="L4248">
        <v>141.38220000000001</v>
      </c>
      <c r="M4248">
        <v>-0.99941080000000004</v>
      </c>
      <c r="N4248">
        <v>0</v>
      </c>
      <c r="O4248">
        <v>3.3366550000000002E-2</v>
      </c>
      <c r="P4248">
        <v>-0.98570100000000005</v>
      </c>
      <c r="Q4248">
        <v>0.16676640000000001</v>
      </c>
      <c r="R4248">
        <v>-2.413649E-2</v>
      </c>
      <c r="S4248">
        <v>-3.0685120000000001</v>
      </c>
      <c r="T4248">
        <v>-0.1609207</v>
      </c>
      <c r="U4248">
        <v>-8.1207280000000007E-2</v>
      </c>
      <c r="V4248">
        <v>-5.8205569999999998E-2</v>
      </c>
      <c r="W4248">
        <v>0.17429410000000001</v>
      </c>
      <c r="X4248">
        <v>0.98297179999999995</v>
      </c>
      <c r="Y4248">
        <v>-5.9668890000000002E-2</v>
      </c>
      <c r="Z4248">
        <v>-3.3115760000000001E-3</v>
      </c>
      <c r="AA4248">
        <v>0.99821280000000001</v>
      </c>
      <c r="AB4248">
        <v>33</v>
      </c>
      <c r="AC4248">
        <v>-20.915899999999901</v>
      </c>
      <c r="AD4248">
        <v>-1.1124289848864</v>
      </c>
      <c r="AE4248">
        <v>-0.56940000000000102</v>
      </c>
      <c r="AF4248">
        <v>-1.2634256939289601</v>
      </c>
      <c r="AG4248">
        <v>-1.1124289848864</v>
      </c>
      <c r="AH4248">
        <v>20.826384771493501</v>
      </c>
      <c r="AI4248">
        <v>93.051914439974198</v>
      </c>
      <c r="AJ4248">
        <v>93.471574849002295</v>
      </c>
      <c r="AK4248">
        <v>20.894306530267801</v>
      </c>
      <c r="AL4248">
        <v>79.962417680698493</v>
      </c>
      <c r="AM4248">
        <v>93.388748226873105</v>
      </c>
      <c r="AN4248">
        <v>0.99999994063453501</v>
      </c>
    </row>
    <row r="4249" spans="1:40" x14ac:dyDescent="0.25">
      <c r="A4249" t="str">
        <f>"20190312172455828"</f>
        <v>20190312172455828</v>
      </c>
      <c r="B4249" t="str">
        <f>"1552382695825202"</f>
        <v>1552382695825202</v>
      </c>
      <c r="C4249" t="s">
        <v>40</v>
      </c>
      <c r="D4249">
        <v>3.6944710000000001</v>
      </c>
      <c r="E4249">
        <v>0.49609409999999998</v>
      </c>
      <c r="F4249" t="s">
        <v>43</v>
      </c>
      <c r="G4249">
        <v>-268.98520000000002</v>
      </c>
      <c r="H4249" s="1">
        <v>-7.0490309999999898E-7</v>
      </c>
      <c r="I4249">
        <v>140.69569999999999</v>
      </c>
      <c r="J4249">
        <v>-247.8115</v>
      </c>
      <c r="K4249">
        <v>1.1124449999999999</v>
      </c>
      <c r="L4249">
        <v>141.38990000000001</v>
      </c>
      <c r="M4249">
        <v>-0.99951239999999997</v>
      </c>
      <c r="N4249">
        <v>0</v>
      </c>
      <c r="O4249">
        <v>3.016829E-2</v>
      </c>
      <c r="P4249">
        <v>-0.98564169999999995</v>
      </c>
      <c r="Q4249">
        <v>0.16665439999999901</v>
      </c>
      <c r="R4249">
        <v>-2.7146859999999998E-2</v>
      </c>
      <c r="S4249">
        <v>-3.0679780000000001</v>
      </c>
      <c r="T4249">
        <v>-0.15877060000000001</v>
      </c>
      <c r="U4249">
        <v>-9.7976679999999997E-2</v>
      </c>
      <c r="V4249">
        <v>-5.8068359999999999E-2</v>
      </c>
      <c r="W4249">
        <v>0.17419129999999899</v>
      </c>
      <c r="X4249">
        <v>0.98299820000000004</v>
      </c>
      <c r="Y4249">
        <v>-6.1935219999999999E-2</v>
      </c>
      <c r="Z4249">
        <v>-3.1609780000000001E-3</v>
      </c>
      <c r="AA4249">
        <v>0.99807520000000005</v>
      </c>
      <c r="AB4249">
        <v>33</v>
      </c>
      <c r="AC4249">
        <v>-21.1737</v>
      </c>
      <c r="AD4249">
        <v>-1.1124457049031</v>
      </c>
      <c r="AE4249">
        <v>-0.69420000000002302</v>
      </c>
      <c r="AF4249">
        <v>-1.3290144282037399</v>
      </c>
      <c r="AG4249">
        <v>-1.1124457049031</v>
      </c>
      <c r="AH4249">
        <v>21.084978887062999</v>
      </c>
      <c r="AI4249">
        <v>93.014160569801703</v>
      </c>
      <c r="AJ4249">
        <v>93.606658329613794</v>
      </c>
      <c r="AK4249">
        <v>21.156090127068001</v>
      </c>
      <c r="AL4249">
        <v>79.968399813045806</v>
      </c>
      <c r="AM4249">
        <v>93.380687778947106</v>
      </c>
      <c r="AN4249">
        <v>1.0000000023160001</v>
      </c>
    </row>
    <row r="4250" spans="1:40" x14ac:dyDescent="0.25">
      <c r="A4250" t="str">
        <f>"20190312172455850"</f>
        <v>20190312172455850</v>
      </c>
      <c r="B4250" t="str">
        <f>"1552382695844722"</f>
        <v>1552382695844722</v>
      </c>
      <c r="C4250" t="s">
        <v>40</v>
      </c>
      <c r="D4250">
        <v>3.696437</v>
      </c>
      <c r="E4250">
        <v>0.4960849</v>
      </c>
      <c r="F4250" t="s">
        <v>43</v>
      </c>
      <c r="G4250">
        <v>-269.52350000000001</v>
      </c>
      <c r="H4250" s="1">
        <v>-4.4857180000000002E-7</v>
      </c>
      <c r="I4250">
        <v>140.6003</v>
      </c>
      <c r="J4250">
        <v>-248.14920000000001</v>
      </c>
      <c r="K4250">
        <v>1.112452</v>
      </c>
      <c r="L4250">
        <v>141.39689999999999</v>
      </c>
      <c r="M4250">
        <v>-0.99960729999999998</v>
      </c>
      <c r="N4250">
        <v>0</v>
      </c>
      <c r="O4250">
        <v>2.6832459999999999E-2</v>
      </c>
      <c r="P4250">
        <v>-0.98559560000000002</v>
      </c>
      <c r="Q4250">
        <v>0.16636010000000001</v>
      </c>
      <c r="R4250">
        <v>-3.042514E-2</v>
      </c>
      <c r="S4250">
        <v>-3.067215</v>
      </c>
      <c r="T4250">
        <v>-0.1571536</v>
      </c>
      <c r="U4250">
        <v>-0.11154169999999999</v>
      </c>
      <c r="V4250">
        <v>-5.8060550000000002E-2</v>
      </c>
      <c r="W4250">
        <v>0.1739067</v>
      </c>
      <c r="X4250">
        <v>0.98304899999999995</v>
      </c>
      <c r="Y4250">
        <v>-6.3026570000000004E-2</v>
      </c>
      <c r="Z4250">
        <v>-2.98658E-3</v>
      </c>
      <c r="AA4250">
        <v>0.99800739999999999</v>
      </c>
      <c r="AB4250">
        <v>33</v>
      </c>
      <c r="AC4250">
        <v>-21.374300000000002</v>
      </c>
      <c r="AD4250">
        <v>-1.1124524485717999</v>
      </c>
      <c r="AE4250">
        <v>-0.79659999999998299</v>
      </c>
      <c r="AF4250">
        <v>-1.36616138405299</v>
      </c>
      <c r="AG4250">
        <v>-1.1124524485717999</v>
      </c>
      <c r="AH4250">
        <v>21.2876438586487</v>
      </c>
      <c r="AI4250">
        <v>92.985318919235397</v>
      </c>
      <c r="AJ4250">
        <v>93.671993265493796</v>
      </c>
      <c r="AK4250">
        <v>21.360424350426101</v>
      </c>
      <c r="AL4250">
        <v>79.984958425652493</v>
      </c>
      <c r="AM4250">
        <v>93.380059870307406</v>
      </c>
      <c r="AN4250">
        <v>0.99999995208609505</v>
      </c>
    </row>
    <row r="4251" spans="1:40" x14ac:dyDescent="0.25">
      <c r="A4251" t="str">
        <f>"20190312172455874"</f>
        <v>20190312172455874</v>
      </c>
      <c r="B4251" t="str">
        <f>"1552382695865218"</f>
        <v>1552382695865218</v>
      </c>
      <c r="C4251" t="s">
        <v>40</v>
      </c>
      <c r="D4251">
        <v>3.7049180000000002</v>
      </c>
      <c r="E4251">
        <v>0.49619069999999998</v>
      </c>
      <c r="F4251" t="s">
        <v>43</v>
      </c>
      <c r="G4251">
        <v>-269.98599999999999</v>
      </c>
      <c r="H4251" s="1">
        <v>-4.4440979999999999E-6</v>
      </c>
      <c r="I4251">
        <v>140.5368</v>
      </c>
      <c r="J4251">
        <v>-248.48869999999999</v>
      </c>
      <c r="K4251">
        <v>1.1124419999999999</v>
      </c>
      <c r="L4251">
        <v>141.40280000000001</v>
      </c>
      <c r="M4251">
        <v>-0.99969090000000005</v>
      </c>
      <c r="N4251">
        <v>0</v>
      </c>
      <c r="O4251">
        <v>2.3513389999999999E-2</v>
      </c>
      <c r="P4251">
        <v>-0.98550570000000004</v>
      </c>
      <c r="Q4251">
        <v>0.16624330000000001</v>
      </c>
      <c r="R4251">
        <v>-3.3786150000000001E-2</v>
      </c>
      <c r="S4251">
        <v>-3.0664829999999998</v>
      </c>
      <c r="T4251">
        <v>-0.15621969999999999</v>
      </c>
      <c r="U4251">
        <v>-0.1207733</v>
      </c>
      <c r="V4251">
        <v>-5.8146969999999999E-2</v>
      </c>
      <c r="W4251">
        <v>0.17380010000000001</v>
      </c>
      <c r="X4251">
        <v>0.98306280000000001</v>
      </c>
      <c r="Y4251">
        <v>-6.2727829999999998E-2</v>
      </c>
      <c r="Z4251">
        <v>-2.792887E-3</v>
      </c>
      <c r="AA4251">
        <v>0.99802679999999999</v>
      </c>
      <c r="AB4251">
        <v>33</v>
      </c>
      <c r="AC4251">
        <v>-21.497299999999999</v>
      </c>
      <c r="AD4251">
        <v>-1.112446444098</v>
      </c>
      <c r="AE4251">
        <v>-0.86600000000001298</v>
      </c>
      <c r="AF4251">
        <v>-1.36759512284678</v>
      </c>
      <c r="AG4251">
        <v>-1.112446444098</v>
      </c>
      <c r="AH4251">
        <v>21.413742391894999</v>
      </c>
      <c r="AI4251">
        <v>92.967813616801905</v>
      </c>
      <c r="AJ4251">
        <v>93.654249359887004</v>
      </c>
      <c r="AK4251">
        <v>21.4861866495072</v>
      </c>
      <c r="AL4251">
        <v>79.991161159058095</v>
      </c>
      <c r="AM4251">
        <v>93.385031808332798</v>
      </c>
      <c r="AN4251">
        <v>1.0000000068120101</v>
      </c>
    </row>
    <row r="4252" spans="1:40" x14ac:dyDescent="0.25">
      <c r="A4252" t="str">
        <f>"20190312172455895"</f>
        <v>20190312172455895</v>
      </c>
      <c r="B4252" t="str">
        <f>"1552382695884741"</f>
        <v>1552382695884741</v>
      </c>
      <c r="C4252" t="s">
        <v>40</v>
      </c>
      <c r="D4252">
        <v>3.726855</v>
      </c>
      <c r="E4252">
        <v>0.49641079999999999</v>
      </c>
      <c r="F4252" t="s">
        <v>43</v>
      </c>
      <c r="G4252">
        <v>-270.53440000000001</v>
      </c>
      <c r="H4252" s="1">
        <v>-4.2456940000000001E-6</v>
      </c>
      <c r="I4252">
        <v>140.47040000000001</v>
      </c>
      <c r="J4252">
        <v>-248.80289999999999</v>
      </c>
      <c r="K4252">
        <v>1.112422</v>
      </c>
      <c r="L4252">
        <v>141.40729999999999</v>
      </c>
      <c r="M4252">
        <v>-0.99975720000000001</v>
      </c>
      <c r="N4252">
        <v>0</v>
      </c>
      <c r="O4252">
        <v>2.0498349999999999E-2</v>
      </c>
      <c r="P4252">
        <v>-0.98547200000000001</v>
      </c>
      <c r="Q4252">
        <v>0.16571939999999999</v>
      </c>
      <c r="R4252">
        <v>-3.7177469999999997E-2</v>
      </c>
      <c r="S4252">
        <v>-3.0657809999999999</v>
      </c>
      <c r="T4252">
        <v>-0.15470249999999999</v>
      </c>
      <c r="U4252">
        <v>-0.12965389999999999</v>
      </c>
      <c r="V4252">
        <v>-5.8554549999999997E-2</v>
      </c>
      <c r="W4252">
        <v>0.17328589999999999</v>
      </c>
      <c r="X4252">
        <v>0.98312940000000004</v>
      </c>
      <c r="Y4252">
        <v>-6.2619159999999993E-2</v>
      </c>
      <c r="Z4252">
        <v>-2.6115470000000001E-3</v>
      </c>
      <c r="AA4252">
        <v>0.99803410000000004</v>
      </c>
      <c r="AB4252">
        <v>33</v>
      </c>
      <c r="AC4252">
        <v>-21.7315</v>
      </c>
      <c r="AD4252">
        <v>-1.1124262456939999</v>
      </c>
      <c r="AE4252">
        <v>-0.93689999999997997</v>
      </c>
      <c r="AF4252">
        <v>-1.37857191289981</v>
      </c>
      <c r="AG4252">
        <v>-1.1124262456939999</v>
      </c>
      <c r="AH4252">
        <v>21.651099401841599</v>
      </c>
      <c r="AI4252">
        <v>92.935317980632306</v>
      </c>
      <c r="AJ4252">
        <v>93.643227032926802</v>
      </c>
      <c r="AK4252">
        <v>21.723444892087699</v>
      </c>
      <c r="AL4252">
        <v>80.021076788456099</v>
      </c>
      <c r="AM4252">
        <v>93.408472995036604</v>
      </c>
      <c r="AN4252">
        <v>1.0000000278044301</v>
      </c>
    </row>
    <row r="4253" spans="1:40" x14ac:dyDescent="0.25">
      <c r="A4253" t="str">
        <f>"20190312172455916"</f>
        <v>20190312172455916</v>
      </c>
      <c r="B4253" t="str">
        <f>"1552382695904951"</f>
        <v>1552382695904951</v>
      </c>
      <c r="C4253" t="s">
        <v>40</v>
      </c>
      <c r="D4253">
        <v>3.7131940000000001</v>
      </c>
      <c r="E4253">
        <v>0.49648379999999998</v>
      </c>
      <c r="F4253" t="s">
        <v>43</v>
      </c>
      <c r="G4253">
        <v>-270.69869999999997</v>
      </c>
      <c r="H4253" s="1">
        <v>-4.1813540000000003E-6</v>
      </c>
      <c r="I4253">
        <v>140.4229</v>
      </c>
      <c r="J4253">
        <v>-249.12029999999999</v>
      </c>
      <c r="K4253">
        <v>1.112371</v>
      </c>
      <c r="L4253">
        <v>141.411</v>
      </c>
      <c r="M4253">
        <v>-0.99981350000000002</v>
      </c>
      <c r="N4253">
        <v>0</v>
      </c>
      <c r="O4253">
        <v>1.7537210000000001E-2</v>
      </c>
      <c r="P4253">
        <v>-0.98540099999999997</v>
      </c>
      <c r="Q4253">
        <v>0.1653442</v>
      </c>
      <c r="R4253">
        <v>-4.0576920000000002E-2</v>
      </c>
      <c r="S4253">
        <v>-3.0652010000000001</v>
      </c>
      <c r="T4253">
        <v>-0.15572939999999999</v>
      </c>
      <c r="U4253">
        <v>-0.13780209999999901</v>
      </c>
      <c r="V4253">
        <v>-5.9014049999999998E-2</v>
      </c>
      <c r="W4253">
        <v>0.17292149999999901</v>
      </c>
      <c r="X4253">
        <v>0.98316599999999998</v>
      </c>
      <c r="Y4253">
        <v>-6.2321969999999997E-2</v>
      </c>
      <c r="Z4253">
        <v>-2.4713840000000001E-3</v>
      </c>
      <c r="AA4253">
        <v>0.99805299999999997</v>
      </c>
      <c r="AB4253">
        <v>33</v>
      </c>
      <c r="AC4253">
        <v>-21.578399999999899</v>
      </c>
      <c r="AD4253">
        <v>-1.1123751813539999</v>
      </c>
      <c r="AE4253">
        <v>-0.98810000000000198</v>
      </c>
      <c r="AF4253">
        <v>-1.3627714301474501</v>
      </c>
      <c r="AG4253">
        <v>-1.1123751813539999</v>
      </c>
      <c r="AH4253">
        <v>21.500734744869298</v>
      </c>
      <c r="AI4253">
        <v>92.955728370330704</v>
      </c>
      <c r="AJ4253">
        <v>93.626701321734004</v>
      </c>
      <c r="AK4253">
        <v>21.572577942474801</v>
      </c>
      <c r="AL4253">
        <v>80.0422745436029</v>
      </c>
      <c r="AM4253">
        <v>93.435029212917598</v>
      </c>
      <c r="AN4253">
        <v>0.99999994340782405</v>
      </c>
    </row>
    <row r="4254" spans="1:40" x14ac:dyDescent="0.25">
      <c r="A4254" t="str">
        <f>"20190312172455940"</f>
        <v>20190312172455940</v>
      </c>
      <c r="B4254" t="str">
        <f>"1552382695934231"</f>
        <v>1552382695934231</v>
      </c>
      <c r="C4254" t="s">
        <v>40</v>
      </c>
      <c r="D4254">
        <v>3.7018360000000001</v>
      </c>
      <c r="E4254">
        <v>0.49679960000000001</v>
      </c>
      <c r="F4254" t="s">
        <v>43</v>
      </c>
      <c r="G4254">
        <v>-271.14760000000001</v>
      </c>
      <c r="H4254" s="1">
        <v>-3.976571E-6</v>
      </c>
      <c r="I4254">
        <v>140.35499999999999</v>
      </c>
      <c r="J4254">
        <v>-249.4588</v>
      </c>
      <c r="K4254">
        <v>1.112282</v>
      </c>
      <c r="L4254">
        <v>141.41399999999999</v>
      </c>
      <c r="M4254">
        <v>-0.99986209999999998</v>
      </c>
      <c r="N4254">
        <v>0</v>
      </c>
      <c r="O4254">
        <v>1.450559E-2</v>
      </c>
      <c r="P4254">
        <v>-0.98540079999999997</v>
      </c>
      <c r="Q4254">
        <v>0.16454349999999901</v>
      </c>
      <c r="R4254">
        <v>-4.3714030000000001E-2</v>
      </c>
      <c r="S4254">
        <v>-3.064346</v>
      </c>
      <c r="T4254">
        <v>-0.15474979999999999</v>
      </c>
      <c r="U4254">
        <v>-0.14689639999999901</v>
      </c>
      <c r="V4254">
        <v>-5.9126810000000002E-2</v>
      </c>
      <c r="W4254">
        <v>0.17213989999999901</v>
      </c>
      <c r="X4254">
        <v>0.98329650000000002</v>
      </c>
      <c r="Y4254">
        <v>-6.2269030000000003E-2</v>
      </c>
      <c r="Z4254">
        <v>-2.3021109999999999E-3</v>
      </c>
      <c r="AA4254">
        <v>0.99805679999999997</v>
      </c>
      <c r="AB4254">
        <v>33</v>
      </c>
      <c r="AC4254">
        <v>-21.688800000000001</v>
      </c>
      <c r="AD4254">
        <v>-1.112285976571</v>
      </c>
      <c r="AE4254">
        <v>-1.0589999999999899</v>
      </c>
      <c r="AF4254">
        <v>-1.36991334363353</v>
      </c>
      <c r="AG4254">
        <v>-1.112285976571</v>
      </c>
      <c r="AH4254">
        <v>21.614444429562901</v>
      </c>
      <c r="AI4254">
        <v>92.939971362853996</v>
      </c>
      <c r="AJ4254">
        <v>93.626528925743699</v>
      </c>
      <c r="AK4254">
        <v>21.686356325150701</v>
      </c>
      <c r="AL4254">
        <v>80.087739929052105</v>
      </c>
      <c r="AM4254">
        <v>93.441121212693403</v>
      </c>
      <c r="AN4254">
        <v>1.0000000658725099</v>
      </c>
    </row>
    <row r="4255" spans="1:40" x14ac:dyDescent="0.25">
      <c r="A4255" t="str">
        <f>"20190312172455964"</f>
        <v>20190312172455964</v>
      </c>
      <c r="B4255" t="str">
        <f>"1552382695954726"</f>
        <v>1552382695954726</v>
      </c>
      <c r="C4255" t="s">
        <v>40</v>
      </c>
      <c r="D4255">
        <v>3.6938439999999999</v>
      </c>
      <c r="E4255">
        <v>0.4969459</v>
      </c>
      <c r="F4255" t="s">
        <v>43</v>
      </c>
      <c r="G4255">
        <v>-271.05810000000002</v>
      </c>
      <c r="H4255" s="1">
        <v>-4.0084749999999998E-6</v>
      </c>
      <c r="I4255">
        <v>140.33070000000001</v>
      </c>
      <c r="J4255">
        <v>-249.81909999999999</v>
      </c>
      <c r="K4255">
        <v>1.1121669999999999</v>
      </c>
      <c r="L4255">
        <v>141.41630000000001</v>
      </c>
      <c r="M4255">
        <v>-0.99990140000000005</v>
      </c>
      <c r="N4255">
        <v>0</v>
      </c>
      <c r="O4255">
        <v>1.146871E-2</v>
      </c>
      <c r="P4255">
        <v>-0.98527779999999998</v>
      </c>
      <c r="Q4255">
        <v>0.1644362</v>
      </c>
      <c r="R4255">
        <v>-4.678442E-2</v>
      </c>
      <c r="S4255">
        <v>-3.063965</v>
      </c>
      <c r="T4255">
        <v>-0.1577836</v>
      </c>
      <c r="U4255">
        <v>-0.15367129999999901</v>
      </c>
      <c r="V4255">
        <v>-5.915583E-2</v>
      </c>
      <c r="W4255">
        <v>0.1720554</v>
      </c>
      <c r="X4255">
        <v>0.98330949999999995</v>
      </c>
      <c r="Y4255">
        <v>-6.1446430000000003E-2</v>
      </c>
      <c r="Z4255">
        <v>-2.169991E-3</v>
      </c>
      <c r="AA4255">
        <v>0.998108</v>
      </c>
      <c r="AB4255">
        <v>33</v>
      </c>
      <c r="AC4255">
        <v>-21.239000000000001</v>
      </c>
      <c r="AD4255">
        <v>-1.1121710084749901</v>
      </c>
      <c r="AE4255">
        <v>-1.0855999999999899</v>
      </c>
      <c r="AF4255">
        <v>-1.32549542577418</v>
      </c>
      <c r="AG4255">
        <v>-1.1121710084749901</v>
      </c>
      <c r="AH4255">
        <v>21.167261827019399</v>
      </c>
      <c r="AI4255">
        <v>93.001802253435002</v>
      </c>
      <c r="AJ4255">
        <v>93.583187082291303</v>
      </c>
      <c r="AK4255">
        <v>21.2378632571507</v>
      </c>
      <c r="AL4255">
        <v>80.092654321140003</v>
      </c>
      <c r="AM4255">
        <v>93.442760679528504</v>
      </c>
      <c r="AN4255">
        <v>1.0000000228411901</v>
      </c>
    </row>
    <row r="4256" spans="1:40" x14ac:dyDescent="0.25">
      <c r="A4256" t="str">
        <f>"20190312172455986"</f>
        <v>20190312172455986</v>
      </c>
      <c r="B4256" t="str">
        <f>"1552382695974246"</f>
        <v>1552382695974246</v>
      </c>
      <c r="C4256" t="s">
        <v>40</v>
      </c>
      <c r="D4256">
        <v>3.69231</v>
      </c>
      <c r="E4256">
        <v>0.49721120000000002</v>
      </c>
      <c r="F4256" t="s">
        <v>43</v>
      </c>
      <c r="G4256">
        <v>-271.44810000000001</v>
      </c>
      <c r="H4256" s="1">
        <v>-3.8267909999999999E-6</v>
      </c>
      <c r="I4256">
        <v>140.27670000000001</v>
      </c>
      <c r="J4256">
        <v>-250.16300000000001</v>
      </c>
      <c r="K4256">
        <v>1.112033</v>
      </c>
      <c r="L4256">
        <v>141.4177</v>
      </c>
      <c r="M4256">
        <v>-0.99992859999999995</v>
      </c>
      <c r="N4256">
        <v>0</v>
      </c>
      <c r="O4256">
        <v>8.7833779999999997E-3</v>
      </c>
      <c r="P4256">
        <v>-0.98523300000000003</v>
      </c>
      <c r="Q4256">
        <v>0.16407479999999999</v>
      </c>
      <c r="R4256">
        <v>-4.8944700000000001E-2</v>
      </c>
      <c r="S4256">
        <v>-3.0634769999999998</v>
      </c>
      <c r="T4256">
        <v>-0.1575251</v>
      </c>
      <c r="U4256">
        <v>-0.16140750000000001</v>
      </c>
      <c r="V4256">
        <v>-5.8612560000000001E-2</v>
      </c>
      <c r="W4256">
        <v>0.17172279999999901</v>
      </c>
      <c r="X4256">
        <v>0.98340019999999995</v>
      </c>
      <c r="Y4256">
        <v>-6.1291829999999999E-2</v>
      </c>
      <c r="Z4256">
        <v>-2.024765E-3</v>
      </c>
      <c r="AA4256">
        <v>0.9981179</v>
      </c>
      <c r="AB4256">
        <v>33</v>
      </c>
      <c r="AC4256">
        <v>-21.2851</v>
      </c>
      <c r="AD4256">
        <v>-1.1120368267909999</v>
      </c>
      <c r="AE4256">
        <v>-1.14099999999999</v>
      </c>
      <c r="AF4256">
        <v>-1.3243128129228701</v>
      </c>
      <c r="AG4256">
        <v>-1.1120368267909999</v>
      </c>
      <c r="AH4256">
        <v>21.2165116700086</v>
      </c>
      <c r="AI4256">
        <v>92.994523644147407</v>
      </c>
      <c r="AJ4256">
        <v>93.571709759697697</v>
      </c>
      <c r="AK4256">
        <v>21.2868691397825</v>
      </c>
      <c r="AL4256">
        <v>80.111999113725005</v>
      </c>
      <c r="AM4256">
        <v>93.410904492534101</v>
      </c>
      <c r="AN4256">
        <v>1.0000000527948101</v>
      </c>
    </row>
    <row r="4257" spans="1:40" x14ac:dyDescent="0.25">
      <c r="A4257" t="str">
        <f>"20190312172456008"</f>
        <v>20190312172456008</v>
      </c>
      <c r="B4257" t="str">
        <f>"1552382696005010"</f>
        <v>1552382696005010</v>
      </c>
      <c r="C4257" t="s">
        <v>40</v>
      </c>
      <c r="D4257">
        <v>3.7163390000000001</v>
      </c>
      <c r="E4257">
        <v>0.49768689999999999</v>
      </c>
      <c r="F4257" t="s">
        <v>43</v>
      </c>
      <c r="G4257">
        <v>-271.64269999999999</v>
      </c>
      <c r="H4257" s="1">
        <v>-3.7369620000000002E-6</v>
      </c>
      <c r="I4257">
        <v>140.25280000000001</v>
      </c>
      <c r="J4257">
        <v>-250.4828</v>
      </c>
      <c r="K4257">
        <v>1.1119000000000001</v>
      </c>
      <c r="L4257">
        <v>141.41829999999999</v>
      </c>
      <c r="M4257">
        <v>-0.99994620000000001</v>
      </c>
      <c r="N4257">
        <v>0</v>
      </c>
      <c r="O4257">
        <v>6.450964E-3</v>
      </c>
      <c r="P4257">
        <v>-0.98524330000000004</v>
      </c>
      <c r="Q4257">
        <v>0.1635055</v>
      </c>
      <c r="R4257">
        <v>-5.0615140000000003E-2</v>
      </c>
      <c r="S4257">
        <v>-3.06311</v>
      </c>
      <c r="T4257">
        <v>-0.15858229999999901</v>
      </c>
      <c r="U4257">
        <v>-0.16610720000000001</v>
      </c>
      <c r="V4257">
        <v>-5.7929229999999998E-2</v>
      </c>
      <c r="W4257">
        <v>0.17118159999999999</v>
      </c>
      <c r="X4257">
        <v>0.98353500000000005</v>
      </c>
      <c r="Y4257">
        <v>-6.0499879999999999E-2</v>
      </c>
      <c r="Z4257">
        <v>-1.897428E-3</v>
      </c>
      <c r="AA4257">
        <v>0.99816640000000001</v>
      </c>
      <c r="AB4257">
        <v>33</v>
      </c>
      <c r="AC4257">
        <v>-21.1599</v>
      </c>
      <c r="AD4257">
        <v>-1.111903736962</v>
      </c>
      <c r="AE4257">
        <v>-1.16549999999998</v>
      </c>
      <c r="AF4257">
        <v>-1.2984076082064799</v>
      </c>
      <c r="AG4257">
        <v>-1.111903736962</v>
      </c>
      <c r="AH4257">
        <v>21.0938713672281</v>
      </c>
      <c r="AI4257">
        <v>93.0117027107339</v>
      </c>
      <c r="AJ4257">
        <v>93.522327993550405</v>
      </c>
      <c r="AK4257">
        <v>21.163024393845099</v>
      </c>
      <c r="AL4257">
        <v>80.143473283591604</v>
      </c>
      <c r="AM4257">
        <v>93.370769997830394</v>
      </c>
      <c r="AN4257">
        <v>1.0000000160459701</v>
      </c>
    </row>
    <row r="4258" spans="1:40" x14ac:dyDescent="0.25">
      <c r="A4258" t="str">
        <f>"20190312172456030"</f>
        <v>20190312172456030</v>
      </c>
      <c r="B4258" t="str">
        <f>"1552382696024530"</f>
        <v>1552382696024530</v>
      </c>
      <c r="C4258" t="s">
        <v>40</v>
      </c>
      <c r="D4258">
        <v>3.7079040000000001</v>
      </c>
      <c r="E4258">
        <v>0.49802489999999999</v>
      </c>
      <c r="F4258" t="s">
        <v>43</v>
      </c>
      <c r="G4258">
        <v>-271.67590000000001</v>
      </c>
      <c r="H4258" s="1">
        <v>-3.725133E-6</v>
      </c>
      <c r="I4258">
        <v>140.2619</v>
      </c>
      <c r="J4258">
        <v>-250.8115</v>
      </c>
      <c r="K4258">
        <v>1.1117669999999999</v>
      </c>
      <c r="L4258">
        <v>141.41829999999999</v>
      </c>
      <c r="M4258">
        <v>-0.99995800000000001</v>
      </c>
      <c r="N4258">
        <v>0</v>
      </c>
      <c r="O4258">
        <v>4.2458069999999999E-3</v>
      </c>
      <c r="P4258">
        <v>-0.98528890000000002</v>
      </c>
      <c r="Q4258">
        <v>0.16276109999999999</v>
      </c>
      <c r="R4258">
        <v>-5.210584E-2</v>
      </c>
      <c r="S4258">
        <v>-3.063034</v>
      </c>
      <c r="T4258">
        <v>-0.16070309999999999</v>
      </c>
      <c r="U4258">
        <v>-0.16711429999999999</v>
      </c>
      <c r="V4258">
        <v>-5.7186500000000001E-2</v>
      </c>
      <c r="W4258">
        <v>0.17046749999999999</v>
      </c>
      <c r="X4258">
        <v>0.98370250000000004</v>
      </c>
      <c r="Y4258">
        <v>-5.863032E-2</v>
      </c>
      <c r="Z4258">
        <v>-1.758286E-3</v>
      </c>
      <c r="AA4258">
        <v>0.9982782</v>
      </c>
      <c r="AB4258">
        <v>34</v>
      </c>
      <c r="AC4258">
        <v>-20.8644</v>
      </c>
      <c r="AD4258">
        <v>-1.111770725133</v>
      </c>
      <c r="AE4258">
        <v>-1.1563999999999901</v>
      </c>
      <c r="AF4258">
        <v>-1.2414645587177899</v>
      </c>
      <c r="AG4258">
        <v>-1.111770725133</v>
      </c>
      <c r="AH4258">
        <v>20.800423136417201</v>
      </c>
      <c r="AI4258">
        <v>93.054090794534503</v>
      </c>
      <c r="AJ4258">
        <v>93.415622725147401</v>
      </c>
      <c r="AK4258">
        <v>20.867076245842799</v>
      </c>
      <c r="AL4258">
        <v>80.184998762837395</v>
      </c>
      <c r="AM4258">
        <v>93.327084635669607</v>
      </c>
      <c r="AN4258">
        <v>1.00000003642237</v>
      </c>
    </row>
    <row r="4259" spans="1:40" x14ac:dyDescent="0.25">
      <c r="A4259" t="str">
        <f>"20190312172456052"</f>
        <v>20190312172456052</v>
      </c>
      <c r="B4259" t="str">
        <f>"1552382696045026"</f>
        <v>1552382696045026</v>
      </c>
      <c r="C4259" t="s">
        <v>40</v>
      </c>
      <c r="D4259">
        <v>3.6966290000000002</v>
      </c>
      <c r="E4259">
        <v>0.49832109999999902</v>
      </c>
      <c r="F4259" t="s">
        <v>43</v>
      </c>
      <c r="G4259">
        <v>-271.66550000000001</v>
      </c>
      <c r="H4259" s="1">
        <v>-3.7318809999999999E-6</v>
      </c>
      <c r="I4259">
        <v>140.2705</v>
      </c>
      <c r="J4259">
        <v>-251.14689999999999</v>
      </c>
      <c r="K4259">
        <v>1.111607</v>
      </c>
      <c r="L4259">
        <v>141.4177</v>
      </c>
      <c r="M4259">
        <v>-0.99996439999999998</v>
      </c>
      <c r="N4259">
        <v>0</v>
      </c>
      <c r="O4259">
        <v>2.222978E-3</v>
      </c>
      <c r="P4259">
        <v>-0.98525589999999996</v>
      </c>
      <c r="Q4259">
        <v>0.16248409999999999</v>
      </c>
      <c r="R4259">
        <v>-5.3571349999999997E-2</v>
      </c>
      <c r="S4259">
        <v>-3.0628660000000001</v>
      </c>
      <c r="T4259">
        <v>-0.1632884</v>
      </c>
      <c r="U4259">
        <v>-0.16856380000000001</v>
      </c>
      <c r="V4259">
        <v>-5.6593690000000002E-2</v>
      </c>
      <c r="W4259">
        <v>0.17022079999999901</v>
      </c>
      <c r="X4259">
        <v>0.98377950000000003</v>
      </c>
      <c r="Y4259">
        <v>-5.7087100000000002E-2</v>
      </c>
      <c r="Z4259">
        <v>-1.6378390000000001E-3</v>
      </c>
      <c r="AA4259">
        <v>0.99836780000000003</v>
      </c>
      <c r="AB4259">
        <v>34</v>
      </c>
      <c r="AC4259">
        <v>-20.518599999999999</v>
      </c>
      <c r="AD4259">
        <v>-1.111610731881</v>
      </c>
      <c r="AE4259">
        <v>-1.14719999999999</v>
      </c>
      <c r="AF4259">
        <v>-1.1893312480734799</v>
      </c>
      <c r="AG4259">
        <v>-1.111610731881</v>
      </c>
      <c r="AH4259">
        <v>20.456147053544399</v>
      </c>
      <c r="AI4259">
        <v>93.105226145991793</v>
      </c>
      <c r="AJ4259">
        <v>93.327461112010894</v>
      </c>
      <c r="AK4259">
        <v>20.520822096424698</v>
      </c>
      <c r="AL4259">
        <v>80.199343273059597</v>
      </c>
      <c r="AM4259">
        <v>93.292414351313894</v>
      </c>
      <c r="AN4259">
        <v>1.00000003556035</v>
      </c>
    </row>
    <row r="4260" spans="1:40" x14ac:dyDescent="0.25">
      <c r="A4260" t="str">
        <f>"20190312172456074"</f>
        <v>20190312172456074</v>
      </c>
      <c r="B4260" t="str">
        <f>"1552382696064549"</f>
        <v>1552382696064549</v>
      </c>
      <c r="C4260" t="s">
        <v>40</v>
      </c>
      <c r="D4260">
        <v>3.7142499999999998</v>
      </c>
      <c r="E4260">
        <v>0.49848720000000002</v>
      </c>
      <c r="F4260" t="s">
        <v>43</v>
      </c>
      <c r="G4260">
        <v>-271.90109999999999</v>
      </c>
      <c r="H4260" s="1">
        <v>-3.6284549999999999E-6</v>
      </c>
      <c r="I4260">
        <v>140.26159999999999</v>
      </c>
      <c r="J4260">
        <v>-251.47909999999999</v>
      </c>
      <c r="K4260">
        <v>1.111432</v>
      </c>
      <c r="L4260">
        <v>141.41669999999999</v>
      </c>
      <c r="M4260">
        <v>-0.99996689999999999</v>
      </c>
      <c r="N4260">
        <v>0</v>
      </c>
      <c r="O4260">
        <v>4.581047E-4</v>
      </c>
      <c r="P4260">
        <v>-0.98530949999999995</v>
      </c>
      <c r="Q4260">
        <v>0.1619254</v>
      </c>
      <c r="R4260">
        <v>-5.4272960000000002E-2</v>
      </c>
      <c r="S4260">
        <v>-3.0626530000000001</v>
      </c>
      <c r="T4260">
        <v>-0.16403789999999999</v>
      </c>
      <c r="U4260">
        <v>-0.1705933</v>
      </c>
      <c r="V4260">
        <v>-5.5481799999999998E-2</v>
      </c>
      <c r="W4260">
        <v>0.16969690000000001</v>
      </c>
      <c r="X4260">
        <v>0.98393330000000001</v>
      </c>
      <c r="Y4260">
        <v>-5.5991680000000002E-2</v>
      </c>
      <c r="Z4260">
        <v>-1.5217469999999999E-3</v>
      </c>
      <c r="AA4260">
        <v>0.99843009999999999</v>
      </c>
      <c r="AB4260">
        <v>34</v>
      </c>
      <c r="AC4260">
        <v>-20.422000000000001</v>
      </c>
      <c r="AD4260">
        <v>-1.111435628455</v>
      </c>
      <c r="AE4260">
        <v>-1.1551</v>
      </c>
      <c r="AF4260">
        <v>-1.1610277068404899</v>
      </c>
      <c r="AG4260">
        <v>-1.111435628455</v>
      </c>
      <c r="AH4260">
        <v>20.361352481976599</v>
      </c>
      <c r="AI4260">
        <v>93.119363934154094</v>
      </c>
      <c r="AJ4260">
        <v>93.263537188886005</v>
      </c>
      <c r="AK4260">
        <v>20.424689701132401</v>
      </c>
      <c r="AL4260">
        <v>80.229803377980303</v>
      </c>
      <c r="AM4260">
        <v>93.227363310438705</v>
      </c>
      <c r="AN4260">
        <v>1.0000000034248699</v>
      </c>
    </row>
    <row r="4261" spans="1:40" x14ac:dyDescent="0.25">
      <c r="A4261" t="str">
        <f>"20190312172456106"</f>
        <v>20190312172456106</v>
      </c>
      <c r="B4261" t="str">
        <f>"1552382696094805"</f>
        <v>1552382696094805</v>
      </c>
      <c r="C4261" t="s">
        <v>40</v>
      </c>
      <c r="D4261">
        <v>3.6929349999999999</v>
      </c>
      <c r="E4261">
        <v>0.50448890000000002</v>
      </c>
      <c r="F4261" t="s">
        <v>43</v>
      </c>
      <c r="G4261">
        <v>-272.02159999999998</v>
      </c>
      <c r="H4261" s="1">
        <v>-3.5775590000000002E-6</v>
      </c>
      <c r="I4261">
        <v>140.2646</v>
      </c>
      <c r="J4261">
        <v>-251.96250000000001</v>
      </c>
      <c r="K4261">
        <v>1.1111310000000001</v>
      </c>
      <c r="L4261">
        <v>141.41470000000001</v>
      </c>
      <c r="M4261">
        <v>-0.9999654</v>
      </c>
      <c r="N4261">
        <v>0</v>
      </c>
      <c r="O4261">
        <v>-1.6615709999999999E-3</v>
      </c>
      <c r="P4261">
        <v>-0.98547370000000001</v>
      </c>
      <c r="Q4261">
        <v>0.16064349999999999</v>
      </c>
      <c r="R4261">
        <v>-5.509389E-2</v>
      </c>
      <c r="S4261">
        <v>-3.0625</v>
      </c>
      <c r="T4261">
        <v>-0.165694799999999</v>
      </c>
      <c r="U4261">
        <v>-0.17175289999999999</v>
      </c>
      <c r="V4261">
        <v>-5.4089539999999998E-2</v>
      </c>
      <c r="W4261">
        <v>0.16846929999999999</v>
      </c>
      <c r="X4261">
        <v>0.98422180000000004</v>
      </c>
      <c r="Y4261">
        <v>-5.4258819999999999E-2</v>
      </c>
      <c r="Z4261">
        <v>-1.3758360000000001E-3</v>
      </c>
      <c r="AA4261">
        <v>0.99852600000000002</v>
      </c>
      <c r="AB4261">
        <v>34</v>
      </c>
      <c r="AC4261">
        <v>-20.059099999999901</v>
      </c>
      <c r="AD4261">
        <v>-1.11113457755899</v>
      </c>
      <c r="AE4261">
        <v>-1.1500999999999999</v>
      </c>
      <c r="AF4261">
        <v>-1.11336264993885</v>
      </c>
      <c r="AG4261">
        <v>-1.11113457755899</v>
      </c>
      <c r="AH4261">
        <v>19.999817198196201</v>
      </c>
      <c r="AI4261">
        <v>93.175020340823906</v>
      </c>
      <c r="AJ4261">
        <v>93.186289479604497</v>
      </c>
      <c r="AK4261">
        <v>20.061577315878999</v>
      </c>
      <c r="AL4261">
        <v>80.301167819520899</v>
      </c>
      <c r="AM4261">
        <v>93.145620219532304</v>
      </c>
      <c r="AN4261">
        <v>1.00000006748756</v>
      </c>
    </row>
    <row r="4262" spans="1:40" x14ac:dyDescent="0.25">
      <c r="A4262" t="str">
        <f>"20190312172456128"</f>
        <v>20190312172456128</v>
      </c>
      <c r="B4262" t="str">
        <f>"1552382696125058"</f>
        <v>1552382696125058</v>
      </c>
      <c r="C4262" t="s">
        <v>40</v>
      </c>
      <c r="D4262">
        <v>3.6807110000000001</v>
      </c>
      <c r="E4262">
        <v>0.50469200000000003</v>
      </c>
      <c r="F4262" t="s">
        <v>43</v>
      </c>
      <c r="G4262">
        <v>-271.9556</v>
      </c>
      <c r="H4262" s="1">
        <v>-3.690926E-6</v>
      </c>
      <c r="I4262">
        <v>140.58430000000001</v>
      </c>
      <c r="J4262">
        <v>-252.30199999999999</v>
      </c>
      <c r="K4262">
        <v>1.110914</v>
      </c>
      <c r="L4262">
        <v>141.41299999999899</v>
      </c>
      <c r="M4262">
        <v>-0.99996289999999999</v>
      </c>
      <c r="N4262">
        <v>0</v>
      </c>
      <c r="O4262">
        <v>-2.8305090000000001E-3</v>
      </c>
      <c r="P4262">
        <v>-0.98560320000000001</v>
      </c>
      <c r="Q4262">
        <v>0.1598039</v>
      </c>
      <c r="R4262">
        <v>-5.521997E-2</v>
      </c>
      <c r="S4262">
        <v>-3.06488</v>
      </c>
      <c r="T4262">
        <v>-0.17033409999999999</v>
      </c>
      <c r="U4262">
        <v>-0.12728879999999901</v>
      </c>
      <c r="V4262">
        <v>-5.2973300000000001E-2</v>
      </c>
      <c r="W4262">
        <v>0.16766829999999999</v>
      </c>
      <c r="X4262">
        <v>0.98441920000000005</v>
      </c>
      <c r="Y4262">
        <v>-3.8612189999999998E-2</v>
      </c>
      <c r="Z4262">
        <v>-9.1454709999999996E-4</v>
      </c>
      <c r="AA4262">
        <v>0.99925390000000003</v>
      </c>
      <c r="AB4262">
        <v>34</v>
      </c>
      <c r="AC4262">
        <v>-19.653599999999901</v>
      </c>
      <c r="AD4262">
        <v>-1.1109176909259999</v>
      </c>
      <c r="AE4262">
        <v>-0.82869999999996902</v>
      </c>
      <c r="AF4262">
        <v>-0.770607377277443</v>
      </c>
      <c r="AG4262">
        <v>-1.1109176909259999</v>
      </c>
      <c r="AH4262">
        <v>19.593376001280099</v>
      </c>
      <c r="AI4262">
        <v>93.242616522317107</v>
      </c>
      <c r="AJ4262">
        <v>92.252281879031699</v>
      </c>
      <c r="AK4262">
        <v>19.639968354696101</v>
      </c>
      <c r="AL4262">
        <v>80.347723282983495</v>
      </c>
      <c r="AM4262">
        <v>93.080214170438893</v>
      </c>
      <c r="AN4262">
        <v>0.99999999533320905</v>
      </c>
    </row>
    <row r="4263" spans="1:40" x14ac:dyDescent="0.25">
      <c r="A4263" t="str">
        <f>"20190312172456152"</f>
        <v>20190312172456152</v>
      </c>
      <c r="B4263" t="str">
        <f>"1552382696144578"</f>
        <v>1552382696144578</v>
      </c>
      <c r="C4263" t="s">
        <v>40</v>
      </c>
      <c r="D4263">
        <v>3.6923430000000002</v>
      </c>
      <c r="E4263">
        <v>0.50485749999999996</v>
      </c>
      <c r="F4263" t="s">
        <v>43</v>
      </c>
      <c r="G4263">
        <v>-272.15899999999999</v>
      </c>
      <c r="H4263" s="1">
        <v>-3.6073230000000002E-6</v>
      </c>
      <c r="I4263">
        <v>140.59799999999899</v>
      </c>
      <c r="J4263">
        <v>-252.6574</v>
      </c>
      <c r="K4263">
        <v>1.1107020000000001</v>
      </c>
      <c r="L4263">
        <v>141.4109</v>
      </c>
      <c r="M4263">
        <v>-0.9999595</v>
      </c>
      <c r="N4263">
        <v>0</v>
      </c>
      <c r="O4263">
        <v>-3.8089740000000001E-3</v>
      </c>
      <c r="P4263">
        <v>-0.98566410000000004</v>
      </c>
      <c r="Q4263">
        <v>0.15951460000000001</v>
      </c>
      <c r="R4263">
        <v>-5.497047E-2</v>
      </c>
      <c r="S4263">
        <v>-3.064575</v>
      </c>
      <c r="T4263">
        <v>-0.17145089999999999</v>
      </c>
      <c r="U4263">
        <v>-0.12576289999999901</v>
      </c>
      <c r="V4263">
        <v>-5.167149E-2</v>
      </c>
      <c r="W4263">
        <v>0.16741729999999999</v>
      </c>
      <c r="X4263">
        <v>0.98453109999999999</v>
      </c>
      <c r="Y4263">
        <v>-3.7144900000000002E-2</v>
      </c>
      <c r="Z4263">
        <v>-8.2496390000000005E-4</v>
      </c>
      <c r="AA4263">
        <v>0.99930949999999996</v>
      </c>
      <c r="AB4263">
        <v>34</v>
      </c>
      <c r="AC4263">
        <v>-19.5016</v>
      </c>
      <c r="AD4263">
        <v>-1.1107056073229999</v>
      </c>
      <c r="AE4263">
        <v>-0.81290000000001295</v>
      </c>
      <c r="AF4263">
        <v>-0.73622649805435503</v>
      </c>
      <c r="AG4263">
        <v>-1.1107056073229999</v>
      </c>
      <c r="AH4263">
        <v>19.441599179630298</v>
      </c>
      <c r="AI4263">
        <v>93.267437471986696</v>
      </c>
      <c r="AJ4263">
        <v>92.168675749146999</v>
      </c>
      <c r="AK4263">
        <v>19.487213116912798</v>
      </c>
      <c r="AL4263">
        <v>80.362310678300901</v>
      </c>
      <c r="AM4263">
        <v>93.004317988469396</v>
      </c>
      <c r="AN4263">
        <v>0.99999999104266002</v>
      </c>
    </row>
    <row r="4264" spans="1:40" x14ac:dyDescent="0.25">
      <c r="A4264" t="str">
        <f>"20190312172456175"</f>
        <v>20190312172456175</v>
      </c>
      <c r="B4264" t="str">
        <f>"1552382696165073"</f>
        <v>1552382696165073</v>
      </c>
      <c r="C4264" t="s">
        <v>40</v>
      </c>
      <c r="D4264">
        <v>3.6873469999999999</v>
      </c>
      <c r="E4264">
        <v>0.50517489999999998</v>
      </c>
      <c r="F4264" t="s">
        <v>43</v>
      </c>
      <c r="G4264">
        <v>-272.54509999999999</v>
      </c>
      <c r="H4264" s="1">
        <v>-3.4441600000000002E-6</v>
      </c>
      <c r="I4264">
        <v>140.60730000000001</v>
      </c>
      <c r="J4264">
        <v>-253.00960000000001</v>
      </c>
      <c r="K4264">
        <v>1.1104889999999901</v>
      </c>
      <c r="L4264">
        <v>141.40880000000001</v>
      </c>
      <c r="M4264">
        <v>-0.99995650000000003</v>
      </c>
      <c r="N4264">
        <v>0</v>
      </c>
      <c r="O4264">
        <v>-4.5086309999999999E-3</v>
      </c>
      <c r="P4264">
        <v>-0.98570219999999997</v>
      </c>
      <c r="Q4264">
        <v>0.1595232</v>
      </c>
      <c r="R4264">
        <v>-5.4258540000000001E-2</v>
      </c>
      <c r="S4264">
        <v>-3.064438</v>
      </c>
      <c r="T4264">
        <v>-0.17114579999999999</v>
      </c>
      <c r="U4264">
        <v>-0.12382509999999999</v>
      </c>
      <c r="V4264">
        <v>-5.0183289999999998E-2</v>
      </c>
      <c r="W4264">
        <v>0.16746329999999901</v>
      </c>
      <c r="X4264">
        <v>0.98460020000000004</v>
      </c>
      <c r="Y4264">
        <v>-3.5819940000000002E-2</v>
      </c>
      <c r="Z4264">
        <v>-7.475623E-4</v>
      </c>
      <c r="AA4264">
        <v>0.99935799999999997</v>
      </c>
      <c r="AB4264">
        <v>34</v>
      </c>
      <c r="AC4264">
        <v>-19.5354999999999</v>
      </c>
      <c r="AD4264">
        <v>-1.1104924441599999</v>
      </c>
      <c r="AE4264">
        <v>-0.80150000000000399</v>
      </c>
      <c r="AF4264">
        <v>-0.71111656063961604</v>
      </c>
      <c r="AG4264">
        <v>-1.1104924441599999</v>
      </c>
      <c r="AH4264">
        <v>19.476087188464099</v>
      </c>
      <c r="AI4264">
        <v>93.261203337897896</v>
      </c>
      <c r="AJ4264">
        <v>92.091071262530704</v>
      </c>
      <c r="AK4264">
        <v>19.520677560064499</v>
      </c>
      <c r="AL4264">
        <v>80.359636801220503</v>
      </c>
      <c r="AM4264">
        <v>92.917737396668201</v>
      </c>
      <c r="AN4264">
        <v>0.999999936641075</v>
      </c>
    </row>
    <row r="4265" spans="1:40" x14ac:dyDescent="0.25">
      <c r="A4265" t="str">
        <f>"20190312172456198"</f>
        <v>20190312172456198</v>
      </c>
      <c r="B4265" t="str">
        <f>"1552382696194859"</f>
        <v>1552382696194859</v>
      </c>
      <c r="C4265" t="s">
        <v>40</v>
      </c>
      <c r="D4265">
        <v>3.681565</v>
      </c>
      <c r="E4265">
        <v>0.50565329999999997</v>
      </c>
      <c r="F4265" t="s">
        <v>43</v>
      </c>
      <c r="G4265">
        <v>-272.92340000000002</v>
      </c>
      <c r="H4265" s="1">
        <v>-3.2891750000000001E-6</v>
      </c>
      <c r="I4265">
        <v>140.63470000000001</v>
      </c>
      <c r="J4265">
        <v>-253.35489999999999</v>
      </c>
      <c r="K4265">
        <v>1.1102810000000001</v>
      </c>
      <c r="L4265">
        <v>141.4068</v>
      </c>
      <c r="M4265">
        <v>-0.99995440000000002</v>
      </c>
      <c r="N4265">
        <v>0</v>
      </c>
      <c r="O4265">
        <v>-4.9443179999999996E-3</v>
      </c>
      <c r="P4265">
        <v>-0.98577130000000002</v>
      </c>
      <c r="Q4265">
        <v>0.1593424</v>
      </c>
      <c r="R4265">
        <v>-5.3525530000000002E-2</v>
      </c>
      <c r="S4265">
        <v>-3.0645899999999999</v>
      </c>
      <c r="T4265">
        <v>-0.17089779999999999</v>
      </c>
      <c r="U4265">
        <v>-0.11912540000000001</v>
      </c>
      <c r="V4265">
        <v>-4.8935159999999998E-2</v>
      </c>
      <c r="W4265">
        <v>0.16731760000000001</v>
      </c>
      <c r="X4265">
        <v>0.98468789999999995</v>
      </c>
      <c r="Y4265">
        <v>-3.3856129999999998E-2</v>
      </c>
      <c r="Z4265">
        <v>-6.6750550000000005E-4</v>
      </c>
      <c r="AA4265">
        <v>0.9994265</v>
      </c>
      <c r="AB4265">
        <v>34</v>
      </c>
      <c r="AC4265">
        <v>-19.5685</v>
      </c>
      <c r="AD4265">
        <v>-1.11028428917499</v>
      </c>
      <c r="AE4265">
        <v>-0.77209999999999401</v>
      </c>
      <c r="AF4265">
        <v>-0.67317071626279701</v>
      </c>
      <c r="AG4265">
        <v>-1.11028428917499</v>
      </c>
      <c r="AH4265">
        <v>19.509370711748399</v>
      </c>
      <c r="AI4265">
        <v>93.255273899164905</v>
      </c>
      <c r="AJ4265">
        <v>91.976206481177698</v>
      </c>
      <c r="AK4265">
        <v>19.552530158126501</v>
      </c>
      <c r="AL4265">
        <v>80.368105318522495</v>
      </c>
      <c r="AM4265">
        <v>92.845036874267805</v>
      </c>
      <c r="AN4265">
        <v>1.00000004478019</v>
      </c>
    </row>
    <row r="4266" spans="1:40" x14ac:dyDescent="0.25">
      <c r="A4266" t="str">
        <f>"20190312172456219"</f>
        <v>20190312172456219</v>
      </c>
      <c r="B4266" t="str">
        <f>"1552382696214380"</f>
        <v>1552382696214380</v>
      </c>
      <c r="C4266" t="s">
        <v>40</v>
      </c>
      <c r="D4266">
        <v>3.7188500000000002</v>
      </c>
      <c r="E4266">
        <v>0.50589680000000004</v>
      </c>
      <c r="F4266" t="s">
        <v>43</v>
      </c>
      <c r="G4266">
        <v>-273.33080000000001</v>
      </c>
      <c r="H4266" s="1">
        <v>-3.1238539999999999E-6</v>
      </c>
      <c r="I4266">
        <v>140.6703</v>
      </c>
      <c r="J4266">
        <v>-253.66820000000001</v>
      </c>
      <c r="K4266">
        <v>1.110093</v>
      </c>
      <c r="L4266">
        <v>141.405</v>
      </c>
      <c r="M4266">
        <v>-0.99995339999999999</v>
      </c>
      <c r="N4266">
        <v>0</v>
      </c>
      <c r="O4266">
        <v>-5.1352840000000004E-3</v>
      </c>
      <c r="P4266">
        <v>-0.98589260000000001</v>
      </c>
      <c r="Q4266">
        <v>0.15896550000000001</v>
      </c>
      <c r="R4266">
        <v>-5.2404350000000002E-2</v>
      </c>
      <c r="S4266">
        <v>-3.0647280000000001</v>
      </c>
      <c r="T4266">
        <v>-0.1703411</v>
      </c>
      <c r="U4266">
        <v>-0.1129761</v>
      </c>
      <c r="V4266">
        <v>-4.7549050000000002E-2</v>
      </c>
      <c r="W4266">
        <v>0.16697210000000001</v>
      </c>
      <c r="X4266">
        <v>0.98481439999999998</v>
      </c>
      <c r="Y4266">
        <v>-3.1664970000000001E-2</v>
      </c>
      <c r="Z4266">
        <v>-5.9390140000000001E-4</v>
      </c>
      <c r="AA4266">
        <v>0.99949840000000001</v>
      </c>
      <c r="AB4266">
        <v>34</v>
      </c>
      <c r="AC4266">
        <v>-19.662600000000001</v>
      </c>
      <c r="AD4266">
        <v>-1.1100961238539999</v>
      </c>
      <c r="AE4266">
        <v>-0.73470000000000302</v>
      </c>
      <c r="AF4266">
        <v>-0.63170320653868295</v>
      </c>
      <c r="AG4266">
        <v>-1.1100961238539999</v>
      </c>
      <c r="AH4266">
        <v>19.603715582263298</v>
      </c>
      <c r="AI4266">
        <v>93.239338900148198</v>
      </c>
      <c r="AJ4266">
        <v>91.845640322794097</v>
      </c>
      <c r="AK4266">
        <v>19.6452800177453</v>
      </c>
      <c r="AL4266">
        <v>80.388183011715199</v>
      </c>
      <c r="AM4266">
        <v>92.764222227325803</v>
      </c>
      <c r="AN4266">
        <v>0.99999999839083598</v>
      </c>
    </row>
    <row r="4267" spans="1:40" x14ac:dyDescent="0.25">
      <c r="A4267" t="str">
        <f>"20190312172456240"</f>
        <v>20190312172456240</v>
      </c>
      <c r="B4267" t="str">
        <f>"1552382696234876"</f>
        <v>1552382696234876</v>
      </c>
      <c r="C4267" t="s">
        <v>40</v>
      </c>
      <c r="D4267">
        <v>3.6932390000000002</v>
      </c>
      <c r="E4267">
        <v>0.50606359999999995</v>
      </c>
      <c r="F4267" t="s">
        <v>43</v>
      </c>
      <c r="G4267">
        <v>-273.61829999999998</v>
      </c>
      <c r="H4267" s="1">
        <v>-3.0091640000000002E-6</v>
      </c>
      <c r="I4267">
        <v>140.70269999999999</v>
      </c>
      <c r="J4267">
        <v>-254.01480000000001</v>
      </c>
      <c r="K4267">
        <v>1.1098939999999999</v>
      </c>
      <c r="L4267">
        <v>141.40309999999999</v>
      </c>
      <c r="M4267">
        <v>-0.99995330000000004</v>
      </c>
      <c r="N4267">
        <v>0</v>
      </c>
      <c r="O4267">
        <v>-5.1413980000000001E-3</v>
      </c>
      <c r="P4267">
        <v>-0.98594250000000005</v>
      </c>
      <c r="Q4267">
        <v>0.15912119999999999</v>
      </c>
      <c r="R4267">
        <v>-5.0971620000000002E-2</v>
      </c>
      <c r="S4267">
        <v>-3.0646969999999998</v>
      </c>
      <c r="T4267">
        <v>-0.170531399999999</v>
      </c>
      <c r="U4267">
        <v>-0.1078644</v>
      </c>
      <c r="V4267">
        <v>-4.6027899999999997E-2</v>
      </c>
      <c r="W4267">
        <v>0.16716010000000001</v>
      </c>
      <c r="X4267">
        <v>0.98485480000000003</v>
      </c>
      <c r="Y4267">
        <v>-2.9996740000000001E-2</v>
      </c>
      <c r="Z4267">
        <v>-5.47884E-4</v>
      </c>
      <c r="AA4267">
        <v>0.99954989999999999</v>
      </c>
      <c r="AB4267">
        <v>34</v>
      </c>
      <c r="AC4267">
        <v>-19.603499999999901</v>
      </c>
      <c r="AD4267">
        <v>-1.1098970091639999</v>
      </c>
      <c r="AE4267">
        <v>-0.70040000000000102</v>
      </c>
      <c r="AF4267">
        <v>-0.59768452609121503</v>
      </c>
      <c r="AG4267">
        <v>-1.1098970091639999</v>
      </c>
      <c r="AH4267">
        <v>19.5442724046313</v>
      </c>
      <c r="AI4267">
        <v>93.248755652514205</v>
      </c>
      <c r="AJ4267">
        <v>91.751619648158595</v>
      </c>
      <c r="AK4267">
        <v>19.584884017785502</v>
      </c>
      <c r="AL4267">
        <v>80.377258087595806</v>
      </c>
      <c r="AM4267">
        <v>92.675812553587406</v>
      </c>
      <c r="AN4267">
        <v>1.00000002184672</v>
      </c>
    </row>
    <row r="4268" spans="1:40" x14ac:dyDescent="0.25">
      <c r="A4268" t="str">
        <f>"20190312172456264"</f>
        <v>20190312172456264</v>
      </c>
      <c r="B4268" t="str">
        <f>"1552382696254399"</f>
        <v>1552382696254399</v>
      </c>
      <c r="C4268" t="s">
        <v>40</v>
      </c>
      <c r="D4268">
        <v>3.6910120000000002</v>
      </c>
      <c r="E4268">
        <v>0.50626459999999995</v>
      </c>
      <c r="F4268" t="s">
        <v>43</v>
      </c>
      <c r="G4268">
        <v>-274.04149999999998</v>
      </c>
      <c r="H4268" s="1">
        <v>-2.8363709999999999E-6</v>
      </c>
      <c r="I4268">
        <v>140.73570000000001</v>
      </c>
      <c r="J4268">
        <v>-254.36879999999999</v>
      </c>
      <c r="K4268">
        <v>1.1096870000000001</v>
      </c>
      <c r="L4268">
        <v>141.4014</v>
      </c>
      <c r="M4268">
        <v>-0.99995429999999996</v>
      </c>
      <c r="N4268">
        <v>0</v>
      </c>
      <c r="O4268">
        <v>-4.9179609999999898E-3</v>
      </c>
      <c r="P4268">
        <v>-0.98599420000000004</v>
      </c>
      <c r="Q4268">
        <v>0.1594372</v>
      </c>
      <c r="R4268">
        <v>-4.894453E-2</v>
      </c>
      <c r="S4268">
        <v>-3.0649109999999999</v>
      </c>
      <c r="T4268">
        <v>-0.16985999999999901</v>
      </c>
      <c r="U4268">
        <v>-0.1021271</v>
      </c>
      <c r="V4268">
        <v>-4.4140140000000001E-2</v>
      </c>
      <c r="W4268">
        <v>0.16750709999999999</v>
      </c>
      <c r="X4268">
        <v>0.98488220000000004</v>
      </c>
      <c r="Y4268">
        <v>-2.835118E-2</v>
      </c>
      <c r="Z4268">
        <v>-5.1252760000000002E-4</v>
      </c>
      <c r="AA4268">
        <v>0.99959790000000004</v>
      </c>
      <c r="AB4268">
        <v>34</v>
      </c>
      <c r="AC4268">
        <v>-19.672699999999899</v>
      </c>
      <c r="AD4268">
        <v>-1.1096898363709999</v>
      </c>
      <c r="AE4268">
        <v>-0.66569999999998597</v>
      </c>
      <c r="AF4268">
        <v>-0.56713666462879098</v>
      </c>
      <c r="AG4268">
        <v>-1.1096898363709999</v>
      </c>
      <c r="AH4268">
        <v>19.613401186385602</v>
      </c>
      <c r="AI4268">
        <v>93.236886461524406</v>
      </c>
      <c r="AJ4268">
        <v>91.656290260776402</v>
      </c>
      <c r="AK4268">
        <v>19.652953000183501</v>
      </c>
      <c r="AL4268">
        <v>80.357091557738499</v>
      </c>
      <c r="AM4268">
        <v>92.5661469634356</v>
      </c>
      <c r="AN4268">
        <v>0.999999964193234</v>
      </c>
    </row>
    <row r="4269" spans="1:40" x14ac:dyDescent="0.25">
      <c r="A4269" t="str">
        <f>"20190312172456284"</f>
        <v>20190312172456284</v>
      </c>
      <c r="B4269" t="str">
        <f>"1552382696274891"</f>
        <v>1552382696274891</v>
      </c>
      <c r="C4269" t="s">
        <v>40</v>
      </c>
      <c r="D4269">
        <v>3.6932680000000002</v>
      </c>
      <c r="E4269">
        <v>0.50637600000000005</v>
      </c>
      <c r="F4269" t="s">
        <v>43</v>
      </c>
      <c r="G4269">
        <v>-274.54969999999997</v>
      </c>
      <c r="H4269" s="1">
        <v>-2.6287930000000002E-6</v>
      </c>
      <c r="I4269">
        <v>140.7749</v>
      </c>
      <c r="J4269">
        <v>-254.69069999999999</v>
      </c>
      <c r="K4269">
        <v>1.1095159999999999</v>
      </c>
      <c r="L4269">
        <v>141.40010000000001</v>
      </c>
      <c r="M4269">
        <v>-0.99995599999999996</v>
      </c>
      <c r="N4269">
        <v>0</v>
      </c>
      <c r="O4269">
        <v>-4.5524709999999998E-3</v>
      </c>
      <c r="P4269">
        <v>-0.98622100000000001</v>
      </c>
      <c r="Q4269">
        <v>0.15865290000000001</v>
      </c>
      <c r="R4269">
        <v>-4.6879560000000001E-2</v>
      </c>
      <c r="S4269">
        <v>-3.0651549999999999</v>
      </c>
      <c r="T4269">
        <v>-0.16854469999999999</v>
      </c>
      <c r="U4269">
        <v>-9.5138550000000002E-2</v>
      </c>
      <c r="V4269">
        <v>-4.2366149999999998E-2</v>
      </c>
      <c r="W4269">
        <v>0.1667506</v>
      </c>
      <c r="X4269">
        <v>0.98508850000000003</v>
      </c>
      <c r="Y4269">
        <v>-2.6440020000000002E-2</v>
      </c>
      <c r="Z4269">
        <v>-4.761271E-4</v>
      </c>
      <c r="AA4269">
        <v>0.99965029999999999</v>
      </c>
      <c r="AB4269">
        <v>34</v>
      </c>
      <c r="AC4269">
        <v>-19.858999999999899</v>
      </c>
      <c r="AD4269">
        <v>-1.1095186287929999</v>
      </c>
      <c r="AE4269">
        <v>-0.62520000000000597</v>
      </c>
      <c r="AF4269">
        <v>-0.53312050426533097</v>
      </c>
      <c r="AG4269">
        <v>-1.1095186287929999</v>
      </c>
      <c r="AH4269">
        <v>19.799897576533802</v>
      </c>
      <c r="AI4269">
        <v>93.206145940504697</v>
      </c>
      <c r="AJ4269">
        <v>91.542340122624196</v>
      </c>
      <c r="AK4269">
        <v>19.838124737508199</v>
      </c>
      <c r="AL4269">
        <v>80.401054525291997</v>
      </c>
      <c r="AM4269">
        <v>92.462628119782295</v>
      </c>
      <c r="AN4269">
        <v>1.00000000304921</v>
      </c>
    </row>
    <row r="4270" spans="1:40" x14ac:dyDescent="0.25">
      <c r="A4270" t="str">
        <f>"20190312172456307"</f>
        <v>20190312172456307</v>
      </c>
      <c r="B4270" t="str">
        <f>"1552382696304678"</f>
        <v>1552382696304678</v>
      </c>
      <c r="C4270" t="s">
        <v>40</v>
      </c>
      <c r="D4270">
        <v>3.6632169999999999</v>
      </c>
      <c r="E4270">
        <v>0.50652580000000003</v>
      </c>
      <c r="F4270" t="s">
        <v>43</v>
      </c>
      <c r="G4270">
        <v>-274.5616</v>
      </c>
      <c r="H4270" s="1">
        <v>-2.6381510000000001E-6</v>
      </c>
      <c r="I4270">
        <v>140.82929999999999</v>
      </c>
      <c r="J4270">
        <v>-255.03919999999999</v>
      </c>
      <c r="K4270">
        <v>1.109361</v>
      </c>
      <c r="L4270">
        <v>141.3989</v>
      </c>
      <c r="M4270">
        <v>-0.99995820000000002</v>
      </c>
      <c r="N4270">
        <v>0</v>
      </c>
      <c r="O4270">
        <v>-4.0160990000000004E-3</v>
      </c>
      <c r="P4270">
        <v>-0.9864581</v>
      </c>
      <c r="Q4270">
        <v>0.15791269999999999</v>
      </c>
      <c r="R4270">
        <v>-4.4320129999999999E-2</v>
      </c>
      <c r="S4270">
        <v>-3.0652620000000002</v>
      </c>
      <c r="T4270">
        <v>-0.17115329999999901</v>
      </c>
      <c r="U4270">
        <v>-8.8027949999999994E-2</v>
      </c>
      <c r="V4270">
        <v>-4.027037E-2</v>
      </c>
      <c r="W4270">
        <v>0.16603589999999999</v>
      </c>
      <c r="X4270">
        <v>0.98529710000000004</v>
      </c>
      <c r="Y4270">
        <v>-2.4659150000000001E-2</v>
      </c>
      <c r="Z4270">
        <v>-4.6373440000000002E-4</v>
      </c>
      <c r="AA4270">
        <v>0.99969580000000002</v>
      </c>
      <c r="AB4270">
        <v>34</v>
      </c>
      <c r="AC4270">
        <v>-19.522400000000001</v>
      </c>
      <c r="AD4270">
        <v>-1.1093636381509999</v>
      </c>
      <c r="AE4270">
        <v>-0.56960000000000799</v>
      </c>
      <c r="AF4270">
        <v>-0.48960921774666399</v>
      </c>
      <c r="AG4270">
        <v>-1.1093636381509999</v>
      </c>
      <c r="AH4270">
        <v>19.4617397534929</v>
      </c>
      <c r="AI4270">
        <v>93.261430199056406</v>
      </c>
      <c r="AJ4270">
        <v>91.441116068125197</v>
      </c>
      <c r="AK4270">
        <v>19.499479970000198</v>
      </c>
      <c r="AL4270">
        <v>80.442582706191502</v>
      </c>
      <c r="AM4270">
        <v>92.340450165943807</v>
      </c>
      <c r="AN4270">
        <v>0.99999999902857795</v>
      </c>
    </row>
    <row r="4271" spans="1:40" x14ac:dyDescent="0.25">
      <c r="A4271" t="str">
        <f>"20190312172456331"</f>
        <v>20190312172456331</v>
      </c>
      <c r="B4271" t="str">
        <f>"1552382696325174"</f>
        <v>1552382696325174</v>
      </c>
      <c r="C4271" t="s">
        <v>40</v>
      </c>
      <c r="D4271">
        <v>3.6882410000000001</v>
      </c>
      <c r="E4271">
        <v>0.52384520000000001</v>
      </c>
      <c r="F4271" t="s">
        <v>43</v>
      </c>
      <c r="G4271">
        <v>-274.6771</v>
      </c>
      <c r="H4271" s="1">
        <v>-2.605757E-6</v>
      </c>
      <c r="I4271">
        <v>140.8938</v>
      </c>
      <c r="J4271">
        <v>-255.3982</v>
      </c>
      <c r="K4271">
        <v>1.1092150000000001</v>
      </c>
      <c r="L4271">
        <v>141.398</v>
      </c>
      <c r="M4271">
        <v>-0.99996079999999998</v>
      </c>
      <c r="N4271">
        <v>0</v>
      </c>
      <c r="O4271">
        <v>-3.3351330000000001E-3</v>
      </c>
      <c r="P4271">
        <v>-0.98661989999999999</v>
      </c>
      <c r="Q4271">
        <v>0.15783949999999999</v>
      </c>
      <c r="R4271">
        <v>-4.0845260000000001E-2</v>
      </c>
      <c r="S4271">
        <v>-3.065369</v>
      </c>
      <c r="T4271">
        <v>-0.1731656</v>
      </c>
      <c r="U4271">
        <v>-7.8842159999999994E-2</v>
      </c>
      <c r="V4271">
        <v>-3.7410699999999998E-2</v>
      </c>
      <c r="W4271">
        <v>0.16598379999999999</v>
      </c>
      <c r="X4271">
        <v>0.98541860000000003</v>
      </c>
      <c r="Y4271">
        <v>-2.2347209999999999E-2</v>
      </c>
      <c r="Z4271">
        <v>-4.4237299999999997E-4</v>
      </c>
      <c r="AA4271">
        <v>0.99975020000000003</v>
      </c>
      <c r="AB4271">
        <v>35</v>
      </c>
      <c r="AC4271">
        <v>-19.2789</v>
      </c>
      <c r="AD4271">
        <v>-1.109217605757</v>
      </c>
      <c r="AE4271">
        <v>-0.50419999999999698</v>
      </c>
      <c r="AF4271">
        <v>-0.438446932775654</v>
      </c>
      <c r="AG4271">
        <v>-1.109217605757</v>
      </c>
      <c r="AH4271">
        <v>19.216903923953399</v>
      </c>
      <c r="AI4271">
        <v>93.302642696778094</v>
      </c>
      <c r="AJ4271">
        <v>91.307016013666598</v>
      </c>
      <c r="AK4271">
        <v>19.253882617078499</v>
      </c>
      <c r="AL4271">
        <v>80.445609827516904</v>
      </c>
      <c r="AM4271">
        <v>92.174148449529199</v>
      </c>
      <c r="AN4271">
        <v>0.99999999978144405</v>
      </c>
    </row>
    <row r="4272" spans="1:40" x14ac:dyDescent="0.25">
      <c r="A4272" t="str">
        <f>"20190312172456353"</f>
        <v>20190312172456353</v>
      </c>
      <c r="B4272" t="str">
        <f>"1552382696344693"</f>
        <v>1552382696344693</v>
      </c>
      <c r="C4272" t="s">
        <v>40</v>
      </c>
      <c r="D4272">
        <v>3.7446899999999999</v>
      </c>
      <c r="E4272">
        <v>0.54088700000000001</v>
      </c>
      <c r="F4272" t="s">
        <v>41</v>
      </c>
      <c r="G4272">
        <v>-256.29989999999998</v>
      </c>
      <c r="H4272">
        <v>1.0481119999999999</v>
      </c>
      <c r="I4272">
        <v>141.41849999999999</v>
      </c>
      <c r="J4272">
        <v>-255.7567</v>
      </c>
      <c r="K4272">
        <v>1.109091</v>
      </c>
      <c r="L4272">
        <v>141.39750000000001</v>
      </c>
      <c r="M4272">
        <v>-0.99996300000000005</v>
      </c>
      <c r="N4272">
        <v>0</v>
      </c>
      <c r="O4272">
        <v>-2.5477059999999998E-3</v>
      </c>
      <c r="P4272">
        <v>-0.98689539999999998</v>
      </c>
      <c r="Q4272">
        <v>0.15723210000000001</v>
      </c>
      <c r="R4272">
        <v>-3.6277950000000003E-2</v>
      </c>
      <c r="S4272">
        <v>-3.0769350000000002</v>
      </c>
      <c r="T4272">
        <v>-0.208563</v>
      </c>
      <c r="U4272">
        <v>6.9519040000000004E-2</v>
      </c>
      <c r="V4272">
        <v>-3.3572030000000003E-2</v>
      </c>
      <c r="W4272">
        <v>0.16539309999999999</v>
      </c>
      <c r="X4272">
        <v>0.98565610000000003</v>
      </c>
      <c r="Y4272">
        <v>2.5071570000000001E-2</v>
      </c>
      <c r="Z4272">
        <v>1.021105E-3</v>
      </c>
      <c r="AA4272">
        <v>0.99968509999999999</v>
      </c>
      <c r="AB4272">
        <v>35</v>
      </c>
      <c r="AC4272">
        <v>-0.54319999999998403</v>
      </c>
      <c r="AD4272">
        <v>-6.0978999999999797E-2</v>
      </c>
      <c r="AE4272">
        <v>2.0999999999986502E-2</v>
      </c>
      <c r="AF4272">
        <v>2.2105730746635299E-2</v>
      </c>
      <c r="AG4272">
        <v>-6.0978999999999797E-2</v>
      </c>
      <c r="AH4272">
        <v>0.53639514465148297</v>
      </c>
      <c r="AI4272">
        <v>96.480256855979206</v>
      </c>
      <c r="AJ4272">
        <v>87.640081621906305</v>
      </c>
      <c r="AK4272">
        <v>0.54030255688690598</v>
      </c>
      <c r="AL4272">
        <v>80.479928348202293</v>
      </c>
      <c r="AM4272">
        <v>91.950774006748603</v>
      </c>
      <c r="AN4272">
        <v>0.99999995309656897</v>
      </c>
    </row>
    <row r="4273" spans="1:40" x14ac:dyDescent="0.25">
      <c r="A4273" t="str">
        <f>"20190312172456375"</f>
        <v>20190312172456375</v>
      </c>
      <c r="B4273" t="str">
        <f>"1552382696364213"</f>
        <v>1552382696364213</v>
      </c>
      <c r="C4273" t="s">
        <v>40</v>
      </c>
      <c r="D4273">
        <v>3.734845</v>
      </c>
      <c r="E4273">
        <v>0.54938809999999905</v>
      </c>
      <c r="F4273" t="s">
        <v>41</v>
      </c>
      <c r="G4273">
        <v>-256.61360000000002</v>
      </c>
      <c r="H4273">
        <v>1.0541</v>
      </c>
      <c r="I4273">
        <v>141.4589</v>
      </c>
      <c r="J4273">
        <v>-256.10559999999998</v>
      </c>
      <c r="K4273">
        <v>1.1089899999999999</v>
      </c>
      <c r="L4273">
        <v>141.3973</v>
      </c>
      <c r="M4273">
        <v>-0.99996459999999998</v>
      </c>
      <c r="N4273">
        <v>0</v>
      </c>
      <c r="O4273">
        <v>-1.70315299999999E-3</v>
      </c>
      <c r="P4273">
        <v>-0.98715750000000002</v>
      </c>
      <c r="Q4273">
        <v>0.1566525</v>
      </c>
      <c r="R4273">
        <v>-3.1315049999999997E-2</v>
      </c>
      <c r="S4273">
        <v>-3.0794069999999998</v>
      </c>
      <c r="T4273">
        <v>-0.1976658</v>
      </c>
      <c r="U4273">
        <v>0.21936040000000001</v>
      </c>
      <c r="V4273">
        <v>-2.940334E-2</v>
      </c>
      <c r="W4273">
        <v>0.16482639999999901</v>
      </c>
      <c r="X4273">
        <v>0.98588419999999999</v>
      </c>
      <c r="Y4273">
        <v>7.2601209999999999E-2</v>
      </c>
      <c r="Z4273">
        <v>2.433869E-3</v>
      </c>
      <c r="AA4273">
        <v>0.99735810000000003</v>
      </c>
      <c r="AB4273">
        <v>35</v>
      </c>
      <c r="AC4273">
        <v>-0.50800000000003798</v>
      </c>
      <c r="AD4273">
        <v>-5.48899999999998E-2</v>
      </c>
      <c r="AE4273">
        <v>6.1599999999998503E-2</v>
      </c>
      <c r="AF4273">
        <v>6.17546009733154E-2</v>
      </c>
      <c r="AG4273">
        <v>-5.48899999999998E-2</v>
      </c>
      <c r="AH4273">
        <v>0.50211704891507403</v>
      </c>
      <c r="AI4273">
        <v>96.192347511954196</v>
      </c>
      <c r="AJ4273">
        <v>82.988491418498199</v>
      </c>
      <c r="AK4273">
        <v>0.50886940726728302</v>
      </c>
      <c r="AL4273">
        <v>80.512849938115295</v>
      </c>
      <c r="AM4273">
        <v>91.708302098077397</v>
      </c>
      <c r="AN4273">
        <v>0.99999997717487699</v>
      </c>
    </row>
    <row r="4274" spans="1:40" x14ac:dyDescent="0.25">
      <c r="A4274" t="str">
        <f>"20190312172456399"</f>
        <v>20190312172456399</v>
      </c>
      <c r="B4274" t="str">
        <f>"1552382696394469"</f>
        <v>1552382696394469</v>
      </c>
      <c r="C4274" t="s">
        <v>40</v>
      </c>
      <c r="D4274">
        <v>3.6858819999999999</v>
      </c>
      <c r="E4274">
        <v>0.55519770000000002</v>
      </c>
      <c r="F4274" t="s">
        <v>41</v>
      </c>
      <c r="G4274">
        <v>-256.9341</v>
      </c>
      <c r="H4274">
        <v>1.0564260000000001</v>
      </c>
      <c r="I4274">
        <v>141.47890000000001</v>
      </c>
      <c r="J4274">
        <v>-256.46129999999999</v>
      </c>
      <c r="K4274">
        <v>1.1089070000000001</v>
      </c>
      <c r="L4274">
        <v>141.39750000000001</v>
      </c>
      <c r="M4274">
        <v>-0.99996560000000001</v>
      </c>
      <c r="N4274">
        <v>0</v>
      </c>
      <c r="O4274">
        <v>-7.9009429999999997E-4</v>
      </c>
      <c r="P4274">
        <v>-0.98739650000000001</v>
      </c>
      <c r="Q4274">
        <v>0.15599289999999999</v>
      </c>
      <c r="R4274">
        <v>-2.6727580000000001E-2</v>
      </c>
      <c r="S4274">
        <v>-3.0796809999999999</v>
      </c>
      <c r="T4274">
        <v>-0.19546040000000001</v>
      </c>
      <c r="U4274">
        <v>0.30274959999999901</v>
      </c>
      <c r="V4274">
        <v>-2.5685070000000001E-2</v>
      </c>
      <c r="W4274">
        <v>0.16417779999999901</v>
      </c>
      <c r="X4274">
        <v>0.98609630000000004</v>
      </c>
      <c r="Y4274">
        <v>9.8422499999999996E-2</v>
      </c>
      <c r="Z4274">
        <v>3.1626860000000001E-3</v>
      </c>
      <c r="AA4274">
        <v>0.99513969999999896</v>
      </c>
      <c r="AB4274">
        <v>35</v>
      </c>
      <c r="AC4274">
        <v>-0.47280000000000599</v>
      </c>
      <c r="AD4274">
        <v>-5.2480999999999701E-2</v>
      </c>
      <c r="AE4274">
        <v>8.1400000000002096E-2</v>
      </c>
      <c r="AF4274">
        <v>8.0806580282819201E-2</v>
      </c>
      <c r="AG4274">
        <v>-5.2480999999999701E-2</v>
      </c>
      <c r="AH4274">
        <v>0.46714548813583801</v>
      </c>
      <c r="AI4274">
        <v>96.316925562251697</v>
      </c>
      <c r="AJ4274">
        <v>80.186120544366503</v>
      </c>
      <c r="AK4274">
        <v>0.47697889456838</v>
      </c>
      <c r="AL4274">
        <v>80.550525392563799</v>
      </c>
      <c r="AM4274">
        <v>91.492058560926793</v>
      </c>
      <c r="AN4274">
        <v>0.99999999285371699</v>
      </c>
    </row>
    <row r="4275" spans="1:40" x14ac:dyDescent="0.25">
      <c r="A4275" t="str">
        <f>"20190312172456419"</f>
        <v>20190312172456419</v>
      </c>
      <c r="B4275" t="str">
        <f>"1552382696414966"</f>
        <v>1552382696414966</v>
      </c>
      <c r="C4275" t="s">
        <v>40</v>
      </c>
      <c r="D4275">
        <v>3.7360069999999999</v>
      </c>
      <c r="E4275">
        <v>0.55723009999999995</v>
      </c>
      <c r="F4275" t="s">
        <v>43</v>
      </c>
      <c r="G4275">
        <v>-273.89210000000003</v>
      </c>
      <c r="H4275" s="1">
        <v>-3.6245300000000002E-6</v>
      </c>
      <c r="I4275">
        <v>143.45689999999999</v>
      </c>
      <c r="J4275">
        <v>-256.7799</v>
      </c>
      <c r="K4275">
        <v>1.1088450000000001</v>
      </c>
      <c r="L4275">
        <v>141.39789999999999</v>
      </c>
      <c r="M4275">
        <v>-0.99996580000000002</v>
      </c>
      <c r="N4275">
        <v>0</v>
      </c>
      <c r="O4275" s="1">
        <v>5.6001410000000003E-5</v>
      </c>
      <c r="P4275">
        <v>-0.98747660000000004</v>
      </c>
      <c r="Q4275">
        <v>0.1561545</v>
      </c>
      <c r="R4275">
        <v>-2.249485E-2</v>
      </c>
      <c r="S4275">
        <v>-3.0791019999999998</v>
      </c>
      <c r="T4275">
        <v>-0.1958869</v>
      </c>
      <c r="U4275">
        <v>0.36381530000000001</v>
      </c>
      <c r="V4275">
        <v>-2.2264010000000001E-2</v>
      </c>
      <c r="W4275">
        <v>0.16434570000000001</v>
      </c>
      <c r="X4275">
        <v>0.98615149999999996</v>
      </c>
      <c r="Y4275">
        <v>0.11705119999999999</v>
      </c>
      <c r="Z4275">
        <v>3.703132E-3</v>
      </c>
      <c r="AA4275">
        <v>0.99311899999999997</v>
      </c>
      <c r="AB4275">
        <v>35</v>
      </c>
      <c r="AC4275">
        <v>-17.112200000000001</v>
      </c>
      <c r="AD4275">
        <v>-1.10884862453</v>
      </c>
      <c r="AE4275">
        <v>2.0589999999999899</v>
      </c>
      <c r="AF4275">
        <v>2.0495586335398501</v>
      </c>
      <c r="AG4275">
        <v>-1.10884862453</v>
      </c>
      <c r="AH4275">
        <v>17.041780187756299</v>
      </c>
      <c r="AI4275">
        <v>93.6962262196555</v>
      </c>
      <c r="AJ4275">
        <v>83.142163303497696</v>
      </c>
      <c r="AK4275">
        <v>17.2003635959314</v>
      </c>
      <c r="AL4275">
        <v>80.540772916384597</v>
      </c>
      <c r="AM4275">
        <v>91.293327791605606</v>
      </c>
      <c r="AN4275">
        <v>0.99999998810100899</v>
      </c>
    </row>
    <row r="4276" spans="1:40" x14ac:dyDescent="0.25">
      <c r="A4276" t="str">
        <f>"20190312172456442"</f>
        <v>20190312172456442</v>
      </c>
      <c r="B4276" t="str">
        <f>"1552382696434489"</f>
        <v>1552382696434489</v>
      </c>
      <c r="C4276" t="s">
        <v>40</v>
      </c>
      <c r="D4276">
        <v>3.7229049999999999</v>
      </c>
      <c r="E4276">
        <v>0.55848279999999995</v>
      </c>
      <c r="F4276" t="s">
        <v>43</v>
      </c>
      <c r="G4276">
        <v>-274.36410000000001</v>
      </c>
      <c r="H4276" s="1">
        <v>-3.4717460000000001E-6</v>
      </c>
      <c r="I4276">
        <v>143.6437</v>
      </c>
      <c r="J4276">
        <v>-257.13799999999998</v>
      </c>
      <c r="K4276">
        <v>1.108795</v>
      </c>
      <c r="L4276">
        <v>141.39879999999999</v>
      </c>
      <c r="M4276">
        <v>-0.9999654</v>
      </c>
      <c r="N4276">
        <v>0</v>
      </c>
      <c r="O4276">
        <v>1.0242739999999999E-3</v>
      </c>
      <c r="P4276">
        <v>-0.98752660000000003</v>
      </c>
      <c r="Q4276">
        <v>0.1563331</v>
      </c>
      <c r="R4276">
        <v>-1.874961E-2</v>
      </c>
      <c r="S4276">
        <v>-3.0776979999999998</v>
      </c>
      <c r="T4276">
        <v>-0.1940781</v>
      </c>
      <c r="U4276">
        <v>0.39308169999999998</v>
      </c>
      <c r="V4276">
        <v>-1.9455070000000001E-2</v>
      </c>
      <c r="W4276">
        <v>0.16453110000000001</v>
      </c>
      <c r="X4276">
        <v>0.98617999999999995</v>
      </c>
      <c r="Y4276">
        <v>0.12543099999999999</v>
      </c>
      <c r="Z4276">
        <v>3.8706830000000002E-3</v>
      </c>
      <c r="AA4276">
        <v>0.99209480000000005</v>
      </c>
      <c r="AB4276">
        <v>35</v>
      </c>
      <c r="AC4276">
        <v>-17.226099999999999</v>
      </c>
      <c r="AD4276">
        <v>-1.108798471746</v>
      </c>
      <c r="AE4276">
        <v>2.2448999999999999</v>
      </c>
      <c r="AF4276">
        <v>2.2182170314182299</v>
      </c>
      <c r="AG4276">
        <v>-1.108798471746</v>
      </c>
      <c r="AH4276">
        <v>17.158487320691599</v>
      </c>
      <c r="AI4276">
        <v>93.666938055170803</v>
      </c>
      <c r="AJ4276">
        <v>82.633764757641501</v>
      </c>
      <c r="AK4276">
        <v>17.336770402348701</v>
      </c>
      <c r="AL4276">
        <v>80.530003675260701</v>
      </c>
      <c r="AM4276">
        <v>91.130167746791301</v>
      </c>
      <c r="AN4276">
        <v>0.99999998750795704</v>
      </c>
    </row>
    <row r="4277" spans="1:40" x14ac:dyDescent="0.25">
      <c r="A4277" t="str">
        <f>"20190312172456464"</f>
        <v>20190312172456464</v>
      </c>
      <c r="B4277" t="str">
        <f>"1552382696454984"</f>
        <v>1552382696454984</v>
      </c>
      <c r="C4277" t="s">
        <v>40</v>
      </c>
      <c r="D4277">
        <v>3.7153619999999998</v>
      </c>
      <c r="E4277">
        <v>0.55920740000000002</v>
      </c>
      <c r="F4277" t="s">
        <v>41</v>
      </c>
      <c r="G4277">
        <v>-258.17759999999998</v>
      </c>
      <c r="H4277">
        <v>1.04345</v>
      </c>
      <c r="I4277">
        <v>141.53899999999999</v>
      </c>
      <c r="J4277">
        <v>-257.4896</v>
      </c>
      <c r="K4277">
        <v>1.1087659999999999</v>
      </c>
      <c r="L4277">
        <v>141.4</v>
      </c>
      <c r="M4277">
        <v>-0.99996379999999996</v>
      </c>
      <c r="N4277">
        <v>0</v>
      </c>
      <c r="O4277">
        <v>1.9852229999999999E-3</v>
      </c>
      <c r="P4277">
        <v>-0.98752099999999998</v>
      </c>
      <c r="Q4277">
        <v>0.1566456</v>
      </c>
      <c r="R4277">
        <v>-1.6266659999999999E-2</v>
      </c>
      <c r="S4277">
        <v>-3.0763850000000001</v>
      </c>
      <c r="T4277">
        <v>-0.19337109999999999</v>
      </c>
      <c r="U4277">
        <v>0.4145508</v>
      </c>
      <c r="V4277">
        <v>-1.7905549999999999E-2</v>
      </c>
      <c r="W4277">
        <v>0.16485129999999901</v>
      </c>
      <c r="X4277">
        <v>0.98615589999999997</v>
      </c>
      <c r="Y4277">
        <v>0.1313271</v>
      </c>
      <c r="Z4277">
        <v>3.9807180000000003E-3</v>
      </c>
      <c r="AA4277">
        <v>0.99133110000000002</v>
      </c>
      <c r="AB4277">
        <v>35</v>
      </c>
      <c r="AC4277">
        <v>-0.68799999999998795</v>
      </c>
      <c r="AD4277">
        <v>-6.5315999999999902E-2</v>
      </c>
      <c r="AE4277">
        <v>0.138999999999981</v>
      </c>
      <c r="AF4277">
        <v>0.136452252217862</v>
      </c>
      <c r="AG4277">
        <v>-6.5315999999999902E-2</v>
      </c>
      <c r="AH4277">
        <v>0.68236572660518602</v>
      </c>
      <c r="AI4277">
        <v>95.362167274422205</v>
      </c>
      <c r="AJ4277">
        <v>78.691754380362497</v>
      </c>
      <c r="AK4277">
        <v>0.69893374638570005</v>
      </c>
      <c r="AL4277">
        <v>80.511403795709597</v>
      </c>
      <c r="AM4277">
        <v>91.040200366295196</v>
      </c>
      <c r="AN4277">
        <v>1.0000000094686501</v>
      </c>
    </row>
    <row r="4278" spans="1:40" x14ac:dyDescent="0.25">
      <c r="A4278" t="str">
        <f>"20190312172456486"</f>
        <v>20190312172456486</v>
      </c>
      <c r="B4278" t="str">
        <f>"1552382696474502"</f>
        <v>1552382696474502</v>
      </c>
      <c r="C4278" t="s">
        <v>40</v>
      </c>
      <c r="D4278">
        <v>3.7115330000000002</v>
      </c>
      <c r="E4278">
        <v>0.55944839999999996</v>
      </c>
      <c r="F4278" t="s">
        <v>43</v>
      </c>
      <c r="G4278">
        <v>-275.19</v>
      </c>
      <c r="H4278" s="1">
        <v>-3.1761520000000001E-6</v>
      </c>
      <c r="I4278">
        <v>143.86449999999999</v>
      </c>
      <c r="J4278">
        <v>-257.8304</v>
      </c>
      <c r="K4278">
        <v>1.108743</v>
      </c>
      <c r="L4278">
        <v>141.4015</v>
      </c>
      <c r="M4278">
        <v>-0.9999614</v>
      </c>
      <c r="N4278">
        <v>0</v>
      </c>
      <c r="O4278">
        <v>2.919399E-3</v>
      </c>
      <c r="P4278">
        <v>-0.98742479999999999</v>
      </c>
      <c r="Q4278">
        <v>0.15744040000000001</v>
      </c>
      <c r="R4278">
        <v>-1.431088E-2</v>
      </c>
      <c r="S4278">
        <v>-3.0755309999999998</v>
      </c>
      <c r="T4278">
        <v>-0.1926544</v>
      </c>
      <c r="U4278">
        <v>0.42822270000000001</v>
      </c>
      <c r="V4278">
        <v>-1.6859320000000001E-2</v>
      </c>
      <c r="W4278">
        <v>0.1656532</v>
      </c>
      <c r="X4278">
        <v>0.98603989999999997</v>
      </c>
      <c r="Y4278">
        <v>0.1347594</v>
      </c>
      <c r="Z4278">
        <v>4.0146000000000001E-3</v>
      </c>
      <c r="AA4278">
        <v>0.99087020000000003</v>
      </c>
      <c r="AB4278">
        <v>35</v>
      </c>
      <c r="AC4278">
        <v>-17.3596</v>
      </c>
      <c r="AD4278">
        <v>-1.1087461761519899</v>
      </c>
      <c r="AE4278">
        <v>2.4629999999999899</v>
      </c>
      <c r="AF4278">
        <v>2.4027002567678202</v>
      </c>
      <c r="AG4278">
        <v>-1.1087461761519899</v>
      </c>
      <c r="AH4278">
        <v>17.297547387056401</v>
      </c>
      <c r="AI4278">
        <v>93.632770171927504</v>
      </c>
      <c r="AJ4278">
        <v>82.0919822446739</v>
      </c>
      <c r="AK4278">
        <v>17.498783735290399</v>
      </c>
      <c r="AL4278">
        <v>80.464817259718899</v>
      </c>
      <c r="AM4278">
        <v>90.9795483600533</v>
      </c>
      <c r="AN4278">
        <v>0.99999995186655499</v>
      </c>
    </row>
    <row r="4279" spans="1:40" x14ac:dyDescent="0.25">
      <c r="A4279" t="str">
        <f>"20190312172456508"</f>
        <v>20190312172456508</v>
      </c>
      <c r="B4279" t="str">
        <f>"1552382696504758"</f>
        <v>1552382696504758</v>
      </c>
      <c r="C4279" t="s">
        <v>40</v>
      </c>
      <c r="D4279">
        <v>3.716825</v>
      </c>
      <c r="E4279">
        <v>0.55945959999999995</v>
      </c>
      <c r="F4279" t="s">
        <v>43</v>
      </c>
      <c r="G4279">
        <v>-275.76569999999998</v>
      </c>
      <c r="H4279" s="1">
        <v>-2.9511579999999999E-6</v>
      </c>
      <c r="I4279">
        <v>143.9469</v>
      </c>
      <c r="J4279">
        <v>-258.18419999999998</v>
      </c>
      <c r="K4279">
        <v>1.1087180000000001</v>
      </c>
      <c r="L4279">
        <v>141.4034</v>
      </c>
      <c r="M4279">
        <v>-0.99995800000000001</v>
      </c>
      <c r="N4279">
        <v>0</v>
      </c>
      <c r="O4279">
        <v>3.8885819999999998E-3</v>
      </c>
      <c r="P4279">
        <v>-0.98730469999999904</v>
      </c>
      <c r="Q4279">
        <v>0.15828800000000001</v>
      </c>
      <c r="R4279">
        <v>-1.31894E-2</v>
      </c>
      <c r="S4279">
        <v>-3.0748289999999998</v>
      </c>
      <c r="T4279">
        <v>-0.19008459999999999</v>
      </c>
      <c r="U4279">
        <v>0.43640139999999999</v>
      </c>
      <c r="V4279">
        <v>-1.6683380000000001E-2</v>
      </c>
      <c r="W4279">
        <v>0.16650989999999999</v>
      </c>
      <c r="X4279">
        <v>0.98589859999999896</v>
      </c>
      <c r="Y4279">
        <v>0.1364197</v>
      </c>
      <c r="Z4279">
        <v>3.952779E-3</v>
      </c>
      <c r="AA4279">
        <v>0.9906433</v>
      </c>
      <c r="AB4279">
        <v>35</v>
      </c>
      <c r="AC4279">
        <v>-17.581499999999998</v>
      </c>
      <c r="AD4279">
        <v>-1.1087209511579901</v>
      </c>
      <c r="AE4279">
        <v>2.5434999999999901</v>
      </c>
      <c r="AF4279">
        <v>2.46550750328141</v>
      </c>
      <c r="AG4279">
        <v>-1.1087209511579901</v>
      </c>
      <c r="AH4279">
        <v>17.523001273123199</v>
      </c>
      <c r="AI4279">
        <v>93.585190447615503</v>
      </c>
      <c r="AJ4279">
        <v>81.990989282981104</v>
      </c>
      <c r="AK4279">
        <v>17.730300702868799</v>
      </c>
      <c r="AL4279">
        <v>80.415040799100495</v>
      </c>
      <c r="AM4279">
        <v>90.969466877124106</v>
      </c>
      <c r="AN4279">
        <v>0.999999965724096</v>
      </c>
    </row>
    <row r="4280" spans="1:40" x14ac:dyDescent="0.25">
      <c r="A4280" t="str">
        <f>"20190312172456532"</f>
        <v>20190312172456532</v>
      </c>
      <c r="B4280" t="str">
        <f>"1552382696524278"</f>
        <v>1552382696524278</v>
      </c>
      <c r="C4280" t="s">
        <v>40</v>
      </c>
      <c r="D4280">
        <v>3.7268569999999999</v>
      </c>
      <c r="E4280">
        <v>0.55939819999999996</v>
      </c>
      <c r="F4280" t="s">
        <v>43</v>
      </c>
      <c r="G4280">
        <v>-276.40359999999998</v>
      </c>
      <c r="H4280" s="1">
        <v>-2.6944840000000002E-6</v>
      </c>
      <c r="I4280">
        <v>144.01079999999999</v>
      </c>
      <c r="J4280">
        <v>-258.55329999999998</v>
      </c>
      <c r="K4280">
        <v>1.1086959999999999</v>
      </c>
      <c r="L4280">
        <v>141.4058</v>
      </c>
      <c r="M4280">
        <v>-0.9999536</v>
      </c>
      <c r="N4280">
        <v>0</v>
      </c>
      <c r="O4280">
        <v>4.8981449999999996E-3</v>
      </c>
      <c r="P4280">
        <v>-0.98720730000000001</v>
      </c>
      <c r="Q4280">
        <v>0.15894800000000001</v>
      </c>
      <c r="R4280">
        <v>-1.254712E-2</v>
      </c>
      <c r="S4280">
        <v>-3.0744929999999999</v>
      </c>
      <c r="T4280">
        <v>-0.1870956</v>
      </c>
      <c r="U4280">
        <v>0.44000240000000002</v>
      </c>
      <c r="V4280">
        <v>-1.7027899999999999E-2</v>
      </c>
      <c r="W4280">
        <v>0.16717989999999999</v>
      </c>
      <c r="X4280">
        <v>0.98577930000000002</v>
      </c>
      <c r="Y4280">
        <v>0.13658110000000001</v>
      </c>
      <c r="Z4280">
        <v>3.8346600000000002E-3</v>
      </c>
      <c r="AA4280">
        <v>0.99062139999999999</v>
      </c>
      <c r="AB4280">
        <v>35</v>
      </c>
      <c r="AC4280">
        <v>-17.850300000000001</v>
      </c>
      <c r="AD4280">
        <v>-1.1086986944839901</v>
      </c>
      <c r="AE4280">
        <v>2.60499999999998</v>
      </c>
      <c r="AF4280">
        <v>2.50805864080731</v>
      </c>
      <c r="AG4280">
        <v>-1.1086986944839901</v>
      </c>
      <c r="AH4280">
        <v>17.7956261739212</v>
      </c>
      <c r="AI4280">
        <v>93.5302209027451</v>
      </c>
      <c r="AJ4280">
        <v>81.977753398535398</v>
      </c>
      <c r="AK4280">
        <v>18.0056624944162</v>
      </c>
      <c r="AL4280">
        <v>80.376106725073001</v>
      </c>
      <c r="AM4280">
        <v>90.989602629150397</v>
      </c>
      <c r="AN4280">
        <v>0.99999994832545303</v>
      </c>
    </row>
    <row r="4281" spans="1:40" x14ac:dyDescent="0.25">
      <c r="A4281" t="str">
        <f>"20190312172456553"</f>
        <v>20190312172456553</v>
      </c>
      <c r="B4281" t="str">
        <f>"1552382696544777"</f>
        <v>1552382696544777</v>
      </c>
      <c r="C4281" t="s">
        <v>40</v>
      </c>
      <c r="D4281">
        <v>3.6865060000000001</v>
      </c>
      <c r="E4281">
        <v>0.5593108</v>
      </c>
      <c r="F4281" t="s">
        <v>43</v>
      </c>
      <c r="G4281">
        <v>-276.84859999999998</v>
      </c>
      <c r="H4281" s="1">
        <v>-2.5082770000000002E-6</v>
      </c>
      <c r="I4281">
        <v>144.02850000000001</v>
      </c>
      <c r="J4281">
        <v>-258.89609999999999</v>
      </c>
      <c r="K4281">
        <v>1.1086800000000001</v>
      </c>
      <c r="L4281">
        <v>141.4083</v>
      </c>
      <c r="M4281">
        <v>-0.99994839999999996</v>
      </c>
      <c r="N4281">
        <v>0</v>
      </c>
      <c r="O4281">
        <v>5.8335879999999998E-3</v>
      </c>
      <c r="P4281">
        <v>-0.98732660000000005</v>
      </c>
      <c r="Q4281">
        <v>0.15827479999999999</v>
      </c>
      <c r="R4281">
        <v>-1.1634490000000001E-2</v>
      </c>
      <c r="S4281">
        <v>-3.0744630000000002</v>
      </c>
      <c r="T4281">
        <v>-0.18631410000000001</v>
      </c>
      <c r="U4281">
        <v>0.44075009999999998</v>
      </c>
      <c r="V4281">
        <v>-1.7034540000000001E-2</v>
      </c>
      <c r="W4281">
        <v>0.1665179</v>
      </c>
      <c r="X4281">
        <v>0.98589130000000003</v>
      </c>
      <c r="Y4281">
        <v>0.13589670000000001</v>
      </c>
      <c r="Z4281">
        <v>3.7416900000000002E-3</v>
      </c>
      <c r="AA4281">
        <v>0.99071589999999998</v>
      </c>
      <c r="AB4281">
        <v>35</v>
      </c>
      <c r="AC4281">
        <v>-17.952499999999901</v>
      </c>
      <c r="AD4281">
        <v>-1.108682508277</v>
      </c>
      <c r="AE4281">
        <v>2.6202000000000099</v>
      </c>
      <c r="AF4281">
        <v>2.5060658754331899</v>
      </c>
      <c r="AG4281">
        <v>-1.108682508277</v>
      </c>
      <c r="AH4281">
        <v>17.900633688426701</v>
      </c>
      <c r="AI4281">
        <v>93.509965352456305</v>
      </c>
      <c r="AJ4281">
        <v>82.030461308884497</v>
      </c>
      <c r="AK4281">
        <v>18.109175285567499</v>
      </c>
      <c r="AL4281">
        <v>80.414576477832099</v>
      </c>
      <c r="AM4281">
        <v>90.989876003121196</v>
      </c>
      <c r="AN4281">
        <v>1.0000000209945501</v>
      </c>
    </row>
    <row r="4282" spans="1:40" x14ac:dyDescent="0.25">
      <c r="A4282" t="str">
        <f>"20190312172456576"</f>
        <v>20190312172456576</v>
      </c>
      <c r="B4282" t="str">
        <f>"1552382696564311"</f>
        <v>1552382696564311</v>
      </c>
      <c r="C4282" t="s">
        <v>40</v>
      </c>
      <c r="D4282">
        <v>3.7067890000000001</v>
      </c>
      <c r="E4282">
        <v>0.55918789999999996</v>
      </c>
      <c r="F4282" t="s">
        <v>43</v>
      </c>
      <c r="G4282">
        <v>-276.91559999999998</v>
      </c>
      <c r="H4282" s="1">
        <v>-2.472698E-6</v>
      </c>
      <c r="I4282">
        <v>144.00280000000001</v>
      </c>
      <c r="J4282">
        <v>-259.25069999999999</v>
      </c>
      <c r="K4282">
        <v>1.108663</v>
      </c>
      <c r="L4282">
        <v>141.41120000000001</v>
      </c>
      <c r="M4282">
        <v>-0.9999422</v>
      </c>
      <c r="N4282">
        <v>0</v>
      </c>
      <c r="O4282">
        <v>6.8000659999999996E-3</v>
      </c>
      <c r="P4282">
        <v>-0.98737929999999996</v>
      </c>
      <c r="Q4282">
        <v>0.1579866</v>
      </c>
      <c r="R4282">
        <v>-1.1071050000000001E-2</v>
      </c>
      <c r="S4282">
        <v>-3.0740660000000002</v>
      </c>
      <c r="T4282">
        <v>-0.18913779999999999</v>
      </c>
      <c r="U4282">
        <v>0.44262699999999999</v>
      </c>
      <c r="V4282">
        <v>-1.7421320000000001E-2</v>
      </c>
      <c r="W4282">
        <v>0.166241</v>
      </c>
      <c r="X4282">
        <v>0.98593129999999995</v>
      </c>
      <c r="Y4282">
        <v>0.135545</v>
      </c>
      <c r="Z4282">
        <v>3.7287679999999999E-3</v>
      </c>
      <c r="AA4282">
        <v>0.99076419999999998</v>
      </c>
      <c r="AB4282">
        <v>35</v>
      </c>
      <c r="AC4282">
        <v>-17.6648999999999</v>
      </c>
      <c r="AD4282">
        <v>-1.1086654726980001</v>
      </c>
      <c r="AE4282">
        <v>2.5916000000000001</v>
      </c>
      <c r="AF4282">
        <v>2.4619204063751199</v>
      </c>
      <c r="AG4282">
        <v>-1.1086654726980001</v>
      </c>
      <c r="AH4282">
        <v>17.614195920714401</v>
      </c>
      <c r="AI4282">
        <v>93.566954783161606</v>
      </c>
      <c r="AJ4282">
        <v>82.043364992751407</v>
      </c>
      <c r="AK4282">
        <v>17.8199351612454</v>
      </c>
      <c r="AL4282">
        <v>80.430666220944005</v>
      </c>
      <c r="AM4282">
        <v>91.012306074862096</v>
      </c>
      <c r="AN4282">
        <v>1.0000000503956099</v>
      </c>
    </row>
    <row r="4283" spans="1:40" x14ac:dyDescent="0.25">
      <c r="A4283" t="str">
        <f>"20190312172456599"</f>
        <v>20190312172456599</v>
      </c>
      <c r="B4283" t="str">
        <f>"1552382696594550"</f>
        <v>1552382696594550</v>
      </c>
      <c r="C4283" t="s">
        <v>40</v>
      </c>
      <c r="D4283">
        <v>3.6952099999999999</v>
      </c>
      <c r="E4283">
        <v>0.5590233</v>
      </c>
      <c r="F4283" t="s">
        <v>43</v>
      </c>
      <c r="G4283">
        <v>-277.10719999999998</v>
      </c>
      <c r="H4283" s="1">
        <v>-2.385943E-6</v>
      </c>
      <c r="I4283">
        <v>143.98570000000001</v>
      </c>
      <c r="J4283">
        <v>-259.60789999999997</v>
      </c>
      <c r="K4283">
        <v>1.108649</v>
      </c>
      <c r="L4283">
        <v>141.4145</v>
      </c>
      <c r="M4283">
        <v>-0.99993500000000002</v>
      </c>
      <c r="N4283">
        <v>0</v>
      </c>
      <c r="O4283">
        <v>7.7724859999999899E-3</v>
      </c>
      <c r="P4283">
        <v>-0.98747030000000002</v>
      </c>
      <c r="Q4283">
        <v>0.15745499999999901</v>
      </c>
      <c r="R4283">
        <v>-1.051676E-2</v>
      </c>
      <c r="S4283">
        <v>-3.0738530000000002</v>
      </c>
      <c r="T4283">
        <v>-0.1908482</v>
      </c>
      <c r="U4283">
        <v>0.44319150000000002</v>
      </c>
      <c r="V4283">
        <v>-1.7824389999999999E-2</v>
      </c>
      <c r="W4283">
        <v>0.165721799999999</v>
      </c>
      <c r="X4283">
        <v>0.98601139999999998</v>
      </c>
      <c r="Y4283">
        <v>0.13476850000000001</v>
      </c>
      <c r="Z4283">
        <v>3.6786800000000001E-3</v>
      </c>
      <c r="AA4283">
        <v>0.99087029999999998</v>
      </c>
      <c r="AB4283">
        <v>35</v>
      </c>
      <c r="AC4283">
        <v>-17.499300000000002</v>
      </c>
      <c r="AD4283">
        <v>-1.1086513859430001</v>
      </c>
      <c r="AE4283">
        <v>2.5712000000000002</v>
      </c>
      <c r="AF4283">
        <v>2.425574658076</v>
      </c>
      <c r="AG4283">
        <v>-1.1086513859430001</v>
      </c>
      <c r="AH4283">
        <v>17.450196370608602</v>
      </c>
      <c r="AI4283">
        <v>93.600721865373401</v>
      </c>
      <c r="AJ4283">
        <v>82.086600170148103</v>
      </c>
      <c r="AK4283">
        <v>17.652814894238698</v>
      </c>
      <c r="AL4283">
        <v>80.4608316867659</v>
      </c>
      <c r="AM4283">
        <v>91.035638224809205</v>
      </c>
      <c r="AN4283">
        <v>0.99999995240203499</v>
      </c>
    </row>
    <row r="4284" spans="1:40" x14ac:dyDescent="0.25">
      <c r="A4284" t="str">
        <f>"20190312172456620"</f>
        <v>20190312172456620</v>
      </c>
      <c r="B4284" t="str">
        <f>"1552382696615046"</f>
        <v>1552382696615046</v>
      </c>
      <c r="C4284" t="s">
        <v>40</v>
      </c>
      <c r="D4284">
        <v>3.7050160000000001</v>
      </c>
      <c r="E4284">
        <v>0.55890050000000002</v>
      </c>
      <c r="F4284" t="s">
        <v>43</v>
      </c>
      <c r="G4284">
        <v>-277.238</v>
      </c>
      <c r="H4284" s="1">
        <v>-2.322752E-6</v>
      </c>
      <c r="I4284">
        <v>143.95910000000001</v>
      </c>
      <c r="J4284">
        <v>-259.95679999999999</v>
      </c>
      <c r="K4284">
        <v>1.108641</v>
      </c>
      <c r="L4284">
        <v>141.41810000000001</v>
      </c>
      <c r="M4284">
        <v>-0.99992720000000002</v>
      </c>
      <c r="N4284">
        <v>0</v>
      </c>
      <c r="O4284">
        <v>8.7221209999999993E-3</v>
      </c>
      <c r="P4284">
        <v>-0.98751909999999998</v>
      </c>
      <c r="Q4284">
        <v>0.157227799999999</v>
      </c>
      <c r="R4284">
        <v>-9.2655959999999992E-3</v>
      </c>
      <c r="S4284">
        <v>-3.073639</v>
      </c>
      <c r="T4284">
        <v>-0.19328339999999999</v>
      </c>
      <c r="U4284">
        <v>0.44363399999999997</v>
      </c>
      <c r="V4284">
        <v>-1.750908E-2</v>
      </c>
      <c r="W4284">
        <v>0.16550409999999999</v>
      </c>
      <c r="X4284">
        <v>0.98605359999999997</v>
      </c>
      <c r="Y4284">
        <v>0.13397409999999901</v>
      </c>
      <c r="Z4284">
        <v>3.6415900000000001E-3</v>
      </c>
      <c r="AA4284">
        <v>0.99097809999999997</v>
      </c>
      <c r="AB4284">
        <v>35</v>
      </c>
      <c r="AC4284">
        <v>-17.281199999999998</v>
      </c>
      <c r="AD4284">
        <v>-1.1086433227519901</v>
      </c>
      <c r="AE4284">
        <v>2.5409999999999902</v>
      </c>
      <c r="AF4284">
        <v>2.3805791508732801</v>
      </c>
      <c r="AG4284">
        <v>-1.1086433227519901</v>
      </c>
      <c r="AH4284">
        <v>17.233281527179301</v>
      </c>
      <c r="AI4284">
        <v>93.6463219679855</v>
      </c>
      <c r="AJ4284">
        <v>82.135023714770298</v>
      </c>
      <c r="AK4284">
        <v>17.432218427546001</v>
      </c>
      <c r="AL4284">
        <v>80.473479502979501</v>
      </c>
      <c r="AM4284">
        <v>91.0172783414219</v>
      </c>
      <c r="AN4284">
        <v>0.99999993853610603</v>
      </c>
    </row>
    <row r="4285" spans="1:40" x14ac:dyDescent="0.25">
      <c r="A4285" t="str">
        <f>"20190312172456644"</f>
        <v>20190312172456644</v>
      </c>
      <c r="B4285" t="str">
        <f>"1552382696634566"</f>
        <v>1552382696634566</v>
      </c>
      <c r="C4285" t="s">
        <v>40</v>
      </c>
      <c r="D4285">
        <v>3.688107</v>
      </c>
      <c r="E4285">
        <v>0.55880220000000003</v>
      </c>
      <c r="F4285" t="s">
        <v>43</v>
      </c>
      <c r="G4285">
        <v>-277.49520000000001</v>
      </c>
      <c r="H4285" s="1">
        <v>-2.214379E-6</v>
      </c>
      <c r="I4285">
        <v>143.9665</v>
      </c>
      <c r="J4285">
        <v>-260.32420000000002</v>
      </c>
      <c r="K4285">
        <v>1.1086279999999999</v>
      </c>
      <c r="L4285">
        <v>141.4222</v>
      </c>
      <c r="M4285">
        <v>-0.99991799999999997</v>
      </c>
      <c r="N4285">
        <v>0</v>
      </c>
      <c r="O4285">
        <v>9.7217529999999996E-3</v>
      </c>
      <c r="P4285">
        <v>-0.9874465</v>
      </c>
      <c r="Q4285">
        <v>0.15775359999999999</v>
      </c>
      <c r="R4285">
        <v>-7.9803340000000004E-3</v>
      </c>
      <c r="S4285">
        <v>-3.073029</v>
      </c>
      <c r="T4285">
        <v>-0.19425339999999999</v>
      </c>
      <c r="U4285">
        <v>0.44653320000000002</v>
      </c>
      <c r="V4285">
        <v>-1.7206119999999998E-2</v>
      </c>
      <c r="W4285">
        <v>0.1660392</v>
      </c>
      <c r="X4285">
        <v>0.98596899999999998</v>
      </c>
      <c r="Y4285">
        <v>0.1339265</v>
      </c>
      <c r="Z4285">
        <v>3.596031E-3</v>
      </c>
      <c r="AA4285">
        <v>0.99098470000000005</v>
      </c>
      <c r="AB4285">
        <v>35</v>
      </c>
      <c r="AC4285">
        <v>-17.1709999999999</v>
      </c>
      <c r="AD4285">
        <v>-1.1086302143789999</v>
      </c>
      <c r="AE4285">
        <v>2.54429999999999</v>
      </c>
      <c r="AF4285">
        <v>2.3675844351249902</v>
      </c>
      <c r="AG4285">
        <v>-1.1086302143789999</v>
      </c>
      <c r="AH4285">
        <v>17.125071796775899</v>
      </c>
      <c r="AI4285">
        <v>93.669199699970306</v>
      </c>
      <c r="AJ4285">
        <v>82.128611273182699</v>
      </c>
      <c r="AK4285">
        <v>17.323469659811501</v>
      </c>
      <c r="AL4285">
        <v>80.442390666762805</v>
      </c>
      <c r="AM4285">
        <v>90.999765714251794</v>
      </c>
      <c r="AN4285">
        <v>0.99999996773154598</v>
      </c>
    </row>
    <row r="4286" spans="1:40" x14ac:dyDescent="0.25">
      <c r="A4286" t="str">
        <f>"20190312172456665"</f>
        <v>20190312172456665</v>
      </c>
      <c r="B4286" t="str">
        <f>"1552382696655062"</f>
        <v>1552382696655062</v>
      </c>
      <c r="C4286" t="s">
        <v>40</v>
      </c>
      <c r="D4286">
        <v>3.6521059999999999</v>
      </c>
      <c r="E4286">
        <v>0.55874389999999996</v>
      </c>
      <c r="F4286" t="s">
        <v>43</v>
      </c>
      <c r="G4286">
        <v>-277.94799999999998</v>
      </c>
      <c r="H4286" s="1">
        <v>-2.0286069999999999E-6</v>
      </c>
      <c r="I4286">
        <v>143.9983</v>
      </c>
      <c r="J4286">
        <v>-260.6721</v>
      </c>
      <c r="K4286">
        <v>1.1086279999999999</v>
      </c>
      <c r="L4286">
        <v>141.4265</v>
      </c>
      <c r="M4286">
        <v>-0.99990809999999997</v>
      </c>
      <c r="N4286">
        <v>0</v>
      </c>
      <c r="O4286">
        <v>1.066839E-2</v>
      </c>
      <c r="P4286">
        <v>-0.98728229999999995</v>
      </c>
      <c r="Q4286">
        <v>0.15885669999999999</v>
      </c>
      <c r="R4286">
        <v>-6.211963E-3</v>
      </c>
      <c r="S4286">
        <v>-3.0726619999999998</v>
      </c>
      <c r="T4286">
        <v>-0.19328680000000001</v>
      </c>
      <c r="U4286">
        <v>0.4491425</v>
      </c>
      <c r="V4286">
        <v>-1.6365669999999999E-2</v>
      </c>
      <c r="W4286">
        <v>0.1671493</v>
      </c>
      <c r="X4286">
        <v>0.98579570000000005</v>
      </c>
      <c r="Y4286">
        <v>0.1338336</v>
      </c>
      <c r="Z4286">
        <v>3.516318E-3</v>
      </c>
      <c r="AA4286">
        <v>0.99099760000000003</v>
      </c>
      <c r="AB4286">
        <v>36</v>
      </c>
      <c r="AC4286">
        <v>-17.275899999999901</v>
      </c>
      <c r="AD4286">
        <v>-1.1086300286069899</v>
      </c>
      <c r="AE4286">
        <v>2.5717999999999899</v>
      </c>
      <c r="AF4286">
        <v>2.3777616876366801</v>
      </c>
      <c r="AG4286">
        <v>-1.1086300286069899</v>
      </c>
      <c r="AH4286">
        <v>17.232927195896</v>
      </c>
      <c r="AI4286">
        <v>93.646432279600205</v>
      </c>
      <c r="AJ4286">
        <v>82.144056275924498</v>
      </c>
      <c r="AK4286">
        <v>17.4314827516931</v>
      </c>
      <c r="AL4286">
        <v>80.377884945315301</v>
      </c>
      <c r="AM4286">
        <v>90.951107505721495</v>
      </c>
      <c r="AN4286">
        <v>0.99999994289176197</v>
      </c>
    </row>
    <row r="4287" spans="1:40" x14ac:dyDescent="0.25">
      <c r="A4287" t="str">
        <f>"20190312172456687"</f>
        <v>20190312172456687</v>
      </c>
      <c r="B4287" t="str">
        <f>"1552382696674582"</f>
        <v>1552382696674582</v>
      </c>
      <c r="C4287" t="s">
        <v>40</v>
      </c>
      <c r="D4287">
        <v>3.6616629999999999</v>
      </c>
      <c r="E4287">
        <v>0.55866150000000003</v>
      </c>
      <c r="F4287" t="s">
        <v>43</v>
      </c>
      <c r="G4287">
        <v>-278.5598</v>
      </c>
      <c r="H4287" s="1">
        <v>-1.7841739999999999E-6</v>
      </c>
      <c r="I4287">
        <v>144.06610000000001</v>
      </c>
      <c r="J4287">
        <v>-261.01060000000001</v>
      </c>
      <c r="K4287">
        <v>1.108625</v>
      </c>
      <c r="L4287">
        <v>141.43090000000001</v>
      </c>
      <c r="M4287">
        <v>-0.99989779999999995</v>
      </c>
      <c r="N4287">
        <v>0</v>
      </c>
      <c r="O4287">
        <v>1.158939E-2</v>
      </c>
      <c r="P4287">
        <v>-0.98715569999999997</v>
      </c>
      <c r="Q4287">
        <v>0.15971459999999901</v>
      </c>
      <c r="R4287">
        <v>-3.8784290000000001E-3</v>
      </c>
      <c r="S4287">
        <v>-3.0721440000000002</v>
      </c>
      <c r="T4287">
        <v>-0.19040299999999999</v>
      </c>
      <c r="U4287">
        <v>0.45335389999999998</v>
      </c>
      <c r="V4287">
        <v>-1.493631E-2</v>
      </c>
      <c r="W4287">
        <v>0.16801289999999999</v>
      </c>
      <c r="X4287">
        <v>0.98567159999999998</v>
      </c>
      <c r="Y4287">
        <v>0.1342825</v>
      </c>
      <c r="Z4287">
        <v>3.4213170000000001E-3</v>
      </c>
      <c r="AA4287">
        <v>0.99093719999999996</v>
      </c>
      <c r="AB4287">
        <v>36</v>
      </c>
      <c r="AC4287">
        <v>-17.5491999999999</v>
      </c>
      <c r="AD4287">
        <v>-1.1086267841740001</v>
      </c>
      <c r="AE4287">
        <v>2.63519999999999</v>
      </c>
      <c r="AF4287">
        <v>2.4221781704403602</v>
      </c>
      <c r="AG4287">
        <v>-1.1086267841740001</v>
      </c>
      <c r="AH4287">
        <v>17.510224484417598</v>
      </c>
      <c r="AI4287">
        <v>93.588657331525894</v>
      </c>
      <c r="AJ4287">
        <v>82.124291546973396</v>
      </c>
      <c r="AK4287">
        <v>17.711689979520401</v>
      </c>
      <c r="AL4287">
        <v>80.327694747968096</v>
      </c>
      <c r="AM4287">
        <v>90.868161393378202</v>
      </c>
      <c r="AN4287">
        <v>0.99999996548469205</v>
      </c>
    </row>
    <row r="4288" spans="1:40" x14ac:dyDescent="0.25">
      <c r="A4288" t="str">
        <f>"20190312172456709"</f>
        <v>20190312172456709</v>
      </c>
      <c r="B4288" t="str">
        <f>"1552382696704838"</f>
        <v>1552382696704838</v>
      </c>
      <c r="C4288" t="s">
        <v>40</v>
      </c>
      <c r="D4288">
        <v>3.6517369999999998</v>
      </c>
      <c r="E4288">
        <v>0.55851839999999997</v>
      </c>
      <c r="F4288" t="s">
        <v>43</v>
      </c>
      <c r="G4288">
        <v>-279.03410000000002</v>
      </c>
      <c r="H4288" s="1">
        <v>-1.5954849999999901E-6</v>
      </c>
      <c r="I4288">
        <v>144.1216</v>
      </c>
      <c r="J4288">
        <v>-261.36419999999998</v>
      </c>
      <c r="K4288">
        <v>1.1086199999999999</v>
      </c>
      <c r="L4288">
        <v>141.4359</v>
      </c>
      <c r="M4288">
        <v>-0.9998861</v>
      </c>
      <c r="N4288">
        <v>0</v>
      </c>
      <c r="O4288">
        <v>1.255122E-2</v>
      </c>
      <c r="P4288">
        <v>-0.9872031</v>
      </c>
      <c r="Q4288">
        <v>0.15945399999999901</v>
      </c>
      <c r="R4288">
        <v>-2.1300080000000001E-3</v>
      </c>
      <c r="S4288">
        <v>-3.0714109999999999</v>
      </c>
      <c r="T4288">
        <v>-0.18892249999999999</v>
      </c>
      <c r="U4288">
        <v>0.4585419</v>
      </c>
      <c r="V4288">
        <v>-1.413698E-2</v>
      </c>
      <c r="W4288">
        <v>0.16776089999999999</v>
      </c>
      <c r="X4288">
        <v>0.9857264</v>
      </c>
      <c r="Y4288">
        <v>0.13500509999999999</v>
      </c>
      <c r="Z4288">
        <v>3.3584750000000001E-3</v>
      </c>
      <c r="AA4288">
        <v>0.99083920000000003</v>
      </c>
      <c r="AB4288">
        <v>36</v>
      </c>
      <c r="AC4288">
        <v>-17.669899999999998</v>
      </c>
      <c r="AD4288">
        <v>-1.1086215954850001</v>
      </c>
      <c r="AE4288">
        <v>2.68569999999999</v>
      </c>
      <c r="AF4288">
        <v>2.4542590572012699</v>
      </c>
      <c r="AG4288">
        <v>-1.1086215954850001</v>
      </c>
      <c r="AH4288">
        <v>17.634369654643798</v>
      </c>
      <c r="AI4288">
        <v>93.563033022443904</v>
      </c>
      <c r="AJ4288">
        <v>82.076769034471297</v>
      </c>
      <c r="AK4288">
        <v>17.838817855408799</v>
      </c>
      <c r="AL4288">
        <v>80.342342042460899</v>
      </c>
      <c r="AM4288">
        <v>90.821661834325894</v>
      </c>
      <c r="AN4288">
        <v>1.0000000547146399</v>
      </c>
    </row>
    <row r="4289" spans="1:40" x14ac:dyDescent="0.25">
      <c r="A4289" t="str">
        <f>"20190312172456733"</f>
        <v>20190312172456733</v>
      </c>
      <c r="B4289" t="str">
        <f>"1552382696724359"</f>
        <v>1552382696724359</v>
      </c>
      <c r="C4289" t="s">
        <v>40</v>
      </c>
      <c r="D4289">
        <v>3.649667</v>
      </c>
      <c r="E4289">
        <v>0.55846580000000001</v>
      </c>
      <c r="F4289" t="s">
        <v>43</v>
      </c>
      <c r="G4289">
        <v>-279.29450000000003</v>
      </c>
      <c r="H4289" s="1">
        <v>-1.4887489999999999E-6</v>
      </c>
      <c r="I4289">
        <v>144.14019999999999</v>
      </c>
      <c r="J4289">
        <v>-261.76069999999999</v>
      </c>
      <c r="K4289">
        <v>1.108616</v>
      </c>
      <c r="L4289">
        <v>141.4419</v>
      </c>
      <c r="M4289">
        <v>-0.99987190000000004</v>
      </c>
      <c r="N4289">
        <v>0</v>
      </c>
      <c r="O4289">
        <v>1.362945E-2</v>
      </c>
      <c r="P4289">
        <v>-0.98733079999999995</v>
      </c>
      <c r="Q4289">
        <v>0.15867539999999999</v>
      </c>
      <c r="R4289">
        <v>-6.3654040000000003E-4</v>
      </c>
      <c r="S4289">
        <v>-3.0705870000000002</v>
      </c>
      <c r="T4289">
        <v>-0.18985379999999999</v>
      </c>
      <c r="U4289">
        <v>0.46313480000000001</v>
      </c>
      <c r="V4289">
        <v>-1.370918E-2</v>
      </c>
      <c r="W4289">
        <v>0.16699330000000001</v>
      </c>
      <c r="X4289">
        <v>0.98586269999999998</v>
      </c>
      <c r="Y4289">
        <v>0.13542379999999901</v>
      </c>
      <c r="Z4289">
        <v>3.3221879999999998E-3</v>
      </c>
      <c r="AA4289">
        <v>0.99078219999999995</v>
      </c>
      <c r="AB4289">
        <v>36</v>
      </c>
      <c r="AC4289">
        <v>-17.533799999999999</v>
      </c>
      <c r="AD4289">
        <v>-1.1086174887489999</v>
      </c>
      <c r="AE4289">
        <v>2.6982999999999802</v>
      </c>
      <c r="AF4289">
        <v>2.4494990398504202</v>
      </c>
      <c r="AG4289">
        <v>-1.1086174887489999</v>
      </c>
      <c r="AH4289">
        <v>17.5006050937798</v>
      </c>
      <c r="AI4289">
        <v>93.589794442942605</v>
      </c>
      <c r="AJ4289">
        <v>82.032270208771607</v>
      </c>
      <c r="AK4289">
        <v>17.7059384651314</v>
      </c>
      <c r="AL4289">
        <v>80.386950900188907</v>
      </c>
      <c r="AM4289">
        <v>90.796690584844697</v>
      </c>
      <c r="AN4289">
        <v>0.99999998355622599</v>
      </c>
    </row>
    <row r="4290" spans="1:40" x14ac:dyDescent="0.25">
      <c r="A4290" t="str">
        <f>"20190312172456754"</f>
        <v>20190312172456754</v>
      </c>
      <c r="B4290" t="str">
        <f>"1552382696744872"</f>
        <v>1552382696744872</v>
      </c>
      <c r="C4290" t="s">
        <v>40</v>
      </c>
      <c r="D4290">
        <v>3.6212409999999999</v>
      </c>
      <c r="E4290">
        <v>0.55842139999999996</v>
      </c>
      <c r="F4290" t="s">
        <v>43</v>
      </c>
      <c r="G4290">
        <v>-279.48660000000001</v>
      </c>
      <c r="H4290" s="1">
        <v>-1.408135E-6</v>
      </c>
      <c r="I4290">
        <v>144.14699999999999</v>
      </c>
      <c r="J4290">
        <v>-262.10559999999998</v>
      </c>
      <c r="K4290">
        <v>1.108609</v>
      </c>
      <c r="L4290">
        <v>141.44739999999999</v>
      </c>
      <c r="M4290">
        <v>-0.99985860000000004</v>
      </c>
      <c r="N4290">
        <v>0</v>
      </c>
      <c r="O4290">
        <v>1.4567190000000001E-2</v>
      </c>
      <c r="P4290">
        <v>-0.98733709999999997</v>
      </c>
      <c r="Q4290">
        <v>0.158636</v>
      </c>
      <c r="R4290">
        <v>6.0466820000000001E-4</v>
      </c>
      <c r="S4290">
        <v>-3.0696409999999998</v>
      </c>
      <c r="T4290">
        <v>-0.19198270000000001</v>
      </c>
      <c r="U4290">
        <v>0.46847529999999998</v>
      </c>
      <c r="V4290">
        <v>-1.339335E-2</v>
      </c>
      <c r="W4290">
        <v>0.1669631</v>
      </c>
      <c r="X4290">
        <v>0.98587210000000003</v>
      </c>
      <c r="Y4290">
        <v>0.1362197</v>
      </c>
      <c r="Z4290">
        <v>3.326458E-3</v>
      </c>
      <c r="AA4290">
        <v>0.99067309999999997</v>
      </c>
      <c r="AB4290">
        <v>36</v>
      </c>
      <c r="AC4290">
        <v>-17.381</v>
      </c>
      <c r="AD4290">
        <v>-1.1086104081349999</v>
      </c>
      <c r="AE4290">
        <v>2.69960000000003</v>
      </c>
      <c r="AF4290">
        <v>2.4364337151183699</v>
      </c>
      <c r="AG4290">
        <v>-1.1086104081349999</v>
      </c>
      <c r="AH4290">
        <v>17.349562737524501</v>
      </c>
      <c r="AI4290">
        <v>93.620709617117399</v>
      </c>
      <c r="AJ4290">
        <v>82.006115335867605</v>
      </c>
      <c r="AK4290">
        <v>17.554844159618401</v>
      </c>
      <c r="AL4290">
        <v>80.388705333192405</v>
      </c>
      <c r="AM4290">
        <v>90.778331412800895</v>
      </c>
      <c r="AN4290">
        <v>0.99999992807211802</v>
      </c>
    </row>
    <row r="4291" spans="1:40" x14ac:dyDescent="0.25">
      <c r="A4291" t="str">
        <f>"20190312172456777"</f>
        <v>20190312172456777</v>
      </c>
      <c r="B4291" t="str">
        <f>"1552382696764374"</f>
        <v>1552382696764374</v>
      </c>
      <c r="C4291" t="s">
        <v>40</v>
      </c>
      <c r="D4291">
        <v>3.6114039999999998</v>
      </c>
      <c r="E4291">
        <v>0.55837919999999996</v>
      </c>
      <c r="F4291" t="s">
        <v>43</v>
      </c>
      <c r="G4291">
        <v>-279.80919999999998</v>
      </c>
      <c r="H4291" s="1">
        <v>-1.2769330000000001E-6</v>
      </c>
      <c r="I4291">
        <v>144.17410000000001</v>
      </c>
      <c r="J4291">
        <v>-262.45999999999998</v>
      </c>
      <c r="K4291">
        <v>1.1086069999999999</v>
      </c>
      <c r="L4291">
        <v>141.45339999999999</v>
      </c>
      <c r="M4291">
        <v>-0.99984410000000001</v>
      </c>
      <c r="N4291">
        <v>0</v>
      </c>
      <c r="O4291">
        <v>1.553003E-2</v>
      </c>
      <c r="P4291">
        <v>-0.98729409999999895</v>
      </c>
      <c r="Q4291">
        <v>0.15889600000000001</v>
      </c>
      <c r="R4291">
        <v>1.688279E-3</v>
      </c>
      <c r="S4291">
        <v>-3.0690309999999998</v>
      </c>
      <c r="T4291">
        <v>-0.19218489999999999</v>
      </c>
      <c r="U4291">
        <v>0.47270200000000001</v>
      </c>
      <c r="V4291">
        <v>-1.3257339999999999E-2</v>
      </c>
      <c r="W4291">
        <v>0.16723250000000001</v>
      </c>
      <c r="X4291">
        <v>0.98582829999999999</v>
      </c>
      <c r="Y4291">
        <v>0.13662869999999999</v>
      </c>
      <c r="Z4291">
        <v>3.2831399999999999E-3</v>
      </c>
      <c r="AA4291">
        <v>0.99061690000000002</v>
      </c>
      <c r="AB4291">
        <v>36</v>
      </c>
      <c r="AC4291">
        <v>-17.3491999999999</v>
      </c>
      <c r="AD4291">
        <v>-1.1086082769329999</v>
      </c>
      <c r="AE4291">
        <v>2.7207000000000199</v>
      </c>
      <c r="AF4291">
        <v>2.44120017598022</v>
      </c>
      <c r="AG4291">
        <v>-1.1086082769329999</v>
      </c>
      <c r="AH4291">
        <v>17.320337235911101</v>
      </c>
      <c r="AI4291">
        <v>93.6265402220683</v>
      </c>
      <c r="AJ4291">
        <v>81.977340692303699</v>
      </c>
      <c r="AK4291">
        <v>17.526624106672099</v>
      </c>
      <c r="AL4291">
        <v>80.373049965063103</v>
      </c>
      <c r="AM4291">
        <v>90.770462609783806</v>
      </c>
      <c r="AN4291">
        <v>0.99999995160050603</v>
      </c>
    </row>
    <row r="4292" spans="1:40" x14ac:dyDescent="0.25">
      <c r="A4292" t="str">
        <f>"20190312172456800"</f>
        <v>20190312172456800</v>
      </c>
      <c r="B4292" t="str">
        <f>"1552382696794630"</f>
        <v>1552382696794630</v>
      </c>
      <c r="C4292" t="s">
        <v>40</v>
      </c>
      <c r="D4292">
        <v>3.6073940000000002</v>
      </c>
      <c r="E4292">
        <v>0.55830999999999997</v>
      </c>
      <c r="F4292" t="s">
        <v>49</v>
      </c>
      <c r="G4292">
        <v>-280.20249999999999</v>
      </c>
      <c r="H4292" s="1">
        <v>-5.1914839999999997E-6</v>
      </c>
      <c r="I4292">
        <v>144.2028</v>
      </c>
      <c r="J4292">
        <v>-262.83600000000001</v>
      </c>
      <c r="K4292">
        <v>1.1086009999999999</v>
      </c>
      <c r="L4292">
        <v>141.46019999999999</v>
      </c>
      <c r="M4292">
        <v>-0.99982769999999999</v>
      </c>
      <c r="N4292">
        <v>0</v>
      </c>
      <c r="O4292">
        <v>1.6551099999999999E-2</v>
      </c>
      <c r="P4292">
        <v>-0.98722310000000002</v>
      </c>
      <c r="Q4292">
        <v>0.1593165</v>
      </c>
      <c r="R4292">
        <v>3.0260700000000001E-3</v>
      </c>
      <c r="S4292">
        <v>-3.0686650000000002</v>
      </c>
      <c r="T4292">
        <v>-0.19174040000000001</v>
      </c>
      <c r="U4292">
        <v>0.47550959999999998</v>
      </c>
      <c r="V4292">
        <v>-1.292451E-2</v>
      </c>
      <c r="W4292">
        <v>0.16766220000000001</v>
      </c>
      <c r="X4292">
        <v>0.98575979999999996</v>
      </c>
      <c r="Y4292">
        <v>0.13652320000000001</v>
      </c>
      <c r="Z4292">
        <v>3.209132E-3</v>
      </c>
      <c r="AA4292">
        <v>0.99063159999999895</v>
      </c>
      <c r="AB4292">
        <v>36</v>
      </c>
      <c r="AC4292">
        <v>-17.366499999999899</v>
      </c>
      <c r="AD4292">
        <v>-1.108606191484</v>
      </c>
      <c r="AE4292">
        <v>2.7425999999999999</v>
      </c>
      <c r="AF4292">
        <v>2.4450582479213798</v>
      </c>
      <c r="AG4292">
        <v>-1.108606191484</v>
      </c>
      <c r="AH4292">
        <v>17.340571892910599</v>
      </c>
      <c r="AI4292">
        <v>93.622283928336302</v>
      </c>
      <c r="AJ4292">
        <v>81.974081118976699</v>
      </c>
      <c r="AK4292">
        <v>17.547157920778101</v>
      </c>
      <c r="AL4292">
        <v>80.348078044104994</v>
      </c>
      <c r="AM4292">
        <v>90.751174319419306</v>
      </c>
      <c r="AN4292">
        <v>1.0000000197818</v>
      </c>
    </row>
    <row r="4293" spans="1:40" x14ac:dyDescent="0.25">
      <c r="A4293" t="str">
        <f>"20190312172456823"</f>
        <v>20190312172456823</v>
      </c>
      <c r="B4293" t="str">
        <f>"1552382696815126"</f>
        <v>1552382696815126</v>
      </c>
      <c r="C4293" t="s">
        <v>40</v>
      </c>
      <c r="D4293">
        <v>3.6078600000000001</v>
      </c>
      <c r="E4293">
        <v>0.55825689999999994</v>
      </c>
      <c r="F4293" t="s">
        <v>49</v>
      </c>
      <c r="G4293">
        <v>-280.67899999999997</v>
      </c>
      <c r="H4293" s="1">
        <v>-5.4167259999999996E-6</v>
      </c>
      <c r="I4293">
        <v>144.2458</v>
      </c>
      <c r="J4293">
        <v>-263.21140000000003</v>
      </c>
      <c r="K4293">
        <v>1.1085959999999999</v>
      </c>
      <c r="L4293">
        <v>141.46729999999999</v>
      </c>
      <c r="M4293">
        <v>-0.99980999999999998</v>
      </c>
      <c r="N4293">
        <v>0</v>
      </c>
      <c r="O4293">
        <v>1.7570490000000001E-2</v>
      </c>
      <c r="P4293">
        <v>-0.98713430000000002</v>
      </c>
      <c r="Q4293">
        <v>0.15984010000000001</v>
      </c>
      <c r="R4293">
        <v>4.1429470000000001E-3</v>
      </c>
      <c r="S4293">
        <v>-3.0681150000000001</v>
      </c>
      <c r="T4293">
        <v>-0.19062509999999999</v>
      </c>
      <c r="U4293">
        <v>0.47898859999999899</v>
      </c>
      <c r="V4293">
        <v>-1.2809579999999999E-2</v>
      </c>
      <c r="W4293">
        <v>0.16819529999999999</v>
      </c>
      <c r="X4293">
        <v>0.98567039999999995</v>
      </c>
      <c r="Y4293">
        <v>0.13664109999999999</v>
      </c>
      <c r="Z4293">
        <v>3.1315779999999999E-3</v>
      </c>
      <c r="AA4293">
        <v>0.99061569999999999</v>
      </c>
      <c r="AB4293">
        <v>36</v>
      </c>
      <c r="AC4293">
        <v>-17.467600000000001</v>
      </c>
      <c r="AD4293">
        <v>-1.1086014167260001</v>
      </c>
      <c r="AE4293">
        <v>2.7785000000000002</v>
      </c>
      <c r="AF4293">
        <v>2.4614757823695501</v>
      </c>
      <c r="AG4293">
        <v>-1.1086014167260001</v>
      </c>
      <c r="AH4293">
        <v>17.4451902775562</v>
      </c>
      <c r="AI4293">
        <v>93.600555597822506</v>
      </c>
      <c r="AJ4293">
        <v>81.968715788505406</v>
      </c>
      <c r="AK4293">
        <v>17.6528333122052</v>
      </c>
      <c r="AL4293">
        <v>80.317092887640698</v>
      </c>
      <c r="AM4293">
        <v>90.744562844948007</v>
      </c>
      <c r="AN4293">
        <v>0.99999994085901101</v>
      </c>
    </row>
    <row r="4294" spans="1:40" x14ac:dyDescent="0.25">
      <c r="A4294" t="str">
        <f>"20190312172456844"</f>
        <v>20190312172456844</v>
      </c>
      <c r="B4294" t="str">
        <f>"1552382696834649"</f>
        <v>1552382696834649</v>
      </c>
      <c r="C4294" t="s">
        <v>40</v>
      </c>
      <c r="D4294">
        <v>3.608689</v>
      </c>
      <c r="E4294">
        <v>0.55820170000000002</v>
      </c>
      <c r="F4294" t="s">
        <v>49</v>
      </c>
      <c r="G4294">
        <v>-281.18650000000002</v>
      </c>
      <c r="H4294" s="1">
        <v>-5.6565400000000002E-6</v>
      </c>
      <c r="I4294">
        <v>144.29159999999999</v>
      </c>
      <c r="J4294">
        <v>-263.55430000000001</v>
      </c>
      <c r="K4294">
        <v>1.108592</v>
      </c>
      <c r="L4294">
        <v>141.4742</v>
      </c>
      <c r="M4294">
        <v>-0.99979320000000005</v>
      </c>
      <c r="N4294">
        <v>0</v>
      </c>
      <c r="O4294">
        <v>1.8501139999999999E-2</v>
      </c>
      <c r="P4294">
        <v>-0.98707849999999997</v>
      </c>
      <c r="Q4294">
        <v>0.1601371</v>
      </c>
      <c r="R4294">
        <v>5.6810119999999896E-3</v>
      </c>
      <c r="S4294">
        <v>-3.0677189999999999</v>
      </c>
      <c r="T4294">
        <v>-0.1891996</v>
      </c>
      <c r="U4294">
        <v>0.4819946</v>
      </c>
      <c r="V4294">
        <v>-1.218759E-2</v>
      </c>
      <c r="W4294">
        <v>0.16850029999999999</v>
      </c>
      <c r="X4294">
        <v>0.98562629999999996</v>
      </c>
      <c r="Y4294">
        <v>0.13669100000000001</v>
      </c>
      <c r="Z4294">
        <v>3.052946E-3</v>
      </c>
      <c r="AA4294">
        <v>0.99060899999999996</v>
      </c>
      <c r="AB4294">
        <v>36</v>
      </c>
      <c r="AC4294">
        <v>-17.632200000000001</v>
      </c>
      <c r="AD4294">
        <v>-1.10859765654</v>
      </c>
      <c r="AE4294">
        <v>2.8173999999999899</v>
      </c>
      <c r="AF4294">
        <v>2.4811264214588098</v>
      </c>
      <c r="AG4294">
        <v>-1.10859765654</v>
      </c>
      <c r="AH4294">
        <v>17.613415144407298</v>
      </c>
      <c r="AI4294">
        <v>93.566358033072405</v>
      </c>
      <c r="AJ4294">
        <v>81.981746760316994</v>
      </c>
      <c r="AK4294">
        <v>17.8218228622266</v>
      </c>
      <c r="AL4294">
        <v>80.299365678638395</v>
      </c>
      <c r="AM4294">
        <v>90.708444856341202</v>
      </c>
      <c r="AN4294">
        <v>1.00000004585089</v>
      </c>
    </row>
    <row r="4295" spans="1:40" x14ac:dyDescent="0.25">
      <c r="A4295" t="str">
        <f>"20190312172456866"</f>
        <v>20190312172456866</v>
      </c>
      <c r="B4295" t="str">
        <f>"1552382696854166"</f>
        <v>1552382696854166</v>
      </c>
      <c r="C4295" t="s">
        <v>40</v>
      </c>
      <c r="D4295">
        <v>3.5667629999999999</v>
      </c>
      <c r="E4295">
        <v>0.55815419999999905</v>
      </c>
      <c r="F4295" t="s">
        <v>49</v>
      </c>
      <c r="G4295">
        <v>-281.58920000000001</v>
      </c>
      <c r="H4295" s="1">
        <v>-5.8487639999999997E-6</v>
      </c>
      <c r="I4295">
        <v>144.33359999999999</v>
      </c>
      <c r="J4295">
        <v>-263.90870000000001</v>
      </c>
      <c r="K4295">
        <v>1.108595</v>
      </c>
      <c r="L4295">
        <v>141.48159999999999</v>
      </c>
      <c r="M4295">
        <v>-0.99977490000000002</v>
      </c>
      <c r="N4295">
        <v>0</v>
      </c>
      <c r="O4295">
        <v>1.9462779999999999E-2</v>
      </c>
      <c r="P4295">
        <v>-0.98706629999999995</v>
      </c>
      <c r="Q4295">
        <v>0.1601611</v>
      </c>
      <c r="R4295">
        <v>6.9766100000000003E-3</v>
      </c>
      <c r="S4295">
        <v>-3.067078</v>
      </c>
      <c r="T4295">
        <v>-0.18853139999999999</v>
      </c>
      <c r="U4295">
        <v>0.4862823</v>
      </c>
      <c r="V4295">
        <v>-1.183973E-2</v>
      </c>
      <c r="W4295">
        <v>0.1685323</v>
      </c>
      <c r="X4295">
        <v>0.98562499999999997</v>
      </c>
      <c r="Y4295">
        <v>0.13712360000000001</v>
      </c>
      <c r="Z4295">
        <v>2.9970470000000001E-3</v>
      </c>
      <c r="AA4295">
        <v>0.99054940000000002</v>
      </c>
      <c r="AB4295">
        <v>36</v>
      </c>
      <c r="AC4295">
        <v>-17.680499999999899</v>
      </c>
      <c r="AD4295">
        <v>-1.108600848764</v>
      </c>
      <c r="AE4295">
        <v>2.8519999999999999</v>
      </c>
      <c r="AF4295">
        <v>2.4977647907633398</v>
      </c>
      <c r="AG4295">
        <v>-1.108600848764</v>
      </c>
      <c r="AH4295">
        <v>17.6649715443614</v>
      </c>
      <c r="AI4295">
        <v>93.555725853704104</v>
      </c>
      <c r="AJ4295">
        <v>81.951930401184995</v>
      </c>
      <c r="AK4295">
        <v>17.8750956488337</v>
      </c>
      <c r="AL4295">
        <v>80.297504947918398</v>
      </c>
      <c r="AM4295">
        <v>90.688227199421704</v>
      </c>
      <c r="AN4295">
        <v>0.99999997798738105</v>
      </c>
    </row>
    <row r="4296" spans="1:40" x14ac:dyDescent="0.25">
      <c r="A4296" t="str">
        <f>"20190312172456888"</f>
        <v>20190312172456888</v>
      </c>
      <c r="B4296" t="str">
        <f>"1552382696884423"</f>
        <v>1552382696884423</v>
      </c>
      <c r="C4296" t="s">
        <v>40</v>
      </c>
      <c r="D4296">
        <v>3.5479949999999998</v>
      </c>
      <c r="E4296">
        <v>0.55809109999999995</v>
      </c>
      <c r="F4296" t="s">
        <v>49</v>
      </c>
      <c r="G4296">
        <v>-281.93740000000003</v>
      </c>
      <c r="H4296" s="1">
        <v>-6.0128409999999999E-6</v>
      </c>
      <c r="I4296">
        <v>144.36349999999999</v>
      </c>
      <c r="J4296">
        <v>-264.26440000000002</v>
      </c>
      <c r="K4296">
        <v>1.1085910000000001</v>
      </c>
      <c r="L4296">
        <v>141.48939999999999</v>
      </c>
      <c r="M4296">
        <v>-0.99975570000000002</v>
      </c>
      <c r="N4296">
        <v>0</v>
      </c>
      <c r="O4296">
        <v>2.0426280000000002E-2</v>
      </c>
      <c r="P4296">
        <v>-0.98702820000000002</v>
      </c>
      <c r="Q4296">
        <v>0.16030820000000001</v>
      </c>
      <c r="R4296">
        <v>8.7836830000000005E-3</v>
      </c>
      <c r="S4296">
        <v>-3.0664370000000001</v>
      </c>
      <c r="T4296">
        <v>-0.188558</v>
      </c>
      <c r="U4296">
        <v>0.49017329999999998</v>
      </c>
      <c r="V4296">
        <v>-1.098172E-2</v>
      </c>
      <c r="W4296">
        <v>0.16868169999999999</v>
      </c>
      <c r="X4296">
        <v>0.98560939999999997</v>
      </c>
      <c r="Y4296">
        <v>0.13742799999999999</v>
      </c>
      <c r="Z4296">
        <v>2.9483199999999999E-3</v>
      </c>
      <c r="AA4296">
        <v>0.99050740000000004</v>
      </c>
      <c r="AB4296">
        <v>36</v>
      </c>
      <c r="AC4296">
        <v>-17.672999999999998</v>
      </c>
      <c r="AD4296">
        <v>-1.1085970128410001</v>
      </c>
      <c r="AE4296">
        <v>2.8740999999999901</v>
      </c>
      <c r="AF4296">
        <v>2.5028990462452398</v>
      </c>
      <c r="AG4296">
        <v>-1.1085970128410001</v>
      </c>
      <c r="AH4296">
        <v>17.660321724114699</v>
      </c>
      <c r="AI4296">
        <v>93.556485915759893</v>
      </c>
      <c r="AJ4296">
        <v>81.933509328267306</v>
      </c>
      <c r="AK4296">
        <v>17.8712186034365</v>
      </c>
      <c r="AL4296">
        <v>80.288820860734106</v>
      </c>
      <c r="AM4296">
        <v>90.638366651152694</v>
      </c>
      <c r="AN4296">
        <v>1.0000000017287001</v>
      </c>
    </row>
    <row r="4297" spans="1:40" x14ac:dyDescent="0.25">
      <c r="A4297" t="str">
        <f>"20190312172456910"</f>
        <v>20190312172456910</v>
      </c>
      <c r="B4297" t="str">
        <f>"1552382696904918"</f>
        <v>1552382696904918</v>
      </c>
      <c r="C4297" t="s">
        <v>40</v>
      </c>
      <c r="D4297">
        <v>3.5493619999999999</v>
      </c>
      <c r="E4297">
        <v>0.55808480000000005</v>
      </c>
      <c r="F4297" t="s">
        <v>49</v>
      </c>
      <c r="G4297">
        <v>-282.28449999999998</v>
      </c>
      <c r="H4297" s="1">
        <v>-6.1782920000000004E-6</v>
      </c>
      <c r="I4297">
        <v>144.3991</v>
      </c>
      <c r="J4297">
        <v>-264.62889999999999</v>
      </c>
      <c r="K4297">
        <v>1.108589</v>
      </c>
      <c r="L4297">
        <v>141.49780000000001</v>
      </c>
      <c r="M4297">
        <v>-0.99973489999999998</v>
      </c>
      <c r="N4297">
        <v>0</v>
      </c>
      <c r="O4297">
        <v>2.1409439999999998E-2</v>
      </c>
      <c r="P4297">
        <v>-0.98697009999999996</v>
      </c>
      <c r="Q4297">
        <v>0.1605483</v>
      </c>
      <c r="R4297">
        <v>1.070044E-2</v>
      </c>
      <c r="S4297">
        <v>-3.0656430000000001</v>
      </c>
      <c r="T4297">
        <v>-0.18859799999999999</v>
      </c>
      <c r="U4297">
        <v>0.49501040000000002</v>
      </c>
      <c r="V4297">
        <v>-1.0033830000000001E-2</v>
      </c>
      <c r="W4297">
        <v>0.1689214</v>
      </c>
      <c r="X4297">
        <v>0.98557839999999997</v>
      </c>
      <c r="Y4297">
        <v>0.138018</v>
      </c>
      <c r="Z4297">
        <v>2.9073699999999998E-3</v>
      </c>
      <c r="AA4297">
        <v>0.99042549999999996</v>
      </c>
      <c r="AB4297">
        <v>36</v>
      </c>
      <c r="AC4297">
        <v>-17.6555999999999</v>
      </c>
      <c r="AD4297">
        <v>-1.108595178292</v>
      </c>
      <c r="AE4297">
        <v>2.9012999999999902</v>
      </c>
      <c r="AF4297">
        <v>2.5129777560437199</v>
      </c>
      <c r="AG4297">
        <v>-1.108595178292</v>
      </c>
      <c r="AH4297">
        <v>17.645929023808598</v>
      </c>
      <c r="AI4297">
        <v>93.559033879781495</v>
      </c>
      <c r="AJ4297">
        <v>81.894939383681503</v>
      </c>
      <c r="AK4297">
        <v>17.858411227905901</v>
      </c>
      <c r="AL4297">
        <v>80.274886604332593</v>
      </c>
      <c r="AM4297">
        <v>90.583288199860803</v>
      </c>
      <c r="AN4297">
        <v>0.99999994983449303</v>
      </c>
    </row>
    <row r="4298" spans="1:40" x14ac:dyDescent="0.25">
      <c r="A4298" t="str">
        <f>"20190312172456933"</f>
        <v>20190312172456933</v>
      </c>
      <c r="B4298" t="str">
        <f>"1552382696924438"</f>
        <v>1552382696924438</v>
      </c>
      <c r="C4298" t="s">
        <v>40</v>
      </c>
      <c r="D4298">
        <v>3.5503390000000001</v>
      </c>
      <c r="E4298">
        <v>0.55845639999999996</v>
      </c>
      <c r="F4298" t="s">
        <v>49</v>
      </c>
      <c r="G4298">
        <v>-282.66269999999997</v>
      </c>
      <c r="H4298" s="1">
        <v>-6.3598490000000004E-6</v>
      </c>
      <c r="I4298">
        <v>144.44200000000001</v>
      </c>
      <c r="J4298">
        <v>-265.00110000000001</v>
      </c>
      <c r="K4298">
        <v>1.1085879999999999</v>
      </c>
      <c r="L4298">
        <v>141.50659999999999</v>
      </c>
      <c r="M4298">
        <v>-0.99971319999999997</v>
      </c>
      <c r="N4298">
        <v>0</v>
      </c>
      <c r="O4298">
        <v>2.240493E-2</v>
      </c>
      <c r="P4298">
        <v>-0.98691059999999997</v>
      </c>
      <c r="Q4298">
        <v>0.16073370000000001</v>
      </c>
      <c r="R4298">
        <v>1.3133010000000001E-2</v>
      </c>
      <c r="S4298">
        <v>-3.0647890000000002</v>
      </c>
      <c r="T4298">
        <v>-0.1884034</v>
      </c>
      <c r="U4298">
        <v>0.50036619999999998</v>
      </c>
      <c r="V4298">
        <v>-8.5837199999999995E-3</v>
      </c>
      <c r="W4298">
        <v>0.16910420000000001</v>
      </c>
      <c r="X4298">
        <v>0.98556080000000001</v>
      </c>
      <c r="Y4298">
        <v>0.13876240000000001</v>
      </c>
      <c r="Z4298">
        <v>2.8668109999999999E-3</v>
      </c>
      <c r="AA4298">
        <v>0.99032160000000002</v>
      </c>
      <c r="AB4298">
        <v>36</v>
      </c>
      <c r="AC4298">
        <v>-17.6615999999999</v>
      </c>
      <c r="AD4298">
        <v>-1.108594359849</v>
      </c>
      <c r="AE4298">
        <v>2.9354000000000098</v>
      </c>
      <c r="AF4298">
        <v>2.5292449236156398</v>
      </c>
      <c r="AG4298">
        <v>-1.108594359849</v>
      </c>
      <c r="AH4298">
        <v>17.6552459266154</v>
      </c>
      <c r="AI4298">
        <v>93.556737684406002</v>
      </c>
      <c r="AJ4298">
        <v>81.847423581527096</v>
      </c>
      <c r="AK4298">
        <v>17.8699124247321</v>
      </c>
      <c r="AL4298">
        <v>80.264260559357595</v>
      </c>
      <c r="AM4298">
        <v>90.499003707988095</v>
      </c>
      <c r="AN4298">
        <v>1.0000000006016501</v>
      </c>
    </row>
    <row r="4299" spans="1:40" x14ac:dyDescent="0.25">
      <c r="A4299" t="str">
        <f>"20190312172456955"</f>
        <v>20190312172456955</v>
      </c>
      <c r="B4299" t="str">
        <f>"1552382696944937"</f>
        <v>1552382696944937</v>
      </c>
      <c r="C4299" t="s">
        <v>40</v>
      </c>
      <c r="D4299">
        <v>3.573531</v>
      </c>
      <c r="E4299">
        <v>0.55878649999999996</v>
      </c>
      <c r="F4299" t="s">
        <v>49</v>
      </c>
      <c r="G4299">
        <v>-283.0652</v>
      </c>
      <c r="H4299" s="1">
        <v>-6.5630679999999999E-6</v>
      </c>
      <c r="I4299">
        <v>144.51830000000001</v>
      </c>
      <c r="J4299">
        <v>-265.35980000000001</v>
      </c>
      <c r="K4299">
        <v>1.1085849999999999</v>
      </c>
      <c r="L4299">
        <v>141.5155</v>
      </c>
      <c r="M4299">
        <v>-0.99969160000000001</v>
      </c>
      <c r="N4299">
        <v>0</v>
      </c>
      <c r="O4299">
        <v>2.3351630000000002E-2</v>
      </c>
      <c r="P4299">
        <v>-0.98688339999999997</v>
      </c>
      <c r="Q4299">
        <v>0.160714</v>
      </c>
      <c r="R4299">
        <v>1.5243710000000001E-2</v>
      </c>
      <c r="S4299">
        <v>-3.0635680000000001</v>
      </c>
      <c r="T4299">
        <v>-0.18801080000000001</v>
      </c>
      <c r="U4299">
        <v>0.51075740000000003</v>
      </c>
      <c r="V4299">
        <v>-7.4097989999999999E-3</v>
      </c>
      <c r="W4299">
        <v>0.1690836</v>
      </c>
      <c r="X4299">
        <v>0.9855739</v>
      </c>
      <c r="Y4299">
        <v>0.14115520000000001</v>
      </c>
      <c r="Z4299">
        <v>2.876469E-3</v>
      </c>
      <c r="AA4299">
        <v>0.98998330000000001</v>
      </c>
      <c r="AB4299">
        <v>36</v>
      </c>
      <c r="AC4299">
        <v>-17.705399999999901</v>
      </c>
      <c r="AD4299">
        <v>-1.1085915630680001</v>
      </c>
      <c r="AE4299">
        <v>3.0028000000000001</v>
      </c>
      <c r="AF4299">
        <v>2.5786895372900598</v>
      </c>
      <c r="AG4299">
        <v>-1.1085915630680001</v>
      </c>
      <c r="AH4299">
        <v>17.7032309437318</v>
      </c>
      <c r="AI4299">
        <v>93.545909073000004</v>
      </c>
      <c r="AJ4299">
        <v>81.712462724480403</v>
      </c>
      <c r="AK4299">
        <v>17.9243689102444</v>
      </c>
      <c r="AL4299">
        <v>80.2654584905289</v>
      </c>
      <c r="AM4299">
        <v>90.430756344998997</v>
      </c>
      <c r="AN4299">
        <v>1.0000000406356899</v>
      </c>
    </row>
    <row r="4300" spans="1:40" x14ac:dyDescent="0.25">
      <c r="A4300" t="str">
        <f>"20190312172456979"</f>
        <v>20190312172456979</v>
      </c>
      <c r="B4300" t="str">
        <f>"1552382696974214"</f>
        <v>1552382696974214</v>
      </c>
      <c r="C4300" t="s">
        <v>40</v>
      </c>
      <c r="D4300">
        <v>3.5608629999999999</v>
      </c>
      <c r="E4300">
        <v>0.56018219999999996</v>
      </c>
      <c r="F4300" t="s">
        <v>49</v>
      </c>
      <c r="G4300">
        <v>-283.41239999999999</v>
      </c>
      <c r="H4300" s="1">
        <v>-6.7367759999999998E-6</v>
      </c>
      <c r="I4300">
        <v>144.57939999999999</v>
      </c>
      <c r="J4300">
        <v>-265.7473</v>
      </c>
      <c r="K4300">
        <v>1.108592</v>
      </c>
      <c r="L4300">
        <v>141.52549999999999</v>
      </c>
      <c r="M4300">
        <v>-0.99966759999999999</v>
      </c>
      <c r="N4300">
        <v>0</v>
      </c>
      <c r="O4300">
        <v>2.4351749999999998E-2</v>
      </c>
      <c r="P4300">
        <v>-0.98689740000000004</v>
      </c>
      <c r="Q4300">
        <v>0.1604246</v>
      </c>
      <c r="R4300">
        <v>1.7246279999999999E-2</v>
      </c>
      <c r="S4300">
        <v>-3.0624389999999999</v>
      </c>
      <c r="T4300">
        <v>-0.1880617</v>
      </c>
      <c r="U4300">
        <v>0.51976009999999995</v>
      </c>
      <c r="V4300">
        <v>-6.4011220000000004E-3</v>
      </c>
      <c r="W4300">
        <v>0.16879029999999901</v>
      </c>
      <c r="X4300">
        <v>0.98563120000000004</v>
      </c>
      <c r="Y4300">
        <v>0.14305209999999999</v>
      </c>
      <c r="Z4300">
        <v>2.8745329999999999E-3</v>
      </c>
      <c r="AA4300">
        <v>0.98971100000000001</v>
      </c>
      <c r="AB4300">
        <v>37</v>
      </c>
      <c r="AC4300">
        <v>-17.665099999999899</v>
      </c>
      <c r="AD4300">
        <v>-1.108598736776</v>
      </c>
      <c r="AE4300">
        <v>3.0538999999999898</v>
      </c>
      <c r="AF4300">
        <v>2.6128111874152902</v>
      </c>
      <c r="AG4300">
        <v>-1.108598736776</v>
      </c>
      <c r="AH4300">
        <v>17.666672758052101</v>
      </c>
      <c r="AI4300">
        <v>93.552114032051705</v>
      </c>
      <c r="AJ4300">
        <v>81.587228697583299</v>
      </c>
      <c r="AK4300">
        <v>17.893213791836299</v>
      </c>
      <c r="AL4300">
        <v>80.282508014644904</v>
      </c>
      <c r="AM4300">
        <v>90.372098730790597</v>
      </c>
      <c r="AN4300">
        <v>1.0000000010751899</v>
      </c>
    </row>
    <row r="4301" spans="1:40" x14ac:dyDescent="0.25">
      <c r="A4301" t="str">
        <f>"20190312172457002"</f>
        <v>20190312172457002</v>
      </c>
      <c r="B4301" t="str">
        <f>"1552382696994712"</f>
        <v>1552382696994712</v>
      </c>
      <c r="C4301" t="s">
        <v>40</v>
      </c>
      <c r="D4301">
        <v>3.5435889999999999</v>
      </c>
      <c r="E4301">
        <v>0.56082109999999996</v>
      </c>
      <c r="F4301" t="s">
        <v>49</v>
      </c>
      <c r="G4301">
        <v>-283.74650000000003</v>
      </c>
      <c r="H4301" s="1">
        <v>-6.9182479999999997E-6</v>
      </c>
      <c r="I4301">
        <v>144.6823</v>
      </c>
      <c r="J4301">
        <v>-266.12729999999999</v>
      </c>
      <c r="K4301">
        <v>1.1086119999999999</v>
      </c>
      <c r="L4301">
        <v>141.53559999999999</v>
      </c>
      <c r="M4301">
        <v>-0.99964419999999998</v>
      </c>
      <c r="N4301">
        <v>0</v>
      </c>
      <c r="O4301">
        <v>2.5296510000000001E-2</v>
      </c>
      <c r="P4301">
        <v>-0.98696019999999896</v>
      </c>
      <c r="Q4301">
        <v>0.1598116</v>
      </c>
      <c r="R4301">
        <v>1.9230089999999998E-2</v>
      </c>
      <c r="S4301">
        <v>-3.061096</v>
      </c>
      <c r="T4301">
        <v>-0.18853800000000001</v>
      </c>
      <c r="U4301">
        <v>0.53688049999999998</v>
      </c>
      <c r="V4301">
        <v>-5.3620859999999899E-3</v>
      </c>
      <c r="W4301">
        <v>0.1681713</v>
      </c>
      <c r="X4301">
        <v>0.98574320000000004</v>
      </c>
      <c r="Y4301">
        <v>0.14755450000000001</v>
      </c>
      <c r="Z4301">
        <v>2.9615679999999999E-3</v>
      </c>
      <c r="AA4301">
        <v>0.98904950000000003</v>
      </c>
      <c r="AB4301">
        <v>37</v>
      </c>
      <c r="AC4301">
        <v>-17.619199999999999</v>
      </c>
      <c r="AD4301">
        <v>-1.108618918248</v>
      </c>
      <c r="AE4301">
        <v>3.1467000000000001</v>
      </c>
      <c r="AF4301">
        <v>2.6896533875937498</v>
      </c>
      <c r="AG4301">
        <v>-1.108618918248</v>
      </c>
      <c r="AH4301">
        <v>17.6255410306971</v>
      </c>
      <c r="AI4301">
        <v>93.557992653524707</v>
      </c>
      <c r="AJ4301">
        <v>81.323612530756094</v>
      </c>
      <c r="AK4301">
        <v>17.864013207453599</v>
      </c>
      <c r="AL4301">
        <v>80.318488407728296</v>
      </c>
      <c r="AM4301">
        <v>90.3116652156599</v>
      </c>
      <c r="AN4301">
        <v>0.99999999722809996</v>
      </c>
    </row>
    <row r="4302" spans="1:40" x14ac:dyDescent="0.25">
      <c r="A4302" t="str">
        <f>"20190312172457024"</f>
        <v>20190312172457024</v>
      </c>
      <c r="B4302" t="str">
        <f>"1552382697014230"</f>
        <v>1552382697014230</v>
      </c>
      <c r="C4302" t="s">
        <v>40</v>
      </c>
      <c r="D4302">
        <v>3.5504739999999999</v>
      </c>
      <c r="E4302">
        <v>0.56140979999999996</v>
      </c>
      <c r="F4302" t="s">
        <v>49</v>
      </c>
      <c r="G4302">
        <v>-283.92009999999999</v>
      </c>
      <c r="H4302" s="1">
        <v>-7.0076149999999998E-6</v>
      </c>
      <c r="I4302">
        <v>144.72049999999999</v>
      </c>
      <c r="J4302">
        <v>-266.49020000000002</v>
      </c>
      <c r="K4302">
        <v>1.1086320000000001</v>
      </c>
      <c r="L4302">
        <v>141.5455</v>
      </c>
      <c r="M4302">
        <v>-0.99962220000000002</v>
      </c>
      <c r="N4302">
        <v>0</v>
      </c>
      <c r="O4302">
        <v>2.6154609999999998E-2</v>
      </c>
      <c r="P4302">
        <v>-0.98692999999999997</v>
      </c>
      <c r="Q4302">
        <v>0.15980810000000001</v>
      </c>
      <c r="R4302">
        <v>2.0761080000000001E-2</v>
      </c>
      <c r="S4302">
        <v>-3.0598450000000001</v>
      </c>
      <c r="T4302">
        <v>-0.1906494</v>
      </c>
      <c r="U4302">
        <v>0.54771419999999904</v>
      </c>
      <c r="V4302">
        <v>-4.6899369999999999E-3</v>
      </c>
      <c r="W4302">
        <v>0.16816049999999999</v>
      </c>
      <c r="X4302">
        <v>0.98574850000000003</v>
      </c>
      <c r="Y4302">
        <v>0.15016070000000001</v>
      </c>
      <c r="Z4302">
        <v>3.0225320000000001E-3</v>
      </c>
      <c r="AA4302">
        <v>0.98865700000000001</v>
      </c>
      <c r="AB4302">
        <v>37</v>
      </c>
      <c r="AC4302">
        <v>-17.4298999999999</v>
      </c>
      <c r="AD4302">
        <v>-1.1086390076149999</v>
      </c>
      <c r="AE4302">
        <v>3.1749999999999798</v>
      </c>
      <c r="AF4302">
        <v>2.7074237075010301</v>
      </c>
      <c r="AG4302">
        <v>-1.1086390076149999</v>
      </c>
      <c r="AH4302">
        <v>17.4386954283626</v>
      </c>
      <c r="AI4302">
        <v>93.594648947096502</v>
      </c>
      <c r="AJ4302">
        <v>81.175067137574601</v>
      </c>
      <c r="AK4302">
        <v>17.6824014722079</v>
      </c>
      <c r="AL4302">
        <v>80.319116435436101</v>
      </c>
      <c r="AM4302">
        <v>90.272596477465001</v>
      </c>
      <c r="AN4302">
        <v>1.0000000272607801</v>
      </c>
    </row>
    <row r="4303" spans="1:40" x14ac:dyDescent="0.25">
      <c r="A4303" t="str">
        <f>"20190312172457046"</f>
        <v>20190312172457046</v>
      </c>
      <c r="B4303" t="str">
        <f>"1552382697034726"</f>
        <v>1552382697034726</v>
      </c>
      <c r="C4303" t="s">
        <v>40</v>
      </c>
      <c r="D4303">
        <v>3.9338350000000002</v>
      </c>
      <c r="E4303">
        <v>0.56194869999999997</v>
      </c>
      <c r="F4303" t="s">
        <v>49</v>
      </c>
      <c r="G4303">
        <v>-284.26139999999998</v>
      </c>
      <c r="H4303" s="1">
        <v>-7.1779530000000003E-6</v>
      </c>
      <c r="I4303">
        <v>144.77930000000001</v>
      </c>
      <c r="J4303">
        <v>-266.84859999999998</v>
      </c>
      <c r="K4303">
        <v>1.1086579999999999</v>
      </c>
      <c r="L4303">
        <v>141.5556</v>
      </c>
      <c r="M4303">
        <v>-0.99960070000000001</v>
      </c>
      <c r="N4303">
        <v>0</v>
      </c>
      <c r="O4303">
        <v>2.696428E-2</v>
      </c>
      <c r="P4303">
        <v>-0.98686490000000004</v>
      </c>
      <c r="Q4303">
        <v>0.1600578</v>
      </c>
      <c r="R4303">
        <v>2.1890260000000002E-2</v>
      </c>
      <c r="S4303">
        <v>-3.0589599999999999</v>
      </c>
      <c r="T4303">
        <v>-0.19083020000000001</v>
      </c>
      <c r="U4303">
        <v>0.55662539999999905</v>
      </c>
      <c r="V4303">
        <v>-4.371064E-3</v>
      </c>
      <c r="W4303">
        <v>0.16840350000000001</v>
      </c>
      <c r="X4303">
        <v>0.98570849999999999</v>
      </c>
      <c r="Y4303">
        <v>0.15219569999999999</v>
      </c>
      <c r="Z4303">
        <v>3.0384119999999999E-3</v>
      </c>
      <c r="AA4303">
        <v>0.98834569999999999</v>
      </c>
      <c r="AB4303">
        <v>37</v>
      </c>
      <c r="AC4303">
        <v>-17.412800000000001</v>
      </c>
      <c r="AD4303">
        <v>-1.1086651779529999</v>
      </c>
      <c r="AE4303">
        <v>3.2237</v>
      </c>
      <c r="AF4303">
        <v>2.7422392669726201</v>
      </c>
      <c r="AG4303">
        <v>-1.1086651779529999</v>
      </c>
      <c r="AH4303">
        <v>17.425098850375601</v>
      </c>
      <c r="AI4303">
        <v>93.596371114867907</v>
      </c>
      <c r="AJ4303">
        <v>81.056544524455006</v>
      </c>
      <c r="AK4303">
        <v>17.674362353971802</v>
      </c>
      <c r="AL4303">
        <v>80.304992316562306</v>
      </c>
      <c r="AM4303">
        <v>90.254072961333407</v>
      </c>
      <c r="AN4303">
        <v>1.00000004599249</v>
      </c>
    </row>
    <row r="4304" spans="1:40" x14ac:dyDescent="0.25">
      <c r="A4304" t="str">
        <f>"20190312172457066"</f>
        <v>20190312172457066</v>
      </c>
      <c r="B4304" t="str">
        <f>"1552382697064982"</f>
        <v>1552382697064982</v>
      </c>
      <c r="C4304" t="s">
        <v>40</v>
      </c>
      <c r="D4304">
        <v>3.783312</v>
      </c>
      <c r="E4304">
        <v>0.56270220000000004</v>
      </c>
      <c r="F4304" t="s">
        <v>49</v>
      </c>
      <c r="G4304">
        <v>-284.70549999999997</v>
      </c>
      <c r="H4304" s="1">
        <v>-7.3979400000000002E-6</v>
      </c>
      <c r="I4304">
        <v>144.85050000000001</v>
      </c>
      <c r="J4304">
        <v>-267.19540000000001</v>
      </c>
      <c r="K4304">
        <v>1.1086910000000001</v>
      </c>
      <c r="L4304">
        <v>141.56559999999999</v>
      </c>
      <c r="M4304">
        <v>-0.99958040000000004</v>
      </c>
      <c r="N4304">
        <v>0</v>
      </c>
      <c r="O4304">
        <v>2.770539E-2</v>
      </c>
      <c r="P4304">
        <v>-0.98679209999999995</v>
      </c>
      <c r="Q4304">
        <v>0.1603723</v>
      </c>
      <c r="R4304">
        <v>2.2846559999999998E-2</v>
      </c>
      <c r="S4304">
        <v>-3.0581969999999998</v>
      </c>
      <c r="T4304">
        <v>-0.1898714</v>
      </c>
      <c r="U4304">
        <v>0.56428529999999999</v>
      </c>
      <c r="V4304">
        <v>-4.1569809999999997E-3</v>
      </c>
      <c r="W4304">
        <v>0.16871320000000001</v>
      </c>
      <c r="X4304">
        <v>0.98565639999999999</v>
      </c>
      <c r="Y4304">
        <v>0.15390179999999901</v>
      </c>
      <c r="Z4304">
        <v>3.0302079999999999E-3</v>
      </c>
      <c r="AA4304">
        <v>0.98808149999999995</v>
      </c>
      <c r="AB4304">
        <v>37</v>
      </c>
      <c r="AC4304">
        <v>-17.510099999999898</v>
      </c>
      <c r="AD4304">
        <v>-1.10869839794</v>
      </c>
      <c r="AE4304">
        <v>3.2849000000000199</v>
      </c>
      <c r="AF4304">
        <v>2.7877011846831201</v>
      </c>
      <c r="AG4304">
        <v>-1.10869839794</v>
      </c>
      <c r="AH4304">
        <v>17.526513516086901</v>
      </c>
      <c r="AI4304">
        <v>93.574795735822093</v>
      </c>
      <c r="AJ4304">
        <v>80.962455061062499</v>
      </c>
      <c r="AK4304">
        <v>17.781427559739299</v>
      </c>
      <c r="AL4304">
        <v>80.286989603336806</v>
      </c>
      <c r="AM4304">
        <v>90.241642071891903</v>
      </c>
      <c r="AN4304">
        <v>0.99999998160311598</v>
      </c>
    </row>
    <row r="4305" spans="1:40" x14ac:dyDescent="0.25">
      <c r="A4305" t="str">
        <f>"20190312172457090"</f>
        <v>20190312172457090</v>
      </c>
      <c r="B4305" t="str">
        <f>"1552382697084503"</f>
        <v>1552382697084503</v>
      </c>
      <c r="C4305" t="s">
        <v>40</v>
      </c>
      <c r="D4305">
        <v>3.5424869999999999</v>
      </c>
      <c r="E4305">
        <v>0.56319399999999997</v>
      </c>
      <c r="F4305" t="s">
        <v>49</v>
      </c>
      <c r="G4305">
        <v>-285.17610000000002</v>
      </c>
      <c r="H4305" s="1">
        <v>-7.6730120000000004E-6</v>
      </c>
      <c r="I4305">
        <v>144.9348</v>
      </c>
      <c r="J4305">
        <v>-267.57920000000001</v>
      </c>
      <c r="K4305">
        <v>1.10873</v>
      </c>
      <c r="L4305">
        <v>141.57689999999999</v>
      </c>
      <c r="M4305">
        <v>-0.99955919999999998</v>
      </c>
      <c r="N4305">
        <v>0</v>
      </c>
      <c r="O4305">
        <v>2.846742E-2</v>
      </c>
      <c r="P4305">
        <v>-0.98668440000000002</v>
      </c>
      <c r="Q4305">
        <v>0.16097829999999999</v>
      </c>
      <c r="R4305">
        <v>2.3242189999999999E-2</v>
      </c>
      <c r="S4305">
        <v>-3.0574949999999999</v>
      </c>
      <c r="T4305">
        <v>-0.18852640000000001</v>
      </c>
      <c r="U4305">
        <v>0.57290649999999999</v>
      </c>
      <c r="V4305">
        <v>-4.5259250000000001E-3</v>
      </c>
      <c r="W4305">
        <v>0.16931479999999999</v>
      </c>
      <c r="X4305">
        <v>0.98555170000000003</v>
      </c>
      <c r="Y4305">
        <v>0.15588289999999999</v>
      </c>
      <c r="Z4305">
        <v>3.0227349999999999E-3</v>
      </c>
      <c r="AA4305">
        <v>0.98777090000000001</v>
      </c>
      <c r="AB4305">
        <v>37</v>
      </c>
      <c r="AC4305">
        <v>-17.596900000000002</v>
      </c>
      <c r="AD4305">
        <v>-1.108737673012</v>
      </c>
      <c r="AE4305">
        <v>3.3578999999999999</v>
      </c>
      <c r="AF4305">
        <v>2.8446863973726999</v>
      </c>
      <c r="AG4305">
        <v>-1.108737673012</v>
      </c>
      <c r="AH4305">
        <v>17.617877211718501</v>
      </c>
      <c r="AI4305">
        <v>93.5550954037694</v>
      </c>
      <c r="AJ4305">
        <v>80.827848455526706</v>
      </c>
      <c r="AK4305">
        <v>17.8804680412495</v>
      </c>
      <c r="AL4305">
        <v>80.252018202445598</v>
      </c>
      <c r="AM4305">
        <v>90.263116159211506</v>
      </c>
      <c r="AN4305">
        <v>1.0000000694345099</v>
      </c>
    </row>
    <row r="4306" spans="1:40" x14ac:dyDescent="0.25">
      <c r="A4306" t="str">
        <f>"20190312172457112"</f>
        <v>20190312172457112</v>
      </c>
      <c r="B4306" t="str">
        <f>"1552382697104998"</f>
        <v>1552382697104998</v>
      </c>
      <c r="C4306" t="s">
        <v>40</v>
      </c>
      <c r="D4306">
        <v>3.56108</v>
      </c>
      <c r="E4306">
        <v>0.56367369999999895</v>
      </c>
      <c r="F4306" t="s">
        <v>49</v>
      </c>
      <c r="G4306">
        <v>-285.79700000000003</v>
      </c>
      <c r="H4306" s="1">
        <v>-8.0881029999999996E-6</v>
      </c>
      <c r="I4306">
        <v>145.02289999999999</v>
      </c>
      <c r="J4306">
        <v>-267.9599</v>
      </c>
      <c r="K4306">
        <v>1.1087750000000001</v>
      </c>
      <c r="L4306">
        <v>141.5883</v>
      </c>
      <c r="M4306">
        <v>-0.99953930000000002</v>
      </c>
      <c r="N4306">
        <v>0</v>
      </c>
      <c r="O4306">
        <v>2.9160930000000002E-2</v>
      </c>
      <c r="P4306">
        <v>-0.98659209999999997</v>
      </c>
      <c r="Q4306">
        <v>0.1616561</v>
      </c>
      <c r="R4306">
        <v>2.244786E-2</v>
      </c>
      <c r="S4306">
        <v>-3.05722</v>
      </c>
      <c r="T4306">
        <v>-0.18606249999999999</v>
      </c>
      <c r="U4306">
        <v>0.57829280000000005</v>
      </c>
      <c r="V4306">
        <v>-6.0196470000000004E-3</v>
      </c>
      <c r="W4306">
        <v>0.16998629999999901</v>
      </c>
      <c r="X4306">
        <v>0.98542799999999997</v>
      </c>
      <c r="Y4306">
        <v>0.15689979999999901</v>
      </c>
      <c r="Z4306">
        <v>2.9720100000000002E-3</v>
      </c>
      <c r="AA4306">
        <v>0.98760999999999999</v>
      </c>
      <c r="AB4306">
        <v>37</v>
      </c>
      <c r="AC4306">
        <v>-17.8371</v>
      </c>
      <c r="AD4306">
        <v>-1.1087830881029901</v>
      </c>
      <c r="AE4306">
        <v>3.4345999999999801</v>
      </c>
      <c r="AF4306">
        <v>2.90216119189009</v>
      </c>
      <c r="AG4306">
        <v>-1.1087830881029901</v>
      </c>
      <c r="AH4306">
        <v>17.863116976183601</v>
      </c>
      <c r="AI4306">
        <v>93.506001546003503</v>
      </c>
      <c r="AJ4306">
        <v>80.771974114109895</v>
      </c>
      <c r="AK4306">
        <v>18.131268229911399</v>
      </c>
      <c r="AL4306">
        <v>80.212977101180002</v>
      </c>
      <c r="AM4306">
        <v>90.349996222232207</v>
      </c>
      <c r="AN4306">
        <v>0.99999996076084596</v>
      </c>
    </row>
    <row r="4307" spans="1:40" x14ac:dyDescent="0.25">
      <c r="A4307" t="str">
        <f>"20190312172457145"</f>
        <v>20190312172457145</v>
      </c>
      <c r="B4307" t="str">
        <f>"1552382697134281"</f>
        <v>1552382697134281</v>
      </c>
      <c r="C4307" t="s">
        <v>40</v>
      </c>
      <c r="D4307">
        <v>3.5343119999999999</v>
      </c>
      <c r="E4307">
        <v>0.564359099999999</v>
      </c>
      <c r="F4307" t="s">
        <v>49</v>
      </c>
      <c r="G4307">
        <v>-286.39519999999999</v>
      </c>
      <c r="H4307" s="1">
        <v>-8.4797689999999999E-6</v>
      </c>
      <c r="I4307">
        <v>145.08250000000001</v>
      </c>
      <c r="J4307">
        <v>-268.5034</v>
      </c>
      <c r="K4307">
        <v>1.1088420000000001</v>
      </c>
      <c r="L4307">
        <v>141.60509999999999</v>
      </c>
      <c r="M4307">
        <v>-0.99951290000000004</v>
      </c>
      <c r="N4307">
        <v>0</v>
      </c>
      <c r="O4307">
        <v>3.0049719999999999E-2</v>
      </c>
      <c r="P4307">
        <v>-0.98646650000000002</v>
      </c>
      <c r="Q4307">
        <v>0.16258689999999901</v>
      </c>
      <c r="R4307">
        <v>2.1199900000000001E-2</v>
      </c>
      <c r="S4307">
        <v>-3.0577390000000002</v>
      </c>
      <c r="T4307">
        <v>-0.18390609999999999</v>
      </c>
      <c r="U4307">
        <v>0.57954410000000001</v>
      </c>
      <c r="V4307">
        <v>-8.1675900000000006E-3</v>
      </c>
      <c r="W4307">
        <v>0.17090159999999999</v>
      </c>
      <c r="X4307">
        <v>0.98525419999999997</v>
      </c>
      <c r="Y4307">
        <v>0.1563889</v>
      </c>
      <c r="Z4307">
        <v>2.8689660000000001E-3</v>
      </c>
      <c r="AA4307">
        <v>0.9876914</v>
      </c>
      <c r="AB4307">
        <v>37</v>
      </c>
      <c r="AC4307">
        <v>-17.8917999999999</v>
      </c>
      <c r="AD4307">
        <v>-1.108850479769</v>
      </c>
      <c r="AE4307">
        <v>3.47740000000001</v>
      </c>
      <c r="AF4307">
        <v>2.9273324014495001</v>
      </c>
      <c r="AG4307">
        <v>-1.108850479769</v>
      </c>
      <c r="AH4307">
        <v>17.921886880539802</v>
      </c>
      <c r="AI4307">
        <v>93.494262767280304</v>
      </c>
      <c r="AJ4307">
        <v>80.723318805297396</v>
      </c>
      <c r="AK4307">
        <v>18.193209000446402</v>
      </c>
      <c r="AL4307">
        <v>80.159755416190606</v>
      </c>
      <c r="AM4307">
        <v>90.474961402283697</v>
      </c>
      <c r="AN4307">
        <v>0.99999995251330198</v>
      </c>
    </row>
    <row r="4308" spans="1:40" x14ac:dyDescent="0.25">
      <c r="A4308" t="str">
        <f>"20190312172457167"</f>
        <v>20190312172457167</v>
      </c>
      <c r="B4308" t="str">
        <f>"1552382697164534"</f>
        <v>1552382697164534</v>
      </c>
      <c r="C4308" t="s">
        <v>40</v>
      </c>
      <c r="D4308">
        <v>3.5276999999999998</v>
      </c>
      <c r="E4308">
        <v>0.56499119999999903</v>
      </c>
      <c r="F4308" t="s">
        <v>49</v>
      </c>
      <c r="G4308">
        <v>-287.35059999999999</v>
      </c>
      <c r="H4308" s="1">
        <v>-9.0922749999999993E-6</v>
      </c>
      <c r="I4308">
        <v>145.19299999999899</v>
      </c>
      <c r="J4308">
        <v>-268.85750000000002</v>
      </c>
      <c r="K4308">
        <v>1.108884</v>
      </c>
      <c r="L4308">
        <v>141.61619999999999</v>
      </c>
      <c r="M4308">
        <v>-0.99949719999999997</v>
      </c>
      <c r="N4308">
        <v>0</v>
      </c>
      <c r="O4308">
        <v>3.057269E-2</v>
      </c>
      <c r="P4308">
        <v>-0.98644339999999997</v>
      </c>
      <c r="Q4308">
        <v>0.1628791</v>
      </c>
      <c r="R4308">
        <v>1.9997999999999998E-2</v>
      </c>
      <c r="S4308">
        <v>-3.0582579999999999</v>
      </c>
      <c r="T4308">
        <v>-0.17992849999999999</v>
      </c>
      <c r="U4308">
        <v>0.58219909999999997</v>
      </c>
      <c r="V4308">
        <v>-9.9006730000000005E-3</v>
      </c>
      <c r="W4308">
        <v>0.1711811</v>
      </c>
      <c r="X4308">
        <v>0.98518989999999995</v>
      </c>
      <c r="Y4308">
        <v>0.15667899999999901</v>
      </c>
      <c r="Z4308">
        <v>2.7843719999999998E-3</v>
      </c>
      <c r="AA4308">
        <v>0.98764560000000001</v>
      </c>
      <c r="AB4308">
        <v>37</v>
      </c>
      <c r="AC4308">
        <v>-18.493099999999899</v>
      </c>
      <c r="AD4308">
        <v>-1.108893092275</v>
      </c>
      <c r="AE4308">
        <v>3.5767999999999902</v>
      </c>
      <c r="AF4308">
        <v>2.9993288708403099</v>
      </c>
      <c r="AG4308">
        <v>-1.108893092275</v>
      </c>
      <c r="AH4308">
        <v>18.5295901428332</v>
      </c>
      <c r="AI4308">
        <v>93.380849529935801</v>
      </c>
      <c r="AJ4308">
        <v>80.805453347019295</v>
      </c>
      <c r="AK4308">
        <v>18.803492452917698</v>
      </c>
      <c r="AL4308">
        <v>80.143502854898102</v>
      </c>
      <c r="AM4308">
        <v>90.575774966648396</v>
      </c>
      <c r="AN4308">
        <v>1.0000000656925301</v>
      </c>
    </row>
    <row r="4309" spans="1:40" x14ac:dyDescent="0.25">
      <c r="A4309" t="str">
        <f>"20190312172457190"</f>
        <v>20190312172457190</v>
      </c>
      <c r="B4309" t="str">
        <f>"1552382697185031"</f>
        <v>1552382697185031</v>
      </c>
      <c r="C4309" t="s">
        <v>40</v>
      </c>
      <c r="D4309">
        <v>3.5401769999999901</v>
      </c>
      <c r="E4309">
        <v>0.56541059999999999</v>
      </c>
      <c r="F4309" t="s">
        <v>49</v>
      </c>
      <c r="G4309">
        <v>-287.8349</v>
      </c>
      <c r="H4309" s="1">
        <v>-9.3578599999999995E-6</v>
      </c>
      <c r="I4309">
        <v>145.2381</v>
      </c>
      <c r="J4309">
        <v>-269.2484</v>
      </c>
      <c r="K4309">
        <v>1.108919</v>
      </c>
      <c r="L4309">
        <v>141.62860000000001</v>
      </c>
      <c r="M4309">
        <v>-0.9994807</v>
      </c>
      <c r="N4309">
        <v>0</v>
      </c>
      <c r="O4309">
        <v>3.1113450000000001E-2</v>
      </c>
      <c r="P4309">
        <v>-0.98636610000000002</v>
      </c>
      <c r="Q4309">
        <v>0.16347419999999999</v>
      </c>
      <c r="R4309">
        <v>1.892628E-2</v>
      </c>
      <c r="S4309">
        <v>-3.058929</v>
      </c>
      <c r="T4309">
        <v>-0.1787406</v>
      </c>
      <c r="U4309">
        <v>0.58381649999999996</v>
      </c>
      <c r="V4309">
        <v>-1.151832E-2</v>
      </c>
      <c r="W4309">
        <v>0.1717622</v>
      </c>
      <c r="X4309">
        <v>0.98507109999999998</v>
      </c>
      <c r="Y4309">
        <v>0.15661269999999999</v>
      </c>
      <c r="Z4309">
        <v>2.7321390000000002E-3</v>
      </c>
      <c r="AA4309">
        <v>0.98765630000000004</v>
      </c>
      <c r="AB4309">
        <v>37</v>
      </c>
      <c r="AC4309">
        <v>-18.586500000000001</v>
      </c>
      <c r="AD4309">
        <v>-1.10892835786</v>
      </c>
      <c r="AE4309">
        <v>3.6094999999999899</v>
      </c>
      <c r="AF4309">
        <v>3.0190854909499598</v>
      </c>
      <c r="AG4309">
        <v>-1.10892835786</v>
      </c>
      <c r="AH4309">
        <v>18.625916043710198</v>
      </c>
      <c r="AI4309">
        <v>93.363393641969694</v>
      </c>
      <c r="AJ4309">
        <v>80.792969902742499</v>
      </c>
      <c r="AK4309">
        <v>18.9015699816674</v>
      </c>
      <c r="AL4309">
        <v>80.109707070834602</v>
      </c>
      <c r="AM4309">
        <v>90.6699222509002</v>
      </c>
      <c r="AN4309">
        <v>0.99999999854983601</v>
      </c>
    </row>
    <row r="4310" spans="1:40" x14ac:dyDescent="0.25">
      <c r="A4310" t="str">
        <f>"20190312172457213"</f>
        <v>20190312172457213</v>
      </c>
      <c r="B4310" t="str">
        <f>"1552382697204550"</f>
        <v>1552382697204550</v>
      </c>
      <c r="C4310" t="s">
        <v>40</v>
      </c>
      <c r="D4310">
        <v>3.5425559999999998</v>
      </c>
      <c r="E4310">
        <v>0.56580759999999997</v>
      </c>
      <c r="F4310" t="s">
        <v>49</v>
      </c>
      <c r="G4310">
        <v>-288.44600000000003</v>
      </c>
      <c r="H4310" s="1">
        <v>-9.6929009999999994E-6</v>
      </c>
      <c r="I4310">
        <v>145.29470000000001</v>
      </c>
      <c r="J4310">
        <v>-269.62759999999997</v>
      </c>
      <c r="K4310">
        <v>1.1089450000000001</v>
      </c>
      <c r="L4310">
        <v>141.64089999999999</v>
      </c>
      <c r="M4310">
        <v>-0.99946520000000005</v>
      </c>
      <c r="N4310">
        <v>0</v>
      </c>
      <c r="O4310">
        <v>3.1611840000000002E-2</v>
      </c>
      <c r="P4310">
        <v>-0.98635660000000003</v>
      </c>
      <c r="Q4310">
        <v>0.16365099999999999</v>
      </c>
      <c r="R4310">
        <v>1.7865300000000001E-2</v>
      </c>
      <c r="S4310">
        <v>-3.0595400000000001</v>
      </c>
      <c r="T4310">
        <v>-0.17673129999999901</v>
      </c>
      <c r="U4310">
        <v>0.58427430000000002</v>
      </c>
      <c r="V4310">
        <v>-1.3082089999999999E-2</v>
      </c>
      <c r="W4310">
        <v>0.17192760000000001</v>
      </c>
      <c r="X4310">
        <v>0.98502270000000003</v>
      </c>
      <c r="Y4310">
        <v>0.1562326</v>
      </c>
      <c r="Z4310">
        <v>2.6615829999999999E-3</v>
      </c>
      <c r="AA4310">
        <v>0.9877167</v>
      </c>
      <c r="AB4310">
        <v>37</v>
      </c>
      <c r="AC4310">
        <v>-18.8184</v>
      </c>
      <c r="AD4310">
        <v>-1.1089546929009999</v>
      </c>
      <c r="AE4310">
        <v>3.6538000000000102</v>
      </c>
      <c r="AF4310">
        <v>3.04687234283525</v>
      </c>
      <c r="AG4310">
        <v>-1.1089546929009999</v>
      </c>
      <c r="AH4310">
        <v>18.861382039275899</v>
      </c>
      <c r="AI4310">
        <v>93.321865862693997</v>
      </c>
      <c r="AJ4310">
        <v>80.823696874639793</v>
      </c>
      <c r="AK4310">
        <v>19.138049639813399</v>
      </c>
      <c r="AL4310">
        <v>80.100087060198803</v>
      </c>
      <c r="AM4310">
        <v>90.760900717468701</v>
      </c>
      <c r="AN4310">
        <v>0.99999998011790803</v>
      </c>
    </row>
    <row r="4311" spans="1:40" x14ac:dyDescent="0.25">
      <c r="A4311" t="str">
        <f>"20190312172457234"</f>
        <v>20190312172457234</v>
      </c>
      <c r="B4311" t="str">
        <f>"1552382697225047"</f>
        <v>1552382697225047</v>
      </c>
      <c r="C4311" t="s">
        <v>40</v>
      </c>
      <c r="D4311">
        <v>3.5189979999999998</v>
      </c>
      <c r="E4311">
        <v>0.56614969999999998</v>
      </c>
      <c r="F4311" t="s">
        <v>49</v>
      </c>
      <c r="G4311">
        <v>-288.93310000000002</v>
      </c>
      <c r="H4311" s="1">
        <v>-9.9566370000000001E-6</v>
      </c>
      <c r="I4311">
        <v>145.32759999999999</v>
      </c>
      <c r="J4311">
        <v>-269.99919999999997</v>
      </c>
      <c r="K4311">
        <v>1.108968</v>
      </c>
      <c r="L4311">
        <v>141.65299999999999</v>
      </c>
      <c r="M4311">
        <v>-0.99945019999999996</v>
      </c>
      <c r="N4311">
        <v>0</v>
      </c>
      <c r="O4311">
        <v>3.208329E-2</v>
      </c>
      <c r="P4311">
        <v>-0.98631279999999999</v>
      </c>
      <c r="Q4311">
        <v>0.1640412</v>
      </c>
      <c r="R4311">
        <v>1.6668519999999999E-2</v>
      </c>
      <c r="S4311">
        <v>-3.0600890000000001</v>
      </c>
      <c r="T4311">
        <v>-0.17577899999999999</v>
      </c>
      <c r="U4311">
        <v>0.58438109999999999</v>
      </c>
      <c r="V4311">
        <v>-1.47499E-2</v>
      </c>
      <c r="W4311">
        <v>0.1723085</v>
      </c>
      <c r="X4311">
        <v>0.98493260000000005</v>
      </c>
      <c r="Y4311">
        <v>0.15577099999999999</v>
      </c>
      <c r="Z4311">
        <v>2.6068939999999998E-3</v>
      </c>
      <c r="AA4311">
        <v>0.98778980000000005</v>
      </c>
      <c r="AB4311">
        <v>37</v>
      </c>
      <c r="AC4311">
        <v>-18.933900000000001</v>
      </c>
      <c r="AD4311">
        <v>-1.1089779566369999</v>
      </c>
      <c r="AE4311">
        <v>3.6745999999999901</v>
      </c>
      <c r="AF4311">
        <v>3.0551247520097999</v>
      </c>
      <c r="AG4311">
        <v>-1.1089779566369999</v>
      </c>
      <c r="AH4311">
        <v>18.9793031217704</v>
      </c>
      <c r="AI4311">
        <v>93.301636058968697</v>
      </c>
      <c r="AJ4311">
        <v>80.855464168876793</v>
      </c>
      <c r="AK4311">
        <v>19.255585328592201</v>
      </c>
      <c r="AL4311">
        <v>80.077932695046698</v>
      </c>
      <c r="AM4311">
        <v>90.857971246191795</v>
      </c>
      <c r="AN4311">
        <v>1.00000000263251</v>
      </c>
    </row>
    <row r="4312" spans="1:40" x14ac:dyDescent="0.25">
      <c r="A4312" t="str">
        <f>"20190312172457256"</f>
        <v>20190312172457256</v>
      </c>
      <c r="B4312" t="str">
        <f>"1552382697244567"</f>
        <v>1552382697244567</v>
      </c>
      <c r="C4312" t="s">
        <v>40</v>
      </c>
      <c r="D4312">
        <v>3.6112030000000002</v>
      </c>
      <c r="E4312">
        <v>0.56603319999999901</v>
      </c>
      <c r="F4312" t="s">
        <v>49</v>
      </c>
      <c r="G4312">
        <v>-289.42910000000001</v>
      </c>
      <c r="H4312" s="1">
        <v>-1.022382E-5</v>
      </c>
      <c r="I4312">
        <v>145.3561</v>
      </c>
      <c r="J4312">
        <v>-270.35660000000001</v>
      </c>
      <c r="K4312">
        <v>1.108981</v>
      </c>
      <c r="L4312">
        <v>141.66489999999999</v>
      </c>
      <c r="M4312">
        <v>-0.99943590000000004</v>
      </c>
      <c r="N4312">
        <v>0</v>
      </c>
      <c r="O4312">
        <v>3.2527180000000003E-2</v>
      </c>
      <c r="P4312">
        <v>-0.9863577</v>
      </c>
      <c r="Q4312">
        <v>0.16389329999999999</v>
      </c>
      <c r="R4312">
        <v>1.541997E-2</v>
      </c>
      <c r="S4312">
        <v>-3.0608219999999999</v>
      </c>
      <c r="T4312">
        <v>-0.1746993</v>
      </c>
      <c r="U4312">
        <v>0.58335879999999996</v>
      </c>
      <c r="V4312">
        <v>-1.644342E-2</v>
      </c>
      <c r="W4312">
        <v>0.17215449999999999</v>
      </c>
      <c r="X4312">
        <v>0.98493269999999999</v>
      </c>
      <c r="Y4312">
        <v>0.15497469999999999</v>
      </c>
      <c r="Z4312">
        <v>2.5428310000000002E-3</v>
      </c>
      <c r="AA4312">
        <v>0.98791519999999999</v>
      </c>
      <c r="AB4312">
        <v>37</v>
      </c>
      <c r="AC4312">
        <v>-19.072499999999899</v>
      </c>
      <c r="AD4312">
        <v>-1.1089912238199999</v>
      </c>
      <c r="AE4312">
        <v>3.6911999999999998</v>
      </c>
      <c r="AF4312">
        <v>3.0588817602715799</v>
      </c>
      <c r="AG4312">
        <v>-1.1089912238199999</v>
      </c>
      <c r="AH4312">
        <v>19.120164877914799</v>
      </c>
      <c r="AI4312">
        <v>93.277910889104405</v>
      </c>
      <c r="AJ4312">
        <v>80.910729999096006</v>
      </c>
      <c r="AK4312">
        <v>19.395033490986201</v>
      </c>
      <c r="AL4312">
        <v>80.086889980870893</v>
      </c>
      <c r="AM4312">
        <v>90.956462355069604</v>
      </c>
      <c r="AN4312">
        <v>0.99999999073041801</v>
      </c>
    </row>
    <row r="4313" spans="1:40" x14ac:dyDescent="0.25">
      <c r="A4313" t="str">
        <f>"20190312172457279"</f>
        <v>20190312172457279</v>
      </c>
      <c r="B4313" t="str">
        <f>"1552382697274824"</f>
        <v>1552382697274824</v>
      </c>
      <c r="C4313" t="s">
        <v>40</v>
      </c>
      <c r="D4313">
        <v>3.5074510000000001</v>
      </c>
      <c r="E4313">
        <v>0.5046505</v>
      </c>
      <c r="F4313" t="s">
        <v>49</v>
      </c>
      <c r="G4313">
        <v>-289.74979999999999</v>
      </c>
      <c r="H4313" s="1">
        <v>-1.0384049999999999E-5</v>
      </c>
      <c r="I4313">
        <v>145.3288</v>
      </c>
      <c r="J4313">
        <v>-270.7355</v>
      </c>
      <c r="K4313">
        <v>1.108984</v>
      </c>
      <c r="L4313">
        <v>141.67760000000001</v>
      </c>
      <c r="M4313">
        <v>-0.99942070000000005</v>
      </c>
      <c r="N4313">
        <v>0</v>
      </c>
      <c r="O4313">
        <v>3.2993330000000001E-2</v>
      </c>
      <c r="P4313">
        <v>-0.98644500000000002</v>
      </c>
      <c r="Q4313">
        <v>0.163487299999999</v>
      </c>
      <c r="R4313">
        <v>1.408776E-2</v>
      </c>
      <c r="S4313">
        <v>-3.0615230000000002</v>
      </c>
      <c r="T4313">
        <v>-0.17507210000000001</v>
      </c>
      <c r="U4313">
        <v>0.57841489999999995</v>
      </c>
      <c r="V4313">
        <v>-1.8243499999999999E-2</v>
      </c>
      <c r="W4313">
        <v>0.17174159999999999</v>
      </c>
      <c r="X4313">
        <v>0.98497310000000005</v>
      </c>
      <c r="Y4313">
        <v>0.1529353</v>
      </c>
      <c r="Z4313">
        <v>2.463935E-3</v>
      </c>
      <c r="AA4313">
        <v>0.98823309999999998</v>
      </c>
      <c r="AB4313">
        <v>38</v>
      </c>
      <c r="AC4313">
        <v>-19.014299999999899</v>
      </c>
      <c r="AD4313">
        <v>-1.1089943840500001</v>
      </c>
      <c r="AE4313">
        <v>3.6511999999999798</v>
      </c>
      <c r="AF4313">
        <v>3.0119636230879401</v>
      </c>
      <c r="AG4313">
        <v>-1.1089943840500001</v>
      </c>
      <c r="AH4313">
        <v>19.061879652709401</v>
      </c>
      <c r="AI4313">
        <v>93.2889246174025</v>
      </c>
      <c r="AJ4313">
        <v>81.020941721194305</v>
      </c>
      <c r="AK4313">
        <v>19.330210793083399</v>
      </c>
      <c r="AL4313">
        <v>80.110905232683706</v>
      </c>
      <c r="AM4313">
        <v>91.061101108333702</v>
      </c>
      <c r="AN4313">
        <v>1.0000000050932101</v>
      </c>
    </row>
    <row r="4314" spans="1:40" x14ac:dyDescent="0.25">
      <c r="A4314" t="str">
        <f>"20190312172457302"</f>
        <v>20190312172457302</v>
      </c>
      <c r="B4314" t="str">
        <f>"1552382697294342"</f>
        <v>1552382697294342</v>
      </c>
      <c r="C4314" t="s">
        <v>40</v>
      </c>
      <c r="D4314">
        <v>3.5017010000000002</v>
      </c>
      <c r="E4314">
        <v>0.49873220000000001</v>
      </c>
      <c r="F4314" t="s">
        <v>49</v>
      </c>
      <c r="G4314">
        <v>-300.57119999999998</v>
      </c>
      <c r="H4314" s="1">
        <v>-8.9190049999999907E-6</v>
      </c>
      <c r="I4314">
        <v>142.4975</v>
      </c>
      <c r="J4314">
        <v>-271.12689999999998</v>
      </c>
      <c r="K4314">
        <v>1.108995</v>
      </c>
      <c r="L4314">
        <v>141.691</v>
      </c>
      <c r="M4314">
        <v>-0.99940490000000004</v>
      </c>
      <c r="N4314">
        <v>0</v>
      </c>
      <c r="O4314">
        <v>3.3473269999999999E-2</v>
      </c>
      <c r="P4314">
        <v>-0.98642799999999997</v>
      </c>
      <c r="Q4314">
        <v>0.16369339999999999</v>
      </c>
      <c r="R4314">
        <v>1.283811E-2</v>
      </c>
      <c r="S4314">
        <v>-3.0588679999999999</v>
      </c>
      <c r="T4314">
        <v>-0.11369840000000001</v>
      </c>
      <c r="U4314">
        <v>8.4060670000000004E-2</v>
      </c>
      <c r="V4314">
        <v>-1.9969290000000001E-2</v>
      </c>
      <c r="W4314">
        <v>0.17193749999999999</v>
      </c>
      <c r="X4314">
        <v>0.98490540000000004</v>
      </c>
      <c r="Y4314">
        <v>-5.9793850000000003E-3</v>
      </c>
      <c r="Z4314">
        <v>-1.354334E-3</v>
      </c>
      <c r="AA4314">
        <v>0.99998120000000001</v>
      </c>
      <c r="AB4314">
        <v>38</v>
      </c>
      <c r="AC4314">
        <v>-29.444299999999998</v>
      </c>
      <c r="AD4314">
        <v>-1.1090039190050001</v>
      </c>
      <c r="AE4314">
        <v>0.806499999999999</v>
      </c>
      <c r="AF4314">
        <v>-0.179328974848914</v>
      </c>
      <c r="AG4314">
        <v>-1.1090039190050001</v>
      </c>
      <c r="AH4314">
        <v>29.413101279727901</v>
      </c>
      <c r="AI4314">
        <v>92.1592411907925</v>
      </c>
      <c r="AJ4314">
        <v>90.349322772727902</v>
      </c>
      <c r="AK4314">
        <v>29.434547312046799</v>
      </c>
      <c r="AL4314">
        <v>80.099511073343095</v>
      </c>
      <c r="AM4314">
        <v>91.161532155356397</v>
      </c>
      <c r="AN4314">
        <v>0.99999996169925598</v>
      </c>
    </row>
    <row r="4315" spans="1:40" x14ac:dyDescent="0.25">
      <c r="A4315" t="str">
        <f>"20190312172457324"</f>
        <v>20190312172457324</v>
      </c>
      <c r="B4315" t="str">
        <f>"1552382697314842"</f>
        <v>1552382697314842</v>
      </c>
      <c r="C4315" t="s">
        <v>40</v>
      </c>
      <c r="D4315">
        <v>3.4935879999999999</v>
      </c>
      <c r="E4315">
        <v>0.4960601</v>
      </c>
      <c r="F4315" t="s">
        <v>49</v>
      </c>
      <c r="G4315">
        <v>-302.2054</v>
      </c>
      <c r="H4315" s="1">
        <v>-9.0839930000000006E-6</v>
      </c>
      <c r="I4315">
        <v>142.024</v>
      </c>
      <c r="J4315">
        <v>-271.49779999999998</v>
      </c>
      <c r="K4315">
        <v>1.108997</v>
      </c>
      <c r="L4315">
        <v>141.7038</v>
      </c>
      <c r="M4315">
        <v>-0.99938950000000004</v>
      </c>
      <c r="N4315">
        <v>0</v>
      </c>
      <c r="O4315">
        <v>3.3928970000000003E-2</v>
      </c>
      <c r="P4315">
        <v>-0.98642649999999998</v>
      </c>
      <c r="Q4315">
        <v>0.1637422</v>
      </c>
      <c r="R4315">
        <v>1.2297249999999999E-2</v>
      </c>
      <c r="S4315">
        <v>-3.058929</v>
      </c>
      <c r="T4315">
        <v>-0.1091548</v>
      </c>
      <c r="U4315">
        <v>3.277588E-2</v>
      </c>
      <c r="V4315">
        <v>-2.096336E-2</v>
      </c>
      <c r="W4315">
        <v>0.17197689999999999</v>
      </c>
      <c r="X4315">
        <v>0.98487789999999997</v>
      </c>
      <c r="Y4315">
        <v>-2.3183820000000001E-2</v>
      </c>
      <c r="Z4315">
        <v>-1.623616E-3</v>
      </c>
      <c r="AA4315">
        <v>0.99972989999999995</v>
      </c>
      <c r="AB4315">
        <v>38</v>
      </c>
      <c r="AC4315">
        <v>-30.707599999999999</v>
      </c>
      <c r="AD4315">
        <v>-1.109006083993</v>
      </c>
      <c r="AE4315">
        <v>0.32019999999999899</v>
      </c>
      <c r="AF4315">
        <v>-0.72095755073397005</v>
      </c>
      <c r="AG4315">
        <v>-1.109006083993</v>
      </c>
      <c r="AH4315">
        <v>30.660796802811301</v>
      </c>
      <c r="AI4315">
        <v>92.070922820029196</v>
      </c>
      <c r="AJ4315">
        <v>91.347003945115404</v>
      </c>
      <c r="AK4315">
        <v>30.6893162984707</v>
      </c>
      <c r="AL4315">
        <v>80.097219840628895</v>
      </c>
      <c r="AM4315">
        <v>91.219370146522607</v>
      </c>
      <c r="AN4315">
        <v>0.99999999725225397</v>
      </c>
    </row>
    <row r="4316" spans="1:40" x14ac:dyDescent="0.25">
      <c r="A4316" t="str">
        <f>"20190312172457346"</f>
        <v>20190312172457346</v>
      </c>
      <c r="B4316" t="str">
        <f>"1552382697334359"</f>
        <v>1552382697334359</v>
      </c>
      <c r="C4316" t="s">
        <v>40</v>
      </c>
      <c r="D4316">
        <v>3.4928279999999998</v>
      </c>
      <c r="E4316">
        <v>0.49469580000000002</v>
      </c>
      <c r="F4316" t="s">
        <v>49</v>
      </c>
      <c r="G4316">
        <v>-303.36829999999998</v>
      </c>
      <c r="H4316" s="1">
        <v>-9.1907710000000008E-6</v>
      </c>
      <c r="I4316">
        <v>141.80330000000001</v>
      </c>
      <c r="J4316">
        <v>-271.86320000000001</v>
      </c>
      <c r="K4316">
        <v>1.109003</v>
      </c>
      <c r="L4316">
        <v>141.7166</v>
      </c>
      <c r="M4316">
        <v>-0.99937430000000005</v>
      </c>
      <c r="N4316">
        <v>0</v>
      </c>
      <c r="O4316">
        <v>3.4377640000000001E-2</v>
      </c>
      <c r="P4316">
        <v>-0.98638930000000002</v>
      </c>
      <c r="Q4316">
        <v>0.16401370000000001</v>
      </c>
      <c r="R4316">
        <v>1.165041E-2</v>
      </c>
      <c r="S4316">
        <v>-3.0588380000000002</v>
      </c>
      <c r="T4316">
        <v>-0.1064392</v>
      </c>
      <c r="U4316">
        <v>9.5520020000000004E-3</v>
      </c>
      <c r="V4316">
        <v>-2.2053730000000001E-2</v>
      </c>
      <c r="W4316">
        <v>0.17223949999999999</v>
      </c>
      <c r="X4316">
        <v>0.98480820000000002</v>
      </c>
      <c r="Y4316">
        <v>-3.1218070000000001E-2</v>
      </c>
      <c r="Z4316">
        <v>-1.738718E-3</v>
      </c>
      <c r="AA4316">
        <v>0.99951109999999999</v>
      </c>
      <c r="AB4316">
        <v>38</v>
      </c>
      <c r="AC4316">
        <v>-31.505099999999899</v>
      </c>
      <c r="AD4316">
        <v>-1.109012190771</v>
      </c>
      <c r="AE4316">
        <v>8.6700000000007493E-2</v>
      </c>
      <c r="AF4316">
        <v>-0.99522651668249595</v>
      </c>
      <c r="AG4316">
        <v>-1.109012190771</v>
      </c>
      <c r="AH4316">
        <v>31.4504867277223</v>
      </c>
      <c r="AI4316">
        <v>92.018526808047</v>
      </c>
      <c r="AJ4316">
        <v>91.812476155236794</v>
      </c>
      <c r="AK4316">
        <v>31.485766613970501</v>
      </c>
      <c r="AL4316">
        <v>80.081946097511107</v>
      </c>
      <c r="AM4316">
        <v>91.282863496248297</v>
      </c>
      <c r="AN4316">
        <v>1.0000000015771999</v>
      </c>
    </row>
    <row r="4317" spans="1:40" x14ac:dyDescent="0.25">
      <c r="A4317" t="str">
        <f>"20190312172457368"</f>
        <v>20190312172457368</v>
      </c>
      <c r="B4317" t="str">
        <f>"1552382697364614"</f>
        <v>1552382697364614</v>
      </c>
      <c r="C4317" t="s">
        <v>40</v>
      </c>
      <c r="D4317">
        <v>3.4647060000000001</v>
      </c>
      <c r="E4317">
        <v>0.4934481</v>
      </c>
      <c r="F4317" t="s">
        <v>49</v>
      </c>
      <c r="G4317">
        <v>-303.88</v>
      </c>
      <c r="H4317" s="1">
        <v>-9.2270070000000007E-6</v>
      </c>
      <c r="I4317">
        <v>141.6781</v>
      </c>
      <c r="J4317">
        <v>-272.24189999999999</v>
      </c>
      <c r="K4317">
        <v>1.109011</v>
      </c>
      <c r="L4317">
        <v>141.73009999999999</v>
      </c>
      <c r="M4317">
        <v>-0.99935830000000003</v>
      </c>
      <c r="N4317">
        <v>0</v>
      </c>
      <c r="O4317">
        <v>3.483953E-2</v>
      </c>
      <c r="P4317">
        <v>-0.98629619999999996</v>
      </c>
      <c r="Q4317">
        <v>0.1645877</v>
      </c>
      <c r="R4317">
        <v>1.142435E-2</v>
      </c>
      <c r="S4317">
        <v>-3.059021</v>
      </c>
      <c r="T4317">
        <v>-0.10595980000000001</v>
      </c>
      <c r="U4317">
        <v>-3.6773679999999999E-3</v>
      </c>
      <c r="V4317">
        <v>-2.2734689999999998E-2</v>
      </c>
      <c r="W4317">
        <v>0.1728064</v>
      </c>
      <c r="X4317">
        <v>0.98469340000000005</v>
      </c>
      <c r="Y4317">
        <v>-3.5999639999999999E-2</v>
      </c>
      <c r="Z4317">
        <v>-1.829589E-3</v>
      </c>
      <c r="AA4317">
        <v>0.99935010000000002</v>
      </c>
      <c r="AB4317">
        <v>38</v>
      </c>
      <c r="AC4317">
        <v>-31.638100000000001</v>
      </c>
      <c r="AD4317">
        <v>-1.109020227007</v>
      </c>
      <c r="AE4317">
        <v>-5.1999999999992497E-2</v>
      </c>
      <c r="AF4317">
        <v>-1.1528465623939299</v>
      </c>
      <c r="AG4317">
        <v>-1.109020227007</v>
      </c>
      <c r="AH4317">
        <v>31.578278848208601</v>
      </c>
      <c r="AI4317">
        <v>92.010046955732406</v>
      </c>
      <c r="AJ4317">
        <v>92.090801746466099</v>
      </c>
      <c r="AK4317">
        <v>31.618770945050201</v>
      </c>
      <c r="AL4317">
        <v>80.048970704035497</v>
      </c>
      <c r="AM4317">
        <v>91.322615145596203</v>
      </c>
      <c r="AN4317">
        <v>1.00000000500695</v>
      </c>
    </row>
    <row r="4318" spans="1:40" x14ac:dyDescent="0.25">
      <c r="A4318" t="str">
        <f>"20190312172457391"</f>
        <v>20190312172457391</v>
      </c>
      <c r="B4318" t="str">
        <f>"1552382697385111"</f>
        <v>1552382697385111</v>
      </c>
      <c r="C4318" t="s">
        <v>40</v>
      </c>
      <c r="D4318">
        <v>3.4388869999999998</v>
      </c>
      <c r="E4318">
        <v>0.49299359999999998</v>
      </c>
      <c r="F4318" t="s">
        <v>49</v>
      </c>
      <c r="G4318">
        <v>-303.96530000000001</v>
      </c>
      <c r="H4318" s="1">
        <v>-9.2090540000000005E-6</v>
      </c>
      <c r="I4318">
        <v>141.57660000000001</v>
      </c>
      <c r="J4318">
        <v>-272.64389999999997</v>
      </c>
      <c r="K4318">
        <v>1.109022</v>
      </c>
      <c r="L4318">
        <v>141.74449999999999</v>
      </c>
      <c r="M4318">
        <v>-0.99934160000000005</v>
      </c>
      <c r="N4318">
        <v>0</v>
      </c>
      <c r="O4318">
        <v>3.5320599999999903E-2</v>
      </c>
      <c r="P4318">
        <v>-0.98625339999999995</v>
      </c>
      <c r="Q4318">
        <v>0.16484860000000001</v>
      </c>
      <c r="R4318">
        <v>1.137941E-2</v>
      </c>
      <c r="S4318">
        <v>-3.0596920000000001</v>
      </c>
      <c r="T4318">
        <v>-0.10696410000000001</v>
      </c>
      <c r="U4318">
        <v>-1.480103E-2</v>
      </c>
      <c r="V4318">
        <v>-2.325576E-2</v>
      </c>
      <c r="W4318">
        <v>0.17306189999999999</v>
      </c>
      <c r="X4318">
        <v>0.98463639999999997</v>
      </c>
      <c r="Y4318">
        <v>-4.0109680000000002E-2</v>
      </c>
      <c r="Z4318">
        <v>-1.9351500000000001E-3</v>
      </c>
      <c r="AA4318">
        <v>0.99919340000000001</v>
      </c>
      <c r="AB4318">
        <v>38</v>
      </c>
      <c r="AC4318">
        <v>-31.321400000000001</v>
      </c>
      <c r="AD4318">
        <v>-1.109031209054</v>
      </c>
      <c r="AE4318">
        <v>-0.16789999999997399</v>
      </c>
      <c r="AF4318">
        <v>-1.27252857417676</v>
      </c>
      <c r="AG4318">
        <v>-1.109031209054</v>
      </c>
      <c r="AH4318">
        <v>31.256738108576499</v>
      </c>
      <c r="AI4318">
        <v>92.0303984805455</v>
      </c>
      <c r="AJ4318">
        <v>92.331346087483794</v>
      </c>
      <c r="AK4318">
        <v>31.302283564987601</v>
      </c>
      <c r="AL4318">
        <v>80.034108108996506</v>
      </c>
      <c r="AM4318">
        <v>91.3529961055131</v>
      </c>
      <c r="AN4318">
        <v>1.0000000459048699</v>
      </c>
    </row>
    <row r="4319" spans="1:40" x14ac:dyDescent="0.25">
      <c r="A4319" t="str">
        <f>"20190312172457415"</f>
        <v>20190312172457415</v>
      </c>
      <c r="B4319" t="str">
        <f>"1552382697404630"</f>
        <v>1552382697404630</v>
      </c>
      <c r="C4319" t="s">
        <v>40</v>
      </c>
      <c r="D4319">
        <v>3.448715</v>
      </c>
      <c r="E4319">
        <v>0.49273080000000002</v>
      </c>
      <c r="F4319" t="s">
        <v>49</v>
      </c>
      <c r="G4319">
        <v>-304.46230000000003</v>
      </c>
      <c r="H4319" s="1">
        <v>-9.2721679999999999E-6</v>
      </c>
      <c r="I4319">
        <v>141.5489</v>
      </c>
      <c r="J4319">
        <v>-273.03590000000003</v>
      </c>
      <c r="K4319">
        <v>1.1090310000000001</v>
      </c>
      <c r="L4319">
        <v>141.7587</v>
      </c>
      <c r="M4319">
        <v>-0.99932569999999998</v>
      </c>
      <c r="N4319">
        <v>0</v>
      </c>
      <c r="O4319">
        <v>3.5769780000000001E-2</v>
      </c>
      <c r="P4319">
        <v>-0.98612489999999997</v>
      </c>
      <c r="Q4319">
        <v>0.1656107</v>
      </c>
      <c r="R4319">
        <v>1.145028E-2</v>
      </c>
      <c r="S4319">
        <v>-3.0598139999999998</v>
      </c>
      <c r="T4319">
        <v>-0.1066501</v>
      </c>
      <c r="U4319">
        <v>-1.8814089999999999E-2</v>
      </c>
      <c r="V4319">
        <v>-2.3628630000000001E-2</v>
      </c>
      <c r="W4319">
        <v>0.17381940000000001</v>
      </c>
      <c r="X4319">
        <v>0.98449399999999998</v>
      </c>
      <c r="Y4319">
        <v>-4.1867910000000001E-2</v>
      </c>
      <c r="Z4319">
        <v>-1.9756729999999998E-3</v>
      </c>
      <c r="AA4319">
        <v>0.99912120000000004</v>
      </c>
      <c r="AB4319">
        <v>38</v>
      </c>
      <c r="AC4319">
        <v>-31.426400000000001</v>
      </c>
      <c r="AD4319">
        <v>-1.1090402721679999</v>
      </c>
      <c r="AE4319">
        <v>-0.20980000000000101</v>
      </c>
      <c r="AF4319">
        <v>-1.3321607565960301</v>
      </c>
      <c r="AG4319">
        <v>-1.1090402721679999</v>
      </c>
      <c r="AH4319">
        <v>31.359729393334501</v>
      </c>
      <c r="AI4319">
        <v>92.023603914531904</v>
      </c>
      <c r="AJ4319">
        <v>92.432461250758195</v>
      </c>
      <c r="AK4319">
        <v>31.407598606545399</v>
      </c>
      <c r="AL4319">
        <v>79.990037846448203</v>
      </c>
      <c r="AM4319">
        <v>91.374879800044695</v>
      </c>
      <c r="AN4319">
        <v>0.99999996600401697</v>
      </c>
    </row>
    <row r="4320" spans="1:40" x14ac:dyDescent="0.25">
      <c r="A4320" t="str">
        <f>"20190312172457435"</f>
        <v>20190312172457435</v>
      </c>
      <c r="B4320" t="str">
        <f>"1552382697425127"</f>
        <v>1552382697425127</v>
      </c>
      <c r="C4320" t="s">
        <v>40</v>
      </c>
      <c r="D4320">
        <v>3.392601</v>
      </c>
      <c r="E4320">
        <v>0.49251230000000001</v>
      </c>
      <c r="F4320" t="s">
        <v>49</v>
      </c>
      <c r="G4320">
        <v>-305.5711</v>
      </c>
      <c r="H4320" s="1">
        <v>-9.4278150000000008E-6</v>
      </c>
      <c r="I4320">
        <v>141.5368</v>
      </c>
      <c r="J4320">
        <v>-273.38729999999998</v>
      </c>
      <c r="K4320">
        <v>1.109054</v>
      </c>
      <c r="L4320">
        <v>141.77170000000001</v>
      </c>
      <c r="M4320">
        <v>-0.99931219999999998</v>
      </c>
      <c r="N4320">
        <v>0</v>
      </c>
      <c r="O4320">
        <v>3.6143380000000003E-2</v>
      </c>
      <c r="P4320">
        <v>-0.98617149999999998</v>
      </c>
      <c r="Q4320">
        <v>0.16535910000000001</v>
      </c>
      <c r="R4320">
        <v>1.106972E-2</v>
      </c>
      <c r="S4320">
        <v>-3.0599980000000002</v>
      </c>
      <c r="T4320">
        <v>-0.104307399999999</v>
      </c>
      <c r="U4320">
        <v>-2.087402E-2</v>
      </c>
      <c r="V4320">
        <v>-2.4387880000000001E-2</v>
      </c>
      <c r="W4320">
        <v>0.17356579999999999</v>
      </c>
      <c r="X4320">
        <v>0.98452030000000001</v>
      </c>
      <c r="Y4320">
        <v>-4.2914840000000003E-2</v>
      </c>
      <c r="Z4320">
        <v>-1.9627490000000002E-3</v>
      </c>
      <c r="AA4320">
        <v>0.99907679999999999</v>
      </c>
      <c r="AB4320">
        <v>38</v>
      </c>
      <c r="AC4320">
        <v>-32.183799999999998</v>
      </c>
      <c r="AD4320">
        <v>-1.109063427815</v>
      </c>
      <c r="AE4320">
        <v>-0.23490000000000999</v>
      </c>
      <c r="AF4320">
        <v>-1.3963597237318399</v>
      </c>
      <c r="AG4320">
        <v>-1.109063427815</v>
      </c>
      <c r="AH4320">
        <v>32.116143470772201</v>
      </c>
      <c r="AI4320">
        <v>91.975937960759197</v>
      </c>
      <c r="AJ4320">
        <v>92.489563000106799</v>
      </c>
      <c r="AK4320">
        <v>32.165610729476299</v>
      </c>
      <c r="AL4320">
        <v>80.004793056671502</v>
      </c>
      <c r="AM4320">
        <v>91.419002627560801</v>
      </c>
      <c r="AN4320">
        <v>1.0000000383663099</v>
      </c>
    </row>
    <row r="4321" spans="1:40" x14ac:dyDescent="0.25">
      <c r="A4321" t="str">
        <f>"20190312172457458"</f>
        <v>20190312172457458</v>
      </c>
      <c r="B4321" t="str">
        <f>"1552382697454407"</f>
        <v>1552382697454407</v>
      </c>
      <c r="C4321" t="s">
        <v>40</v>
      </c>
      <c r="D4321">
        <v>3.4003580000000002</v>
      </c>
      <c r="E4321">
        <v>0.49230760000000001</v>
      </c>
      <c r="F4321" t="s">
        <v>49</v>
      </c>
      <c r="G4321">
        <v>-305.87950000000001</v>
      </c>
      <c r="H4321" s="1">
        <v>-9.4674539999999996E-6</v>
      </c>
      <c r="I4321">
        <v>141.52109999999999</v>
      </c>
      <c r="J4321">
        <v>-273.77339999999998</v>
      </c>
      <c r="K4321">
        <v>1.1090819999999999</v>
      </c>
      <c r="L4321">
        <v>141.7859</v>
      </c>
      <c r="M4321">
        <v>-0.99929889999999999</v>
      </c>
      <c r="N4321">
        <v>0</v>
      </c>
      <c r="O4321">
        <v>3.6508640000000002E-2</v>
      </c>
      <c r="P4321">
        <v>-0.98616349999999997</v>
      </c>
      <c r="Q4321">
        <v>0.16543089999999999</v>
      </c>
      <c r="R4321">
        <v>1.067768E-2</v>
      </c>
      <c r="S4321">
        <v>-3.0598749999999999</v>
      </c>
      <c r="T4321">
        <v>-0.1044433</v>
      </c>
      <c r="U4321">
        <v>-2.3590090000000001E-2</v>
      </c>
      <c r="V4321">
        <v>-2.5153709999999999E-2</v>
      </c>
      <c r="W4321">
        <v>0.17363619999999999</v>
      </c>
      <c r="X4321">
        <v>0.98448849999999999</v>
      </c>
      <c r="Y4321">
        <v>-4.4165969999999999E-2</v>
      </c>
      <c r="Z4321">
        <v>-1.999186E-3</v>
      </c>
      <c r="AA4321">
        <v>0.99902219999999997</v>
      </c>
      <c r="AB4321">
        <v>38</v>
      </c>
      <c r="AC4321">
        <v>-32.106099999999998</v>
      </c>
      <c r="AD4321">
        <v>-1.109091467454</v>
      </c>
      <c r="AE4321">
        <v>-0.26480000000000797</v>
      </c>
      <c r="AF4321">
        <v>-1.4351014131628199</v>
      </c>
      <c r="AG4321">
        <v>-1.109091467454</v>
      </c>
      <c r="AH4321">
        <v>32.036798978693398</v>
      </c>
      <c r="AI4321">
        <v>91.980763024346203</v>
      </c>
      <c r="AJ4321">
        <v>92.564873032870906</v>
      </c>
      <c r="AK4321">
        <v>32.088098864695098</v>
      </c>
      <c r="AL4321">
        <v>80.000696076506301</v>
      </c>
      <c r="AM4321">
        <v>91.463590420328899</v>
      </c>
      <c r="AN4321">
        <v>0.99999992285472405</v>
      </c>
    </row>
    <row r="4322" spans="1:40" x14ac:dyDescent="0.25">
      <c r="A4322" t="str">
        <f>"20190312172457480"</f>
        <v>20190312172457480</v>
      </c>
      <c r="B4322" t="str">
        <f>"1552382697474904"</f>
        <v>1552382697474904</v>
      </c>
      <c r="C4322" t="s">
        <v>40</v>
      </c>
      <c r="D4322">
        <v>3.389983</v>
      </c>
      <c r="E4322">
        <v>0.49220920000000001</v>
      </c>
      <c r="F4322" t="s">
        <v>49</v>
      </c>
      <c r="G4322">
        <v>-306.3057</v>
      </c>
      <c r="H4322" s="1">
        <v>-9.5233019999999996E-6</v>
      </c>
      <c r="I4322">
        <v>141.50319999999999</v>
      </c>
      <c r="J4322">
        <v>-274.154</v>
      </c>
      <c r="K4322">
        <v>1.109124</v>
      </c>
      <c r="L4322">
        <v>141.80009999999999</v>
      </c>
      <c r="M4322">
        <v>-0.99928799999999995</v>
      </c>
      <c r="N4322">
        <v>0</v>
      </c>
      <c r="O4322">
        <v>3.6806060000000002E-2</v>
      </c>
      <c r="P4322">
        <v>-0.98612949999999999</v>
      </c>
      <c r="Q4322">
        <v>0.16564690000000001</v>
      </c>
      <c r="R4322">
        <v>1.047093E-2</v>
      </c>
      <c r="S4322">
        <v>-3.0599059999999998</v>
      </c>
      <c r="T4322">
        <v>-0.10431840000000001</v>
      </c>
      <c r="U4322">
        <v>-2.6596069999999999E-2</v>
      </c>
      <c r="V4322">
        <v>-2.5671920000000001E-2</v>
      </c>
      <c r="W4322">
        <v>0.173850799999999</v>
      </c>
      <c r="X4322">
        <v>0.98443729999999996</v>
      </c>
      <c r="Y4322">
        <v>-4.5443740000000003E-2</v>
      </c>
      <c r="Z4322">
        <v>-2.0286800000000002E-3</v>
      </c>
      <c r="AA4322">
        <v>0.99896479999999999</v>
      </c>
      <c r="AB4322">
        <v>38</v>
      </c>
      <c r="AC4322">
        <v>-32.151699999999998</v>
      </c>
      <c r="AD4322">
        <v>-1.1091335233020001</v>
      </c>
      <c r="AE4322">
        <v>-0.296899999999993</v>
      </c>
      <c r="AF4322">
        <v>-1.4783577808970401</v>
      </c>
      <c r="AG4322">
        <v>-1.1091335233020001</v>
      </c>
      <c r="AH4322">
        <v>32.080811257778699</v>
      </c>
      <c r="AI4322">
        <v>91.978007346335204</v>
      </c>
      <c r="AJ4322">
        <v>92.638455079908297</v>
      </c>
      <c r="AK4322">
        <v>32.134003327597902</v>
      </c>
      <c r="AL4322">
        <v>79.988211013499296</v>
      </c>
      <c r="AM4322">
        <v>91.493807048279905</v>
      </c>
      <c r="AN4322">
        <v>0.99999997288420694</v>
      </c>
    </row>
    <row r="4323" spans="1:40" x14ac:dyDescent="0.25">
      <c r="A4323" t="str">
        <f>"20190312172457503"</f>
        <v>20190312172457503</v>
      </c>
      <c r="B4323" t="str">
        <f>"1552382697494423"</f>
        <v>1552382697494423</v>
      </c>
      <c r="C4323" t="s">
        <v>40</v>
      </c>
      <c r="D4323">
        <v>3.4120970000000002</v>
      </c>
      <c r="E4323">
        <v>0.49210959999999998</v>
      </c>
      <c r="F4323" t="s">
        <v>49</v>
      </c>
      <c r="G4323">
        <v>-306.69060000000002</v>
      </c>
      <c r="H4323" s="1">
        <v>-9.577223E-6</v>
      </c>
      <c r="I4323">
        <v>141.49860000000001</v>
      </c>
      <c r="J4323">
        <v>-274.5496</v>
      </c>
      <c r="K4323">
        <v>1.1091879999999901</v>
      </c>
      <c r="L4323">
        <v>141.81479999999999</v>
      </c>
      <c r="M4323">
        <v>-0.99927969999999999</v>
      </c>
      <c r="N4323">
        <v>0</v>
      </c>
      <c r="O4323">
        <v>3.7030859999999999E-2</v>
      </c>
      <c r="P4323">
        <v>-0.98610410000000004</v>
      </c>
      <c r="Q4323">
        <v>0.16580719999999999</v>
      </c>
      <c r="R4323">
        <v>1.0335860000000001E-2</v>
      </c>
      <c r="S4323">
        <v>-3.0600589999999999</v>
      </c>
      <c r="T4323">
        <v>-0.104314</v>
      </c>
      <c r="U4323">
        <v>-2.835083E-2</v>
      </c>
      <c r="V4323">
        <v>-2.605329E-2</v>
      </c>
      <c r="W4323">
        <v>0.17400959999999999</v>
      </c>
      <c r="X4323">
        <v>0.98439929999999998</v>
      </c>
      <c r="Y4323">
        <v>-4.624023E-2</v>
      </c>
      <c r="Z4323">
        <v>-2.049721E-3</v>
      </c>
      <c r="AA4323">
        <v>0.99892820000000004</v>
      </c>
      <c r="AB4323">
        <v>38</v>
      </c>
      <c r="AC4323">
        <v>-32.140999999999998</v>
      </c>
      <c r="AD4323">
        <v>-1.1091975772229901</v>
      </c>
      <c r="AE4323">
        <v>-0.31619999999998</v>
      </c>
      <c r="AF4323">
        <v>-1.50444136128179</v>
      </c>
      <c r="AG4323">
        <v>-1.1091975772229901</v>
      </c>
      <c r="AH4323">
        <v>32.069054702437697</v>
      </c>
      <c r="AI4323">
        <v>91.978769927962006</v>
      </c>
      <c r="AJ4323">
        <v>92.685922303682801</v>
      </c>
      <c r="AK4323">
        <v>32.1234794594669</v>
      </c>
      <c r="AL4323">
        <v>79.978972380212895</v>
      </c>
      <c r="AM4323">
        <v>91.516046558291805</v>
      </c>
      <c r="AN4323">
        <v>1.0000000483262299</v>
      </c>
    </row>
    <row r="4324" spans="1:40" x14ac:dyDescent="0.25">
      <c r="A4324" t="str">
        <f>"20190312172457524"</f>
        <v>20190312172457524</v>
      </c>
      <c r="B4324" t="str">
        <f>"1552382697514922"</f>
        <v>1552382697514922</v>
      </c>
      <c r="C4324" t="s">
        <v>40</v>
      </c>
      <c r="D4324">
        <v>3.3980549999999998</v>
      </c>
      <c r="E4324">
        <v>0.49201410000000001</v>
      </c>
      <c r="F4324" t="s">
        <v>49</v>
      </c>
      <c r="G4324">
        <v>-307.11540000000002</v>
      </c>
      <c r="H4324" s="1">
        <v>-9.6381119999999996E-6</v>
      </c>
      <c r="I4324">
        <v>141.4982</v>
      </c>
      <c r="J4324">
        <v>-274.9205</v>
      </c>
      <c r="K4324">
        <v>1.109243</v>
      </c>
      <c r="L4324">
        <v>141.8287</v>
      </c>
      <c r="M4324">
        <v>-0.99927429999999995</v>
      </c>
      <c r="N4324">
        <v>0</v>
      </c>
      <c r="O4324">
        <v>3.7175369999999999E-2</v>
      </c>
      <c r="P4324">
        <v>-0.98604389999999997</v>
      </c>
      <c r="Q4324">
        <v>0.16619439999999999</v>
      </c>
      <c r="R4324">
        <v>9.8576710000000001E-3</v>
      </c>
      <c r="S4324">
        <v>-3.0601500000000001</v>
      </c>
      <c r="T4324">
        <v>-0.10422910000000001</v>
      </c>
      <c r="U4324">
        <v>-2.9754639999999999E-2</v>
      </c>
      <c r="V4324">
        <v>-2.6695900000000002E-2</v>
      </c>
      <c r="W4324">
        <v>0.17439689999999999</v>
      </c>
      <c r="X4324">
        <v>0.98431349999999995</v>
      </c>
      <c r="Y4324">
        <v>-4.6842269999999998E-2</v>
      </c>
      <c r="Z4324">
        <v>-2.0631600000000001E-3</v>
      </c>
      <c r="AA4324">
        <v>0.99890020000000002</v>
      </c>
      <c r="AB4324">
        <v>38</v>
      </c>
      <c r="AC4324">
        <v>-32.194899999999997</v>
      </c>
      <c r="AD4324">
        <v>-1.109252638112</v>
      </c>
      <c r="AE4324">
        <v>-0.33050000000000002</v>
      </c>
      <c r="AF4324">
        <v>-1.5253594998531499</v>
      </c>
      <c r="AG4324">
        <v>-1.109252638112</v>
      </c>
      <c r="AH4324">
        <v>32.122228851775397</v>
      </c>
      <c r="AI4324">
        <v>91.975541597683204</v>
      </c>
      <c r="AJ4324">
        <v>92.718711070736305</v>
      </c>
      <c r="AK4324">
        <v>32.177550395031403</v>
      </c>
      <c r="AL4324">
        <v>79.956436747039803</v>
      </c>
      <c r="AM4324">
        <v>91.553557412192404</v>
      </c>
      <c r="AN4324">
        <v>1.0000000080443301</v>
      </c>
    </row>
    <row r="4325" spans="1:40" x14ac:dyDescent="0.25">
      <c r="A4325" t="str">
        <f>"20190312172457547"</f>
        <v>20190312172457547</v>
      </c>
      <c r="B4325" t="str">
        <f>"1552382697534442"</f>
        <v>1552382697534442</v>
      </c>
      <c r="C4325" t="s">
        <v>40</v>
      </c>
      <c r="D4325">
        <v>3.3613029999999999</v>
      </c>
      <c r="E4325">
        <v>0.49193809999999899</v>
      </c>
      <c r="F4325" t="s">
        <v>49</v>
      </c>
      <c r="G4325">
        <v>-307.86180000000002</v>
      </c>
      <c r="H4325" s="1">
        <v>-9.7415830000000002E-6</v>
      </c>
      <c r="I4325">
        <v>141.48570000000001</v>
      </c>
      <c r="J4325">
        <v>-275.29509999999999</v>
      </c>
      <c r="K4325">
        <v>1.1092979999999999</v>
      </c>
      <c r="L4325">
        <v>141.84270000000001</v>
      </c>
      <c r="M4325">
        <v>-0.99927069999999996</v>
      </c>
      <c r="N4325">
        <v>0</v>
      </c>
      <c r="O4325">
        <v>3.7267300000000003E-2</v>
      </c>
      <c r="P4325">
        <v>-0.98609749999999996</v>
      </c>
      <c r="Q4325">
        <v>0.16590739999999901</v>
      </c>
      <c r="R4325">
        <v>9.312687E-3</v>
      </c>
      <c r="S4325">
        <v>-3.0601500000000001</v>
      </c>
      <c r="T4325">
        <v>-0.10304629999999999</v>
      </c>
      <c r="U4325">
        <v>-3.1860350000000003E-2</v>
      </c>
      <c r="V4325">
        <v>-2.7355810000000001E-2</v>
      </c>
      <c r="W4325">
        <v>0.1741114</v>
      </c>
      <c r="X4325">
        <v>0.9843459</v>
      </c>
      <c r="Y4325">
        <v>-4.7622039999999997E-2</v>
      </c>
      <c r="Z4325">
        <v>-2.0559749999999998E-3</v>
      </c>
      <c r="AA4325">
        <v>0.99886330000000001</v>
      </c>
      <c r="AB4325">
        <v>38</v>
      </c>
      <c r="AC4325">
        <v>-32.566699999999997</v>
      </c>
      <c r="AD4325">
        <v>-1.1093077415829999</v>
      </c>
      <c r="AE4325">
        <v>-0.35699999999999898</v>
      </c>
      <c r="AF4325">
        <v>-1.5686471457075</v>
      </c>
      <c r="AG4325">
        <v>-1.1093077415829999</v>
      </c>
      <c r="AH4325">
        <v>32.493074537432598</v>
      </c>
      <c r="AI4325">
        <v>91.953035436138805</v>
      </c>
      <c r="AJ4325">
        <v>92.763885450117002</v>
      </c>
      <c r="AK4325">
        <v>32.549825044513298</v>
      </c>
      <c r="AL4325">
        <v>79.973048615888899</v>
      </c>
      <c r="AM4325">
        <v>91.591888719941494</v>
      </c>
      <c r="AN4325">
        <v>0.999999985398762</v>
      </c>
    </row>
    <row r="4326" spans="1:40" x14ac:dyDescent="0.25">
      <c r="A4326" t="str">
        <f>"20190312172457569"</f>
        <v>20190312172457569</v>
      </c>
      <c r="B4326" t="str">
        <f>"1552382697564694"</f>
        <v>1552382697564694</v>
      </c>
      <c r="C4326" t="s">
        <v>40</v>
      </c>
      <c r="D4326">
        <v>3.3795280000000001</v>
      </c>
      <c r="E4326">
        <v>0.49182599999999999</v>
      </c>
      <c r="F4326" t="s">
        <v>49</v>
      </c>
      <c r="G4326">
        <v>-307.92829999999998</v>
      </c>
      <c r="H4326" s="1">
        <v>-9.7506490000000002E-6</v>
      </c>
      <c r="I4326">
        <v>141.48410000000001</v>
      </c>
      <c r="J4326">
        <v>-275.6859</v>
      </c>
      <c r="K4326">
        <v>1.1093519999999999</v>
      </c>
      <c r="L4326">
        <v>141.85730000000001</v>
      </c>
      <c r="M4326">
        <v>-0.99926950000000003</v>
      </c>
      <c r="N4326">
        <v>0</v>
      </c>
      <c r="O4326">
        <v>3.7297219999999999E-2</v>
      </c>
      <c r="P4326">
        <v>-0.98605430000000005</v>
      </c>
      <c r="Q4326">
        <v>0.16621459999999999</v>
      </c>
      <c r="R4326">
        <v>8.3394469999999998E-3</v>
      </c>
      <c r="S4326">
        <v>-3.06012</v>
      </c>
      <c r="T4326">
        <v>-0.10402309999999999</v>
      </c>
      <c r="U4326">
        <v>-3.363037E-2</v>
      </c>
      <c r="V4326">
        <v>-2.8378850000000001E-2</v>
      </c>
      <c r="W4326">
        <v>0.17442089999999999</v>
      </c>
      <c r="X4326">
        <v>0.98426219999999998</v>
      </c>
      <c r="Y4326">
        <v>-4.8228449999999999E-2</v>
      </c>
      <c r="Z4326">
        <v>-2.0867910000000002E-3</v>
      </c>
      <c r="AA4326">
        <v>0.99883409999999995</v>
      </c>
      <c r="AB4326">
        <v>39</v>
      </c>
      <c r="AC4326">
        <v>-32.242399999999897</v>
      </c>
      <c r="AD4326">
        <v>-1.1093617506489999</v>
      </c>
      <c r="AE4326">
        <v>-0.37319999999999698</v>
      </c>
      <c r="AF4326">
        <v>-1.57367120316775</v>
      </c>
      <c r="AG4326">
        <v>-1.1093617506489999</v>
      </c>
      <c r="AH4326">
        <v>32.167968404417003</v>
      </c>
      <c r="AI4326">
        <v>91.972792718212901</v>
      </c>
      <c r="AJ4326">
        <v>92.800702007918403</v>
      </c>
      <c r="AK4326">
        <v>32.225538254885002</v>
      </c>
      <c r="AL4326">
        <v>79.955040608660497</v>
      </c>
      <c r="AM4326">
        <v>91.651529424885894</v>
      </c>
      <c r="AN4326">
        <v>1.00000004391648</v>
      </c>
    </row>
    <row r="4327" spans="1:40" x14ac:dyDescent="0.25">
      <c r="A4327" t="str">
        <f>"20190312172457593"</f>
        <v>20190312172457593</v>
      </c>
      <c r="B4327" t="str">
        <f>"1552382697585190"</f>
        <v>1552382697585190</v>
      </c>
      <c r="C4327" t="s">
        <v>40</v>
      </c>
      <c r="D4327">
        <v>3.3664499999999999</v>
      </c>
      <c r="E4327">
        <v>0.49175790000000003</v>
      </c>
      <c r="F4327" t="s">
        <v>49</v>
      </c>
      <c r="G4327">
        <v>-308.59219999999999</v>
      </c>
      <c r="H4327" s="1">
        <v>-9.8370329999999994E-6</v>
      </c>
      <c r="I4327">
        <v>141.45400000000001</v>
      </c>
      <c r="J4327">
        <v>-276.09890000000001</v>
      </c>
      <c r="K4327">
        <v>1.1094170000000001</v>
      </c>
      <c r="L4327">
        <v>141.87270000000001</v>
      </c>
      <c r="M4327">
        <v>-0.99927149999999998</v>
      </c>
      <c r="N4327">
        <v>0</v>
      </c>
      <c r="O4327">
        <v>3.724413E-2</v>
      </c>
      <c r="P4327">
        <v>-0.98599700000000001</v>
      </c>
      <c r="Q4327">
        <v>0.1665777</v>
      </c>
      <c r="R4327">
        <v>7.862951E-3</v>
      </c>
      <c r="S4327">
        <v>-3.0601500000000001</v>
      </c>
      <c r="T4327">
        <v>-0.1031661</v>
      </c>
      <c r="U4327">
        <v>-3.7506100000000001E-2</v>
      </c>
      <c r="V4327">
        <v>-2.882705E-2</v>
      </c>
      <c r="W4327">
        <v>0.1747862</v>
      </c>
      <c r="X4327">
        <v>0.98418430000000001</v>
      </c>
      <c r="Y4327">
        <v>-4.944026E-2</v>
      </c>
      <c r="Z4327">
        <v>-2.0882119999999999E-3</v>
      </c>
      <c r="AA4327">
        <v>0.99877490000000002</v>
      </c>
      <c r="AB4327">
        <v>39</v>
      </c>
      <c r="AC4327">
        <v>-32.493299999999898</v>
      </c>
      <c r="AD4327">
        <v>-1.109426837033</v>
      </c>
      <c r="AE4327">
        <v>-0.41870000000000102</v>
      </c>
      <c r="AF4327">
        <v>-1.6267400594452801</v>
      </c>
      <c r="AG4327">
        <v>-1.109426837033</v>
      </c>
      <c r="AH4327">
        <v>32.417375166834603</v>
      </c>
      <c r="AI4327">
        <v>91.957619536433398</v>
      </c>
      <c r="AJ4327">
        <v>92.872756429201402</v>
      </c>
      <c r="AK4327">
        <v>32.477120005244302</v>
      </c>
      <c r="AL4327">
        <v>79.933783237112905</v>
      </c>
      <c r="AM4327">
        <v>91.677730695256102</v>
      </c>
      <c r="AN4327">
        <v>0.99999997544431596</v>
      </c>
    </row>
    <row r="4328" spans="1:40" x14ac:dyDescent="0.25">
      <c r="A4328" t="str">
        <f>"20190312172457616"</f>
        <v>20190312172457616</v>
      </c>
      <c r="B4328" t="str">
        <f>"1552382697604711"</f>
        <v>1552382697604711</v>
      </c>
      <c r="C4328" t="s">
        <v>40</v>
      </c>
      <c r="D4328">
        <v>3.3489819999999999</v>
      </c>
      <c r="E4328">
        <v>0.4916799</v>
      </c>
      <c r="F4328" t="s">
        <v>49</v>
      </c>
      <c r="G4328">
        <v>-309.27480000000003</v>
      </c>
      <c r="H4328" s="1">
        <v>-9.9333879999999993E-6</v>
      </c>
      <c r="I4328">
        <v>141.44829999999999</v>
      </c>
      <c r="J4328">
        <v>-276.49239999999998</v>
      </c>
      <c r="K4328">
        <v>1.1094869999999999</v>
      </c>
      <c r="L4328">
        <v>141.88720000000001</v>
      </c>
      <c r="M4328">
        <v>-0.99927659999999996</v>
      </c>
      <c r="N4328">
        <v>0</v>
      </c>
      <c r="O4328">
        <v>3.7106920000000002E-2</v>
      </c>
      <c r="P4328">
        <v>-0.98595860000000002</v>
      </c>
      <c r="Q4328">
        <v>0.16681670000000001</v>
      </c>
      <c r="R4328">
        <v>7.6156890000000001E-3</v>
      </c>
      <c r="S4328">
        <v>-3.060181</v>
      </c>
      <c r="T4328">
        <v>-0.1023346</v>
      </c>
      <c r="U4328">
        <v>-3.913879E-2</v>
      </c>
      <c r="V4328">
        <v>-2.8967039999999999E-2</v>
      </c>
      <c r="W4328">
        <v>0.1750275</v>
      </c>
      <c r="X4328">
        <v>0.98413740000000005</v>
      </c>
      <c r="Y4328">
        <v>-4.9836430000000001E-2</v>
      </c>
      <c r="Z4328">
        <v>-2.073404E-3</v>
      </c>
      <c r="AA4328">
        <v>0.99875519999999995</v>
      </c>
      <c r="AB4328">
        <v>39</v>
      </c>
      <c r="AC4328">
        <v>-32.782400000000003</v>
      </c>
      <c r="AD4328">
        <v>-1.109496933388</v>
      </c>
      <c r="AE4328">
        <v>-0.438900000000018</v>
      </c>
      <c r="AF4328">
        <v>-1.65320049242231</v>
      </c>
      <c r="AG4328">
        <v>-1.109496933388</v>
      </c>
      <c r="AH4328">
        <v>32.706078441810099</v>
      </c>
      <c r="AI4328">
        <v>91.940439338239202</v>
      </c>
      <c r="AJ4328">
        <v>92.893678092769704</v>
      </c>
      <c r="AK4328">
        <v>32.766623603221298</v>
      </c>
      <c r="AL4328">
        <v>79.919742257651706</v>
      </c>
      <c r="AM4328">
        <v>91.685953700854299</v>
      </c>
      <c r="AN4328">
        <v>1.00000006862068</v>
      </c>
    </row>
    <row r="4329" spans="1:40" x14ac:dyDescent="0.25">
      <c r="A4329" t="str">
        <f>"20190312172457636"</f>
        <v>20190312172457636</v>
      </c>
      <c r="B4329" t="str">
        <f>"1552382697625208"</f>
        <v>1552382697625208</v>
      </c>
      <c r="C4329" t="s">
        <v>40</v>
      </c>
      <c r="D4329">
        <v>3.3843529999999999</v>
      </c>
      <c r="E4329">
        <v>0.4916546</v>
      </c>
      <c r="F4329" t="s">
        <v>49</v>
      </c>
      <c r="G4329">
        <v>-309.8707</v>
      </c>
      <c r="H4329" s="1">
        <v>-1.001842E-5</v>
      </c>
      <c r="I4329">
        <v>141.44649999999999</v>
      </c>
      <c r="J4329">
        <v>-276.846</v>
      </c>
      <c r="K4329">
        <v>1.1095549999999901</v>
      </c>
      <c r="L4329">
        <v>141.90020000000001</v>
      </c>
      <c r="M4329">
        <v>-0.99928410000000001</v>
      </c>
      <c r="N4329">
        <v>0</v>
      </c>
      <c r="O4329">
        <v>3.6907139999999998E-2</v>
      </c>
      <c r="P4329">
        <v>-0.98593050000000004</v>
      </c>
      <c r="Q4329">
        <v>0.1670025</v>
      </c>
      <c r="R4329">
        <v>7.1774480000000003E-3</v>
      </c>
      <c r="S4329">
        <v>-3.0602420000000001</v>
      </c>
      <c r="T4329">
        <v>-0.1017227</v>
      </c>
      <c r="U4329">
        <v>-4.040527E-2</v>
      </c>
      <c r="V4329">
        <v>-2.923682E-2</v>
      </c>
      <c r="W4329">
        <v>0.1752157</v>
      </c>
      <c r="X4329">
        <v>0.98409590000000002</v>
      </c>
      <c r="Y4329">
        <v>-5.0050339999999999E-2</v>
      </c>
      <c r="Z4329">
        <v>-2.0578860000000001E-3</v>
      </c>
      <c r="AA4329">
        <v>0.99874450000000004</v>
      </c>
      <c r="AB4329">
        <v>39</v>
      </c>
      <c r="AC4329">
        <v>-33.024700000000003</v>
      </c>
      <c r="AD4329">
        <v>-1.1095650184200001</v>
      </c>
      <c r="AE4329">
        <v>-0.45370000000002603</v>
      </c>
      <c r="AF4329">
        <v>-1.67039501029642</v>
      </c>
      <c r="AG4329">
        <v>-1.1095650184200001</v>
      </c>
      <c r="AH4329">
        <v>32.948267441489101</v>
      </c>
      <c r="AI4329">
        <v>91.9262902641632</v>
      </c>
      <c r="AJ4329">
        <v>92.902268363286197</v>
      </c>
      <c r="AK4329">
        <v>33.009236304652902</v>
      </c>
      <c r="AL4329">
        <v>79.908789619900901</v>
      </c>
      <c r="AM4329">
        <v>91.701718095523105</v>
      </c>
      <c r="AN4329">
        <v>1.0000000367835</v>
      </c>
    </row>
    <row r="4330" spans="1:40" x14ac:dyDescent="0.25">
      <c r="A4330" t="str">
        <f>"20190312172457658"</f>
        <v>20190312172457658</v>
      </c>
      <c r="B4330" t="str">
        <f>"1552382697654487"</f>
        <v>1552382697654487</v>
      </c>
      <c r="C4330" t="s">
        <v>40</v>
      </c>
      <c r="D4330">
        <v>3.3839549999999998</v>
      </c>
      <c r="E4330">
        <v>0.4916451</v>
      </c>
      <c r="F4330" t="s">
        <v>49</v>
      </c>
      <c r="G4330">
        <v>-310.26920000000001</v>
      </c>
      <c r="H4330" s="1">
        <v>-9.8932269999999993E-6</v>
      </c>
      <c r="I4330">
        <v>141.44799999999901</v>
      </c>
      <c r="J4330">
        <v>-277.22730000000001</v>
      </c>
      <c r="K4330">
        <v>1.109642</v>
      </c>
      <c r="L4330">
        <v>141.91409999999999</v>
      </c>
      <c r="M4330">
        <v>-0.99929469999999998</v>
      </c>
      <c r="N4330">
        <v>0</v>
      </c>
      <c r="O4330">
        <v>3.6613399999999997E-2</v>
      </c>
      <c r="P4330">
        <v>-0.98590089999999997</v>
      </c>
      <c r="Q4330">
        <v>0.16720489999999999</v>
      </c>
      <c r="R4330">
        <v>6.4975930000000003E-3</v>
      </c>
      <c r="S4330">
        <v>-3.060333</v>
      </c>
      <c r="T4330">
        <v>-0.1015952</v>
      </c>
      <c r="U4330">
        <v>-4.1412350000000001E-2</v>
      </c>
      <c r="V4330">
        <v>-2.9660860000000001E-2</v>
      </c>
      <c r="W4330">
        <v>0.1754204</v>
      </c>
      <c r="X4330">
        <v>0.98404669999999905</v>
      </c>
      <c r="Y4330">
        <v>-5.0085249999999998E-2</v>
      </c>
      <c r="Z4330">
        <v>-2.0460779999999998E-3</v>
      </c>
      <c r="AA4330">
        <v>0.99874289999999999</v>
      </c>
      <c r="AB4330">
        <v>39</v>
      </c>
      <c r="AC4330">
        <v>-33.041899999999998</v>
      </c>
      <c r="AD4330">
        <v>-1.1096518932269901</v>
      </c>
      <c r="AE4330">
        <v>-0.46610000000001101</v>
      </c>
      <c r="AF4330">
        <v>-1.6737185471803999</v>
      </c>
      <c r="AG4330">
        <v>-1.1096518932269901</v>
      </c>
      <c r="AH4330">
        <v>32.965505843172501</v>
      </c>
      <c r="AI4330">
        <v>91.925427116431806</v>
      </c>
      <c r="AJ4330">
        <v>92.906514953573193</v>
      </c>
      <c r="AK4330">
        <v>33.0266140649561</v>
      </c>
      <c r="AL4330">
        <v>79.896876243818397</v>
      </c>
      <c r="AM4330">
        <v>91.726470617902706</v>
      </c>
      <c r="AN4330">
        <v>0.99999999556649399</v>
      </c>
    </row>
    <row r="4331" spans="1:40" x14ac:dyDescent="0.25">
      <c r="A4331" t="str">
        <f>"20190312172457673"</f>
        <v>20190312172457673</v>
      </c>
      <c r="B4331" t="str">
        <f>"1552382697665223"</f>
        <v>1552382697665223</v>
      </c>
      <c r="C4331" t="s">
        <v>40</v>
      </c>
      <c r="D4331">
        <v>3.3865029999999998</v>
      </c>
      <c r="E4331">
        <v>0.49163390000000001</v>
      </c>
      <c r="F4331" t="s">
        <v>49</v>
      </c>
      <c r="G4331">
        <v>-310.61399999999998</v>
      </c>
      <c r="H4331" s="1">
        <v>-9.7398240000000001E-6</v>
      </c>
      <c r="I4331">
        <v>141.44640000000001</v>
      </c>
      <c r="J4331">
        <v>-277.48349999999999</v>
      </c>
      <c r="K4331">
        <v>1.109701</v>
      </c>
      <c r="L4331">
        <v>141.92330000000001</v>
      </c>
      <c r="M4331">
        <v>-0.99930379999999996</v>
      </c>
      <c r="N4331">
        <v>0</v>
      </c>
      <c r="O4331">
        <v>3.6362239999999997E-2</v>
      </c>
      <c r="P4331">
        <v>-0.98585750000000005</v>
      </c>
      <c r="Q4331">
        <v>0.1674641</v>
      </c>
      <c r="R4331">
        <v>6.4039329999999997E-3</v>
      </c>
      <c r="S4331">
        <v>-3.0603940000000001</v>
      </c>
      <c r="T4331">
        <v>-0.101716</v>
      </c>
      <c r="U4331">
        <v>-4.2877199999999997E-2</v>
      </c>
      <c r="V4331">
        <v>-2.953043E-2</v>
      </c>
      <c r="W4331">
        <v>0.17568139999999999</v>
      </c>
      <c r="X4331">
        <v>0.98400410000000005</v>
      </c>
      <c r="Y4331">
        <v>-5.0311799999999997E-2</v>
      </c>
      <c r="Z4331">
        <v>-2.0438869999999999E-3</v>
      </c>
      <c r="AA4331">
        <v>0.99873149999999999</v>
      </c>
      <c r="AB4331">
        <v>39</v>
      </c>
      <c r="AC4331">
        <v>-33.130499999999998</v>
      </c>
      <c r="AD4331">
        <v>-1.109710739824</v>
      </c>
      <c r="AE4331">
        <v>-0.47689999999999999</v>
      </c>
      <c r="AF4331">
        <v>-1.67944195553131</v>
      </c>
      <c r="AG4331">
        <v>-1.109710739824</v>
      </c>
      <c r="AH4331">
        <v>33.054170092234301</v>
      </c>
      <c r="AI4331">
        <v>91.920364402877993</v>
      </c>
      <c r="AJ4331">
        <v>92.908627297598002</v>
      </c>
      <c r="AK4331">
        <v>33.115406440121397</v>
      </c>
      <c r="AL4331">
        <v>79.881686548702802</v>
      </c>
      <c r="AM4331">
        <v>91.718957609318906</v>
      </c>
      <c r="AN4331">
        <v>1.00000003470937</v>
      </c>
    </row>
    <row r="4332" spans="1:40" x14ac:dyDescent="0.25">
      <c r="A4332" t="str">
        <f>"20190312172457693"</f>
        <v>20190312172457693</v>
      </c>
      <c r="B4332" t="str">
        <f>"1552382697684746"</f>
        <v>1552382697684746</v>
      </c>
      <c r="C4332" t="s">
        <v>40</v>
      </c>
      <c r="D4332">
        <v>3.3880439999999998</v>
      </c>
      <c r="E4332">
        <v>0.49157210000000001</v>
      </c>
      <c r="F4332" t="s">
        <v>49</v>
      </c>
      <c r="G4332">
        <v>-310.96300000000002</v>
      </c>
      <c r="H4332" s="1">
        <v>-9.5922609999999996E-6</v>
      </c>
      <c r="I4332">
        <v>141.45060000000001</v>
      </c>
      <c r="J4332">
        <v>-277.83429999999998</v>
      </c>
      <c r="K4332">
        <v>1.1097809999999999</v>
      </c>
      <c r="L4332">
        <v>141.9358</v>
      </c>
      <c r="M4332">
        <v>-0.99931829999999999</v>
      </c>
      <c r="N4332">
        <v>0</v>
      </c>
      <c r="O4332">
        <v>3.595798E-2</v>
      </c>
      <c r="P4332">
        <v>-0.98569629999999997</v>
      </c>
      <c r="Q4332">
        <v>0.1684117</v>
      </c>
      <c r="R4332">
        <v>6.3736929999999997E-3</v>
      </c>
      <c r="S4332">
        <v>-3.0605470000000001</v>
      </c>
      <c r="T4332">
        <v>-0.1014447</v>
      </c>
      <c r="U4332">
        <v>-4.3212889999999997E-2</v>
      </c>
      <c r="V4332">
        <v>-2.9191780000000001E-2</v>
      </c>
      <c r="W4332">
        <v>0.17663099999999901</v>
      </c>
      <c r="X4332">
        <v>0.98384419999999995</v>
      </c>
      <c r="Y4332">
        <v>-5.0017260000000001E-2</v>
      </c>
      <c r="Z4332">
        <v>-2.0200650000000001E-3</v>
      </c>
      <c r="AA4332">
        <v>0.99874629999999998</v>
      </c>
      <c r="AB4332">
        <v>39</v>
      </c>
      <c r="AC4332">
        <v>-33.128699999999903</v>
      </c>
      <c r="AD4332">
        <v>-1.1097905922610001</v>
      </c>
      <c r="AE4332">
        <v>-0.48519999999999103</v>
      </c>
      <c r="AF4332">
        <v>-1.67429050478124</v>
      </c>
      <c r="AG4332">
        <v>-1.1097905922610001</v>
      </c>
      <c r="AH4332">
        <v>33.0527427468271</v>
      </c>
      <c r="AI4332">
        <v>91.920600279821898</v>
      </c>
      <c r="AJ4332">
        <v>92.8998457521093</v>
      </c>
      <c r="AK4332">
        <v>33.113723543887403</v>
      </c>
      <c r="AL4332">
        <v>79.826414193368095</v>
      </c>
      <c r="AM4332">
        <v>91.699532527928397</v>
      </c>
      <c r="AN4332">
        <v>1.0000000400271001</v>
      </c>
    </row>
    <row r="4333" spans="1:40" x14ac:dyDescent="0.25">
      <c r="A4333" t="str">
        <f>"20190312172457714"</f>
        <v>20190312172457714</v>
      </c>
      <c r="B4333" t="str">
        <f>"1552382697705239"</f>
        <v>1552382697705239</v>
      </c>
      <c r="C4333" t="s">
        <v>40</v>
      </c>
      <c r="D4333">
        <v>3.4575170000000002</v>
      </c>
      <c r="E4333">
        <v>0.49203259999999999</v>
      </c>
      <c r="F4333" t="s">
        <v>49</v>
      </c>
      <c r="G4333">
        <v>-312.05700000000002</v>
      </c>
      <c r="H4333" s="1">
        <v>-9.1781109999999995E-6</v>
      </c>
      <c r="I4333">
        <v>141.4419</v>
      </c>
      <c r="J4333">
        <v>-278.21280000000002</v>
      </c>
      <c r="K4333">
        <v>1.1098680000000001</v>
      </c>
      <c r="L4333">
        <v>141.94899999999899</v>
      </c>
      <c r="M4333">
        <v>-0.99933689999999997</v>
      </c>
      <c r="N4333">
        <v>0</v>
      </c>
      <c r="O4333">
        <v>3.5433800000000001E-2</v>
      </c>
      <c r="P4333">
        <v>-0.98569010000000001</v>
      </c>
      <c r="Q4333">
        <v>0.1684175</v>
      </c>
      <c r="R4333">
        <v>7.1287299999999998E-3</v>
      </c>
      <c r="S4333">
        <v>-3.060791</v>
      </c>
      <c r="T4333">
        <v>-9.9256750000000005E-2</v>
      </c>
      <c r="U4333">
        <v>-4.4174190000000002E-2</v>
      </c>
      <c r="V4333">
        <v>-2.7959290000000001E-2</v>
      </c>
      <c r="W4333">
        <v>0.176641299999999</v>
      </c>
      <c r="X4333">
        <v>0.98387809999999998</v>
      </c>
      <c r="Y4333">
        <v>-4.980826E-2</v>
      </c>
      <c r="Z4333">
        <v>-1.955984E-3</v>
      </c>
      <c r="AA4333">
        <v>0.99875689999999995</v>
      </c>
      <c r="AB4333">
        <v>39</v>
      </c>
      <c r="AC4333">
        <v>-33.844200000000001</v>
      </c>
      <c r="AD4333">
        <v>-1.109877178111</v>
      </c>
      <c r="AE4333">
        <v>-0.50709999999997901</v>
      </c>
      <c r="AF4333">
        <v>-1.7042198902410699</v>
      </c>
      <c r="AG4333">
        <v>-1.109877178111</v>
      </c>
      <c r="AH4333">
        <v>33.768668489579099</v>
      </c>
      <c r="AI4333">
        <v>91.880075725090194</v>
      </c>
      <c r="AJ4333">
        <v>92.889122926116002</v>
      </c>
      <c r="AK4333">
        <v>33.8298561088261</v>
      </c>
      <c r="AL4333">
        <v>79.825814137907599</v>
      </c>
      <c r="AM4333">
        <v>91.627760904198595</v>
      </c>
      <c r="AN4333">
        <v>0.99999999321130195</v>
      </c>
    </row>
    <row r="4334" spans="1:40" x14ac:dyDescent="0.25">
      <c r="A4334" t="str">
        <f>"20190312172457737"</f>
        <v>20190312172457737</v>
      </c>
      <c r="B4334" t="str">
        <f>"1552382697724759"</f>
        <v>1552382697724759</v>
      </c>
      <c r="C4334" t="s">
        <v>40</v>
      </c>
      <c r="D4334">
        <v>3.672663</v>
      </c>
      <c r="E4334">
        <v>0.54888809999999999</v>
      </c>
      <c r="F4334" t="s">
        <v>49</v>
      </c>
      <c r="G4334">
        <v>-311.60890000000001</v>
      </c>
      <c r="H4334" s="1">
        <v>-9.3694640000000005E-6</v>
      </c>
      <c r="I4334">
        <v>141.52770000000001</v>
      </c>
      <c r="J4334">
        <v>-278.59309999999999</v>
      </c>
      <c r="K4334">
        <v>1.1099600000000001</v>
      </c>
      <c r="L4334">
        <v>141.96199999999999</v>
      </c>
      <c r="M4334">
        <v>-0.99935890000000005</v>
      </c>
      <c r="N4334">
        <v>0</v>
      </c>
      <c r="O4334">
        <v>3.4809220000000002E-2</v>
      </c>
      <c r="P4334">
        <v>-0.9857515</v>
      </c>
      <c r="Q4334">
        <v>0.16794589999999901</v>
      </c>
      <c r="R4334">
        <v>9.4044920000000004E-3</v>
      </c>
      <c r="S4334">
        <v>-3.0612180000000002</v>
      </c>
      <c r="T4334">
        <v>-0.1017357</v>
      </c>
      <c r="U4334">
        <v>-3.8620000000000002E-2</v>
      </c>
      <c r="V4334">
        <v>-2.5110739999999999E-2</v>
      </c>
      <c r="W4334">
        <v>0.17617849999999999</v>
      </c>
      <c r="X4334">
        <v>0.98403790000000002</v>
      </c>
      <c r="Y4334">
        <v>-4.7369550000000003E-2</v>
      </c>
      <c r="Z4334">
        <v>-1.943289E-3</v>
      </c>
      <c r="AA4334">
        <v>0.99887559999999997</v>
      </c>
      <c r="AB4334">
        <v>39</v>
      </c>
      <c r="AC4334">
        <v>-33.015799999999999</v>
      </c>
      <c r="AD4334">
        <v>-1.109969369464</v>
      </c>
      <c r="AE4334">
        <v>-0.43430000000000701</v>
      </c>
      <c r="AF4334">
        <v>-1.5815440717132201</v>
      </c>
      <c r="AG4334">
        <v>-1.109969369464</v>
      </c>
      <c r="AH4334">
        <v>32.943443824513899</v>
      </c>
      <c r="AI4334">
        <v>91.927528690699404</v>
      </c>
      <c r="AJ4334">
        <v>92.748537199145005</v>
      </c>
      <c r="AK4334">
        <v>33.000057646477202</v>
      </c>
      <c r="AL4334">
        <v>79.8527531933441</v>
      </c>
      <c r="AM4334">
        <v>91.461760015251699</v>
      </c>
      <c r="AN4334">
        <v>1.0000000008809999</v>
      </c>
    </row>
    <row r="4335" spans="1:40" x14ac:dyDescent="0.25">
      <c r="A4335" t="str">
        <f>"20190312172457759"</f>
        <v>20190312172457759</v>
      </c>
      <c r="B4335" t="str">
        <f>"1552382697755015"</f>
        <v>1552382697755015</v>
      </c>
      <c r="C4335" t="s">
        <v>40</v>
      </c>
      <c r="D4335">
        <v>3.4570370000000001</v>
      </c>
      <c r="E4335">
        <v>0.61014029999999997</v>
      </c>
      <c r="F4335" t="s">
        <v>49</v>
      </c>
      <c r="G4335">
        <v>-304.65589999999997</v>
      </c>
      <c r="H4335" s="1">
        <v>-1.0449720000000001E-5</v>
      </c>
      <c r="I4335">
        <v>145.55439999999999</v>
      </c>
      <c r="J4335">
        <v>-278.98970000000003</v>
      </c>
      <c r="K4335">
        <v>1.110063</v>
      </c>
      <c r="L4335">
        <v>141.9752</v>
      </c>
      <c r="M4335">
        <v>-0.99938490000000002</v>
      </c>
      <c r="N4335">
        <v>0</v>
      </c>
      <c r="O4335">
        <v>3.4045060000000002E-2</v>
      </c>
      <c r="P4335">
        <v>-0.98586269999999998</v>
      </c>
      <c r="Q4335">
        <v>0.167049</v>
      </c>
      <c r="R4335">
        <v>1.3020459999999999E-2</v>
      </c>
      <c r="S4335">
        <v>-3.0615540000000001</v>
      </c>
      <c r="T4335">
        <v>-0.1303861</v>
      </c>
      <c r="U4335">
        <v>0.42199710000000001</v>
      </c>
      <c r="V4335">
        <v>-2.0790869999999999E-2</v>
      </c>
      <c r="W4335">
        <v>0.17529410000000001</v>
      </c>
      <c r="X4335">
        <v>0.98429659999999997</v>
      </c>
      <c r="Y4335">
        <v>0.10267900000000001</v>
      </c>
      <c r="Z4335">
        <v>7.3374520000000002E-4</v>
      </c>
      <c r="AA4335">
        <v>0.99471430000000005</v>
      </c>
      <c r="AB4335">
        <v>39</v>
      </c>
      <c r="AC4335">
        <v>-25.6661999999999</v>
      </c>
      <c r="AD4335">
        <v>-1.11007344972</v>
      </c>
      <c r="AE4335">
        <v>3.5791999999999802</v>
      </c>
      <c r="AF4335">
        <v>2.6983355395218598</v>
      </c>
      <c r="AG4335">
        <v>-1.11007344972</v>
      </c>
      <c r="AH4335">
        <v>25.7259736647806</v>
      </c>
      <c r="AI4335">
        <v>92.457311724627701</v>
      </c>
      <c r="AJ4335">
        <v>84.012277154721104</v>
      </c>
      <c r="AK4335">
        <v>25.890905715107898</v>
      </c>
      <c r="AL4335">
        <v>79.904227041332803</v>
      </c>
      <c r="AM4335">
        <v>91.210053951331204</v>
      </c>
      <c r="AN4335">
        <v>1.0000000392708599</v>
      </c>
    </row>
    <row r="4336" spans="1:40" x14ac:dyDescent="0.25">
      <c r="A4336" t="str">
        <f>"20190312172457783"</f>
        <v>20190312172457783</v>
      </c>
      <c r="B4336" t="str">
        <f>"1552382697774535"</f>
        <v>1552382697774535</v>
      </c>
      <c r="C4336" t="s">
        <v>40</v>
      </c>
      <c r="D4336">
        <v>3.4733420000000002</v>
      </c>
      <c r="E4336">
        <v>0.61238459999999995</v>
      </c>
      <c r="F4336" t="s">
        <v>42</v>
      </c>
      <c r="G4336">
        <v>-335.76889999999997</v>
      </c>
      <c r="H4336">
        <v>-0.05</v>
      </c>
      <c r="I4336">
        <v>159.1848</v>
      </c>
      <c r="J4336">
        <v>-279.40480000000002</v>
      </c>
      <c r="K4336">
        <v>1.110177</v>
      </c>
      <c r="L4336">
        <v>141.98859999999999</v>
      </c>
      <c r="M4336">
        <v>-0.99941670000000005</v>
      </c>
      <c r="N4336">
        <v>0</v>
      </c>
      <c r="O4336">
        <v>3.3102020000000003E-2</v>
      </c>
      <c r="P4336">
        <v>-0.98595650000000001</v>
      </c>
      <c r="Q4336">
        <v>0.1661569</v>
      </c>
      <c r="R4336">
        <v>1.6791520000000001E-2</v>
      </c>
      <c r="S4336">
        <v>-3.0414119999999998</v>
      </c>
      <c r="T4336">
        <v>-6.2139510000000002E-2</v>
      </c>
      <c r="U4336">
        <v>0.92184449999999996</v>
      </c>
      <c r="V4336">
        <v>-1.614618E-2</v>
      </c>
      <c r="W4336">
        <v>0.17441809999999999</v>
      </c>
      <c r="X4336">
        <v>0.98453930000000001</v>
      </c>
      <c r="Y4336">
        <v>0.25818449999999998</v>
      </c>
      <c r="Z4336">
        <v>1.918793E-3</v>
      </c>
      <c r="AA4336">
        <v>0.96609370000000006</v>
      </c>
      <c r="AB4336">
        <v>39</v>
      </c>
      <c r="AC4336">
        <v>-56.364099999999901</v>
      </c>
      <c r="AD4336">
        <v>-1.160177</v>
      </c>
      <c r="AE4336">
        <v>17.196200000000001</v>
      </c>
      <c r="AF4336">
        <v>15.315007889302899</v>
      </c>
      <c r="AG4336">
        <v>-1.160177</v>
      </c>
      <c r="AH4336">
        <v>56.880410860128997</v>
      </c>
      <c r="AI4336">
        <v>91.128314951944503</v>
      </c>
      <c r="AJ4336">
        <v>74.930524609972807</v>
      </c>
      <c r="AK4336">
        <v>58.917540825613401</v>
      </c>
      <c r="AL4336">
        <v>79.9552031188922</v>
      </c>
      <c r="AM4336">
        <v>90.939551165041095</v>
      </c>
      <c r="AN4336">
        <v>1.00000000299034</v>
      </c>
    </row>
    <row r="4337" spans="1:40" x14ac:dyDescent="0.25">
      <c r="A4337" t="str">
        <f>"20190312172457805"</f>
        <v>20190312172457805</v>
      </c>
      <c r="B4337" t="str">
        <f>"1552382697795030"</f>
        <v>1552382697795030</v>
      </c>
      <c r="C4337" t="s">
        <v>40</v>
      </c>
      <c r="D4337">
        <v>3.4683280000000001</v>
      </c>
      <c r="E4337">
        <v>0.61360909999999902</v>
      </c>
      <c r="F4337" t="s">
        <v>42</v>
      </c>
      <c r="G4337">
        <v>-338.2054</v>
      </c>
      <c r="H4337">
        <v>-0.05</v>
      </c>
      <c r="I4337">
        <v>160.40799999999999</v>
      </c>
      <c r="J4337">
        <v>-279.79320000000001</v>
      </c>
      <c r="K4337">
        <v>1.1102909999999999</v>
      </c>
      <c r="L4337">
        <v>142.00069999999999</v>
      </c>
      <c r="M4337">
        <v>-0.99944999999999995</v>
      </c>
      <c r="N4337">
        <v>0</v>
      </c>
      <c r="O4337">
        <v>3.207699E-2</v>
      </c>
      <c r="P4337">
        <v>-0.98603490000000005</v>
      </c>
      <c r="Q4337">
        <v>0.16531709999999999</v>
      </c>
      <c r="R4337">
        <v>2.014084E-2</v>
      </c>
      <c r="S4337">
        <v>-3.036591</v>
      </c>
      <c r="T4337">
        <v>-5.991411E-2</v>
      </c>
      <c r="U4337">
        <v>0.95121770000000005</v>
      </c>
      <c r="V4337">
        <v>-1.184232E-2</v>
      </c>
      <c r="W4337">
        <v>0.17359630000000001</v>
      </c>
      <c r="X4337">
        <v>0.98474569999999995</v>
      </c>
      <c r="Y4337">
        <v>0.26812170000000002</v>
      </c>
      <c r="Z4337">
        <v>1.9657699999999999E-3</v>
      </c>
      <c r="AA4337">
        <v>0.96338310000000005</v>
      </c>
      <c r="AB4337">
        <v>39</v>
      </c>
      <c r="AC4337">
        <v>-58.412199999999899</v>
      </c>
      <c r="AD4337">
        <v>-1.160291</v>
      </c>
      <c r="AE4337">
        <v>18.4072999999999</v>
      </c>
      <c r="AF4337">
        <v>16.518144258404799</v>
      </c>
      <c r="AG4337">
        <v>-1.160291</v>
      </c>
      <c r="AH4337">
        <v>58.951451304752901</v>
      </c>
      <c r="AI4337">
        <v>91.085752071492905</v>
      </c>
      <c r="AJ4337">
        <v>74.347175241208504</v>
      </c>
      <c r="AK4337">
        <v>61.232907622313697</v>
      </c>
      <c r="AL4337">
        <v>80.003018259373107</v>
      </c>
      <c r="AM4337">
        <v>90.688992345698793</v>
      </c>
      <c r="AN4337">
        <v>1.0000000047925801</v>
      </c>
    </row>
    <row r="4338" spans="1:40" x14ac:dyDescent="0.25">
      <c r="A4338" t="str">
        <f>"20190312172457827"</f>
        <v>20190312172457827</v>
      </c>
      <c r="B4338" t="str">
        <f>"1552382697825287"</f>
        <v>1552382697825287</v>
      </c>
      <c r="C4338" t="s">
        <v>40</v>
      </c>
      <c r="D4338">
        <v>3.4755820000000002</v>
      </c>
      <c r="E4338">
        <v>0.61530289999999999</v>
      </c>
      <c r="F4338" t="s">
        <v>42</v>
      </c>
      <c r="G4338">
        <v>-333.96280000000002</v>
      </c>
      <c r="H4338">
        <v>-0.05</v>
      </c>
      <c r="I4338">
        <v>159.3366</v>
      </c>
      <c r="J4338">
        <v>-280.18079999999998</v>
      </c>
      <c r="K4338">
        <v>1.1104149999999999</v>
      </c>
      <c r="L4338">
        <v>142.01220000000001</v>
      </c>
      <c r="M4338">
        <v>-0.99948570000000003</v>
      </c>
      <c r="N4338">
        <v>0</v>
      </c>
      <c r="O4338">
        <v>3.093651E-2</v>
      </c>
      <c r="P4338">
        <v>-0.98612619999999895</v>
      </c>
      <c r="Q4338">
        <v>0.16450139999999999</v>
      </c>
      <c r="R4338">
        <v>2.2234919999999998E-2</v>
      </c>
      <c r="S4338">
        <v>-3.0335390000000002</v>
      </c>
      <c r="T4338">
        <v>-6.4977049999999995E-2</v>
      </c>
      <c r="U4338">
        <v>0.97082520000000005</v>
      </c>
      <c r="V4338">
        <v>-8.6786420000000003E-3</v>
      </c>
      <c r="W4338">
        <v>0.17279839999999999</v>
      </c>
      <c r="X4338">
        <v>0.98491899999999999</v>
      </c>
      <c r="Y4338">
        <v>0.2751402</v>
      </c>
      <c r="Z4338">
        <v>2.228973E-3</v>
      </c>
      <c r="AA4338">
        <v>0.96140150000000002</v>
      </c>
      <c r="AB4338">
        <v>39</v>
      </c>
      <c r="AC4338">
        <v>-53.781999999999996</v>
      </c>
      <c r="AD4338">
        <v>-1.160415</v>
      </c>
      <c r="AE4338">
        <v>17.324399999999901</v>
      </c>
      <c r="AF4338">
        <v>15.645621567325801</v>
      </c>
      <c r="AG4338">
        <v>-1.160415</v>
      </c>
      <c r="AH4338">
        <v>54.269341824407903</v>
      </c>
      <c r="AI4338">
        <v>91.177018093694997</v>
      </c>
      <c r="AJ4338">
        <v>73.917952384854601</v>
      </c>
      <c r="AK4338">
        <v>56.491534757471698</v>
      </c>
      <c r="AL4338">
        <v>80.049436233934898</v>
      </c>
      <c r="AM4338">
        <v>90.504850337725699</v>
      </c>
      <c r="AN4338">
        <v>1.00000002121526</v>
      </c>
    </row>
    <row r="4339" spans="1:40" x14ac:dyDescent="0.25">
      <c r="A4339" t="str">
        <f>"20190312172457848"</f>
        <v>20190312172457848</v>
      </c>
      <c r="B4339" t="str">
        <f>"1552382697844807"</f>
        <v>1552382697844807</v>
      </c>
      <c r="C4339" t="s">
        <v>40</v>
      </c>
      <c r="D4339">
        <v>3.4639639999999998</v>
      </c>
      <c r="E4339">
        <v>0.61585559999999995</v>
      </c>
      <c r="F4339" t="s">
        <v>42</v>
      </c>
      <c r="G4339">
        <v>-327.60129999999998</v>
      </c>
      <c r="H4339">
        <v>-0.05</v>
      </c>
      <c r="I4339">
        <v>157.50409999999999</v>
      </c>
      <c r="J4339">
        <v>-280.55959999999999</v>
      </c>
      <c r="K4339">
        <v>1.1105339999999999</v>
      </c>
      <c r="L4339">
        <v>142.02289999999999</v>
      </c>
      <c r="M4339">
        <v>-0.99952319999999995</v>
      </c>
      <c r="N4339">
        <v>0</v>
      </c>
      <c r="O4339">
        <v>2.9699369999999999E-2</v>
      </c>
      <c r="P4339">
        <v>-0.98615299999999995</v>
      </c>
      <c r="Q4339">
        <v>0.16418489999999999</v>
      </c>
      <c r="R4339">
        <v>2.3358050000000002E-2</v>
      </c>
      <c r="S4339">
        <v>-3.032257</v>
      </c>
      <c r="T4339">
        <v>-7.4201580000000003E-2</v>
      </c>
      <c r="U4339">
        <v>0.99061580000000005</v>
      </c>
      <c r="V4339">
        <v>-6.3884959999999996E-3</v>
      </c>
      <c r="W4339">
        <v>0.17249919999999999</v>
      </c>
      <c r="X4339">
        <v>0.98498889999999995</v>
      </c>
      <c r="Y4339">
        <v>0.28210380000000002</v>
      </c>
      <c r="Z4339">
        <v>2.656332E-3</v>
      </c>
      <c r="AA4339">
        <v>0.95938020000000002</v>
      </c>
      <c r="AB4339">
        <v>39</v>
      </c>
      <c r="AC4339">
        <v>-47.041699999999899</v>
      </c>
      <c r="AD4339">
        <v>-1.160534</v>
      </c>
      <c r="AE4339">
        <v>15.481199999999999</v>
      </c>
      <c r="AF4339">
        <v>14.069485455854</v>
      </c>
      <c r="AG4339">
        <v>-1.160534</v>
      </c>
      <c r="AH4339">
        <v>47.454685861710502</v>
      </c>
      <c r="AI4339">
        <v>91.343157575822602</v>
      </c>
      <c r="AJ4339">
        <v>73.485829732688003</v>
      </c>
      <c r="AK4339">
        <v>49.510044136430203</v>
      </c>
      <c r="AL4339">
        <v>80.0668398684751</v>
      </c>
      <c r="AM4339">
        <v>90.371606954960797</v>
      </c>
      <c r="AN4339">
        <v>0.99999996000249503</v>
      </c>
    </row>
    <row r="4340" spans="1:40" x14ac:dyDescent="0.25">
      <c r="A4340" t="str">
        <f>"20190312172457871"</f>
        <v>20190312172457871</v>
      </c>
      <c r="B4340" t="str">
        <f>"1552382697865303"</f>
        <v>1552382697865303</v>
      </c>
      <c r="C4340" t="s">
        <v>40</v>
      </c>
      <c r="D4340">
        <v>3.5061079999999998</v>
      </c>
      <c r="E4340">
        <v>0.61619250000000003</v>
      </c>
      <c r="F4340" t="s">
        <v>42</v>
      </c>
      <c r="G4340">
        <v>-325.10390000000001</v>
      </c>
      <c r="H4340">
        <v>-0.05</v>
      </c>
      <c r="I4340">
        <v>156.6891</v>
      </c>
      <c r="J4340">
        <v>-280.95440000000002</v>
      </c>
      <c r="K4340">
        <v>1.1106689999999999</v>
      </c>
      <c r="L4340">
        <v>142.0335</v>
      </c>
      <c r="M4340">
        <v>-0.99956449999999997</v>
      </c>
      <c r="N4340">
        <v>0</v>
      </c>
      <c r="O4340">
        <v>2.8272439999999999E-2</v>
      </c>
      <c r="P4340">
        <v>-0.98618810000000001</v>
      </c>
      <c r="Q4340">
        <v>0.164025</v>
      </c>
      <c r="R4340">
        <v>2.299957E-2</v>
      </c>
      <c r="S4340">
        <v>-3.031647</v>
      </c>
      <c r="T4340">
        <v>-7.8984979999999996E-2</v>
      </c>
      <c r="U4340">
        <v>0.99816890000000003</v>
      </c>
      <c r="V4340">
        <v>-5.396199E-3</v>
      </c>
      <c r="W4340">
        <v>0.17235410000000001</v>
      </c>
      <c r="X4340">
        <v>0.98502029999999996</v>
      </c>
      <c r="Y4340">
        <v>0.28567589999999998</v>
      </c>
      <c r="Z4340">
        <v>2.9084470000000002E-3</v>
      </c>
      <c r="AA4340">
        <v>0.95832189999999995</v>
      </c>
      <c r="AB4340">
        <v>39</v>
      </c>
      <c r="AC4340">
        <v>-44.149499999999897</v>
      </c>
      <c r="AD4340">
        <v>-1.160669</v>
      </c>
      <c r="AE4340">
        <v>14.6555999999999</v>
      </c>
      <c r="AF4340">
        <v>13.393144615937899</v>
      </c>
      <c r="AG4340">
        <v>-1.160669</v>
      </c>
      <c r="AH4340">
        <v>44.518500061542397</v>
      </c>
      <c r="AI4340">
        <v>91.430164444505493</v>
      </c>
      <c r="AJ4340">
        <v>73.256376508192801</v>
      </c>
      <c r="AK4340">
        <v>46.503981796836896</v>
      </c>
      <c r="AL4340">
        <v>80.075280530533405</v>
      </c>
      <c r="AM4340">
        <v>90.313878135510706</v>
      </c>
      <c r="AN4340">
        <v>1.00000002308127</v>
      </c>
    </row>
    <row r="4341" spans="1:40" x14ac:dyDescent="0.25">
      <c r="A4341" t="str">
        <f>"20190312172457893"</f>
        <v>20190312172457893</v>
      </c>
      <c r="B4341" t="str">
        <f>"1552382697884826"</f>
        <v>1552382697884826</v>
      </c>
      <c r="C4341" t="s">
        <v>40</v>
      </c>
      <c r="D4341">
        <v>3.4836839999999998</v>
      </c>
      <c r="E4341">
        <v>0.61660429999999999</v>
      </c>
      <c r="F4341" t="s">
        <v>42</v>
      </c>
      <c r="G4341">
        <v>-324.22859999999997</v>
      </c>
      <c r="H4341">
        <v>-0.05</v>
      </c>
      <c r="I4341">
        <v>156.30279999999999</v>
      </c>
      <c r="J4341">
        <v>-281.36059999999998</v>
      </c>
      <c r="K4341">
        <v>1.110806</v>
      </c>
      <c r="L4341">
        <v>142.0437</v>
      </c>
      <c r="M4341">
        <v>-0.99960850000000001</v>
      </c>
      <c r="N4341">
        <v>0</v>
      </c>
      <c r="O4341">
        <v>2.6663280000000001E-2</v>
      </c>
      <c r="P4341">
        <v>-0.98619880000000004</v>
      </c>
      <c r="Q4341">
        <v>0.16416729999999999</v>
      </c>
      <c r="R4341">
        <v>2.1478270000000001E-2</v>
      </c>
      <c r="S4341">
        <v>-3.0321660000000001</v>
      </c>
      <c r="T4341">
        <v>-8.1326480000000007E-2</v>
      </c>
      <c r="U4341">
        <v>0.99983219999999995</v>
      </c>
      <c r="V4341">
        <v>-5.389006E-3</v>
      </c>
      <c r="W4341">
        <v>0.17250860000000001</v>
      </c>
      <c r="X4341">
        <v>0.98499329999999996</v>
      </c>
      <c r="Y4341">
        <v>0.28763759999999999</v>
      </c>
      <c r="Z4341">
        <v>3.0614650000000002E-3</v>
      </c>
      <c r="AA4341">
        <v>0.95773450000000004</v>
      </c>
      <c r="AB4341">
        <v>40</v>
      </c>
      <c r="AC4341">
        <v>-42.868000000000002</v>
      </c>
      <c r="AD4341">
        <v>-1.160806</v>
      </c>
      <c r="AE4341">
        <v>14.259099999999901</v>
      </c>
      <c r="AF4341">
        <v>13.1023372982855</v>
      </c>
      <c r="AG4341">
        <v>-1.160806</v>
      </c>
      <c r="AH4341">
        <v>43.204442358011697</v>
      </c>
      <c r="AI4341">
        <v>91.472831537187105</v>
      </c>
      <c r="AJ4341">
        <v>73.129356185101102</v>
      </c>
      <c r="AK4341">
        <v>45.162401981232598</v>
      </c>
      <c r="AL4341">
        <v>80.066293791199101</v>
      </c>
      <c r="AM4341">
        <v>90.313468344246601</v>
      </c>
      <c r="AN4341">
        <v>1.00000002975225</v>
      </c>
    </row>
    <row r="4342" spans="1:40" x14ac:dyDescent="0.25">
      <c r="A4342" t="str">
        <f>"20190312172457915"</f>
        <v>20190312172457915</v>
      </c>
      <c r="B4342" t="str">
        <f>"1552382697905319"</f>
        <v>1552382697905319</v>
      </c>
      <c r="C4342" t="s">
        <v>40</v>
      </c>
      <c r="D4342">
        <v>3.4550589999999901</v>
      </c>
      <c r="E4342">
        <v>0.6167108</v>
      </c>
      <c r="F4342" t="s">
        <v>49</v>
      </c>
      <c r="G4342">
        <v>-319.40839999999997</v>
      </c>
      <c r="H4342">
        <v>7.9985139999999996E-2</v>
      </c>
      <c r="I4342">
        <v>154.5642</v>
      </c>
      <c r="J4342">
        <v>-281.73570000000001</v>
      </c>
      <c r="K4342">
        <v>1.1109329999999999</v>
      </c>
      <c r="L4342">
        <v>142.05250000000001</v>
      </c>
      <c r="M4342">
        <v>-0.99964980000000003</v>
      </c>
      <c r="N4342">
        <v>0</v>
      </c>
      <c r="O4342">
        <v>2.5062500000000001E-2</v>
      </c>
      <c r="P4342">
        <v>-0.98627609999999999</v>
      </c>
      <c r="Q4342">
        <v>0.1639987</v>
      </c>
      <c r="R4342">
        <v>1.907675E-2</v>
      </c>
      <c r="S4342">
        <v>-3.0339360000000002</v>
      </c>
      <c r="T4342">
        <v>-8.2197899999999893E-2</v>
      </c>
      <c r="U4342">
        <v>0.99838260000000001</v>
      </c>
      <c r="V4342">
        <v>-6.2651369999999996E-3</v>
      </c>
      <c r="W4342">
        <v>0.17234940000000001</v>
      </c>
      <c r="X4342">
        <v>0.98501590000000006</v>
      </c>
      <c r="Y4342">
        <v>0.2885894</v>
      </c>
      <c r="Z4342">
        <v>3.1474799999999998E-3</v>
      </c>
      <c r="AA4342">
        <v>0.95744779999999996</v>
      </c>
      <c r="AB4342">
        <v>40</v>
      </c>
      <c r="AC4342">
        <v>-37.672699999999899</v>
      </c>
      <c r="AD4342">
        <v>-1.0309478599999999</v>
      </c>
      <c r="AE4342">
        <v>12.5116999999999</v>
      </c>
      <c r="AF4342">
        <v>11.5557691960197</v>
      </c>
      <c r="AG4342">
        <v>-1.0309478599999999</v>
      </c>
      <c r="AH4342">
        <v>37.948855084523203</v>
      </c>
      <c r="AI4342">
        <v>91.488700453593395</v>
      </c>
      <c r="AJ4342">
        <v>73.064033820251794</v>
      </c>
      <c r="AK4342">
        <v>39.682669484648599</v>
      </c>
      <c r="AL4342">
        <v>80.075553133339298</v>
      </c>
      <c r="AM4342">
        <v>90.364421597261597</v>
      </c>
      <c r="AN4342">
        <v>0.99999994543739701</v>
      </c>
    </row>
    <row r="4343" spans="1:40" x14ac:dyDescent="0.25">
      <c r="A4343" t="str">
        <f>"20190312172457938"</f>
        <v>20190312172457938</v>
      </c>
      <c r="B4343" t="str">
        <f>"1552382697934599"</f>
        <v>1552382697934599</v>
      </c>
      <c r="C4343" t="s">
        <v>40</v>
      </c>
      <c r="D4343">
        <v>3.4798879999999999</v>
      </c>
      <c r="E4343">
        <v>0.6169251</v>
      </c>
      <c r="F4343" t="s">
        <v>49</v>
      </c>
      <c r="G4343">
        <v>-319.5675</v>
      </c>
      <c r="H4343">
        <v>7.9985189999999998E-2</v>
      </c>
      <c r="I4343">
        <v>154.41399999999999</v>
      </c>
      <c r="J4343">
        <v>-282.14019999999999</v>
      </c>
      <c r="K4343">
        <v>1.111067</v>
      </c>
      <c r="L4343">
        <v>142.06120000000001</v>
      </c>
      <c r="M4343">
        <v>-0.99969379999999997</v>
      </c>
      <c r="N4343">
        <v>0</v>
      </c>
      <c r="O4343">
        <v>2.3238060000000001E-2</v>
      </c>
      <c r="P4343">
        <v>-0.98629639999999996</v>
      </c>
      <c r="Q4343">
        <v>0.16423209999999999</v>
      </c>
      <c r="R4343">
        <v>1.5735679999999998E-2</v>
      </c>
      <c r="S4343">
        <v>-3.036346</v>
      </c>
      <c r="T4343">
        <v>-8.2742930000000006E-2</v>
      </c>
      <c r="U4343">
        <v>0.99212650000000002</v>
      </c>
      <c r="V4343">
        <v>-7.8584610000000006E-3</v>
      </c>
      <c r="W4343">
        <v>0.17258850000000001</v>
      </c>
      <c r="X4343">
        <v>0.98496260000000002</v>
      </c>
      <c r="Y4343">
        <v>0.28832809999999998</v>
      </c>
      <c r="Z4343">
        <v>3.2118160000000001E-3</v>
      </c>
      <c r="AA4343">
        <v>0.95752630000000005</v>
      </c>
      <c r="AB4343">
        <v>40</v>
      </c>
      <c r="AC4343">
        <v>-37.427300000000002</v>
      </c>
      <c r="AD4343">
        <v>-1.0310818100000001</v>
      </c>
      <c r="AE4343">
        <v>12.352799999999901</v>
      </c>
      <c r="AF4343">
        <v>11.471843490983501</v>
      </c>
      <c r="AG4343">
        <v>-1.0310818100000001</v>
      </c>
      <c r="AH4343">
        <v>37.678471060416697</v>
      </c>
      <c r="AI4343">
        <v>91.499591003694206</v>
      </c>
      <c r="AJ4343">
        <v>73.066248356291098</v>
      </c>
      <c r="AK4343">
        <v>39.399663757844401</v>
      </c>
      <c r="AL4343">
        <v>80.061645193073701</v>
      </c>
      <c r="AM4343">
        <v>90.4571210067989</v>
      </c>
      <c r="AN4343">
        <v>0.99999993457014702</v>
      </c>
    </row>
    <row r="4344" spans="1:40" x14ac:dyDescent="0.25">
      <c r="A4344" t="str">
        <f>"20190312172457960"</f>
        <v>20190312172457960</v>
      </c>
      <c r="B4344" t="str">
        <f>"1552382697955095"</f>
        <v>1552382697955095</v>
      </c>
      <c r="C4344" t="s">
        <v>40</v>
      </c>
      <c r="D4344">
        <v>3.4470629999999902</v>
      </c>
      <c r="E4344">
        <v>0.61703450000000004</v>
      </c>
      <c r="F4344" t="s">
        <v>43</v>
      </c>
      <c r="G4344">
        <v>-320.3614</v>
      </c>
      <c r="H4344">
        <v>7.9985689999999998E-2</v>
      </c>
      <c r="I4344">
        <v>154.44220000000001</v>
      </c>
      <c r="J4344">
        <v>-282.54140000000001</v>
      </c>
      <c r="K4344">
        <v>1.1111789999999999</v>
      </c>
      <c r="L4344">
        <v>142.06899999999999</v>
      </c>
      <c r="M4344">
        <v>-0.99973579999999995</v>
      </c>
      <c r="N4344">
        <v>0</v>
      </c>
      <c r="O4344">
        <v>2.1351950000000001E-2</v>
      </c>
      <c r="P4344">
        <v>-0.98618220000000001</v>
      </c>
      <c r="Q4344">
        <v>0.16519439999999999</v>
      </c>
      <c r="R4344">
        <v>1.2475099999999999E-2</v>
      </c>
      <c r="S4344">
        <v>-3.039612</v>
      </c>
      <c r="T4344">
        <v>-8.1998940000000006E-2</v>
      </c>
      <c r="U4344">
        <v>0.98463440000000002</v>
      </c>
      <c r="V4344">
        <v>-9.3034209999999992E-3</v>
      </c>
      <c r="W4344">
        <v>0.17355499999999999</v>
      </c>
      <c r="X4344">
        <v>0.98478030000000005</v>
      </c>
      <c r="Y4344">
        <v>0.2876977</v>
      </c>
      <c r="Z4344">
        <v>3.2220930000000001E-3</v>
      </c>
      <c r="AA4344">
        <v>0.95771589999999995</v>
      </c>
      <c r="AB4344">
        <v>40</v>
      </c>
      <c r="AC4344">
        <v>-37.819999999999901</v>
      </c>
      <c r="AD4344">
        <v>-1.0311933099999999</v>
      </c>
      <c r="AE4344">
        <v>12.373200000000001</v>
      </c>
      <c r="AF4344">
        <v>11.555059212233999</v>
      </c>
      <c r="AG4344">
        <v>-1.0311933099999999</v>
      </c>
      <c r="AH4344">
        <v>38.050026359085003</v>
      </c>
      <c r="AI4344">
        <v>91.485439551357302</v>
      </c>
      <c r="AJ4344">
        <v>73.107475752096306</v>
      </c>
      <c r="AK4344">
        <v>39.779231502982597</v>
      </c>
      <c r="AL4344">
        <v>80.0054216607424</v>
      </c>
      <c r="AM4344">
        <v>90.541268850625002</v>
      </c>
      <c r="AN4344">
        <v>1.0000000654676899</v>
      </c>
    </row>
    <row r="4345" spans="1:40" x14ac:dyDescent="0.25">
      <c r="A4345" t="str">
        <f>"20190312172457984"</f>
        <v>20190312172457984</v>
      </c>
      <c r="B4345" t="str">
        <f>"1552382697974614"</f>
        <v>1552382697974614</v>
      </c>
      <c r="C4345" t="s">
        <v>40</v>
      </c>
      <c r="D4345">
        <v>3.4553400000000001</v>
      </c>
      <c r="E4345">
        <v>0.61733439999999995</v>
      </c>
      <c r="F4345" t="s">
        <v>42</v>
      </c>
      <c r="G4345">
        <v>-327.0804</v>
      </c>
      <c r="H4345">
        <v>-0.05</v>
      </c>
      <c r="I4345">
        <v>156.35059999999999</v>
      </c>
      <c r="J4345">
        <v>-282.95299999999997</v>
      </c>
      <c r="K4345">
        <v>1.1112599999999999</v>
      </c>
      <c r="L4345">
        <v>142.0762</v>
      </c>
      <c r="M4345">
        <v>-0.99977629999999995</v>
      </c>
      <c r="N4345">
        <v>0</v>
      </c>
      <c r="O4345">
        <v>1.9357920000000001E-2</v>
      </c>
      <c r="P4345">
        <v>-0.98603929999999995</v>
      </c>
      <c r="Q4345">
        <v>0.16627149999999999</v>
      </c>
      <c r="R4345">
        <v>8.9863479999999999E-3</v>
      </c>
      <c r="S4345">
        <v>-3.0429689999999998</v>
      </c>
      <c r="T4345">
        <v>-7.9333420000000002E-2</v>
      </c>
      <c r="U4345">
        <v>0.97573849999999995</v>
      </c>
      <c r="V4345">
        <v>-1.086265E-2</v>
      </c>
      <c r="W4345">
        <v>0.17463499999999901</v>
      </c>
      <c r="X4345">
        <v>0.98457329999999998</v>
      </c>
      <c r="Y4345">
        <v>0.28676659999999998</v>
      </c>
      <c r="Z4345">
        <v>3.154254E-3</v>
      </c>
      <c r="AA4345">
        <v>0.95799529999999999</v>
      </c>
      <c r="AB4345">
        <v>40</v>
      </c>
      <c r="AC4345">
        <v>-44.127400000000002</v>
      </c>
      <c r="AD4345">
        <v>-1.16126</v>
      </c>
      <c r="AE4345">
        <v>14.274399999999901</v>
      </c>
      <c r="AF4345">
        <v>13.409072746471301</v>
      </c>
      <c r="AG4345">
        <v>-1.16126</v>
      </c>
      <c r="AH4345">
        <v>44.367647884597297</v>
      </c>
      <c r="AI4345">
        <v>91.435207371188497</v>
      </c>
      <c r="AJ4345">
        <v>73.183799096384206</v>
      </c>
      <c r="AK4345">
        <v>46.364209639757398</v>
      </c>
      <c r="AL4345">
        <v>79.942581744668402</v>
      </c>
      <c r="AM4345">
        <v>90.632110121402107</v>
      </c>
      <c r="AN4345">
        <v>0.99999998173145599</v>
      </c>
    </row>
    <row r="4346" spans="1:40" x14ac:dyDescent="0.25">
      <c r="A4346" t="str">
        <f>"20190312172458007"</f>
        <v>20190312172458007</v>
      </c>
      <c r="B4346" t="str">
        <f>"1552382697995111"</f>
        <v>1552382697995111</v>
      </c>
      <c r="C4346" t="s">
        <v>40</v>
      </c>
      <c r="D4346">
        <v>3.43493</v>
      </c>
      <c r="E4346">
        <v>0.61766449999999995</v>
      </c>
      <c r="F4346" t="s">
        <v>42</v>
      </c>
      <c r="G4346">
        <v>-329.08670000000001</v>
      </c>
      <c r="H4346">
        <v>-0.05</v>
      </c>
      <c r="I4346">
        <v>156.72790000000001</v>
      </c>
      <c r="J4346">
        <v>-283.3691</v>
      </c>
      <c r="K4346">
        <v>1.111327</v>
      </c>
      <c r="L4346">
        <v>142.08260000000001</v>
      </c>
      <c r="M4346">
        <v>-0.99981370000000003</v>
      </c>
      <c r="N4346">
        <v>0</v>
      </c>
      <c r="O4346">
        <v>1.7305299999999999E-2</v>
      </c>
      <c r="P4346">
        <v>-0.98604460000000005</v>
      </c>
      <c r="Q4346">
        <v>0.16637829999999901</v>
      </c>
      <c r="R4346">
        <v>5.8571049999999996E-3</v>
      </c>
      <c r="S4346">
        <v>-3.0466000000000002</v>
      </c>
      <c r="T4346">
        <v>-7.6687930000000001E-2</v>
      </c>
      <c r="U4346">
        <v>0.96757510000000002</v>
      </c>
      <c r="V4346">
        <v>-1.1996669999999999E-2</v>
      </c>
      <c r="W4346">
        <v>0.17474719999999999</v>
      </c>
      <c r="X4346">
        <v>0.98454019999999998</v>
      </c>
      <c r="Y4346">
        <v>0.28607630000000001</v>
      </c>
      <c r="Z4346">
        <v>3.0887140000000002E-3</v>
      </c>
      <c r="AA4346">
        <v>0.95820190000000005</v>
      </c>
      <c r="AB4346">
        <v>40</v>
      </c>
      <c r="AC4346">
        <v>-45.717599999999997</v>
      </c>
      <c r="AD4346">
        <v>-1.161327</v>
      </c>
      <c r="AE4346">
        <v>14.645299999999899</v>
      </c>
      <c r="AF4346">
        <v>13.8438194067983</v>
      </c>
      <c r="AG4346">
        <v>-1.161327</v>
      </c>
      <c r="AH4346">
        <v>45.937320679855297</v>
      </c>
      <c r="AI4346">
        <v>91.386596796069497</v>
      </c>
      <c r="AJ4346">
        <v>73.229124503540305</v>
      </c>
      <c r="AK4346">
        <v>47.992056086532003</v>
      </c>
      <c r="AL4346">
        <v>79.9360524890253</v>
      </c>
      <c r="AM4346">
        <v>90.698117297422698</v>
      </c>
      <c r="AN4346">
        <v>0.99999995470748304</v>
      </c>
    </row>
    <row r="4347" spans="1:40" x14ac:dyDescent="0.25">
      <c r="A4347" t="str">
        <f>"20190312172458028"</f>
        <v>20190312172458028</v>
      </c>
      <c r="B4347" t="str">
        <f>"1552382698024900"</f>
        <v>1552382698024900</v>
      </c>
      <c r="C4347" t="s">
        <v>40</v>
      </c>
      <c r="D4347">
        <v>3.4552040000000002</v>
      </c>
      <c r="E4347">
        <v>0.61814530000000001</v>
      </c>
      <c r="F4347" t="s">
        <v>42</v>
      </c>
      <c r="G4347">
        <v>-329.20909999999998</v>
      </c>
      <c r="H4347">
        <v>-0.05</v>
      </c>
      <c r="I4347">
        <v>156.5204</v>
      </c>
      <c r="J4347">
        <v>-283.75650000000002</v>
      </c>
      <c r="K4347">
        <v>1.111372</v>
      </c>
      <c r="L4347">
        <v>142.08779999999999</v>
      </c>
      <c r="M4347">
        <v>-0.99984519999999999</v>
      </c>
      <c r="N4347">
        <v>0</v>
      </c>
      <c r="O4347">
        <v>1.537608E-2</v>
      </c>
      <c r="P4347">
        <v>-0.98615770000000003</v>
      </c>
      <c r="Q4347">
        <v>0.16578889999999999</v>
      </c>
      <c r="R4347">
        <v>2.7300660000000002E-3</v>
      </c>
      <c r="S4347">
        <v>-3.0497740000000002</v>
      </c>
      <c r="T4347">
        <v>-7.7264070000000004E-2</v>
      </c>
      <c r="U4347">
        <v>0.96055599999999997</v>
      </c>
      <c r="V4347">
        <v>-1.324261E-2</v>
      </c>
      <c r="W4347">
        <v>0.1741627</v>
      </c>
      <c r="X4347">
        <v>0.98462780000000005</v>
      </c>
      <c r="Y4347">
        <v>0.28563090000000002</v>
      </c>
      <c r="Z4347">
        <v>3.1520179999999999E-3</v>
      </c>
      <c r="AA4347">
        <v>0.95833449999999998</v>
      </c>
      <c r="AB4347">
        <v>40</v>
      </c>
      <c r="AC4347">
        <v>-45.452599999999897</v>
      </c>
      <c r="AD4347">
        <v>-1.1613719999999901</v>
      </c>
      <c r="AE4347">
        <v>14.432600000000001</v>
      </c>
      <c r="AF4347">
        <v>13.7238460771633</v>
      </c>
      <c r="AG4347">
        <v>-1.1613719999999901</v>
      </c>
      <c r="AH4347">
        <v>45.6420821874365</v>
      </c>
      <c r="AI4347">
        <v>91.395878145708906</v>
      </c>
      <c r="AJ4347">
        <v>73.264805547343599</v>
      </c>
      <c r="AK4347">
        <v>47.674861326245797</v>
      </c>
      <c r="AL4347">
        <v>79.970063466731503</v>
      </c>
      <c r="AM4347">
        <v>90.770544889232696</v>
      </c>
      <c r="AN4347">
        <v>0.99999995866186997</v>
      </c>
    </row>
    <row r="4348" spans="1:40" x14ac:dyDescent="0.25">
      <c r="A4348" t="str">
        <f>"20190312172458052"</f>
        <v>20190312172458052</v>
      </c>
      <c r="B4348" t="str">
        <f>"1552382698044420"</f>
        <v>1552382698044420</v>
      </c>
      <c r="C4348" t="s">
        <v>40</v>
      </c>
      <c r="D4348">
        <v>3.3845499999999999</v>
      </c>
      <c r="E4348">
        <v>0.62658700000000001</v>
      </c>
      <c r="F4348" t="s">
        <v>43</v>
      </c>
      <c r="G4348">
        <v>-323.14920000000001</v>
      </c>
      <c r="H4348">
        <v>7.9986509999999997E-2</v>
      </c>
      <c r="I4348">
        <v>154.40029999999999</v>
      </c>
      <c r="J4348">
        <v>-284.16579999999999</v>
      </c>
      <c r="K4348">
        <v>1.111413</v>
      </c>
      <c r="L4348">
        <v>142.0925</v>
      </c>
      <c r="M4348">
        <v>-0.9998745</v>
      </c>
      <c r="N4348">
        <v>0</v>
      </c>
      <c r="O4348">
        <v>1.3328970000000001E-2</v>
      </c>
      <c r="P4348">
        <v>-0.98629020000000001</v>
      </c>
      <c r="Q4348">
        <v>0.16502059999999999</v>
      </c>
      <c r="R4348">
        <v>-3.7249599999999999E-4</v>
      </c>
      <c r="S4348">
        <v>-3.0529169999999999</v>
      </c>
      <c r="T4348">
        <v>-7.9932210000000004E-2</v>
      </c>
      <c r="U4348">
        <v>0.95422359999999995</v>
      </c>
      <c r="V4348">
        <v>-1.434414E-2</v>
      </c>
      <c r="W4348">
        <v>0.173401</v>
      </c>
      <c r="X4348">
        <v>0.98474689999999998</v>
      </c>
      <c r="Y4348">
        <v>0.28549439999999998</v>
      </c>
      <c r="Z4348">
        <v>3.3091520000000001E-3</v>
      </c>
      <c r="AA4348">
        <v>0.95837470000000002</v>
      </c>
      <c r="AB4348">
        <v>40</v>
      </c>
      <c r="AC4348">
        <v>-38.983400000000003</v>
      </c>
      <c r="AD4348">
        <v>-1.0314264900000001</v>
      </c>
      <c r="AE4348">
        <v>12.307799999999901</v>
      </c>
      <c r="AF4348">
        <v>11.779580322905</v>
      </c>
      <c r="AG4348">
        <v>-1.0314264900000001</v>
      </c>
      <c r="AH4348">
        <v>39.119090640455703</v>
      </c>
      <c r="AI4348">
        <v>91.446213673690195</v>
      </c>
      <c r="AJ4348">
        <v>73.241847822757705</v>
      </c>
      <c r="AK4348">
        <v>40.867170268128802</v>
      </c>
      <c r="AL4348">
        <v>80.014380990649599</v>
      </c>
      <c r="AM4348">
        <v>90.834529728849105</v>
      </c>
      <c r="AN4348">
        <v>1.0000000591064699</v>
      </c>
    </row>
    <row r="4349" spans="1:40" x14ac:dyDescent="0.25">
      <c r="A4349" t="str">
        <f>"20190312172458072"</f>
        <v>20190312172458072</v>
      </c>
      <c r="B4349" t="str">
        <f>"1552382698064918"</f>
        <v>1552382698064918</v>
      </c>
      <c r="C4349" t="s">
        <v>40</v>
      </c>
      <c r="D4349">
        <v>3.370574</v>
      </c>
      <c r="E4349">
        <v>0.62662109999999904</v>
      </c>
      <c r="F4349" t="s">
        <v>49</v>
      </c>
      <c r="G4349">
        <v>-319.34589999999997</v>
      </c>
      <c r="H4349">
        <v>7.9985189999999998E-2</v>
      </c>
      <c r="I4349">
        <v>153.74170000000001</v>
      </c>
      <c r="J4349">
        <v>-284.54059999999998</v>
      </c>
      <c r="K4349">
        <v>1.1114470000000001</v>
      </c>
      <c r="L4349">
        <v>142.09610000000001</v>
      </c>
      <c r="M4349">
        <v>-0.99989760000000005</v>
      </c>
      <c r="N4349">
        <v>0</v>
      </c>
      <c r="O4349">
        <v>1.145206E-2</v>
      </c>
      <c r="P4349">
        <v>-0.98635879999999998</v>
      </c>
      <c r="Q4349">
        <v>0.1645701</v>
      </c>
      <c r="R4349">
        <v>-3.621829E-3</v>
      </c>
      <c r="S4349">
        <v>-3.0570979999999999</v>
      </c>
      <c r="T4349">
        <v>-8.9629410000000007E-2</v>
      </c>
      <c r="U4349">
        <v>1.0122990000000001</v>
      </c>
      <c r="V4349">
        <v>-1.5756889999999999E-2</v>
      </c>
      <c r="W4349">
        <v>0.17295479999999899</v>
      </c>
      <c r="X4349">
        <v>0.98480369999999995</v>
      </c>
      <c r="Y4349">
        <v>0.30333959999999999</v>
      </c>
      <c r="Z4349">
        <v>4.0034119999999996E-3</v>
      </c>
      <c r="AA4349">
        <v>0.95287409999999995</v>
      </c>
      <c r="AB4349">
        <v>40</v>
      </c>
      <c r="AC4349">
        <v>-34.805299999999903</v>
      </c>
      <c r="AD4349">
        <v>-1.0314618099999999</v>
      </c>
      <c r="AE4349">
        <v>11.6456</v>
      </c>
      <c r="AF4349">
        <v>11.2373536870038</v>
      </c>
      <c r="AG4349">
        <v>-1.0314618099999999</v>
      </c>
      <c r="AH4349">
        <v>34.908816664100598</v>
      </c>
      <c r="AI4349">
        <v>91.611074884720594</v>
      </c>
      <c r="AJ4349">
        <v>72.156327151584804</v>
      </c>
      <c r="AK4349">
        <v>36.687429894176297</v>
      </c>
      <c r="AL4349">
        <v>80.0403378248444</v>
      </c>
      <c r="AM4349">
        <v>90.916656047867505</v>
      </c>
      <c r="AN4349">
        <v>0.99999998497959997</v>
      </c>
    </row>
    <row r="4350" spans="1:40" x14ac:dyDescent="0.25">
      <c r="A4350" t="str">
        <f>"20190312172458095"</f>
        <v>20190312172458095</v>
      </c>
      <c r="B4350" t="str">
        <f>"1552382698084439"</f>
        <v>1552382698084439</v>
      </c>
      <c r="C4350" t="s">
        <v>40</v>
      </c>
      <c r="D4350">
        <v>3.5088170000000001</v>
      </c>
      <c r="E4350">
        <v>0.62656959999999995</v>
      </c>
      <c r="F4350" t="s">
        <v>43</v>
      </c>
      <c r="G4350">
        <v>-320.18419999999998</v>
      </c>
      <c r="H4350">
        <v>7.9985619999999993E-2</v>
      </c>
      <c r="I4350">
        <v>153.77029999999999</v>
      </c>
      <c r="J4350">
        <v>-284.94650000000001</v>
      </c>
      <c r="K4350">
        <v>1.1114759999999999</v>
      </c>
      <c r="L4350">
        <v>142.0992</v>
      </c>
      <c r="M4350">
        <v>-0.9999188</v>
      </c>
      <c r="N4350">
        <v>0</v>
      </c>
      <c r="O4350">
        <v>9.4197240000000008E-3</v>
      </c>
      <c r="P4350">
        <v>-0.98642510000000005</v>
      </c>
      <c r="Q4350">
        <v>0.1640779</v>
      </c>
      <c r="R4350">
        <v>-6.6470069999999999E-3</v>
      </c>
      <c r="S4350">
        <v>-3.0599370000000001</v>
      </c>
      <c r="T4350">
        <v>-8.8549020000000006E-2</v>
      </c>
      <c r="U4350">
        <v>1.002213</v>
      </c>
      <c r="V4350">
        <v>-1.679143E-2</v>
      </c>
      <c r="W4350">
        <v>0.1724687</v>
      </c>
      <c r="X4350">
        <v>0.98487190000000002</v>
      </c>
      <c r="Y4350">
        <v>0.30218099999999998</v>
      </c>
      <c r="Z4350">
        <v>3.9945950000000001E-3</v>
      </c>
      <c r="AA4350">
        <v>0.95324219999999904</v>
      </c>
      <c r="AB4350">
        <v>40</v>
      </c>
      <c r="AC4350">
        <v>-35.237699999999897</v>
      </c>
      <c r="AD4350">
        <v>-1.0314903799999999</v>
      </c>
      <c r="AE4350">
        <v>11.6710999999999</v>
      </c>
      <c r="AF4350">
        <v>11.3298919871505</v>
      </c>
      <c r="AG4350">
        <v>-1.0314903799999999</v>
      </c>
      <c r="AH4350">
        <v>35.318807191064202</v>
      </c>
      <c r="AI4350">
        <v>91.592944614874398</v>
      </c>
      <c r="AJ4350">
        <v>72.2143200292589</v>
      </c>
      <c r="AK4350">
        <v>37.105910125532503</v>
      </c>
      <c r="AL4350">
        <v>80.0686147019548</v>
      </c>
      <c r="AM4350">
        <v>90.976761412461798</v>
      </c>
      <c r="AN4350">
        <v>1.0000000320053699</v>
      </c>
    </row>
    <row r="4351" spans="1:40" x14ac:dyDescent="0.25">
      <c r="A4351" t="str">
        <f>"20190312172458116"</f>
        <v>20190312172458116</v>
      </c>
      <c r="B4351" t="str">
        <f>"1552382698104932"</f>
        <v>1552382698104932</v>
      </c>
      <c r="C4351" t="s">
        <v>40</v>
      </c>
      <c r="D4351">
        <v>5.6816529999999998</v>
      </c>
      <c r="E4351">
        <v>0.58516210000000002</v>
      </c>
      <c r="F4351" t="s">
        <v>49</v>
      </c>
      <c r="G4351">
        <v>-319.14830000000001</v>
      </c>
      <c r="H4351">
        <v>7.9985189999999998E-2</v>
      </c>
      <c r="I4351">
        <v>153.1763</v>
      </c>
      <c r="J4351">
        <v>-285.32659999999998</v>
      </c>
      <c r="K4351">
        <v>1.111505</v>
      </c>
      <c r="L4351">
        <v>142.10130000000001</v>
      </c>
      <c r="M4351">
        <v>-0.99993469999999995</v>
      </c>
      <c r="N4351">
        <v>0</v>
      </c>
      <c r="O4351">
        <v>7.51790599999999E-3</v>
      </c>
      <c r="P4351">
        <v>-0.98635269999999997</v>
      </c>
      <c r="Q4351">
        <v>0.164326799999999</v>
      </c>
      <c r="R4351">
        <v>-1.0266320000000001E-2</v>
      </c>
      <c r="S4351">
        <v>-3.0632929999999998</v>
      </c>
      <c r="T4351">
        <v>-9.238565E-2</v>
      </c>
      <c r="U4351">
        <v>0.99212650000000002</v>
      </c>
      <c r="V4351">
        <v>-1.8546969999999999E-2</v>
      </c>
      <c r="W4351">
        <v>0.17271900000000001</v>
      </c>
      <c r="X4351">
        <v>0.98479649999999996</v>
      </c>
      <c r="Y4351">
        <v>0.30083680000000002</v>
      </c>
      <c r="Z4351">
        <v>4.2014469999999996E-3</v>
      </c>
      <c r="AA4351">
        <v>0.95366640000000003</v>
      </c>
      <c r="AB4351">
        <v>40</v>
      </c>
      <c r="AC4351">
        <v>-33.8217</v>
      </c>
      <c r="AD4351">
        <v>-1.03151981</v>
      </c>
      <c r="AE4351">
        <v>11.0749999999999</v>
      </c>
      <c r="AF4351">
        <v>10.811326679038601</v>
      </c>
      <c r="AG4351">
        <v>-1.03151981</v>
      </c>
      <c r="AH4351">
        <v>33.875549349906699</v>
      </c>
      <c r="AI4351">
        <v>91.661612395392496</v>
      </c>
      <c r="AJ4351">
        <v>72.2996011588248</v>
      </c>
      <c r="AK4351">
        <v>35.573890164519298</v>
      </c>
      <c r="AL4351">
        <v>80.054054699099595</v>
      </c>
      <c r="AM4351">
        <v>91.078941172791204</v>
      </c>
      <c r="AN4351">
        <v>0.99999999473471501</v>
      </c>
    </row>
    <row r="4352" spans="1:40" x14ac:dyDescent="0.25">
      <c r="A4352" t="str">
        <f>"20190312172458139"</f>
        <v>20190312172458139</v>
      </c>
      <c r="B4352" t="str">
        <f>"1552382698135188"</f>
        <v>1552382698135188</v>
      </c>
      <c r="C4352" t="s">
        <v>40</v>
      </c>
      <c r="D4352">
        <v>3.1786379999999999</v>
      </c>
      <c r="E4352">
        <v>0.51546720000000001</v>
      </c>
      <c r="F4352" t="s">
        <v>49</v>
      </c>
      <c r="G4352">
        <v>-305.49090000000001</v>
      </c>
      <c r="H4352" s="1">
        <v>-1.081157E-5</v>
      </c>
      <c r="I4352">
        <v>146.36490000000001</v>
      </c>
      <c r="J4352">
        <v>-285.72699999999998</v>
      </c>
      <c r="K4352">
        <v>1.111532</v>
      </c>
      <c r="L4352">
        <v>142.1028</v>
      </c>
      <c r="M4352">
        <v>-0.99994760000000005</v>
      </c>
      <c r="N4352">
        <v>0</v>
      </c>
      <c r="O4352">
        <v>5.5161059999999998E-3</v>
      </c>
      <c r="P4352">
        <v>-0.98621539999999996</v>
      </c>
      <c r="Q4352">
        <v>0.1648551</v>
      </c>
      <c r="R4352">
        <v>-1.420715E-2</v>
      </c>
      <c r="S4352">
        <v>-3.0765380000000002</v>
      </c>
      <c r="T4352">
        <v>-0.169588299999999</v>
      </c>
      <c r="U4352">
        <v>0.65051269999999894</v>
      </c>
      <c r="V4352">
        <v>-2.05276E-2</v>
      </c>
      <c r="W4352">
        <v>0.1732474</v>
      </c>
      <c r="X4352">
        <v>0.9846644</v>
      </c>
      <c r="Y4352">
        <v>0.2011849</v>
      </c>
      <c r="Z4352">
        <v>5.1798269999999997E-3</v>
      </c>
      <c r="AA4352">
        <v>0.97953959999999995</v>
      </c>
      <c r="AB4352">
        <v>40</v>
      </c>
      <c r="AC4352">
        <v>-19.7638999999999</v>
      </c>
      <c r="AD4352">
        <v>-1.1115428115699999</v>
      </c>
      <c r="AE4352">
        <v>4.2621000000000002</v>
      </c>
      <c r="AF4352">
        <v>4.1404966976384197</v>
      </c>
      <c r="AG4352">
        <v>-1.1115428115699999</v>
      </c>
      <c r="AH4352">
        <v>19.727484128065299</v>
      </c>
      <c r="AI4352">
        <v>93.156287285317205</v>
      </c>
      <c r="AJ4352">
        <v>78.1465492865633</v>
      </c>
      <c r="AK4352">
        <v>20.187938734506201</v>
      </c>
      <c r="AL4352">
        <v>80.023316396159501</v>
      </c>
      <c r="AM4352">
        <v>91.194289648109702</v>
      </c>
      <c r="AN4352">
        <v>1.00000001229794</v>
      </c>
    </row>
    <row r="4353" spans="1:40" x14ac:dyDescent="0.25">
      <c r="A4353" t="str">
        <f>"20190312172458162"</f>
        <v>20190312172458162</v>
      </c>
      <c r="B4353" t="str">
        <f>"1552382698154711"</f>
        <v>1552382698154711</v>
      </c>
      <c r="C4353" t="s">
        <v>40</v>
      </c>
      <c r="D4353">
        <v>3.4322650000000001</v>
      </c>
      <c r="E4353">
        <v>0.51125759999999998</v>
      </c>
      <c r="F4353" t="s">
        <v>41</v>
      </c>
      <c r="G4353">
        <v>-286.49349999999998</v>
      </c>
      <c r="H4353">
        <v>1.01213</v>
      </c>
      <c r="I4353">
        <v>142.12299999999999</v>
      </c>
      <c r="J4353">
        <v>-286.15480000000002</v>
      </c>
      <c r="K4353">
        <v>1.111553</v>
      </c>
      <c r="L4353">
        <v>142.1035</v>
      </c>
      <c r="M4353">
        <v>-0.99995699999999998</v>
      </c>
      <c r="N4353">
        <v>0</v>
      </c>
      <c r="O4353">
        <v>3.376839E-3</v>
      </c>
      <c r="P4353">
        <v>-0.98608859999999998</v>
      </c>
      <c r="Q4353">
        <v>0.16525570000000001</v>
      </c>
      <c r="R4353">
        <v>-1.7880690000000001E-2</v>
      </c>
      <c r="S4353">
        <v>-3.1105040000000002</v>
      </c>
      <c r="T4353">
        <v>-0.4033214</v>
      </c>
      <c r="U4353">
        <v>8.2672120000000002E-2</v>
      </c>
      <c r="V4353">
        <v>-2.210264E-2</v>
      </c>
      <c r="W4353">
        <v>0.17365079999999999</v>
      </c>
      <c r="X4353">
        <v>0.98455919999999997</v>
      </c>
      <c r="Y4353">
        <v>2.3028670000000001E-2</v>
      </c>
      <c r="Z4353">
        <v>1.050551E-3</v>
      </c>
      <c r="AA4353">
        <v>0.99973429999999996</v>
      </c>
      <c r="AB4353">
        <v>40</v>
      </c>
      <c r="AC4353">
        <v>-0.33869999999995998</v>
      </c>
      <c r="AD4353">
        <v>-9.9422999999999997E-2</v>
      </c>
      <c r="AE4353">
        <v>1.9499999999993599E-2</v>
      </c>
      <c r="AF4353">
        <v>1.69043204708814E-2</v>
      </c>
      <c r="AG4353">
        <v>-9.9422999999999997E-2</v>
      </c>
      <c r="AH4353">
        <v>0.311970979496134</v>
      </c>
      <c r="AI4353">
        <v>107.652437417388</v>
      </c>
      <c r="AJ4353">
        <v>86.898429531567203</v>
      </c>
      <c r="AK4353">
        <v>0.32786671228924702</v>
      </c>
      <c r="AL4353">
        <v>79.999847157407302</v>
      </c>
      <c r="AM4353">
        <v>91.286032685399803</v>
      </c>
      <c r="AN4353">
        <v>0.99999997267012397</v>
      </c>
    </row>
    <row r="4354" spans="1:40" x14ac:dyDescent="0.25">
      <c r="A4354" t="str">
        <f>"20190312172458183"</f>
        <v>20190312172458183</v>
      </c>
      <c r="B4354" t="str">
        <f>"1552382698175203"</f>
        <v>1552382698175203</v>
      </c>
      <c r="C4354" t="s">
        <v>40</v>
      </c>
      <c r="D4354">
        <v>3.2184469999999998</v>
      </c>
      <c r="E4354">
        <v>0.47707899999999998</v>
      </c>
      <c r="F4354" t="s">
        <v>41</v>
      </c>
      <c r="G4354">
        <v>-287.21010000000001</v>
      </c>
      <c r="H4354">
        <v>0.99951259999999997</v>
      </c>
      <c r="I4354">
        <v>142.11609999999999</v>
      </c>
      <c r="J4354">
        <v>-286.55099999999999</v>
      </c>
      <c r="K4354">
        <v>1.1115699999999999</v>
      </c>
      <c r="L4354">
        <v>142.10329999999999</v>
      </c>
      <c r="M4354">
        <v>-0.99996169999999995</v>
      </c>
      <c r="N4354">
        <v>0</v>
      </c>
      <c r="O4354">
        <v>1.395978E-3</v>
      </c>
      <c r="P4354">
        <v>-0.98595109999999997</v>
      </c>
      <c r="Q4354">
        <v>0.1655557</v>
      </c>
      <c r="R4354">
        <v>-2.2175050000000002E-2</v>
      </c>
      <c r="S4354">
        <v>-3.0981139999999998</v>
      </c>
      <c r="T4354">
        <v>-0.32894679999999998</v>
      </c>
      <c r="U4354">
        <v>3.6819459999999998E-2</v>
      </c>
      <c r="V4354">
        <v>-2.445334E-2</v>
      </c>
      <c r="W4354">
        <v>0.17394949999999901</v>
      </c>
      <c r="X4354">
        <v>0.98445090000000002</v>
      </c>
      <c r="Y4354">
        <v>1.0436880000000001E-2</v>
      </c>
      <c r="Z4354">
        <v>4.046988E-4</v>
      </c>
      <c r="AA4354">
        <v>0.99994550000000004</v>
      </c>
      <c r="AB4354">
        <v>40</v>
      </c>
      <c r="AC4354">
        <v>-0.659100000000023</v>
      </c>
      <c r="AD4354">
        <v>-0.1120574</v>
      </c>
      <c r="AE4354">
        <v>1.27999999999985E-2</v>
      </c>
      <c r="AF4354">
        <v>1.15462415808457E-2</v>
      </c>
      <c r="AG4354">
        <v>-0.1120574</v>
      </c>
      <c r="AH4354">
        <v>0.64060722235110201</v>
      </c>
      <c r="AI4354">
        <v>99.920425707506197</v>
      </c>
      <c r="AJ4354">
        <v>88.967418309798603</v>
      </c>
      <c r="AK4354">
        <v>0.65043661483483395</v>
      </c>
      <c r="AL4354">
        <v>79.982468538743007</v>
      </c>
      <c r="AM4354">
        <v>91.422910098948194</v>
      </c>
      <c r="AN4354">
        <v>0.99999998444910698</v>
      </c>
    </row>
    <row r="4355" spans="1:40" x14ac:dyDescent="0.25">
      <c r="A4355" t="str">
        <f>"20190312172458218"</f>
        <v>20190312172458218</v>
      </c>
      <c r="B4355" t="str">
        <f>"1552382698215221"</f>
        <v>1552382698215221</v>
      </c>
      <c r="C4355" t="s">
        <v>40</v>
      </c>
      <c r="D4355">
        <v>3.1985570000000001</v>
      </c>
      <c r="E4355">
        <v>0.47794930000000002</v>
      </c>
      <c r="F4355" t="s">
        <v>43</v>
      </c>
      <c r="G4355">
        <v>-392.30180000000001</v>
      </c>
      <c r="H4355" s="1">
        <v>-4.3805779999999999E-6</v>
      </c>
      <c r="I4355">
        <v>133.43870000000001</v>
      </c>
      <c r="J4355">
        <v>-287.16489999999999</v>
      </c>
      <c r="K4355">
        <v>1.1115900000000001</v>
      </c>
      <c r="L4355">
        <v>142.10149999999999</v>
      </c>
      <c r="M4355">
        <v>-0.99996110000000005</v>
      </c>
      <c r="N4355">
        <v>0</v>
      </c>
      <c r="O4355">
        <v>-1.6751660000000001E-3</v>
      </c>
      <c r="P4355">
        <v>-0.98582979999999998</v>
      </c>
      <c r="Q4355">
        <v>0.1655914</v>
      </c>
      <c r="R4355">
        <v>-2.682294E-2</v>
      </c>
      <c r="S4355">
        <v>-3.0425110000000002</v>
      </c>
      <c r="T4355">
        <v>-3.1980630000000003E-2</v>
      </c>
      <c r="U4355">
        <v>-0.2492828</v>
      </c>
      <c r="V4355">
        <v>-2.60834E-2</v>
      </c>
      <c r="W4355">
        <v>0.17399410000000001</v>
      </c>
      <c r="X4355">
        <v>0.98440119999999998</v>
      </c>
      <c r="Y4355">
        <v>-7.9985570000000006E-2</v>
      </c>
      <c r="Z4355">
        <v>-4.0208159999999998E-4</v>
      </c>
      <c r="AA4355">
        <v>0.99679600000000002</v>
      </c>
      <c r="AB4355">
        <v>41</v>
      </c>
      <c r="AC4355">
        <v>-105.1369</v>
      </c>
      <c r="AD4355">
        <v>-1.11159438057799</v>
      </c>
      <c r="AE4355">
        <v>-8.6627999999999705</v>
      </c>
      <c r="AF4355">
        <v>-8.4857173030175908</v>
      </c>
      <c r="AG4355">
        <v>-1.11159438057799</v>
      </c>
      <c r="AH4355">
        <v>105.139590900344</v>
      </c>
      <c r="AI4355">
        <v>90.603777210180795</v>
      </c>
      <c r="AJ4355">
        <v>94.614286635701205</v>
      </c>
      <c r="AK4355">
        <v>105.487329167561</v>
      </c>
      <c r="AL4355">
        <v>79.979873799393403</v>
      </c>
      <c r="AM4355">
        <v>91.517794918429701</v>
      </c>
      <c r="AN4355">
        <v>1.0000000065759</v>
      </c>
    </row>
    <row r="4356" spans="1:40" x14ac:dyDescent="0.25">
      <c r="A4356" t="str">
        <f>"20190312172458239"</f>
        <v>20190312172458239</v>
      </c>
      <c r="B4356" t="str">
        <f>"1552382698234740"</f>
        <v>1552382698234740</v>
      </c>
      <c r="C4356" t="s">
        <v>40</v>
      </c>
      <c r="D4356">
        <v>3.1999550000000001</v>
      </c>
      <c r="E4356">
        <v>0.47828419999999999</v>
      </c>
      <c r="F4356" t="s">
        <v>43</v>
      </c>
      <c r="G4356">
        <v>-323.94209999999998</v>
      </c>
      <c r="H4356" s="1">
        <v>-2.689736E-6</v>
      </c>
      <c r="I4356">
        <v>139.00409999999999</v>
      </c>
      <c r="J4356">
        <v>-287.55849999999998</v>
      </c>
      <c r="K4356">
        <v>1.1116029999999999</v>
      </c>
      <c r="L4356">
        <v>142.0993</v>
      </c>
      <c r="M4356">
        <v>-0.99995579999999995</v>
      </c>
      <c r="N4356">
        <v>0</v>
      </c>
      <c r="O4356">
        <v>-3.6438239999999999E-3</v>
      </c>
      <c r="P4356">
        <v>-0.98580429999999997</v>
      </c>
      <c r="Q4356">
        <v>0.16531299999999999</v>
      </c>
      <c r="R4356">
        <v>-2.9353319999999999E-2</v>
      </c>
      <c r="S4356">
        <v>-3.0516359999999998</v>
      </c>
      <c r="T4356">
        <v>-9.2236040000000005E-2</v>
      </c>
      <c r="U4356">
        <v>-0.2570038</v>
      </c>
      <c r="V4356">
        <v>-2.667659E-2</v>
      </c>
      <c r="W4356">
        <v>0.173724499999999</v>
      </c>
      <c r="X4356">
        <v>0.98443290000000006</v>
      </c>
      <c r="Y4356">
        <v>-8.0254880000000001E-2</v>
      </c>
      <c r="Z4356">
        <v>-1.1005240000000001E-3</v>
      </c>
      <c r="AA4356">
        <v>0.99677380000000004</v>
      </c>
      <c r="AB4356">
        <v>41</v>
      </c>
      <c r="AC4356">
        <v>-36.383600000000001</v>
      </c>
      <c r="AD4356">
        <v>-1.111605689736</v>
      </c>
      <c r="AE4356">
        <v>-3.0952000000000002</v>
      </c>
      <c r="AF4356">
        <v>-2.9598560150125701</v>
      </c>
      <c r="AG4356">
        <v>-1.111605689736</v>
      </c>
      <c r="AH4356">
        <v>36.3609400475626</v>
      </c>
      <c r="AI4356">
        <v>91.745298841976194</v>
      </c>
      <c r="AJ4356">
        <v>94.653734503684504</v>
      </c>
      <c r="AK4356">
        <v>36.498142089447498</v>
      </c>
      <c r="AL4356">
        <v>79.995559445869304</v>
      </c>
      <c r="AM4356">
        <v>91.552246024758702</v>
      </c>
      <c r="AN4356">
        <v>0.99999998847834304</v>
      </c>
    </row>
    <row r="4357" spans="1:40" x14ac:dyDescent="0.25">
      <c r="A4357" t="str">
        <f>"20190312172458263"</f>
        <v>20190312172458263</v>
      </c>
      <c r="B4357" t="str">
        <f>"1552382698255235"</f>
        <v>1552382698255235</v>
      </c>
      <c r="C4357" t="s">
        <v>40</v>
      </c>
      <c r="D4357">
        <v>3.2901189999999998</v>
      </c>
      <c r="E4357">
        <v>0.47862500000000002</v>
      </c>
      <c r="F4357" t="s">
        <v>49</v>
      </c>
      <c r="G4357">
        <v>-318.72680000000003</v>
      </c>
      <c r="H4357" s="1">
        <v>-5.8706210000000001E-6</v>
      </c>
      <c r="I4357">
        <v>139.42179999999999</v>
      </c>
      <c r="J4357">
        <v>-287.97579999999999</v>
      </c>
      <c r="K4357">
        <v>1.111612</v>
      </c>
      <c r="L4357">
        <v>142.09610000000001</v>
      </c>
      <c r="M4357">
        <v>-0.9999458</v>
      </c>
      <c r="N4357">
        <v>0</v>
      </c>
      <c r="O4357">
        <v>-5.7319140000000003E-3</v>
      </c>
      <c r="P4357">
        <v>-0.98574839999999997</v>
      </c>
      <c r="Q4357">
        <v>0.16521459999999999</v>
      </c>
      <c r="R4357">
        <v>-3.1691740000000003E-2</v>
      </c>
      <c r="S4357">
        <v>-3.0536189999999999</v>
      </c>
      <c r="T4357">
        <v>-0.1089063</v>
      </c>
      <c r="U4357">
        <v>-0.26231379999999999</v>
      </c>
      <c r="V4357">
        <v>-2.6961479999999999E-2</v>
      </c>
      <c r="W4357">
        <v>0.17363619999999999</v>
      </c>
      <c r="X4357">
        <v>0.98444069999999995</v>
      </c>
      <c r="Y4357">
        <v>-7.982815E-2</v>
      </c>
      <c r="Z4357">
        <v>-1.2164750000000001E-3</v>
      </c>
      <c r="AA4357">
        <v>0.99680789999999997</v>
      </c>
      <c r="AB4357">
        <v>41</v>
      </c>
      <c r="AC4357">
        <v>-30.751000000000001</v>
      </c>
      <c r="AD4357">
        <v>-1.111617870621</v>
      </c>
      <c r="AE4357">
        <v>-2.6743000000000099</v>
      </c>
      <c r="AF4357">
        <v>-2.49475177272181</v>
      </c>
      <c r="AG4357">
        <v>-1.111617870621</v>
      </c>
      <c r="AH4357">
        <v>30.725974452730501</v>
      </c>
      <c r="AI4357">
        <v>92.065178198095396</v>
      </c>
      <c r="AJ4357">
        <v>94.641866813241194</v>
      </c>
      <c r="AK4357">
        <v>30.847122828031001</v>
      </c>
      <c r="AL4357">
        <v>80.000696568786793</v>
      </c>
      <c r="AM4357">
        <v>91.568802418006797</v>
      </c>
      <c r="AN4357">
        <v>0.99999997158535903</v>
      </c>
    </row>
    <row r="4358" spans="1:40" x14ac:dyDescent="0.25">
      <c r="A4358" t="str">
        <f>"20190312172458284"</f>
        <v>20190312172458284</v>
      </c>
      <c r="B4358" t="str">
        <f>"1552382698274756"</f>
        <v>1552382698274756</v>
      </c>
      <c r="C4358" t="s">
        <v>40</v>
      </c>
      <c r="D4358">
        <v>3.273946</v>
      </c>
      <c r="E4358">
        <v>0.47888160000000002</v>
      </c>
      <c r="F4358" t="s">
        <v>49</v>
      </c>
      <c r="G4358">
        <v>-317.94099999999997</v>
      </c>
      <c r="H4358" s="1">
        <v>-6.2380299999999998E-6</v>
      </c>
      <c r="I4358">
        <v>139.48099999999999</v>
      </c>
      <c r="J4358">
        <v>-288.36720000000003</v>
      </c>
      <c r="K4358">
        <v>1.1116140000000001</v>
      </c>
      <c r="L4358">
        <v>142.0924</v>
      </c>
      <c r="M4358">
        <v>-0.99993259999999995</v>
      </c>
      <c r="N4358">
        <v>0</v>
      </c>
      <c r="O4358">
        <v>-7.689675E-3</v>
      </c>
      <c r="P4358">
        <v>-0.98579170000000005</v>
      </c>
      <c r="Q4358">
        <v>0.16477169999999999</v>
      </c>
      <c r="R4358">
        <v>-3.2640379999999997E-2</v>
      </c>
      <c r="S4358">
        <v>-3.0538020000000001</v>
      </c>
      <c r="T4358">
        <v>-0.1132867</v>
      </c>
      <c r="U4358">
        <v>-0.26651000000000002</v>
      </c>
      <c r="V4358">
        <v>-2.5980489999999998E-2</v>
      </c>
      <c r="W4358">
        <v>0.1732108</v>
      </c>
      <c r="X4358">
        <v>0.98454209999999998</v>
      </c>
      <c r="Y4358">
        <v>-7.922883E-2</v>
      </c>
      <c r="Z4358">
        <v>-1.1816750000000001E-3</v>
      </c>
      <c r="AA4358">
        <v>0.99685570000000001</v>
      </c>
      <c r="AB4358">
        <v>41</v>
      </c>
      <c r="AC4358">
        <v>-29.573799999999899</v>
      </c>
      <c r="AD4358">
        <v>-1.11162023803</v>
      </c>
      <c r="AE4358">
        <v>-2.6114000000000002</v>
      </c>
      <c r="AF4358">
        <v>-2.3805638932361299</v>
      </c>
      <c r="AG4358">
        <v>-1.11162023803</v>
      </c>
      <c r="AH4358">
        <v>29.551577965121599</v>
      </c>
      <c r="AI4358">
        <v>92.147288624718598</v>
      </c>
      <c r="AJ4358">
        <v>94.605587169683901</v>
      </c>
      <c r="AK4358">
        <v>29.6681402219963</v>
      </c>
      <c r="AL4358">
        <v>80.025446061378005</v>
      </c>
      <c r="AM4358">
        <v>91.511593104739504</v>
      </c>
      <c r="AN4358">
        <v>1.0000000568848399</v>
      </c>
    </row>
    <row r="4359" spans="1:40" x14ac:dyDescent="0.25">
      <c r="A4359" t="str">
        <f>"20190312172458305"</f>
        <v>20190312172458305</v>
      </c>
      <c r="B4359" t="str">
        <f>"1552382698295255"</f>
        <v>1552382698295255</v>
      </c>
      <c r="C4359" t="s">
        <v>40</v>
      </c>
      <c r="D4359">
        <v>3.317914</v>
      </c>
      <c r="E4359">
        <v>0.47929490000000002</v>
      </c>
      <c r="F4359" t="s">
        <v>49</v>
      </c>
      <c r="G4359">
        <v>-317.55020000000002</v>
      </c>
      <c r="H4359" s="1">
        <v>-6.4304189999999998E-6</v>
      </c>
      <c r="I4359">
        <v>139.54060000000001</v>
      </c>
      <c r="J4359">
        <v>-288.76979999999998</v>
      </c>
      <c r="K4359">
        <v>1.1116220000000001</v>
      </c>
      <c r="L4359">
        <v>142.08770000000001</v>
      </c>
      <c r="M4359">
        <v>-0.99991490000000005</v>
      </c>
      <c r="N4359">
        <v>0</v>
      </c>
      <c r="O4359">
        <v>-9.7029790000000005E-3</v>
      </c>
      <c r="P4359">
        <v>-0.98583080000000001</v>
      </c>
      <c r="Q4359">
        <v>0.1641996</v>
      </c>
      <c r="R4359">
        <v>-3.4294930000000001E-2</v>
      </c>
      <c r="S4359">
        <v>-3.0538639999999999</v>
      </c>
      <c r="T4359">
        <v>-0.1163261</v>
      </c>
      <c r="U4359">
        <v>-0.26702880000000001</v>
      </c>
      <c r="V4359">
        <v>-2.5650180000000002E-2</v>
      </c>
      <c r="W4359">
        <v>0.17265329999999901</v>
      </c>
      <c r="X4359">
        <v>0.98464859999999998</v>
      </c>
      <c r="Y4359">
        <v>-7.7388029999999997E-2</v>
      </c>
      <c r="Z4359">
        <v>-1.10184E-3</v>
      </c>
      <c r="AA4359">
        <v>0.99700049999999996</v>
      </c>
      <c r="AB4359">
        <v>41</v>
      </c>
      <c r="AC4359">
        <v>-28.7804</v>
      </c>
      <c r="AD4359">
        <v>-1.1116284304189901</v>
      </c>
      <c r="AE4359">
        <v>-2.5470999999999999</v>
      </c>
      <c r="AF4359">
        <v>-2.26436201166291</v>
      </c>
      <c r="AG4359">
        <v>-1.1116284304189901</v>
      </c>
      <c r="AH4359">
        <v>28.761186492331799</v>
      </c>
      <c r="AI4359">
        <v>92.206575984508106</v>
      </c>
      <c r="AJ4359">
        <v>94.501598820075998</v>
      </c>
      <c r="AK4359">
        <v>28.871593332094999</v>
      </c>
      <c r="AL4359">
        <v>80.057876294410306</v>
      </c>
      <c r="AM4359">
        <v>91.492222459338507</v>
      </c>
      <c r="AN4359">
        <v>0.99999997960844</v>
      </c>
    </row>
    <row r="4360" spans="1:40" x14ac:dyDescent="0.25">
      <c r="A4360" t="str">
        <f>"20190312172458328"</f>
        <v>20190312172458328</v>
      </c>
      <c r="B4360" t="str">
        <f>"1552382698324533"</f>
        <v>1552382698324533</v>
      </c>
      <c r="C4360" t="s">
        <v>40</v>
      </c>
      <c r="D4360">
        <v>3.270483</v>
      </c>
      <c r="E4360">
        <v>0.47983949999999997</v>
      </c>
      <c r="F4360" t="s">
        <v>49</v>
      </c>
      <c r="G4360">
        <v>-317.32709999999997</v>
      </c>
      <c r="H4360" s="1">
        <v>-6.5396390000000001E-6</v>
      </c>
      <c r="I4360">
        <v>139.5729</v>
      </c>
      <c r="J4360">
        <v>-289.17680000000001</v>
      </c>
      <c r="K4360">
        <v>1.111629</v>
      </c>
      <c r="L4360">
        <v>142.0822</v>
      </c>
      <c r="M4360">
        <v>-0.99989309999999998</v>
      </c>
      <c r="N4360">
        <v>0</v>
      </c>
      <c r="O4360">
        <v>-1.17369E-2</v>
      </c>
      <c r="P4360">
        <v>-0.98584819999999995</v>
      </c>
      <c r="Q4360">
        <v>0.16384949999999901</v>
      </c>
      <c r="R4360">
        <v>-3.5451629999999998E-2</v>
      </c>
      <c r="S4360">
        <v>-3.0535890000000001</v>
      </c>
      <c r="T4360">
        <v>-0.1188647</v>
      </c>
      <c r="U4360">
        <v>-0.26890560000000002</v>
      </c>
      <c r="V4360">
        <v>-2.4802749999999998E-2</v>
      </c>
      <c r="W4360">
        <v>0.1723198</v>
      </c>
      <c r="X4360">
        <v>0.98472879999999996</v>
      </c>
      <c r="Y4360">
        <v>-7.5976269999999999E-2</v>
      </c>
      <c r="Z4360">
        <v>-1.0195530000000001E-3</v>
      </c>
      <c r="AA4360">
        <v>0.99710909999999997</v>
      </c>
      <c r="AB4360">
        <v>41</v>
      </c>
      <c r="AC4360">
        <v>-28.150299999999898</v>
      </c>
      <c r="AD4360">
        <v>-1.1116355396390001</v>
      </c>
      <c r="AE4360">
        <v>-2.5092999999999899</v>
      </c>
      <c r="AF4360">
        <v>-2.17535181766001</v>
      </c>
      <c r="AG4360">
        <v>-1.1116355396390001</v>
      </c>
      <c r="AH4360">
        <v>28.134286512150101</v>
      </c>
      <c r="AI4360">
        <v>92.255954338284297</v>
      </c>
      <c r="AJ4360">
        <v>94.421330691639497</v>
      </c>
      <c r="AK4360">
        <v>28.240148134373101</v>
      </c>
      <c r="AL4360">
        <v>80.077275893178694</v>
      </c>
      <c r="AM4360">
        <v>91.4428261808239</v>
      </c>
      <c r="AN4360">
        <v>1.0000000497145101</v>
      </c>
    </row>
    <row r="4361" spans="1:40" x14ac:dyDescent="0.25">
      <c r="A4361" t="str">
        <f>"20190312172458351"</f>
        <v>20190312172458351</v>
      </c>
      <c r="B4361" t="str">
        <f>"1552382698345028"</f>
        <v>1552382698345028</v>
      </c>
      <c r="C4361" t="s">
        <v>40</v>
      </c>
      <c r="D4361">
        <v>3.2962859999999998</v>
      </c>
      <c r="E4361">
        <v>0.48036610000000002</v>
      </c>
      <c r="F4361" t="s">
        <v>49</v>
      </c>
      <c r="G4361">
        <v>-317.13060000000002</v>
      </c>
      <c r="H4361" s="1">
        <v>-6.6433189999999999E-6</v>
      </c>
      <c r="I4361">
        <v>139.62639999999999</v>
      </c>
      <c r="J4361">
        <v>-289.59840000000003</v>
      </c>
      <c r="K4361">
        <v>1.1116330000000001</v>
      </c>
      <c r="L4361">
        <v>142.07560000000001</v>
      </c>
      <c r="M4361">
        <v>-0.99986609999999998</v>
      </c>
      <c r="N4361">
        <v>0</v>
      </c>
      <c r="O4361">
        <v>-1.3843660000000001E-2</v>
      </c>
      <c r="P4361">
        <v>-0.98582210000000003</v>
      </c>
      <c r="Q4361">
        <v>0.16368269999999999</v>
      </c>
      <c r="R4361">
        <v>-3.6917709999999999E-2</v>
      </c>
      <c r="S4361">
        <v>-3.0536189999999999</v>
      </c>
      <c r="T4361">
        <v>-0.1214325</v>
      </c>
      <c r="U4361">
        <v>-0.26826480000000003</v>
      </c>
      <c r="V4361">
        <v>-2.4193909999999999E-2</v>
      </c>
      <c r="W4361">
        <v>0.17216899999999999</v>
      </c>
      <c r="X4361">
        <v>0.98477020000000004</v>
      </c>
      <c r="Y4361">
        <v>-7.3667990000000003E-2</v>
      </c>
      <c r="Z4361">
        <v>-9.1221080000000005E-4</v>
      </c>
      <c r="AA4361">
        <v>0.99728240000000001</v>
      </c>
      <c r="AB4361">
        <v>41</v>
      </c>
      <c r="AC4361">
        <v>-27.5321999999999</v>
      </c>
      <c r="AD4361">
        <v>-1.1116396433189999</v>
      </c>
      <c r="AE4361">
        <v>-2.44920000000001</v>
      </c>
      <c r="AF4361">
        <v>-2.0644652454164101</v>
      </c>
      <c r="AG4361">
        <v>-1.1116396433189999</v>
      </c>
      <c r="AH4361">
        <v>27.5189588934509</v>
      </c>
      <c r="AI4361">
        <v>92.306753828955195</v>
      </c>
      <c r="AJ4361">
        <v>94.290278235106896</v>
      </c>
      <c r="AK4361">
        <v>27.6186686504902</v>
      </c>
      <c r="AL4361">
        <v>80.086045974338106</v>
      </c>
      <c r="AM4361">
        <v>91.407364005407899</v>
      </c>
      <c r="AN4361">
        <v>0.99999992832506102</v>
      </c>
    </row>
    <row r="4362" spans="1:40" x14ac:dyDescent="0.25">
      <c r="A4362" t="str">
        <f>"20190312172458374"</f>
        <v>20190312172458374</v>
      </c>
      <c r="B4362" t="str">
        <f>"1552382698364551"</f>
        <v>1552382698364551</v>
      </c>
      <c r="C4362" t="s">
        <v>40</v>
      </c>
      <c r="D4362">
        <v>3.264275</v>
      </c>
      <c r="E4362">
        <v>0.48077619999999999</v>
      </c>
      <c r="F4362" t="s">
        <v>49</v>
      </c>
      <c r="G4362">
        <v>-317.2176</v>
      </c>
      <c r="H4362" s="1">
        <v>-6.6082520000000003E-6</v>
      </c>
      <c r="I4362">
        <v>139.6396</v>
      </c>
      <c r="J4362">
        <v>-290.01310000000001</v>
      </c>
      <c r="K4362">
        <v>1.1116349999999999</v>
      </c>
      <c r="L4362">
        <v>142.06829999999999</v>
      </c>
      <c r="M4362">
        <v>-0.99983509999999998</v>
      </c>
      <c r="N4362">
        <v>0</v>
      </c>
      <c r="O4362">
        <v>-1.5915240000000001E-2</v>
      </c>
      <c r="P4362">
        <v>-0.98582440000000005</v>
      </c>
      <c r="Q4362">
        <v>0.16324350000000001</v>
      </c>
      <c r="R4362">
        <v>-3.875841E-2</v>
      </c>
      <c r="S4362">
        <v>-3.0534970000000001</v>
      </c>
      <c r="T4362">
        <v>-0.1228998</v>
      </c>
      <c r="U4362">
        <v>-0.26931759999999999</v>
      </c>
      <c r="V4362">
        <v>-2.3991459999999999E-2</v>
      </c>
      <c r="W4362">
        <v>0.17174389999999901</v>
      </c>
      <c r="X4362">
        <v>0.98484950000000004</v>
      </c>
      <c r="Y4362">
        <v>-7.1948230000000002E-2</v>
      </c>
      <c r="Z4362">
        <v>-8.055661E-4</v>
      </c>
      <c r="AA4362">
        <v>0.99740799999999996</v>
      </c>
      <c r="AB4362">
        <v>41</v>
      </c>
      <c r="AC4362">
        <v>-27.204499999999999</v>
      </c>
      <c r="AD4362">
        <v>-1.111641608252</v>
      </c>
      <c r="AE4362">
        <v>-2.4286999999999899</v>
      </c>
      <c r="AF4362">
        <v>-1.99210966675247</v>
      </c>
      <c r="AG4362">
        <v>-1.111641608252</v>
      </c>
      <c r="AH4362">
        <v>27.194660073647398</v>
      </c>
      <c r="AI4362">
        <v>92.334539582840705</v>
      </c>
      <c r="AJ4362">
        <v>94.189644924807197</v>
      </c>
      <c r="AK4362">
        <v>27.290177436411</v>
      </c>
      <c r="AL4362">
        <v>80.110771888383496</v>
      </c>
      <c r="AM4362">
        <v>91.395479801805607</v>
      </c>
      <c r="AN4362">
        <v>1.00000004749519</v>
      </c>
    </row>
    <row r="4363" spans="1:40" x14ac:dyDescent="0.25">
      <c r="A4363" t="str">
        <f>"20190312172458394"</f>
        <v>20190312172458394</v>
      </c>
      <c r="B4363" t="str">
        <f>"1552382698385044"</f>
        <v>1552382698385044</v>
      </c>
      <c r="C4363" t="s">
        <v>40</v>
      </c>
      <c r="D4363">
        <v>3.3142019999999999</v>
      </c>
      <c r="E4363">
        <v>0.48097679999999998</v>
      </c>
      <c r="F4363" t="s">
        <v>49</v>
      </c>
      <c r="G4363">
        <v>-317.11630000000002</v>
      </c>
      <c r="H4363" s="1">
        <v>-6.6571969999999997E-6</v>
      </c>
      <c r="I4363">
        <v>139.65479999999999</v>
      </c>
      <c r="J4363">
        <v>-290.39100000000002</v>
      </c>
      <c r="K4363">
        <v>1.1116349999999999</v>
      </c>
      <c r="L4363">
        <v>142.0608</v>
      </c>
      <c r="M4363">
        <v>-0.9998032</v>
      </c>
      <c r="N4363">
        <v>0</v>
      </c>
      <c r="O4363">
        <v>-1.7802020000000002E-2</v>
      </c>
      <c r="P4363">
        <v>-0.98583730000000003</v>
      </c>
      <c r="Q4363">
        <v>0.16267760000000001</v>
      </c>
      <c r="R4363">
        <v>-4.0757309999999998E-2</v>
      </c>
      <c r="S4363">
        <v>-3.0531920000000001</v>
      </c>
      <c r="T4363">
        <v>-0.12522719999999901</v>
      </c>
      <c r="U4363">
        <v>-0.27188109999999999</v>
      </c>
      <c r="V4363">
        <v>-2.4128130000000001E-2</v>
      </c>
      <c r="W4363">
        <v>0.1711887</v>
      </c>
      <c r="X4363">
        <v>0.98494280000000001</v>
      </c>
      <c r="Y4363">
        <v>-7.090631E-2</v>
      </c>
      <c r="Z4363">
        <v>-7.2237789999999896E-4</v>
      </c>
      <c r="AA4363">
        <v>0.99748270000000006</v>
      </c>
      <c r="AB4363">
        <v>41</v>
      </c>
      <c r="AC4363">
        <v>-26.725300000000001</v>
      </c>
      <c r="AD4363">
        <v>-1.111641657197</v>
      </c>
      <c r="AE4363">
        <v>-2.4060000000000001</v>
      </c>
      <c r="AF4363">
        <v>-1.92652974300545</v>
      </c>
      <c r="AG4363">
        <v>-1.111641657197</v>
      </c>
      <c r="AH4363">
        <v>26.718043208468799</v>
      </c>
      <c r="AI4363">
        <v>92.376334627872694</v>
      </c>
      <c r="AJ4363">
        <v>94.124228530201094</v>
      </c>
      <c r="AK4363">
        <v>26.810466182338299</v>
      </c>
      <c r="AL4363">
        <v>80.143060512442105</v>
      </c>
      <c r="AM4363">
        <v>91.403293248008296</v>
      </c>
      <c r="AN4363">
        <v>1.0000000284684101</v>
      </c>
    </row>
    <row r="4364" spans="1:40" x14ac:dyDescent="0.25">
      <c r="A4364" t="str">
        <f>"20190312172458420"</f>
        <v>20190312172458420</v>
      </c>
      <c r="B4364" t="str">
        <f>"1552382698415300"</f>
        <v>1552382698415300</v>
      </c>
      <c r="C4364" t="s">
        <v>40</v>
      </c>
      <c r="D4364">
        <v>3.2908279999999999</v>
      </c>
      <c r="E4364">
        <v>0.48135470000000002</v>
      </c>
      <c r="F4364" t="s">
        <v>49</v>
      </c>
      <c r="G4364">
        <v>-317.3965</v>
      </c>
      <c r="H4364" s="1">
        <v>-6.5215909999999999E-6</v>
      </c>
      <c r="I4364">
        <v>139.61259999999999</v>
      </c>
      <c r="J4364">
        <v>-290.83580000000001</v>
      </c>
      <c r="K4364">
        <v>1.111637</v>
      </c>
      <c r="L4364">
        <v>142.05119999999999</v>
      </c>
      <c r="M4364">
        <v>-0.99976100000000001</v>
      </c>
      <c r="N4364">
        <v>0</v>
      </c>
      <c r="O4364">
        <v>-2.0022729999999999E-2</v>
      </c>
      <c r="P4364">
        <v>-0.98580259999999997</v>
      </c>
      <c r="Q4364">
        <v>0.16225709999999999</v>
      </c>
      <c r="R4364">
        <v>-4.3201400000000001E-2</v>
      </c>
      <c r="S4364">
        <v>-3.052368</v>
      </c>
      <c r="T4364">
        <v>-0.12564610000000001</v>
      </c>
      <c r="U4364">
        <v>-0.27671810000000002</v>
      </c>
      <c r="V4364">
        <v>-2.4382089999999999E-2</v>
      </c>
      <c r="W4364">
        <v>0.1707804</v>
      </c>
      <c r="X4364">
        <v>0.98500739999999998</v>
      </c>
      <c r="Y4364">
        <v>-7.0284600000000003E-2</v>
      </c>
      <c r="Z4364">
        <v>-6.2103479999999996E-4</v>
      </c>
      <c r="AA4364">
        <v>0.99752680000000005</v>
      </c>
      <c r="AB4364">
        <v>41</v>
      </c>
      <c r="AC4364">
        <v>-26.560700000000001</v>
      </c>
      <c r="AD4364">
        <v>-1.1116435215910001</v>
      </c>
      <c r="AE4364">
        <v>-2.4386000000000001</v>
      </c>
      <c r="AF4364">
        <v>-1.90296736920139</v>
      </c>
      <c r="AG4364">
        <v>-1.1116435215910001</v>
      </c>
      <c r="AH4364">
        <v>26.558072063325898</v>
      </c>
      <c r="AI4364">
        <v>92.390713134049307</v>
      </c>
      <c r="AJ4364">
        <v>94.098414043887601</v>
      </c>
      <c r="AK4364">
        <v>26.649356987517599</v>
      </c>
      <c r="AL4364">
        <v>80.166803796595104</v>
      </c>
      <c r="AM4364">
        <v>91.417964611846898</v>
      </c>
      <c r="AN4364">
        <v>1.0000000046958399</v>
      </c>
    </row>
    <row r="4365" spans="1:40" x14ac:dyDescent="0.25">
      <c r="A4365" t="str">
        <f>"20190312172458441"</f>
        <v>20190312172458441</v>
      </c>
      <c r="B4365" t="str">
        <f>"1552382698434819"</f>
        <v>1552382698434819</v>
      </c>
      <c r="C4365" t="s">
        <v>40</v>
      </c>
      <c r="D4365">
        <v>3.3063959999999999</v>
      </c>
      <c r="E4365">
        <v>0.48165330000000001</v>
      </c>
      <c r="F4365" t="s">
        <v>49</v>
      </c>
      <c r="G4365">
        <v>-317.69069999999999</v>
      </c>
      <c r="H4365" s="1">
        <v>-6.3796419999999998E-6</v>
      </c>
      <c r="I4365">
        <v>139.57669999999999</v>
      </c>
      <c r="J4365">
        <v>-291.24930000000001</v>
      </c>
      <c r="K4365">
        <v>1.1116509999999999</v>
      </c>
      <c r="L4365">
        <v>142.04140000000001</v>
      </c>
      <c r="M4365">
        <v>-0.99971739999999998</v>
      </c>
      <c r="N4365">
        <v>0</v>
      </c>
      <c r="O4365">
        <v>-2.2085830000000001E-2</v>
      </c>
      <c r="P4365">
        <v>-0.98572570000000004</v>
      </c>
      <c r="Q4365">
        <v>0.16210669999999999</v>
      </c>
      <c r="R4365">
        <v>-4.5458699999999998E-2</v>
      </c>
      <c r="S4365">
        <v>-3.051666</v>
      </c>
      <c r="T4365">
        <v>-0.1263223</v>
      </c>
      <c r="U4365">
        <v>-0.28118900000000002</v>
      </c>
      <c r="V4365">
        <v>-2.4607199999999999E-2</v>
      </c>
      <c r="W4365">
        <v>0.17064089999999901</v>
      </c>
      <c r="X4365">
        <v>0.98502599999999996</v>
      </c>
      <c r="Y4365">
        <v>-6.9697780000000001E-2</v>
      </c>
      <c r="Z4365">
        <v>-5.2723150000000003E-4</v>
      </c>
      <c r="AA4365">
        <v>0.99756800000000001</v>
      </c>
      <c r="AB4365">
        <v>41</v>
      </c>
      <c r="AC4365">
        <v>-26.441399999999899</v>
      </c>
      <c r="AD4365">
        <v>-1.111657379642</v>
      </c>
      <c r="AE4365">
        <v>-2.4647000000000201</v>
      </c>
      <c r="AF4365">
        <v>-1.8768071267170701</v>
      </c>
      <c r="AG4365">
        <v>-1.111657379642</v>
      </c>
      <c r="AH4365">
        <v>26.443049978159099</v>
      </c>
      <c r="AI4365">
        <v>92.401245334664907</v>
      </c>
      <c r="AJ4365">
        <v>94.059785263105098</v>
      </c>
      <c r="AK4365">
        <v>26.5328679050725</v>
      </c>
      <c r="AL4365">
        <v>80.174915839759606</v>
      </c>
      <c r="AM4365">
        <v>91.431023677096803</v>
      </c>
      <c r="AN4365">
        <v>1.0000000258603201</v>
      </c>
    </row>
    <row r="4366" spans="1:40" x14ac:dyDescent="0.25">
      <c r="A4366" t="str">
        <f>"20190312172458463"</f>
        <v>20190312172458463</v>
      </c>
      <c r="B4366" t="str">
        <f>"1552382698454343"</f>
        <v>1552382698454343</v>
      </c>
      <c r="C4366" t="s">
        <v>40</v>
      </c>
      <c r="D4366">
        <v>3.3143899999999999</v>
      </c>
      <c r="E4366">
        <v>0.48191529999999999</v>
      </c>
      <c r="F4366" t="s">
        <v>49</v>
      </c>
      <c r="G4366">
        <v>-318.12310000000002</v>
      </c>
      <c r="H4366" s="1">
        <v>-6.1706510000000002E-6</v>
      </c>
      <c r="I4366">
        <v>139.52279999999999</v>
      </c>
      <c r="J4366">
        <v>-291.65589999999997</v>
      </c>
      <c r="K4366">
        <v>1.1116569999999999</v>
      </c>
      <c r="L4366">
        <v>142.0308</v>
      </c>
      <c r="M4366">
        <v>-0.99967059999999996</v>
      </c>
      <c r="N4366">
        <v>0</v>
      </c>
      <c r="O4366">
        <v>-2.4113639999999999E-2</v>
      </c>
      <c r="P4366">
        <v>-0.98552700000000004</v>
      </c>
      <c r="Q4366">
        <v>0.16281180000000001</v>
      </c>
      <c r="R4366">
        <v>-4.7212289999999997E-2</v>
      </c>
      <c r="S4366">
        <v>-3.0509949999999999</v>
      </c>
      <c r="T4366">
        <v>-0.12620689999999901</v>
      </c>
      <c r="U4366">
        <v>-0.28593439999999998</v>
      </c>
      <c r="V4366">
        <v>-2.4370679999999999E-2</v>
      </c>
      <c r="W4366">
        <v>0.17135819999999999</v>
      </c>
      <c r="X4366">
        <v>0.98490730000000004</v>
      </c>
      <c r="Y4366">
        <v>-6.9234840000000006E-2</v>
      </c>
      <c r="Z4366">
        <v>-4.3367770000000001E-4</v>
      </c>
      <c r="AA4366">
        <v>0.9976003</v>
      </c>
      <c r="AB4366">
        <v>41</v>
      </c>
      <c r="AC4366">
        <v>-26.467199999999998</v>
      </c>
      <c r="AD4366">
        <v>-1.1116631706509901</v>
      </c>
      <c r="AE4366">
        <v>-2.508</v>
      </c>
      <c r="AF4366">
        <v>-1.86576334395399</v>
      </c>
      <c r="AG4366">
        <v>-1.1116631706509901</v>
      </c>
      <c r="AH4366">
        <v>26.473695321934599</v>
      </c>
      <c r="AI4366">
        <v>92.398565619269405</v>
      </c>
      <c r="AJ4366">
        <v>94.031318719931704</v>
      </c>
      <c r="AK4366">
        <v>26.562631869964399</v>
      </c>
      <c r="AL4366">
        <v>80.133202700979197</v>
      </c>
      <c r="AM4366">
        <v>91.417445309846002</v>
      </c>
      <c r="AN4366">
        <v>0.99999997617209502</v>
      </c>
    </row>
    <row r="4367" spans="1:40" x14ac:dyDescent="0.25">
      <c r="A4367" t="str">
        <f>"20190312172458485"</f>
        <v>20190312172458485</v>
      </c>
      <c r="B4367" t="str">
        <f>"1552382698474836"</f>
        <v>1552382698474836</v>
      </c>
      <c r="C4367" t="s">
        <v>40</v>
      </c>
      <c r="D4367">
        <v>3.3046000000000002</v>
      </c>
      <c r="E4367">
        <v>0.48223339999999998</v>
      </c>
      <c r="F4367" t="s">
        <v>49</v>
      </c>
      <c r="G4367">
        <v>-318.85730000000001</v>
      </c>
      <c r="H4367" s="1">
        <v>-5.8220460000000003E-6</v>
      </c>
      <c r="I4367">
        <v>139.45089999999999</v>
      </c>
      <c r="J4367">
        <v>-292.06220000000002</v>
      </c>
      <c r="K4367">
        <v>1.1116600000000001</v>
      </c>
      <c r="L4367">
        <v>142.01949999999999</v>
      </c>
      <c r="M4367">
        <v>-0.9996197</v>
      </c>
      <c r="N4367">
        <v>0</v>
      </c>
      <c r="O4367">
        <v>-2.6135809999999999E-2</v>
      </c>
      <c r="P4367">
        <v>-0.98541259999999997</v>
      </c>
      <c r="Q4367">
        <v>0.16297629999999999</v>
      </c>
      <c r="R4367">
        <v>-4.9001080000000002E-2</v>
      </c>
      <c r="S4367">
        <v>-3.0507810000000002</v>
      </c>
      <c r="T4367">
        <v>-0.1246786</v>
      </c>
      <c r="U4367">
        <v>-0.28935240000000001</v>
      </c>
      <c r="V4367">
        <v>-2.4169860000000001E-2</v>
      </c>
      <c r="W4367">
        <v>0.17153489999999999</v>
      </c>
      <c r="X4367">
        <v>0.98488149999999997</v>
      </c>
      <c r="Y4367">
        <v>-6.8334420000000007E-2</v>
      </c>
      <c r="Z4367">
        <v>-3.2773360000000002E-4</v>
      </c>
      <c r="AA4367">
        <v>0.99766239999999995</v>
      </c>
      <c r="AB4367">
        <v>41</v>
      </c>
      <c r="AC4367">
        <v>-26.795099999999898</v>
      </c>
      <c r="AD4367">
        <v>-1.1116658220460001</v>
      </c>
      <c r="AE4367">
        <v>-2.5686</v>
      </c>
      <c r="AF4367">
        <v>-1.86420426615696</v>
      </c>
      <c r="AG4367">
        <v>-1.1116658220460001</v>
      </c>
      <c r="AH4367">
        <v>26.807359799981398</v>
      </c>
      <c r="AI4367">
        <v>92.368905323814204</v>
      </c>
      <c r="AJ4367">
        <v>93.977988089563993</v>
      </c>
      <c r="AK4367">
        <v>26.895085013651101</v>
      </c>
      <c r="AL4367">
        <v>80.1229264828212</v>
      </c>
      <c r="AM4367">
        <v>91.405806752161496</v>
      </c>
      <c r="AN4367">
        <v>0.99999998654633904</v>
      </c>
    </row>
    <row r="4368" spans="1:40" x14ac:dyDescent="0.25">
      <c r="A4368" t="str">
        <f>"20190312172458508"</f>
        <v>20190312172458508</v>
      </c>
      <c r="B4368" t="str">
        <f>"1552382698505092"</f>
        <v>1552382698505092</v>
      </c>
      <c r="C4368" t="s">
        <v>40</v>
      </c>
      <c r="D4368">
        <v>3.3470520000000001</v>
      </c>
      <c r="E4368">
        <v>0.48259760000000002</v>
      </c>
      <c r="F4368" t="s">
        <v>49</v>
      </c>
      <c r="G4368">
        <v>-319.22879999999998</v>
      </c>
      <c r="H4368" s="1">
        <v>-5.6452020000000002E-6</v>
      </c>
      <c r="I4368">
        <v>139.41309999999999</v>
      </c>
      <c r="J4368">
        <v>-292.46910000000003</v>
      </c>
      <c r="K4368">
        <v>1.1116600000000001</v>
      </c>
      <c r="L4368">
        <v>142.00729999999999</v>
      </c>
      <c r="M4368">
        <v>-0.99956469999999997</v>
      </c>
      <c r="N4368">
        <v>0</v>
      </c>
      <c r="O4368">
        <v>-2.8154740000000001E-2</v>
      </c>
      <c r="P4368">
        <v>-0.98538610000000004</v>
      </c>
      <c r="Q4368">
        <v>0.1627586</v>
      </c>
      <c r="R4368">
        <v>-5.0239569999999997E-2</v>
      </c>
      <c r="S4368">
        <v>-3.0504760000000002</v>
      </c>
      <c r="T4368">
        <v>-0.1248262</v>
      </c>
      <c r="U4368">
        <v>-0.29266360000000002</v>
      </c>
      <c r="V4368">
        <v>-2.3416470000000002E-2</v>
      </c>
      <c r="W4368">
        <v>0.17133380000000001</v>
      </c>
      <c r="X4368">
        <v>0.98493470000000005</v>
      </c>
      <c r="Y4368">
        <v>-6.7404259999999994E-2</v>
      </c>
      <c r="Z4368">
        <v>-2.2684269999999999E-4</v>
      </c>
      <c r="AA4368">
        <v>0.99772570000000005</v>
      </c>
      <c r="AB4368">
        <v>41</v>
      </c>
      <c r="AC4368">
        <v>-26.759699999999899</v>
      </c>
      <c r="AD4368">
        <v>-1.111665645202</v>
      </c>
      <c r="AE4368">
        <v>-2.5941999999999998</v>
      </c>
      <c r="AF4368">
        <v>-1.8365898005434</v>
      </c>
      <c r="AG4368">
        <v>-1.111665645202</v>
      </c>
      <c r="AH4368">
        <v>26.776352977900299</v>
      </c>
      <c r="AI4368">
        <v>92.371799815479505</v>
      </c>
      <c r="AJ4368">
        <v>93.923771440893901</v>
      </c>
      <c r="AK4368">
        <v>26.862277293619201</v>
      </c>
      <c r="AL4368">
        <v>80.134621768599899</v>
      </c>
      <c r="AM4368">
        <v>91.361930088453406</v>
      </c>
      <c r="AN4368">
        <v>0.99999998267689505</v>
      </c>
    </row>
    <row r="4369" spans="1:40" x14ac:dyDescent="0.25">
      <c r="A4369" t="str">
        <f>"20190312172458529"</f>
        <v>20190312172458529</v>
      </c>
      <c r="B4369" t="str">
        <f>"1552382698524612"</f>
        <v>1552382698524612</v>
      </c>
      <c r="C4369" t="s">
        <v>40</v>
      </c>
      <c r="D4369">
        <v>3.295004</v>
      </c>
      <c r="E4369">
        <v>0.4827901</v>
      </c>
      <c r="F4369" t="s">
        <v>49</v>
      </c>
      <c r="G4369">
        <v>-319.18900000000002</v>
      </c>
      <c r="H4369" s="1">
        <v>-5.6697839999999999E-6</v>
      </c>
      <c r="I4369">
        <v>139.43469999999999</v>
      </c>
      <c r="J4369">
        <v>-292.88130000000001</v>
      </c>
      <c r="K4369">
        <v>1.111661</v>
      </c>
      <c r="L4369">
        <v>141.9941</v>
      </c>
      <c r="M4369">
        <v>-0.99950510000000004</v>
      </c>
      <c r="N4369">
        <v>0</v>
      </c>
      <c r="O4369">
        <v>-3.0188989999999999E-2</v>
      </c>
      <c r="P4369">
        <v>-0.98527370000000003</v>
      </c>
      <c r="Q4369">
        <v>0.16286429999999999</v>
      </c>
      <c r="R4369">
        <v>-5.2070289999999998E-2</v>
      </c>
      <c r="S4369">
        <v>-3.0504760000000002</v>
      </c>
      <c r="T4369">
        <v>-0.12691330000000001</v>
      </c>
      <c r="U4369">
        <v>-0.2937012</v>
      </c>
      <c r="V4369">
        <v>-2.324267E-2</v>
      </c>
      <c r="W4369">
        <v>0.17145270000000001</v>
      </c>
      <c r="X4369">
        <v>0.98491819999999997</v>
      </c>
      <c r="Y4369">
        <v>-6.5711950000000005E-2</v>
      </c>
      <c r="Z4369">
        <v>-1.112024E-4</v>
      </c>
      <c r="AA4369">
        <v>0.99783860000000002</v>
      </c>
      <c r="AB4369">
        <v>41</v>
      </c>
      <c r="AC4369">
        <v>-26.307700000000001</v>
      </c>
      <c r="AD4369">
        <v>-1.1116666697840001</v>
      </c>
      <c r="AE4369">
        <v>-2.5594000000000099</v>
      </c>
      <c r="AF4369">
        <v>-1.7608846670948901</v>
      </c>
      <c r="AG4369">
        <v>-1.1116666697840001</v>
      </c>
      <c r="AH4369">
        <v>26.3264093583836</v>
      </c>
      <c r="AI4369">
        <v>92.412567642674304</v>
      </c>
      <c r="AJ4369">
        <v>93.826621563945096</v>
      </c>
      <c r="AK4369">
        <v>26.408641526983299</v>
      </c>
      <c r="AL4369">
        <v>80.127707704888806</v>
      </c>
      <c r="AM4369">
        <v>91.351848074418498</v>
      </c>
      <c r="AN4369">
        <v>1.0000000553686199</v>
      </c>
    </row>
    <row r="4370" spans="1:40" x14ac:dyDescent="0.25">
      <c r="A4370" t="str">
        <f>"20190312172458552"</f>
        <v>20190312172458552</v>
      </c>
      <c r="B4370" t="str">
        <f>"1552382698545108"</f>
        <v>1552382698545108</v>
      </c>
      <c r="C4370" t="s">
        <v>40</v>
      </c>
      <c r="D4370">
        <v>3.3458879999999902</v>
      </c>
      <c r="E4370">
        <v>0.48304380000000002</v>
      </c>
      <c r="F4370" t="s">
        <v>49</v>
      </c>
      <c r="G4370">
        <v>-319.50450000000001</v>
      </c>
      <c r="H4370" s="1">
        <v>-5.5168009999999997E-6</v>
      </c>
      <c r="I4370">
        <v>139.3938</v>
      </c>
      <c r="J4370">
        <v>-293.322</v>
      </c>
      <c r="K4370">
        <v>1.11165</v>
      </c>
      <c r="L4370">
        <v>141.97919999999999</v>
      </c>
      <c r="M4370">
        <v>-0.99943760000000004</v>
      </c>
      <c r="N4370">
        <v>0</v>
      </c>
      <c r="O4370">
        <v>-3.2345209999999999E-2</v>
      </c>
      <c r="P4370">
        <v>-0.98530220000000002</v>
      </c>
      <c r="Q4370">
        <v>0.1621137</v>
      </c>
      <c r="R4370">
        <v>-5.3842800000000003E-2</v>
      </c>
      <c r="S4370">
        <v>-3.0501399999999999</v>
      </c>
      <c r="T4370">
        <v>-0.12736059999999999</v>
      </c>
      <c r="U4370">
        <v>-0.29791260000000003</v>
      </c>
      <c r="V4370">
        <v>-2.287931E-2</v>
      </c>
      <c r="W4370">
        <v>0.17071789999999901</v>
      </c>
      <c r="X4370">
        <v>0.98505430000000005</v>
      </c>
      <c r="Y4370">
        <v>-6.4936939999999999E-2</v>
      </c>
      <c r="Z4370" s="1">
        <v>-5.7856089999999998E-6</v>
      </c>
      <c r="AA4370">
        <v>0.99788940000000004</v>
      </c>
      <c r="AB4370">
        <v>42</v>
      </c>
      <c r="AC4370">
        <v>-26.182500000000001</v>
      </c>
      <c r="AD4370">
        <v>-1.1116555168009901</v>
      </c>
      <c r="AE4370">
        <v>-2.5853999999999902</v>
      </c>
      <c r="AF4370">
        <v>-1.73403976480397</v>
      </c>
      <c r="AG4370">
        <v>-1.1116555168009901</v>
      </c>
      <c r="AH4370">
        <v>26.2056435220235</v>
      </c>
      <c r="AI4370">
        <v>92.423763012272801</v>
      </c>
      <c r="AJ4370">
        <v>93.785769761430601</v>
      </c>
      <c r="AK4370">
        <v>26.286468463780601</v>
      </c>
      <c r="AL4370">
        <v>80.170438297819999</v>
      </c>
      <c r="AM4370">
        <v>91.330538073063394</v>
      </c>
      <c r="AN4370">
        <v>1.00000001907748</v>
      </c>
    </row>
    <row r="4371" spans="1:40" x14ac:dyDescent="0.25">
      <c r="A4371" t="str">
        <f>"20190312172458586"</f>
        <v>20190312172458586</v>
      </c>
      <c r="B4371" t="str">
        <f>"1552382698574388"</f>
        <v>1552382698574388</v>
      </c>
      <c r="C4371" t="s">
        <v>40</v>
      </c>
      <c r="D4371">
        <v>3.3698839999999901</v>
      </c>
      <c r="E4371">
        <v>0.50026729999999997</v>
      </c>
      <c r="F4371" t="s">
        <v>49</v>
      </c>
      <c r="G4371">
        <v>-319.36009999999999</v>
      </c>
      <c r="H4371" s="1">
        <v>-5.5845039999999998E-6</v>
      </c>
      <c r="I4371">
        <v>139.40530000000001</v>
      </c>
      <c r="J4371">
        <v>-293.9203</v>
      </c>
      <c r="K4371">
        <v>1.1116250000000001</v>
      </c>
      <c r="L4371">
        <v>141.95740000000001</v>
      </c>
      <c r="M4371">
        <v>-0.99934020000000001</v>
      </c>
      <c r="N4371">
        <v>0</v>
      </c>
      <c r="O4371">
        <v>-3.522434E-2</v>
      </c>
      <c r="P4371">
        <v>-0.98532580000000003</v>
      </c>
      <c r="Q4371">
        <v>0.16110839999999901</v>
      </c>
      <c r="R4371">
        <v>-5.6369509999999998E-2</v>
      </c>
      <c r="S4371">
        <v>-3.0497740000000002</v>
      </c>
      <c r="T4371">
        <v>-0.1302054</v>
      </c>
      <c r="U4371">
        <v>-0.30146790000000001</v>
      </c>
      <c r="V4371">
        <v>-2.25483E-2</v>
      </c>
      <c r="W4371">
        <v>0.169734</v>
      </c>
      <c r="X4371">
        <v>0.98523190000000005</v>
      </c>
      <c r="Y4371">
        <v>-6.3228640000000003E-2</v>
      </c>
      <c r="Z4371">
        <v>1.5285609999999999E-4</v>
      </c>
      <c r="AA4371">
        <v>0.99799910000000003</v>
      </c>
      <c r="AB4371">
        <v>42</v>
      </c>
      <c r="AC4371">
        <v>-25.439799999999899</v>
      </c>
      <c r="AD4371">
        <v>-1.111630584504</v>
      </c>
      <c r="AE4371">
        <v>-2.55209999999999</v>
      </c>
      <c r="AF4371">
        <v>-1.6512593453241</v>
      </c>
      <c r="AG4371">
        <v>-1.111630584504</v>
      </c>
      <c r="AH4371">
        <v>25.465771658734901</v>
      </c>
      <c r="AI4371">
        <v>92.494254269102498</v>
      </c>
      <c r="AJ4371">
        <v>93.709996664514307</v>
      </c>
      <c r="AK4371">
        <v>25.5434513360421</v>
      </c>
      <c r="AL4371">
        <v>80.227646149827805</v>
      </c>
      <c r="AM4371">
        <v>91.311058781282796</v>
      </c>
      <c r="AN4371">
        <v>0.99999997668324903</v>
      </c>
    </row>
    <row r="4372" spans="1:40" x14ac:dyDescent="0.25">
      <c r="A4372" t="str">
        <f>"20190312172458607"</f>
        <v>20190312172458607</v>
      </c>
      <c r="B4372" t="str">
        <f>"1552382698604644"</f>
        <v>1552382698604644</v>
      </c>
      <c r="C4372" t="s">
        <v>40</v>
      </c>
      <c r="D4372">
        <v>3.4071989999999999</v>
      </c>
      <c r="E4372">
        <v>0.50831599999999999</v>
      </c>
      <c r="F4372" t="s">
        <v>49</v>
      </c>
      <c r="G4372">
        <v>-318.9889</v>
      </c>
      <c r="H4372" s="1">
        <v>-6.0624380000000004E-6</v>
      </c>
      <c r="I4372">
        <v>140.54750000000001</v>
      </c>
      <c r="J4372">
        <v>-294.32900000000001</v>
      </c>
      <c r="K4372">
        <v>1.1115969999999999</v>
      </c>
      <c r="L4372">
        <v>141.94149999999999</v>
      </c>
      <c r="M4372">
        <v>-0.9992704</v>
      </c>
      <c r="N4372">
        <v>0</v>
      </c>
      <c r="O4372">
        <v>-3.7146749999999999E-2</v>
      </c>
      <c r="P4372">
        <v>-0.98525410000000002</v>
      </c>
      <c r="Q4372">
        <v>0.16111719999999999</v>
      </c>
      <c r="R4372">
        <v>-5.7584589999999998E-2</v>
      </c>
      <c r="S4372">
        <v>-3.0570369999999998</v>
      </c>
      <c r="T4372">
        <v>-0.13556019999999999</v>
      </c>
      <c r="U4372">
        <v>-0.17193599999999901</v>
      </c>
      <c r="V4372">
        <v>-2.185807E-2</v>
      </c>
      <c r="W4372">
        <v>0.169758399999999</v>
      </c>
      <c r="X4372">
        <v>0.98524330000000004</v>
      </c>
      <c r="Y4372">
        <v>-1.9043319999999999E-2</v>
      </c>
      <c r="Z4372">
        <v>1.2227819999999999E-3</v>
      </c>
      <c r="AA4372">
        <v>0.99981790000000004</v>
      </c>
      <c r="AB4372">
        <v>42</v>
      </c>
      <c r="AC4372">
        <v>-24.6599</v>
      </c>
      <c r="AD4372">
        <v>-1.111603062438</v>
      </c>
      <c r="AE4372">
        <v>-1.3939999999999699</v>
      </c>
      <c r="AF4372">
        <v>-0.47600244618547</v>
      </c>
      <c r="AG4372">
        <v>-1.111603062438</v>
      </c>
      <c r="AH4372">
        <v>24.644745711752599</v>
      </c>
      <c r="AI4372">
        <v>92.582098961588997</v>
      </c>
      <c r="AJ4372">
        <v>91.106505251567697</v>
      </c>
      <c r="AK4372">
        <v>24.674394235606702</v>
      </c>
      <c r="AL4372">
        <v>80.226228021557603</v>
      </c>
      <c r="AM4372">
        <v>91.270924399374493</v>
      </c>
      <c r="AN4372">
        <v>1.00000002489478</v>
      </c>
    </row>
    <row r="4373" spans="1:40" x14ac:dyDescent="0.25">
      <c r="A4373" t="str">
        <f>"20190312172458630"</f>
        <v>20190312172458630</v>
      </c>
      <c r="B4373" t="str">
        <f>"1552382698625140"</f>
        <v>1552382698625140</v>
      </c>
      <c r="C4373" t="s">
        <v>40</v>
      </c>
      <c r="D4373">
        <v>3.4980950000000002</v>
      </c>
      <c r="E4373">
        <v>0.51057299999999906</v>
      </c>
      <c r="F4373" t="s">
        <v>43</v>
      </c>
      <c r="G4373">
        <v>-323.40640000000002</v>
      </c>
      <c r="H4373" s="1">
        <v>-3.1467100000000002E-6</v>
      </c>
      <c r="I4373">
        <v>140.8784</v>
      </c>
      <c r="J4373">
        <v>-294.76850000000002</v>
      </c>
      <c r="K4373">
        <v>1.1115619999999999</v>
      </c>
      <c r="L4373">
        <v>141.9237</v>
      </c>
      <c r="M4373">
        <v>-0.99919309999999995</v>
      </c>
      <c r="N4373">
        <v>0</v>
      </c>
      <c r="O4373">
        <v>-3.9169759999999998E-2</v>
      </c>
      <c r="P4373">
        <v>-0.98514040000000003</v>
      </c>
      <c r="Q4373">
        <v>0.16128399999999901</v>
      </c>
      <c r="R4373">
        <v>-5.9044359999999997E-2</v>
      </c>
      <c r="S4373">
        <v>-3.0574650000000001</v>
      </c>
      <c r="T4373">
        <v>-0.1168841</v>
      </c>
      <c r="U4373">
        <v>-0.11178589999999999</v>
      </c>
      <c r="V4373">
        <v>-2.1312879999999999E-2</v>
      </c>
      <c r="W4373">
        <v>0.16994119999999999</v>
      </c>
      <c r="X4373">
        <v>0.98522370000000004</v>
      </c>
      <c r="Y4373">
        <v>2.6055200000000001E-3</v>
      </c>
      <c r="Z4373">
        <v>1.5456510000000001E-3</v>
      </c>
      <c r="AA4373">
        <v>0.99999539999999998</v>
      </c>
      <c r="AB4373">
        <v>42</v>
      </c>
      <c r="AC4373">
        <v>-28.637899999999998</v>
      </c>
      <c r="AD4373">
        <v>-1.1115651467100001</v>
      </c>
      <c r="AE4373">
        <v>-1.0452999999999899</v>
      </c>
      <c r="AF4373">
        <v>7.7170063724810195E-2</v>
      </c>
      <c r="AG4373">
        <v>-1.1115651467100001</v>
      </c>
      <c r="AH4373">
        <v>28.613815281437201</v>
      </c>
      <c r="AI4373">
        <v>92.224650975036198</v>
      </c>
      <c r="AJ4373">
        <v>89.845476452800696</v>
      </c>
      <c r="AK4373">
        <v>28.6355016937774</v>
      </c>
      <c r="AL4373">
        <v>80.215599628113594</v>
      </c>
      <c r="AM4373">
        <v>91.2392593102593</v>
      </c>
      <c r="AN4373">
        <v>0.99999999467651202</v>
      </c>
    </row>
    <row r="4374" spans="1:40" x14ac:dyDescent="0.25">
      <c r="A4374" t="str">
        <f>"20190312172458653"</f>
        <v>20190312172458653</v>
      </c>
      <c r="B4374" t="str">
        <f>"1552382698644660"</f>
        <v>1552382698644660</v>
      </c>
      <c r="C4374" t="s">
        <v>40</v>
      </c>
      <c r="D4374">
        <v>3.4421059999999999</v>
      </c>
      <c r="E4374">
        <v>0.51169909999999996</v>
      </c>
      <c r="F4374" t="s">
        <v>43</v>
      </c>
      <c r="G4374">
        <v>-325.7029</v>
      </c>
      <c r="H4374" s="1">
        <v>-2.1741410000000001E-6</v>
      </c>
      <c r="I4374">
        <v>140.9256</v>
      </c>
      <c r="J4374">
        <v>-295.18119999999999</v>
      </c>
      <c r="K4374">
        <v>1.111523</v>
      </c>
      <c r="L4374">
        <v>141.90610000000001</v>
      </c>
      <c r="M4374">
        <v>-0.99911899999999998</v>
      </c>
      <c r="N4374">
        <v>0</v>
      </c>
      <c r="O4374">
        <v>-4.1011550000000001E-2</v>
      </c>
      <c r="P4374">
        <v>-0.98509849999999999</v>
      </c>
      <c r="Q4374">
        <v>0.16123189999999901</v>
      </c>
      <c r="R4374">
        <v>-5.9878540000000001E-2</v>
      </c>
      <c r="S4374">
        <v>-3.057312</v>
      </c>
      <c r="T4374">
        <v>-0.1098585</v>
      </c>
      <c r="U4374">
        <v>-9.8632810000000001E-2</v>
      </c>
      <c r="V4374">
        <v>-2.0313749999999998E-2</v>
      </c>
      <c r="W4374">
        <v>0.1699069</v>
      </c>
      <c r="X4374">
        <v>0.98525070000000003</v>
      </c>
      <c r="Y4374">
        <v>8.7424169999999902E-3</v>
      </c>
      <c r="Z4374">
        <v>1.6292959999999999E-3</v>
      </c>
      <c r="AA4374">
        <v>0.99996050000000003</v>
      </c>
      <c r="AB4374">
        <v>42</v>
      </c>
      <c r="AC4374">
        <v>-30.521699999999999</v>
      </c>
      <c r="AD4374">
        <v>-1.1115251741409999</v>
      </c>
      <c r="AE4374">
        <v>-0.98050000000000603</v>
      </c>
      <c r="AF4374">
        <v>0.27175679022698401</v>
      </c>
      <c r="AG4374">
        <v>-1.1115251741409999</v>
      </c>
      <c r="AH4374">
        <v>30.495829631024201</v>
      </c>
      <c r="AI4374">
        <v>92.08733448033</v>
      </c>
      <c r="AJ4374">
        <v>89.489434942875903</v>
      </c>
      <c r="AK4374">
        <v>30.5172896052424</v>
      </c>
      <c r="AL4374">
        <v>80.217593656093499</v>
      </c>
      <c r="AM4374">
        <v>91.181148372988801</v>
      </c>
      <c r="AN4374">
        <v>0.99999997247857997</v>
      </c>
    </row>
    <row r="4375" spans="1:40" x14ac:dyDescent="0.25">
      <c r="A4375" t="str">
        <f>"20190312172458674"</f>
        <v>20190312172458674</v>
      </c>
      <c r="B4375" t="str">
        <f>"1552382698665156"</f>
        <v>1552382698665156</v>
      </c>
      <c r="C4375" t="s">
        <v>40</v>
      </c>
      <c r="D4375">
        <v>3.3978570000000001</v>
      </c>
      <c r="E4375">
        <v>0.51245309999999999</v>
      </c>
      <c r="F4375" t="s">
        <v>43</v>
      </c>
      <c r="G4375">
        <v>-327.14269999999999</v>
      </c>
      <c r="H4375" s="1">
        <v>-1.5605619999999999E-6</v>
      </c>
      <c r="I4375">
        <v>140.94110000000001</v>
      </c>
      <c r="J4375">
        <v>-295.58780000000002</v>
      </c>
      <c r="K4375">
        <v>1.1114809999999999</v>
      </c>
      <c r="L4375">
        <v>141.88820000000001</v>
      </c>
      <c r="M4375">
        <v>-0.99904599999999999</v>
      </c>
      <c r="N4375">
        <v>0</v>
      </c>
      <c r="O4375">
        <v>-4.2753590000000001E-2</v>
      </c>
      <c r="P4375">
        <v>-0.98504360000000002</v>
      </c>
      <c r="Q4375">
        <v>0.16137099999999999</v>
      </c>
      <c r="R4375">
        <v>-6.0406649999999999E-2</v>
      </c>
      <c r="S4375">
        <v>-3.057159</v>
      </c>
      <c r="T4375">
        <v>-0.1063188</v>
      </c>
      <c r="U4375">
        <v>-9.2300419999999994E-2</v>
      </c>
      <c r="V4375">
        <v>-1.9103930000000002E-2</v>
      </c>
      <c r="W4375">
        <v>0.17006479999999999</v>
      </c>
      <c r="X4375">
        <v>0.98524769999999995</v>
      </c>
      <c r="Y4375">
        <v>1.2552209999999999E-2</v>
      </c>
      <c r="Z4375">
        <v>1.703682E-3</v>
      </c>
      <c r="AA4375">
        <v>0.99991980000000003</v>
      </c>
      <c r="AB4375">
        <v>42</v>
      </c>
      <c r="AC4375">
        <v>-31.5548999999999</v>
      </c>
      <c r="AD4375">
        <v>-1.111482560562</v>
      </c>
      <c r="AE4375">
        <v>-0.94710000000000505</v>
      </c>
      <c r="AF4375">
        <v>0.40240592864202102</v>
      </c>
      <c r="AG4375">
        <v>-1.111482560562</v>
      </c>
      <c r="AH4375">
        <v>31.527457580870099</v>
      </c>
      <c r="AI4375">
        <v>92.018929547059699</v>
      </c>
      <c r="AJ4375">
        <v>89.268735533459406</v>
      </c>
      <c r="AK4375">
        <v>31.549610227820601</v>
      </c>
      <c r="AL4375">
        <v>80.2084134463244</v>
      </c>
      <c r="AM4375">
        <v>91.110824634129798</v>
      </c>
      <c r="AN4375">
        <v>1.0000000133478799</v>
      </c>
    </row>
    <row r="4376" spans="1:40" x14ac:dyDescent="0.25">
      <c r="A4376" t="str">
        <f>"20190312172458697"</f>
        <v>20190312172458697</v>
      </c>
      <c r="B4376" t="str">
        <f>"1552382698684676"</f>
        <v>1552382698684676</v>
      </c>
      <c r="C4376" t="s">
        <v>40</v>
      </c>
      <c r="D4376">
        <v>3.414069</v>
      </c>
      <c r="E4376">
        <v>0.51311839999999997</v>
      </c>
      <c r="F4376" t="s">
        <v>43</v>
      </c>
      <c r="G4376">
        <v>-328.01929999999999</v>
      </c>
      <c r="H4376" s="1">
        <v>-1.1879169999999999E-6</v>
      </c>
      <c r="I4376">
        <v>140.9538</v>
      </c>
      <c r="J4376">
        <v>-295.99889999999999</v>
      </c>
      <c r="K4376">
        <v>1.111418</v>
      </c>
      <c r="L4376">
        <v>141.86930000000001</v>
      </c>
      <c r="M4376">
        <v>-0.99897290000000005</v>
      </c>
      <c r="N4376">
        <v>0</v>
      </c>
      <c r="O4376">
        <v>-4.442165E-2</v>
      </c>
      <c r="P4376">
        <v>-0.98506150000000003</v>
      </c>
      <c r="Q4376">
        <v>0.1611368</v>
      </c>
      <c r="R4376">
        <v>-6.0734150000000001E-2</v>
      </c>
      <c r="S4376">
        <v>-3.057312</v>
      </c>
      <c r="T4376">
        <v>-0.1047797</v>
      </c>
      <c r="U4376">
        <v>-8.8073730000000003E-2</v>
      </c>
      <c r="V4376">
        <v>-1.7753890000000001E-2</v>
      </c>
      <c r="W4376">
        <v>0.16985149999999999</v>
      </c>
      <c r="X4376">
        <v>0.98530969999999996</v>
      </c>
      <c r="Y4376">
        <v>1.5602619999999999E-2</v>
      </c>
      <c r="Z4376">
        <v>1.7883230000000001E-3</v>
      </c>
      <c r="AA4376">
        <v>0.99987669999999995</v>
      </c>
      <c r="AB4376">
        <v>42</v>
      </c>
      <c r="AC4376">
        <v>-32.020399999999903</v>
      </c>
      <c r="AD4376">
        <v>-1.1114191879169999</v>
      </c>
      <c r="AE4376">
        <v>-0.91550000000000797</v>
      </c>
      <c r="AF4376">
        <v>0.50724897490994303</v>
      </c>
      <c r="AG4376">
        <v>-1.1114191879169999</v>
      </c>
      <c r="AH4376">
        <v>31.990948773610299</v>
      </c>
      <c r="AI4376">
        <v>91.989501275264402</v>
      </c>
      <c r="AJ4376">
        <v>89.091593363757795</v>
      </c>
      <c r="AK4376">
        <v>32.014268031138499</v>
      </c>
      <c r="AL4376">
        <v>80.220814623558894</v>
      </c>
      <c r="AM4376">
        <v>91.032277365460502</v>
      </c>
      <c r="AN4376">
        <v>0.99999996878823505</v>
      </c>
    </row>
    <row r="4377" spans="1:40" x14ac:dyDescent="0.25">
      <c r="A4377" t="str">
        <f>"20190312172458718"</f>
        <v>20190312172458718</v>
      </c>
      <c r="B4377" t="str">
        <f>"1552382698714933"</f>
        <v>1552382698714933</v>
      </c>
      <c r="C4377" t="s">
        <v>40</v>
      </c>
      <c r="D4377">
        <v>3.4362339999999998</v>
      </c>
      <c r="E4377">
        <v>0.51387249999999995</v>
      </c>
      <c r="F4377" t="s">
        <v>43</v>
      </c>
      <c r="G4377">
        <v>-327.87389999999999</v>
      </c>
      <c r="H4377" s="1">
        <v>-1.261142E-6</v>
      </c>
      <c r="I4377">
        <v>140.99469999999999</v>
      </c>
      <c r="J4377">
        <v>-296.41649999999998</v>
      </c>
      <c r="K4377">
        <v>1.111332</v>
      </c>
      <c r="L4377">
        <v>141.84960000000001</v>
      </c>
      <c r="M4377">
        <v>-0.99890129999999999</v>
      </c>
      <c r="N4377">
        <v>0</v>
      </c>
      <c r="O4377">
        <v>-4.6003809999999999E-2</v>
      </c>
      <c r="P4377">
        <v>-0.98495529999999998</v>
      </c>
      <c r="Q4377">
        <v>0.16149769999999999</v>
      </c>
      <c r="R4377">
        <v>-6.1496149999999999E-2</v>
      </c>
      <c r="S4377">
        <v>-3.0577700000000001</v>
      </c>
      <c r="T4377">
        <v>-0.1066185</v>
      </c>
      <c r="U4377">
        <v>-8.3892820000000007E-2</v>
      </c>
      <c r="V4377">
        <v>-1.692304E-2</v>
      </c>
      <c r="W4377">
        <v>0.1702293</v>
      </c>
      <c r="X4377">
        <v>0.9852592</v>
      </c>
      <c r="Y4377">
        <v>1.8552570000000001E-2</v>
      </c>
      <c r="Z4377">
        <v>1.9259489999999999E-3</v>
      </c>
      <c r="AA4377">
        <v>0.99982599999999999</v>
      </c>
      <c r="AB4377">
        <v>42</v>
      </c>
      <c r="AC4377">
        <v>-31.4574</v>
      </c>
      <c r="AD4377">
        <v>-1.1113332611419999</v>
      </c>
      <c r="AE4377">
        <v>-0.85490000000001398</v>
      </c>
      <c r="AF4377">
        <v>0.592484290961098</v>
      </c>
      <c r="AG4377">
        <v>-1.1113332611419999</v>
      </c>
      <c r="AH4377">
        <v>31.4242314335341</v>
      </c>
      <c r="AI4377">
        <v>92.025089413569205</v>
      </c>
      <c r="AJ4377">
        <v>88.919851781607406</v>
      </c>
      <c r="AK4377">
        <v>31.449458189938198</v>
      </c>
      <c r="AL4377">
        <v>80.198849164214494</v>
      </c>
      <c r="AM4377">
        <v>90.984028803944497</v>
      </c>
      <c r="AN4377">
        <v>1.00000004752298</v>
      </c>
    </row>
    <row r="4378" spans="1:40" x14ac:dyDescent="0.25">
      <c r="A4378" t="str">
        <f>"20190312172458743"</f>
        <v>20190312172458743</v>
      </c>
      <c r="B4378" t="str">
        <f>"1552382698734452"</f>
        <v>1552382698734452</v>
      </c>
      <c r="C4378" t="s">
        <v>40</v>
      </c>
      <c r="D4378">
        <v>3.4806750000000002</v>
      </c>
      <c r="E4378">
        <v>0.51432829999999996</v>
      </c>
      <c r="F4378" t="s">
        <v>43</v>
      </c>
      <c r="G4378">
        <v>-328.1</v>
      </c>
      <c r="H4378" s="1">
        <v>-1.169807E-6</v>
      </c>
      <c r="I4378">
        <v>141.01589999999999</v>
      </c>
      <c r="J4378">
        <v>-296.86399999999998</v>
      </c>
      <c r="K4378">
        <v>1.1112169999999999</v>
      </c>
      <c r="L4378">
        <v>141.8279</v>
      </c>
      <c r="M4378">
        <v>-0.99882910000000003</v>
      </c>
      <c r="N4378">
        <v>0</v>
      </c>
      <c r="O4378">
        <v>-4.7542689999999999E-2</v>
      </c>
      <c r="P4378">
        <v>-0.98486300000000004</v>
      </c>
      <c r="Q4378">
        <v>0.16161130000000001</v>
      </c>
      <c r="R4378">
        <v>-6.2662529999999994E-2</v>
      </c>
      <c r="S4378">
        <v>-3.0583800000000001</v>
      </c>
      <c r="T4378">
        <v>-0.1072763</v>
      </c>
      <c r="U4378">
        <v>-8.0474850000000001E-2</v>
      </c>
      <c r="V4378">
        <v>-1.6525209999999999E-2</v>
      </c>
      <c r="W4378">
        <v>0.17035939999999999</v>
      </c>
      <c r="X4378">
        <v>0.98524339999999999</v>
      </c>
      <c r="Y4378">
        <v>2.1211879999999999E-2</v>
      </c>
      <c r="Z4378">
        <v>2.0379880000000001E-3</v>
      </c>
      <c r="AA4378">
        <v>0.99977289999999996</v>
      </c>
      <c r="AB4378">
        <v>42</v>
      </c>
      <c r="AC4378">
        <v>-31.235999999999901</v>
      </c>
      <c r="AD4378">
        <v>-1.1112181698069901</v>
      </c>
      <c r="AE4378">
        <v>-0.81200000000001105</v>
      </c>
      <c r="AF4378">
        <v>0.67316986649161203</v>
      </c>
      <c r="AG4378">
        <v>-1.1112181698069901</v>
      </c>
      <c r="AH4378">
        <v>31.199822881752201</v>
      </c>
      <c r="AI4378">
        <v>92.039319743379096</v>
      </c>
      <c r="AJ4378">
        <v>88.763973469763698</v>
      </c>
      <c r="AK4378">
        <v>31.226862015623201</v>
      </c>
      <c r="AL4378">
        <v>80.191283844032299</v>
      </c>
      <c r="AM4378">
        <v>90.9609158664219</v>
      </c>
      <c r="AN4378">
        <v>0.99999998248873101</v>
      </c>
    </row>
    <row r="4379" spans="1:40" x14ac:dyDescent="0.25">
      <c r="A4379" t="str">
        <f>"20190312172458764"</f>
        <v>20190312172458764</v>
      </c>
      <c r="B4379" t="str">
        <f>"1552382698754953"</f>
        <v>1552382698754953</v>
      </c>
      <c r="C4379" t="s">
        <v>40</v>
      </c>
      <c r="D4379">
        <v>3.4299780000000002</v>
      </c>
      <c r="E4379">
        <v>0.51477969999999995</v>
      </c>
      <c r="F4379" t="s">
        <v>43</v>
      </c>
      <c r="G4379">
        <v>-328.37299999999999</v>
      </c>
      <c r="H4379" s="1">
        <v>-1.0484349999999999E-6</v>
      </c>
      <c r="I4379">
        <v>140.9999</v>
      </c>
      <c r="J4379">
        <v>-297.26690000000002</v>
      </c>
      <c r="K4379">
        <v>1.111086</v>
      </c>
      <c r="L4379">
        <v>141.80779999999999</v>
      </c>
      <c r="M4379">
        <v>-0.99877039999999995</v>
      </c>
      <c r="N4379">
        <v>0</v>
      </c>
      <c r="O4379">
        <v>-4.876279E-2</v>
      </c>
      <c r="P4379">
        <v>-0.98489870000000002</v>
      </c>
      <c r="Q4379">
        <v>0.16122</v>
      </c>
      <c r="R4379">
        <v>-6.3109730000000003E-2</v>
      </c>
      <c r="S4379">
        <v>-3.0586850000000001</v>
      </c>
      <c r="T4379">
        <v>-0.1078701</v>
      </c>
      <c r="U4379">
        <v>-8.0368040000000002E-2</v>
      </c>
      <c r="V4379">
        <v>-1.571065E-2</v>
      </c>
      <c r="W4379">
        <v>0.16998629999999901</v>
      </c>
      <c r="X4379">
        <v>0.98532120000000001</v>
      </c>
      <c r="Y4379">
        <v>2.2468660000000001E-2</v>
      </c>
      <c r="Z4379">
        <v>2.1141670000000001E-3</v>
      </c>
      <c r="AA4379">
        <v>0.99974529999999995</v>
      </c>
      <c r="AB4379">
        <v>42</v>
      </c>
      <c r="AC4379">
        <v>-31.106100000000001</v>
      </c>
      <c r="AD4379">
        <v>-1.1110870484349999</v>
      </c>
      <c r="AE4379">
        <v>-0.80789999999998896</v>
      </c>
      <c r="AF4379">
        <v>0.70903794340383397</v>
      </c>
      <c r="AG4379">
        <v>-1.1110870484349999</v>
      </c>
      <c r="AH4379">
        <v>31.0688768702875</v>
      </c>
      <c r="AI4379">
        <v>92.047609585181505</v>
      </c>
      <c r="AJ4379">
        <v>88.692652093895902</v>
      </c>
      <c r="AK4379">
        <v>31.096822333085299</v>
      </c>
      <c r="AL4379">
        <v>80.212977656420193</v>
      </c>
      <c r="AM4379">
        <v>90.913486553387401</v>
      </c>
      <c r="AN4379">
        <v>1.0000000169402701</v>
      </c>
    </row>
    <row r="4380" spans="1:40" x14ac:dyDescent="0.25">
      <c r="A4380" t="str">
        <f>"20190312172458786"</f>
        <v>20190312172458786</v>
      </c>
      <c r="B4380" t="str">
        <f>"1552382698774468"</f>
        <v>1552382698774468</v>
      </c>
      <c r="C4380" t="s">
        <v>40</v>
      </c>
      <c r="D4380">
        <v>3.480871</v>
      </c>
      <c r="E4380">
        <v>0.51522109999999999</v>
      </c>
      <c r="F4380" t="s">
        <v>43</v>
      </c>
      <c r="G4380">
        <v>-328.23840000000001</v>
      </c>
      <c r="H4380" s="1">
        <v>-1.110506E-6</v>
      </c>
      <c r="I4380">
        <v>141.0163</v>
      </c>
      <c r="J4380">
        <v>-297.67790000000002</v>
      </c>
      <c r="K4380">
        <v>1.110948</v>
      </c>
      <c r="L4380">
        <v>141.78700000000001</v>
      </c>
      <c r="M4380">
        <v>-0.9987161</v>
      </c>
      <c r="N4380">
        <v>0</v>
      </c>
      <c r="O4380">
        <v>-4.9862530000000002E-2</v>
      </c>
      <c r="P4380">
        <v>-0.98491070000000003</v>
      </c>
      <c r="Q4380">
        <v>0.1608936</v>
      </c>
      <c r="R4380">
        <v>-6.3753199999999996E-2</v>
      </c>
      <c r="S4380">
        <v>-3.0589599999999999</v>
      </c>
      <c r="T4380">
        <v>-0.10973869999999999</v>
      </c>
      <c r="U4380">
        <v>-7.8170779999999995E-2</v>
      </c>
      <c r="V4380">
        <v>-1.520875E-2</v>
      </c>
      <c r="W4380">
        <v>0.1696771</v>
      </c>
      <c r="X4380">
        <v>0.98538239999999999</v>
      </c>
      <c r="Y4380">
        <v>2.4286039999999998E-2</v>
      </c>
      <c r="Z4380">
        <v>2.222571E-3</v>
      </c>
      <c r="AA4380">
        <v>0.9997026</v>
      </c>
      <c r="AB4380">
        <v>42</v>
      </c>
      <c r="AC4380">
        <v>-30.560499999999902</v>
      </c>
      <c r="AD4380">
        <v>-1.1109491105060001</v>
      </c>
      <c r="AE4380">
        <v>-0.77070000000000505</v>
      </c>
      <c r="AF4380">
        <v>0.75314881662359801</v>
      </c>
      <c r="AG4380">
        <v>-1.1109491105060001</v>
      </c>
      <c r="AH4380">
        <v>30.5206056797965</v>
      </c>
      <c r="AI4380">
        <v>92.084010389655106</v>
      </c>
      <c r="AJ4380">
        <v>88.586414269434499</v>
      </c>
      <c r="AK4380">
        <v>30.5501033079717</v>
      </c>
      <c r="AL4380">
        <v>80.230954980791296</v>
      </c>
      <c r="AM4380">
        <v>90.884253668358994</v>
      </c>
      <c r="AN4380">
        <v>1.00000004928536</v>
      </c>
    </row>
    <row r="4381" spans="1:40" x14ac:dyDescent="0.25">
      <c r="A4381" t="str">
        <f>"20190312172458808"</f>
        <v>20190312172458808</v>
      </c>
      <c r="B4381" t="str">
        <f>"1552382698804724"</f>
        <v>1552382698804724</v>
      </c>
      <c r="C4381" t="s">
        <v>40</v>
      </c>
      <c r="D4381">
        <v>3.504505</v>
      </c>
      <c r="E4381">
        <v>0.51575629999999995</v>
      </c>
      <c r="F4381" t="s">
        <v>43</v>
      </c>
      <c r="G4381">
        <v>-328.35570000000001</v>
      </c>
      <c r="H4381" s="1">
        <v>-1.061075E-6</v>
      </c>
      <c r="I4381">
        <v>141.01949999999999</v>
      </c>
      <c r="J4381">
        <v>-298.09960000000001</v>
      </c>
      <c r="K4381">
        <v>1.110803</v>
      </c>
      <c r="L4381">
        <v>141.76519999999999</v>
      </c>
      <c r="M4381">
        <v>-0.99866750000000004</v>
      </c>
      <c r="N4381">
        <v>0</v>
      </c>
      <c r="O4381">
        <v>-5.0821449999999997E-2</v>
      </c>
      <c r="P4381">
        <v>-0.98494769999999998</v>
      </c>
      <c r="Q4381">
        <v>0.16057660000000001</v>
      </c>
      <c r="R4381">
        <v>-6.3982140000000007E-2</v>
      </c>
      <c r="S4381">
        <v>-3.059113</v>
      </c>
      <c r="T4381">
        <v>-0.11078159999999999</v>
      </c>
      <c r="U4381">
        <v>-7.652283E-2</v>
      </c>
      <c r="V4381">
        <v>-1.442529E-2</v>
      </c>
      <c r="W4381">
        <v>0.16937820000000001</v>
      </c>
      <c r="X4381">
        <v>0.98544560000000003</v>
      </c>
      <c r="Y4381">
        <v>2.5782889999999999E-2</v>
      </c>
      <c r="Z4381">
        <v>2.3053459999999998E-3</v>
      </c>
      <c r="AA4381">
        <v>0.99966489999999997</v>
      </c>
      <c r="AB4381">
        <v>42</v>
      </c>
      <c r="AC4381">
        <v>-30.2561</v>
      </c>
      <c r="AD4381">
        <v>-1.1108040610750001</v>
      </c>
      <c r="AE4381">
        <v>-0.74569999999999903</v>
      </c>
      <c r="AF4381">
        <v>0.79191764251518404</v>
      </c>
      <c r="AG4381">
        <v>-1.1108040610750001</v>
      </c>
      <c r="AH4381">
        <v>30.214197461089299</v>
      </c>
      <c r="AI4381">
        <v>92.104769239652001</v>
      </c>
      <c r="AJ4381">
        <v>88.498614669905706</v>
      </c>
      <c r="AK4381">
        <v>30.244978879680499</v>
      </c>
      <c r="AL4381">
        <v>80.248332194893607</v>
      </c>
      <c r="AM4381">
        <v>90.838655332998101</v>
      </c>
      <c r="AN4381">
        <v>1.0000000470930901</v>
      </c>
    </row>
    <row r="4382" spans="1:40" x14ac:dyDescent="0.25">
      <c r="A4382" t="str">
        <f>"20190312172458833"</f>
        <v>20190312172458833</v>
      </c>
      <c r="B4382" t="str">
        <f>"1552382698825221"</f>
        <v>1552382698825221</v>
      </c>
      <c r="C4382" t="s">
        <v>40</v>
      </c>
      <c r="D4382">
        <v>3.512867</v>
      </c>
      <c r="E4382">
        <v>0.51600179999999995</v>
      </c>
      <c r="F4382" t="s">
        <v>43</v>
      </c>
      <c r="G4382">
        <v>-328.2756</v>
      </c>
      <c r="H4382" s="1">
        <v>-1.102385E-6</v>
      </c>
      <c r="I4382">
        <v>141.04560000000001</v>
      </c>
      <c r="J4382">
        <v>-298.56180000000001</v>
      </c>
      <c r="K4382">
        <v>1.1106119999999999</v>
      </c>
      <c r="L4382">
        <v>141.74109999999999</v>
      </c>
      <c r="M4382">
        <v>-0.99862510000000004</v>
      </c>
      <c r="N4382">
        <v>0</v>
      </c>
      <c r="O4382">
        <v>-5.1645099999999999E-2</v>
      </c>
      <c r="P4382">
        <v>-0.98496119999999998</v>
      </c>
      <c r="Q4382">
        <v>0.1603763</v>
      </c>
      <c r="R4382">
        <v>-6.4271980000000006E-2</v>
      </c>
      <c r="S4382">
        <v>-3.0594790000000001</v>
      </c>
      <c r="T4382">
        <v>-0.1126224</v>
      </c>
      <c r="U4382">
        <v>-7.295227E-2</v>
      </c>
      <c r="V4382">
        <v>-1.3823780000000001E-2</v>
      </c>
      <c r="W4382">
        <v>0.16919779999999901</v>
      </c>
      <c r="X4382">
        <v>0.98548519999999995</v>
      </c>
      <c r="Y4382">
        <v>2.7772700000000001E-2</v>
      </c>
      <c r="Z4382">
        <v>2.4102669999999998E-3</v>
      </c>
      <c r="AA4382">
        <v>0.99961140000000004</v>
      </c>
      <c r="AB4382">
        <v>42</v>
      </c>
      <c r="AC4382">
        <v>-29.7137999999999</v>
      </c>
      <c r="AD4382">
        <v>-1.1106131023849899</v>
      </c>
      <c r="AE4382">
        <v>-0.69549999999998102</v>
      </c>
      <c r="AF4382">
        <v>0.83889098623025704</v>
      </c>
      <c r="AG4382">
        <v>-1.1106131023849899</v>
      </c>
      <c r="AH4382">
        <v>29.668638776208301</v>
      </c>
      <c r="AI4382">
        <v>92.142948291105398</v>
      </c>
      <c r="AJ4382">
        <v>88.380373623979594</v>
      </c>
      <c r="AK4382">
        <v>29.701268093855798</v>
      </c>
      <c r="AL4382">
        <v>80.258819613547999</v>
      </c>
      <c r="AM4382">
        <v>90.803657231505596</v>
      </c>
      <c r="AN4382">
        <v>1.00000003591868</v>
      </c>
    </row>
    <row r="4383" spans="1:40" x14ac:dyDescent="0.25">
      <c r="A4383" t="str">
        <f>"20190312172458855"</f>
        <v>20190312172458855</v>
      </c>
      <c r="B4383" t="str">
        <f>"1552382698844740"</f>
        <v>1552382698844740</v>
      </c>
      <c r="C4383" t="s">
        <v>40</v>
      </c>
      <c r="D4383">
        <v>3.491069</v>
      </c>
      <c r="E4383">
        <v>0.51630089999999995</v>
      </c>
      <c r="F4383" t="s">
        <v>43</v>
      </c>
      <c r="G4383">
        <v>-328.68920000000003</v>
      </c>
      <c r="H4383" s="1">
        <v>-9.2147039999999997E-7</v>
      </c>
      <c r="I4383">
        <v>141.0326</v>
      </c>
      <c r="J4383">
        <v>-298.9873</v>
      </c>
      <c r="K4383">
        <v>1.1104240000000001</v>
      </c>
      <c r="L4383">
        <v>141.71870000000001</v>
      </c>
      <c r="M4383">
        <v>-0.99859679999999995</v>
      </c>
      <c r="N4383">
        <v>0</v>
      </c>
      <c r="O4383">
        <v>-5.2186759999999999E-2</v>
      </c>
      <c r="P4383">
        <v>-0.98505679999999995</v>
      </c>
      <c r="Q4383">
        <v>0.15988050000000001</v>
      </c>
      <c r="R4383">
        <v>-6.4040319999999998E-2</v>
      </c>
      <c r="S4383">
        <v>-3.0595089999999998</v>
      </c>
      <c r="T4383">
        <v>-0.1127855</v>
      </c>
      <c r="U4383">
        <v>-7.1945190000000006E-2</v>
      </c>
      <c r="V4383">
        <v>-1.2974299999999999E-2</v>
      </c>
      <c r="W4383">
        <v>0.16872210000000001</v>
      </c>
      <c r="X4383">
        <v>0.98557819999999996</v>
      </c>
      <c r="Y4383">
        <v>2.8642890000000001E-2</v>
      </c>
      <c r="Z4383">
        <v>2.449709E-3</v>
      </c>
      <c r="AA4383">
        <v>0.99958670000000005</v>
      </c>
      <c r="AB4383">
        <v>42</v>
      </c>
      <c r="AC4383">
        <v>-29.701899999999998</v>
      </c>
      <c r="AD4383">
        <v>-1.1104249214703901</v>
      </c>
      <c r="AE4383">
        <v>-0.68610000000001004</v>
      </c>
      <c r="AF4383">
        <v>0.86373709134992704</v>
      </c>
      <c r="AG4383">
        <v>-1.1104249214703901</v>
      </c>
      <c r="AH4383">
        <v>29.655802567220402</v>
      </c>
      <c r="AI4383">
        <v>92.143459859637503</v>
      </c>
      <c r="AJ4383">
        <v>88.331709167635907</v>
      </c>
      <c r="AK4383">
        <v>29.689151405440199</v>
      </c>
      <c r="AL4383">
        <v>80.286471786557598</v>
      </c>
      <c r="AM4383">
        <v>90.754206714103702</v>
      </c>
      <c r="AN4383">
        <v>0.99999993390206698</v>
      </c>
    </row>
    <row r="4384" spans="1:40" x14ac:dyDescent="0.25">
      <c r="A4384" t="str">
        <f>"20190312172458875"</f>
        <v>20190312172458875</v>
      </c>
      <c r="B4384" t="str">
        <f>"1552382698865236"</f>
        <v>1552382698865236</v>
      </c>
      <c r="C4384" t="s">
        <v>40</v>
      </c>
      <c r="D4384">
        <v>3.4722390000000001</v>
      </c>
      <c r="E4384">
        <v>0.51659549999999999</v>
      </c>
      <c r="F4384" t="s">
        <v>43</v>
      </c>
      <c r="G4384">
        <v>-328.71629999999999</v>
      </c>
      <c r="H4384" s="1">
        <v>-9.1429719999999998E-7</v>
      </c>
      <c r="I4384">
        <v>141.04939999999999</v>
      </c>
      <c r="J4384">
        <v>-299.37950000000001</v>
      </c>
      <c r="K4384">
        <v>1.1102369999999999</v>
      </c>
      <c r="L4384">
        <v>141.69799999999901</v>
      </c>
      <c r="M4384">
        <v>-0.99858040000000003</v>
      </c>
      <c r="N4384">
        <v>0</v>
      </c>
      <c r="O4384">
        <v>-5.2496580000000001E-2</v>
      </c>
      <c r="P4384">
        <v>-0.98511709999999997</v>
      </c>
      <c r="Q4384">
        <v>0.1597537</v>
      </c>
      <c r="R4384">
        <v>-6.342768E-2</v>
      </c>
      <c r="S4384">
        <v>-3.059631</v>
      </c>
      <c r="T4384">
        <v>-0.11428199999999999</v>
      </c>
      <c r="U4384">
        <v>-6.8878170000000002E-2</v>
      </c>
      <c r="V4384">
        <v>-1.197727E-2</v>
      </c>
      <c r="W4384">
        <v>0.1686136</v>
      </c>
      <c r="X4384">
        <v>0.98560950000000003</v>
      </c>
      <c r="Y4384">
        <v>2.9952820000000002E-2</v>
      </c>
      <c r="Z4384">
        <v>2.518139E-3</v>
      </c>
      <c r="AA4384">
        <v>0.99954810000000005</v>
      </c>
      <c r="AB4384">
        <v>42</v>
      </c>
      <c r="AC4384">
        <v>-29.336799999999901</v>
      </c>
      <c r="AD4384">
        <v>-1.1102379142972001</v>
      </c>
      <c r="AE4384">
        <v>-0.64859999999998696</v>
      </c>
      <c r="AF4384">
        <v>0.89116298755424594</v>
      </c>
      <c r="AG4384">
        <v>-1.1102379142972001</v>
      </c>
      <c r="AH4384">
        <v>29.288468238375099</v>
      </c>
      <c r="AI4384">
        <v>92.169868359617297</v>
      </c>
      <c r="AJ4384">
        <v>88.257193610774294</v>
      </c>
      <c r="AK4384">
        <v>29.323048467835601</v>
      </c>
      <c r="AL4384">
        <v>80.292779816200706</v>
      </c>
      <c r="AM4384">
        <v>90.696232375656294</v>
      </c>
      <c r="AN4384">
        <v>1.00000004379593</v>
      </c>
    </row>
    <row r="4385" spans="1:40" x14ac:dyDescent="0.25">
      <c r="A4385" t="str">
        <f>"20190312172458898"</f>
        <v>20190312172458898</v>
      </c>
      <c r="B4385" t="str">
        <f>"1552382698894516"</f>
        <v>1552382698894516</v>
      </c>
      <c r="C4385" t="s">
        <v>40</v>
      </c>
      <c r="D4385">
        <v>3.491933</v>
      </c>
      <c r="E4385">
        <v>0.51696359999999997</v>
      </c>
      <c r="F4385" t="s">
        <v>43</v>
      </c>
      <c r="G4385">
        <v>-328.92180000000002</v>
      </c>
      <c r="H4385" s="1">
        <v>-8.3192610000000005E-7</v>
      </c>
      <c r="I4385">
        <v>141.071</v>
      </c>
      <c r="J4385">
        <v>-299.8014</v>
      </c>
      <c r="K4385">
        <v>1.110023</v>
      </c>
      <c r="L4385">
        <v>141.67570000000001</v>
      </c>
      <c r="M4385">
        <v>-0.99857399999999996</v>
      </c>
      <c r="N4385">
        <v>0</v>
      </c>
      <c r="O4385">
        <v>-5.2617539999999997E-2</v>
      </c>
      <c r="P4385">
        <v>-0.98524120000000004</v>
      </c>
      <c r="Q4385">
        <v>0.15919549999999999</v>
      </c>
      <c r="R4385">
        <v>-6.2900520000000001E-2</v>
      </c>
      <c r="S4385">
        <v>-3.0597840000000001</v>
      </c>
      <c r="T4385">
        <v>-0.11499089999999999</v>
      </c>
      <c r="U4385">
        <v>-6.4926150000000002E-2</v>
      </c>
      <c r="V4385">
        <v>-1.1236690000000001E-2</v>
      </c>
      <c r="W4385">
        <v>0.1680749</v>
      </c>
      <c r="X4385">
        <v>0.98571019999999998</v>
      </c>
      <c r="Y4385">
        <v>3.1363599999999998E-2</v>
      </c>
      <c r="Z4385">
        <v>2.56471E-3</v>
      </c>
      <c r="AA4385">
        <v>0.99950470000000002</v>
      </c>
      <c r="AB4385">
        <v>42</v>
      </c>
      <c r="AC4385">
        <v>-29.1204</v>
      </c>
      <c r="AD4385">
        <v>-1.1100238319261</v>
      </c>
      <c r="AE4385">
        <v>-0.60470000000000801</v>
      </c>
      <c r="AF4385">
        <v>0.92709737908151202</v>
      </c>
      <c r="AG4385">
        <v>-1.1100238319261</v>
      </c>
      <c r="AH4385">
        <v>29.069656021356899</v>
      </c>
      <c r="AI4385">
        <v>92.185664798881405</v>
      </c>
      <c r="AJ4385">
        <v>88.173326556440699</v>
      </c>
      <c r="AK4385">
        <v>29.105610518553899</v>
      </c>
      <c r="AL4385">
        <v>80.324091666081202</v>
      </c>
      <c r="AM4385">
        <v>90.653119980726302</v>
      </c>
      <c r="AN4385">
        <v>1.0000000167981</v>
      </c>
    </row>
    <row r="4386" spans="1:40" x14ac:dyDescent="0.25">
      <c r="A4386" t="str">
        <f>"20190312172458920"</f>
        <v>20190312172458920</v>
      </c>
      <c r="B4386" t="str">
        <f>"1552382698915012"</f>
        <v>1552382698915012</v>
      </c>
      <c r="C4386" t="s">
        <v>40</v>
      </c>
      <c r="D4386">
        <v>3.4843980000000001</v>
      </c>
      <c r="E4386">
        <v>0.51715809999999995</v>
      </c>
      <c r="F4386" t="s">
        <v>43</v>
      </c>
      <c r="G4386">
        <v>-328.84570000000002</v>
      </c>
      <c r="H4386" s="1">
        <v>-8.7308389999999999E-7</v>
      </c>
      <c r="I4386">
        <v>141.10299999999901</v>
      </c>
      <c r="J4386">
        <v>-300.23169999999999</v>
      </c>
      <c r="K4386">
        <v>1.1097919999999999</v>
      </c>
      <c r="L4386">
        <v>141.65309999999999</v>
      </c>
      <c r="M4386">
        <v>-0.99857989999999996</v>
      </c>
      <c r="N4386">
        <v>0</v>
      </c>
      <c r="O4386">
        <v>-5.2506549999999999E-2</v>
      </c>
      <c r="P4386">
        <v>-0.98532059999999999</v>
      </c>
      <c r="Q4386">
        <v>0.15921579999999999</v>
      </c>
      <c r="R4386">
        <v>-6.1596419999999999E-2</v>
      </c>
      <c r="S4386">
        <v>-3.060028</v>
      </c>
      <c r="T4386">
        <v>-0.1169494</v>
      </c>
      <c r="U4386">
        <v>-6.0333249999999998E-2</v>
      </c>
      <c r="V4386">
        <v>-9.9449870000000006E-3</v>
      </c>
      <c r="W4386">
        <v>0.16811489999999901</v>
      </c>
      <c r="X4386">
        <v>0.98571719999999896</v>
      </c>
      <c r="Y4386">
        <v>3.2750769999999998E-2</v>
      </c>
      <c r="Z4386">
        <v>2.6304729999999999E-3</v>
      </c>
      <c r="AA4386">
        <v>0.99946009999999996</v>
      </c>
      <c r="AB4386">
        <v>43</v>
      </c>
      <c r="AC4386">
        <v>-28.614000000000001</v>
      </c>
      <c r="AD4386">
        <v>-1.1097928730839</v>
      </c>
      <c r="AE4386">
        <v>-0.55010000000001402</v>
      </c>
      <c r="AF4386">
        <v>0.95171123399891999</v>
      </c>
      <c r="AG4386">
        <v>-1.1097928730839</v>
      </c>
      <c r="AH4386">
        <v>28.560464217034699</v>
      </c>
      <c r="AI4386">
        <v>92.224027316113506</v>
      </c>
      <c r="AJ4386">
        <v>88.091457232217095</v>
      </c>
      <c r="AK4386">
        <v>28.597858500009899</v>
      </c>
      <c r="AL4386">
        <v>80.321766201974697</v>
      </c>
      <c r="AM4386">
        <v>90.578042515787303</v>
      </c>
      <c r="AN4386">
        <v>0.99999996037213901</v>
      </c>
    </row>
    <row r="4387" spans="1:40" x14ac:dyDescent="0.25">
      <c r="A4387" t="str">
        <f>"20190312172458943"</f>
        <v>20190312172458943</v>
      </c>
      <c r="B4387" t="str">
        <f>"1552382698934536"</f>
        <v>1552382698934536</v>
      </c>
      <c r="C4387" t="s">
        <v>40</v>
      </c>
      <c r="D4387">
        <v>3.4937969999999998</v>
      </c>
      <c r="E4387">
        <v>0.51735710000000001</v>
      </c>
      <c r="F4387" t="s">
        <v>43</v>
      </c>
      <c r="G4387">
        <v>-329.25409999999999</v>
      </c>
      <c r="H4387" s="1">
        <v>-7.0527649999999898E-7</v>
      </c>
      <c r="I4387">
        <v>141.13079999999999</v>
      </c>
      <c r="J4387">
        <v>-300.66309999999999</v>
      </c>
      <c r="K4387">
        <v>1.1095549999999901</v>
      </c>
      <c r="L4387">
        <v>141.63069999999999</v>
      </c>
      <c r="M4387">
        <v>-0.99859909999999996</v>
      </c>
      <c r="N4387">
        <v>0</v>
      </c>
      <c r="O4387">
        <v>-5.21374E-2</v>
      </c>
      <c r="P4387">
        <v>-0.98533630000000005</v>
      </c>
      <c r="Q4387">
        <v>0.1595858</v>
      </c>
      <c r="R4387">
        <v>-6.0374959999999998E-2</v>
      </c>
      <c r="S4387">
        <v>-3.060181</v>
      </c>
      <c r="T4387">
        <v>-0.11701930000000001</v>
      </c>
      <c r="U4387">
        <v>-5.5068970000000002E-2</v>
      </c>
      <c r="V4387">
        <v>-8.9897550000000003E-3</v>
      </c>
      <c r="W4387">
        <v>0.16850309999999999</v>
      </c>
      <c r="X4387">
        <v>0.98566010000000004</v>
      </c>
      <c r="Y4387">
        <v>3.4100169999999999E-2</v>
      </c>
      <c r="Z4387">
        <v>2.643673E-3</v>
      </c>
      <c r="AA4387">
        <v>0.99941489999999999</v>
      </c>
      <c r="AB4387">
        <v>43</v>
      </c>
      <c r="AC4387">
        <v>-28.591000000000001</v>
      </c>
      <c r="AD4387">
        <v>-1.1095557052764999</v>
      </c>
      <c r="AE4387">
        <v>-0.49989999999999601</v>
      </c>
      <c r="AF4387">
        <v>0.99001058193737901</v>
      </c>
      <c r="AG4387">
        <v>-1.1095557052764999</v>
      </c>
      <c r="AH4387">
        <v>28.535213015651198</v>
      </c>
      <c r="AI4387">
        <v>92.225414592847002</v>
      </c>
      <c r="AJ4387">
        <v>88.012957354711304</v>
      </c>
      <c r="AK4387">
        <v>28.573932467618899</v>
      </c>
      <c r="AL4387">
        <v>80.299202195717598</v>
      </c>
      <c r="AM4387">
        <v>90.522554112739201</v>
      </c>
      <c r="AN4387">
        <v>0.99999997156828901</v>
      </c>
    </row>
    <row r="4388" spans="1:40" x14ac:dyDescent="0.25">
      <c r="A4388" t="str">
        <f>"20190312172458965"</f>
        <v>20190312172458965</v>
      </c>
      <c r="B4388" t="str">
        <f>"1552382698955028"</f>
        <v>1552382698955028</v>
      </c>
      <c r="C4388" t="s">
        <v>40</v>
      </c>
      <c r="D4388">
        <v>3.4864839999999901</v>
      </c>
      <c r="E4388">
        <v>0.51750169999999995</v>
      </c>
      <c r="F4388" t="s">
        <v>43</v>
      </c>
      <c r="G4388">
        <v>-329.92939999999999</v>
      </c>
      <c r="H4388" s="1">
        <v>-4.2212929999999998E-7</v>
      </c>
      <c r="I4388">
        <v>141.15549999999999</v>
      </c>
      <c r="J4388">
        <v>-301.08819999999997</v>
      </c>
      <c r="K4388">
        <v>1.109313</v>
      </c>
      <c r="L4388">
        <v>141.60900000000001</v>
      </c>
      <c r="M4388">
        <v>-0.99862969999999895</v>
      </c>
      <c r="N4388">
        <v>0</v>
      </c>
      <c r="O4388">
        <v>-5.1544199999999998E-2</v>
      </c>
      <c r="P4388">
        <v>-0.98546639999999996</v>
      </c>
      <c r="Q4388">
        <v>0.15941050000000001</v>
      </c>
      <c r="R4388">
        <v>-5.8692790000000002E-2</v>
      </c>
      <c r="S4388">
        <v>-3.060425</v>
      </c>
      <c r="T4388">
        <v>-0.1160283</v>
      </c>
      <c r="U4388">
        <v>-4.9682619999999997E-2</v>
      </c>
      <c r="V4388">
        <v>-7.7905229999999997E-3</v>
      </c>
      <c r="W4388">
        <v>0.1683461</v>
      </c>
      <c r="X4388">
        <v>0.98569720000000005</v>
      </c>
      <c r="Y4388">
        <v>3.5267029999999998E-2</v>
      </c>
      <c r="Z4388">
        <v>2.6208109999999998E-3</v>
      </c>
      <c r="AA4388">
        <v>0.99937450000000005</v>
      </c>
      <c r="AB4388">
        <v>43</v>
      </c>
      <c r="AC4388">
        <v>-28.841200000000001</v>
      </c>
      <c r="AD4388">
        <v>-1.1093134221293</v>
      </c>
      <c r="AE4388">
        <v>-0.453500000000019</v>
      </c>
      <c r="AF4388">
        <v>1.0322336587183001</v>
      </c>
      <c r="AG4388">
        <v>-1.1093134221293</v>
      </c>
      <c r="AH4388">
        <v>28.783663252368601</v>
      </c>
      <c r="AI4388">
        <v>92.205652762442099</v>
      </c>
      <c r="AJ4388">
        <v>87.946151004829602</v>
      </c>
      <c r="AK4388">
        <v>28.823520826236098</v>
      </c>
      <c r="AL4388">
        <v>80.308328628797199</v>
      </c>
      <c r="AM4388">
        <v>90.452831553342804</v>
      </c>
      <c r="AN4388">
        <v>1.0000000358608301</v>
      </c>
    </row>
    <row r="4389" spans="1:40" x14ac:dyDescent="0.25">
      <c r="A4389" t="str">
        <f>"20190312172458989"</f>
        <v>20190312172458989</v>
      </c>
      <c r="B4389" t="str">
        <f>"1552382698985284"</f>
        <v>1552382698985284</v>
      </c>
      <c r="C4389" t="s">
        <v>40</v>
      </c>
      <c r="D4389">
        <v>3.5027210000000002</v>
      </c>
      <c r="E4389">
        <v>0.51772299999999905</v>
      </c>
      <c r="F4389" t="s">
        <v>43</v>
      </c>
      <c r="G4389">
        <v>-330.27539999999999</v>
      </c>
      <c r="H4389" s="1">
        <v>-4.8856460000000003E-6</v>
      </c>
      <c r="I4389">
        <v>141.19540000000001</v>
      </c>
      <c r="J4389">
        <v>-301.53210000000001</v>
      </c>
      <c r="K4389">
        <v>1.109073</v>
      </c>
      <c r="L4389">
        <v>141.58670000000001</v>
      </c>
      <c r="M4389">
        <v>-0.99867150000000005</v>
      </c>
      <c r="N4389">
        <v>0</v>
      </c>
      <c r="O4389">
        <v>-5.0721990000000002E-2</v>
      </c>
      <c r="P4389">
        <v>-0.9856026</v>
      </c>
      <c r="Q4389">
        <v>0.15901560000000001</v>
      </c>
      <c r="R4389">
        <v>-5.7458099999999998E-2</v>
      </c>
      <c r="S4389">
        <v>-3.060486</v>
      </c>
      <c r="T4389">
        <v>-0.1163199</v>
      </c>
      <c r="U4389">
        <v>-4.3365479999999998E-2</v>
      </c>
      <c r="V4389">
        <v>-7.2659859999999899E-3</v>
      </c>
      <c r="W4389">
        <v>0.1679696</v>
      </c>
      <c r="X4389">
        <v>0.98576540000000001</v>
      </c>
      <c r="Y4389">
        <v>3.6506240000000002E-2</v>
      </c>
      <c r="Z4389">
        <v>2.6197460000000001E-3</v>
      </c>
      <c r="AA4389">
        <v>0.99933000000000005</v>
      </c>
      <c r="AB4389">
        <v>43</v>
      </c>
      <c r="AC4389">
        <v>-28.743299999999898</v>
      </c>
      <c r="AD4389">
        <v>-1.109077885646</v>
      </c>
      <c r="AE4389">
        <v>-0.39130000000000098</v>
      </c>
      <c r="AF4389">
        <v>1.06559503047015</v>
      </c>
      <c r="AG4389">
        <v>-1.109077885646</v>
      </c>
      <c r="AH4389">
        <v>28.683449801116101</v>
      </c>
      <c r="AI4389">
        <v>92.212777839762694</v>
      </c>
      <c r="AJ4389">
        <v>87.872430480284194</v>
      </c>
      <c r="AK4389">
        <v>28.7246555944287</v>
      </c>
      <c r="AL4389">
        <v>80.3302117819903</v>
      </c>
      <c r="AM4389">
        <v>90.422314267296599</v>
      </c>
      <c r="AN4389">
        <v>1.00000000245693</v>
      </c>
    </row>
    <row r="4390" spans="1:40" x14ac:dyDescent="0.25">
      <c r="A4390" t="str">
        <f>"20190312172459011"</f>
        <v>20190312172459011</v>
      </c>
      <c r="B4390" t="str">
        <f>"1552382699004805"</f>
        <v>1552382699004805</v>
      </c>
      <c r="C4390" t="s">
        <v>40</v>
      </c>
      <c r="D4390">
        <v>3.5150730000000001</v>
      </c>
      <c r="E4390">
        <v>0.51783420000000002</v>
      </c>
      <c r="F4390" t="s">
        <v>43</v>
      </c>
      <c r="G4390">
        <v>-330.50760000000002</v>
      </c>
      <c r="H4390" s="1">
        <v>-4.8029969999999997E-6</v>
      </c>
      <c r="I4390">
        <v>141.23220000000001</v>
      </c>
      <c r="J4390">
        <v>-301.96809999999999</v>
      </c>
      <c r="K4390">
        <v>1.108851</v>
      </c>
      <c r="L4390">
        <v>141.56530000000001</v>
      </c>
      <c r="M4390">
        <v>-0.99872150000000004</v>
      </c>
      <c r="N4390">
        <v>0</v>
      </c>
      <c r="O4390">
        <v>-4.9725569999999997E-2</v>
      </c>
      <c r="P4390">
        <v>-0.98569700000000005</v>
      </c>
      <c r="Q4390">
        <v>0.15900539999999999</v>
      </c>
      <c r="R4390">
        <v>-5.5846739999999999E-2</v>
      </c>
      <c r="S4390">
        <v>-3.0605769999999999</v>
      </c>
      <c r="T4390">
        <v>-0.117148</v>
      </c>
      <c r="U4390">
        <v>-3.7445069999999997E-2</v>
      </c>
      <c r="V4390">
        <v>-6.5463309999999999E-3</v>
      </c>
      <c r="W4390">
        <v>0.16797579999999901</v>
      </c>
      <c r="X4390">
        <v>0.98576940000000002</v>
      </c>
      <c r="Y4390">
        <v>3.7441530000000001E-2</v>
      </c>
      <c r="Z4390">
        <v>2.6181709999999999E-3</v>
      </c>
      <c r="AA4390">
        <v>0.99929539999999994</v>
      </c>
      <c r="AB4390">
        <v>43</v>
      </c>
      <c r="AC4390">
        <v>-28.5395</v>
      </c>
      <c r="AD4390">
        <v>-1.1088558029969999</v>
      </c>
      <c r="AE4390">
        <v>-0.33310000000000101</v>
      </c>
      <c r="AF4390">
        <v>1.08487623036206</v>
      </c>
      <c r="AG4390">
        <v>-1.1088558029969999</v>
      </c>
      <c r="AH4390">
        <v>28.477771919137901</v>
      </c>
      <c r="AI4390">
        <v>92.228218451665299</v>
      </c>
      <c r="AJ4390">
        <v>87.818341060251697</v>
      </c>
      <c r="AK4390">
        <v>28.519993182072898</v>
      </c>
      <c r="AL4390">
        <v>80.329851569187895</v>
      </c>
      <c r="AM4390">
        <v>90.380486170521195</v>
      </c>
      <c r="AN4390">
        <v>1.0000000169057801</v>
      </c>
    </row>
    <row r="4391" spans="1:40" x14ac:dyDescent="0.25">
      <c r="A4391" t="str">
        <f>"20190312172459034"</f>
        <v>20190312172459034</v>
      </c>
      <c r="B4391" t="str">
        <f>"1552382699025301"</f>
        <v>1552382699025301</v>
      </c>
      <c r="C4391" t="s">
        <v>40</v>
      </c>
      <c r="D4391">
        <v>3.5079530000000001</v>
      </c>
      <c r="E4391">
        <v>0.51798120000000003</v>
      </c>
      <c r="F4391" t="s">
        <v>43</v>
      </c>
      <c r="G4391">
        <v>-330.98509999999999</v>
      </c>
      <c r="H4391" s="1">
        <v>-4.6261059999999901E-6</v>
      </c>
      <c r="I4391">
        <v>141.2687</v>
      </c>
      <c r="J4391">
        <v>-302.39769999999999</v>
      </c>
      <c r="K4391">
        <v>1.1086400000000001</v>
      </c>
      <c r="L4391">
        <v>141.54470000000001</v>
      </c>
      <c r="M4391">
        <v>-0.99877850000000001</v>
      </c>
      <c r="N4391">
        <v>0</v>
      </c>
      <c r="O4391">
        <v>-4.8566329999999998E-2</v>
      </c>
      <c r="P4391">
        <v>-0.98574070000000003</v>
      </c>
      <c r="Q4391">
        <v>0.15923180000000001</v>
      </c>
      <c r="R4391">
        <v>-5.4414160000000003E-2</v>
      </c>
      <c r="S4391">
        <v>-3.060638</v>
      </c>
      <c r="T4391">
        <v>-0.1169592</v>
      </c>
      <c r="U4391">
        <v>-3.1280519999999999E-2</v>
      </c>
      <c r="V4391">
        <v>-6.1728520000000004E-3</v>
      </c>
      <c r="W4391">
        <v>0.16821729999999999</v>
      </c>
      <c r="X4391">
        <v>0.98573060000000001</v>
      </c>
      <c r="Y4391">
        <v>3.829478E-2</v>
      </c>
      <c r="Z4391">
        <v>2.5860150000000001E-3</v>
      </c>
      <c r="AA4391">
        <v>0.99926320000000002</v>
      </c>
      <c r="AB4391">
        <v>43</v>
      </c>
      <c r="AC4391">
        <v>-28.587399999999999</v>
      </c>
      <c r="AD4391">
        <v>-1.1086446261059999</v>
      </c>
      <c r="AE4391">
        <v>-0.27600000000001002</v>
      </c>
      <c r="AF4391">
        <v>1.1110974297499201</v>
      </c>
      <c r="AG4391">
        <v>-1.1086446261059999</v>
      </c>
      <c r="AH4391">
        <v>28.5241726495574</v>
      </c>
      <c r="AI4391">
        <v>92.224100905033097</v>
      </c>
      <c r="AJ4391">
        <v>87.769294653760795</v>
      </c>
      <c r="AK4391">
        <v>28.5673249665968</v>
      </c>
      <c r="AL4391">
        <v>80.315814640852494</v>
      </c>
      <c r="AM4391">
        <v>90.358793512212799</v>
      </c>
      <c r="AN4391">
        <v>0.99999998994873196</v>
      </c>
    </row>
    <row r="4392" spans="1:40" x14ac:dyDescent="0.25">
      <c r="A4392" t="str">
        <f>"20190312172459056"</f>
        <v>20190312172459056</v>
      </c>
      <c r="B4392" t="str">
        <f>"1552382699044821"</f>
        <v>1552382699044821</v>
      </c>
      <c r="C4392" t="s">
        <v>40</v>
      </c>
      <c r="D4392">
        <v>3.4964900000000001</v>
      </c>
      <c r="E4392">
        <v>0.51810780000000001</v>
      </c>
      <c r="F4392" t="s">
        <v>43</v>
      </c>
      <c r="G4392">
        <v>-331.61309999999997</v>
      </c>
      <c r="H4392" s="1">
        <v>-4.3897880000000004E-6</v>
      </c>
      <c r="I4392">
        <v>141.2961</v>
      </c>
      <c r="J4392">
        <v>-302.82249999999999</v>
      </c>
      <c r="K4392">
        <v>1.1084369999999999</v>
      </c>
      <c r="L4392">
        <v>141.52500000000001</v>
      </c>
      <c r="M4392">
        <v>-0.99884119999999998</v>
      </c>
      <c r="N4392">
        <v>0</v>
      </c>
      <c r="O4392">
        <v>-4.7257559999999997E-2</v>
      </c>
      <c r="P4392">
        <v>-0.98579030000000001</v>
      </c>
      <c r="Q4392">
        <v>0.1594122</v>
      </c>
      <c r="R4392">
        <v>-5.2966109999999997E-2</v>
      </c>
      <c r="S4392">
        <v>-3.0606990000000001</v>
      </c>
      <c r="T4392">
        <v>-0.11614530000000001</v>
      </c>
      <c r="U4392">
        <v>-2.604675E-2</v>
      </c>
      <c r="V4392">
        <v>-5.9343410000000001E-3</v>
      </c>
      <c r="W4392">
        <v>0.16841519999999999</v>
      </c>
      <c r="X4392">
        <v>0.98569830000000003</v>
      </c>
      <c r="Y4392">
        <v>3.8695729999999998E-2</v>
      </c>
      <c r="Z4392">
        <v>2.526024E-3</v>
      </c>
      <c r="AA4392">
        <v>0.99924780000000002</v>
      </c>
      <c r="AB4392">
        <v>43</v>
      </c>
      <c r="AC4392">
        <v>-28.790599999999898</v>
      </c>
      <c r="AD4392">
        <v>-1.1084413897879899</v>
      </c>
      <c r="AE4392">
        <v>-0.22890000000001001</v>
      </c>
      <c r="AF4392">
        <v>1.1303104167711699</v>
      </c>
      <c r="AG4392">
        <v>-1.1084413897879899</v>
      </c>
      <c r="AH4392">
        <v>28.726670702997101</v>
      </c>
      <c r="AI4392">
        <v>92.208000063146898</v>
      </c>
      <c r="AJ4392">
        <v>87.746741112042102</v>
      </c>
      <c r="AK4392">
        <v>28.7702598811914</v>
      </c>
      <c r="AL4392">
        <v>80.304311961779604</v>
      </c>
      <c r="AM4392">
        <v>90.344941840294098</v>
      </c>
      <c r="AN4392">
        <v>1.00000001730851</v>
      </c>
    </row>
    <row r="4393" spans="1:40" x14ac:dyDescent="0.25">
      <c r="A4393" t="str">
        <f>"20190312172459077"</f>
        <v>20190312172459077</v>
      </c>
      <c r="B4393" t="str">
        <f>"1552382699065317"</f>
        <v>1552382699065317</v>
      </c>
      <c r="C4393" t="s">
        <v>40</v>
      </c>
      <c r="D4393">
        <v>3.5190649999999999</v>
      </c>
      <c r="E4393">
        <v>0.51823660000000005</v>
      </c>
      <c r="F4393" t="s">
        <v>43</v>
      </c>
      <c r="G4393">
        <v>-332.17520000000002</v>
      </c>
      <c r="H4393" s="1">
        <v>-4.1340120000000001E-6</v>
      </c>
      <c r="I4393">
        <v>141.3252</v>
      </c>
      <c r="J4393">
        <v>-303.22289999999998</v>
      </c>
      <c r="K4393">
        <v>1.1082479999999999</v>
      </c>
      <c r="L4393">
        <v>141.50700000000001</v>
      </c>
      <c r="M4393">
        <v>-0.99890500000000004</v>
      </c>
      <c r="N4393">
        <v>0</v>
      </c>
      <c r="O4393">
        <v>-4.5887419999999998E-2</v>
      </c>
      <c r="P4393">
        <v>-0.98590900000000004</v>
      </c>
      <c r="Q4393">
        <v>0.1590936</v>
      </c>
      <c r="R4393">
        <v>-5.1699389999999998E-2</v>
      </c>
      <c r="S4393">
        <v>-3.0608520000000001</v>
      </c>
      <c r="T4393">
        <v>-0.1155866</v>
      </c>
      <c r="U4393">
        <v>-2.082825E-2</v>
      </c>
      <c r="V4393">
        <v>-5.9426390000000004E-3</v>
      </c>
      <c r="W4393">
        <v>0.16811719999999999</v>
      </c>
      <c r="X4393">
        <v>0.98574910000000004</v>
      </c>
      <c r="Y4393">
        <v>3.903036E-2</v>
      </c>
      <c r="Z4393">
        <v>2.4684310000000001E-3</v>
      </c>
      <c r="AA4393">
        <v>0.99923499999999998</v>
      </c>
      <c r="AB4393">
        <v>43</v>
      </c>
      <c r="AC4393">
        <v>-28.952300000000001</v>
      </c>
      <c r="AD4393">
        <v>-1.108252134012</v>
      </c>
      <c r="AE4393">
        <v>-0.18180000000000901</v>
      </c>
      <c r="AF4393">
        <v>1.1453150019418801</v>
      </c>
      <c r="AG4393">
        <v>-1.108252134012</v>
      </c>
      <c r="AH4393">
        <v>28.887816163603802</v>
      </c>
      <c r="AI4393">
        <v>92.195294756523396</v>
      </c>
      <c r="AJ4393">
        <v>87.729583828557594</v>
      </c>
      <c r="AK4393">
        <v>28.931745401001699</v>
      </c>
      <c r="AL4393">
        <v>80.321632886894307</v>
      </c>
      <c r="AM4393">
        <v>90.3454063606288</v>
      </c>
      <c r="AN4393">
        <v>0.99999999802246697</v>
      </c>
    </row>
    <row r="4394" spans="1:40" x14ac:dyDescent="0.25">
      <c r="A4394" t="str">
        <f>"20190312172459099"</f>
        <v>20190312172459099</v>
      </c>
      <c r="B4394" t="str">
        <f>"1552382699094596"</f>
        <v>1552382699094596</v>
      </c>
      <c r="C4394" t="s">
        <v>40</v>
      </c>
      <c r="D4394">
        <v>3.5367500000000001</v>
      </c>
      <c r="E4394">
        <v>0.51834119999999995</v>
      </c>
      <c r="F4394" t="s">
        <v>43</v>
      </c>
      <c r="G4394">
        <v>-332.31330000000003</v>
      </c>
      <c r="H4394" s="1">
        <v>-4.0772020000000002E-6</v>
      </c>
      <c r="I4394">
        <v>141.357</v>
      </c>
      <c r="J4394">
        <v>-303.64699999999999</v>
      </c>
      <c r="K4394">
        <v>1.1080680000000001</v>
      </c>
      <c r="L4394">
        <v>141.48859999999999</v>
      </c>
      <c r="M4394">
        <v>-0.99897599999999998</v>
      </c>
      <c r="N4394">
        <v>0</v>
      </c>
      <c r="O4394">
        <v>-4.4312690000000002E-2</v>
      </c>
      <c r="P4394">
        <v>-0.98592310000000005</v>
      </c>
      <c r="Q4394">
        <v>0.15956479999999901</v>
      </c>
      <c r="R4394">
        <v>-4.9948480000000003E-2</v>
      </c>
      <c r="S4394">
        <v>-3.060883</v>
      </c>
      <c r="T4394">
        <v>-0.11661009999999999</v>
      </c>
      <c r="U4394">
        <v>-1.5777590000000001E-2</v>
      </c>
      <c r="V4394">
        <v>-5.6709389999999998E-3</v>
      </c>
      <c r="W4394">
        <v>0.16861029999999999</v>
      </c>
      <c r="X4394">
        <v>0.9856665</v>
      </c>
      <c r="Y4394">
        <v>3.9104E-2</v>
      </c>
      <c r="Z4394">
        <v>2.4317539999999999E-3</v>
      </c>
      <c r="AA4394">
        <v>0.99923220000000001</v>
      </c>
      <c r="AB4394">
        <v>43</v>
      </c>
      <c r="AC4394">
        <v>-28.6663</v>
      </c>
      <c r="AD4394">
        <v>-1.1080720772020001</v>
      </c>
      <c r="AE4394">
        <v>-0.131599999999991</v>
      </c>
      <c r="AF4394">
        <v>1.13716402730045</v>
      </c>
      <c r="AG4394">
        <v>-1.1080720772020001</v>
      </c>
      <c r="AH4394">
        <v>28.601237339475901</v>
      </c>
      <c r="AI4394">
        <v>92.216899601732507</v>
      </c>
      <c r="AJ4394">
        <v>87.7231614500988</v>
      </c>
      <c r="AK4394">
        <v>28.6452743589984</v>
      </c>
      <c r="AL4394">
        <v>80.292971415442196</v>
      </c>
      <c r="AM4394">
        <v>90.329642212153601</v>
      </c>
      <c r="AN4394">
        <v>1.0000000210187401</v>
      </c>
    </row>
    <row r="4395" spans="1:40" x14ac:dyDescent="0.25">
      <c r="A4395" t="str">
        <f>"20190312172459122"</f>
        <v>20190312172459122</v>
      </c>
      <c r="B4395" t="str">
        <f>"1552382699115092"</f>
        <v>1552382699115092</v>
      </c>
      <c r="C4395" t="s">
        <v>40</v>
      </c>
      <c r="D4395">
        <v>3.5708769999999999</v>
      </c>
      <c r="E4395">
        <v>0.51844760000000001</v>
      </c>
      <c r="F4395" t="s">
        <v>43</v>
      </c>
      <c r="G4395">
        <v>-333.14229999999998</v>
      </c>
      <c r="H4395" s="1">
        <v>-3.6961239999999999E-6</v>
      </c>
      <c r="I4395">
        <v>141.39769999999999</v>
      </c>
      <c r="J4395">
        <v>-304.10399999999998</v>
      </c>
      <c r="K4395">
        <v>1.1078840000000001</v>
      </c>
      <c r="L4395">
        <v>141.46960000000001</v>
      </c>
      <c r="M4395">
        <v>-0.99905469999999996</v>
      </c>
      <c r="N4395">
        <v>0</v>
      </c>
      <c r="O4395">
        <v>-4.2495020000000001E-2</v>
      </c>
      <c r="P4395">
        <v>-0.98596649999999997</v>
      </c>
      <c r="Q4395">
        <v>0.15994059999999999</v>
      </c>
      <c r="R4395">
        <v>-4.7847269999999997E-2</v>
      </c>
      <c r="S4395">
        <v>-3.0609739999999999</v>
      </c>
      <c r="T4395">
        <v>-0.11499379999999999</v>
      </c>
      <c r="U4395">
        <v>-9.4299320000000002E-3</v>
      </c>
      <c r="V4395">
        <v>-5.28846E-3</v>
      </c>
      <c r="W4395">
        <v>0.169009299999999</v>
      </c>
      <c r="X4395">
        <v>0.98560029999999998</v>
      </c>
      <c r="Y4395">
        <v>3.9360989999999998E-2</v>
      </c>
      <c r="Z4395">
        <v>2.334643E-3</v>
      </c>
      <c r="AA4395">
        <v>0.99922230000000001</v>
      </c>
      <c r="AB4395">
        <v>43</v>
      </c>
      <c r="AC4395">
        <v>-29.0382999999999</v>
      </c>
      <c r="AD4395">
        <v>-1.1078876961239901</v>
      </c>
      <c r="AE4395">
        <v>-7.1900000000027803E-2</v>
      </c>
      <c r="AF4395">
        <v>1.1605105935261899</v>
      </c>
      <c r="AG4395">
        <v>-1.1078876961239901</v>
      </c>
      <c r="AH4395">
        <v>28.972948950957498</v>
      </c>
      <c r="AI4395">
        <v>92.188095919934696</v>
      </c>
      <c r="AJ4395">
        <v>87.706245461335698</v>
      </c>
      <c r="AK4395">
        <v>29.017339142307598</v>
      </c>
      <c r="AL4395">
        <v>80.269777637431801</v>
      </c>
      <c r="AM4395">
        <v>90.307430436274103</v>
      </c>
      <c r="AN4395">
        <v>1.0000000313278701</v>
      </c>
    </row>
    <row r="4396" spans="1:40" x14ac:dyDescent="0.25">
      <c r="A4396" t="str">
        <f>"20190312172459144"</f>
        <v>20190312172459144</v>
      </c>
      <c r="B4396" t="str">
        <f>"1552382699134616"</f>
        <v>1552382699134616</v>
      </c>
      <c r="C4396" t="s">
        <v>40</v>
      </c>
      <c r="D4396">
        <v>3.5492629999999998</v>
      </c>
      <c r="E4396">
        <v>0.51853289999999996</v>
      </c>
      <c r="F4396" t="s">
        <v>43</v>
      </c>
      <c r="G4396">
        <v>-333.93340000000001</v>
      </c>
      <c r="H4396" s="1">
        <v>-3.3355979999999998E-6</v>
      </c>
      <c r="I4396">
        <v>141.44820000000001</v>
      </c>
      <c r="J4396">
        <v>-304.53500000000003</v>
      </c>
      <c r="K4396">
        <v>1.1077399999999999</v>
      </c>
      <c r="L4396">
        <v>141.45259999999999</v>
      </c>
      <c r="M4396">
        <v>-0.99912970000000001</v>
      </c>
      <c r="N4396">
        <v>0</v>
      </c>
      <c r="O4396">
        <v>-4.0687540000000001E-2</v>
      </c>
      <c r="P4396">
        <v>-0.98602290000000004</v>
      </c>
      <c r="Q4396">
        <v>0.1603078</v>
      </c>
      <c r="R4396">
        <v>-4.5392599999999998E-2</v>
      </c>
      <c r="S4396">
        <v>-3.061035</v>
      </c>
      <c r="T4396">
        <v>-0.11368929999999999</v>
      </c>
      <c r="U4396">
        <v>-2.1972659999999998E-3</v>
      </c>
      <c r="V4396">
        <v>-4.5564079999999996E-3</v>
      </c>
      <c r="W4396">
        <v>0.16939560000000001</v>
      </c>
      <c r="X4396">
        <v>0.98553760000000001</v>
      </c>
      <c r="Y4396">
        <v>3.9916460000000001E-2</v>
      </c>
      <c r="Z4396">
        <v>2.2514010000000001E-3</v>
      </c>
      <c r="AA4396">
        <v>0.99920050000000005</v>
      </c>
      <c r="AB4396">
        <v>43</v>
      </c>
      <c r="AC4396">
        <v>-29.398399999999899</v>
      </c>
      <c r="AD4396">
        <v>-1.107743335598</v>
      </c>
      <c r="AE4396">
        <v>-4.3999999999755303E-3</v>
      </c>
      <c r="AF4396">
        <v>1.1901129436917799</v>
      </c>
      <c r="AG4396">
        <v>-1.107743335598</v>
      </c>
      <c r="AH4396">
        <v>29.332585964478302</v>
      </c>
      <c r="AI4396">
        <v>92.160967633475096</v>
      </c>
      <c r="AJ4396">
        <v>87.676608903945507</v>
      </c>
      <c r="AK4396">
        <v>29.3776116027123</v>
      </c>
      <c r="AL4396">
        <v>80.247320123641799</v>
      </c>
      <c r="AM4396">
        <v>90.264892063094607</v>
      </c>
      <c r="AN4396">
        <v>0.99999999558349095</v>
      </c>
    </row>
    <row r="4397" spans="1:40" x14ac:dyDescent="0.25">
      <c r="A4397" t="str">
        <f>"20190312172459165"</f>
        <v>20190312172459165</v>
      </c>
      <c r="B4397" t="str">
        <f>"1552382699155108"</f>
        <v>1552382699155108</v>
      </c>
      <c r="C4397" t="s">
        <v>40</v>
      </c>
      <c r="D4397">
        <v>3.563733</v>
      </c>
      <c r="E4397">
        <v>0.51857580000000003</v>
      </c>
      <c r="F4397" t="s">
        <v>43</v>
      </c>
      <c r="G4397">
        <v>-334.67090000000002</v>
      </c>
      <c r="H4397" s="1">
        <v>-3.0031180000000002E-6</v>
      </c>
      <c r="I4397">
        <v>141.50880000000001</v>
      </c>
      <c r="J4397">
        <v>-304.94009999999997</v>
      </c>
      <c r="K4397">
        <v>1.1076239999999999</v>
      </c>
      <c r="L4397">
        <v>141.43729999999999</v>
      </c>
      <c r="M4397">
        <v>-0.99919959999999997</v>
      </c>
      <c r="N4397">
        <v>0</v>
      </c>
      <c r="O4397">
        <v>-3.8931779999999999E-2</v>
      </c>
      <c r="P4397">
        <v>-0.98609919999999995</v>
      </c>
      <c r="Q4397">
        <v>0.16040380000000001</v>
      </c>
      <c r="R4397">
        <v>-4.3348949999999997E-2</v>
      </c>
      <c r="S4397">
        <v>-3.061096</v>
      </c>
      <c r="T4397">
        <v>-0.1125207</v>
      </c>
      <c r="U4397">
        <v>5.7067869999999996E-3</v>
      </c>
      <c r="V4397">
        <v>-4.1958799999999999E-3</v>
      </c>
      <c r="W4397">
        <v>0.169510299999999</v>
      </c>
      <c r="X4397">
        <v>0.98551949999999999</v>
      </c>
      <c r="Y4397">
        <v>4.0742430000000003E-2</v>
      </c>
      <c r="Z4397">
        <v>2.1789420000000001E-3</v>
      </c>
      <c r="AA4397">
        <v>0.99916729999999998</v>
      </c>
      <c r="AB4397">
        <v>43</v>
      </c>
      <c r="AC4397">
        <v>-29.730799999999999</v>
      </c>
      <c r="AD4397">
        <v>-1.107627003118</v>
      </c>
      <c r="AE4397">
        <v>7.1500000000014496E-2</v>
      </c>
      <c r="AF4397">
        <v>1.227264274548</v>
      </c>
      <c r="AG4397">
        <v>-1.107627003118</v>
      </c>
      <c r="AH4397">
        <v>29.6643022341006</v>
      </c>
      <c r="AI4397">
        <v>92.136531557195198</v>
      </c>
      <c r="AJ4397">
        <v>87.630924026933002</v>
      </c>
      <c r="AK4397">
        <v>29.710332246773799</v>
      </c>
      <c r="AL4397">
        <v>80.240652064840802</v>
      </c>
      <c r="AM4397">
        <v>90.243937093866705</v>
      </c>
      <c r="AN4397">
        <v>1.0000000160476501</v>
      </c>
    </row>
    <row r="4398" spans="1:40" x14ac:dyDescent="0.25">
      <c r="A4398" t="str">
        <f>"20190312172459188"</f>
        <v>20190312172459188</v>
      </c>
      <c r="B4398" t="str">
        <f>"1552382699184389"</f>
        <v>1552382699184389</v>
      </c>
      <c r="C4398" t="s">
        <v>40</v>
      </c>
      <c r="D4398">
        <v>3.5598930000000002</v>
      </c>
      <c r="E4398">
        <v>0.51864120000000002</v>
      </c>
      <c r="F4398" t="s">
        <v>43</v>
      </c>
      <c r="G4398">
        <v>-335.0016</v>
      </c>
      <c r="H4398" s="1">
        <v>-2.860003E-6</v>
      </c>
      <c r="I4398">
        <v>141.55840000000001</v>
      </c>
      <c r="J4398">
        <v>-305.37959999999998</v>
      </c>
      <c r="K4398">
        <v>1.1075170000000001</v>
      </c>
      <c r="L4398">
        <v>141.42160000000001</v>
      </c>
      <c r="M4398">
        <v>-0.99927330000000003</v>
      </c>
      <c r="N4398">
        <v>0</v>
      </c>
      <c r="O4398">
        <v>-3.6980979999999997E-2</v>
      </c>
      <c r="P4398">
        <v>-0.98612739999999999</v>
      </c>
      <c r="Q4398">
        <v>0.16076389999999999</v>
      </c>
      <c r="R4398">
        <v>-4.132595E-2</v>
      </c>
      <c r="S4398">
        <v>-3.061188</v>
      </c>
      <c r="T4398">
        <v>-0.1127908</v>
      </c>
      <c r="U4398">
        <v>1.2329100000000001E-2</v>
      </c>
      <c r="V4398">
        <v>-4.0536909999999999E-3</v>
      </c>
      <c r="W4398">
        <v>0.1698886</v>
      </c>
      <c r="X4398">
        <v>0.98545490000000002</v>
      </c>
      <c r="Y4398">
        <v>4.0954160000000003E-2</v>
      </c>
      <c r="Z4398">
        <v>2.1161919999999998E-3</v>
      </c>
      <c r="AA4398">
        <v>0.99915880000000001</v>
      </c>
      <c r="AB4398">
        <v>43</v>
      </c>
      <c r="AC4398">
        <v>-29.622</v>
      </c>
      <c r="AD4398">
        <v>-1.1075198600030001</v>
      </c>
      <c r="AE4398">
        <v>0.13679999999999301</v>
      </c>
      <c r="AF4398">
        <v>1.2304836694366399</v>
      </c>
      <c r="AG4398">
        <v>-1.1075198600030001</v>
      </c>
      <c r="AH4398">
        <v>29.555362322095899</v>
      </c>
      <c r="AI4398">
        <v>92.144168949820894</v>
      </c>
      <c r="AJ4398">
        <v>87.615971388665997</v>
      </c>
      <c r="AK4398">
        <v>29.601691375518001</v>
      </c>
      <c r="AL4398">
        <v>80.218657557351605</v>
      </c>
      <c r="AM4398">
        <v>90.235686154422496</v>
      </c>
      <c r="AN4398">
        <v>0.99999996437734595</v>
      </c>
    </row>
    <row r="4399" spans="1:40" x14ac:dyDescent="0.25">
      <c r="A4399" t="str">
        <f>"20190312172459202"</f>
        <v>20190312172459202</v>
      </c>
      <c r="B4399" t="str">
        <f>"1552382699195125"</f>
        <v>1552382699195125</v>
      </c>
      <c r="C4399" t="s">
        <v>40</v>
      </c>
      <c r="D4399">
        <v>3.5745100000000001</v>
      </c>
      <c r="E4399">
        <v>0.51866099999999904</v>
      </c>
      <c r="F4399" t="s">
        <v>43</v>
      </c>
      <c r="G4399">
        <v>-335.57889999999998</v>
      </c>
      <c r="H4399" s="1">
        <v>-2.6022350000000002E-6</v>
      </c>
      <c r="I4399">
        <v>141.61529999999999</v>
      </c>
      <c r="J4399">
        <v>-305.6601</v>
      </c>
      <c r="K4399">
        <v>1.1074580000000001</v>
      </c>
      <c r="L4399">
        <v>141.4119</v>
      </c>
      <c r="M4399">
        <v>-0.99931910000000002</v>
      </c>
      <c r="N4399">
        <v>0</v>
      </c>
      <c r="O4399">
        <v>-3.5719939999999999E-2</v>
      </c>
      <c r="P4399">
        <v>-0.98611800000000005</v>
      </c>
      <c r="Q4399">
        <v>0.161137</v>
      </c>
      <c r="R4399">
        <v>-4.0080409999999997E-2</v>
      </c>
      <c r="S4399">
        <v>-3.0613709999999998</v>
      </c>
      <c r="T4399">
        <v>-0.1122717</v>
      </c>
      <c r="U4399">
        <v>1.9638059999999999E-2</v>
      </c>
      <c r="V4399">
        <v>-4.0285149999999999E-3</v>
      </c>
      <c r="W4399">
        <v>0.17027339999999999</v>
      </c>
      <c r="X4399">
        <v>0.98538859999999995</v>
      </c>
      <c r="Y4399">
        <v>4.207901E-2</v>
      </c>
      <c r="Z4399">
        <v>2.0807400000000002E-3</v>
      </c>
      <c r="AA4399">
        <v>0.99911209999999995</v>
      </c>
      <c r="AB4399">
        <v>43</v>
      </c>
      <c r="AC4399">
        <v>-29.918799999999901</v>
      </c>
      <c r="AD4399">
        <v>-1.107460602235</v>
      </c>
      <c r="AE4399">
        <v>0.20339999999998701</v>
      </c>
      <c r="AF4399">
        <v>1.2702731912776299</v>
      </c>
      <c r="AG4399">
        <v>-1.107460602235</v>
      </c>
      <c r="AH4399">
        <v>29.8515404118954</v>
      </c>
      <c r="AI4399">
        <v>92.122719253600707</v>
      </c>
      <c r="AJ4399">
        <v>87.563361570435703</v>
      </c>
      <c r="AK4399">
        <v>29.899072359004801</v>
      </c>
      <c r="AL4399">
        <v>80.196284280465406</v>
      </c>
      <c r="AM4399">
        <v>90.234238168856805</v>
      </c>
      <c r="AN4399">
        <v>0.99999997634531201</v>
      </c>
    </row>
    <row r="4400" spans="1:40" x14ac:dyDescent="0.25">
      <c r="A4400" t="str">
        <f>"20190312172459223"</f>
        <v>20190312172459223</v>
      </c>
      <c r="B4400" t="str">
        <f>"1552382699214707"</f>
        <v>1552382699214707</v>
      </c>
      <c r="C4400" t="s">
        <v>40</v>
      </c>
      <c r="D4400">
        <v>3.550449</v>
      </c>
      <c r="E4400">
        <v>0.51866639999999997</v>
      </c>
      <c r="F4400" t="s">
        <v>43</v>
      </c>
      <c r="G4400">
        <v>-336.11450000000002</v>
      </c>
      <c r="H4400" s="1">
        <v>-2.3578819999999998E-6</v>
      </c>
      <c r="I4400">
        <v>141.64859999999999</v>
      </c>
      <c r="J4400">
        <v>-306.05689999999998</v>
      </c>
      <c r="K4400">
        <v>1.10738799999999</v>
      </c>
      <c r="L4400">
        <v>141.3989</v>
      </c>
      <c r="M4400">
        <v>-0.99938170000000004</v>
      </c>
      <c r="N4400">
        <v>0</v>
      </c>
      <c r="O4400">
        <v>-3.3917290000000003E-2</v>
      </c>
      <c r="P4400">
        <v>-0.98605370000000003</v>
      </c>
      <c r="Q4400">
        <v>0.16185529999999901</v>
      </c>
      <c r="R4400">
        <v>-3.8741879999999999E-2</v>
      </c>
      <c r="S4400">
        <v>-3.0613709999999998</v>
      </c>
      <c r="T4400">
        <v>-0.1113251</v>
      </c>
      <c r="U4400">
        <v>2.3788449999999999E-2</v>
      </c>
      <c r="V4400">
        <v>-4.4390769999999996E-3</v>
      </c>
      <c r="W4400">
        <v>0.1710092</v>
      </c>
      <c r="X4400">
        <v>0.98525940000000001</v>
      </c>
      <c r="Y4400">
        <v>4.1633610000000001E-2</v>
      </c>
      <c r="Z4400">
        <v>1.9896050000000002E-3</v>
      </c>
      <c r="AA4400">
        <v>0.99913099999999999</v>
      </c>
      <c r="AB4400">
        <v>43</v>
      </c>
      <c r="AC4400">
        <v>-30.057600000000001</v>
      </c>
      <c r="AD4400">
        <v>-1.1073903578819999</v>
      </c>
      <c r="AE4400">
        <v>0.24969999999999001</v>
      </c>
      <c r="AF4400">
        <v>1.26735228708535</v>
      </c>
      <c r="AG4400">
        <v>-1.1073903578819999</v>
      </c>
      <c r="AH4400">
        <v>29.9911294131572</v>
      </c>
      <c r="AI4400">
        <v>92.112740870558</v>
      </c>
      <c r="AJ4400">
        <v>87.580259143807396</v>
      </c>
      <c r="AK4400">
        <v>30.0383145116542</v>
      </c>
      <c r="AL4400">
        <v>80.153498437081694</v>
      </c>
      <c r="AM4400">
        <v>90.258143851319701</v>
      </c>
      <c r="AN4400">
        <v>0.99999996858880502</v>
      </c>
    </row>
    <row r="4401" spans="1:40" x14ac:dyDescent="0.25">
      <c r="A4401" t="str">
        <f>"20190312172459244"</f>
        <v>20190312172459244</v>
      </c>
      <c r="B4401" t="str">
        <f>"1552382699235204"</f>
        <v>1552382699235204</v>
      </c>
      <c r="C4401" t="s">
        <v>40</v>
      </c>
      <c r="D4401">
        <v>3.5587879999999998</v>
      </c>
      <c r="E4401">
        <v>0.51864200000000005</v>
      </c>
      <c r="F4401" t="s">
        <v>43</v>
      </c>
      <c r="G4401">
        <v>-337.05459999999999</v>
      </c>
      <c r="H4401" s="1">
        <v>-1.922959E-6</v>
      </c>
      <c r="I4401">
        <v>141.684</v>
      </c>
      <c r="J4401">
        <v>-306.49020000000002</v>
      </c>
      <c r="K4401">
        <v>1.1073230000000001</v>
      </c>
      <c r="L4401">
        <v>141.38560000000001</v>
      </c>
      <c r="M4401">
        <v>-0.99944699999999997</v>
      </c>
      <c r="N4401">
        <v>0</v>
      </c>
      <c r="O4401">
        <v>-3.1935999999999999E-2</v>
      </c>
      <c r="P4401">
        <v>-0.98600100000000002</v>
      </c>
      <c r="Q4401">
        <v>0.162515299999999</v>
      </c>
      <c r="R4401">
        <v>-3.7298150000000002E-2</v>
      </c>
      <c r="S4401">
        <v>-3.061493</v>
      </c>
      <c r="T4401">
        <v>-0.10937180000000001</v>
      </c>
      <c r="U4401">
        <v>2.8152469999999999E-2</v>
      </c>
      <c r="V4401">
        <v>-4.9223879999999998E-3</v>
      </c>
      <c r="W4401">
        <v>0.17168900000000001</v>
      </c>
      <c r="X4401">
        <v>0.98513890000000004</v>
      </c>
      <c r="Y4401">
        <v>4.1080039999999998E-2</v>
      </c>
      <c r="Z4401">
        <v>1.8740129999999999E-3</v>
      </c>
      <c r="AA4401">
        <v>0.99915410000000004</v>
      </c>
      <c r="AB4401">
        <v>43</v>
      </c>
      <c r="AC4401">
        <v>-30.5643999999999</v>
      </c>
      <c r="AD4401">
        <v>-1.1073249229590001</v>
      </c>
      <c r="AE4401">
        <v>0.29839999999998601</v>
      </c>
      <c r="AF4401">
        <v>1.2727239626187601</v>
      </c>
      <c r="AG4401">
        <v>-1.1073249229590001</v>
      </c>
      <c r="AH4401">
        <v>30.499249925548199</v>
      </c>
      <c r="AI4401">
        <v>92.077496782597095</v>
      </c>
      <c r="AJ4401">
        <v>87.6104517950927</v>
      </c>
      <c r="AK4401">
        <v>30.545871092360098</v>
      </c>
      <c r="AL4401">
        <v>80.113964353872603</v>
      </c>
      <c r="AM4401">
        <v>90.286284208702099</v>
      </c>
      <c r="AN4401">
        <v>0.99999999745891599</v>
      </c>
    </row>
    <row r="4402" spans="1:40" x14ac:dyDescent="0.25">
      <c r="A4402" t="str">
        <f>"20190312172459267"</f>
        <v>20190312172459267</v>
      </c>
      <c r="B4402" t="str">
        <f>"1552382699264484"</f>
        <v>1552382699264484</v>
      </c>
      <c r="C4402" t="s">
        <v>40</v>
      </c>
      <c r="D4402">
        <v>3.724834</v>
      </c>
      <c r="E4402">
        <v>0.51865859999999997</v>
      </c>
      <c r="F4402" t="s">
        <v>43</v>
      </c>
      <c r="G4402">
        <v>-337.98270000000002</v>
      </c>
      <c r="H4402" s="1">
        <v>-1.4938999999999901E-6</v>
      </c>
      <c r="I4402">
        <v>141.72040000000001</v>
      </c>
      <c r="J4402">
        <v>-306.92059999999998</v>
      </c>
      <c r="K4402">
        <v>1.1072690000000001</v>
      </c>
      <c r="L4402">
        <v>141.3732</v>
      </c>
      <c r="M4402">
        <v>-0.9995079</v>
      </c>
      <c r="N4402">
        <v>0</v>
      </c>
      <c r="O4402">
        <v>-2.996132E-2</v>
      </c>
      <c r="P4402">
        <v>-0.98585639999999997</v>
      </c>
      <c r="Q4402">
        <v>0.16363039999999901</v>
      </c>
      <c r="R4402">
        <v>-3.622359E-2</v>
      </c>
      <c r="S4402">
        <v>-3.0615230000000002</v>
      </c>
      <c r="T4402">
        <v>-0.1076478</v>
      </c>
      <c r="U4402">
        <v>3.2547E-2</v>
      </c>
      <c r="V4402">
        <v>-5.7724079999999997E-3</v>
      </c>
      <c r="W4402">
        <v>0.17282709999999901</v>
      </c>
      <c r="X4402">
        <v>0.98493529999999996</v>
      </c>
      <c r="Y4402">
        <v>4.0542960000000003E-2</v>
      </c>
      <c r="Z4402">
        <v>1.765635E-3</v>
      </c>
      <c r="AA4402">
        <v>0.99917630000000002</v>
      </c>
      <c r="AB4402">
        <v>44</v>
      </c>
      <c r="AC4402">
        <v>-31.062100000000001</v>
      </c>
      <c r="AD4402">
        <v>-1.1072704939</v>
      </c>
      <c r="AE4402">
        <v>0.347200000000015</v>
      </c>
      <c r="AF4402">
        <v>1.27612440301735</v>
      </c>
      <c r="AG4402">
        <v>-1.1072704939</v>
      </c>
      <c r="AH4402">
        <v>30.998365766989199</v>
      </c>
      <c r="AI4402">
        <v>92.044021987217704</v>
      </c>
      <c r="AJ4402">
        <v>87.642608648863202</v>
      </c>
      <c r="AK4402">
        <v>31.044375040620299</v>
      </c>
      <c r="AL4402">
        <v>80.047766877379601</v>
      </c>
      <c r="AM4402">
        <v>90.335789395952503</v>
      </c>
      <c r="AN4402">
        <v>1.0000000361873</v>
      </c>
    </row>
    <row r="4403" spans="1:40" x14ac:dyDescent="0.25">
      <c r="A4403" t="str">
        <f>"20190312172459288"</f>
        <v>20190312172459288</v>
      </c>
      <c r="B4403" t="str">
        <f>"1552382699284979"</f>
        <v>1552382699284979</v>
      </c>
      <c r="C4403" t="s">
        <v>40</v>
      </c>
      <c r="D4403">
        <v>3.5576729999999999</v>
      </c>
      <c r="E4403">
        <v>0.51865790000000001</v>
      </c>
      <c r="F4403" t="s">
        <v>43</v>
      </c>
      <c r="G4403">
        <v>-339.29759999999999</v>
      </c>
      <c r="H4403" s="1">
        <v>-8.807493E-7</v>
      </c>
      <c r="I4403">
        <v>141.75200000000001</v>
      </c>
      <c r="J4403">
        <v>-307.33600000000001</v>
      </c>
      <c r="K4403">
        <v>1.1072310000000001</v>
      </c>
      <c r="L4403">
        <v>141.3621</v>
      </c>
      <c r="M4403">
        <v>-0.99956310000000004</v>
      </c>
      <c r="N4403">
        <v>0</v>
      </c>
      <c r="O4403">
        <v>-2.8052259999999999E-2</v>
      </c>
      <c r="P4403">
        <v>-0.98565069999999999</v>
      </c>
      <c r="Q4403">
        <v>0.16520499999999999</v>
      </c>
      <c r="R4403">
        <v>-3.4642609999999997E-2</v>
      </c>
      <c r="S4403">
        <v>-3.0617369999999999</v>
      </c>
      <c r="T4403">
        <v>-0.1047091</v>
      </c>
      <c r="U4403">
        <v>3.5812379999999998E-2</v>
      </c>
      <c r="V4403">
        <v>-6.0529399999999997E-3</v>
      </c>
      <c r="W4403">
        <v>0.17442279999999999</v>
      </c>
      <c r="X4403">
        <v>0.98465230000000004</v>
      </c>
      <c r="Y4403">
        <v>3.9703290000000002E-2</v>
      </c>
      <c r="Z4403">
        <v>1.63773E-3</v>
      </c>
      <c r="AA4403">
        <v>0.99921020000000005</v>
      </c>
      <c r="AB4403">
        <v>44</v>
      </c>
      <c r="AC4403">
        <v>-31.961599999999901</v>
      </c>
      <c r="AD4403">
        <v>-1.10723188074929</v>
      </c>
      <c r="AE4403">
        <v>0.38990000000001102</v>
      </c>
      <c r="AF4403">
        <v>1.28483880351702</v>
      </c>
      <c r="AG4403">
        <v>-1.10723188074929</v>
      </c>
      <c r="AH4403">
        <v>31.8998051263113</v>
      </c>
      <c r="AI4403">
        <v>91.986310626508399</v>
      </c>
      <c r="AJ4403">
        <v>87.693525990966407</v>
      </c>
      <c r="AK4403">
        <v>31.9448640674117</v>
      </c>
      <c r="AL4403">
        <v>79.954930129629204</v>
      </c>
      <c r="AM4403">
        <v>90.3522091475553</v>
      </c>
      <c r="AN4403">
        <v>1.0000000515688801</v>
      </c>
    </row>
    <row r="4404" spans="1:40" x14ac:dyDescent="0.25">
      <c r="A4404" t="str">
        <f>"20190312172459323"</f>
        <v>20190312172459323</v>
      </c>
      <c r="B4404" t="str">
        <f>"1552382699315235"</f>
        <v>1552382699315235</v>
      </c>
      <c r="C4404" t="s">
        <v>40</v>
      </c>
      <c r="D4404">
        <v>3.5672769999999998</v>
      </c>
      <c r="E4404">
        <v>0.51863119999999996</v>
      </c>
      <c r="F4404" t="s">
        <v>43</v>
      </c>
      <c r="G4404">
        <v>-341.18220000000002</v>
      </c>
      <c r="H4404" s="1">
        <v>-4.2624059999999998E-6</v>
      </c>
      <c r="I4404">
        <v>141.80760000000001</v>
      </c>
      <c r="J4404">
        <v>-308.00810000000001</v>
      </c>
      <c r="K4404">
        <v>1.107173</v>
      </c>
      <c r="L4404">
        <v>141.34569999999999</v>
      </c>
      <c r="M4404">
        <v>-0.9996448</v>
      </c>
      <c r="N4404">
        <v>0</v>
      </c>
      <c r="O4404">
        <v>-2.4960610000000001E-2</v>
      </c>
      <c r="P4404">
        <v>-0.98558069999999998</v>
      </c>
      <c r="Q4404">
        <v>0.16628219999999999</v>
      </c>
      <c r="R4404">
        <v>-3.1321719999999997E-2</v>
      </c>
      <c r="S4404">
        <v>-3.06189</v>
      </c>
      <c r="T4404">
        <v>-0.10016600000000001</v>
      </c>
      <c r="U4404">
        <v>4.0313719999999997E-2</v>
      </c>
      <c r="V4404">
        <v>-5.751295E-3</v>
      </c>
      <c r="W4404">
        <v>0.17553350000000001</v>
      </c>
      <c r="X4404">
        <v>0.98445669999999996</v>
      </c>
      <c r="Y4404">
        <v>3.808686E-2</v>
      </c>
      <c r="Z4404">
        <v>1.4390970000000001E-3</v>
      </c>
      <c r="AA4404">
        <v>0.99927339999999998</v>
      </c>
      <c r="AB4404">
        <v>44</v>
      </c>
      <c r="AC4404">
        <v>-33.174100000000003</v>
      </c>
      <c r="AD4404">
        <v>-1.1071772624059999</v>
      </c>
      <c r="AE4404">
        <v>0.46190000000001402</v>
      </c>
      <c r="AF4404">
        <v>1.2884031300077701</v>
      </c>
      <c r="AG4404">
        <v>-1.1071772624059999</v>
      </c>
      <c r="AH4404">
        <v>33.115354237051399</v>
      </c>
      <c r="AI4404">
        <v>91.9134646130953</v>
      </c>
      <c r="AJ4404">
        <v>87.7719444774458</v>
      </c>
      <c r="AK4404">
        <v>33.158897906311701</v>
      </c>
      <c r="AL4404">
        <v>79.890294417350802</v>
      </c>
      <c r="AM4404">
        <v>90.334723895323094</v>
      </c>
      <c r="AN4404">
        <v>1.00000004059565</v>
      </c>
    </row>
    <row r="4405" spans="1:40" x14ac:dyDescent="0.25">
      <c r="A4405" t="str">
        <f>"20190312172459345"</f>
        <v>20190312172459345</v>
      </c>
      <c r="B4405" t="str">
        <f>"1552382699334759"</f>
        <v>1552382699334759</v>
      </c>
      <c r="C4405" t="s">
        <v>40</v>
      </c>
      <c r="D4405">
        <v>3.5697199999999998</v>
      </c>
      <c r="E4405">
        <v>0.51861239999999997</v>
      </c>
      <c r="F4405" t="s">
        <v>43</v>
      </c>
      <c r="G4405">
        <v>-342.7088</v>
      </c>
      <c r="H4405" s="1">
        <v>-3.7209400000000001E-6</v>
      </c>
      <c r="I4405">
        <v>141.91159999999999</v>
      </c>
      <c r="J4405">
        <v>-308.4409</v>
      </c>
      <c r="K4405">
        <v>1.10714</v>
      </c>
      <c r="L4405">
        <v>141.33629999999999</v>
      </c>
      <c r="M4405">
        <v>-0.99969229999999998</v>
      </c>
      <c r="N4405">
        <v>0</v>
      </c>
      <c r="O4405">
        <v>-2.2968300000000001E-2</v>
      </c>
      <c r="P4405">
        <v>-0.98567590000000005</v>
      </c>
      <c r="Q4405">
        <v>0.166051</v>
      </c>
      <c r="R4405">
        <v>-2.9505529999999999E-2</v>
      </c>
      <c r="S4405">
        <v>-3.0619200000000002</v>
      </c>
      <c r="T4405">
        <v>-9.7695470000000006E-2</v>
      </c>
      <c r="U4405">
        <v>4.9942019999999997E-2</v>
      </c>
      <c r="V4405">
        <v>-5.8853019999999898E-3</v>
      </c>
      <c r="W4405">
        <v>0.17532600000000001</v>
      </c>
      <c r="X4405">
        <v>0.98449279999999995</v>
      </c>
      <c r="Y4405">
        <v>3.9238809999999999E-2</v>
      </c>
      <c r="Z4405">
        <v>1.3584109999999999E-3</v>
      </c>
      <c r="AA4405">
        <v>0.99922900000000003</v>
      </c>
      <c r="AB4405">
        <v>44</v>
      </c>
      <c r="AC4405">
        <v>-34.267899999999997</v>
      </c>
      <c r="AD4405">
        <v>-1.1071437209399999</v>
      </c>
      <c r="AE4405">
        <v>0.57529999999999804</v>
      </c>
      <c r="AF4405">
        <v>1.36083807269923</v>
      </c>
      <c r="AG4405">
        <v>-1.1071437209399999</v>
      </c>
      <c r="AH4405">
        <v>34.209945306807597</v>
      </c>
      <c r="AI4405">
        <v>91.852164699777305</v>
      </c>
      <c r="AJ4405">
        <v>87.7220311077199</v>
      </c>
      <c r="AK4405">
        <v>34.254897538508096</v>
      </c>
      <c r="AL4405">
        <v>79.902369727469605</v>
      </c>
      <c r="AM4405">
        <v>90.342510325138306</v>
      </c>
      <c r="AN4405">
        <v>0.99999995815373399</v>
      </c>
    </row>
    <row r="4406" spans="1:40" x14ac:dyDescent="0.25">
      <c r="A4406" t="str">
        <f>"20190312172459366"</f>
        <v>20190312172459366</v>
      </c>
      <c r="B4406" t="str">
        <f>"1552382699355251"</f>
        <v>1552382699355251</v>
      </c>
      <c r="C4406" t="s">
        <v>40</v>
      </c>
      <c r="D4406">
        <v>3.5800930000000002</v>
      </c>
      <c r="E4406">
        <v>0.51859089999999997</v>
      </c>
      <c r="F4406" t="s">
        <v>43</v>
      </c>
      <c r="G4406">
        <v>-342.6429</v>
      </c>
      <c r="H4406" s="1">
        <v>-3.7595830000000001E-6</v>
      </c>
      <c r="I4406">
        <v>141.95060000000001</v>
      </c>
      <c r="J4406">
        <v>-308.86559999999997</v>
      </c>
      <c r="K4406">
        <v>1.1071070000000001</v>
      </c>
      <c r="L4406">
        <v>141.3279</v>
      </c>
      <c r="M4406">
        <v>-0.99973509999999999</v>
      </c>
      <c r="N4406">
        <v>0</v>
      </c>
      <c r="O4406">
        <v>-2.1012260000000001E-2</v>
      </c>
      <c r="P4406">
        <v>-0.98572029999999999</v>
      </c>
      <c r="Q4406">
        <v>0.16597410000000001</v>
      </c>
      <c r="R4406">
        <v>-2.8433969999999999E-2</v>
      </c>
      <c r="S4406">
        <v>-3.0619510000000001</v>
      </c>
      <c r="T4406">
        <v>-9.9117880000000005E-2</v>
      </c>
      <c r="U4406">
        <v>5.5007929999999997E-2</v>
      </c>
      <c r="V4406">
        <v>-6.7303600000000003E-3</v>
      </c>
      <c r="W4406">
        <v>0.1752754</v>
      </c>
      <c r="X4406">
        <v>0.9844965</v>
      </c>
      <c r="Y4406">
        <v>3.8936539999999999E-2</v>
      </c>
      <c r="Z4406">
        <v>1.3099639999999901E-3</v>
      </c>
      <c r="AA4406">
        <v>0.99924080000000004</v>
      </c>
      <c r="AB4406">
        <v>44</v>
      </c>
      <c r="AC4406">
        <v>-33.777299999999997</v>
      </c>
      <c r="AD4406">
        <v>-1.1071107595829901</v>
      </c>
      <c r="AE4406">
        <v>0.62270000000000802</v>
      </c>
      <c r="AF4406">
        <v>1.3309018991960899</v>
      </c>
      <c r="AG4406">
        <v>-1.1071107595829901</v>
      </c>
      <c r="AH4406">
        <v>33.720542783419198</v>
      </c>
      <c r="AI4406">
        <v>91.878994086912797</v>
      </c>
      <c r="AJ4406">
        <v>87.739790153716598</v>
      </c>
      <c r="AK4406">
        <v>33.7649522390847</v>
      </c>
      <c r="AL4406">
        <v>79.9053155435316</v>
      </c>
      <c r="AM4406">
        <v>90.3916877463285</v>
      </c>
      <c r="AN4406">
        <v>1.00000006105156</v>
      </c>
    </row>
    <row r="4407" spans="1:40" x14ac:dyDescent="0.25">
      <c r="A4407" t="str">
        <f>"20190312172459390"</f>
        <v>20190312172459390</v>
      </c>
      <c r="B4407" t="str">
        <f>"1552382699384531"</f>
        <v>1552382699384531</v>
      </c>
      <c r="C4407" t="s">
        <v>40</v>
      </c>
      <c r="D4407">
        <v>3.5676770000000002</v>
      </c>
      <c r="E4407">
        <v>0.51855549999999995</v>
      </c>
      <c r="F4407" t="s">
        <v>43</v>
      </c>
      <c r="G4407">
        <v>-342.81779999999998</v>
      </c>
      <c r="H4407" s="1">
        <v>-3.6913009999999999E-6</v>
      </c>
      <c r="I4407">
        <v>141.976</v>
      </c>
      <c r="J4407">
        <v>-309.32310000000001</v>
      </c>
      <c r="K4407">
        <v>1.1070819999999999</v>
      </c>
      <c r="L4407">
        <v>141.31979999999999</v>
      </c>
      <c r="M4407">
        <v>-0.99977700000000003</v>
      </c>
      <c r="N4407">
        <v>0</v>
      </c>
      <c r="O4407">
        <v>-1.890592E-2</v>
      </c>
      <c r="P4407">
        <v>-0.9858015</v>
      </c>
      <c r="Q4407">
        <v>0.16577890000000001</v>
      </c>
      <c r="R4407">
        <v>-2.6706270000000001E-2</v>
      </c>
      <c r="S4407">
        <v>-3.0619510000000001</v>
      </c>
      <c r="T4407">
        <v>-9.9843979999999999E-2</v>
      </c>
      <c r="U4407">
        <v>5.8456420000000002E-2</v>
      </c>
      <c r="V4407">
        <v>-7.0704549999999998E-3</v>
      </c>
      <c r="W4407">
        <v>0.17510400000000001</v>
      </c>
      <c r="X4407">
        <v>0.98452450000000002</v>
      </c>
      <c r="Y4407">
        <v>3.7957440000000002E-2</v>
      </c>
      <c r="Z4407">
        <v>1.2349279999999999E-3</v>
      </c>
      <c r="AA4407">
        <v>0.99927860000000002</v>
      </c>
      <c r="AB4407">
        <v>44</v>
      </c>
      <c r="AC4407">
        <v>-33.494699999999902</v>
      </c>
      <c r="AD4407">
        <v>-1.1070856913010001</v>
      </c>
      <c r="AE4407">
        <v>0.656200000000012</v>
      </c>
      <c r="AF4407">
        <v>1.28795234007495</v>
      </c>
      <c r="AG4407">
        <v>-1.1070856913010001</v>
      </c>
      <c r="AH4407">
        <v>33.439788237843302</v>
      </c>
      <c r="AI4407">
        <v>91.894785716557607</v>
      </c>
      <c r="AJ4407">
        <v>87.794310919909805</v>
      </c>
      <c r="AK4407">
        <v>33.482889620670299</v>
      </c>
      <c r="AL4407">
        <v>79.915289136179297</v>
      </c>
      <c r="AM4407">
        <v>90.411467938527807</v>
      </c>
      <c r="AN4407">
        <v>0.99999994662507696</v>
      </c>
    </row>
    <row r="4408" spans="1:40" x14ac:dyDescent="0.25">
      <c r="A4408" t="str">
        <f>"20190312172459412"</f>
        <v>20190312172459412</v>
      </c>
      <c r="B4408" t="str">
        <f>"1552382699405040"</f>
        <v>1552382699405040</v>
      </c>
      <c r="C4408" t="s">
        <v>40</v>
      </c>
      <c r="D4408">
        <v>3.5941230000000002</v>
      </c>
      <c r="E4408">
        <v>0.51851919999999996</v>
      </c>
      <c r="F4408" t="s">
        <v>43</v>
      </c>
      <c r="G4408">
        <v>-342.70650000000001</v>
      </c>
      <c r="H4408" s="1">
        <v>-3.747075E-6</v>
      </c>
      <c r="I4408">
        <v>142.0061</v>
      </c>
      <c r="J4408">
        <v>-309.76859999999999</v>
      </c>
      <c r="K4408">
        <v>1.107067</v>
      </c>
      <c r="L4408">
        <v>141.31280000000001</v>
      </c>
      <c r="M4408">
        <v>-0.99981339999999996</v>
      </c>
      <c r="N4408">
        <v>0</v>
      </c>
      <c r="O4408">
        <v>-1.6858720000000001E-2</v>
      </c>
      <c r="P4408">
        <v>-0.98593850000000005</v>
      </c>
      <c r="Q4408">
        <v>0.16528889999999999</v>
      </c>
      <c r="R4408">
        <v>-2.4594689999999999E-2</v>
      </c>
      <c r="S4408">
        <v>-3.0619510000000001</v>
      </c>
      <c r="T4408">
        <v>-0.1015431</v>
      </c>
      <c r="U4408">
        <v>6.2957760000000001E-2</v>
      </c>
      <c r="V4408">
        <v>-6.97199E-3</v>
      </c>
      <c r="W4408">
        <v>0.17463499999999901</v>
      </c>
      <c r="X4408">
        <v>0.9846085</v>
      </c>
      <c r="Y4408">
        <v>3.7380169999999997E-2</v>
      </c>
      <c r="Z4408">
        <v>1.1784810000000001E-3</v>
      </c>
      <c r="AA4408">
        <v>0.99930039999999998</v>
      </c>
      <c r="AB4408">
        <v>44</v>
      </c>
      <c r="AC4408">
        <v>-32.937899999999999</v>
      </c>
      <c r="AD4408">
        <v>-1.1070707470749901</v>
      </c>
      <c r="AE4408">
        <v>0.69329999999999303</v>
      </c>
      <c r="AF4408">
        <v>1.24710877067852</v>
      </c>
      <c r="AG4408">
        <v>-1.1070707470749901</v>
      </c>
      <c r="AH4408">
        <v>32.884397140809099</v>
      </c>
      <c r="AI4408">
        <v>91.926780682658702</v>
      </c>
      <c r="AJ4408">
        <v>87.8281541078847</v>
      </c>
      <c r="AK4408">
        <v>32.926652748789799</v>
      </c>
      <c r="AL4408">
        <v>79.942581372123598</v>
      </c>
      <c r="AM4408">
        <v>90.405703308041097</v>
      </c>
      <c r="AN4408">
        <v>0.99999994507090295</v>
      </c>
    </row>
    <row r="4409" spans="1:40" x14ac:dyDescent="0.25">
      <c r="A4409" t="str">
        <f>"20190312172459434"</f>
        <v>20190312172459434</v>
      </c>
      <c r="B4409" t="str">
        <f>"1552382699424547"</f>
        <v>1552382699424547</v>
      </c>
      <c r="C4409" t="s">
        <v>40</v>
      </c>
      <c r="D4409">
        <v>3.5600320000000001</v>
      </c>
      <c r="E4409">
        <v>0.51611099999999999</v>
      </c>
      <c r="F4409" t="s">
        <v>43</v>
      </c>
      <c r="G4409">
        <v>-342.36059999999998</v>
      </c>
      <c r="H4409" s="1">
        <v>-3.9023550000000003E-6</v>
      </c>
      <c r="I4409">
        <v>142.0386</v>
      </c>
      <c r="J4409">
        <v>-310.18759999999997</v>
      </c>
      <c r="K4409">
        <v>1.1070439999999999</v>
      </c>
      <c r="L4409">
        <v>141.30699999999999</v>
      </c>
      <c r="M4409">
        <v>-0.9998437</v>
      </c>
      <c r="N4409">
        <v>0</v>
      </c>
      <c r="O4409">
        <v>-1.4935169999999999E-2</v>
      </c>
      <c r="P4409">
        <v>-0.98601709999999998</v>
      </c>
      <c r="Q4409">
        <v>0.1651215</v>
      </c>
      <c r="R4409">
        <v>-2.2473360000000001E-2</v>
      </c>
      <c r="S4409">
        <v>-3.0619200000000002</v>
      </c>
      <c r="T4409">
        <v>-0.1040059</v>
      </c>
      <c r="U4409">
        <v>6.819153E-2</v>
      </c>
      <c r="V4409">
        <v>-6.7430569999999898E-3</v>
      </c>
      <c r="W4409">
        <v>0.17448379999999999</v>
      </c>
      <c r="X4409">
        <v>0.98463699999999998</v>
      </c>
      <c r="Y4409">
        <v>3.716494E-2</v>
      </c>
      <c r="Z4409">
        <v>1.138072E-3</v>
      </c>
      <c r="AA4409">
        <v>0.99930850000000004</v>
      </c>
      <c r="AB4409">
        <v>44</v>
      </c>
      <c r="AC4409">
        <v>-32.173000000000002</v>
      </c>
      <c r="AD4409">
        <v>-1.1070479023549999</v>
      </c>
      <c r="AE4409">
        <v>0.73159999999998604</v>
      </c>
      <c r="AF4409">
        <v>1.2106165030326701</v>
      </c>
      <c r="AG4409">
        <v>-1.1070479023549999</v>
      </c>
      <c r="AH4409">
        <v>32.120473364713199</v>
      </c>
      <c r="AI4409">
        <v>91.972546430884606</v>
      </c>
      <c r="AJ4409">
        <v>87.841551109238296</v>
      </c>
      <c r="AK4409">
        <v>32.162337547957698</v>
      </c>
      <c r="AL4409">
        <v>79.951380576031994</v>
      </c>
      <c r="AM4409">
        <v>90.392370657945705</v>
      </c>
      <c r="AN4409">
        <v>1.0000000435245699</v>
      </c>
    </row>
    <row r="4410" spans="1:40" x14ac:dyDescent="0.25">
      <c r="A4410" t="str">
        <f>"20190312172459457"</f>
        <v>20190312172459457</v>
      </c>
      <c r="B4410" t="str">
        <f>"1552382699454803"</f>
        <v>1552382699454803</v>
      </c>
      <c r="C4410" t="s">
        <v>40</v>
      </c>
      <c r="D4410">
        <v>3.5906449999999999</v>
      </c>
      <c r="E4410">
        <v>0.51584839999999998</v>
      </c>
      <c r="F4410" t="s">
        <v>43</v>
      </c>
      <c r="G4410">
        <v>-336.0772</v>
      </c>
      <c r="H4410" s="1">
        <v>-2.4067580000000001E-6</v>
      </c>
      <c r="I4410">
        <v>141.76589999999999</v>
      </c>
      <c r="J4410">
        <v>-310.64210000000003</v>
      </c>
      <c r="K4410">
        <v>1.1070329999999999</v>
      </c>
      <c r="L4410">
        <v>141.30170000000001</v>
      </c>
      <c r="M4410">
        <v>-0.99987239999999999</v>
      </c>
      <c r="N4410">
        <v>0</v>
      </c>
      <c r="O4410">
        <v>-1.285212E-2</v>
      </c>
      <c r="P4410">
        <v>-0.98604409999999998</v>
      </c>
      <c r="Q4410">
        <v>0.16522600000000001</v>
      </c>
      <c r="R4410">
        <v>-2.0429570000000001E-2</v>
      </c>
      <c r="S4410">
        <v>-3.0657350000000001</v>
      </c>
      <c r="T4410">
        <v>-0.13109179999999901</v>
      </c>
      <c r="U4410">
        <v>5.4336549999999997E-2</v>
      </c>
      <c r="V4410">
        <v>-6.7480750000000001E-3</v>
      </c>
      <c r="W4410">
        <v>0.17460639999999999</v>
      </c>
      <c r="X4410">
        <v>0.98461520000000002</v>
      </c>
      <c r="Y4410">
        <v>3.053063E-2</v>
      </c>
      <c r="Z4410">
        <v>1.2016959999999999E-3</v>
      </c>
      <c r="AA4410">
        <v>0.99953309999999995</v>
      </c>
      <c r="AB4410">
        <v>44</v>
      </c>
      <c r="AC4410">
        <v>-25.435099999999899</v>
      </c>
      <c r="AD4410">
        <v>-1.1070354067579999</v>
      </c>
      <c r="AE4410">
        <v>0.46419999999997602</v>
      </c>
      <c r="AF4410">
        <v>0.78957610580653703</v>
      </c>
      <c r="AG4410">
        <v>-1.1070354067579999</v>
      </c>
      <c r="AH4410">
        <v>25.378972659472801</v>
      </c>
      <c r="AI4410">
        <v>92.496462644383499</v>
      </c>
      <c r="AJ4410">
        <v>88.2180212140034</v>
      </c>
      <c r="AK4410">
        <v>25.415373518186701</v>
      </c>
      <c r="AL4410">
        <v>79.944246278618195</v>
      </c>
      <c r="AM4410">
        <v>90.392671333926103</v>
      </c>
      <c r="AN4410">
        <v>1.0000000117540999</v>
      </c>
    </row>
    <row r="4411" spans="1:40" x14ac:dyDescent="0.25">
      <c r="A4411" t="str">
        <f>"20190312172459479"</f>
        <v>20190312172459479</v>
      </c>
      <c r="B4411" t="str">
        <f>"1552382699475300"</f>
        <v>1552382699475300</v>
      </c>
      <c r="C4411" t="s">
        <v>40</v>
      </c>
      <c r="D4411">
        <v>3.5737999999999999</v>
      </c>
      <c r="E4411">
        <v>0.51545350000000001</v>
      </c>
      <c r="F4411" t="s">
        <v>43</v>
      </c>
      <c r="G4411">
        <v>-336.9248</v>
      </c>
      <c r="H4411" s="1">
        <v>-2.014525E-6</v>
      </c>
      <c r="I4411">
        <v>141.79750000000001</v>
      </c>
      <c r="J4411">
        <v>-311.08109999999999</v>
      </c>
      <c r="K4411">
        <v>1.1070329999999999</v>
      </c>
      <c r="L4411">
        <v>141.29740000000001</v>
      </c>
      <c r="M4411">
        <v>-0.99989629999999996</v>
      </c>
      <c r="N4411">
        <v>0</v>
      </c>
      <c r="O4411">
        <v>-1.084299E-2</v>
      </c>
      <c r="P4411">
        <v>-0.98598529999999995</v>
      </c>
      <c r="Q4411">
        <v>0.16582920000000001</v>
      </c>
      <c r="R4411">
        <v>-1.8278840000000001E-2</v>
      </c>
      <c r="S4411">
        <v>-3.065277</v>
      </c>
      <c r="T4411">
        <v>-0.12911030000000001</v>
      </c>
      <c r="U4411">
        <v>5.7830810000000003E-2</v>
      </c>
      <c r="V4411">
        <v>-6.5731540000000003E-3</v>
      </c>
      <c r="W4411">
        <v>0.17522460000000001</v>
      </c>
      <c r="X4411">
        <v>0.98450649999999995</v>
      </c>
      <c r="Y4411">
        <v>2.9667599999999999E-2</v>
      </c>
      <c r="Z4411">
        <v>1.080964E-3</v>
      </c>
      <c r="AA4411">
        <v>0.99955919999999998</v>
      </c>
      <c r="AB4411">
        <v>44</v>
      </c>
      <c r="AC4411">
        <v>-25.843699999999998</v>
      </c>
      <c r="AD4411">
        <v>-1.1070350145250001</v>
      </c>
      <c r="AE4411">
        <v>0.50010000000000299</v>
      </c>
      <c r="AF4411">
        <v>0.77887753367646995</v>
      </c>
      <c r="AG4411">
        <v>-1.1070350145250001</v>
      </c>
      <c r="AH4411">
        <v>25.789454310457899</v>
      </c>
      <c r="AI4411">
        <v>92.456843931749603</v>
      </c>
      <c r="AJ4411">
        <v>88.270113277816293</v>
      </c>
      <c r="AK4411">
        <v>25.824951701156099</v>
      </c>
      <c r="AL4411">
        <v>79.908270867745799</v>
      </c>
      <c r="AM4411">
        <v>90.382535195386893</v>
      </c>
      <c r="AN4411">
        <v>0.99999995767045702</v>
      </c>
    </row>
    <row r="4412" spans="1:40" x14ac:dyDescent="0.25">
      <c r="A4412" t="str">
        <f>"20190312172459501"</f>
        <v>20190312172459501</v>
      </c>
      <c r="B4412" t="str">
        <f>"1552382699494823"</f>
        <v>1552382699494823</v>
      </c>
      <c r="C4412" t="s">
        <v>40</v>
      </c>
      <c r="D4412">
        <v>3.5372219999999999</v>
      </c>
      <c r="E4412">
        <v>0.51532389999999995</v>
      </c>
      <c r="F4412" t="s">
        <v>43</v>
      </c>
      <c r="G4412">
        <v>-337.94389999999999</v>
      </c>
      <c r="H4412" s="1">
        <v>-1.5395160000000001E-6</v>
      </c>
      <c r="I4412">
        <v>141.8228</v>
      </c>
      <c r="J4412">
        <v>-311.517</v>
      </c>
      <c r="K4412">
        <v>1.107024</v>
      </c>
      <c r="L4412">
        <v>141.29399999999899</v>
      </c>
      <c r="M4412">
        <v>-0.99991569999999996</v>
      </c>
      <c r="N4412">
        <v>0</v>
      </c>
      <c r="O4412">
        <v>-8.8510280000000004E-3</v>
      </c>
      <c r="P4412">
        <v>-0.98593249999999999</v>
      </c>
      <c r="Q4412">
        <v>0.16637750000000001</v>
      </c>
      <c r="R4412">
        <v>-1.6000589999999999E-2</v>
      </c>
      <c r="S4412">
        <v>-3.0650330000000001</v>
      </c>
      <c r="T4412">
        <v>-0.12631249999999999</v>
      </c>
      <c r="U4412">
        <v>5.9951780000000003E-2</v>
      </c>
      <c r="V4412">
        <v>-6.253293E-3</v>
      </c>
      <c r="W4412">
        <v>0.175787</v>
      </c>
      <c r="X4412">
        <v>0.98440839999999996</v>
      </c>
      <c r="Y4412">
        <v>2.8373559999999999E-2</v>
      </c>
      <c r="Z4412">
        <v>9.4893419999999998E-4</v>
      </c>
      <c r="AA4412">
        <v>0.99959699999999996</v>
      </c>
      <c r="AB4412">
        <v>44</v>
      </c>
      <c r="AC4412">
        <v>-26.4268999999999</v>
      </c>
      <c r="AD4412">
        <v>-1.107025539516</v>
      </c>
      <c r="AE4412">
        <v>0.52880000000001803</v>
      </c>
      <c r="AF4412">
        <v>0.76135958788987201</v>
      </c>
      <c r="AG4412">
        <v>-1.107025539516</v>
      </c>
      <c r="AH4412">
        <v>26.374920424264801</v>
      </c>
      <c r="AI4412">
        <v>92.4024459000387</v>
      </c>
      <c r="AJ4412">
        <v>88.346513293137804</v>
      </c>
      <c r="AK4412">
        <v>26.4091196625997</v>
      </c>
      <c r="AL4412">
        <v>79.875540475397798</v>
      </c>
      <c r="AM4412">
        <v>90.363957152185606</v>
      </c>
      <c r="AN4412">
        <v>1.00000003551645</v>
      </c>
    </row>
    <row r="4413" spans="1:40" x14ac:dyDescent="0.25">
      <c r="A4413" t="str">
        <f>"20190312172459524"</f>
        <v>20190312172459524</v>
      </c>
      <c r="B4413" t="str">
        <f>"1552382699515319"</f>
        <v>1552382699515319</v>
      </c>
      <c r="C4413" t="s">
        <v>40</v>
      </c>
      <c r="D4413">
        <v>3.5571220000000001</v>
      </c>
      <c r="E4413">
        <v>0.51518199999999903</v>
      </c>
      <c r="F4413" t="s">
        <v>43</v>
      </c>
      <c r="G4413">
        <v>-338.83350000000002</v>
      </c>
      <c r="H4413" s="1">
        <v>-1.1303039999999999E-6</v>
      </c>
      <c r="I4413">
        <v>141.86539999999999</v>
      </c>
      <c r="J4413">
        <v>-311.9676</v>
      </c>
      <c r="K4413">
        <v>1.1070180000000001</v>
      </c>
      <c r="L4413">
        <v>141.29150000000001</v>
      </c>
      <c r="M4413">
        <v>-0.99993169999999998</v>
      </c>
      <c r="N4413">
        <v>0</v>
      </c>
      <c r="O4413">
        <v>-6.7945749999999997E-3</v>
      </c>
      <c r="P4413">
        <v>-0.98580400000000001</v>
      </c>
      <c r="Q4413">
        <v>0.16727030000000001</v>
      </c>
      <c r="R4413">
        <v>-1.452794E-2</v>
      </c>
      <c r="S4413">
        <v>-3.064819</v>
      </c>
      <c r="T4413">
        <v>-0.12420440000000001</v>
      </c>
      <c r="U4413">
        <v>6.410217E-2</v>
      </c>
      <c r="V4413">
        <v>-6.8008959999999999E-3</v>
      </c>
      <c r="W4413">
        <v>0.1766971</v>
      </c>
      <c r="X4413">
        <v>0.98424179999999994</v>
      </c>
      <c r="Y4413">
        <v>2.7675539999999998E-2</v>
      </c>
      <c r="Z4413">
        <v>8.3572460000000002E-4</v>
      </c>
      <c r="AA4413">
        <v>0.99961659999999997</v>
      </c>
      <c r="AB4413">
        <v>44</v>
      </c>
      <c r="AC4413">
        <v>-26.8659</v>
      </c>
      <c r="AD4413">
        <v>-1.107019130304</v>
      </c>
      <c r="AE4413">
        <v>0.57389999999997998</v>
      </c>
      <c r="AF4413">
        <v>0.75515579735979799</v>
      </c>
      <c r="AG4413">
        <v>-1.107019130304</v>
      </c>
      <c r="AH4413">
        <v>26.8158707916559</v>
      </c>
      <c r="AI4413">
        <v>92.363019925584098</v>
      </c>
      <c r="AJ4413">
        <v>88.386932557954097</v>
      </c>
      <c r="AK4413">
        <v>26.849332914393401</v>
      </c>
      <c r="AL4413">
        <v>79.822566206460394</v>
      </c>
      <c r="AM4413">
        <v>90.395895029446294</v>
      </c>
      <c r="AN4413">
        <v>1.0000000191010201</v>
      </c>
    </row>
    <row r="4414" spans="1:40" x14ac:dyDescent="0.25">
      <c r="A4414" t="str">
        <f>"20190312172459545"</f>
        <v>20190312172459545</v>
      </c>
      <c r="B4414" t="str">
        <f>"1552382699534835"</f>
        <v>1552382699534835</v>
      </c>
      <c r="C4414" t="s">
        <v>40</v>
      </c>
      <c r="D4414">
        <v>3.532508</v>
      </c>
      <c r="E4414">
        <v>0.51497349999999997</v>
      </c>
      <c r="F4414" t="s">
        <v>43</v>
      </c>
      <c r="G4414">
        <v>-339.80970000000002</v>
      </c>
      <c r="H4414" s="1">
        <v>-6.756025E-7</v>
      </c>
      <c r="I4414">
        <v>141.89080000000001</v>
      </c>
      <c r="J4414">
        <v>-312.40050000000002</v>
      </c>
      <c r="K4414">
        <v>1.107019</v>
      </c>
      <c r="L4414">
        <v>141.29</v>
      </c>
      <c r="M4414">
        <v>-0.99994300000000003</v>
      </c>
      <c r="N4414">
        <v>0</v>
      </c>
      <c r="O4414">
        <v>-4.8230030000000002E-3</v>
      </c>
      <c r="P4414">
        <v>-0.98575380000000001</v>
      </c>
      <c r="Q4414">
        <v>0.16765459999999999</v>
      </c>
      <c r="R4414">
        <v>-1.348042E-2</v>
      </c>
      <c r="S4414">
        <v>-3.0648499999999999</v>
      </c>
      <c r="T4414">
        <v>-0.1218603</v>
      </c>
      <c r="U4414">
        <v>6.5963750000000002E-2</v>
      </c>
      <c r="V4414">
        <v>-7.6934489999999998E-3</v>
      </c>
      <c r="W4414">
        <v>0.177100799999999</v>
      </c>
      <c r="X4414">
        <v>0.9841626</v>
      </c>
      <c r="Y4414">
        <v>2.631495E-2</v>
      </c>
      <c r="Z4414">
        <v>7.1456030000000004E-4</v>
      </c>
      <c r="AA4414">
        <v>0.99965349999999997</v>
      </c>
      <c r="AB4414">
        <v>44</v>
      </c>
      <c r="AC4414">
        <v>-27.409199999999998</v>
      </c>
      <c r="AD4414">
        <v>-1.1070196756024999</v>
      </c>
      <c r="AE4414">
        <v>0.60080000000001998</v>
      </c>
      <c r="AF4414">
        <v>0.73180049399278102</v>
      </c>
      <c r="AG4414">
        <v>-1.1070196756024999</v>
      </c>
      <c r="AH4414">
        <v>27.361371850229101</v>
      </c>
      <c r="AI4414">
        <v>92.316051386687604</v>
      </c>
      <c r="AJ4414">
        <v>88.467946472639696</v>
      </c>
      <c r="AK4414">
        <v>27.393533799998998</v>
      </c>
      <c r="AL4414">
        <v>79.799064584924594</v>
      </c>
      <c r="AM4414">
        <v>90.447886537110605</v>
      </c>
      <c r="AN4414">
        <v>0.999999952878456</v>
      </c>
    </row>
    <row r="4415" spans="1:40" x14ac:dyDescent="0.25">
      <c r="A4415" t="str">
        <f>"20190312172459567"</f>
        <v>20190312172459567</v>
      </c>
      <c r="B4415" t="str">
        <f>"1552382699565091"</f>
        <v>1552382699565091</v>
      </c>
      <c r="C4415" t="s">
        <v>40</v>
      </c>
      <c r="D4415">
        <v>3.5743860000000001</v>
      </c>
      <c r="E4415">
        <v>0.51458979999999999</v>
      </c>
      <c r="F4415" t="s">
        <v>43</v>
      </c>
      <c r="G4415">
        <v>-340.43860000000001</v>
      </c>
      <c r="H4415" s="1">
        <v>-4.531593E-6</v>
      </c>
      <c r="I4415">
        <v>141.89850000000001</v>
      </c>
      <c r="J4415">
        <v>-312.83150000000001</v>
      </c>
      <c r="K4415">
        <v>1.107016</v>
      </c>
      <c r="L4415">
        <v>141.28919999999999</v>
      </c>
      <c r="M4415">
        <v>-0.99995029999999996</v>
      </c>
      <c r="N4415">
        <v>0</v>
      </c>
      <c r="O4415">
        <v>-2.8650289999999998E-3</v>
      </c>
      <c r="P4415">
        <v>-0.98570310000000005</v>
      </c>
      <c r="Q4415">
        <v>0.16804149999999901</v>
      </c>
      <c r="R4415">
        <v>-1.2317160000000001E-2</v>
      </c>
      <c r="S4415">
        <v>-3.0648499999999999</v>
      </c>
      <c r="T4415">
        <v>-0.121009199999999</v>
      </c>
      <c r="U4415">
        <v>6.6528320000000002E-2</v>
      </c>
      <c r="V4415">
        <v>-8.4563480000000007E-3</v>
      </c>
      <c r="W4415">
        <v>0.17750479999999999</v>
      </c>
      <c r="X4415">
        <v>0.98408359999999995</v>
      </c>
      <c r="Y4415">
        <v>2.454481E-2</v>
      </c>
      <c r="Z4415">
        <v>5.97373E-4</v>
      </c>
      <c r="AA4415">
        <v>0.99969859999999999</v>
      </c>
      <c r="AB4415">
        <v>44</v>
      </c>
      <c r="AC4415">
        <v>-27.607099999999999</v>
      </c>
      <c r="AD4415">
        <v>-1.107020531593</v>
      </c>
      <c r="AE4415">
        <v>0.60930000000001805</v>
      </c>
      <c r="AF4415">
        <v>0.68729166219761395</v>
      </c>
      <c r="AG4415">
        <v>-1.107020531593</v>
      </c>
      <c r="AH4415">
        <v>27.560946177622402</v>
      </c>
      <c r="AI4415">
        <v>92.299407513830104</v>
      </c>
      <c r="AJ4415">
        <v>88.571502168988602</v>
      </c>
      <c r="AK4415">
        <v>27.591730980351599</v>
      </c>
      <c r="AL4415">
        <v>79.775544908172606</v>
      </c>
      <c r="AM4415">
        <v>90.492337363681202</v>
      </c>
      <c r="AN4415">
        <v>0.99999999781674798</v>
      </c>
    </row>
    <row r="4416" spans="1:40" x14ac:dyDescent="0.25">
      <c r="A4416" t="str">
        <f>"20190312172459591"</f>
        <v>20190312172459591</v>
      </c>
      <c r="B4416" t="str">
        <f>"1552382699584615"</f>
        <v>1552382699584615</v>
      </c>
      <c r="C4416" t="s">
        <v>40</v>
      </c>
      <c r="D4416">
        <v>3.5695619999999999</v>
      </c>
      <c r="E4416">
        <v>0.51441759999999903</v>
      </c>
      <c r="F4416" t="s">
        <v>43</v>
      </c>
      <c r="G4416">
        <v>-341.25810000000001</v>
      </c>
      <c r="H4416" s="1">
        <v>-4.252732E-6</v>
      </c>
      <c r="I4416">
        <v>141.89869999999999</v>
      </c>
      <c r="J4416">
        <v>-313.28829999999999</v>
      </c>
      <c r="K4416">
        <v>1.1070169999999999</v>
      </c>
      <c r="L4416">
        <v>141.2894</v>
      </c>
      <c r="M4416">
        <v>-0.99995400000000001</v>
      </c>
      <c r="N4416">
        <v>0</v>
      </c>
      <c r="O4416">
        <v>-8.0061770000000002E-4</v>
      </c>
      <c r="P4416">
        <v>-0.98560340000000002</v>
      </c>
      <c r="Q4416">
        <v>0.16867689999999999</v>
      </c>
      <c r="R4416">
        <v>-1.1581579999999999E-2</v>
      </c>
      <c r="S4416">
        <v>-3.0646969999999998</v>
      </c>
      <c r="T4416">
        <v>-0.119349</v>
      </c>
      <c r="U4416">
        <v>6.5719600000000003E-2</v>
      </c>
      <c r="V4416">
        <v>-9.7521650000000001E-3</v>
      </c>
      <c r="W4416">
        <v>0.17816129999999999</v>
      </c>
      <c r="X4416">
        <v>0.98395299999999997</v>
      </c>
      <c r="Y4416">
        <v>2.2222169999999999E-2</v>
      </c>
      <c r="Z4416">
        <v>4.63652E-4</v>
      </c>
      <c r="AA4416">
        <v>0.99975290000000006</v>
      </c>
      <c r="AB4416">
        <v>44</v>
      </c>
      <c r="AC4416">
        <v>-27.969799999999999</v>
      </c>
      <c r="AD4416">
        <v>-1.107021252732</v>
      </c>
      <c r="AE4416">
        <v>0.60929999999998996</v>
      </c>
      <c r="AF4416">
        <v>0.63070640529687405</v>
      </c>
      <c r="AG4416">
        <v>-1.107021252732</v>
      </c>
      <c r="AH4416">
        <v>27.925578246152298</v>
      </c>
      <c r="AI4416">
        <v>92.269543207922794</v>
      </c>
      <c r="AJ4416">
        <v>88.706179964939807</v>
      </c>
      <c r="AK4416">
        <v>27.954627649204301</v>
      </c>
      <c r="AL4416">
        <v>79.737321296654301</v>
      </c>
      <c r="AM4416">
        <v>90.5678519204765</v>
      </c>
      <c r="AN4416">
        <v>1.00000002987443</v>
      </c>
    </row>
    <row r="4417" spans="1:40" x14ac:dyDescent="0.25">
      <c r="A4417" t="str">
        <f>"20190312172459613"</f>
        <v>20190312172459613</v>
      </c>
      <c r="B4417" t="str">
        <f>"1552382699605107"</f>
        <v>1552382699605107</v>
      </c>
      <c r="C4417" t="s">
        <v>40</v>
      </c>
      <c r="D4417">
        <v>3.5969600000000002</v>
      </c>
      <c r="E4417">
        <v>0.51425029999999905</v>
      </c>
      <c r="F4417" t="s">
        <v>43</v>
      </c>
      <c r="G4417">
        <v>-342.07850000000002</v>
      </c>
      <c r="H4417" s="1">
        <v>-3.9733599999999997E-6</v>
      </c>
      <c r="I4417">
        <v>141.89760000000001</v>
      </c>
      <c r="J4417">
        <v>-313.74619999999999</v>
      </c>
      <c r="K4417">
        <v>1.107024</v>
      </c>
      <c r="L4417">
        <v>141.29050000000001</v>
      </c>
      <c r="M4417">
        <v>-0.99995339999999999</v>
      </c>
      <c r="N4417">
        <v>0</v>
      </c>
      <c r="O4417">
        <v>1.252565E-3</v>
      </c>
      <c r="P4417">
        <v>-0.98563940000000005</v>
      </c>
      <c r="Q4417">
        <v>0.1685256</v>
      </c>
      <c r="R4417">
        <v>-1.070901E-2</v>
      </c>
      <c r="S4417">
        <v>-3.0647890000000002</v>
      </c>
      <c r="T4417">
        <v>-0.1178453</v>
      </c>
      <c r="U4417">
        <v>6.4758300000000005E-2</v>
      </c>
      <c r="V4417">
        <v>-1.090615E-2</v>
      </c>
      <c r="W4417">
        <v>0.17802989999999999</v>
      </c>
      <c r="X4417">
        <v>0.98396459999999997</v>
      </c>
      <c r="Y4417">
        <v>1.9858959999999998E-2</v>
      </c>
      <c r="Z4417">
        <v>3.334767E-4</v>
      </c>
      <c r="AA4417">
        <v>0.99980270000000004</v>
      </c>
      <c r="AB4417">
        <v>44</v>
      </c>
      <c r="AC4417">
        <v>-28.3323</v>
      </c>
      <c r="AD4417">
        <v>-1.1070279733599999</v>
      </c>
      <c r="AE4417">
        <v>0.60710000000000197</v>
      </c>
      <c r="AF4417">
        <v>0.57073890355585399</v>
      </c>
      <c r="AG4417">
        <v>-1.1070279733599999</v>
      </c>
      <c r="AH4417">
        <v>28.289867937605202</v>
      </c>
      <c r="AI4417">
        <v>92.2404770718816</v>
      </c>
      <c r="AJ4417">
        <v>88.8442330336905</v>
      </c>
      <c r="AK4417">
        <v>28.317271792264499</v>
      </c>
      <c r="AL4417">
        <v>79.744971570214204</v>
      </c>
      <c r="AM4417">
        <v>90.635033799402507</v>
      </c>
      <c r="AN4417">
        <v>0.99999996172749495</v>
      </c>
    </row>
    <row r="4418" spans="1:40" x14ac:dyDescent="0.25">
      <c r="A4418" t="str">
        <f>"20190312172459634"</f>
        <v>20190312172459634</v>
      </c>
      <c r="B4418" t="str">
        <f>"1552382699624947"</f>
        <v>1552382699624947</v>
      </c>
      <c r="C4418" t="s">
        <v>40</v>
      </c>
      <c r="D4418">
        <v>3.5367899999999999</v>
      </c>
      <c r="E4418">
        <v>0.51415200000000005</v>
      </c>
      <c r="F4418" t="s">
        <v>43</v>
      </c>
      <c r="G4418">
        <v>-342.29969999999997</v>
      </c>
      <c r="H4418" s="1">
        <v>-3.8896790000000003E-6</v>
      </c>
      <c r="I4418">
        <v>141.88630000000001</v>
      </c>
      <c r="J4418">
        <v>-314.17020000000002</v>
      </c>
      <c r="K4418">
        <v>1.107024</v>
      </c>
      <c r="L4418">
        <v>141.29220000000001</v>
      </c>
      <c r="M4418">
        <v>-0.99994910000000004</v>
      </c>
      <c r="N4418">
        <v>0</v>
      </c>
      <c r="O4418">
        <v>3.13204E-3</v>
      </c>
      <c r="P4418">
        <v>-0.98563920000000005</v>
      </c>
      <c r="Q4418">
        <v>0.16851469999999999</v>
      </c>
      <c r="R4418">
        <v>-1.0890250000000001E-2</v>
      </c>
      <c r="S4418">
        <v>-3.0647280000000001</v>
      </c>
      <c r="T4418">
        <v>-0.1188205</v>
      </c>
      <c r="U4418">
        <v>6.3964839999999995E-2</v>
      </c>
      <c r="V4418">
        <v>-1.2944260000000001E-2</v>
      </c>
      <c r="W4418">
        <v>0.1780426</v>
      </c>
      <c r="X4418">
        <v>0.98393759999999997</v>
      </c>
      <c r="Y4418">
        <v>1.7724190000000001E-2</v>
      </c>
      <c r="Z4418">
        <v>2.220442E-4</v>
      </c>
      <c r="AA4418">
        <v>0.99984289999999998</v>
      </c>
      <c r="AB4418">
        <v>44</v>
      </c>
      <c r="AC4418">
        <v>-28.129499999999901</v>
      </c>
      <c r="AD4418">
        <v>-1.107027889679</v>
      </c>
      <c r="AE4418">
        <v>0.59409999999999696</v>
      </c>
      <c r="AF4418">
        <v>0.50520820056356597</v>
      </c>
      <c r="AG4418">
        <v>-1.107027889679</v>
      </c>
      <c r="AH4418">
        <v>28.0877401753208</v>
      </c>
      <c r="AI4418">
        <v>92.256677509480497</v>
      </c>
      <c r="AJ4418">
        <v>88.969544132756496</v>
      </c>
      <c r="AK4418">
        <v>28.114087113594401</v>
      </c>
      <c r="AL4418">
        <v>79.744232092287703</v>
      </c>
      <c r="AM4418">
        <v>90.753715160118702</v>
      </c>
      <c r="AN4418">
        <v>0.99999996098773303</v>
      </c>
    </row>
    <row r="4419" spans="1:40" x14ac:dyDescent="0.25">
      <c r="A4419" t="str">
        <f>"20190312172459658"</f>
        <v>20190312172459658</v>
      </c>
      <c r="B4419" t="str">
        <f>"1552382699655203"</f>
        <v>1552382699655203</v>
      </c>
      <c r="C4419" t="s">
        <v>40</v>
      </c>
      <c r="D4419">
        <v>3.5630090000000001</v>
      </c>
      <c r="E4419">
        <v>0.51127509999999998</v>
      </c>
      <c r="F4419" t="s">
        <v>43</v>
      </c>
      <c r="G4419">
        <v>-342.64120000000003</v>
      </c>
      <c r="H4419" s="1">
        <v>-3.738695E-6</v>
      </c>
      <c r="I4419">
        <v>141.86940000000001</v>
      </c>
      <c r="J4419">
        <v>-314.62670000000003</v>
      </c>
      <c r="K4419">
        <v>1.10704</v>
      </c>
      <c r="L4419">
        <v>141.29499999999999</v>
      </c>
      <c r="M4419">
        <v>-0.99994079999999996</v>
      </c>
      <c r="N4419">
        <v>0</v>
      </c>
      <c r="O4419">
        <v>5.1265140000000004E-3</v>
      </c>
      <c r="P4419">
        <v>-0.98566969999999998</v>
      </c>
      <c r="Q4419">
        <v>0.168351</v>
      </c>
      <c r="R4419">
        <v>-1.064785E-2</v>
      </c>
      <c r="S4419">
        <v>-3.0647579999999999</v>
      </c>
      <c r="T4419">
        <v>-0.1191663</v>
      </c>
      <c r="U4419">
        <v>6.2133790000000001E-2</v>
      </c>
      <c r="V4419">
        <v>-1.4676349999999999E-2</v>
      </c>
      <c r="W4419">
        <v>0.17790129999999901</v>
      </c>
      <c r="X4419">
        <v>0.98393889999999995</v>
      </c>
      <c r="Y4419">
        <v>1.513595E-2</v>
      </c>
      <c r="Z4419" s="1">
        <v>9.4879110000000005E-5</v>
      </c>
      <c r="AA4419">
        <v>0.99988540000000004</v>
      </c>
      <c r="AB4419">
        <v>44</v>
      </c>
      <c r="AC4419">
        <v>-28.014500000000002</v>
      </c>
      <c r="AD4419">
        <v>-1.1070437386950001</v>
      </c>
      <c r="AE4419">
        <v>0.574400000000025</v>
      </c>
      <c r="AF4419">
        <v>0.43009776058613303</v>
      </c>
      <c r="AG4419">
        <v>-1.1070437386950001</v>
      </c>
      <c r="AH4419">
        <v>27.973412320845799</v>
      </c>
      <c r="AI4419">
        <v>92.266021987479604</v>
      </c>
      <c r="AJ4419">
        <v>89.119133389280506</v>
      </c>
      <c r="AK4419">
        <v>27.998612944128102</v>
      </c>
      <c r="AL4419">
        <v>79.752459872000003</v>
      </c>
      <c r="AM4419">
        <v>90.854555664062303</v>
      </c>
      <c r="AN4419">
        <v>1.0000000133621101</v>
      </c>
    </row>
    <row r="4420" spans="1:40" x14ac:dyDescent="0.25">
      <c r="A4420" t="str">
        <f>"20190312172459680"</f>
        <v>20190312172459680</v>
      </c>
      <c r="B4420" t="str">
        <f>"1552382699674724"</f>
        <v>1552382699674724</v>
      </c>
      <c r="C4420" t="s">
        <v>40</v>
      </c>
      <c r="D4420">
        <v>3.5765419999999999</v>
      </c>
      <c r="E4420">
        <v>0.51127469999999997</v>
      </c>
      <c r="F4420" t="s">
        <v>43</v>
      </c>
      <c r="G4420">
        <v>-341.54700000000003</v>
      </c>
      <c r="H4420" s="1">
        <v>-4.1100459999999996E-6</v>
      </c>
      <c r="I4420">
        <v>141.64850000000001</v>
      </c>
      <c r="J4420">
        <v>-315.08030000000002</v>
      </c>
      <c r="K4420">
        <v>1.1070580000000001</v>
      </c>
      <c r="L4420">
        <v>141.29859999999999</v>
      </c>
      <c r="M4420">
        <v>-0.99992890000000001</v>
      </c>
      <c r="N4420">
        <v>0</v>
      </c>
      <c r="O4420">
        <v>7.0723219999999998E-3</v>
      </c>
      <c r="P4420">
        <v>-0.98550219999999999</v>
      </c>
      <c r="Q4420">
        <v>0.169378799999999</v>
      </c>
      <c r="R4420">
        <v>-9.8296389999999994E-3</v>
      </c>
      <c r="S4420">
        <v>-3.065582</v>
      </c>
      <c r="T4420">
        <v>-0.12606629999999999</v>
      </c>
      <c r="U4420">
        <v>4.0267940000000002E-2</v>
      </c>
      <c r="V4420">
        <v>-1.5779169999999999E-2</v>
      </c>
      <c r="W4420">
        <v>0.17894389999999999</v>
      </c>
      <c r="X4420">
        <v>0.98373279999999996</v>
      </c>
      <c r="Y4420">
        <v>6.0628510000000002E-3</v>
      </c>
      <c r="Z4420">
        <v>-1.6610520000000001E-4</v>
      </c>
      <c r="AA4420">
        <v>0.99998160000000003</v>
      </c>
      <c r="AB4420">
        <v>44</v>
      </c>
      <c r="AC4420">
        <v>-26.4666999999999</v>
      </c>
      <c r="AD4420">
        <v>-1.1070621100460001</v>
      </c>
      <c r="AE4420">
        <v>0.34990000000001897</v>
      </c>
      <c r="AF4420">
        <v>0.16241747666185199</v>
      </c>
      <c r="AG4420">
        <v>-1.1070621100460001</v>
      </c>
      <c r="AH4420">
        <v>26.422291787065198</v>
      </c>
      <c r="AI4420">
        <v>92.399175385375003</v>
      </c>
      <c r="AJ4420">
        <v>89.647808040227801</v>
      </c>
      <c r="AK4420">
        <v>26.445972646757301</v>
      </c>
      <c r="AL4420">
        <v>79.691749625771294</v>
      </c>
      <c r="AM4420">
        <v>90.918951082930604</v>
      </c>
      <c r="AN4420">
        <v>1.00000006167446</v>
      </c>
    </row>
    <row r="4421" spans="1:40" x14ac:dyDescent="0.25">
      <c r="A4421" t="str">
        <f>"20190312172459703"</f>
        <v>20190312172459703</v>
      </c>
      <c r="B4421" t="str">
        <f>"1552382699695232"</f>
        <v>1552382699695232</v>
      </c>
      <c r="C4421" t="s">
        <v>40</v>
      </c>
      <c r="D4421">
        <v>3.5801599999999998</v>
      </c>
      <c r="E4421">
        <v>0.5113415</v>
      </c>
      <c r="F4421" t="s">
        <v>43</v>
      </c>
      <c r="G4421">
        <v>-342.74639999999999</v>
      </c>
      <c r="H4421" s="1">
        <v>-3.6440499999999999E-6</v>
      </c>
      <c r="I4421">
        <v>141.6833</v>
      </c>
      <c r="J4421">
        <v>-315.5249</v>
      </c>
      <c r="K4421">
        <v>1.1070899999999999</v>
      </c>
      <c r="L4421">
        <v>141.3031</v>
      </c>
      <c r="M4421">
        <v>-0.99991359999999996</v>
      </c>
      <c r="N4421">
        <v>0</v>
      </c>
      <c r="O4421">
        <v>8.9414630000000002E-3</v>
      </c>
      <c r="P4421">
        <v>-0.98534690000000003</v>
      </c>
      <c r="Q4421">
        <v>0.17035899999999901</v>
      </c>
      <c r="R4421">
        <v>-8.3396619999999994E-3</v>
      </c>
      <c r="S4421">
        <v>-3.0656430000000001</v>
      </c>
      <c r="T4421">
        <v>-0.1226723</v>
      </c>
      <c r="U4421">
        <v>4.263306E-2</v>
      </c>
      <c r="V4421">
        <v>-1.613552E-2</v>
      </c>
      <c r="W4421">
        <v>0.17993509999999999</v>
      </c>
      <c r="X4421">
        <v>0.98354609999999998</v>
      </c>
      <c r="Y4421">
        <v>4.9669909999999996E-3</v>
      </c>
      <c r="Z4421">
        <v>-2.5830850000000002E-4</v>
      </c>
      <c r="AA4421">
        <v>0.99998759999999998</v>
      </c>
      <c r="AB4421">
        <v>45</v>
      </c>
      <c r="AC4421">
        <v>-27.221499999999899</v>
      </c>
      <c r="AD4421">
        <v>-1.1070936440500001</v>
      </c>
      <c r="AE4421">
        <v>0.38020000000000198</v>
      </c>
      <c r="AF4421">
        <v>0.136547654521471</v>
      </c>
      <c r="AG4421">
        <v>-1.1070936440500001</v>
      </c>
      <c r="AH4421">
        <v>27.178865385126901</v>
      </c>
      <c r="AI4421">
        <v>92.332545730481101</v>
      </c>
      <c r="AJ4421">
        <v>89.712146244093006</v>
      </c>
      <c r="AK4421">
        <v>27.201746731074099</v>
      </c>
      <c r="AL4421">
        <v>79.634020024376696</v>
      </c>
      <c r="AM4421">
        <v>90.939878944413607</v>
      </c>
      <c r="AN4421">
        <v>0.999999963021444</v>
      </c>
    </row>
    <row r="4422" spans="1:40" x14ac:dyDescent="0.25">
      <c r="A4422" t="str">
        <f>"20190312172459724"</f>
        <v>20190312172459724</v>
      </c>
      <c r="B4422" t="str">
        <f>"1552382699714743"</f>
        <v>1552382699714743</v>
      </c>
      <c r="C4422" t="s">
        <v>40</v>
      </c>
      <c r="D4422">
        <v>3.560006</v>
      </c>
      <c r="E4422">
        <v>0.51130730000000002</v>
      </c>
      <c r="F4422" t="s">
        <v>43</v>
      </c>
      <c r="G4422">
        <v>-343.72739999999999</v>
      </c>
      <c r="H4422" s="1">
        <v>-3.2378230000000002E-6</v>
      </c>
      <c r="I4422">
        <v>141.73820000000001</v>
      </c>
      <c r="J4422">
        <v>-315.96140000000003</v>
      </c>
      <c r="K4422">
        <v>1.107121</v>
      </c>
      <c r="L4422">
        <v>141.3082</v>
      </c>
      <c r="M4422">
        <v>-0.9998958</v>
      </c>
      <c r="N4422">
        <v>0</v>
      </c>
      <c r="O4422">
        <v>1.074044E-2</v>
      </c>
      <c r="P4422">
        <v>-0.98521309999999995</v>
      </c>
      <c r="Q4422">
        <v>0.1712023</v>
      </c>
      <c r="R4422">
        <v>-6.6918769999999997E-3</v>
      </c>
      <c r="S4422">
        <v>-3.0658259999999999</v>
      </c>
      <c r="T4422">
        <v>-0.120349499999999</v>
      </c>
      <c r="U4422">
        <v>4.7317499999999998E-2</v>
      </c>
      <c r="V4422">
        <v>-1.6266599999999999E-2</v>
      </c>
      <c r="W4422">
        <v>0.1807868</v>
      </c>
      <c r="X4422">
        <v>0.98338780000000003</v>
      </c>
      <c r="Y4422">
        <v>4.6961140000000004E-3</v>
      </c>
      <c r="Z4422">
        <v>-3.2930289999999999E-4</v>
      </c>
      <c r="AA4422">
        <v>0.99998889999999996</v>
      </c>
      <c r="AB4422">
        <v>45</v>
      </c>
      <c r="AC4422">
        <v>-27.765999999999899</v>
      </c>
      <c r="AD4422">
        <v>-1.107124237823</v>
      </c>
      <c r="AE4422">
        <v>0.43000000000000599</v>
      </c>
      <c r="AF4422">
        <v>0.131533192547962</v>
      </c>
      <c r="AG4422">
        <v>-1.107124237823</v>
      </c>
      <c r="AH4422">
        <v>27.7249479599996</v>
      </c>
      <c r="AI4422">
        <v>92.2867184030045</v>
      </c>
      <c r="AJ4422">
        <v>89.728178380381706</v>
      </c>
      <c r="AK4422">
        <v>27.747355990137201</v>
      </c>
      <c r="AL4422">
        <v>79.584408157061205</v>
      </c>
      <c r="AM4422">
        <v>90.947665342647795</v>
      </c>
      <c r="AN4422">
        <v>1.00000001725931</v>
      </c>
    </row>
    <row r="4423" spans="1:40" x14ac:dyDescent="0.25">
      <c r="A4423" t="str">
        <f>"20190312172459746"</f>
        <v>20190312172459746</v>
      </c>
      <c r="B4423" t="str">
        <f>"1552382699735235"</f>
        <v>1552382699735235</v>
      </c>
      <c r="C4423" t="s">
        <v>40</v>
      </c>
      <c r="D4423">
        <v>3.643999</v>
      </c>
      <c r="E4423">
        <v>0.51133139999999999</v>
      </c>
      <c r="F4423" t="s">
        <v>43</v>
      </c>
      <c r="G4423">
        <v>-344.85019999999997</v>
      </c>
      <c r="H4423" s="1">
        <v>-2.7726200000000001E-6</v>
      </c>
      <c r="I4423">
        <v>141.80009999999999</v>
      </c>
      <c r="J4423">
        <v>-316.39850000000001</v>
      </c>
      <c r="K4423">
        <v>1.1071599999999999</v>
      </c>
      <c r="L4423">
        <v>141.3141</v>
      </c>
      <c r="M4423">
        <v>-0.99987519999999996</v>
      </c>
      <c r="N4423">
        <v>0</v>
      </c>
      <c r="O4423">
        <v>1.251069E-2</v>
      </c>
      <c r="P4423">
        <v>-0.98510940000000002</v>
      </c>
      <c r="Q4423">
        <v>0.17186270000000001</v>
      </c>
      <c r="R4423">
        <v>-4.8050289999999997E-3</v>
      </c>
      <c r="S4423">
        <v>-3.0657960000000002</v>
      </c>
      <c r="T4423">
        <v>-0.11749270000000001</v>
      </c>
      <c r="U4423">
        <v>5.2215579999999998E-2</v>
      </c>
      <c r="V4423">
        <v>-1.612999E-2</v>
      </c>
      <c r="W4423">
        <v>0.18145500000000001</v>
      </c>
      <c r="X4423">
        <v>0.98326690000000005</v>
      </c>
      <c r="Y4423">
        <v>4.524251E-3</v>
      </c>
      <c r="Z4423">
        <v>-3.9259080000000001E-4</v>
      </c>
      <c r="AA4423">
        <v>0.99998969999999998</v>
      </c>
      <c r="AB4423">
        <v>45</v>
      </c>
      <c r="AC4423">
        <v>-28.451699999999899</v>
      </c>
      <c r="AD4423">
        <v>-1.10716277262</v>
      </c>
      <c r="AE4423">
        <v>0.48599999999999</v>
      </c>
      <c r="AF4423">
        <v>0.12979850370346499</v>
      </c>
      <c r="AG4423">
        <v>-1.10716277262</v>
      </c>
      <c r="AH4423">
        <v>28.4125415661548</v>
      </c>
      <c r="AI4423">
        <v>92.231515053649105</v>
      </c>
      <c r="AJ4423">
        <v>89.738254506483997</v>
      </c>
      <c r="AK4423">
        <v>28.434401265106899</v>
      </c>
      <c r="AL4423">
        <v>79.545478503142405</v>
      </c>
      <c r="AM4423">
        <v>90.939823625475597</v>
      </c>
      <c r="AN4423">
        <v>0.99999994511900303</v>
      </c>
    </row>
    <row r="4424" spans="1:40" x14ac:dyDescent="0.25">
      <c r="A4424" t="str">
        <f>"20190312172459769"</f>
        <v>20190312172459769</v>
      </c>
      <c r="B4424" t="str">
        <f>"1552382699764516"</f>
        <v>1552382699764516</v>
      </c>
      <c r="C4424" t="s">
        <v>40</v>
      </c>
      <c r="D4424">
        <v>3.5650529999999998</v>
      </c>
      <c r="E4424">
        <v>0.51144789999999996</v>
      </c>
      <c r="F4424" t="s">
        <v>43</v>
      </c>
      <c r="G4424">
        <v>-345.76530000000002</v>
      </c>
      <c r="H4424" s="1">
        <v>-2.3995949999999999E-6</v>
      </c>
      <c r="I4424">
        <v>141.87360000000001</v>
      </c>
      <c r="J4424">
        <v>-316.84730000000002</v>
      </c>
      <c r="K4424">
        <v>1.107191</v>
      </c>
      <c r="L4424">
        <v>141.32089999999999</v>
      </c>
      <c r="M4424">
        <v>-0.99985119999999905</v>
      </c>
      <c r="N4424">
        <v>0</v>
      </c>
      <c r="O4424">
        <v>1.4292859999999999E-2</v>
      </c>
      <c r="P4424">
        <v>-0.98494119999999996</v>
      </c>
      <c r="Q4424">
        <v>0.172866299999999</v>
      </c>
      <c r="R4424">
        <v>-2.9226569999999999E-3</v>
      </c>
      <c r="S4424">
        <v>-3.0658259999999999</v>
      </c>
      <c r="T4424">
        <v>-0.1155854</v>
      </c>
      <c r="U4424">
        <v>5.8425900000000003E-2</v>
      </c>
      <c r="V4424">
        <v>-1.6007859999999999E-2</v>
      </c>
      <c r="W4424">
        <v>0.18246599999999999</v>
      </c>
      <c r="X4424">
        <v>0.98308189999999995</v>
      </c>
      <c r="Y4424">
        <v>4.7675779999999997E-3</v>
      </c>
      <c r="Z4424">
        <v>-4.4877939999999998E-4</v>
      </c>
      <c r="AA4424">
        <v>0.99998860000000001</v>
      </c>
      <c r="AB4424">
        <v>45</v>
      </c>
      <c r="AC4424">
        <v>-28.917999999999999</v>
      </c>
      <c r="AD4424">
        <v>-1.1071933995950001</v>
      </c>
      <c r="AE4424">
        <v>0.55270000000001496</v>
      </c>
      <c r="AF4424">
        <v>0.139099496487501</v>
      </c>
      <c r="AG4424">
        <v>-1.1071933995950001</v>
      </c>
      <c r="AH4424">
        <v>28.880624591743501</v>
      </c>
      <c r="AI4424">
        <v>92.195441548625695</v>
      </c>
      <c r="AJ4424">
        <v>89.724045010503801</v>
      </c>
      <c r="AK4424">
        <v>28.902174705430799</v>
      </c>
      <c r="AL4424">
        <v>79.486570213783395</v>
      </c>
      <c r="AM4424">
        <v>90.932884398635494</v>
      </c>
      <c r="AN4424">
        <v>1.0000000574226899</v>
      </c>
    </row>
    <row r="4425" spans="1:40" x14ac:dyDescent="0.25">
      <c r="A4425" t="str">
        <f>"20190312172459792"</f>
        <v>20190312172459792</v>
      </c>
      <c r="B4425" t="str">
        <f>"1552382699785014"</f>
        <v>1552382699785014</v>
      </c>
      <c r="C4425" t="s">
        <v>40</v>
      </c>
      <c r="D4425">
        <v>3.5605289999999998</v>
      </c>
      <c r="E4425">
        <v>0.5114708</v>
      </c>
      <c r="F4425" t="s">
        <v>43</v>
      </c>
      <c r="G4425">
        <v>-347.05520000000001</v>
      </c>
      <c r="H4425" s="1">
        <v>-1.8686720000000001E-6</v>
      </c>
      <c r="I4425">
        <v>141.958</v>
      </c>
      <c r="J4425">
        <v>-317.3211</v>
      </c>
      <c r="K4425">
        <v>1.107218</v>
      </c>
      <c r="L4425">
        <v>141.3289</v>
      </c>
      <c r="M4425">
        <v>-0.99982320000000002</v>
      </c>
      <c r="N4425">
        <v>0</v>
      </c>
      <c r="O4425">
        <v>1.613125E-2</v>
      </c>
      <c r="P4425">
        <v>-0.98479459999999996</v>
      </c>
      <c r="Q4425">
        <v>0.17372399999999999</v>
      </c>
      <c r="R4425">
        <v>-2.7344100000000003E-4</v>
      </c>
      <c r="S4425">
        <v>-3.0657960000000002</v>
      </c>
      <c r="T4425">
        <v>-0.1123688</v>
      </c>
      <c r="U4425">
        <v>6.4666749999999995E-2</v>
      </c>
      <c r="V4425">
        <v>-1.5177059999999999E-2</v>
      </c>
      <c r="W4425">
        <v>0.18332809999999999</v>
      </c>
      <c r="X4425">
        <v>0.98293470000000005</v>
      </c>
      <c r="Y4425">
        <v>4.9646150000000003E-3</v>
      </c>
      <c r="Z4425">
        <v>-5.0002650000000005E-4</v>
      </c>
      <c r="AA4425">
        <v>0.99998750000000003</v>
      </c>
      <c r="AB4425">
        <v>45</v>
      </c>
      <c r="AC4425">
        <v>-29.734100000000002</v>
      </c>
      <c r="AD4425">
        <v>-1.1072198686720001</v>
      </c>
      <c r="AE4425">
        <v>0.629099999999994</v>
      </c>
      <c r="AF4425">
        <v>0.149140836106537</v>
      </c>
      <c r="AG4425">
        <v>-1.1072198686720001</v>
      </c>
      <c r="AH4425">
        <v>29.699216201774</v>
      </c>
      <c r="AI4425">
        <v>92.135034805312003</v>
      </c>
      <c r="AJ4425">
        <v>89.712279658298897</v>
      </c>
      <c r="AK4425">
        <v>29.720222439044601</v>
      </c>
      <c r="AL4425">
        <v>79.4363282825814</v>
      </c>
      <c r="AM4425">
        <v>90.884608496801704</v>
      </c>
      <c r="AN4425">
        <v>1.0000000799319599</v>
      </c>
    </row>
    <row r="4426" spans="1:40" x14ac:dyDescent="0.25">
      <c r="A4426" t="str">
        <f>"20190312172459814"</f>
        <v>20190312172459814</v>
      </c>
      <c r="B4426" t="str">
        <f>"1552382699805507"</f>
        <v>1552382699805507</v>
      </c>
      <c r="C4426" t="s">
        <v>40</v>
      </c>
      <c r="D4426">
        <v>3.521706</v>
      </c>
      <c r="E4426">
        <v>0.51139849999999998</v>
      </c>
      <c r="F4426" t="s">
        <v>43</v>
      </c>
      <c r="G4426">
        <v>-347.98200000000003</v>
      </c>
      <c r="H4426" s="1">
        <v>-1.497144E-6</v>
      </c>
      <c r="I4426">
        <v>142.0558</v>
      </c>
      <c r="J4426">
        <v>-317.75599999999997</v>
      </c>
      <c r="K4426">
        <v>1.1072519999999999</v>
      </c>
      <c r="L4426">
        <v>141.33709999999999</v>
      </c>
      <c r="M4426">
        <v>-0.99979530000000005</v>
      </c>
      <c r="N4426">
        <v>0</v>
      </c>
      <c r="O4426">
        <v>1.7773110000000002E-2</v>
      </c>
      <c r="P4426">
        <v>-0.98485579999999995</v>
      </c>
      <c r="Q4426">
        <v>0.1733712</v>
      </c>
      <c r="R4426">
        <v>1.4380370000000001E-3</v>
      </c>
      <c r="S4426">
        <v>-3.0658259999999999</v>
      </c>
      <c r="T4426">
        <v>-0.11071259999999999</v>
      </c>
      <c r="U4426">
        <v>7.2692870000000007E-2</v>
      </c>
      <c r="V4426">
        <v>-1.510212E-2</v>
      </c>
      <c r="W4426">
        <v>0.18298400000000001</v>
      </c>
      <c r="X4426">
        <v>0.98299990000000004</v>
      </c>
      <c r="Y4426">
        <v>5.9390479999999997E-3</v>
      </c>
      <c r="Z4426">
        <v>-5.343066E-4</v>
      </c>
      <c r="AA4426">
        <v>0.99998220000000004</v>
      </c>
      <c r="AB4426">
        <v>45</v>
      </c>
      <c r="AC4426">
        <v>-30.225999999999999</v>
      </c>
      <c r="AD4426">
        <v>-1.107253497144</v>
      </c>
      <c r="AE4426">
        <v>0.718700000000012</v>
      </c>
      <c r="AF4426">
        <v>0.18110843618501199</v>
      </c>
      <c r="AG4426">
        <v>-1.107253497144</v>
      </c>
      <c r="AH4426">
        <v>30.193504415819501</v>
      </c>
      <c r="AI4426">
        <v>92.100166827296803</v>
      </c>
      <c r="AJ4426">
        <v>89.656329240928898</v>
      </c>
      <c r="AK4426">
        <v>30.214342943057801</v>
      </c>
      <c r="AL4426">
        <v>79.456382270682496</v>
      </c>
      <c r="AM4426">
        <v>90.880182865859197</v>
      </c>
      <c r="AN4426">
        <v>1.00000001084225</v>
      </c>
    </row>
    <row r="4427" spans="1:40" x14ac:dyDescent="0.25">
      <c r="A4427" t="str">
        <f>"20190312172459835"</f>
        <v>20190312172459835</v>
      </c>
      <c r="B4427" t="str">
        <f>"1552382699825027"</f>
        <v>1552382699825027</v>
      </c>
      <c r="C4427" t="s">
        <v>40</v>
      </c>
      <c r="D4427">
        <v>3.582573</v>
      </c>
      <c r="E4427">
        <v>0.51142589999999999</v>
      </c>
      <c r="F4427" t="s">
        <v>43</v>
      </c>
      <c r="G4427">
        <v>-347.87569999999999</v>
      </c>
      <c r="H4427" s="1">
        <v>-1.5541479999999999E-6</v>
      </c>
      <c r="I4427">
        <v>142.09880000000001</v>
      </c>
      <c r="J4427">
        <v>-318.18650000000002</v>
      </c>
      <c r="K4427">
        <v>1.1073010000000001</v>
      </c>
      <c r="L4427">
        <v>141.34569999999999</v>
      </c>
      <c r="M4427">
        <v>-0.99976580000000004</v>
      </c>
      <c r="N4427">
        <v>0</v>
      </c>
      <c r="O4427">
        <v>1.934524E-2</v>
      </c>
      <c r="P4427">
        <v>-0.98492749999999996</v>
      </c>
      <c r="Q4427">
        <v>0.1729474</v>
      </c>
      <c r="R4427">
        <v>2.6066700000000002E-3</v>
      </c>
      <c r="S4427">
        <v>-3.0658569999999998</v>
      </c>
      <c r="T4427">
        <v>-0.112706399999999</v>
      </c>
      <c r="U4427">
        <v>7.7545169999999997E-2</v>
      </c>
      <c r="V4427">
        <v>-1.55055E-2</v>
      </c>
      <c r="W4427">
        <v>0.18257090000000001</v>
      </c>
      <c r="X4427">
        <v>0.98307040000000001</v>
      </c>
      <c r="Y4427">
        <v>5.949401E-3</v>
      </c>
      <c r="Z4427">
        <v>-6.0146799999999997E-4</v>
      </c>
      <c r="AA4427">
        <v>0.99998209999999998</v>
      </c>
      <c r="AB4427">
        <v>45</v>
      </c>
      <c r="AC4427">
        <v>-29.6891999999999</v>
      </c>
      <c r="AD4427">
        <v>-1.1073025541479999</v>
      </c>
      <c r="AE4427">
        <v>0.75310000000001698</v>
      </c>
      <c r="AF4427">
        <v>0.17833941246492699</v>
      </c>
      <c r="AG4427">
        <v>-1.1073025541479999</v>
      </c>
      <c r="AH4427">
        <v>29.656985978921401</v>
      </c>
      <c r="AI4427">
        <v>92.138220011093694</v>
      </c>
      <c r="AJ4427">
        <v>89.655461532758594</v>
      </c>
      <c r="AK4427">
        <v>29.678186286334899</v>
      </c>
      <c r="AL4427">
        <v>79.480456408201505</v>
      </c>
      <c r="AM4427">
        <v>90.903624044055107</v>
      </c>
      <c r="AN4427">
        <v>0.99999998270660995</v>
      </c>
    </row>
    <row r="4428" spans="1:40" x14ac:dyDescent="0.25">
      <c r="A4428" t="str">
        <f>"20190312172459850"</f>
        <v>20190312172459850</v>
      </c>
      <c r="B4428" t="str">
        <f>"1552382699844549"</f>
        <v>1552382699844549</v>
      </c>
      <c r="C4428" t="s">
        <v>40</v>
      </c>
      <c r="D4428">
        <v>3.6064539999999998</v>
      </c>
      <c r="E4428">
        <v>0.51358919999999997</v>
      </c>
      <c r="F4428" t="s">
        <v>43</v>
      </c>
      <c r="G4428">
        <v>-347.89769999999999</v>
      </c>
      <c r="H4428" s="1">
        <v>-1.5539230000000001E-6</v>
      </c>
      <c r="I4428">
        <v>142.13339999999999</v>
      </c>
      <c r="J4428">
        <v>-318.48230000000001</v>
      </c>
      <c r="K4428">
        <v>1.1073379999999999</v>
      </c>
      <c r="L4428">
        <v>141.35210000000001</v>
      </c>
      <c r="M4428">
        <v>-0.9997452</v>
      </c>
      <c r="N4428">
        <v>0</v>
      </c>
      <c r="O4428">
        <v>2.0387010000000001E-2</v>
      </c>
      <c r="P4428">
        <v>-0.98494579999999998</v>
      </c>
      <c r="Q4428">
        <v>0.1728324</v>
      </c>
      <c r="R4428">
        <v>3.3288200000000001E-3</v>
      </c>
      <c r="S4428">
        <v>-3.0657649999999999</v>
      </c>
      <c r="T4428">
        <v>-0.11425780000000001</v>
      </c>
      <c r="U4428">
        <v>8.1283569999999999E-2</v>
      </c>
      <c r="V4428">
        <v>-1.5827399999999998E-2</v>
      </c>
      <c r="W4428">
        <v>0.18246219999999999</v>
      </c>
      <c r="X4428">
        <v>0.98308549999999995</v>
      </c>
      <c r="Y4428">
        <v>6.1275720000000004E-3</v>
      </c>
      <c r="Z4428">
        <v>-6.4522560000000002E-4</v>
      </c>
      <c r="AA4428">
        <v>0.99998100000000001</v>
      </c>
      <c r="AB4428">
        <v>45</v>
      </c>
      <c r="AC4428">
        <v>-29.415399999999899</v>
      </c>
      <c r="AD4428">
        <v>-1.107339553923</v>
      </c>
      <c r="AE4428">
        <v>0.781299999999987</v>
      </c>
      <c r="AF4428">
        <v>0.181160840097257</v>
      </c>
      <c r="AG4428">
        <v>-1.107339553923</v>
      </c>
      <c r="AH4428">
        <v>29.383603683308699</v>
      </c>
      <c r="AI4428">
        <v>92.1581651337832</v>
      </c>
      <c r="AJ4428">
        <v>89.646754695313206</v>
      </c>
      <c r="AK4428">
        <v>29.405019733974399</v>
      </c>
      <c r="AL4428">
        <v>79.486791370666197</v>
      </c>
      <c r="AM4428">
        <v>90.922366245163204</v>
      </c>
      <c r="AN4428">
        <v>1.0000000306649199</v>
      </c>
    </row>
    <row r="4429" spans="1:40" x14ac:dyDescent="0.25">
      <c r="A4429" t="str">
        <f>"20190312172459870"</f>
        <v>20190312172459870</v>
      </c>
      <c r="B4429" t="str">
        <f>"1552382699865044"</f>
        <v>1552382699865044</v>
      </c>
      <c r="C4429" t="s">
        <v>40</v>
      </c>
      <c r="D4429">
        <v>3.5814159999999999</v>
      </c>
      <c r="E4429">
        <v>0.51490619999999998</v>
      </c>
      <c r="F4429" t="s">
        <v>43</v>
      </c>
      <c r="G4429">
        <v>-347.71</v>
      </c>
      <c r="H4429" s="1">
        <v>-1.682346E-6</v>
      </c>
      <c r="I4429">
        <v>142.3134</v>
      </c>
      <c r="J4429">
        <v>-318.89100000000002</v>
      </c>
      <c r="K4429">
        <v>1.1073959999999901</v>
      </c>
      <c r="L4429">
        <v>141.3613</v>
      </c>
      <c r="M4429">
        <v>-0.99971589999999999</v>
      </c>
      <c r="N4429">
        <v>0</v>
      </c>
      <c r="O4429">
        <v>2.1773009999999999E-2</v>
      </c>
      <c r="P4429">
        <v>-0.98491050000000002</v>
      </c>
      <c r="Q4429">
        <v>0.17301849999999999</v>
      </c>
      <c r="R4429">
        <v>4.0336360000000002E-3</v>
      </c>
      <c r="S4429">
        <v>-3.0659179999999999</v>
      </c>
      <c r="T4429">
        <v>-0.1161575</v>
      </c>
      <c r="U4429">
        <v>0.1008453</v>
      </c>
      <c r="V4429">
        <v>-1.6512599999999999E-2</v>
      </c>
      <c r="W4429">
        <v>0.18265770000000001</v>
      </c>
      <c r="X4429">
        <v>0.98303790000000002</v>
      </c>
      <c r="Y4429">
        <v>1.1112179999999999E-2</v>
      </c>
      <c r="Z4429">
        <v>-6.1393560000000001E-4</v>
      </c>
      <c r="AA4429">
        <v>0.99993810000000005</v>
      </c>
      <c r="AB4429">
        <v>45</v>
      </c>
      <c r="AC4429">
        <v>-28.818999999999999</v>
      </c>
      <c r="AD4429">
        <v>-1.1073976823459999</v>
      </c>
      <c r="AE4429">
        <v>0.95210000000000095</v>
      </c>
      <c r="AF4429">
        <v>0.32389066711845299</v>
      </c>
      <c r="AG4429">
        <v>-1.1073976823459999</v>
      </c>
      <c r="AH4429">
        <v>28.790434290652701</v>
      </c>
      <c r="AI4429">
        <v>92.202604553334496</v>
      </c>
      <c r="AJ4429">
        <v>89.355453091378607</v>
      </c>
      <c r="AK4429">
        <v>28.8135444094527</v>
      </c>
      <c r="AL4429">
        <v>79.475398336204407</v>
      </c>
      <c r="AM4429">
        <v>90.962336569942593</v>
      </c>
      <c r="AN4429">
        <v>1.0000000070822299</v>
      </c>
    </row>
    <row r="4430" spans="1:40" x14ac:dyDescent="0.25">
      <c r="A4430" t="str">
        <f>"20190312172459893"</f>
        <v>20190312172459893</v>
      </c>
      <c r="B4430" t="str">
        <f>"1552382699884563"</f>
        <v>1552382699884563</v>
      </c>
      <c r="C4430" t="s">
        <v>40</v>
      </c>
      <c r="D4430">
        <v>3.5729350000000002</v>
      </c>
      <c r="E4430">
        <v>0.51606200000000002</v>
      </c>
      <c r="F4430" t="s">
        <v>43</v>
      </c>
      <c r="G4430">
        <v>-348.0052</v>
      </c>
      <c r="H4430" s="1">
        <v>-1.5882309999999999E-6</v>
      </c>
      <c r="I4430">
        <v>142.43559999999999</v>
      </c>
      <c r="J4430">
        <v>-319.34480000000002</v>
      </c>
      <c r="K4430">
        <v>1.10747</v>
      </c>
      <c r="L4430">
        <v>141.37219999999999</v>
      </c>
      <c r="M4430">
        <v>-0.99968279999999998</v>
      </c>
      <c r="N4430">
        <v>0</v>
      </c>
      <c r="O4430">
        <v>2.3230600000000001E-2</v>
      </c>
      <c r="P4430">
        <v>-0.98495869999999996</v>
      </c>
      <c r="Q4430">
        <v>0.17271039999999999</v>
      </c>
      <c r="R4430">
        <v>5.218861E-3</v>
      </c>
      <c r="S4430">
        <v>-3.065979</v>
      </c>
      <c r="T4430">
        <v>-0.11661879999999999</v>
      </c>
      <c r="U4430">
        <v>0.11314390000000001</v>
      </c>
      <c r="V4430">
        <v>-1.680042E-2</v>
      </c>
      <c r="W4430">
        <v>0.1823581</v>
      </c>
      <c r="X4430">
        <v>0.98308859999999998</v>
      </c>
      <c r="Y4430">
        <v>1.3658989999999999E-2</v>
      </c>
      <c r="Z4430">
        <v>-6.2328899999999996E-4</v>
      </c>
      <c r="AA4430">
        <v>0.99990650000000003</v>
      </c>
      <c r="AB4430">
        <v>45</v>
      </c>
      <c r="AC4430">
        <v>-28.6603999999999</v>
      </c>
      <c r="AD4430">
        <v>-1.107471588231</v>
      </c>
      <c r="AE4430">
        <v>1.0633999999999999</v>
      </c>
      <c r="AF4430">
        <v>0.39669169872664201</v>
      </c>
      <c r="AG4430">
        <v>-1.107471588231</v>
      </c>
      <c r="AH4430">
        <v>28.6346725547732</v>
      </c>
      <c r="AI4430">
        <v>92.214649345798605</v>
      </c>
      <c r="AJ4430">
        <v>89.206301165514503</v>
      </c>
      <c r="AK4430">
        <v>28.6588263880721</v>
      </c>
      <c r="AL4430">
        <v>79.492856919768201</v>
      </c>
      <c r="AM4430">
        <v>90.979056687775696</v>
      </c>
      <c r="AN4430">
        <v>0.99999996309887196</v>
      </c>
    </row>
    <row r="4431" spans="1:40" x14ac:dyDescent="0.25">
      <c r="A4431" t="str">
        <f>"20190312172459914"</f>
        <v>20190312172459914</v>
      </c>
      <c r="B4431" t="str">
        <f>"1552382699905059"</f>
        <v>1552382699905059</v>
      </c>
      <c r="C4431" t="s">
        <v>40</v>
      </c>
      <c r="D4431">
        <v>3.759811</v>
      </c>
      <c r="E4431">
        <v>0.51709099999999997</v>
      </c>
      <c r="F4431" t="s">
        <v>43</v>
      </c>
      <c r="G4431">
        <v>-348.01069999999999</v>
      </c>
      <c r="H4431" s="1">
        <v>-1.6136479999999999E-6</v>
      </c>
      <c r="I4431">
        <v>142.5401</v>
      </c>
      <c r="J4431">
        <v>-319.78210000000001</v>
      </c>
      <c r="K4431">
        <v>1.1075489999999999</v>
      </c>
      <c r="L4431">
        <v>141.38319999999999</v>
      </c>
      <c r="M4431">
        <v>-0.99965130000000002</v>
      </c>
      <c r="N4431">
        <v>0</v>
      </c>
      <c r="O4431">
        <v>2.4548730000000001E-2</v>
      </c>
      <c r="P4431">
        <v>-0.98499519999999996</v>
      </c>
      <c r="Q4431">
        <v>0.17248359999999999</v>
      </c>
      <c r="R4431">
        <v>5.8152539999999997E-3</v>
      </c>
      <c r="S4431">
        <v>-3.0659179999999999</v>
      </c>
      <c r="T4431">
        <v>-0.11844780000000001</v>
      </c>
      <c r="U4431">
        <v>0.1249237</v>
      </c>
      <c r="V4431">
        <v>-1.7540859999999998E-2</v>
      </c>
      <c r="W4431">
        <v>0.1821401</v>
      </c>
      <c r="X4431">
        <v>0.98311610000000005</v>
      </c>
      <c r="Y4431">
        <v>1.6176579999999999E-2</v>
      </c>
      <c r="Z4431">
        <v>-6.3528269999999995E-4</v>
      </c>
      <c r="AA4431">
        <v>0.99986889999999995</v>
      </c>
      <c r="AB4431">
        <v>45</v>
      </c>
      <c r="AC4431">
        <v>-28.228599999999901</v>
      </c>
      <c r="AD4431">
        <v>-1.107550613648</v>
      </c>
      <c r="AE4431">
        <v>1.1569</v>
      </c>
      <c r="AF4431">
        <v>0.46283096185220302</v>
      </c>
      <c r="AG4431">
        <v>-1.107550613648</v>
      </c>
      <c r="AH4431">
        <v>28.205147938675299</v>
      </c>
      <c r="AI4431">
        <v>92.248414399302106</v>
      </c>
      <c r="AJ4431">
        <v>89.059892151846</v>
      </c>
      <c r="AK4431">
        <v>28.230679253315898</v>
      </c>
      <c r="AL4431">
        <v>79.505560348865501</v>
      </c>
      <c r="AM4431">
        <v>91.022168817533398</v>
      </c>
      <c r="AN4431">
        <v>0.99999998193837902</v>
      </c>
    </row>
    <row r="4432" spans="1:40" x14ac:dyDescent="0.25">
      <c r="A4432" t="str">
        <f>"20190312172459936"</f>
        <v>20190312172459936</v>
      </c>
      <c r="B4432" t="str">
        <f>"1552382699924580"</f>
        <v>1552382699924580</v>
      </c>
      <c r="C4432" t="s">
        <v>40</v>
      </c>
      <c r="D4432">
        <v>3.5708760000000002</v>
      </c>
      <c r="E4432">
        <v>0.51793599999999995</v>
      </c>
      <c r="F4432" t="s">
        <v>43</v>
      </c>
      <c r="G4432">
        <v>-348.06990000000002</v>
      </c>
      <c r="H4432" s="1">
        <v>-1.6119570000000001E-6</v>
      </c>
      <c r="I4432">
        <v>142.6292</v>
      </c>
      <c r="J4432">
        <v>-320.21910000000003</v>
      </c>
      <c r="K4432">
        <v>1.1076349999999999</v>
      </c>
      <c r="L4432">
        <v>141.3947</v>
      </c>
      <c r="M4432">
        <v>-0.99962039999999996</v>
      </c>
      <c r="N4432">
        <v>0</v>
      </c>
      <c r="O4432">
        <v>2.5773040000000001E-2</v>
      </c>
      <c r="P4432">
        <v>-0.9850122</v>
      </c>
      <c r="Q4432">
        <v>0.17239289999999999</v>
      </c>
      <c r="R4432">
        <v>5.6354229999999996E-3</v>
      </c>
      <c r="S4432">
        <v>-3.0659179999999999</v>
      </c>
      <c r="T4432">
        <v>-0.1200398</v>
      </c>
      <c r="U4432">
        <v>0.13505549999999999</v>
      </c>
      <c r="V4432">
        <v>-1.8966239999999999E-2</v>
      </c>
      <c r="W4432">
        <v>0.1820609</v>
      </c>
      <c r="X4432">
        <v>0.98310430000000004</v>
      </c>
      <c r="Y4432">
        <v>1.8249769999999998E-2</v>
      </c>
      <c r="Z4432">
        <v>-6.5108099999999997E-4</v>
      </c>
      <c r="AA4432">
        <v>0.99983319999999998</v>
      </c>
      <c r="AB4432">
        <v>45</v>
      </c>
      <c r="AC4432">
        <v>-27.8507999999999</v>
      </c>
      <c r="AD4432">
        <v>-1.107636611957</v>
      </c>
      <c r="AE4432">
        <v>1.2344999999999899</v>
      </c>
      <c r="AF4432">
        <v>0.51544240663336705</v>
      </c>
      <c r="AG4432">
        <v>-1.107636611957</v>
      </c>
      <c r="AH4432">
        <v>27.8294349595858</v>
      </c>
      <c r="AI4432">
        <v>92.278830271290005</v>
      </c>
      <c r="AJ4432">
        <v>88.938918515428995</v>
      </c>
      <c r="AK4432">
        <v>27.856237899409901</v>
      </c>
      <c r="AL4432">
        <v>79.510175286575802</v>
      </c>
      <c r="AM4432">
        <v>91.105224255393495</v>
      </c>
      <c r="AN4432">
        <v>0.99999997712351796</v>
      </c>
    </row>
    <row r="4433" spans="1:40" x14ac:dyDescent="0.25">
      <c r="A4433" t="str">
        <f>"20190312172459958"</f>
        <v>20190312172459958</v>
      </c>
      <c r="B4433" t="str">
        <f>"1552382699954836"</f>
        <v>1552382699954836</v>
      </c>
      <c r="C4433" t="s">
        <v>40</v>
      </c>
      <c r="D4433">
        <v>3.5628929999999999</v>
      </c>
      <c r="E4433">
        <v>0.51898729999999904</v>
      </c>
      <c r="F4433" t="s">
        <v>43</v>
      </c>
      <c r="G4433">
        <v>-348.34010000000001</v>
      </c>
      <c r="H4433" s="1">
        <v>-1.5123089999999999E-6</v>
      </c>
      <c r="I4433">
        <v>142.6902</v>
      </c>
      <c r="J4433">
        <v>-320.67020000000002</v>
      </c>
      <c r="K4433">
        <v>1.1077379999999999</v>
      </c>
      <c r="L4433">
        <v>141.40710000000001</v>
      </c>
      <c r="M4433">
        <v>-0.99958970000000003</v>
      </c>
      <c r="N4433">
        <v>0</v>
      </c>
      <c r="O4433">
        <v>2.693444E-2</v>
      </c>
      <c r="P4433">
        <v>-0.98494740000000003</v>
      </c>
      <c r="Q4433">
        <v>0.17277139999999999</v>
      </c>
      <c r="R4433">
        <v>5.3943659999999899E-3</v>
      </c>
      <c r="S4433">
        <v>-3.065979</v>
      </c>
      <c r="T4433">
        <v>-0.1207638</v>
      </c>
      <c r="U4433">
        <v>0.1412506</v>
      </c>
      <c r="V4433">
        <v>-2.0391220000000002E-2</v>
      </c>
      <c r="W4433">
        <v>0.18244859999999999</v>
      </c>
      <c r="X4433">
        <v>0.98300390000000004</v>
      </c>
      <c r="Y4433">
        <v>1.9103680000000001E-2</v>
      </c>
      <c r="Z4433">
        <v>-6.8383379999999996E-4</v>
      </c>
      <c r="AA4433">
        <v>0.99981730000000002</v>
      </c>
      <c r="AB4433">
        <v>45</v>
      </c>
      <c r="AC4433">
        <v>-27.669899999999899</v>
      </c>
      <c r="AD4433">
        <v>-1.1077395123089999</v>
      </c>
      <c r="AE4433">
        <v>1.2830999999999899</v>
      </c>
      <c r="AF4433">
        <v>0.53646782991866104</v>
      </c>
      <c r="AG4433">
        <v>-1.1077395123089999</v>
      </c>
      <c r="AH4433">
        <v>27.6502009957856</v>
      </c>
      <c r="AI4433">
        <v>92.293760974032494</v>
      </c>
      <c r="AJ4433">
        <v>88.888489581071696</v>
      </c>
      <c r="AK4433">
        <v>27.6775811744272</v>
      </c>
      <c r="AL4433">
        <v>79.487583362647499</v>
      </c>
      <c r="AM4433">
        <v>91.188360808147195</v>
      </c>
      <c r="AN4433">
        <v>0.99999998045512895</v>
      </c>
    </row>
    <row r="4434" spans="1:40" x14ac:dyDescent="0.25">
      <c r="A4434" t="str">
        <f>"20190312172459983"</f>
        <v>20190312172459983</v>
      </c>
      <c r="B4434" t="str">
        <f>"1552382699975331"</f>
        <v>1552382699975331</v>
      </c>
      <c r="C4434" t="s">
        <v>40</v>
      </c>
      <c r="D4434">
        <v>3.5764830000000001</v>
      </c>
      <c r="E4434">
        <v>0.51957350000000002</v>
      </c>
      <c r="F4434" t="s">
        <v>43</v>
      </c>
      <c r="G4434">
        <v>-348.76199999999898</v>
      </c>
      <c r="H4434" s="1">
        <v>-1.3526340000000001E-6</v>
      </c>
      <c r="I4434">
        <v>142.7704</v>
      </c>
      <c r="J4434">
        <v>-321.15989999999999</v>
      </c>
      <c r="K4434">
        <v>1.10785</v>
      </c>
      <c r="L4434">
        <v>141.42099999999999</v>
      </c>
      <c r="M4434">
        <v>-0.99955819999999995</v>
      </c>
      <c r="N4434">
        <v>0</v>
      </c>
      <c r="O4434">
        <v>2.807424E-2</v>
      </c>
      <c r="P4434">
        <v>-0.98486980000000002</v>
      </c>
      <c r="Q4434">
        <v>0.17321439999999999</v>
      </c>
      <c r="R4434">
        <v>5.3255439999999998E-3</v>
      </c>
      <c r="S4434">
        <v>-3.066284</v>
      </c>
      <c r="T4434">
        <v>-0.1209124</v>
      </c>
      <c r="U4434">
        <v>0.14881900000000001</v>
      </c>
      <c r="V4434">
        <v>-2.1628229999999998E-2</v>
      </c>
      <c r="W4434">
        <v>0.1828996</v>
      </c>
      <c r="X4434">
        <v>0.98289360000000003</v>
      </c>
      <c r="Y4434">
        <v>2.0421160000000001E-2</v>
      </c>
      <c r="Z4434">
        <v>-7.0348410000000002E-4</v>
      </c>
      <c r="AA4434">
        <v>0.99979119999999999</v>
      </c>
      <c r="AB4434">
        <v>45</v>
      </c>
      <c r="AC4434">
        <v>-27.602099999999901</v>
      </c>
      <c r="AD4434">
        <v>-1.1078513526339999</v>
      </c>
      <c r="AE4434">
        <v>1.3493999999999999</v>
      </c>
      <c r="AF4434">
        <v>0.57300231644757904</v>
      </c>
      <c r="AG4434">
        <v>-1.1078513526339999</v>
      </c>
      <c r="AH4434">
        <v>27.584773128636201</v>
      </c>
      <c r="AI4434">
        <v>92.2993643536782</v>
      </c>
      <c r="AJ4434">
        <v>88.809999509844999</v>
      </c>
      <c r="AK4434">
        <v>27.612956647786099</v>
      </c>
      <c r="AL4434">
        <v>79.461300252130499</v>
      </c>
      <c r="AM4434">
        <v>91.2605701630509</v>
      </c>
      <c r="AN4434">
        <v>0.99999993646702401</v>
      </c>
    </row>
    <row r="4435" spans="1:40" x14ac:dyDescent="0.25">
      <c r="A4435" t="str">
        <f>"20190312172500005"</f>
        <v>20190312172500005</v>
      </c>
      <c r="B4435" t="str">
        <f>"1552382699994851"</f>
        <v>1552382699994851</v>
      </c>
      <c r="C4435" t="s">
        <v>40</v>
      </c>
      <c r="D4435">
        <v>3.580768</v>
      </c>
      <c r="E4435">
        <v>0.5200979</v>
      </c>
      <c r="F4435" t="s">
        <v>43</v>
      </c>
      <c r="G4435">
        <v>-349.32560000000001</v>
      </c>
      <c r="H4435" s="1">
        <v>-1.1254850000000001E-6</v>
      </c>
      <c r="I4435">
        <v>142.8254</v>
      </c>
      <c r="J4435">
        <v>-321.60050000000001</v>
      </c>
      <c r="K4435">
        <v>1.107953</v>
      </c>
      <c r="L4435">
        <v>141.434</v>
      </c>
      <c r="M4435">
        <v>-0.99953199999999998</v>
      </c>
      <c r="N4435">
        <v>0</v>
      </c>
      <c r="O4435">
        <v>2.899266E-2</v>
      </c>
      <c r="P4435">
        <v>-0.98482910000000001</v>
      </c>
      <c r="Q4435">
        <v>0.17346439999999999</v>
      </c>
      <c r="R4435">
        <v>4.6572330000000002E-3</v>
      </c>
      <c r="S4435">
        <v>-3.0664980000000002</v>
      </c>
      <c r="T4435">
        <v>-0.120616</v>
      </c>
      <c r="U4435">
        <v>0.1529083</v>
      </c>
      <c r="V4435">
        <v>-2.3243529999999998E-2</v>
      </c>
      <c r="W4435">
        <v>0.1831584</v>
      </c>
      <c r="X4435">
        <v>0.98280860000000003</v>
      </c>
      <c r="Y4435">
        <v>2.0829569999999999E-2</v>
      </c>
      <c r="Z4435">
        <v>-7.2972559999999996E-4</v>
      </c>
      <c r="AA4435">
        <v>0.99978279999999997</v>
      </c>
      <c r="AB4435">
        <v>45</v>
      </c>
      <c r="AC4435">
        <v>-27.725100000000001</v>
      </c>
      <c r="AD4435">
        <v>-1.1079541254850001</v>
      </c>
      <c r="AE4435">
        <v>1.3914</v>
      </c>
      <c r="AF4435">
        <v>0.58601886395132996</v>
      </c>
      <c r="AG4435">
        <v>-1.1079541254850001</v>
      </c>
      <c r="AH4435">
        <v>27.709645885699999</v>
      </c>
      <c r="AI4435">
        <v>92.2892074780477</v>
      </c>
      <c r="AJ4435">
        <v>88.788457878799704</v>
      </c>
      <c r="AK4435">
        <v>27.737978577466301</v>
      </c>
      <c r="AL4435">
        <v>79.4462180221593</v>
      </c>
      <c r="AM4435">
        <v>91.354798846155703</v>
      </c>
      <c r="AN4435">
        <v>1.0000000027056899</v>
      </c>
    </row>
    <row r="4436" spans="1:40" x14ac:dyDescent="0.25">
      <c r="A4436" t="str">
        <f>"20190312172500028"</f>
        <v>20190312172500028</v>
      </c>
      <c r="B4436" t="str">
        <f>"1552382700025108"</f>
        <v>1552382700025108</v>
      </c>
      <c r="C4436" t="s">
        <v>40</v>
      </c>
      <c r="D4436">
        <v>3.5752039999999998</v>
      </c>
      <c r="E4436">
        <v>0.52076409999999995</v>
      </c>
      <c r="F4436" t="s">
        <v>43</v>
      </c>
      <c r="G4436">
        <v>-349.68470000000002</v>
      </c>
      <c r="H4436" s="1">
        <v>-9.78501699999999E-7</v>
      </c>
      <c r="I4436">
        <v>142.8519</v>
      </c>
      <c r="J4436">
        <v>-322.06790000000001</v>
      </c>
      <c r="K4436">
        <v>1.108053</v>
      </c>
      <c r="L4436">
        <v>141.44810000000001</v>
      </c>
      <c r="M4436">
        <v>-0.99950570000000005</v>
      </c>
      <c r="N4436">
        <v>0</v>
      </c>
      <c r="O4436">
        <v>2.988035E-2</v>
      </c>
      <c r="P4436">
        <v>-0.98480140000000005</v>
      </c>
      <c r="Q4436">
        <v>0.17363970000000001</v>
      </c>
      <c r="R4436">
        <v>3.9345109999999999E-3</v>
      </c>
      <c r="S4436">
        <v>-3.0668030000000002</v>
      </c>
      <c r="T4436">
        <v>-0.12098929999999999</v>
      </c>
      <c r="U4436">
        <v>0.15484619999999999</v>
      </c>
      <c r="V4436">
        <v>-2.4884280000000002E-2</v>
      </c>
      <c r="W4436">
        <v>0.18334210000000001</v>
      </c>
      <c r="X4436">
        <v>0.98273410000000005</v>
      </c>
      <c r="Y4436">
        <v>2.0567789999999999E-2</v>
      </c>
      <c r="Z4436">
        <v>-7.7201639999999996E-4</v>
      </c>
      <c r="AA4436">
        <v>0.99978820000000002</v>
      </c>
      <c r="AB4436">
        <v>45</v>
      </c>
      <c r="AC4436">
        <v>-27.616800000000001</v>
      </c>
      <c r="AD4436">
        <v>-1.1080539785017001</v>
      </c>
      <c r="AE4436">
        <v>1.40379999999998</v>
      </c>
      <c r="AF4436">
        <v>0.57700757489355003</v>
      </c>
      <c r="AG4436">
        <v>-1.1080539785017001</v>
      </c>
      <c r="AH4436">
        <v>27.602095813257801</v>
      </c>
      <c r="AI4436">
        <v>92.2983363758661</v>
      </c>
      <c r="AJ4436">
        <v>88.8024357082151</v>
      </c>
      <c r="AK4436">
        <v>27.630353140070799</v>
      </c>
      <c r="AL4436">
        <v>79.435510732375704</v>
      </c>
      <c r="AM4436">
        <v>91.450503869630495</v>
      </c>
      <c r="AN4436">
        <v>0.99999993216316696</v>
      </c>
    </row>
    <row r="4437" spans="1:40" x14ac:dyDescent="0.25">
      <c r="A4437" t="str">
        <f>"20190312172500048"</f>
        <v>20190312172500048</v>
      </c>
      <c r="B4437" t="str">
        <f>"1552382700044628"</f>
        <v>1552382700044628</v>
      </c>
      <c r="C4437" t="s">
        <v>40</v>
      </c>
      <c r="D4437">
        <v>3.5731130000000002</v>
      </c>
      <c r="E4437">
        <v>0.52117369999999996</v>
      </c>
      <c r="F4437" t="s">
        <v>43</v>
      </c>
      <c r="G4437">
        <v>-350.04390000000001</v>
      </c>
      <c r="H4437" s="1">
        <v>-4.8417090000000002E-6</v>
      </c>
      <c r="I4437">
        <v>142.8896</v>
      </c>
      <c r="J4437">
        <v>-322.49090000000001</v>
      </c>
      <c r="K4437">
        <v>1.1081399999999999</v>
      </c>
      <c r="L4437">
        <v>141.46119999999999</v>
      </c>
      <c r="M4437">
        <v>-0.99948329999999996</v>
      </c>
      <c r="N4437">
        <v>0</v>
      </c>
      <c r="O4437">
        <v>3.0614579999999999E-2</v>
      </c>
      <c r="P4437">
        <v>-0.98472059999999995</v>
      </c>
      <c r="Q4437">
        <v>0.17411189999999999</v>
      </c>
      <c r="R4437">
        <v>3.2666190000000001E-3</v>
      </c>
      <c r="S4437">
        <v>-3.067078</v>
      </c>
      <c r="T4437">
        <v>-0.1214794</v>
      </c>
      <c r="U4437">
        <v>0.15803529999999999</v>
      </c>
      <c r="V4437">
        <v>-2.6309229999999999E-2</v>
      </c>
      <c r="W4437">
        <v>0.18382119999999999</v>
      </c>
      <c r="X4437">
        <v>0.98260749999999997</v>
      </c>
      <c r="Y4437">
        <v>2.0866079999999999E-2</v>
      </c>
      <c r="Z4437">
        <v>-7.9817649999999903E-4</v>
      </c>
      <c r="AA4437">
        <v>0.99978199999999995</v>
      </c>
      <c r="AB4437">
        <v>45</v>
      </c>
      <c r="AC4437">
        <v>-27.553000000000001</v>
      </c>
      <c r="AD4437">
        <v>-1.1081448417090001</v>
      </c>
      <c r="AE4437">
        <v>1.4284000000000101</v>
      </c>
      <c r="AF4437">
        <v>0.58322556617167898</v>
      </c>
      <c r="AG4437">
        <v>-1.1081448417090001</v>
      </c>
      <c r="AH4437">
        <v>27.539388949955502</v>
      </c>
      <c r="AI4437">
        <v>92.303739492118297</v>
      </c>
      <c r="AJ4437">
        <v>88.786778854084602</v>
      </c>
      <c r="AK4437">
        <v>27.567845051584602</v>
      </c>
      <c r="AL4437">
        <v>79.4075859567766</v>
      </c>
      <c r="AM4437">
        <v>91.533723056166096</v>
      </c>
      <c r="AN4437">
        <v>0.99999995410443998</v>
      </c>
    </row>
    <row r="4438" spans="1:40" x14ac:dyDescent="0.25">
      <c r="A4438" t="str">
        <f>"20190312172500071"</f>
        <v>20190312172500071</v>
      </c>
      <c r="B4438" t="str">
        <f>"1552382700065124"</f>
        <v>1552382700065124</v>
      </c>
      <c r="C4438" t="s">
        <v>40</v>
      </c>
      <c r="D4438">
        <v>3.5752109999999999</v>
      </c>
      <c r="E4438">
        <v>0.52156530000000001</v>
      </c>
      <c r="F4438" t="s">
        <v>43</v>
      </c>
      <c r="G4438">
        <v>-350.68470000000002</v>
      </c>
      <c r="H4438" s="1">
        <v>-4.6297120000000002E-6</v>
      </c>
      <c r="I4438">
        <v>142.9237</v>
      </c>
      <c r="J4438">
        <v>-322.96749999999997</v>
      </c>
      <c r="K4438">
        <v>1.108241</v>
      </c>
      <c r="L4438">
        <v>141.47640000000001</v>
      </c>
      <c r="M4438">
        <v>-0.99945980000000001</v>
      </c>
      <c r="N4438">
        <v>0</v>
      </c>
      <c r="O4438">
        <v>3.1369670000000002E-2</v>
      </c>
      <c r="P4438">
        <v>-0.98463230000000002</v>
      </c>
      <c r="Q4438">
        <v>0.174619</v>
      </c>
      <c r="R4438">
        <v>2.7373599999999999E-3</v>
      </c>
      <c r="S4438">
        <v>-3.067383</v>
      </c>
      <c r="T4438">
        <v>-0.1205623</v>
      </c>
      <c r="U4438">
        <v>0.1591187</v>
      </c>
      <c r="V4438">
        <v>-2.7619350000000001E-2</v>
      </c>
      <c r="W4438">
        <v>0.18433530000000001</v>
      </c>
      <c r="X4438">
        <v>0.98247530000000005</v>
      </c>
      <c r="Y4438">
        <v>2.0458589999999999E-2</v>
      </c>
      <c r="Z4438">
        <v>-8.2969390000000004E-4</v>
      </c>
      <c r="AA4438">
        <v>0.99979039999999997</v>
      </c>
      <c r="AB4438">
        <v>45</v>
      </c>
      <c r="AC4438">
        <v>-27.717199999999998</v>
      </c>
      <c r="AD4438">
        <v>-1.108245629712</v>
      </c>
      <c r="AE4438">
        <v>1.44729999999998</v>
      </c>
      <c r="AF4438">
        <v>0.57614786959369402</v>
      </c>
      <c r="AG4438">
        <v>-1.108245629712</v>
      </c>
      <c r="AH4438">
        <v>27.704789337330102</v>
      </c>
      <c r="AI4438">
        <v>92.290227007949795</v>
      </c>
      <c r="AJ4438">
        <v>88.808650613493199</v>
      </c>
      <c r="AK4438">
        <v>27.7329318134461</v>
      </c>
      <c r="AL4438">
        <v>79.377618834305494</v>
      </c>
      <c r="AM4438">
        <v>91.610275105692196</v>
      </c>
      <c r="AN4438">
        <v>1.0000000232152999</v>
      </c>
    </row>
    <row r="4439" spans="1:40" x14ac:dyDescent="0.25">
      <c r="A4439" t="str">
        <f>"20190312172500094"</f>
        <v>20190312172500094</v>
      </c>
      <c r="B4439" t="str">
        <f>"1552382700084644"</f>
        <v>1552382700084644</v>
      </c>
      <c r="C4439" t="s">
        <v>40</v>
      </c>
      <c r="D4439">
        <v>3.5791129999999902</v>
      </c>
      <c r="E4439">
        <v>0.521926</v>
      </c>
      <c r="F4439" t="s">
        <v>43</v>
      </c>
      <c r="G4439">
        <v>-351.34730000000002</v>
      </c>
      <c r="H4439" s="1">
        <v>-4.4109509999999999E-6</v>
      </c>
      <c r="I4439">
        <v>142.9616</v>
      </c>
      <c r="J4439">
        <v>-323.42570000000001</v>
      </c>
      <c r="K4439">
        <v>1.108328</v>
      </c>
      <c r="L4439">
        <v>141.49119999999999</v>
      </c>
      <c r="M4439">
        <v>-0.99943859999999995</v>
      </c>
      <c r="N4439">
        <v>0</v>
      </c>
      <c r="O4439">
        <v>3.2036309999999998E-2</v>
      </c>
      <c r="P4439">
        <v>-0.98457989999999995</v>
      </c>
      <c r="Q4439">
        <v>0.17492579999999999</v>
      </c>
      <c r="R4439">
        <v>1.9625340000000002E-3</v>
      </c>
      <c r="S4439">
        <v>-3.0676570000000001</v>
      </c>
      <c r="T4439">
        <v>-0.11979380000000001</v>
      </c>
      <c r="U4439">
        <v>0.160553</v>
      </c>
      <c r="V4439">
        <v>-2.9083459999999998E-2</v>
      </c>
      <c r="W4439">
        <v>0.1846489</v>
      </c>
      <c r="X4439">
        <v>0.98237410000000003</v>
      </c>
      <c r="Y4439">
        <v>2.025385E-2</v>
      </c>
      <c r="Z4439">
        <v>-8.5430169999999896E-4</v>
      </c>
      <c r="AA4439">
        <v>0.99979450000000003</v>
      </c>
      <c r="AB4439">
        <v>45</v>
      </c>
      <c r="AC4439">
        <v>-27.921600000000002</v>
      </c>
      <c r="AD4439">
        <v>-1.108332410951</v>
      </c>
      <c r="AE4439">
        <v>1.4704000000000099</v>
      </c>
      <c r="AF4439">
        <v>0.57419490789063798</v>
      </c>
      <c r="AG4439">
        <v>-1.108332410951</v>
      </c>
      <c r="AH4439">
        <v>27.910519520067801</v>
      </c>
      <c r="AI4439">
        <v>92.273551692279497</v>
      </c>
      <c r="AJ4439">
        <v>88.821437033699297</v>
      </c>
      <c r="AK4439">
        <v>27.938418001123399</v>
      </c>
      <c r="AL4439">
        <v>79.359336460144405</v>
      </c>
      <c r="AM4439">
        <v>91.695762264112403</v>
      </c>
      <c r="AN4439">
        <v>0.99999996813379499</v>
      </c>
    </row>
    <row r="4440" spans="1:40" x14ac:dyDescent="0.25">
      <c r="A4440" t="str">
        <f>"20190312172500115"</f>
        <v>20190312172500115</v>
      </c>
      <c r="B4440" t="str">
        <f>"1552382700105140"</f>
        <v>1552382700105140</v>
      </c>
      <c r="C4440" t="s">
        <v>40</v>
      </c>
      <c r="D4440">
        <v>3.5718030000000001</v>
      </c>
      <c r="E4440">
        <v>0.52227060000000003</v>
      </c>
      <c r="F4440" t="s">
        <v>43</v>
      </c>
      <c r="G4440">
        <v>-351.91550000000001</v>
      </c>
      <c r="H4440" s="1">
        <v>-4.2221699999999996E-6</v>
      </c>
      <c r="I4440">
        <v>142.98750000000001</v>
      </c>
      <c r="J4440">
        <v>-323.86529999999999</v>
      </c>
      <c r="K4440">
        <v>1.1084020000000001</v>
      </c>
      <c r="L4440">
        <v>141.50569999999999</v>
      </c>
      <c r="M4440">
        <v>-0.99941930000000001</v>
      </c>
      <c r="N4440">
        <v>0</v>
      </c>
      <c r="O4440">
        <v>3.2632330000000001E-2</v>
      </c>
      <c r="P4440">
        <v>-0.98455029999999999</v>
      </c>
      <c r="Q4440">
        <v>0.1750951</v>
      </c>
      <c r="R4440">
        <v>1.5805490000000001E-3</v>
      </c>
      <c r="S4440">
        <v>-3.067841</v>
      </c>
      <c r="T4440">
        <v>-0.1193476</v>
      </c>
      <c r="U4440">
        <v>0.16113279999999999</v>
      </c>
      <c r="V4440">
        <v>-3.0082999999999999E-2</v>
      </c>
      <c r="W4440">
        <v>0.18482409999999999</v>
      </c>
      <c r="X4440">
        <v>0.98231109999999999</v>
      </c>
      <c r="Y4440">
        <v>1.9843630000000001E-2</v>
      </c>
      <c r="Z4440">
        <v>-8.8218159999999999E-4</v>
      </c>
      <c r="AA4440">
        <v>0.99980270000000004</v>
      </c>
      <c r="AB4440">
        <v>45</v>
      </c>
      <c r="AC4440">
        <v>-28.0502</v>
      </c>
      <c r="AD4440">
        <v>-1.10840622217</v>
      </c>
      <c r="AE4440">
        <v>1.48180000000002</v>
      </c>
      <c r="AF4440">
        <v>0.564743979933785</v>
      </c>
      <c r="AG4440">
        <v>-1.10840622217</v>
      </c>
      <c r="AH4440">
        <v>28.039955668666899</v>
      </c>
      <c r="AI4440">
        <v>92.263238044841401</v>
      </c>
      <c r="AJ4440">
        <v>88.846179617196796</v>
      </c>
      <c r="AK4440">
        <v>28.067536657445</v>
      </c>
      <c r="AL4440">
        <v>79.349122952189205</v>
      </c>
      <c r="AM4440">
        <v>91.754118822008607</v>
      </c>
      <c r="AN4440">
        <v>1.0000000160065099</v>
      </c>
    </row>
    <row r="4441" spans="1:40" x14ac:dyDescent="0.25">
      <c r="A4441" t="str">
        <f>"20190312172500137"</f>
        <v>20190312172500137</v>
      </c>
      <c r="B4441" t="str">
        <f>"1552382700135396"</f>
        <v>1552382700135396</v>
      </c>
      <c r="C4441" t="s">
        <v>40</v>
      </c>
      <c r="D4441">
        <v>3.5698289999999999</v>
      </c>
      <c r="E4441">
        <v>0.52277370000000001</v>
      </c>
      <c r="F4441" t="s">
        <v>43</v>
      </c>
      <c r="G4441">
        <v>-352.30790000000002</v>
      </c>
      <c r="H4441" s="1">
        <v>-4.0931370000000002E-6</v>
      </c>
      <c r="I4441">
        <v>143.0128</v>
      </c>
      <c r="J4441">
        <v>-324.29820000000001</v>
      </c>
      <c r="K4441">
        <v>1.108463</v>
      </c>
      <c r="L4441">
        <v>141.52019999999999</v>
      </c>
      <c r="M4441">
        <v>-0.99940090000000004</v>
      </c>
      <c r="N4441">
        <v>0</v>
      </c>
      <c r="O4441">
        <v>3.3186739999999999E-2</v>
      </c>
      <c r="P4441">
        <v>-0.98454249999999999</v>
      </c>
      <c r="Q4441">
        <v>0.17513399999999901</v>
      </c>
      <c r="R4441">
        <v>2.0693069999999998E-3</v>
      </c>
      <c r="S4441">
        <v>-3.0680540000000001</v>
      </c>
      <c r="T4441">
        <v>-0.119562</v>
      </c>
      <c r="U4441">
        <v>0.16258239999999999</v>
      </c>
      <c r="V4441">
        <v>-3.0168469999999999E-2</v>
      </c>
      <c r="W4441">
        <v>0.18486820000000001</v>
      </c>
      <c r="X4441">
        <v>0.98230019999999996</v>
      </c>
      <c r="Y4441">
        <v>1.9756929999999999E-2</v>
      </c>
      <c r="Z4441">
        <v>-9.0694370000000003E-4</v>
      </c>
      <c r="AA4441">
        <v>0.99980440000000004</v>
      </c>
      <c r="AB4441">
        <v>46</v>
      </c>
      <c r="AC4441">
        <v>-28.009699999999999</v>
      </c>
      <c r="AD4441">
        <v>-1.108467093137</v>
      </c>
      <c r="AE4441">
        <v>1.4926000000000099</v>
      </c>
      <c r="AF4441">
        <v>0.56130568244990897</v>
      </c>
      <c r="AG4441">
        <v>-1.108467093137</v>
      </c>
      <c r="AH4441">
        <v>28.0000791212771</v>
      </c>
      <c r="AI4441">
        <v>92.266586513907995</v>
      </c>
      <c r="AJ4441">
        <v>88.851569687861101</v>
      </c>
      <c r="AK4441">
        <v>28.0276326892497</v>
      </c>
      <c r="AL4441">
        <v>79.346552112084893</v>
      </c>
      <c r="AM4441">
        <v>91.759118898928094</v>
      </c>
      <c r="AN4441">
        <v>1.0000000354367</v>
      </c>
    </row>
    <row r="4442" spans="1:40" x14ac:dyDescent="0.25">
      <c r="A4442" t="str">
        <f>"20190312172500160"</f>
        <v>20190312172500160</v>
      </c>
      <c r="B4442" t="str">
        <f>"1552382700154915"</f>
        <v>1552382700154915</v>
      </c>
      <c r="C4442" t="s">
        <v>40</v>
      </c>
      <c r="D4442">
        <v>3.581931</v>
      </c>
      <c r="E4442">
        <v>0.52312550000000002</v>
      </c>
      <c r="F4442" t="s">
        <v>43</v>
      </c>
      <c r="G4442">
        <v>-352.42950000000002</v>
      </c>
      <c r="H4442" s="1">
        <v>-4.059575E-6</v>
      </c>
      <c r="I4442">
        <v>143.05690000000001</v>
      </c>
      <c r="J4442">
        <v>-324.76650000000001</v>
      </c>
      <c r="K4442">
        <v>1.1085259999999999</v>
      </c>
      <c r="L4442">
        <v>141.53620000000001</v>
      </c>
      <c r="M4442">
        <v>-0.99938179999999999</v>
      </c>
      <c r="N4442">
        <v>0</v>
      </c>
      <c r="O4442">
        <v>3.3757130000000003E-2</v>
      </c>
      <c r="P4442">
        <v>-0.98452209999999996</v>
      </c>
      <c r="Q4442">
        <v>0.17524229999999999</v>
      </c>
      <c r="R4442">
        <v>2.5879090000000002E-3</v>
      </c>
      <c r="S4442">
        <v>-3.0682680000000002</v>
      </c>
      <c r="T4442">
        <v>-0.1209002</v>
      </c>
      <c r="U4442">
        <v>0.16761779999999901</v>
      </c>
      <c r="V4442">
        <v>-3.0238540000000001E-2</v>
      </c>
      <c r="W4442">
        <v>0.18498110000000001</v>
      </c>
      <c r="X4442">
        <v>0.9822767</v>
      </c>
      <c r="Y4442">
        <v>2.0818529999999998E-2</v>
      </c>
      <c r="Z4442">
        <v>-9.185129E-4</v>
      </c>
      <c r="AA4442">
        <v>0.99978290000000003</v>
      </c>
      <c r="AB4442">
        <v>46</v>
      </c>
      <c r="AC4442">
        <v>-27.663</v>
      </c>
      <c r="AD4442">
        <v>-1.1085300595750001</v>
      </c>
      <c r="AE4442">
        <v>1.5206999999999999</v>
      </c>
      <c r="AF4442">
        <v>0.58502806359958703</v>
      </c>
      <c r="AG4442">
        <v>-1.1085300595750001</v>
      </c>
      <c r="AH4442">
        <v>27.6542953505488</v>
      </c>
      <c r="AI4442">
        <v>92.294975235829995</v>
      </c>
      <c r="AJ4442">
        <v>88.788085559919793</v>
      </c>
      <c r="AK4442">
        <v>27.682686792715099</v>
      </c>
      <c r="AL4442">
        <v>79.339968928886805</v>
      </c>
      <c r="AM4442">
        <v>91.763244250152795</v>
      </c>
      <c r="AN4442">
        <v>0.99999994601071396</v>
      </c>
    </row>
    <row r="4443" spans="1:40" x14ac:dyDescent="0.25">
      <c r="A4443" t="str">
        <f>"20190312172500183"</f>
        <v>20190312172500183</v>
      </c>
      <c r="B4443" t="str">
        <f>"1552382700175412"</f>
        <v>1552382700175412</v>
      </c>
      <c r="C4443" t="s">
        <v>40</v>
      </c>
      <c r="D4443">
        <v>3.5918969999999999</v>
      </c>
      <c r="E4443">
        <v>0.52345070000000005</v>
      </c>
      <c r="F4443" t="s">
        <v>43</v>
      </c>
      <c r="G4443">
        <v>-352.7971</v>
      </c>
      <c r="H4443" s="1">
        <v>-3.9430290000000004E-6</v>
      </c>
      <c r="I4443">
        <v>143.10509999999999</v>
      </c>
      <c r="J4443">
        <v>-325.23779999999999</v>
      </c>
      <c r="K4443">
        <v>1.1085830000000001</v>
      </c>
      <c r="L4443">
        <v>141.55250000000001</v>
      </c>
      <c r="M4443">
        <v>-0.99936309999999995</v>
      </c>
      <c r="N4443">
        <v>0</v>
      </c>
      <c r="O4443">
        <v>3.4300499999999998E-2</v>
      </c>
      <c r="P4443">
        <v>-0.98458860000000004</v>
      </c>
      <c r="Q4443">
        <v>0.17485690000000001</v>
      </c>
      <c r="R4443">
        <v>3.2671969999999999E-3</v>
      </c>
      <c r="S4443">
        <v>-3.068298</v>
      </c>
      <c r="T4443">
        <v>-0.121342699999999</v>
      </c>
      <c r="U4443">
        <v>0.17175289999999999</v>
      </c>
      <c r="V4443">
        <v>-3.0123629999999998E-2</v>
      </c>
      <c r="W4443">
        <v>0.1846025</v>
      </c>
      <c r="X4443">
        <v>0.98235150000000004</v>
      </c>
      <c r="Y4443">
        <v>2.1617549999999999E-2</v>
      </c>
      <c r="Z4443">
        <v>-9.2748539999999995E-4</v>
      </c>
      <c r="AA4443">
        <v>0.99976589999999999</v>
      </c>
      <c r="AB4443">
        <v>46</v>
      </c>
      <c r="AC4443">
        <v>-27.5593</v>
      </c>
      <c r="AD4443">
        <v>-1.1085869430290001</v>
      </c>
      <c r="AE4443">
        <v>1.55259999999998</v>
      </c>
      <c r="AF4443">
        <v>0.60536630914285705</v>
      </c>
      <c r="AG4443">
        <v>-1.1085869430290001</v>
      </c>
      <c r="AH4443">
        <v>27.551898645243401</v>
      </c>
      <c r="AI4443">
        <v>92.303572910787906</v>
      </c>
      <c r="AJ4443">
        <v>88.741307990832894</v>
      </c>
      <c r="AK4443">
        <v>27.580836686661002</v>
      </c>
      <c r="AL4443">
        <v>79.362041752447595</v>
      </c>
      <c r="AM4443">
        <v>91.756414254316894</v>
      </c>
      <c r="AN4443">
        <v>0.99999999282143803</v>
      </c>
    </row>
    <row r="4444" spans="1:40" x14ac:dyDescent="0.25">
      <c r="A4444" t="str">
        <f>"20190312172500204"</f>
        <v>20190312172500204</v>
      </c>
      <c r="B4444" t="str">
        <f>"1552382700194934"</f>
        <v>1552382700194934</v>
      </c>
      <c r="C4444" t="s">
        <v>40</v>
      </c>
      <c r="D4444">
        <v>3.5844580000000001</v>
      </c>
      <c r="E4444">
        <v>0.52375269999999996</v>
      </c>
      <c r="F4444" t="s">
        <v>43</v>
      </c>
      <c r="G4444">
        <v>-352.79599999999999</v>
      </c>
      <c r="H4444" s="1">
        <v>-3.9481569999999996E-6</v>
      </c>
      <c r="I4444">
        <v>143.13200000000001</v>
      </c>
      <c r="J4444">
        <v>-325.6721</v>
      </c>
      <c r="K4444">
        <v>1.10863</v>
      </c>
      <c r="L4444">
        <v>141.5677</v>
      </c>
      <c r="M4444">
        <v>-0.99934670000000003</v>
      </c>
      <c r="N4444">
        <v>0</v>
      </c>
      <c r="O4444">
        <v>3.4775029999999998E-2</v>
      </c>
      <c r="P4444">
        <v>-0.98455809999999999</v>
      </c>
      <c r="Q4444">
        <v>0.1750148</v>
      </c>
      <c r="R4444">
        <v>3.9444839999999998E-3</v>
      </c>
      <c r="S4444">
        <v>-3.0683289999999999</v>
      </c>
      <c r="T4444">
        <v>-0.1234299</v>
      </c>
      <c r="U4444">
        <v>0.1758728</v>
      </c>
      <c r="V4444">
        <v>-2.9934390000000002E-2</v>
      </c>
      <c r="W4444">
        <v>0.1847655</v>
      </c>
      <c r="X4444">
        <v>0.98232660000000005</v>
      </c>
      <c r="Y4444">
        <v>2.2480400000000001E-2</v>
      </c>
      <c r="Z4444">
        <v>-9.4508820000000003E-4</v>
      </c>
      <c r="AA4444">
        <v>0.99974689999999999</v>
      </c>
      <c r="AB4444">
        <v>46</v>
      </c>
      <c r="AC4444">
        <v>-27.1238999999999</v>
      </c>
      <c r="AD4444">
        <v>-1.108633948157</v>
      </c>
      <c r="AE4444">
        <v>1.5643</v>
      </c>
      <c r="AF4444">
        <v>0.61904289698725101</v>
      </c>
      <c r="AG4444">
        <v>-1.108633948157</v>
      </c>
      <c r="AH4444">
        <v>27.116743147935701</v>
      </c>
      <c r="AI4444">
        <v>92.340552945944594</v>
      </c>
      <c r="AJ4444">
        <v>88.692232856374005</v>
      </c>
      <c r="AK4444">
        <v>27.1464554277429</v>
      </c>
      <c r="AL4444">
        <v>79.352538649976694</v>
      </c>
      <c r="AM4444">
        <v>91.745431325447598</v>
      </c>
      <c r="AN4444">
        <v>0.99999995338124004</v>
      </c>
    </row>
    <row r="4445" spans="1:40" x14ac:dyDescent="0.25">
      <c r="A4445" t="str">
        <f>"20190312172500226"</f>
        <v>20190312172500226</v>
      </c>
      <c r="B4445" t="str">
        <f>"1552382700215428"</f>
        <v>1552382700215428</v>
      </c>
      <c r="C4445" t="s">
        <v>40</v>
      </c>
      <c r="D4445">
        <v>3.5862090000000002</v>
      </c>
      <c r="E4445">
        <v>0.52402499999999996</v>
      </c>
      <c r="F4445" t="s">
        <v>43</v>
      </c>
      <c r="G4445">
        <v>-353.1456</v>
      </c>
      <c r="H4445" s="1">
        <v>-3.8367239999999999E-6</v>
      </c>
      <c r="I4445">
        <v>143.17449999999999</v>
      </c>
      <c r="J4445">
        <v>-326.11340000000001</v>
      </c>
      <c r="K4445">
        <v>1.1086739999999999</v>
      </c>
      <c r="L4445">
        <v>141.58349999999999</v>
      </c>
      <c r="M4445">
        <v>-0.99933039999999995</v>
      </c>
      <c r="N4445">
        <v>0</v>
      </c>
      <c r="O4445">
        <v>3.5234130000000002E-2</v>
      </c>
      <c r="P4445">
        <v>-0.98461750000000003</v>
      </c>
      <c r="Q4445">
        <v>0.17466519999999999</v>
      </c>
      <c r="R4445">
        <v>4.517989E-3</v>
      </c>
      <c r="S4445">
        <v>-3.06839</v>
      </c>
      <c r="T4445">
        <v>-0.1238184</v>
      </c>
      <c r="U4445">
        <v>0.1794586</v>
      </c>
      <c r="V4445">
        <v>-2.9837510000000001E-2</v>
      </c>
      <c r="W4445">
        <v>0.184422</v>
      </c>
      <c r="X4445">
        <v>0.9823942</v>
      </c>
      <c r="Y4445">
        <v>2.3184239999999998E-2</v>
      </c>
      <c r="Z4445">
        <v>-9.5230589999999995E-4</v>
      </c>
      <c r="AA4445">
        <v>0.99973080000000003</v>
      </c>
      <c r="AB4445">
        <v>46</v>
      </c>
      <c r="AC4445">
        <v>-27.0321999999999</v>
      </c>
      <c r="AD4445">
        <v>-1.108677836724</v>
      </c>
      <c r="AE4445">
        <v>1.591</v>
      </c>
      <c r="AF4445">
        <v>0.63644278017936395</v>
      </c>
      <c r="AG4445">
        <v>-1.108677836724</v>
      </c>
      <c r="AH4445">
        <v>27.026170517219299</v>
      </c>
      <c r="AI4445">
        <v>92.348441759884494</v>
      </c>
      <c r="AJ4445">
        <v>88.650983621963405</v>
      </c>
      <c r="AK4445">
        <v>27.056387763038401</v>
      </c>
      <c r="AL4445">
        <v>79.372565007686305</v>
      </c>
      <c r="AM4445">
        <v>91.739666225318999</v>
      </c>
      <c r="AN4445">
        <v>1.0000000576403101</v>
      </c>
    </row>
    <row r="4446" spans="1:40" x14ac:dyDescent="0.25">
      <c r="A4446" t="str">
        <f>"20190312172500249"</f>
        <v>20190312172500249</v>
      </c>
      <c r="B4446" t="str">
        <f>"1552382700244708"</f>
        <v>1552382700244708</v>
      </c>
      <c r="C4446" t="s">
        <v>40</v>
      </c>
      <c r="D4446">
        <v>3.5561590000000001</v>
      </c>
      <c r="E4446">
        <v>0.52443359999999895</v>
      </c>
      <c r="F4446" t="s">
        <v>43</v>
      </c>
      <c r="G4446">
        <v>-353.17509999999999</v>
      </c>
      <c r="H4446" s="1">
        <v>-3.8301979999999997E-6</v>
      </c>
      <c r="I4446">
        <v>143.1943</v>
      </c>
      <c r="J4446">
        <v>-326.58510000000001</v>
      </c>
      <c r="K4446">
        <v>1.1087209999999901</v>
      </c>
      <c r="L4446">
        <v>141.60040000000001</v>
      </c>
      <c r="M4446">
        <v>-0.99931400000000004</v>
      </c>
      <c r="N4446">
        <v>0</v>
      </c>
      <c r="O4446">
        <v>3.5695360000000002E-2</v>
      </c>
      <c r="P4446">
        <v>-0.98462799999999995</v>
      </c>
      <c r="Q4446">
        <v>0.17458969999999999</v>
      </c>
      <c r="R4446">
        <v>5.1435689999999997E-3</v>
      </c>
      <c r="S4446">
        <v>-3.0683289999999999</v>
      </c>
      <c r="T4446">
        <v>-0.12570519999999999</v>
      </c>
      <c r="U4446">
        <v>0.1826477</v>
      </c>
      <c r="V4446">
        <v>-2.9687999999999999E-2</v>
      </c>
      <c r="W4446">
        <v>0.18435309999999999</v>
      </c>
      <c r="X4446">
        <v>0.98241160000000005</v>
      </c>
      <c r="Y4446">
        <v>2.3759659999999998E-2</v>
      </c>
      <c r="Z4446">
        <v>-9.7387050000000001E-4</v>
      </c>
      <c r="AA4446">
        <v>0.99971719999999997</v>
      </c>
      <c r="AB4446">
        <v>46</v>
      </c>
      <c r="AC4446">
        <v>-26.5899999999999</v>
      </c>
      <c r="AD4446">
        <v>-1.1087248301979999</v>
      </c>
      <c r="AE4446">
        <v>1.5938999999999901</v>
      </c>
      <c r="AF4446">
        <v>0.64258507450220503</v>
      </c>
      <c r="AG4446">
        <v>-1.1087248301979999</v>
      </c>
      <c r="AH4446">
        <v>26.583896144983701</v>
      </c>
      <c r="AI4446">
        <v>92.387533435086297</v>
      </c>
      <c r="AJ4446">
        <v>88.615317918393103</v>
      </c>
      <c r="AK4446">
        <v>26.614765085838201</v>
      </c>
      <c r="AL4446">
        <v>79.3765809076734</v>
      </c>
      <c r="AM4446">
        <v>91.730923771103306</v>
      </c>
      <c r="AN4446">
        <v>0.99999999731908495</v>
      </c>
    </row>
    <row r="4447" spans="1:40" x14ac:dyDescent="0.25">
      <c r="A4447" t="str">
        <f>"20190312172500264"</f>
        <v>20190312172500264</v>
      </c>
      <c r="B4447" t="str">
        <f>"1552382700254468"</f>
        <v>1552382700254468</v>
      </c>
      <c r="C4447" t="s">
        <v>40</v>
      </c>
      <c r="D4447">
        <v>3.5676139999999998</v>
      </c>
      <c r="E4447">
        <v>0.52454699999999999</v>
      </c>
      <c r="F4447" t="s">
        <v>43</v>
      </c>
      <c r="G4447">
        <v>-353.3734</v>
      </c>
      <c r="H4447" s="1">
        <v>-3.7699140000000001E-6</v>
      </c>
      <c r="I4447">
        <v>143.23490000000001</v>
      </c>
      <c r="J4447">
        <v>-326.89490000000001</v>
      </c>
      <c r="K4447">
        <v>1.108752</v>
      </c>
      <c r="L4447">
        <v>141.61160000000001</v>
      </c>
      <c r="M4447">
        <v>-0.99930370000000002</v>
      </c>
      <c r="N4447">
        <v>0</v>
      </c>
      <c r="O4447">
        <v>3.5980570000000003E-2</v>
      </c>
      <c r="P4447">
        <v>-0.98461310000000002</v>
      </c>
      <c r="Q4447">
        <v>0.1746742</v>
      </c>
      <c r="R4447">
        <v>5.1373149999999999E-3</v>
      </c>
      <c r="S4447">
        <v>-3.06839</v>
      </c>
      <c r="T4447">
        <v>-0.12699569999999999</v>
      </c>
      <c r="U4447">
        <v>0.18722530000000001</v>
      </c>
      <c r="V4447">
        <v>-2.9989180000000001E-2</v>
      </c>
      <c r="W4447">
        <v>0.1844422</v>
      </c>
      <c r="X4447">
        <v>0.98238579999999998</v>
      </c>
      <c r="Y4447">
        <v>2.4958609999999999E-2</v>
      </c>
      <c r="Z4447">
        <v>-9.7078520000000001E-4</v>
      </c>
      <c r="AA4447">
        <v>0.99968800000000002</v>
      </c>
      <c r="AB4447">
        <v>46</v>
      </c>
      <c r="AC4447">
        <v>-26.4785</v>
      </c>
      <c r="AD4447">
        <v>-1.108755769914</v>
      </c>
      <c r="AE4447">
        <v>1.6233</v>
      </c>
      <c r="AF4447">
        <v>0.66832335537105103</v>
      </c>
      <c r="AG4447">
        <v>-1.108755769914</v>
      </c>
      <c r="AH4447">
        <v>26.473518046581699</v>
      </c>
      <c r="AI4447">
        <v>92.397479746689498</v>
      </c>
      <c r="AJ4447">
        <v>88.553876518362799</v>
      </c>
      <c r="AK4447">
        <v>26.505153333405499</v>
      </c>
      <c r="AL4447">
        <v>79.371387543926602</v>
      </c>
      <c r="AM4447">
        <v>91.748518760919396</v>
      </c>
      <c r="AN4447">
        <v>1.00000006804977</v>
      </c>
    </row>
    <row r="4448" spans="1:40" x14ac:dyDescent="0.25">
      <c r="A4448" t="str">
        <f>"20190312172500283"</f>
        <v>20190312172500283</v>
      </c>
      <c r="B4448" t="str">
        <f>"1552382700274964"</f>
        <v>1552382700274964</v>
      </c>
      <c r="C4448" t="s">
        <v>40</v>
      </c>
      <c r="D4448">
        <v>3.5743469999999999</v>
      </c>
      <c r="E4448">
        <v>0.52478369999999996</v>
      </c>
      <c r="F4448" t="s">
        <v>43</v>
      </c>
      <c r="G4448">
        <v>-353.65449999999998</v>
      </c>
      <c r="H4448" s="1">
        <v>-3.6716039999999998E-6</v>
      </c>
      <c r="I4448">
        <v>143.251</v>
      </c>
      <c r="J4448">
        <v>-327.29680000000002</v>
      </c>
      <c r="K4448">
        <v>1.1087959999999999</v>
      </c>
      <c r="L4448">
        <v>141.62639999999999</v>
      </c>
      <c r="M4448">
        <v>-0.99929120000000005</v>
      </c>
      <c r="N4448">
        <v>0</v>
      </c>
      <c r="O4448">
        <v>3.6321010000000001E-2</v>
      </c>
      <c r="P4448">
        <v>-0.98464309999999999</v>
      </c>
      <c r="Q4448">
        <v>0.1745071</v>
      </c>
      <c r="R4448">
        <v>5.0344140000000001E-3</v>
      </c>
      <c r="S4448">
        <v>-3.068451</v>
      </c>
      <c r="T4448">
        <v>-0.1271381</v>
      </c>
      <c r="U4448">
        <v>0.1879883</v>
      </c>
      <c r="V4448">
        <v>-3.0448240000000001E-2</v>
      </c>
      <c r="W4448">
        <v>0.18428140000000001</v>
      </c>
      <c r="X4448">
        <v>0.98240179999999999</v>
      </c>
      <c r="Y4448">
        <v>2.4864839999999999E-2</v>
      </c>
      <c r="Z4448">
        <v>-9.878580000000001E-4</v>
      </c>
      <c r="AA4448">
        <v>0.99969039999999998</v>
      </c>
      <c r="AB4448">
        <v>46</v>
      </c>
      <c r="AC4448">
        <v>-26.357699999999902</v>
      </c>
      <c r="AD4448">
        <v>-1.1087996716039901</v>
      </c>
      <c r="AE4448">
        <v>1.62460000000001</v>
      </c>
      <c r="AF4448">
        <v>0.66497047917905305</v>
      </c>
      <c r="AG4448">
        <v>-1.1087996716039901</v>
      </c>
      <c r="AH4448">
        <v>26.352857575774902</v>
      </c>
      <c r="AI4448">
        <v>92.408540024290701</v>
      </c>
      <c r="AJ4448">
        <v>88.554543142936893</v>
      </c>
      <c r="AK4448">
        <v>26.384554664784599</v>
      </c>
      <c r="AL4448">
        <v>79.380760797357894</v>
      </c>
      <c r="AM4448">
        <v>91.775238355748002</v>
      </c>
      <c r="AN4448">
        <v>1.00000001317414</v>
      </c>
    </row>
    <row r="4449" spans="1:40" x14ac:dyDescent="0.25">
      <c r="A4449" t="str">
        <f>"20190312172500305"</f>
        <v>20190312172500305</v>
      </c>
      <c r="B4449" t="str">
        <f>"1552382700294484"</f>
        <v>1552382700294484</v>
      </c>
      <c r="C4449" t="s">
        <v>40</v>
      </c>
      <c r="D4449">
        <v>3.5296639999999999</v>
      </c>
      <c r="E4449">
        <v>0.52487490000000003</v>
      </c>
      <c r="F4449" t="s">
        <v>43</v>
      </c>
      <c r="G4449">
        <v>-353.74430000000001</v>
      </c>
      <c r="H4449" s="1">
        <v>-3.634503E-6</v>
      </c>
      <c r="I4449">
        <v>143.25620000000001</v>
      </c>
      <c r="J4449">
        <v>-327.74459999999999</v>
      </c>
      <c r="K4449">
        <v>1.1088480000000001</v>
      </c>
      <c r="L4449">
        <v>141.64279999999999</v>
      </c>
      <c r="M4449">
        <v>-0.99927900000000003</v>
      </c>
      <c r="N4449">
        <v>0</v>
      </c>
      <c r="O4449">
        <v>3.6655819999999999E-2</v>
      </c>
      <c r="P4449">
        <v>-0.98466350000000002</v>
      </c>
      <c r="Q4449">
        <v>0.17440610000000001</v>
      </c>
      <c r="R4449">
        <v>4.5360419999999997E-3</v>
      </c>
      <c r="S4449">
        <v>-3.0686040000000001</v>
      </c>
      <c r="T4449">
        <v>-0.12865019999999999</v>
      </c>
      <c r="U4449">
        <v>0.18911739999999999</v>
      </c>
      <c r="V4449">
        <v>-3.129995E-2</v>
      </c>
      <c r="W4449">
        <v>0.1841872</v>
      </c>
      <c r="X4449">
        <v>0.98239270000000001</v>
      </c>
      <c r="Y4449">
        <v>2.4893829999999999E-2</v>
      </c>
      <c r="Z4449">
        <v>-1.0129290000000001E-3</v>
      </c>
      <c r="AA4449">
        <v>0.99968959999999996</v>
      </c>
      <c r="AB4449">
        <v>46</v>
      </c>
      <c r="AC4449">
        <v>-25.999700000000001</v>
      </c>
      <c r="AD4449">
        <v>-1.1088516345029999</v>
      </c>
      <c r="AE4449">
        <v>1.6134000000000099</v>
      </c>
      <c r="AF4449">
        <v>0.65803634783821896</v>
      </c>
      <c r="AG4449">
        <v>-1.1088516345029999</v>
      </c>
      <c r="AH4449">
        <v>25.9942688181536</v>
      </c>
      <c r="AI4449">
        <v>92.441834971815496</v>
      </c>
      <c r="AJ4449">
        <v>88.549885932570803</v>
      </c>
      <c r="AK4449">
        <v>26.026228600641399</v>
      </c>
      <c r="AL4449">
        <v>79.3862520688524</v>
      </c>
      <c r="AM4449">
        <v>91.824879786128093</v>
      </c>
      <c r="AN4449">
        <v>1.0000000142635601</v>
      </c>
    </row>
    <row r="4450" spans="1:40" x14ac:dyDescent="0.25">
      <c r="A4450" t="str">
        <f>"20190312172500338"</f>
        <v>20190312172500338</v>
      </c>
      <c r="B4450" t="str">
        <f>"1552382700334500"</f>
        <v>1552382700334500</v>
      </c>
      <c r="C4450" t="s">
        <v>40</v>
      </c>
      <c r="D4450">
        <v>3.4843679999999999</v>
      </c>
      <c r="E4450">
        <v>0.51926099999999997</v>
      </c>
      <c r="F4450" t="s">
        <v>43</v>
      </c>
      <c r="G4450">
        <v>-354.02600000000001</v>
      </c>
      <c r="H4450" s="1">
        <v>-3.5126040000000002E-6</v>
      </c>
      <c r="I4450">
        <v>143.25229999999999</v>
      </c>
      <c r="J4450">
        <v>-328.42380000000003</v>
      </c>
      <c r="K4450">
        <v>1.1089290000000001</v>
      </c>
      <c r="L4450">
        <v>141.66810000000001</v>
      </c>
      <c r="M4450">
        <v>-0.99926329999999997</v>
      </c>
      <c r="N4450">
        <v>0</v>
      </c>
      <c r="O4450">
        <v>3.7077970000000002E-2</v>
      </c>
      <c r="P4450">
        <v>-0.98457070000000002</v>
      </c>
      <c r="Q4450">
        <v>0.17495740000000001</v>
      </c>
      <c r="R4450">
        <v>3.2899909999999999E-3</v>
      </c>
      <c r="S4450">
        <v>-3.0687869999999999</v>
      </c>
      <c r="T4450">
        <v>-0.12947700000000001</v>
      </c>
      <c r="U4450">
        <v>0.18794250000000001</v>
      </c>
      <c r="V4450">
        <v>-3.2994030000000001E-2</v>
      </c>
      <c r="W4450">
        <v>0.18474399999999999</v>
      </c>
      <c r="X4450">
        <v>0.98223269999999996</v>
      </c>
      <c r="Y4450">
        <v>2.4087750000000002E-2</v>
      </c>
      <c r="Z4450">
        <v>-1.0541369999999999E-3</v>
      </c>
      <c r="AA4450">
        <v>0.99970930000000002</v>
      </c>
      <c r="AB4450">
        <v>46</v>
      </c>
      <c r="AC4450">
        <v>-25.6021999999999</v>
      </c>
      <c r="AD4450">
        <v>-1.1089325126039999</v>
      </c>
      <c r="AE4450">
        <v>1.5841999999999801</v>
      </c>
      <c r="AF4450">
        <v>0.63260409757565195</v>
      </c>
      <c r="AG4450">
        <v>-1.1089325126039999</v>
      </c>
      <c r="AH4450">
        <v>25.595498855297301</v>
      </c>
      <c r="AI4450">
        <v>92.480048632608899</v>
      </c>
      <c r="AJ4450">
        <v>88.584197652582006</v>
      </c>
      <c r="AK4450">
        <v>25.627319034836699</v>
      </c>
      <c r="AL4450">
        <v>79.353792743243801</v>
      </c>
      <c r="AM4450">
        <v>91.923890473420798</v>
      </c>
      <c r="AN4450">
        <v>1.0000000142504599</v>
      </c>
    </row>
    <row r="4451" spans="1:40" x14ac:dyDescent="0.25">
      <c r="A4451" t="str">
        <f>"20190312172500361"</f>
        <v>20190312172500361</v>
      </c>
      <c r="B4451" t="str">
        <f>"1552382700354999"</f>
        <v>1552382700354999</v>
      </c>
      <c r="C4451" t="s">
        <v>40</v>
      </c>
      <c r="D4451">
        <v>3.7474729999999998</v>
      </c>
      <c r="E4451">
        <v>0.51876520000000004</v>
      </c>
      <c r="F4451" t="s">
        <v>41</v>
      </c>
      <c r="G4451">
        <v>-329.21050000000002</v>
      </c>
      <c r="H4451">
        <v>1.0390710000000001</v>
      </c>
      <c r="I4451">
        <v>141.70230000000001</v>
      </c>
      <c r="J4451">
        <v>-328.89159999999998</v>
      </c>
      <c r="K4451">
        <v>1.108975</v>
      </c>
      <c r="L4451">
        <v>141.68559999999999</v>
      </c>
      <c r="M4451">
        <v>-0.99925469999999905</v>
      </c>
      <c r="N4451">
        <v>0</v>
      </c>
      <c r="O4451">
        <v>3.7305430000000001E-2</v>
      </c>
      <c r="P4451">
        <v>-0.98458489999999999</v>
      </c>
      <c r="Q4451">
        <v>0.17488860000000001</v>
      </c>
      <c r="R4451">
        <v>2.5948999999999998E-3</v>
      </c>
      <c r="S4451">
        <v>-3.0954280000000001</v>
      </c>
      <c r="T4451">
        <v>-0.27497110000000002</v>
      </c>
      <c r="U4451">
        <v>0.133773799999999</v>
      </c>
      <c r="V4451">
        <v>-3.3939150000000001E-2</v>
      </c>
      <c r="W4451">
        <v>0.18467600000000001</v>
      </c>
      <c r="X4451">
        <v>0.98221329999999996</v>
      </c>
      <c r="Y4451">
        <v>5.9967060000000001E-3</v>
      </c>
      <c r="Z4451">
        <v>-3.039066E-3</v>
      </c>
      <c r="AA4451">
        <v>0.99997740000000002</v>
      </c>
      <c r="AB4451">
        <v>46</v>
      </c>
      <c r="AC4451">
        <v>-0.31890000000004098</v>
      </c>
      <c r="AD4451">
        <v>-6.9904000000000105E-2</v>
      </c>
      <c r="AE4451">
        <v>1.6700000000014301E-2</v>
      </c>
      <c r="AF4451">
        <v>4.5720027250545697E-3</v>
      </c>
      <c r="AG4451">
        <v>-6.9904000000000105E-2</v>
      </c>
      <c r="AH4451">
        <v>0.30470016929649302</v>
      </c>
      <c r="AI4451">
        <v>102.919737171094</v>
      </c>
      <c r="AJ4451">
        <v>89.140345725130103</v>
      </c>
      <c r="AK4451">
        <v>0.31264942922421801</v>
      </c>
      <c r="AL4451">
        <v>79.357757226607802</v>
      </c>
      <c r="AM4451">
        <v>91.978996512584999</v>
      </c>
      <c r="AN4451">
        <v>1.0000000287877999</v>
      </c>
    </row>
    <row r="4452" spans="1:40" x14ac:dyDescent="0.25">
      <c r="A4452" t="str">
        <f>"20190312172500383"</f>
        <v>20190312172500383</v>
      </c>
      <c r="B4452" t="str">
        <f>"1552382700374534"</f>
        <v>1552382700374534</v>
      </c>
      <c r="C4452" t="s">
        <v>40</v>
      </c>
      <c r="D4452">
        <v>3.502224</v>
      </c>
      <c r="E4452">
        <v>0.51835350000000002</v>
      </c>
      <c r="F4452" t="s">
        <v>41</v>
      </c>
      <c r="G4452">
        <v>-329.62610000000001</v>
      </c>
      <c r="H4452">
        <v>1.042969</v>
      </c>
      <c r="I4452">
        <v>141.71619999999999</v>
      </c>
      <c r="J4452">
        <v>-329.346</v>
      </c>
      <c r="K4452">
        <v>1.109032</v>
      </c>
      <c r="L4452">
        <v>141.70259999999999</v>
      </c>
      <c r="M4452">
        <v>-0.99924860000000004</v>
      </c>
      <c r="N4452">
        <v>0</v>
      </c>
      <c r="O4452">
        <v>3.7469710000000003E-2</v>
      </c>
      <c r="P4452">
        <v>-0.98459439999999998</v>
      </c>
      <c r="Q4452">
        <v>0.1748461</v>
      </c>
      <c r="R4452">
        <v>1.7242760000000001E-3</v>
      </c>
      <c r="S4452">
        <v>-3.0960999999999999</v>
      </c>
      <c r="T4452">
        <v>-0.27832630000000003</v>
      </c>
      <c r="U4452">
        <v>0.12823490000000001</v>
      </c>
      <c r="V4452">
        <v>-3.4997439999999998E-2</v>
      </c>
      <c r="W4452">
        <v>0.18463099999999999</v>
      </c>
      <c r="X4452">
        <v>0.98218459999999996</v>
      </c>
      <c r="Y4452">
        <v>4.0486380000000002E-3</v>
      </c>
      <c r="Z4452">
        <v>-3.1775480000000001E-3</v>
      </c>
      <c r="AA4452">
        <v>0.99998679999999995</v>
      </c>
      <c r="AB4452">
        <v>46</v>
      </c>
      <c r="AC4452">
        <v>-0.28010000000000401</v>
      </c>
      <c r="AD4452">
        <v>-6.60629999999999E-2</v>
      </c>
      <c r="AE4452">
        <v>1.35999999999967E-2</v>
      </c>
      <c r="AF4452">
        <v>2.9319532853885701E-3</v>
      </c>
      <c r="AG4452">
        <v>-6.60629999999999E-2</v>
      </c>
      <c r="AH4452">
        <v>0.26566911893437101</v>
      </c>
      <c r="AI4452">
        <v>103.963492292447</v>
      </c>
      <c r="AJ4452">
        <v>89.367703216465898</v>
      </c>
      <c r="AK4452">
        <v>0.27377545009447601</v>
      </c>
      <c r="AL4452">
        <v>79.360380423078396</v>
      </c>
      <c r="AM4452">
        <v>92.040713742349695</v>
      </c>
      <c r="AN4452">
        <v>1.0000000077223501</v>
      </c>
    </row>
    <row r="4453" spans="1:40" x14ac:dyDescent="0.25">
      <c r="A4453" t="str">
        <f>"20190312172500405"</f>
        <v>20190312172500405</v>
      </c>
      <c r="B4453" t="str">
        <f>"1552382700395012"</f>
        <v>1552382700395012</v>
      </c>
      <c r="C4453" t="s">
        <v>40</v>
      </c>
      <c r="D4453">
        <v>3.4956200000000002</v>
      </c>
      <c r="E4453">
        <v>0.51825929999999998</v>
      </c>
      <c r="F4453" t="s">
        <v>41</v>
      </c>
      <c r="G4453">
        <v>-330.43239999999997</v>
      </c>
      <c r="H4453">
        <v>1.012281</v>
      </c>
      <c r="I4453">
        <v>141.7457</v>
      </c>
      <c r="J4453">
        <v>-329.79629999999997</v>
      </c>
      <c r="K4453">
        <v>1.109083</v>
      </c>
      <c r="L4453">
        <v>141.71960000000001</v>
      </c>
      <c r="M4453">
        <v>-0.99924409999999997</v>
      </c>
      <c r="N4453">
        <v>0</v>
      </c>
      <c r="O4453">
        <v>3.7587549999999997E-2</v>
      </c>
      <c r="P4453">
        <v>-0.98454620000000004</v>
      </c>
      <c r="Q4453">
        <v>0.17511979999999999</v>
      </c>
      <c r="R4453">
        <v>1.318191E-3</v>
      </c>
      <c r="S4453">
        <v>-3.0957340000000002</v>
      </c>
      <c r="T4453">
        <v>-0.27570929999999999</v>
      </c>
      <c r="U4453">
        <v>0.12258910000000001</v>
      </c>
      <c r="V4453">
        <v>-3.5541709999999997E-2</v>
      </c>
      <c r="W4453">
        <v>0.1848986</v>
      </c>
      <c r="X4453">
        <v>0.98211470000000001</v>
      </c>
      <c r="Y4453">
        <v>2.1205030000000001E-3</v>
      </c>
      <c r="Z4453">
        <v>-3.2444230000000002E-3</v>
      </c>
      <c r="AA4453">
        <v>0.99999249999999995</v>
      </c>
      <c r="AB4453">
        <v>46</v>
      </c>
      <c r="AC4453">
        <v>-0.636099999999999</v>
      </c>
      <c r="AD4453">
        <v>-9.6801999999999999E-2</v>
      </c>
      <c r="AE4453">
        <v>2.6099999999985302E-2</v>
      </c>
      <c r="AF4453">
        <v>2.1218794768412801E-3</v>
      </c>
      <c r="AG4453">
        <v>-9.6801999999999999E-2</v>
      </c>
      <c r="AH4453">
        <v>0.62224523855466696</v>
      </c>
      <c r="AI4453">
        <v>98.842509820286494</v>
      </c>
      <c r="AJ4453">
        <v>89.804620011707797</v>
      </c>
      <c r="AK4453">
        <v>0.629733488454019</v>
      </c>
      <c r="AL4453">
        <v>79.344779326828103</v>
      </c>
      <c r="AM4453">
        <v>92.072570238214595</v>
      </c>
      <c r="AN4453">
        <v>0.99999999469388701</v>
      </c>
    </row>
    <row r="4454" spans="1:40" x14ac:dyDescent="0.25">
      <c r="A4454" t="str">
        <f>"20190312172500427"</f>
        <v>20190312172500427</v>
      </c>
      <c r="B4454" t="str">
        <f>"1552382700425268"</f>
        <v>1552382700425268</v>
      </c>
      <c r="C4454" t="s">
        <v>40</v>
      </c>
      <c r="D4454">
        <v>3.4945430000000002</v>
      </c>
      <c r="E4454">
        <v>0.51828980000000002</v>
      </c>
      <c r="F4454" t="s">
        <v>41</v>
      </c>
      <c r="G4454">
        <v>-330.84719999999999</v>
      </c>
      <c r="H4454">
        <v>1.0159210000000001</v>
      </c>
      <c r="I4454">
        <v>141.76089999999999</v>
      </c>
      <c r="J4454">
        <v>-330.25049999999999</v>
      </c>
      <c r="K4454">
        <v>1.1091359999999999</v>
      </c>
      <c r="L4454">
        <v>141.73670000000001</v>
      </c>
      <c r="M4454">
        <v>-0.99924109999999999</v>
      </c>
      <c r="N4454">
        <v>0</v>
      </c>
      <c r="O4454">
        <v>3.7671169999999997E-2</v>
      </c>
      <c r="P4454">
        <v>-0.98444659999999995</v>
      </c>
      <c r="Q4454">
        <v>0.17568230000000001</v>
      </c>
      <c r="R4454">
        <v>9.1977460000000004E-4</v>
      </c>
      <c r="S4454">
        <v>-3.0957340000000002</v>
      </c>
      <c r="T4454">
        <v>-0.2744838</v>
      </c>
      <c r="U4454">
        <v>0.121048</v>
      </c>
      <c r="V4454">
        <v>-3.6040839999999998E-2</v>
      </c>
      <c r="W4454">
        <v>0.18545300000000001</v>
      </c>
      <c r="X4454">
        <v>0.98199199999999998</v>
      </c>
      <c r="Y4454">
        <v>1.541134E-3</v>
      </c>
      <c r="Z4454">
        <v>-3.2631119999999999E-3</v>
      </c>
      <c r="AA4454">
        <v>0.99999349999999998</v>
      </c>
      <c r="AB4454">
        <v>46</v>
      </c>
      <c r="AC4454">
        <v>-0.59669999999999801</v>
      </c>
      <c r="AD4454">
        <v>-9.32150000000002E-2</v>
      </c>
      <c r="AE4454">
        <v>2.4199999999979099E-2</v>
      </c>
      <c r="AF4454">
        <v>1.6628183920862E-3</v>
      </c>
      <c r="AG4454">
        <v>-9.32150000000002E-2</v>
      </c>
      <c r="AH4454">
        <v>0.58298436242485596</v>
      </c>
      <c r="AI4454">
        <v>99.084251492925006</v>
      </c>
      <c r="AJ4454">
        <v>89.836578433750404</v>
      </c>
      <c r="AK4454">
        <v>0.59039187665644599</v>
      </c>
      <c r="AL4454">
        <v>79.312455821976499</v>
      </c>
      <c r="AM4454">
        <v>92.101912823783707</v>
      </c>
      <c r="AN4454">
        <v>1.00000002271045</v>
      </c>
    </row>
    <row r="4455" spans="1:40" x14ac:dyDescent="0.25">
      <c r="A4455" t="str">
        <f>"20190312172500450"</f>
        <v>20190312172500450</v>
      </c>
      <c r="B4455" t="str">
        <f>"1552382700444788"</f>
        <v>1552382700444788</v>
      </c>
      <c r="C4455" t="s">
        <v>40</v>
      </c>
      <c r="D4455">
        <v>3.496686</v>
      </c>
      <c r="E4455">
        <v>0.51835540000000002</v>
      </c>
      <c r="F4455" t="s">
        <v>41</v>
      </c>
      <c r="G4455">
        <v>-331.26260000000002</v>
      </c>
      <c r="H4455">
        <v>1.02007</v>
      </c>
      <c r="I4455">
        <v>141.77610000000001</v>
      </c>
      <c r="J4455">
        <v>-330.72320000000002</v>
      </c>
      <c r="K4455">
        <v>1.1091789999999999</v>
      </c>
      <c r="L4455">
        <v>141.75460000000001</v>
      </c>
      <c r="M4455">
        <v>-0.99923899999999999</v>
      </c>
      <c r="N4455">
        <v>0</v>
      </c>
      <c r="O4455">
        <v>3.7730050000000001E-2</v>
      </c>
      <c r="P4455">
        <v>-0.98441339999999999</v>
      </c>
      <c r="Q4455">
        <v>0.175869</v>
      </c>
      <c r="R4455">
        <v>8.9306339999999996E-4</v>
      </c>
      <c r="S4455">
        <v>-3.095917</v>
      </c>
      <c r="T4455">
        <v>-0.27242290000000002</v>
      </c>
      <c r="U4455">
        <v>0.11999509999999999</v>
      </c>
      <c r="V4455">
        <v>-3.6144009999999997E-2</v>
      </c>
      <c r="W4455">
        <v>0.1856315</v>
      </c>
      <c r="X4455">
        <v>0.98195449999999995</v>
      </c>
      <c r="Y4455">
        <v>1.1399820000000001E-3</v>
      </c>
      <c r="Z4455">
        <v>-3.2613170000000001E-3</v>
      </c>
      <c r="AA4455">
        <v>0.99999400000000005</v>
      </c>
      <c r="AB4455">
        <v>46</v>
      </c>
      <c r="AC4455">
        <v>-0.53939999999999999</v>
      </c>
      <c r="AD4455">
        <v>-8.9109000000000105E-2</v>
      </c>
      <c r="AE4455">
        <v>2.15000000000031E-2</v>
      </c>
      <c r="AF4455">
        <v>1.1020757617100599E-3</v>
      </c>
      <c r="AG4455">
        <v>-8.9109000000000105E-2</v>
      </c>
      <c r="AH4455">
        <v>0.52550817417969098</v>
      </c>
      <c r="AI4455">
        <v>99.623927068311602</v>
      </c>
      <c r="AJ4455">
        <v>89.879841645894302</v>
      </c>
      <c r="AK4455">
        <v>0.53301075934886799</v>
      </c>
      <c r="AL4455">
        <v>79.302048008839407</v>
      </c>
      <c r="AM4455">
        <v>92.108004736839106</v>
      </c>
      <c r="AN4455">
        <v>1.00000004166068</v>
      </c>
    </row>
    <row r="4456" spans="1:40" x14ac:dyDescent="0.25">
      <c r="A4456" t="str">
        <f>"20190312172500474"</f>
        <v>20190312172500474</v>
      </c>
      <c r="B4456" t="str">
        <f>"1552382700465284"</f>
        <v>1552382700465284</v>
      </c>
      <c r="C4456" t="s">
        <v>40</v>
      </c>
      <c r="D4456">
        <v>3.511136</v>
      </c>
      <c r="E4456">
        <v>0.51835059999999999</v>
      </c>
      <c r="F4456" t="s">
        <v>41</v>
      </c>
      <c r="G4456">
        <v>-331.67849999999999</v>
      </c>
      <c r="H4456">
        <v>1.0243439999999999</v>
      </c>
      <c r="I4456">
        <v>141.79169999999999</v>
      </c>
      <c r="J4456">
        <v>-331.21249999999998</v>
      </c>
      <c r="K4456">
        <v>1.1092120000000001</v>
      </c>
      <c r="L4456">
        <v>141.7731</v>
      </c>
      <c r="M4456">
        <v>-0.99923740000000005</v>
      </c>
      <c r="N4456">
        <v>0</v>
      </c>
      <c r="O4456">
        <v>3.7769980000000002E-2</v>
      </c>
      <c r="P4456">
        <v>-0.98437350000000001</v>
      </c>
      <c r="Q4456">
        <v>0.17609</v>
      </c>
      <c r="R4456">
        <v>1.0178639999999901E-3</v>
      </c>
      <c r="S4456">
        <v>-3.096527</v>
      </c>
      <c r="T4456">
        <v>-0.27500000000000002</v>
      </c>
      <c r="U4456">
        <v>0.1202087</v>
      </c>
      <c r="V4456">
        <v>-3.6074170000000003E-2</v>
      </c>
      <c r="W4456">
        <v>0.18584419999999999</v>
      </c>
      <c r="X4456">
        <v>0.98191680000000003</v>
      </c>
      <c r="Y4456">
        <v>1.163952E-3</v>
      </c>
      <c r="Z4456">
        <v>-3.29387E-3</v>
      </c>
      <c r="AA4456">
        <v>0.99999389999999999</v>
      </c>
      <c r="AB4456">
        <v>46</v>
      </c>
      <c r="AC4456">
        <v>-0.46600000000000802</v>
      </c>
      <c r="AD4456">
        <v>-8.4867999999999902E-2</v>
      </c>
      <c r="AE4456">
        <v>1.8599999999992099E-2</v>
      </c>
      <c r="AF4456">
        <v>9.5347880137043898E-4</v>
      </c>
      <c r="AG4456">
        <v>-8.4867999999999902E-2</v>
      </c>
      <c r="AH4456">
        <v>0.45142120059465601</v>
      </c>
      <c r="AI4456">
        <v>100.647404326759</v>
      </c>
      <c r="AJ4456">
        <v>89.878981691905807</v>
      </c>
      <c r="AK4456">
        <v>0.459330585626676</v>
      </c>
      <c r="AL4456">
        <v>79.289645010384206</v>
      </c>
      <c r="AM4456">
        <v>92.104015872345997</v>
      </c>
      <c r="AN4456">
        <v>1.00000000726853</v>
      </c>
    </row>
    <row r="4457" spans="1:40" x14ac:dyDescent="0.25">
      <c r="A4457" t="str">
        <f>"20190312172500496"</f>
        <v>20190312172500496</v>
      </c>
      <c r="B4457" t="str">
        <f>"1552382700484804"</f>
        <v>1552382700484804</v>
      </c>
      <c r="C4457" t="s">
        <v>40</v>
      </c>
      <c r="D4457">
        <v>3.4746730000000001</v>
      </c>
      <c r="E4457">
        <v>0.5183856</v>
      </c>
      <c r="F4457" t="s">
        <v>41</v>
      </c>
      <c r="G4457">
        <v>-332.0958</v>
      </c>
      <c r="H4457">
        <v>1.031026</v>
      </c>
      <c r="I4457">
        <v>141.80770000000001</v>
      </c>
      <c r="J4457">
        <v>-331.68150000000003</v>
      </c>
      <c r="K4457">
        <v>1.1092329999999999</v>
      </c>
      <c r="L4457">
        <v>141.79079999999999</v>
      </c>
      <c r="M4457">
        <v>-0.99923660000000003</v>
      </c>
      <c r="N4457">
        <v>0</v>
      </c>
      <c r="O4457">
        <v>3.7793309999999997E-2</v>
      </c>
      <c r="P4457">
        <v>-0.98430989999999996</v>
      </c>
      <c r="Q4457">
        <v>0.17644580000000001</v>
      </c>
      <c r="R4457">
        <v>1.08431E-3</v>
      </c>
      <c r="S4457">
        <v>-3.0964969999999998</v>
      </c>
      <c r="T4457">
        <v>-0.2741497</v>
      </c>
      <c r="U4457">
        <v>0.1207886</v>
      </c>
      <c r="V4457">
        <v>-3.6041780000000002E-2</v>
      </c>
      <c r="W4457">
        <v>0.1861942</v>
      </c>
      <c r="X4457">
        <v>0.98185169999999999</v>
      </c>
      <c r="Y4457">
        <v>1.326535E-3</v>
      </c>
      <c r="Z4457">
        <v>-3.2786199999999999E-3</v>
      </c>
      <c r="AA4457">
        <v>0.99999369999999999</v>
      </c>
      <c r="AB4457">
        <v>46</v>
      </c>
      <c r="AC4457">
        <v>-0.41429999999996803</v>
      </c>
      <c r="AD4457">
        <v>-7.8206999999999902E-2</v>
      </c>
      <c r="AE4457">
        <v>1.6900000000020999E-2</v>
      </c>
      <c r="AF4457">
        <v>1.1871577803767501E-3</v>
      </c>
      <c r="AG4457">
        <v>-7.8206999999999902E-2</v>
      </c>
      <c r="AH4457">
        <v>0.40039872221492201</v>
      </c>
      <c r="AI4457">
        <v>101.051978168449</v>
      </c>
      <c r="AJ4457">
        <v>89.830122007530704</v>
      </c>
      <c r="AK4457">
        <v>0.40796676450899499</v>
      </c>
      <c r="AL4457">
        <v>79.269235454941693</v>
      </c>
      <c r="AM4457">
        <v>92.102267683238196</v>
      </c>
      <c r="AN4457">
        <v>1.0000000254060399</v>
      </c>
    </row>
    <row r="4458" spans="1:40" x14ac:dyDescent="0.25">
      <c r="A4458" t="str">
        <f>"20190312172500517"</f>
        <v>20190312172500517</v>
      </c>
      <c r="B4458" t="str">
        <f>"1552382700505300"</f>
        <v>1552382700505300</v>
      </c>
      <c r="C4458" t="s">
        <v>40</v>
      </c>
      <c r="D4458">
        <v>3.506596</v>
      </c>
      <c r="E4458">
        <v>0.51819159999999997</v>
      </c>
      <c r="F4458" t="s">
        <v>41</v>
      </c>
      <c r="G4458">
        <v>-332.5138</v>
      </c>
      <c r="H4458">
        <v>1.03582</v>
      </c>
      <c r="I4458">
        <v>141.82329999999999</v>
      </c>
      <c r="J4458">
        <v>-332.11110000000002</v>
      </c>
      <c r="K4458">
        <v>1.109256</v>
      </c>
      <c r="L4458">
        <v>141.80709999999999</v>
      </c>
      <c r="M4458">
        <v>-0.99923629999999997</v>
      </c>
      <c r="N4458">
        <v>0</v>
      </c>
      <c r="O4458">
        <v>3.7799439999999997E-2</v>
      </c>
      <c r="P4458">
        <v>-0.98432819999999999</v>
      </c>
      <c r="Q4458">
        <v>0.176343</v>
      </c>
      <c r="R4458">
        <v>1.1593389999999999E-3</v>
      </c>
      <c r="S4458">
        <v>-3.0966800000000001</v>
      </c>
      <c r="T4458">
        <v>-0.27309879999999997</v>
      </c>
      <c r="U4458">
        <v>0.1209259</v>
      </c>
      <c r="V4458">
        <v>-3.5985860000000001E-2</v>
      </c>
      <c r="W4458">
        <v>0.18608830000000001</v>
      </c>
      <c r="X4458">
        <v>0.98187380000000002</v>
      </c>
      <c r="Y4458">
        <v>1.3611630000000001E-3</v>
      </c>
      <c r="Z4458">
        <v>-3.2649210000000001E-3</v>
      </c>
      <c r="AA4458">
        <v>0.99999369999999999</v>
      </c>
      <c r="AB4458">
        <v>46</v>
      </c>
      <c r="AC4458">
        <v>-0.40269999999998102</v>
      </c>
      <c r="AD4458">
        <v>-7.3436000000000001E-2</v>
      </c>
      <c r="AE4458">
        <v>1.6199999999997699E-2</v>
      </c>
      <c r="AF4458">
        <v>9.3480437289202999E-4</v>
      </c>
      <c r="AG4458">
        <v>-7.3436000000000001E-2</v>
      </c>
      <c r="AH4458">
        <v>0.39007368511698798</v>
      </c>
      <c r="AI4458">
        <v>100.661788754616</v>
      </c>
      <c r="AJ4458">
        <v>89.862691986805501</v>
      </c>
      <c r="AK4458">
        <v>0.39692719707266499</v>
      </c>
      <c r="AL4458">
        <v>79.275410714099905</v>
      </c>
      <c r="AM4458">
        <v>92.098961663851597</v>
      </c>
      <c r="AN4458">
        <v>0.999999998321634</v>
      </c>
    </row>
    <row r="4459" spans="1:40" x14ac:dyDescent="0.25">
      <c r="A4459" t="str">
        <f>"20190312172500540"</f>
        <v>20190312172500540</v>
      </c>
      <c r="B4459" t="str">
        <f>"1552382700534580"</f>
        <v>1552382700534580</v>
      </c>
      <c r="C4459" t="s">
        <v>40</v>
      </c>
      <c r="D4459">
        <v>3.485455</v>
      </c>
      <c r="E4459">
        <v>0.48897190000000001</v>
      </c>
      <c r="F4459" t="s">
        <v>41</v>
      </c>
      <c r="G4459">
        <v>-332.92970000000003</v>
      </c>
      <c r="H4459">
        <v>1.036883</v>
      </c>
      <c r="I4459">
        <v>141.8389</v>
      </c>
      <c r="J4459">
        <v>-332.5856</v>
      </c>
      <c r="K4459">
        <v>1.1092919999999999</v>
      </c>
      <c r="L4459">
        <v>141.82509999999999</v>
      </c>
      <c r="M4459">
        <v>-0.99923689999999998</v>
      </c>
      <c r="N4459">
        <v>0</v>
      </c>
      <c r="O4459">
        <v>3.7783499999999998E-2</v>
      </c>
      <c r="P4459">
        <v>-0.98437180000000002</v>
      </c>
      <c r="Q4459">
        <v>0.17609639999999999</v>
      </c>
      <c r="R4459">
        <v>1.5527379999999999E-3</v>
      </c>
      <c r="S4459">
        <v>-3.0967099999999999</v>
      </c>
      <c r="T4459">
        <v>-0.27383380000000002</v>
      </c>
      <c r="U4459">
        <v>0.119751</v>
      </c>
      <c r="V4459">
        <v>-3.5593819999999998E-2</v>
      </c>
      <c r="W4459">
        <v>0.185839</v>
      </c>
      <c r="X4459">
        <v>0.98193529999999996</v>
      </c>
      <c r="Y4459">
        <v>9.9999870000000001E-4</v>
      </c>
      <c r="Z4459">
        <v>-3.288198E-3</v>
      </c>
      <c r="AA4459">
        <v>0.9999941</v>
      </c>
      <c r="AB4459">
        <v>46</v>
      </c>
      <c r="AC4459">
        <v>-0.344100000000025</v>
      </c>
      <c r="AD4459">
        <v>-7.2408999999999904E-2</v>
      </c>
      <c r="AE4459">
        <v>1.3800000000003299E-2</v>
      </c>
      <c r="AF4459">
        <v>7.5483447875485598E-4</v>
      </c>
      <c r="AG4459">
        <v>-7.2408999999999904E-2</v>
      </c>
      <c r="AH4459">
        <v>0.32979553890336999</v>
      </c>
      <c r="AI4459">
        <v>102.383187992213</v>
      </c>
      <c r="AJ4459">
        <v>89.8688619182455</v>
      </c>
      <c r="AK4459">
        <v>0.337651788884132</v>
      </c>
      <c r="AL4459">
        <v>79.289948083198297</v>
      </c>
      <c r="AM4459">
        <v>92.075985193977104</v>
      </c>
      <c r="AN4459">
        <v>0.99999999366464098</v>
      </c>
    </row>
    <row r="4460" spans="1:40" x14ac:dyDescent="0.25">
      <c r="A4460" t="str">
        <f>"20190312172500562"</f>
        <v>20190312172500562</v>
      </c>
      <c r="B4460" t="str">
        <f>"1552382700555076"</f>
        <v>1552382700555076</v>
      </c>
      <c r="C4460" t="s">
        <v>40</v>
      </c>
      <c r="D4460">
        <v>3.4284110000000001</v>
      </c>
      <c r="E4460">
        <v>0.48807060000000002</v>
      </c>
      <c r="F4460" t="s">
        <v>43</v>
      </c>
      <c r="G4460">
        <v>-349.90820000000002</v>
      </c>
      <c r="H4460" s="1">
        <v>-4.4540110000000002E-7</v>
      </c>
      <c r="I4460">
        <v>141.2088</v>
      </c>
      <c r="J4460">
        <v>-333.05509999999998</v>
      </c>
      <c r="K4460">
        <v>1.109334</v>
      </c>
      <c r="L4460">
        <v>141.84280000000001</v>
      </c>
      <c r="M4460">
        <v>-0.99923870000000004</v>
      </c>
      <c r="N4460">
        <v>0</v>
      </c>
      <c r="O4460">
        <v>3.7736430000000001E-2</v>
      </c>
      <c r="P4460">
        <v>-0.98434339999999998</v>
      </c>
      <c r="Q4460">
        <v>0.1762494</v>
      </c>
      <c r="R4460">
        <v>2.0820220000000002E-3</v>
      </c>
      <c r="S4460">
        <v>-3.0830989999999998</v>
      </c>
      <c r="T4460">
        <v>-0.19743369999999999</v>
      </c>
      <c r="U4460">
        <v>-0.10968020000000001</v>
      </c>
      <c r="V4460">
        <v>-3.5034669999999997E-2</v>
      </c>
      <c r="W4460">
        <v>0.1859894</v>
      </c>
      <c r="X4460">
        <v>0.98192690000000005</v>
      </c>
      <c r="Y4460">
        <v>-7.301465E-2</v>
      </c>
      <c r="Z4460">
        <v>-4.7481099999999998E-3</v>
      </c>
      <c r="AA4460">
        <v>0.99731959999999997</v>
      </c>
      <c r="AB4460">
        <v>46</v>
      </c>
      <c r="AC4460">
        <v>-16.853100000000001</v>
      </c>
      <c r="AD4460">
        <v>-1.1093344454011</v>
      </c>
      <c r="AE4460">
        <v>-0.634000000000014</v>
      </c>
      <c r="AF4460">
        <v>-1.26408611139827</v>
      </c>
      <c r="AG4460">
        <v>-1.1093344454011</v>
      </c>
      <c r="AH4460">
        <v>16.7447202974781</v>
      </c>
      <c r="AI4460">
        <v>93.779572158482793</v>
      </c>
      <c r="AJ4460">
        <v>94.317162662486794</v>
      </c>
      <c r="AK4460">
        <v>16.828968906310301</v>
      </c>
      <c r="AL4460">
        <v>79.281177543841594</v>
      </c>
      <c r="AM4460">
        <v>92.043418485227804</v>
      </c>
      <c r="AN4460">
        <v>0.99999996097898802</v>
      </c>
    </row>
    <row r="4461" spans="1:40" x14ac:dyDescent="0.25">
      <c r="A4461" t="str">
        <f>"20190312172500584"</f>
        <v>20190312172500584</v>
      </c>
      <c r="B4461" t="str">
        <f>"1552382700574596"</f>
        <v>1552382700574596</v>
      </c>
      <c r="C4461" t="s">
        <v>40</v>
      </c>
      <c r="D4461">
        <v>3.427276</v>
      </c>
      <c r="E4461">
        <v>0.48806759999999899</v>
      </c>
      <c r="F4461" t="s">
        <v>43</v>
      </c>
      <c r="G4461">
        <v>-350.2527</v>
      </c>
      <c r="H4461" s="1">
        <v>-4.4698080000000002E-6</v>
      </c>
      <c r="I4461">
        <v>141.19370000000001</v>
      </c>
      <c r="J4461">
        <v>-333.50819999999999</v>
      </c>
      <c r="K4461">
        <v>1.1093729999999999</v>
      </c>
      <c r="L4461">
        <v>141.85990000000001</v>
      </c>
      <c r="M4461">
        <v>-0.99924170000000001</v>
      </c>
      <c r="N4461">
        <v>0</v>
      </c>
      <c r="O4461">
        <v>3.7656340000000003E-2</v>
      </c>
      <c r="P4461">
        <v>-0.98434880000000002</v>
      </c>
      <c r="Q4461">
        <v>0.17622170000000001</v>
      </c>
      <c r="R4461">
        <v>1.808654E-3</v>
      </c>
      <c r="S4461">
        <v>-3.0835880000000002</v>
      </c>
      <c r="T4461">
        <v>-0.198908</v>
      </c>
      <c r="U4461">
        <v>-0.1163788</v>
      </c>
      <c r="V4461">
        <v>-3.5248849999999998E-2</v>
      </c>
      <c r="W4461">
        <v>0.1859604</v>
      </c>
      <c r="X4461">
        <v>0.98192480000000004</v>
      </c>
      <c r="Y4461">
        <v>-7.508513E-2</v>
      </c>
      <c r="Z4461">
        <v>-4.8440990000000001E-3</v>
      </c>
      <c r="AA4461">
        <v>0.99716539999999998</v>
      </c>
      <c r="AB4461">
        <v>47</v>
      </c>
      <c r="AC4461">
        <v>-16.744499999999999</v>
      </c>
      <c r="AD4461">
        <v>-1.1093774698079999</v>
      </c>
      <c r="AE4461">
        <v>-0.66620000000000301</v>
      </c>
      <c r="AF4461">
        <v>-1.29063864677655</v>
      </c>
      <c r="AG4461">
        <v>-1.1093774698079999</v>
      </c>
      <c r="AH4461">
        <v>16.634632694133</v>
      </c>
      <c r="AI4461">
        <v>93.804054246487496</v>
      </c>
      <c r="AJ4461">
        <v>94.436544990814795</v>
      </c>
      <c r="AK4461">
        <v>16.721467380459998</v>
      </c>
      <c r="AL4461">
        <v>79.282869396914094</v>
      </c>
      <c r="AM4461">
        <v>92.055904369933302</v>
      </c>
      <c r="AN4461">
        <v>1.00000003232476</v>
      </c>
    </row>
    <row r="4462" spans="1:40" x14ac:dyDescent="0.25">
      <c r="A4462" t="str">
        <f>"20190312172500606"</f>
        <v>20190312172500606</v>
      </c>
      <c r="B4462" t="str">
        <f>"1552382700595092"</f>
        <v>1552382700595092</v>
      </c>
      <c r="C4462" t="s">
        <v>40</v>
      </c>
      <c r="D4462">
        <v>3.4009010000000002</v>
      </c>
      <c r="E4462">
        <v>0.4880815</v>
      </c>
      <c r="F4462" t="s">
        <v>43</v>
      </c>
      <c r="G4462">
        <v>-350.49439999999998</v>
      </c>
      <c r="H4462" s="1">
        <v>-4.3914050000000004E-6</v>
      </c>
      <c r="I4462">
        <v>141.21520000000001</v>
      </c>
      <c r="J4462">
        <v>-333.97070000000002</v>
      </c>
      <c r="K4462">
        <v>1.109413</v>
      </c>
      <c r="L4462">
        <v>141.87729999999999</v>
      </c>
      <c r="M4462">
        <v>-0.99924599999999997</v>
      </c>
      <c r="N4462">
        <v>0</v>
      </c>
      <c r="O4462">
        <v>3.7544170000000002E-2</v>
      </c>
      <c r="P4462">
        <v>-0.98446199999999995</v>
      </c>
      <c r="Q4462">
        <v>0.17559340000000001</v>
      </c>
      <c r="R4462">
        <v>1.4773399999999999E-3</v>
      </c>
      <c r="S4462">
        <v>-3.0839840000000001</v>
      </c>
      <c r="T4462">
        <v>-0.20141709999999999</v>
      </c>
      <c r="U4462">
        <v>-0.1170349</v>
      </c>
      <c r="V4462">
        <v>-3.5492870000000003E-2</v>
      </c>
      <c r="W4462">
        <v>0.1853321</v>
      </c>
      <c r="X4462">
        <v>0.98203470000000004</v>
      </c>
      <c r="Y4462">
        <v>-7.5174350000000001E-2</v>
      </c>
      <c r="Z4462">
        <v>-4.9000220000000004E-3</v>
      </c>
      <c r="AA4462">
        <v>0.99715830000000005</v>
      </c>
      <c r="AB4462">
        <v>47</v>
      </c>
      <c r="AC4462">
        <v>-16.523699999999899</v>
      </c>
      <c r="AD4462">
        <v>-1.1094173914049901</v>
      </c>
      <c r="AE4462">
        <v>-0.66209999999998004</v>
      </c>
      <c r="AF4462">
        <v>-1.27628794437328</v>
      </c>
      <c r="AG4462">
        <v>-1.1094173914049901</v>
      </c>
      <c r="AH4462">
        <v>16.413318754629898</v>
      </c>
      <c r="AI4462">
        <v>93.855281026351705</v>
      </c>
      <c r="AJ4462">
        <v>94.446331708566106</v>
      </c>
      <c r="AK4462">
        <v>16.500204556501401</v>
      </c>
      <c r="AL4462">
        <v>79.319504206808801</v>
      </c>
      <c r="AM4462">
        <v>92.069893133946294</v>
      </c>
      <c r="AN4462">
        <v>0.99999994155766603</v>
      </c>
    </row>
    <row r="4463" spans="1:40" x14ac:dyDescent="0.25">
      <c r="A4463" t="str">
        <f>"20190312172500629"</f>
        <v>20190312172500629</v>
      </c>
      <c r="B4463" t="str">
        <f>"1552382700624662"</f>
        <v>1552382700624662</v>
      </c>
      <c r="C4463" t="s">
        <v>40</v>
      </c>
      <c r="D4463">
        <v>3.4093010000000001</v>
      </c>
      <c r="E4463">
        <v>0.48790489999999997</v>
      </c>
      <c r="F4463" t="s">
        <v>43</v>
      </c>
      <c r="G4463">
        <v>-350.71370000000002</v>
      </c>
      <c r="H4463" s="1">
        <v>-4.3211830000000004E-6</v>
      </c>
      <c r="I4463">
        <v>141.24010000000001</v>
      </c>
      <c r="J4463">
        <v>-334.4427</v>
      </c>
      <c r="K4463">
        <v>1.1094520000000001</v>
      </c>
      <c r="L4463">
        <v>141.89490000000001</v>
      </c>
      <c r="M4463">
        <v>-0.99925160000000002</v>
      </c>
      <c r="N4463">
        <v>0</v>
      </c>
      <c r="O4463">
        <v>3.7394339999999998E-2</v>
      </c>
      <c r="P4463">
        <v>-0.98451239999999995</v>
      </c>
      <c r="Q4463">
        <v>0.17531429999999901</v>
      </c>
      <c r="R4463">
        <v>7.8592780000000001E-4</v>
      </c>
      <c r="S4463">
        <v>-3.0840450000000001</v>
      </c>
      <c r="T4463">
        <v>-0.20435429999999999</v>
      </c>
      <c r="U4463">
        <v>-0.1173553</v>
      </c>
      <c r="V4463">
        <v>-3.6058140000000002E-2</v>
      </c>
      <c r="W4463">
        <v>0.18504999999999999</v>
      </c>
      <c r="X4463">
        <v>0.98206729999999998</v>
      </c>
      <c r="Y4463">
        <v>-7.5120989999999999E-2</v>
      </c>
      <c r="Z4463">
        <v>-4.9595400000000001E-3</v>
      </c>
      <c r="AA4463">
        <v>0.99716210000000005</v>
      </c>
      <c r="AB4463">
        <v>47</v>
      </c>
      <c r="AC4463">
        <v>-16.271000000000001</v>
      </c>
      <c r="AD4463">
        <v>-1.109456321183</v>
      </c>
      <c r="AE4463">
        <v>-0.65479999999999405</v>
      </c>
      <c r="AF4463">
        <v>-1.25698038408668</v>
      </c>
      <c r="AG4463">
        <v>-1.109456321183</v>
      </c>
      <c r="AH4463">
        <v>16.160119214042801</v>
      </c>
      <c r="AI4463">
        <v>93.915629639958695</v>
      </c>
      <c r="AJ4463">
        <v>94.447674619070099</v>
      </c>
      <c r="AK4463">
        <v>16.246856496770899</v>
      </c>
      <c r="AL4463">
        <v>79.335951798907502</v>
      </c>
      <c r="AM4463">
        <v>92.102759762758694</v>
      </c>
      <c r="AN4463">
        <v>0.99999993684477195</v>
      </c>
    </row>
    <row r="4464" spans="1:40" x14ac:dyDescent="0.25">
      <c r="A4464" t="str">
        <f>"20190312172500651"</f>
        <v>20190312172500651</v>
      </c>
      <c r="B4464" t="str">
        <f>"1552382700645157"</f>
        <v>1552382700645157</v>
      </c>
      <c r="C4464" t="s">
        <v>40</v>
      </c>
      <c r="D4464">
        <v>3.3855460000000002</v>
      </c>
      <c r="E4464">
        <v>0.48786230000000003</v>
      </c>
      <c r="F4464" t="s">
        <v>43</v>
      </c>
      <c r="G4464">
        <v>-350.89679999999998</v>
      </c>
      <c r="H4464" s="1">
        <v>-4.2606920000000003E-6</v>
      </c>
      <c r="I4464">
        <v>141.25040000000001</v>
      </c>
      <c r="J4464">
        <v>-334.90800000000002</v>
      </c>
      <c r="K4464">
        <v>1.109486</v>
      </c>
      <c r="L4464">
        <v>141.91220000000001</v>
      </c>
      <c r="M4464">
        <v>-0.99925830000000004</v>
      </c>
      <c r="N4464">
        <v>0</v>
      </c>
      <c r="O4464">
        <v>3.7211389999999997E-2</v>
      </c>
      <c r="P4464">
        <v>-0.98446699999999998</v>
      </c>
      <c r="Q4464">
        <v>0.175569899999999</v>
      </c>
      <c r="R4464" s="1">
        <v>-9.8459419999999999E-6</v>
      </c>
      <c r="S4464">
        <v>-3.0843509999999998</v>
      </c>
      <c r="T4464">
        <v>-0.20796970000000001</v>
      </c>
      <c r="U4464">
        <v>-0.1208038</v>
      </c>
      <c r="V4464">
        <v>-3.6689970000000002E-2</v>
      </c>
      <c r="W4464">
        <v>0.1852993</v>
      </c>
      <c r="X4464">
        <v>0.98199700000000001</v>
      </c>
      <c r="Y4464">
        <v>-7.6037480000000005E-2</v>
      </c>
      <c r="Z4464">
        <v>-5.0650280000000001E-3</v>
      </c>
      <c r="AA4464">
        <v>0.99709210000000004</v>
      </c>
      <c r="AB4464">
        <v>47</v>
      </c>
      <c r="AC4464">
        <v>-15.9887999999999</v>
      </c>
      <c r="AD4464">
        <v>-1.1094902606919901</v>
      </c>
      <c r="AE4464">
        <v>-0.66179999999999894</v>
      </c>
      <c r="AF4464">
        <v>-1.2503259940292</v>
      </c>
      <c r="AG4464">
        <v>-1.1094902606919901</v>
      </c>
      <c r="AH4464">
        <v>15.8767783545724</v>
      </c>
      <c r="AI4464">
        <v>93.985107797695605</v>
      </c>
      <c r="AJ4464">
        <v>94.502856466711194</v>
      </c>
      <c r="AK4464">
        <v>15.9645349024059</v>
      </c>
      <c r="AL4464">
        <v>79.321417764590606</v>
      </c>
      <c r="AM4464">
        <v>92.139724520712605</v>
      </c>
      <c r="AN4464">
        <v>1.0000000462440399</v>
      </c>
    </row>
    <row r="4465" spans="1:40" x14ac:dyDescent="0.25">
      <c r="A4465" t="str">
        <f>"20190312172500674"</f>
        <v>20190312172500674</v>
      </c>
      <c r="B4465" t="str">
        <f>"1552382700664677"</f>
        <v>1552382700664677</v>
      </c>
      <c r="C4465" t="s">
        <v>40</v>
      </c>
      <c r="D4465">
        <v>3.392048</v>
      </c>
      <c r="E4465">
        <v>0.4877898</v>
      </c>
      <c r="F4465" t="s">
        <v>43</v>
      </c>
      <c r="G4465">
        <v>-351.36509999999998</v>
      </c>
      <c r="H4465" s="1">
        <v>-4.1013949999999999E-6</v>
      </c>
      <c r="I4465">
        <v>141.2508</v>
      </c>
      <c r="J4465">
        <v>-335.3879</v>
      </c>
      <c r="K4465">
        <v>1.1095250000000001</v>
      </c>
      <c r="L4465">
        <v>141.9299</v>
      </c>
      <c r="M4465">
        <v>-0.9992666</v>
      </c>
      <c r="N4465">
        <v>0</v>
      </c>
      <c r="O4465">
        <v>3.698721E-2</v>
      </c>
      <c r="P4465">
        <v>-0.9844562</v>
      </c>
      <c r="Q4465">
        <v>0.175629799999999</v>
      </c>
      <c r="R4465">
        <v>-3.2122710000000003E-4</v>
      </c>
      <c r="S4465">
        <v>-3.0844119999999999</v>
      </c>
      <c r="T4465">
        <v>-0.20794170000000001</v>
      </c>
      <c r="U4465">
        <v>-0.1239319</v>
      </c>
      <c r="V4465">
        <v>-3.6798209999999998E-2</v>
      </c>
      <c r="W4465">
        <v>0.18535409999999999</v>
      </c>
      <c r="X4465">
        <v>0.98198260000000004</v>
      </c>
      <c r="Y4465">
        <v>-7.6821410000000007E-2</v>
      </c>
      <c r="Z4465">
        <v>-5.0754520000000003E-3</v>
      </c>
      <c r="AA4465">
        <v>0.99703189999999997</v>
      </c>
      <c r="AB4465">
        <v>47</v>
      </c>
      <c r="AC4465">
        <v>-15.9771999999999</v>
      </c>
      <c r="AD4465">
        <v>-1.1095291013949999</v>
      </c>
      <c r="AE4465">
        <v>-0.67910000000000503</v>
      </c>
      <c r="AF4465">
        <v>-1.26353388767216</v>
      </c>
      <c r="AG4465">
        <v>-1.1095291013949999</v>
      </c>
      <c r="AH4465">
        <v>15.864776519314599</v>
      </c>
      <c r="AI4465">
        <v>93.987972892582505</v>
      </c>
      <c r="AJ4465">
        <v>94.553651762064405</v>
      </c>
      <c r="AK4465">
        <v>15.953642427982899</v>
      </c>
      <c r="AL4465">
        <v>79.318222524369403</v>
      </c>
      <c r="AM4465">
        <v>92.146062522567803</v>
      </c>
      <c r="AN4465">
        <v>1.0000000386743799</v>
      </c>
    </row>
    <row r="4466" spans="1:40" x14ac:dyDescent="0.25">
      <c r="A4466" t="str">
        <f>"20190312172500696"</f>
        <v>20190312172500696</v>
      </c>
      <c r="B4466" t="str">
        <f>"1552382700685174"</f>
        <v>1552382700685174</v>
      </c>
      <c r="C4466" t="s">
        <v>40</v>
      </c>
      <c r="D4466">
        <v>3.3833380000000002</v>
      </c>
      <c r="E4466">
        <v>0.48783779999999999</v>
      </c>
      <c r="F4466" t="s">
        <v>43</v>
      </c>
      <c r="G4466">
        <v>-351.7792</v>
      </c>
      <c r="H4466" s="1">
        <v>-3.9471139999999998E-6</v>
      </c>
      <c r="I4466">
        <v>141.2628</v>
      </c>
      <c r="J4466">
        <v>-335.85169999999999</v>
      </c>
      <c r="K4466">
        <v>1.1095660000000001</v>
      </c>
      <c r="L4466">
        <v>141.9469</v>
      </c>
      <c r="M4466">
        <v>-0.99927600000000005</v>
      </c>
      <c r="N4466">
        <v>0</v>
      </c>
      <c r="O4466">
        <v>3.673891E-2</v>
      </c>
      <c r="P4466">
        <v>-0.98437600000000003</v>
      </c>
      <c r="Q4466">
        <v>0.17607799999999901</v>
      </c>
      <c r="R4466">
        <v>-8.4842000000000001E-4</v>
      </c>
      <c r="S4466">
        <v>-3.0845340000000001</v>
      </c>
      <c r="T4466">
        <v>-0.20879329999999999</v>
      </c>
      <c r="U4466">
        <v>-0.12551880000000001</v>
      </c>
      <c r="V4466">
        <v>-3.7095200000000002E-2</v>
      </c>
      <c r="W4466">
        <v>0.18579689999999999</v>
      </c>
      <c r="X4466">
        <v>0.98188770000000003</v>
      </c>
      <c r="Y4466">
        <v>-7.7082079999999997E-2</v>
      </c>
      <c r="Z4466">
        <v>-5.087973E-3</v>
      </c>
      <c r="AA4466">
        <v>0.9970118</v>
      </c>
      <c r="AB4466">
        <v>47</v>
      </c>
      <c r="AC4466">
        <v>-15.9275</v>
      </c>
      <c r="AD4466">
        <v>-1.1095699471139999</v>
      </c>
      <c r="AE4466">
        <v>-0.68410000000000004</v>
      </c>
      <c r="AF4466">
        <v>-1.26270900503367</v>
      </c>
      <c r="AG4466">
        <v>-1.1095699471139999</v>
      </c>
      <c r="AH4466">
        <v>15.8150023911552</v>
      </c>
      <c r="AI4466">
        <v>94.000567514605294</v>
      </c>
      <c r="AJ4466">
        <v>94.564953285155298</v>
      </c>
      <c r="AK4466">
        <v>15.904083756418499</v>
      </c>
      <c r="AL4466">
        <v>79.292403043859807</v>
      </c>
      <c r="AM4466">
        <v>92.163575406468894</v>
      </c>
      <c r="AN4466">
        <v>0.99999999866196998</v>
      </c>
    </row>
    <row r="4467" spans="1:40" x14ac:dyDescent="0.25">
      <c r="A4467" t="str">
        <f>"20190312172500718"</f>
        <v>20190312172500718</v>
      </c>
      <c r="B4467" t="str">
        <f>"1552382700715429"</f>
        <v>1552382700715429</v>
      </c>
      <c r="C4467" t="s">
        <v>40</v>
      </c>
      <c r="D4467">
        <v>3.3970449999999999</v>
      </c>
      <c r="E4467">
        <v>0.48777500000000001</v>
      </c>
      <c r="F4467" t="s">
        <v>43</v>
      </c>
      <c r="G4467">
        <v>-352.28039999999999</v>
      </c>
      <c r="H4467" s="1">
        <v>-3.7343169999999998E-6</v>
      </c>
      <c r="I4467">
        <v>141.27119999999999</v>
      </c>
      <c r="J4467">
        <v>-336.29849999999999</v>
      </c>
      <c r="K4467">
        <v>1.1096010000000001</v>
      </c>
      <c r="L4467">
        <v>141.9632</v>
      </c>
      <c r="M4467">
        <v>-0.9992858</v>
      </c>
      <c r="N4467">
        <v>0</v>
      </c>
      <c r="O4467">
        <v>3.6469769999999999E-2</v>
      </c>
      <c r="P4467">
        <v>-0.98428709999999997</v>
      </c>
      <c r="Q4467">
        <v>0.176572799999999</v>
      </c>
      <c r="R4467">
        <v>-1.0527679999999999E-3</v>
      </c>
      <c r="S4467">
        <v>-3.0847470000000001</v>
      </c>
      <c r="T4467">
        <v>-0.2083391</v>
      </c>
      <c r="U4467">
        <v>-0.12686159999999999</v>
      </c>
      <c r="V4467">
        <v>-3.7047690000000001E-2</v>
      </c>
      <c r="W4467">
        <v>0.18628739999999999</v>
      </c>
      <c r="X4467">
        <v>0.98179660000000002</v>
      </c>
      <c r="Y4467">
        <v>-7.7245430000000004E-2</v>
      </c>
      <c r="Z4467">
        <v>-5.0638999999999997E-3</v>
      </c>
      <c r="AA4467">
        <v>0.99699930000000003</v>
      </c>
      <c r="AB4467">
        <v>47</v>
      </c>
      <c r="AC4467">
        <v>-15.9818999999999</v>
      </c>
      <c r="AD4467">
        <v>-1.1096047343169999</v>
      </c>
      <c r="AE4467">
        <v>-0.69200000000000705</v>
      </c>
      <c r="AF4467">
        <v>-1.26832200843827</v>
      </c>
      <c r="AG4467">
        <v>-1.1096047343169999</v>
      </c>
      <c r="AH4467">
        <v>15.869674342579801</v>
      </c>
      <c r="AI4467">
        <v>93.986929635492302</v>
      </c>
      <c r="AJ4467">
        <v>94.569429982605001</v>
      </c>
      <c r="AK4467">
        <v>15.958898054785699</v>
      </c>
      <c r="AL4467">
        <v>79.263800612968694</v>
      </c>
      <c r="AM4467">
        <v>92.161007326041997</v>
      </c>
      <c r="AN4467">
        <v>1.0000000452523199</v>
      </c>
    </row>
    <row r="4468" spans="1:40" x14ac:dyDescent="0.25">
      <c r="A4468" t="str">
        <f>"20190312172500740"</f>
        <v>20190312172500740</v>
      </c>
      <c r="B4468" t="str">
        <f>"1552382700734953"</f>
        <v>1552382700734953</v>
      </c>
      <c r="C4468" t="s">
        <v>40</v>
      </c>
      <c r="D4468">
        <v>3.377907</v>
      </c>
      <c r="E4468">
        <v>0.4876914</v>
      </c>
      <c r="F4468" t="s">
        <v>43</v>
      </c>
      <c r="G4468">
        <v>-352.78649999999999</v>
      </c>
      <c r="H4468" s="1">
        <v>-3.5195619999999999E-6</v>
      </c>
      <c r="I4468">
        <v>141.28</v>
      </c>
      <c r="J4468">
        <v>-336.77960000000002</v>
      </c>
      <c r="K4468">
        <v>1.1096429999999999</v>
      </c>
      <c r="L4468">
        <v>141.98050000000001</v>
      </c>
      <c r="M4468">
        <v>-0.99929760000000001</v>
      </c>
      <c r="N4468">
        <v>0</v>
      </c>
      <c r="O4468">
        <v>3.6145179999999999E-2</v>
      </c>
      <c r="P4468">
        <v>-0.98422310000000002</v>
      </c>
      <c r="Q4468">
        <v>0.17692829999999901</v>
      </c>
      <c r="R4468">
        <v>-1.2611670000000001E-3</v>
      </c>
      <c r="S4468">
        <v>-3.084991</v>
      </c>
      <c r="T4468">
        <v>-0.20761350000000001</v>
      </c>
      <c r="U4468">
        <v>-0.12780759999999999</v>
      </c>
      <c r="V4468">
        <v>-3.6952949999999998E-2</v>
      </c>
      <c r="W4468">
        <v>0.18663779999999999</v>
      </c>
      <c r="X4468">
        <v>0.98173359999999998</v>
      </c>
      <c r="Y4468">
        <v>-7.7226180000000005E-2</v>
      </c>
      <c r="Z4468">
        <v>-5.0234210000000001E-3</v>
      </c>
      <c r="AA4468">
        <v>0.99700089999999997</v>
      </c>
      <c r="AB4468">
        <v>47</v>
      </c>
      <c r="AC4468">
        <v>-16.006899999999899</v>
      </c>
      <c r="AD4468">
        <v>-1.109646519562</v>
      </c>
      <c r="AE4468">
        <v>-0.70050000000000501</v>
      </c>
      <c r="AF4468">
        <v>-1.27253907252184</v>
      </c>
      <c r="AG4468">
        <v>-1.109646519562</v>
      </c>
      <c r="AH4468">
        <v>15.894878632002101</v>
      </c>
      <c r="AI4468">
        <v>93.980733670322394</v>
      </c>
      <c r="AJ4468">
        <v>94.577319539796704</v>
      </c>
      <c r="AK4468">
        <v>15.984299728657099</v>
      </c>
      <c r="AL4468">
        <v>79.243365568944</v>
      </c>
      <c r="AM4468">
        <v>92.155624513166202</v>
      </c>
      <c r="AN4468">
        <v>1.0000000251357499</v>
      </c>
    </row>
    <row r="4469" spans="1:40" x14ac:dyDescent="0.25">
      <c r="A4469" t="str">
        <f>"20190312172500763"</f>
        <v>20190312172500763</v>
      </c>
      <c r="B4469" t="str">
        <f>"1552382700754472"</f>
        <v>1552382700754472</v>
      </c>
      <c r="C4469" t="s">
        <v>40</v>
      </c>
      <c r="D4469">
        <v>3.4032460000000002</v>
      </c>
      <c r="E4469">
        <v>0.48766900000000002</v>
      </c>
      <c r="F4469" t="s">
        <v>43</v>
      </c>
      <c r="G4469">
        <v>-353.30410000000001</v>
      </c>
      <c r="H4469" s="1">
        <v>-3.2993119999999998E-6</v>
      </c>
      <c r="I4469">
        <v>141.2868</v>
      </c>
      <c r="J4469">
        <v>-337.2466</v>
      </c>
      <c r="K4469">
        <v>1.109688</v>
      </c>
      <c r="L4469">
        <v>141.99719999999999</v>
      </c>
      <c r="M4469">
        <v>-0.99931060000000005</v>
      </c>
      <c r="N4469">
        <v>0</v>
      </c>
      <c r="O4469">
        <v>3.5783589999999997E-2</v>
      </c>
      <c r="P4469">
        <v>-0.98412219999999995</v>
      </c>
      <c r="Q4469">
        <v>0.17748639999999999</v>
      </c>
      <c r="R4469">
        <v>-1.533647E-3</v>
      </c>
      <c r="S4469">
        <v>-3.085175</v>
      </c>
      <c r="T4469">
        <v>-0.2071742</v>
      </c>
      <c r="U4469">
        <v>-0.12950130000000001</v>
      </c>
      <c r="V4469">
        <v>-3.6887240000000002E-2</v>
      </c>
      <c r="W4469">
        <v>0.18718679999999999</v>
      </c>
      <c r="X4469">
        <v>0.98163149999999999</v>
      </c>
      <c r="Y4469">
        <v>-7.7410880000000001E-2</v>
      </c>
      <c r="Z4469">
        <v>-4.9944170000000001E-3</v>
      </c>
      <c r="AA4469">
        <v>0.9969867</v>
      </c>
      <c r="AB4469">
        <v>47</v>
      </c>
      <c r="AC4469">
        <v>-16.057500000000001</v>
      </c>
      <c r="AD4469">
        <v>-1.1096912993120001</v>
      </c>
      <c r="AE4469">
        <v>-0.71039999999999204</v>
      </c>
      <c r="AF4469">
        <v>-1.2784742583495501</v>
      </c>
      <c r="AG4469">
        <v>-1.1096912993120001</v>
      </c>
      <c r="AH4469">
        <v>15.945787712726201</v>
      </c>
      <c r="AI4469">
        <v>93.968188205174002</v>
      </c>
      <c r="AJ4469">
        <v>94.583958124487296</v>
      </c>
      <c r="AK4469">
        <v>16.035400119372099</v>
      </c>
      <c r="AL4469">
        <v>79.211345443743397</v>
      </c>
      <c r="AM4469">
        <v>92.152018571612004</v>
      </c>
      <c r="AN4469">
        <v>0.99999998418065295</v>
      </c>
    </row>
    <row r="4470" spans="1:40" x14ac:dyDescent="0.25">
      <c r="A4470" t="str">
        <f>"20190312172500784"</f>
        <v>20190312172500784</v>
      </c>
      <c r="B4470" t="str">
        <f>"1552382700774965"</f>
        <v>1552382700774965</v>
      </c>
      <c r="C4470" t="s">
        <v>40</v>
      </c>
      <c r="D4470">
        <v>3.4186529999999999</v>
      </c>
      <c r="E4470">
        <v>0.48769319999999999</v>
      </c>
      <c r="F4470" t="s">
        <v>43</v>
      </c>
      <c r="G4470">
        <v>-353.82510000000002</v>
      </c>
      <c r="H4470" s="1">
        <v>-3.0769679999999999E-6</v>
      </c>
      <c r="I4470">
        <v>141.2912</v>
      </c>
      <c r="J4470">
        <v>-337.70740000000001</v>
      </c>
      <c r="K4470">
        <v>1.1097349999999999</v>
      </c>
      <c r="L4470">
        <v>142.01339999999999</v>
      </c>
      <c r="M4470">
        <v>-0.99932520000000002</v>
      </c>
      <c r="N4470">
        <v>0</v>
      </c>
      <c r="O4470">
        <v>3.5373679999999998E-2</v>
      </c>
      <c r="P4470">
        <v>-0.9842476</v>
      </c>
      <c r="Q4470">
        <v>0.17677979999999999</v>
      </c>
      <c r="R4470">
        <v>-2.3402459999999998E-3</v>
      </c>
      <c r="S4470">
        <v>-3.08548</v>
      </c>
      <c r="T4470">
        <v>-0.20652880000000001</v>
      </c>
      <c r="U4470">
        <v>-0.1313782</v>
      </c>
      <c r="V4470">
        <v>-3.7318360000000002E-2</v>
      </c>
      <c r="W4470">
        <v>0.186473</v>
      </c>
      <c r="X4470">
        <v>0.98175109999999999</v>
      </c>
      <c r="Y4470">
        <v>-7.7605289999999993E-2</v>
      </c>
      <c r="Z4470">
        <v>-4.9574490000000001E-3</v>
      </c>
      <c r="AA4470">
        <v>0.99697179999999996</v>
      </c>
      <c r="AB4470">
        <v>47</v>
      </c>
      <c r="AC4470">
        <v>-16.117699999999999</v>
      </c>
      <c r="AD4470">
        <v>-1.1097380769679901</v>
      </c>
      <c r="AE4470">
        <v>-0.72219999999998596</v>
      </c>
      <c r="AF4470">
        <v>-1.2858347926890801</v>
      </c>
      <c r="AG4470">
        <v>-1.1097380769679901</v>
      </c>
      <c r="AH4470">
        <v>16.006335857445599</v>
      </c>
      <c r="AI4470">
        <v>93.953342096763805</v>
      </c>
      <c r="AJ4470">
        <v>94.592871145863199</v>
      </c>
      <c r="AK4470">
        <v>16.0962007099474</v>
      </c>
      <c r="AL4470">
        <v>79.252976705071305</v>
      </c>
      <c r="AM4470">
        <v>92.176881275297205</v>
      </c>
      <c r="AN4470">
        <v>1.0000000310366399</v>
      </c>
    </row>
    <row r="4471" spans="1:40" x14ac:dyDescent="0.25">
      <c r="A4471" t="str">
        <f>"20190312172500807"</f>
        <v>20190312172500807</v>
      </c>
      <c r="B4471" t="str">
        <f>"1552382700805221"</f>
        <v>1552382700805221</v>
      </c>
      <c r="C4471" t="s">
        <v>40</v>
      </c>
      <c r="D4471">
        <v>3.4100589999999902</v>
      </c>
      <c r="E4471">
        <v>0.48768410000000001</v>
      </c>
      <c r="F4471" t="s">
        <v>43</v>
      </c>
      <c r="G4471">
        <v>-354.06720000000001</v>
      </c>
      <c r="H4471" s="1">
        <v>-2.9767650000000001E-6</v>
      </c>
      <c r="I4471">
        <v>141.3049</v>
      </c>
      <c r="J4471">
        <v>-338.17779999999999</v>
      </c>
      <c r="K4471">
        <v>1.109793</v>
      </c>
      <c r="L4471">
        <v>142.02979999999999</v>
      </c>
      <c r="M4471">
        <v>-0.99934190000000001</v>
      </c>
      <c r="N4471">
        <v>0</v>
      </c>
      <c r="O4471">
        <v>3.4901979999999999E-2</v>
      </c>
      <c r="P4471">
        <v>-0.9843634</v>
      </c>
      <c r="Q4471">
        <v>0.1761259</v>
      </c>
      <c r="R4471">
        <v>-2.9500339999999998E-3</v>
      </c>
      <c r="S4471">
        <v>-3.0852659999999998</v>
      </c>
      <c r="T4471">
        <v>-0.2092841</v>
      </c>
      <c r="U4471">
        <v>-0.133606</v>
      </c>
      <c r="V4471">
        <v>-3.7494E-2</v>
      </c>
      <c r="W4471">
        <v>0.18581139999999999</v>
      </c>
      <c r="X4471">
        <v>0.98186980000000001</v>
      </c>
      <c r="Y4471">
        <v>-7.7849899999999903E-2</v>
      </c>
      <c r="Z4471">
        <v>-5.0000499999999998E-3</v>
      </c>
      <c r="AA4471">
        <v>0.99695250000000002</v>
      </c>
      <c r="AB4471">
        <v>47</v>
      </c>
      <c r="AC4471">
        <v>-15.8894</v>
      </c>
      <c r="AD4471">
        <v>-1.1097959767649901</v>
      </c>
      <c r="AE4471">
        <v>-0.72489999999999</v>
      </c>
      <c r="AF4471">
        <v>-1.27286035823023</v>
      </c>
      <c r="AG4471">
        <v>-1.1097959767649901</v>
      </c>
      <c r="AH4471">
        <v>15.777608067051499</v>
      </c>
      <c r="AI4471">
        <v>94.010567092546694</v>
      </c>
      <c r="AJ4471">
        <v>94.612354493036605</v>
      </c>
      <c r="AK4471">
        <v>15.8677262680916</v>
      </c>
      <c r="AL4471">
        <v>79.291557441159</v>
      </c>
      <c r="AM4471">
        <v>92.186852759103303</v>
      </c>
      <c r="AN4471">
        <v>0.999999990279</v>
      </c>
    </row>
    <row r="4472" spans="1:40" x14ac:dyDescent="0.25">
      <c r="A4472" t="str">
        <f>"20190312172500829"</f>
        <v>20190312172500829</v>
      </c>
      <c r="B4472" t="str">
        <f>"1552382700824741"</f>
        <v>1552382700824741</v>
      </c>
      <c r="C4472" t="s">
        <v>40</v>
      </c>
      <c r="D4472">
        <v>3.396182</v>
      </c>
      <c r="E4472">
        <v>0.48759160000000001</v>
      </c>
      <c r="F4472" t="s">
        <v>43</v>
      </c>
      <c r="G4472">
        <v>-354.2672</v>
      </c>
      <c r="H4472" s="1">
        <v>-2.8958899999999998E-6</v>
      </c>
      <c r="I4472">
        <v>141.3235</v>
      </c>
      <c r="J4472">
        <v>-338.64960000000002</v>
      </c>
      <c r="K4472">
        <v>1.1098479999999999</v>
      </c>
      <c r="L4472">
        <v>142.04589999999999</v>
      </c>
      <c r="M4472">
        <v>-0.99936069999999999</v>
      </c>
      <c r="N4472">
        <v>0</v>
      </c>
      <c r="O4472">
        <v>3.4359279999999999E-2</v>
      </c>
      <c r="P4472">
        <v>-0.98431709999999994</v>
      </c>
      <c r="Q4472">
        <v>0.17637069999999999</v>
      </c>
      <c r="R4472">
        <v>-3.7013929999999999E-3</v>
      </c>
      <c r="S4472">
        <v>-3.0853579999999998</v>
      </c>
      <c r="T4472">
        <v>-0.21281749999999999</v>
      </c>
      <c r="U4472">
        <v>-0.13542179999999901</v>
      </c>
      <c r="V4472">
        <v>-3.7740900000000001E-2</v>
      </c>
      <c r="W4472">
        <v>0.18604660000000001</v>
      </c>
      <c r="X4472">
        <v>0.98181580000000002</v>
      </c>
      <c r="Y4472">
        <v>-7.7885280000000001E-2</v>
      </c>
      <c r="Z4472">
        <v>-5.0479080000000003E-3</v>
      </c>
      <c r="AA4472">
        <v>0.99694959999999999</v>
      </c>
      <c r="AB4472">
        <v>47</v>
      </c>
      <c r="AC4472">
        <v>-15.6175999999999</v>
      </c>
      <c r="AD4472">
        <v>-1.10985089589</v>
      </c>
      <c r="AE4472">
        <v>-0.72239999999999305</v>
      </c>
      <c r="AF4472">
        <v>-1.25229836230383</v>
      </c>
      <c r="AG4472">
        <v>-1.10985089589</v>
      </c>
      <c r="AH4472">
        <v>15.505418402235099</v>
      </c>
      <c r="AI4472">
        <v>94.080906606100399</v>
      </c>
      <c r="AJ4472">
        <v>94.617483051733501</v>
      </c>
      <c r="AK4472">
        <v>15.5954486959404</v>
      </c>
      <c r="AL4472">
        <v>79.2778423119845</v>
      </c>
      <c r="AM4472">
        <v>92.201360131318097</v>
      </c>
      <c r="AN4472">
        <v>0.99999998901700404</v>
      </c>
    </row>
    <row r="4473" spans="1:40" x14ac:dyDescent="0.25">
      <c r="A4473" t="str">
        <f>"20190312172500853"</f>
        <v>20190312172500853</v>
      </c>
      <c r="B4473" t="str">
        <f>"1552382700845237"</f>
        <v>1552382700845237</v>
      </c>
      <c r="C4473" t="s">
        <v>40</v>
      </c>
      <c r="D4473">
        <v>3.4797579999999999</v>
      </c>
      <c r="E4473">
        <v>0.48693520000000001</v>
      </c>
      <c r="F4473" t="s">
        <v>43</v>
      </c>
      <c r="G4473">
        <v>-354.73919999999998</v>
      </c>
      <c r="H4473" s="1">
        <v>-2.6924740000000002E-6</v>
      </c>
      <c r="I4473">
        <v>141.31989999999999</v>
      </c>
      <c r="J4473">
        <v>-339.12970000000001</v>
      </c>
      <c r="K4473">
        <v>1.109928</v>
      </c>
      <c r="L4473">
        <v>142.06190000000001</v>
      </c>
      <c r="M4473">
        <v>-0.99938260000000001</v>
      </c>
      <c r="N4473">
        <v>0</v>
      </c>
      <c r="O4473">
        <v>3.3717419999999998E-2</v>
      </c>
      <c r="P4473">
        <v>-0.98433680000000001</v>
      </c>
      <c r="Q4473">
        <v>0.17624189999999901</v>
      </c>
      <c r="R4473">
        <v>-4.495181E-3</v>
      </c>
      <c r="S4473">
        <v>-3.0854189999999999</v>
      </c>
      <c r="T4473">
        <v>-0.21283089999999999</v>
      </c>
      <c r="U4473">
        <v>-0.1391907</v>
      </c>
      <c r="V4473">
        <v>-3.7940399999999999E-2</v>
      </c>
      <c r="W4473">
        <v>0.18590979999999999</v>
      </c>
      <c r="X4473">
        <v>0.98183410000000004</v>
      </c>
      <c r="Y4473">
        <v>-7.8459650000000006E-2</v>
      </c>
      <c r="Z4473">
        <v>-5.0235779999999999E-3</v>
      </c>
      <c r="AA4473">
        <v>0.99690460000000003</v>
      </c>
      <c r="AB4473">
        <v>47</v>
      </c>
      <c r="AC4473">
        <v>-15.609499999999899</v>
      </c>
      <c r="AD4473">
        <v>-1.109930692474</v>
      </c>
      <c r="AE4473">
        <v>-0.74200000000001798</v>
      </c>
      <c r="AF4473">
        <v>-1.26155168060422</v>
      </c>
      <c r="AG4473">
        <v>-1.109930692474</v>
      </c>
      <c r="AH4473">
        <v>15.497424593154999</v>
      </c>
      <c r="AI4473">
        <v>94.083087664654201</v>
      </c>
      <c r="AJ4473">
        <v>94.653841535355497</v>
      </c>
      <c r="AK4473">
        <v>15.588252878544701</v>
      </c>
      <c r="AL4473">
        <v>79.285820357353003</v>
      </c>
      <c r="AM4473">
        <v>92.212943869465093</v>
      </c>
      <c r="AN4473">
        <v>1.0000000638055</v>
      </c>
    </row>
    <row r="4474" spans="1:40" x14ac:dyDescent="0.25">
      <c r="A4474" t="str">
        <f>"20190312172500868"</f>
        <v>20190312172500868</v>
      </c>
      <c r="B4474" t="str">
        <f>"1552382700864757"</f>
        <v>1552382700864757</v>
      </c>
      <c r="C4474" t="s">
        <v>40</v>
      </c>
      <c r="D4474">
        <v>3.4651139999999998</v>
      </c>
      <c r="E4474">
        <v>0.4636998</v>
      </c>
      <c r="F4474" t="s">
        <v>43</v>
      </c>
      <c r="G4474">
        <v>-355.30369999999999</v>
      </c>
      <c r="H4474" s="1">
        <v>-2.442504E-6</v>
      </c>
      <c r="I4474">
        <v>141.29060000000001</v>
      </c>
      <c r="J4474">
        <v>-339.4597</v>
      </c>
      <c r="K4474">
        <v>1.109996</v>
      </c>
      <c r="L4474">
        <v>142.0728</v>
      </c>
      <c r="M4474">
        <v>-0.99939929999999999</v>
      </c>
      <c r="N4474">
        <v>0</v>
      </c>
      <c r="O4474">
        <v>3.3215479999999999E-2</v>
      </c>
      <c r="P4474">
        <v>-0.98438519999999896</v>
      </c>
      <c r="Q4474">
        <v>0.1759503</v>
      </c>
      <c r="R4474">
        <v>-5.2506150000000001E-3</v>
      </c>
      <c r="S4474">
        <v>-3.0849609999999998</v>
      </c>
      <c r="T4474">
        <v>-0.21170410000000001</v>
      </c>
      <c r="U4474">
        <v>-0.14710999999999999</v>
      </c>
      <c r="V4474">
        <v>-3.8232389999999998E-2</v>
      </c>
      <c r="W4474">
        <v>0.18561279999999999</v>
      </c>
      <c r="X4474">
        <v>0.9818789</v>
      </c>
      <c r="Y4474">
        <v>-8.0518190000000003E-2</v>
      </c>
      <c r="Z4474">
        <v>-5.0336360000000002E-3</v>
      </c>
      <c r="AA4474">
        <v>0.99674039999999997</v>
      </c>
      <c r="AB4474">
        <v>47</v>
      </c>
      <c r="AC4474">
        <v>-15.8439999999999</v>
      </c>
      <c r="AD4474">
        <v>-1.1099984425039999</v>
      </c>
      <c r="AE4474">
        <v>-0.78219999999998802</v>
      </c>
      <c r="AF4474">
        <v>-1.3016868441374001</v>
      </c>
      <c r="AG4474">
        <v>-1.1099984425039999</v>
      </c>
      <c r="AH4474">
        <v>15.7322462289117</v>
      </c>
      <c r="AI4474">
        <v>94.022152529562405</v>
      </c>
      <c r="AJ4474">
        <v>94.729881854370007</v>
      </c>
      <c r="AK4474">
        <v>15.8249820407376</v>
      </c>
      <c r="AL4474">
        <v>79.303137946249805</v>
      </c>
      <c r="AM4474">
        <v>92.229855954259904</v>
      </c>
      <c r="AN4474">
        <v>1.00000000071708</v>
      </c>
    </row>
    <row r="4475" spans="1:40" x14ac:dyDescent="0.25">
      <c r="A4475" t="str">
        <f>"20190312172500886"</f>
        <v>20190312172500886</v>
      </c>
      <c r="B4475" t="str">
        <f>"1552382700874517"</f>
        <v>1552382700874517</v>
      </c>
      <c r="C4475" t="s">
        <v>40</v>
      </c>
      <c r="D4475">
        <v>3.4789140000000001</v>
      </c>
      <c r="E4475">
        <v>0.4636595</v>
      </c>
      <c r="F4475" t="s">
        <v>43</v>
      </c>
      <c r="G4475">
        <v>-367.77690000000001</v>
      </c>
      <c r="H4475" s="1">
        <v>-1.042617E-6</v>
      </c>
      <c r="I4475">
        <v>139.0153</v>
      </c>
      <c r="J4475">
        <v>-339.8322</v>
      </c>
      <c r="K4475">
        <v>1.110079</v>
      </c>
      <c r="L4475">
        <v>142.0848</v>
      </c>
      <c r="M4475">
        <v>-0.99941999999999998</v>
      </c>
      <c r="N4475">
        <v>0</v>
      </c>
      <c r="O4475">
        <v>3.258428E-2</v>
      </c>
      <c r="P4475">
        <v>-0.98442079999999998</v>
      </c>
      <c r="Q4475">
        <v>0.1756973</v>
      </c>
      <c r="R4475">
        <v>-6.8213249999999996E-3</v>
      </c>
      <c r="S4475">
        <v>-3.0673219999999999</v>
      </c>
      <c r="T4475">
        <v>-0.1202352</v>
      </c>
      <c r="U4475">
        <v>-0.33117679999999999</v>
      </c>
      <c r="V4475">
        <v>-3.9219780000000003E-2</v>
      </c>
      <c r="W4475">
        <v>0.18536540000000001</v>
      </c>
      <c r="X4475">
        <v>0.9818867</v>
      </c>
      <c r="Y4475">
        <v>-0.13955529999999999</v>
      </c>
      <c r="Z4475">
        <v>-3.9997640000000003E-3</v>
      </c>
      <c r="AA4475">
        <v>0.99020620000000004</v>
      </c>
      <c r="AB4475">
        <v>47</v>
      </c>
      <c r="AC4475">
        <v>-27.944700000000001</v>
      </c>
      <c r="AD4475">
        <v>-1.1100800426170001</v>
      </c>
      <c r="AE4475">
        <v>-3.0695000000000001</v>
      </c>
      <c r="AF4475">
        <v>-3.9722788587233802</v>
      </c>
      <c r="AG4475">
        <v>-1.1100800426170001</v>
      </c>
      <c r="AH4475">
        <v>27.7865126588453</v>
      </c>
      <c r="AI4475">
        <v>92.264767239406396</v>
      </c>
      <c r="AJ4475">
        <v>98.135714026879</v>
      </c>
      <c r="AK4475">
        <v>28.0909516174274</v>
      </c>
      <c r="AL4475">
        <v>79.3175633237977</v>
      </c>
      <c r="AM4475">
        <v>92.287365678867403</v>
      </c>
      <c r="AN4475">
        <v>1.0000000071486399</v>
      </c>
    </row>
    <row r="4476" spans="1:40" x14ac:dyDescent="0.25">
      <c r="A4476" t="str">
        <f>"20190312172500908"</f>
        <v>20190312172500908</v>
      </c>
      <c r="B4476" t="str">
        <f>"1552382700904774"</f>
        <v>1552382700904774</v>
      </c>
      <c r="C4476" t="s">
        <v>40</v>
      </c>
      <c r="D4476">
        <v>3.4659759999999999</v>
      </c>
      <c r="E4476">
        <v>0.46369860000000002</v>
      </c>
      <c r="F4476" t="s">
        <v>43</v>
      </c>
      <c r="G4476">
        <v>-368.38279999999997</v>
      </c>
      <c r="H4476" s="1">
        <v>-7.9364819999999899E-7</v>
      </c>
      <c r="I4476">
        <v>138.95349999999999</v>
      </c>
      <c r="J4476">
        <v>-340.30070000000001</v>
      </c>
      <c r="K4476">
        <v>1.1102299999999901</v>
      </c>
      <c r="L4476">
        <v>142.0994</v>
      </c>
      <c r="M4476">
        <v>-0.99944770000000005</v>
      </c>
      <c r="N4476">
        <v>0</v>
      </c>
      <c r="O4476">
        <v>3.1682920000000003E-2</v>
      </c>
      <c r="P4476">
        <v>-0.98443139999999996</v>
      </c>
      <c r="Q4476">
        <v>0.17556739999999901</v>
      </c>
      <c r="R4476">
        <v>-8.4196500000000007E-3</v>
      </c>
      <c r="S4476">
        <v>-3.0664370000000001</v>
      </c>
      <c r="T4476">
        <v>-0.1192267</v>
      </c>
      <c r="U4476">
        <v>-0.33630369999999998</v>
      </c>
      <c r="V4476">
        <v>-3.9983119999999997E-2</v>
      </c>
      <c r="W4476">
        <v>0.1853419</v>
      </c>
      <c r="X4476">
        <v>0.98186030000000002</v>
      </c>
      <c r="Y4476">
        <v>-0.14033119999999999</v>
      </c>
      <c r="Z4476">
        <v>-3.9471159999999996E-3</v>
      </c>
      <c r="AA4476">
        <v>0.99009669999999905</v>
      </c>
      <c r="AB4476">
        <v>47</v>
      </c>
      <c r="AC4476">
        <v>-28.082099999999901</v>
      </c>
      <c r="AD4476">
        <v>-1.1102307936482001</v>
      </c>
      <c r="AE4476">
        <v>-3.1459000000000099</v>
      </c>
      <c r="AF4476">
        <v>-4.02787048598349</v>
      </c>
      <c r="AG4476">
        <v>-1.1102307936482001</v>
      </c>
      <c r="AH4476">
        <v>27.9252172454831</v>
      </c>
      <c r="AI4476">
        <v>92.253429831598297</v>
      </c>
      <c r="AJ4476">
        <v>98.207608193641306</v>
      </c>
      <c r="AK4476">
        <v>28.236042769383399</v>
      </c>
      <c r="AL4476">
        <v>79.318932999849494</v>
      </c>
      <c r="AM4476">
        <v>92.331898946884493</v>
      </c>
      <c r="AN4476">
        <v>0.99999995924831597</v>
      </c>
    </row>
    <row r="4477" spans="1:40" x14ac:dyDescent="0.25">
      <c r="A4477" t="str">
        <f>"20190312172500930"</f>
        <v>20190312172500930</v>
      </c>
      <c r="B4477" t="str">
        <f>"1552382700925270"</f>
        <v>1552382700925270</v>
      </c>
      <c r="C4477" t="s">
        <v>40</v>
      </c>
      <c r="D4477">
        <v>3.4795919999999998</v>
      </c>
      <c r="E4477">
        <v>0.46372269999999999</v>
      </c>
      <c r="F4477" t="s">
        <v>43</v>
      </c>
      <c r="G4477">
        <v>-367.79689999999999</v>
      </c>
      <c r="H4477" s="1">
        <v>-1.0287110000000001E-6</v>
      </c>
      <c r="I4477">
        <v>139.0454</v>
      </c>
      <c r="J4477">
        <v>-340.77050000000003</v>
      </c>
      <c r="K4477">
        <v>1.1104210000000001</v>
      </c>
      <c r="L4477">
        <v>142.11359999999999</v>
      </c>
      <c r="M4477">
        <v>-0.99947649999999999</v>
      </c>
      <c r="N4477">
        <v>0</v>
      </c>
      <c r="O4477">
        <v>3.0671509999999999E-2</v>
      </c>
      <c r="P4477">
        <v>-0.98441040000000002</v>
      </c>
      <c r="Q4477">
        <v>0.17558750000000001</v>
      </c>
      <c r="R4477">
        <v>-1.0261670000000001E-2</v>
      </c>
      <c r="S4477">
        <v>-3.0666199999999999</v>
      </c>
      <c r="T4477">
        <v>-0.1238233</v>
      </c>
      <c r="U4477">
        <v>-0.34060669999999998</v>
      </c>
      <c r="V4477">
        <v>-4.088551E-2</v>
      </c>
      <c r="W4477">
        <v>0.18561269999999999</v>
      </c>
      <c r="X4477">
        <v>0.98177199999999998</v>
      </c>
      <c r="Y4477">
        <v>-0.14068599999999901</v>
      </c>
      <c r="Z4477">
        <v>-4.0650410000000001E-3</v>
      </c>
      <c r="AA4477">
        <v>0.99004590000000003</v>
      </c>
      <c r="AB4477">
        <v>47</v>
      </c>
      <c r="AC4477">
        <v>-27.026399999999899</v>
      </c>
      <c r="AD4477">
        <v>-1.1104220287109901</v>
      </c>
      <c r="AE4477">
        <v>-3.0681999999999898</v>
      </c>
      <c r="AF4477">
        <v>-3.8892588033669102</v>
      </c>
      <c r="AG4477">
        <v>-1.1104220287109901</v>
      </c>
      <c r="AH4477">
        <v>26.8747816988664</v>
      </c>
      <c r="AI4477">
        <v>92.341655804326706</v>
      </c>
      <c r="AJ4477">
        <v>98.234549674396504</v>
      </c>
      <c r="AK4477">
        <v>27.177440322501599</v>
      </c>
      <c r="AL4477">
        <v>79.303143549216401</v>
      </c>
      <c r="AM4477">
        <v>92.3846823461692</v>
      </c>
      <c r="AN4477">
        <v>0.99999997965662402</v>
      </c>
    </row>
    <row r="4478" spans="1:40" x14ac:dyDescent="0.25">
      <c r="A4478" t="str">
        <f>"20190312172500944"</f>
        <v>20190312172500944</v>
      </c>
      <c r="B4478" t="str">
        <f>"1552382700935030"</f>
        <v>1552382700935030</v>
      </c>
      <c r="C4478" t="s">
        <v>40</v>
      </c>
      <c r="D4478">
        <v>3.4942160000000002</v>
      </c>
      <c r="E4478">
        <v>0.46364820000000001</v>
      </c>
      <c r="F4478" t="s">
        <v>43</v>
      </c>
      <c r="G4478">
        <v>-368.06099999999998</v>
      </c>
      <c r="H4478" s="1">
        <v>-9.1705659999999998E-7</v>
      </c>
      <c r="I4478">
        <v>139.036</v>
      </c>
      <c r="J4478">
        <v>-341.08859999999999</v>
      </c>
      <c r="K4478">
        <v>1.110557</v>
      </c>
      <c r="L4478">
        <v>142.12289999999999</v>
      </c>
      <c r="M4478">
        <v>-0.99949679999999996</v>
      </c>
      <c r="N4478">
        <v>0</v>
      </c>
      <c r="O4478">
        <v>2.9929000000000001E-2</v>
      </c>
      <c r="P4478">
        <v>-0.98442339999999995</v>
      </c>
      <c r="Q4478">
        <v>0.1754501</v>
      </c>
      <c r="R4478">
        <v>-1.133349E-2</v>
      </c>
      <c r="S4478">
        <v>-3.0661619999999998</v>
      </c>
      <c r="T4478">
        <v>-0.1247593</v>
      </c>
      <c r="U4478">
        <v>-0.34576420000000002</v>
      </c>
      <c r="V4478">
        <v>-4.1265570000000001E-2</v>
      </c>
      <c r="W4478">
        <v>0.1856807</v>
      </c>
      <c r="X4478">
        <v>0.98174329999999999</v>
      </c>
      <c r="Y4478">
        <v>-0.14160919999999999</v>
      </c>
      <c r="Z4478">
        <v>-4.0845769999999998E-3</v>
      </c>
      <c r="AA4478">
        <v>0.98991419999999997</v>
      </c>
      <c r="AB4478">
        <v>47</v>
      </c>
      <c r="AC4478">
        <v>-26.9724</v>
      </c>
      <c r="AD4478">
        <v>-1.1105579170566</v>
      </c>
      <c r="AE4478">
        <v>-3.08689999999998</v>
      </c>
      <c r="AF4478">
        <v>-3.88631528413464</v>
      </c>
      <c r="AG4478">
        <v>-1.1105579170566</v>
      </c>
      <c r="AH4478">
        <v>26.8230379863389</v>
      </c>
      <c r="AI4478">
        <v>92.346398465832195</v>
      </c>
      <c r="AJ4478">
        <v>98.244058117114207</v>
      </c>
      <c r="AK4478">
        <v>27.1258576305232</v>
      </c>
      <c r="AL4478">
        <v>79.299179145657902</v>
      </c>
      <c r="AM4478">
        <v>92.406893999995503</v>
      </c>
      <c r="AN4478">
        <v>1.0000000383573999</v>
      </c>
    </row>
    <row r="4479" spans="1:40" x14ac:dyDescent="0.25">
      <c r="A4479" t="str">
        <f>"20190312172500964"</f>
        <v>20190312172500964</v>
      </c>
      <c r="B4479" t="str">
        <f>"1552382700954553"</f>
        <v>1552382700954553</v>
      </c>
      <c r="C4479" t="s">
        <v>40</v>
      </c>
      <c r="D4479">
        <v>3.4774229999999999</v>
      </c>
      <c r="E4479">
        <v>0.46377869999999999</v>
      </c>
      <c r="F4479" t="s">
        <v>43</v>
      </c>
      <c r="G4479">
        <v>-368.3365</v>
      </c>
      <c r="H4479" s="1">
        <v>-8.0256979999999998E-7</v>
      </c>
      <c r="I4479">
        <v>139.01519999999999</v>
      </c>
      <c r="J4479">
        <v>-341.48739999999998</v>
      </c>
      <c r="K4479">
        <v>1.1107260000000001</v>
      </c>
      <c r="L4479">
        <v>142.13419999999999</v>
      </c>
      <c r="M4479">
        <v>-0.99952339999999995</v>
      </c>
      <c r="N4479">
        <v>0</v>
      </c>
      <c r="O4479">
        <v>2.892057E-2</v>
      </c>
      <c r="P4479">
        <v>-0.98437589999999997</v>
      </c>
      <c r="Q4479">
        <v>0.175611299999999</v>
      </c>
      <c r="R4479">
        <v>-1.2843230000000001E-2</v>
      </c>
      <c r="S4479">
        <v>-3.0657350000000001</v>
      </c>
      <c r="T4479">
        <v>-0.1249521</v>
      </c>
      <c r="U4479">
        <v>-0.3496399</v>
      </c>
      <c r="V4479">
        <v>-4.1830470000000002E-2</v>
      </c>
      <c r="W4479">
        <v>0.1861043</v>
      </c>
      <c r="X4479">
        <v>0.98163909999999999</v>
      </c>
      <c r="Y4479">
        <v>-0.1418616</v>
      </c>
      <c r="Z4479">
        <v>-4.0553179999999996E-3</v>
      </c>
      <c r="AA4479">
        <v>0.98987820000000004</v>
      </c>
      <c r="AB4479">
        <v>47</v>
      </c>
      <c r="AC4479">
        <v>-26.8491</v>
      </c>
      <c r="AD4479">
        <v>-1.1107268025698001</v>
      </c>
      <c r="AE4479">
        <v>-3.1190000000000002</v>
      </c>
      <c r="AF4479">
        <v>-3.88766693415432</v>
      </c>
      <c r="AG4479">
        <v>-1.1107268025698001</v>
      </c>
      <c r="AH4479">
        <v>26.702568890684301</v>
      </c>
      <c r="AI4479">
        <v>92.357094527905303</v>
      </c>
      <c r="AJ4479">
        <v>98.283576755219201</v>
      </c>
      <c r="AK4479">
        <v>27.006940840876499</v>
      </c>
      <c r="AL4479">
        <v>79.274477274405101</v>
      </c>
      <c r="AM4479">
        <v>92.440062004686993</v>
      </c>
      <c r="AN4479">
        <v>0.99999996067385899</v>
      </c>
    </row>
    <row r="4480" spans="1:40" x14ac:dyDescent="0.25">
      <c r="A4480" t="str">
        <f>"20190312172500987"</f>
        <v>20190312172500987</v>
      </c>
      <c r="B4480" t="str">
        <f>"1552382700975045"</f>
        <v>1552382700975045</v>
      </c>
      <c r="C4480" t="s">
        <v>40</v>
      </c>
      <c r="D4480">
        <v>3.4782120000000001</v>
      </c>
      <c r="E4480">
        <v>0.46383580000000002</v>
      </c>
      <c r="F4480" t="s">
        <v>43</v>
      </c>
      <c r="G4480">
        <v>-368.65440000000001</v>
      </c>
      <c r="H4480" s="1">
        <v>-6.6768389999999896E-7</v>
      </c>
      <c r="I4480">
        <v>139.0068</v>
      </c>
      <c r="J4480">
        <v>-341.96199999999999</v>
      </c>
      <c r="K4480">
        <v>1.1108979999999999</v>
      </c>
      <c r="L4480">
        <v>142.14689999999999</v>
      </c>
      <c r="M4480">
        <v>-0.99955689999999997</v>
      </c>
      <c r="N4480">
        <v>0</v>
      </c>
      <c r="O4480">
        <v>2.76151E-2</v>
      </c>
      <c r="P4480">
        <v>-0.98427679999999995</v>
      </c>
      <c r="Q4480">
        <v>0.1760331</v>
      </c>
      <c r="R4480">
        <v>-1.4551359999999999E-2</v>
      </c>
      <c r="S4480">
        <v>-3.065369</v>
      </c>
      <c r="T4480">
        <v>-0.1253283</v>
      </c>
      <c r="U4480">
        <v>-0.35285949999999999</v>
      </c>
      <c r="V4480">
        <v>-4.2307650000000002E-2</v>
      </c>
      <c r="W4480">
        <v>0.18682289999999999</v>
      </c>
      <c r="X4480">
        <v>0.98148219999999997</v>
      </c>
      <c r="Y4480">
        <v>-0.14160880000000001</v>
      </c>
      <c r="Z4480">
        <v>-4.0094129999999999E-3</v>
      </c>
      <c r="AA4480">
        <v>0.98991459999999998</v>
      </c>
      <c r="AB4480">
        <v>47</v>
      </c>
      <c r="AC4480">
        <v>-26.692399999999999</v>
      </c>
      <c r="AD4480">
        <v>-1.1108986676839001</v>
      </c>
      <c r="AE4480">
        <v>-3.1400999999999799</v>
      </c>
      <c r="AF4480">
        <v>-3.8694502994095101</v>
      </c>
      <c r="AG4480">
        <v>-1.1108986676839001</v>
      </c>
      <c r="AH4480">
        <v>26.5501397224062</v>
      </c>
      <c r="AI4480">
        <v>92.370927446678607</v>
      </c>
      <c r="AJ4480">
        <v>98.291978253964601</v>
      </c>
      <c r="AK4480">
        <v>26.853615412989601</v>
      </c>
      <c r="AL4480">
        <v>79.232570199299005</v>
      </c>
      <c r="AM4480">
        <v>92.468256753660199</v>
      </c>
      <c r="AN4480">
        <v>1.0000000210648801</v>
      </c>
    </row>
    <row r="4481" spans="1:40" x14ac:dyDescent="0.25">
      <c r="A4481" t="str">
        <f>"20190312172501009"</f>
        <v>20190312172501009</v>
      </c>
      <c r="B4481" t="str">
        <f>"1552382701005302"</f>
        <v>1552382701005302</v>
      </c>
      <c r="C4481" t="s">
        <v>40</v>
      </c>
      <c r="D4481">
        <v>3.4689350000000001</v>
      </c>
      <c r="E4481">
        <v>0.46402389999999999</v>
      </c>
      <c r="F4481" t="s">
        <v>43</v>
      </c>
      <c r="G4481">
        <v>-369.44779999999997</v>
      </c>
      <c r="H4481" s="1">
        <v>-3.5271419999999998E-7</v>
      </c>
      <c r="I4481">
        <v>138.94450000000001</v>
      </c>
      <c r="J4481">
        <v>-342.42140000000001</v>
      </c>
      <c r="K4481">
        <v>1.1110359999999999</v>
      </c>
      <c r="L4481">
        <v>142.15870000000001</v>
      </c>
      <c r="M4481">
        <v>-0.99959010000000004</v>
      </c>
      <c r="N4481">
        <v>0</v>
      </c>
      <c r="O4481">
        <v>2.6267510000000001E-2</v>
      </c>
      <c r="P4481">
        <v>-0.98425549999999995</v>
      </c>
      <c r="Q4481">
        <v>0.1760129</v>
      </c>
      <c r="R4481">
        <v>-1.614676E-2</v>
      </c>
      <c r="S4481">
        <v>-3.0647890000000002</v>
      </c>
      <c r="T4481">
        <v>-0.12387049999999999</v>
      </c>
      <c r="U4481">
        <v>-0.35707090000000002</v>
      </c>
      <c r="V4481">
        <v>-4.2625730000000001E-2</v>
      </c>
      <c r="W4481">
        <v>0.18706829999999999</v>
      </c>
      <c r="X4481">
        <v>0.98142160000000001</v>
      </c>
      <c r="Y4481">
        <v>-0.1416422</v>
      </c>
      <c r="Z4481">
        <v>-3.909633E-3</v>
      </c>
      <c r="AA4481">
        <v>0.98991019999999996</v>
      </c>
      <c r="AB4481">
        <v>47</v>
      </c>
      <c r="AC4481">
        <v>-27.026399999999899</v>
      </c>
      <c r="AD4481">
        <v>-1.1110363527142</v>
      </c>
      <c r="AE4481">
        <v>-3.2141999999999999</v>
      </c>
      <c r="AF4481">
        <v>-3.9165265323685299</v>
      </c>
      <c r="AG4481">
        <v>-1.1110363527142</v>
      </c>
      <c r="AH4481">
        <v>26.887832793368599</v>
      </c>
      <c r="AI4481">
        <v>92.341499936401604</v>
      </c>
      <c r="AJ4481">
        <v>98.287513772053799</v>
      </c>
      <c r="AK4481">
        <v>27.194284954378698</v>
      </c>
      <c r="AL4481">
        <v>79.218256485114296</v>
      </c>
      <c r="AM4481">
        <v>92.486943904746298</v>
      </c>
      <c r="AN4481">
        <v>0.99999992933473802</v>
      </c>
    </row>
    <row r="4482" spans="1:40" x14ac:dyDescent="0.25">
      <c r="A4482" t="str">
        <f>"20190312172501032"</f>
        <v>20190312172501032</v>
      </c>
      <c r="B4482" t="str">
        <f>"1552382701024821"</f>
        <v>1552382701024821</v>
      </c>
      <c r="C4482" t="s">
        <v>40</v>
      </c>
      <c r="D4482">
        <v>3.5011320000000001</v>
      </c>
      <c r="E4482">
        <v>0.46407320000000002</v>
      </c>
      <c r="F4482" t="s">
        <v>43</v>
      </c>
      <c r="G4482">
        <v>-369.84249999999997</v>
      </c>
      <c r="H4482" s="1">
        <v>-2.1977939999999999E-7</v>
      </c>
      <c r="I4482">
        <v>138.9393</v>
      </c>
      <c r="J4482">
        <v>-342.90929999999997</v>
      </c>
      <c r="K4482">
        <v>1.1111740000000001</v>
      </c>
      <c r="L4482">
        <v>142.1704</v>
      </c>
      <c r="M4482">
        <v>-0.99962519999999999</v>
      </c>
      <c r="N4482">
        <v>0</v>
      </c>
      <c r="O4482">
        <v>2.4768479999999999E-2</v>
      </c>
      <c r="P4482">
        <v>-0.98421689999999995</v>
      </c>
      <c r="Q4482">
        <v>0.17603659999999999</v>
      </c>
      <c r="R4482">
        <v>-1.812633E-2</v>
      </c>
      <c r="S4482">
        <v>-3.06427</v>
      </c>
      <c r="T4482">
        <v>-0.1241572</v>
      </c>
      <c r="U4482">
        <v>-0.35975649999999998</v>
      </c>
      <c r="V4482">
        <v>-4.3176050000000001E-2</v>
      </c>
      <c r="W4482">
        <v>0.1873494</v>
      </c>
      <c r="X4482">
        <v>0.98134399999999999</v>
      </c>
      <c r="Y4482">
        <v>-0.14103399999999999</v>
      </c>
      <c r="Z4482">
        <v>-3.846328E-3</v>
      </c>
      <c r="AA4482">
        <v>0.98999729999999997</v>
      </c>
      <c r="AB4482">
        <v>47</v>
      </c>
      <c r="AC4482">
        <v>-26.933199999999999</v>
      </c>
      <c r="AD4482">
        <v>-1.1111742197793999</v>
      </c>
      <c r="AE4482">
        <v>-3.2310999999999899</v>
      </c>
      <c r="AF4482">
        <v>-3.8907199095818901</v>
      </c>
      <c r="AG4482">
        <v>-1.1111742197793999</v>
      </c>
      <c r="AH4482">
        <v>26.799931963556201</v>
      </c>
      <c r="AI4482">
        <v>92.349624544203607</v>
      </c>
      <c r="AJ4482">
        <v>98.260290579293695</v>
      </c>
      <c r="AK4482">
        <v>27.103666962475</v>
      </c>
      <c r="AL4482">
        <v>79.201861622015201</v>
      </c>
      <c r="AM4482">
        <v>92.519209463186698</v>
      </c>
      <c r="AN4482">
        <v>1.00000000765498</v>
      </c>
    </row>
    <row r="4483" spans="1:40" x14ac:dyDescent="0.25">
      <c r="A4483" t="str">
        <f>"20190312172501054"</f>
        <v>20190312172501054</v>
      </c>
      <c r="B4483" t="str">
        <f>"1552382701045318"</f>
        <v>1552382701045318</v>
      </c>
      <c r="C4483" t="s">
        <v>40</v>
      </c>
      <c r="D4483">
        <v>3.4932249999999998</v>
      </c>
      <c r="E4483">
        <v>0.46414240000000001</v>
      </c>
      <c r="F4483" t="s">
        <v>43</v>
      </c>
      <c r="G4483">
        <v>-370.1703</v>
      </c>
      <c r="H4483" s="1">
        <v>-4.32242E-6</v>
      </c>
      <c r="I4483">
        <v>138.92169999999999</v>
      </c>
      <c r="J4483">
        <v>-343.37060000000002</v>
      </c>
      <c r="K4483">
        <v>1.1112759999999999</v>
      </c>
      <c r="L4483">
        <v>142.18090000000001</v>
      </c>
      <c r="M4483">
        <v>-0.99965749999999998</v>
      </c>
      <c r="N4483">
        <v>0</v>
      </c>
      <c r="O4483">
        <v>2.3305869999999999E-2</v>
      </c>
      <c r="P4483">
        <v>-0.98417779999999999</v>
      </c>
      <c r="Q4483">
        <v>0.17606720000000001</v>
      </c>
      <c r="R4483">
        <v>-1.9855669999999999E-2</v>
      </c>
      <c r="S4483">
        <v>-3.0637210000000001</v>
      </c>
      <c r="T4483">
        <v>-0.1248797</v>
      </c>
      <c r="U4483">
        <v>-0.365097</v>
      </c>
      <c r="V4483">
        <v>-4.3504290000000001E-2</v>
      </c>
      <c r="W4483">
        <v>0.18760089999999999</v>
      </c>
      <c r="X4483">
        <v>0.98128150000000003</v>
      </c>
      <c r="Y4483">
        <v>-0.141307399999999</v>
      </c>
      <c r="Z4483">
        <v>-3.8151280000000001E-3</v>
      </c>
      <c r="AA4483">
        <v>0.98995840000000002</v>
      </c>
      <c r="AB4483">
        <v>47</v>
      </c>
      <c r="AC4483">
        <v>-26.799699999999898</v>
      </c>
      <c r="AD4483">
        <v>-1.1112803224200001</v>
      </c>
      <c r="AE4483">
        <v>-3.2592000000000199</v>
      </c>
      <c r="AF4483">
        <v>-3.8763811321949802</v>
      </c>
      <c r="AG4483">
        <v>-1.1112803224200001</v>
      </c>
      <c r="AH4483">
        <v>26.6712644879481</v>
      </c>
      <c r="AI4483">
        <v>92.361117384712998</v>
      </c>
      <c r="AJ4483">
        <v>98.269422708073904</v>
      </c>
      <c r="AK4483">
        <v>26.974388297478001</v>
      </c>
      <c r="AL4483">
        <v>79.187192105630999</v>
      </c>
      <c r="AM4483">
        <v>92.538497913023505</v>
      </c>
      <c r="AN4483">
        <v>1.0000000515857299</v>
      </c>
    </row>
    <row r="4484" spans="1:40" x14ac:dyDescent="0.25">
      <c r="A4484" t="str">
        <f>"20190312172501076"</f>
        <v>20190312172501076</v>
      </c>
      <c r="B4484" t="str">
        <f>"1552382701064838"</f>
        <v>1552382701064838</v>
      </c>
      <c r="C4484" t="s">
        <v>40</v>
      </c>
      <c r="D4484">
        <v>3.5287730000000002</v>
      </c>
      <c r="E4484">
        <v>0.4641613</v>
      </c>
      <c r="F4484" t="s">
        <v>43</v>
      </c>
      <c r="G4484">
        <v>-370.45850000000002</v>
      </c>
      <c r="H4484" s="1">
        <v>-4.2009979999999996E-6</v>
      </c>
      <c r="I4484">
        <v>138.9091</v>
      </c>
      <c r="J4484">
        <v>-343.83929999999998</v>
      </c>
      <c r="K4484">
        <v>1.1113649999999999</v>
      </c>
      <c r="L4484">
        <v>142.1908</v>
      </c>
      <c r="M4484">
        <v>-0.99968919999999994</v>
      </c>
      <c r="N4484">
        <v>0</v>
      </c>
      <c r="O4484">
        <v>2.1790239999999999E-2</v>
      </c>
      <c r="P4484">
        <v>-0.98418340000000004</v>
      </c>
      <c r="Q4484">
        <v>0.17582490000000001</v>
      </c>
      <c r="R4484">
        <v>-2.1657490000000001E-2</v>
      </c>
      <c r="S4484">
        <v>-3.0632630000000001</v>
      </c>
      <c r="T4484">
        <v>-0.12567029999999901</v>
      </c>
      <c r="U4484">
        <v>-0.36997989999999997</v>
      </c>
      <c r="V4484">
        <v>-4.3847610000000002E-2</v>
      </c>
      <c r="W4484">
        <v>0.18756059999999999</v>
      </c>
      <c r="X4484">
        <v>0.98127390000000003</v>
      </c>
      <c r="Y4484">
        <v>-0.141379</v>
      </c>
      <c r="Z4484">
        <v>-3.778975E-3</v>
      </c>
      <c r="AA4484">
        <v>0.9899483</v>
      </c>
      <c r="AB4484">
        <v>47</v>
      </c>
      <c r="AC4484">
        <v>-26.619199999999999</v>
      </c>
      <c r="AD4484">
        <v>-1.1113692009980001</v>
      </c>
      <c r="AE4484">
        <v>-3.2816999999999998</v>
      </c>
      <c r="AF4484">
        <v>-3.8543839388747898</v>
      </c>
      <c r="AG4484">
        <v>-1.1113692009980001</v>
      </c>
      <c r="AH4484">
        <v>26.495870484619299</v>
      </c>
      <c r="AI4484">
        <v>92.376874628007997</v>
      </c>
      <c r="AJ4484">
        <v>98.276822767191106</v>
      </c>
      <c r="AK4484">
        <v>26.797809048257999</v>
      </c>
      <c r="AL4484">
        <v>79.189542608171195</v>
      </c>
      <c r="AM4484">
        <v>92.558524086775293</v>
      </c>
      <c r="AN4484">
        <v>1.0000000291981399</v>
      </c>
    </row>
    <row r="4485" spans="1:40" x14ac:dyDescent="0.25">
      <c r="A4485" t="str">
        <f>"20190312172501098"</f>
        <v>20190312172501098</v>
      </c>
      <c r="B4485" t="str">
        <f>"1552382701095093"</f>
        <v>1552382701095093</v>
      </c>
      <c r="C4485" t="s">
        <v>40</v>
      </c>
      <c r="D4485">
        <v>3.5087459999999999</v>
      </c>
      <c r="E4485">
        <v>0.46426319999999999</v>
      </c>
      <c r="F4485" t="s">
        <v>43</v>
      </c>
      <c r="G4485">
        <v>-370.70209999999997</v>
      </c>
      <c r="H4485" s="1">
        <v>-4.098738E-6</v>
      </c>
      <c r="I4485">
        <v>138.89660000000001</v>
      </c>
      <c r="J4485">
        <v>-344.31130000000002</v>
      </c>
      <c r="K4485">
        <v>1.1114299999999999</v>
      </c>
      <c r="L4485">
        <v>142.19999999999999</v>
      </c>
      <c r="M4485">
        <v>-0.99971929999999998</v>
      </c>
      <c r="N4485">
        <v>0</v>
      </c>
      <c r="O4485">
        <v>2.0245079999999999E-2</v>
      </c>
      <c r="P4485">
        <v>-0.98428260000000001</v>
      </c>
      <c r="Q4485">
        <v>0.1750275</v>
      </c>
      <c r="R4485">
        <v>-2.3522370000000001E-2</v>
      </c>
      <c r="S4485">
        <v>-3.062592</v>
      </c>
      <c r="T4485">
        <v>-0.12670600000000001</v>
      </c>
      <c r="U4485">
        <v>-0.37554929999999997</v>
      </c>
      <c r="V4485">
        <v>-4.4220189999999999E-2</v>
      </c>
      <c r="W4485">
        <v>0.1869461</v>
      </c>
      <c r="X4485">
        <v>0.98137439999999998</v>
      </c>
      <c r="Y4485">
        <v>-0.14164760000000001</v>
      </c>
      <c r="Z4485">
        <v>-3.7523500000000002E-3</v>
      </c>
      <c r="AA4485">
        <v>0.98990999999999996</v>
      </c>
      <c r="AB4485">
        <v>47</v>
      </c>
      <c r="AC4485">
        <v>-26.390799999999899</v>
      </c>
      <c r="AD4485">
        <v>-1.11143409873799</v>
      </c>
      <c r="AE4485">
        <v>-3.3033999999999799</v>
      </c>
      <c r="AF4485">
        <v>-3.8303583534493701</v>
      </c>
      <c r="AG4485">
        <v>-1.11143409873799</v>
      </c>
      <c r="AH4485">
        <v>26.272628645637301</v>
      </c>
      <c r="AI4485">
        <v>92.397077767911597</v>
      </c>
      <c r="AJ4485">
        <v>98.294867214305995</v>
      </c>
      <c r="AK4485">
        <v>26.573632548510201</v>
      </c>
      <c r="AL4485">
        <v>79.225384440502197</v>
      </c>
      <c r="AM4485">
        <v>92.579971130340397</v>
      </c>
      <c r="AN4485">
        <v>0.99999999124210304</v>
      </c>
    </row>
    <row r="4486" spans="1:40" x14ac:dyDescent="0.25">
      <c r="A4486" t="str">
        <f>"20190312172501121"</f>
        <v>20190312172501121</v>
      </c>
      <c r="B4486" t="str">
        <f>"1552382701114617"</f>
        <v>1552382701114617</v>
      </c>
      <c r="C4486" t="s">
        <v>40</v>
      </c>
      <c r="D4486">
        <v>3.5236170000000002</v>
      </c>
      <c r="E4486">
        <v>0.46430310000000002</v>
      </c>
      <c r="F4486" t="s">
        <v>43</v>
      </c>
      <c r="G4486">
        <v>-370.4255</v>
      </c>
      <c r="H4486" s="1">
        <v>-4.2071830000000003E-6</v>
      </c>
      <c r="I4486">
        <v>138.95400000000001</v>
      </c>
      <c r="J4486">
        <v>-344.78109999999998</v>
      </c>
      <c r="K4486">
        <v>1.1114869999999999</v>
      </c>
      <c r="L4486">
        <v>142.20849999999999</v>
      </c>
      <c r="M4486">
        <v>-0.99974730000000001</v>
      </c>
      <c r="N4486">
        <v>0</v>
      </c>
      <c r="O4486">
        <v>1.869622E-2</v>
      </c>
      <c r="P4486">
        <v>-0.98433269999999995</v>
      </c>
      <c r="Q4486">
        <v>0.17451259999999999</v>
      </c>
      <c r="R4486">
        <v>-2.5195909999999998E-2</v>
      </c>
      <c r="S4486">
        <v>-3.0620120000000002</v>
      </c>
      <c r="T4486">
        <v>-0.13032099999999999</v>
      </c>
      <c r="U4486">
        <v>-0.38059999999999999</v>
      </c>
      <c r="V4486">
        <v>-4.4392180000000003E-2</v>
      </c>
      <c r="W4486">
        <v>0.18659149999999999</v>
      </c>
      <c r="X4486">
        <v>0.98143409999999998</v>
      </c>
      <c r="Y4486">
        <v>-0.14173839999999999</v>
      </c>
      <c r="Z4486">
        <v>-3.7959040000000001E-3</v>
      </c>
      <c r="AA4486">
        <v>0.98989689999999997</v>
      </c>
      <c r="AB4486">
        <v>47</v>
      </c>
      <c r="AC4486">
        <v>-25.644400000000001</v>
      </c>
      <c r="AD4486">
        <v>-1.1114912071830001</v>
      </c>
      <c r="AE4486">
        <v>-3.25449999999997</v>
      </c>
      <c r="AF4486">
        <v>-3.7265321710806001</v>
      </c>
      <c r="AG4486">
        <v>-1.1114912071830001</v>
      </c>
      <c r="AH4486">
        <v>25.531862239010898</v>
      </c>
      <c r="AI4486">
        <v>92.466609563762603</v>
      </c>
      <c r="AJ4486">
        <v>98.304034870673405</v>
      </c>
      <c r="AK4486">
        <v>25.826313018268301</v>
      </c>
      <c r="AL4486">
        <v>79.246065231405197</v>
      </c>
      <c r="AM4486">
        <v>92.589834698960402</v>
      </c>
      <c r="AN4486">
        <v>0.99999997308010502</v>
      </c>
    </row>
    <row r="4487" spans="1:40" x14ac:dyDescent="0.25">
      <c r="A4487" t="str">
        <f>"20190312172501136"</f>
        <v>20190312172501136</v>
      </c>
      <c r="B4487" t="str">
        <f>"1552382701125350"</f>
        <v>1552382701125350</v>
      </c>
      <c r="C4487" t="s">
        <v>40</v>
      </c>
      <c r="D4487">
        <v>3.5044200000000001</v>
      </c>
      <c r="E4487">
        <v>0.46433669999999999</v>
      </c>
      <c r="F4487" t="s">
        <v>43</v>
      </c>
      <c r="G4487">
        <v>-370.44659999999999</v>
      </c>
      <c r="H4487" s="1">
        <v>-4.1942280000000004E-6</v>
      </c>
      <c r="I4487">
        <v>138.97620000000001</v>
      </c>
      <c r="J4487">
        <v>-345.10930000000002</v>
      </c>
      <c r="K4487">
        <v>1.1115159999999999</v>
      </c>
      <c r="L4487">
        <v>142.2139</v>
      </c>
      <c r="M4487">
        <v>-0.99976580000000004</v>
      </c>
      <c r="N4487">
        <v>0</v>
      </c>
      <c r="O4487">
        <v>1.760929E-2</v>
      </c>
      <c r="P4487">
        <v>-0.98434840000000001</v>
      </c>
      <c r="Q4487">
        <v>0.17428279999999999</v>
      </c>
      <c r="R4487">
        <v>-2.614913E-2</v>
      </c>
      <c r="S4487">
        <v>-3.061401</v>
      </c>
      <c r="T4487">
        <v>-0.13257969999999999</v>
      </c>
      <c r="U4487">
        <v>-0.38554379999999999</v>
      </c>
      <c r="V4487">
        <v>-4.428986E-2</v>
      </c>
      <c r="W4487">
        <v>0.18646119999999999</v>
      </c>
      <c r="X4487">
        <v>0.98146350000000004</v>
      </c>
      <c r="Y4487">
        <v>-0.14225579999999999</v>
      </c>
      <c r="Z4487">
        <v>-3.82628E-3</v>
      </c>
      <c r="AA4487">
        <v>0.98982250000000005</v>
      </c>
      <c r="AB4487">
        <v>47</v>
      </c>
      <c r="AC4487">
        <v>-25.3372999999999</v>
      </c>
      <c r="AD4487">
        <v>-1.111520194228</v>
      </c>
      <c r="AE4487">
        <v>-3.2376999999999798</v>
      </c>
      <c r="AF4487">
        <v>-3.67644349126049</v>
      </c>
      <c r="AG4487">
        <v>-1.111520194228</v>
      </c>
      <c r="AH4487">
        <v>25.2285806623402</v>
      </c>
      <c r="AI4487">
        <v>92.496371445106604</v>
      </c>
      <c r="AJ4487">
        <v>98.291086159241402</v>
      </c>
      <c r="AK4487">
        <v>25.519267154893299</v>
      </c>
      <c r="AL4487">
        <v>79.253664378464293</v>
      </c>
      <c r="AM4487">
        <v>92.583796165606202</v>
      </c>
      <c r="AN4487">
        <v>0.99999998631825404</v>
      </c>
    </row>
    <row r="4488" spans="1:40" x14ac:dyDescent="0.25">
      <c r="A4488" t="str">
        <f>"20190312172501153"</f>
        <v>20190312172501153</v>
      </c>
      <c r="B4488" t="str">
        <f>"1552382701144869"</f>
        <v>1552382701144869</v>
      </c>
      <c r="C4488" t="s">
        <v>40</v>
      </c>
      <c r="D4488">
        <v>3.4971040000000002</v>
      </c>
      <c r="E4488">
        <v>0.46438230000000003</v>
      </c>
      <c r="F4488" t="s">
        <v>43</v>
      </c>
      <c r="G4488">
        <v>-370.5883</v>
      </c>
      <c r="H4488" s="1">
        <v>-4.1325330000000001E-6</v>
      </c>
      <c r="I4488">
        <v>138.9811</v>
      </c>
      <c r="J4488">
        <v>-345.48140000000001</v>
      </c>
      <c r="K4488">
        <v>1.1115489999999999</v>
      </c>
      <c r="L4488">
        <v>142.21969999999999</v>
      </c>
      <c r="M4488">
        <v>-0.99978540000000005</v>
      </c>
      <c r="N4488">
        <v>0</v>
      </c>
      <c r="O4488">
        <v>1.6375919999999999E-2</v>
      </c>
      <c r="P4488">
        <v>-0.9844041</v>
      </c>
      <c r="Q4488">
        <v>0.17379639999999999</v>
      </c>
      <c r="R4488">
        <v>-2.7272859999999999E-2</v>
      </c>
      <c r="S4488">
        <v>-3.061035</v>
      </c>
      <c r="T4488">
        <v>-0.1335375</v>
      </c>
      <c r="U4488">
        <v>-0.38838200000000001</v>
      </c>
      <c r="V4488">
        <v>-4.4212620000000001E-2</v>
      </c>
      <c r="W4488">
        <v>0.18607899999999999</v>
      </c>
      <c r="X4488">
        <v>0.98153950000000001</v>
      </c>
      <c r="Y4488">
        <v>-0.14195199999999999</v>
      </c>
      <c r="Z4488">
        <v>-3.793944E-3</v>
      </c>
      <c r="AA4488">
        <v>0.98986629999999998</v>
      </c>
      <c r="AB4488">
        <v>47</v>
      </c>
      <c r="AC4488">
        <v>-25.1069</v>
      </c>
      <c r="AD4488">
        <v>-1.1115531325329999</v>
      </c>
      <c r="AE4488">
        <v>-3.2385999999999902</v>
      </c>
      <c r="AF4488">
        <v>-3.6423249261209101</v>
      </c>
      <c r="AG4488">
        <v>-1.1115531325329999</v>
      </c>
      <c r="AH4488">
        <v>25.002288976681701</v>
      </c>
      <c r="AI4488">
        <v>92.519027673849394</v>
      </c>
      <c r="AJ4488">
        <v>98.288523233290206</v>
      </c>
      <c r="AK4488">
        <v>25.2906412593154</v>
      </c>
      <c r="AL4488">
        <v>79.275952730167404</v>
      </c>
      <c r="AM4488">
        <v>92.579096760545895</v>
      </c>
      <c r="AN4488">
        <v>0.999999970034256</v>
      </c>
    </row>
    <row r="4489" spans="1:40" x14ac:dyDescent="0.25">
      <c r="A4489" t="str">
        <f>"20190312172501175"</f>
        <v>20190312172501175</v>
      </c>
      <c r="B4489" t="str">
        <f>"1552382701165369"</f>
        <v>1552382701165369</v>
      </c>
      <c r="C4489" t="s">
        <v>40</v>
      </c>
      <c r="D4489">
        <v>3.5300799999999999</v>
      </c>
      <c r="E4489">
        <v>0.4644761</v>
      </c>
      <c r="F4489" t="s">
        <v>43</v>
      </c>
      <c r="G4489">
        <v>-370.58150000000001</v>
      </c>
      <c r="H4489" s="1">
        <v>-4.1309590000000003E-6</v>
      </c>
      <c r="I4489">
        <v>139.0067</v>
      </c>
      <c r="J4489">
        <v>-345.9359</v>
      </c>
      <c r="K4489">
        <v>1.111586</v>
      </c>
      <c r="L4489">
        <v>142.2261</v>
      </c>
      <c r="M4489">
        <v>-0.99980749999999996</v>
      </c>
      <c r="N4489">
        <v>0</v>
      </c>
      <c r="O4489">
        <v>1.486761E-2</v>
      </c>
      <c r="P4489">
        <v>-0.98427620000000005</v>
      </c>
      <c r="Q4489">
        <v>0.17437739999999999</v>
      </c>
      <c r="R4489">
        <v>-2.8167069999999999E-2</v>
      </c>
      <c r="S4489">
        <v>-3.0605769999999999</v>
      </c>
      <c r="T4489">
        <v>-0.13553750000000001</v>
      </c>
      <c r="U4489">
        <v>-0.39176939999999999</v>
      </c>
      <c r="V4489">
        <v>-4.3638589999999998E-2</v>
      </c>
      <c r="W4489">
        <v>0.18677270000000001</v>
      </c>
      <c r="X4489">
        <v>0.98143349999999996</v>
      </c>
      <c r="Y4489">
        <v>-0.1415526</v>
      </c>
      <c r="Z4489">
        <v>-3.775689E-3</v>
      </c>
      <c r="AA4489">
        <v>0.98992349999999996</v>
      </c>
      <c r="AB4489">
        <v>47</v>
      </c>
      <c r="AC4489">
        <v>-24.645600000000002</v>
      </c>
      <c r="AD4489">
        <v>-1.1115901309589999</v>
      </c>
      <c r="AE4489">
        <v>-3.2193999999999998</v>
      </c>
      <c r="AF4489">
        <v>-3.5783380974802301</v>
      </c>
      <c r="AG4489">
        <v>-1.1115901309589999</v>
      </c>
      <c r="AH4489">
        <v>24.545911300412399</v>
      </c>
      <c r="AI4489">
        <v>92.565849552322405</v>
      </c>
      <c r="AJ4489">
        <v>98.294233143485798</v>
      </c>
      <c r="AK4489">
        <v>24.830261732950699</v>
      </c>
      <c r="AL4489">
        <v>79.235498203252007</v>
      </c>
      <c r="AM4489">
        <v>92.545930245028003</v>
      </c>
      <c r="AN4489">
        <v>1.00000004146236</v>
      </c>
    </row>
    <row r="4490" spans="1:40" x14ac:dyDescent="0.25">
      <c r="A4490" t="str">
        <f>"20190312172501198"</f>
        <v>20190312172501198</v>
      </c>
      <c r="B4490" t="str">
        <f>"1552382701194645"</f>
        <v>1552382701194645</v>
      </c>
      <c r="C4490" t="s">
        <v>40</v>
      </c>
      <c r="D4490">
        <v>3.5047450000000002</v>
      </c>
      <c r="E4490">
        <v>0.46457730000000003</v>
      </c>
      <c r="F4490" t="s">
        <v>43</v>
      </c>
      <c r="G4490">
        <v>-371.33640000000003</v>
      </c>
      <c r="H4490" s="1">
        <v>-3.8169629999999997E-6</v>
      </c>
      <c r="I4490">
        <v>138.9511</v>
      </c>
      <c r="J4490">
        <v>-346.41180000000003</v>
      </c>
      <c r="K4490">
        <v>1.1116200000000001</v>
      </c>
      <c r="L4490">
        <v>142.2321</v>
      </c>
      <c r="M4490">
        <v>-0.9998283</v>
      </c>
      <c r="N4490">
        <v>0</v>
      </c>
      <c r="O4490">
        <v>1.3286330000000001E-2</v>
      </c>
      <c r="P4490">
        <v>-0.98422209999999999</v>
      </c>
      <c r="Q4490">
        <v>0.17447179999999901</v>
      </c>
      <c r="R4490">
        <v>-2.9442179999999998E-2</v>
      </c>
      <c r="S4490">
        <v>-3.0603639999999999</v>
      </c>
      <c r="T4490">
        <v>-0.133929399999999</v>
      </c>
      <c r="U4490">
        <v>-0.39457700000000001</v>
      </c>
      <c r="V4490">
        <v>-4.3369699999999997E-2</v>
      </c>
      <c r="W4490">
        <v>0.18697</v>
      </c>
      <c r="X4490">
        <v>0.98140780000000005</v>
      </c>
      <c r="Y4490">
        <v>-0.14089479999999999</v>
      </c>
      <c r="Z4490">
        <v>-3.6477340000000001E-3</v>
      </c>
      <c r="AA4490">
        <v>0.99001779999999995</v>
      </c>
      <c r="AB4490">
        <v>47</v>
      </c>
      <c r="AC4490">
        <v>-24.924600000000002</v>
      </c>
      <c r="AD4490">
        <v>-1.1116238169629999</v>
      </c>
      <c r="AE4490">
        <v>-3.2810000000000001</v>
      </c>
      <c r="AF4490">
        <v>-3.6048461286064901</v>
      </c>
      <c r="AG4490">
        <v>-1.1116238169629999</v>
      </c>
      <c r="AH4490">
        <v>24.8302546293944</v>
      </c>
      <c r="AI4490">
        <v>92.536799341438496</v>
      </c>
      <c r="AJ4490">
        <v>98.260464702509907</v>
      </c>
      <c r="AK4490">
        <v>25.115178042011401</v>
      </c>
      <c r="AL4490">
        <v>79.223990488746907</v>
      </c>
      <c r="AM4490">
        <v>92.530329488816506</v>
      </c>
      <c r="AN4490">
        <v>0.999999990839465</v>
      </c>
    </row>
    <row r="4491" spans="1:40" x14ac:dyDescent="0.25">
      <c r="A4491" t="str">
        <f>"20190312172501214"</f>
        <v>20190312172501214</v>
      </c>
      <c r="B4491" t="str">
        <f>"1552382701205382"</f>
        <v>1552382701205382</v>
      </c>
      <c r="C4491" t="s">
        <v>40</v>
      </c>
      <c r="D4491">
        <v>3.5193940000000001</v>
      </c>
      <c r="E4491">
        <v>0.46458319999999997</v>
      </c>
      <c r="F4491" t="s">
        <v>43</v>
      </c>
      <c r="G4491">
        <v>-371.70819999999998</v>
      </c>
      <c r="H4491" s="1">
        <v>-3.6586309999999998E-6</v>
      </c>
      <c r="I4491">
        <v>138.9444</v>
      </c>
      <c r="J4491">
        <v>-346.74680000000001</v>
      </c>
      <c r="K4491">
        <v>1.111637</v>
      </c>
      <c r="L4491">
        <v>142.23580000000001</v>
      </c>
      <c r="M4491">
        <v>-0.9998416</v>
      </c>
      <c r="N4491">
        <v>0</v>
      </c>
      <c r="O4491">
        <v>1.217205E-2</v>
      </c>
      <c r="P4491">
        <v>-0.98419449999999997</v>
      </c>
      <c r="Q4491">
        <v>0.1744687</v>
      </c>
      <c r="R4491">
        <v>-3.0358059999999999E-2</v>
      </c>
      <c r="S4491">
        <v>-3.060028</v>
      </c>
      <c r="T4491">
        <v>-0.1344697</v>
      </c>
      <c r="U4491">
        <v>-0.39768979999999998</v>
      </c>
      <c r="V4491">
        <v>-4.3196980000000003E-2</v>
      </c>
      <c r="W4491">
        <v>0.18703040000000001</v>
      </c>
      <c r="X4491">
        <v>0.9814039</v>
      </c>
      <c r="Y4491">
        <v>-0.1407957</v>
      </c>
      <c r="Z4491">
        <v>-3.611674E-3</v>
      </c>
      <c r="AA4491">
        <v>0.99003209999999997</v>
      </c>
      <c r="AB4491">
        <v>47</v>
      </c>
      <c r="AC4491">
        <v>-24.961399999999902</v>
      </c>
      <c r="AD4491">
        <v>-1.1116406586309999</v>
      </c>
      <c r="AE4491">
        <v>-3.2913999999999999</v>
      </c>
      <c r="AF4491">
        <v>-3.5880186071171201</v>
      </c>
      <c r="AG4491">
        <v>-1.1116406586309999</v>
      </c>
      <c r="AH4491">
        <v>24.871000074301602</v>
      </c>
      <c r="AI4491">
        <v>92.533015004389995</v>
      </c>
      <c r="AJ4491">
        <v>98.209146246810704</v>
      </c>
      <c r="AK4491">
        <v>25.153056815720198</v>
      </c>
      <c r="AL4491">
        <v>79.220467587383894</v>
      </c>
      <c r="AM4491">
        <v>92.520275463367099</v>
      </c>
      <c r="AN4491">
        <v>0.999999982270245</v>
      </c>
    </row>
    <row r="4492" spans="1:40" x14ac:dyDescent="0.25">
      <c r="A4492" t="str">
        <f>"20190312172501232"</f>
        <v>20190312172501232</v>
      </c>
      <c r="B4492" t="str">
        <f>"1552382701225408"</f>
        <v>1552382701225408</v>
      </c>
      <c r="C4492" t="s">
        <v>40</v>
      </c>
      <c r="D4492">
        <v>3.549814</v>
      </c>
      <c r="E4492">
        <v>0.46462360000000003</v>
      </c>
      <c r="F4492" t="s">
        <v>43</v>
      </c>
      <c r="G4492">
        <v>-372.00380000000001</v>
      </c>
      <c r="H4492" s="1">
        <v>-3.5342130000000001E-6</v>
      </c>
      <c r="I4492">
        <v>138.93090000000001</v>
      </c>
      <c r="J4492">
        <v>-347.1311</v>
      </c>
      <c r="K4492">
        <v>1.111653</v>
      </c>
      <c r="L4492">
        <v>142.2397</v>
      </c>
      <c r="M4492">
        <v>-0.99985559999999996</v>
      </c>
      <c r="N4492">
        <v>0</v>
      </c>
      <c r="O4492">
        <v>1.089291E-2</v>
      </c>
      <c r="P4492">
        <v>-0.98419590000000001</v>
      </c>
      <c r="Q4492">
        <v>0.17424679999999901</v>
      </c>
      <c r="R4492">
        <v>-3.1567230000000002E-2</v>
      </c>
      <c r="S4492">
        <v>-3.0596920000000001</v>
      </c>
      <c r="T4492">
        <v>-0.134666799999999</v>
      </c>
      <c r="U4492">
        <v>-0.4003601</v>
      </c>
      <c r="V4492">
        <v>-4.315343E-2</v>
      </c>
      <c r="W4492">
        <v>0.186865</v>
      </c>
      <c r="X4492">
        <v>0.98143729999999996</v>
      </c>
      <c r="Y4492">
        <v>-0.14039380000000001</v>
      </c>
      <c r="Z4492">
        <v>-3.5522930000000002E-3</v>
      </c>
      <c r="AA4492">
        <v>0.99008940000000001</v>
      </c>
      <c r="AB4492">
        <v>47</v>
      </c>
      <c r="AC4492">
        <v>-24.872699999999998</v>
      </c>
      <c r="AD4492">
        <v>-1.111656534213</v>
      </c>
      <c r="AE4492">
        <v>-3.30879999999999</v>
      </c>
      <c r="AF4492">
        <v>-3.57255057181602</v>
      </c>
      <c r="AG4492">
        <v>-1.111656534213</v>
      </c>
      <c r="AH4492">
        <v>24.786527437870401</v>
      </c>
      <c r="AI4492">
        <v>92.541719956721195</v>
      </c>
      <c r="AJ4492">
        <v>98.201715169300698</v>
      </c>
      <c r="AK4492">
        <v>25.067326149123701</v>
      </c>
      <c r="AL4492">
        <v>79.230114144227599</v>
      </c>
      <c r="AM4492">
        <v>92.517652289964303</v>
      </c>
      <c r="AN4492">
        <v>0.999999960288526</v>
      </c>
    </row>
    <row r="4493" spans="1:40" x14ac:dyDescent="0.25">
      <c r="A4493" t="str">
        <f>"20190312172501254"</f>
        <v>20190312172501254</v>
      </c>
      <c r="B4493" t="str">
        <f>"1552382701244933"</f>
        <v>1552382701244933</v>
      </c>
      <c r="C4493" t="s">
        <v>40</v>
      </c>
      <c r="D4493">
        <v>3.5240819999999999</v>
      </c>
      <c r="E4493">
        <v>0.46466629999999998</v>
      </c>
      <c r="F4493" t="s">
        <v>43</v>
      </c>
      <c r="G4493">
        <v>-372.15230000000003</v>
      </c>
      <c r="H4493" s="1">
        <v>-3.4691969999999999E-6</v>
      </c>
      <c r="I4493">
        <v>138.9384</v>
      </c>
      <c r="J4493">
        <v>-347.59589999999997</v>
      </c>
      <c r="K4493">
        <v>1.111434</v>
      </c>
      <c r="L4493">
        <v>142.24369999999999</v>
      </c>
      <c r="M4493">
        <v>-0.99987870000000001</v>
      </c>
      <c r="N4493">
        <v>0</v>
      </c>
      <c r="O4493">
        <v>9.3671959999999995E-3</v>
      </c>
      <c r="P4493">
        <v>-0.98400949999999998</v>
      </c>
      <c r="Q4493">
        <v>0.17504140000000001</v>
      </c>
      <c r="R4493">
        <v>-3.2954419999999998E-2</v>
      </c>
      <c r="S4493">
        <v>-3.0592959999999998</v>
      </c>
      <c r="T4493">
        <v>-0.1359205</v>
      </c>
      <c r="U4493">
        <v>-0.40362550000000003</v>
      </c>
      <c r="V4493">
        <v>-4.3021120000000003E-2</v>
      </c>
      <c r="W4493">
        <v>0.1870744</v>
      </c>
      <c r="X4493">
        <v>0.98140320000000003</v>
      </c>
      <c r="Y4493">
        <v>-0.13993749999999999</v>
      </c>
      <c r="Z4493">
        <v>-3.5079709999999999E-3</v>
      </c>
      <c r="AA4493">
        <v>0.99015410000000004</v>
      </c>
      <c r="AB4493">
        <v>47</v>
      </c>
      <c r="AC4493">
        <v>-24.5564</v>
      </c>
      <c r="AD4493">
        <v>-1.1114374691969999</v>
      </c>
      <c r="AE4493">
        <v>-3.3052999999999799</v>
      </c>
      <c r="AF4493">
        <v>-3.5280986083020598</v>
      </c>
      <c r="AG4493">
        <v>-1.1114374691969999</v>
      </c>
      <c r="AH4493">
        <v>24.475113059927899</v>
      </c>
      <c r="AI4493">
        <v>92.573503875451905</v>
      </c>
      <c r="AJ4493">
        <v>98.202708296722193</v>
      </c>
      <c r="AK4493">
        <v>24.753059050026401</v>
      </c>
      <c r="AL4493">
        <v>79.217900864689895</v>
      </c>
      <c r="AM4493">
        <v>92.510030061991202</v>
      </c>
      <c r="AN4493">
        <v>0.99999994443582496</v>
      </c>
    </row>
    <row r="4494" spans="1:40" x14ac:dyDescent="0.25">
      <c r="A4494" t="str">
        <f>"20190312172501277"</f>
        <v>20190312172501277</v>
      </c>
      <c r="B4494" t="str">
        <f>"1552382701265425"</f>
        <v>1552382701265425</v>
      </c>
      <c r="C4494" t="s">
        <v>40</v>
      </c>
      <c r="D4494">
        <v>3.5216229999999999</v>
      </c>
      <c r="E4494">
        <v>0.46470859999999897</v>
      </c>
      <c r="F4494" t="s">
        <v>43</v>
      </c>
      <c r="G4494">
        <v>-373.03710000000001</v>
      </c>
      <c r="H4494" s="1">
        <v>-3.104443E-6</v>
      </c>
      <c r="I4494">
        <v>138.85480000000001</v>
      </c>
      <c r="J4494">
        <v>-348.07679999999999</v>
      </c>
      <c r="K4494">
        <v>1.1109960000000001</v>
      </c>
      <c r="L4494">
        <v>142.2474</v>
      </c>
      <c r="M4494">
        <v>-0.99990769999999995</v>
      </c>
      <c r="N4494">
        <v>0</v>
      </c>
      <c r="O4494">
        <v>7.8643210000000005E-3</v>
      </c>
      <c r="P4494">
        <v>-0.98376980000000003</v>
      </c>
      <c r="Q4494">
        <v>0.17604129999999901</v>
      </c>
      <c r="R4494">
        <v>-3.4736360000000001E-2</v>
      </c>
      <c r="S4494">
        <v>-3.0588679999999999</v>
      </c>
      <c r="T4494">
        <v>-0.13363169999999999</v>
      </c>
      <c r="U4494">
        <v>-0.40745540000000002</v>
      </c>
      <c r="V4494">
        <v>-4.3280289999999999E-2</v>
      </c>
      <c r="W4494">
        <v>0.18674930000000001</v>
      </c>
      <c r="X4494">
        <v>0.98145380000000004</v>
      </c>
      <c r="Y4494">
        <v>-0.13969189999999901</v>
      </c>
      <c r="Z4494">
        <v>-3.3784470000000001E-3</v>
      </c>
      <c r="AA4494">
        <v>0.99018930000000005</v>
      </c>
      <c r="AB4494">
        <v>47</v>
      </c>
      <c r="AC4494">
        <v>-24.9603</v>
      </c>
      <c r="AD4494">
        <v>-1.1109991044430001</v>
      </c>
      <c r="AE4494">
        <v>-3.3925999999999799</v>
      </c>
      <c r="AF4494">
        <v>-3.5818353301152799</v>
      </c>
      <c r="AG4494">
        <v>-1.1109991044430001</v>
      </c>
      <c r="AH4494">
        <v>24.884439175447699</v>
      </c>
      <c r="AI4494">
        <v>92.530306062619502</v>
      </c>
      <c r="AJ4494">
        <v>98.1908258185302</v>
      </c>
      <c r="AK4494">
        <v>25.1654361460057</v>
      </c>
      <c r="AL4494">
        <v>79.2368627357896</v>
      </c>
      <c r="AM4494">
        <v>92.525001580065606</v>
      </c>
      <c r="AN4494">
        <v>1.0000000230437001</v>
      </c>
    </row>
    <row r="4495" spans="1:40" x14ac:dyDescent="0.25">
      <c r="A4495" t="str">
        <f>"20190312172501300"</f>
        <v>20190312172501300</v>
      </c>
      <c r="B4495" t="str">
        <f>"1552382701294704"</f>
        <v>1552382701294704</v>
      </c>
      <c r="C4495" t="s">
        <v>40</v>
      </c>
      <c r="D4495">
        <v>3.522691</v>
      </c>
      <c r="E4495">
        <v>0.46476869999999998</v>
      </c>
      <c r="F4495" t="s">
        <v>43</v>
      </c>
      <c r="G4495">
        <v>-374.07299999999998</v>
      </c>
      <c r="H4495" s="1">
        <v>-2.6800429999999999E-6</v>
      </c>
      <c r="I4495">
        <v>138.74199999999999</v>
      </c>
      <c r="J4495">
        <v>-348.56849999999997</v>
      </c>
      <c r="K4495">
        <v>1.110557</v>
      </c>
      <c r="L4495">
        <v>142.25059999999999</v>
      </c>
      <c r="M4495">
        <v>-0.99993379999999998</v>
      </c>
      <c r="N4495">
        <v>0</v>
      </c>
      <c r="O4495">
        <v>6.3650709999999999E-3</v>
      </c>
      <c r="P4495">
        <v>-0.98350689999999996</v>
      </c>
      <c r="Q4495">
        <v>0.17717829999999901</v>
      </c>
      <c r="R4495">
        <v>-3.6360730000000001E-2</v>
      </c>
      <c r="S4495">
        <v>-3.058319</v>
      </c>
      <c r="T4495">
        <v>-0.1307036</v>
      </c>
      <c r="U4495">
        <v>-0.41238399999999997</v>
      </c>
      <c r="V4495">
        <v>-4.3378100000000003E-2</v>
      </c>
      <c r="W4495">
        <v>0.18641479999999999</v>
      </c>
      <c r="X4495">
        <v>0.98151299999999997</v>
      </c>
      <c r="Y4495">
        <v>-0.13980519999999999</v>
      </c>
      <c r="Z4495">
        <v>-3.2433539999999999E-3</v>
      </c>
      <c r="AA4495">
        <v>0.99017370000000005</v>
      </c>
      <c r="AB4495">
        <v>48</v>
      </c>
      <c r="AC4495">
        <v>-25.5045</v>
      </c>
      <c r="AD4495">
        <v>-1.110559680043</v>
      </c>
      <c r="AE4495">
        <v>-3.5085999999999702</v>
      </c>
      <c r="AF4495">
        <v>-3.6640561247244801</v>
      </c>
      <c r="AG4495">
        <v>-1.110559680043</v>
      </c>
      <c r="AH4495">
        <v>25.434320699011501</v>
      </c>
      <c r="AI4495">
        <v>92.474650431745602</v>
      </c>
      <c r="AJ4495">
        <v>98.197604478989007</v>
      </c>
      <c r="AK4495">
        <v>25.720873226005299</v>
      </c>
      <c r="AL4495">
        <v>79.256369987048899</v>
      </c>
      <c r="AM4495">
        <v>92.530548030767804</v>
      </c>
      <c r="AN4495">
        <v>0.99999995319382395</v>
      </c>
    </row>
    <row r="4496" spans="1:40" x14ac:dyDescent="0.25">
      <c r="A4496" t="str">
        <f>"20190312172501333"</f>
        <v>20190312172501333</v>
      </c>
      <c r="B4496" t="str">
        <f>"1552382701325312"</f>
        <v>1552382701325312</v>
      </c>
      <c r="C4496" t="s">
        <v>40</v>
      </c>
      <c r="D4496">
        <v>3.5655640000000002</v>
      </c>
      <c r="E4496">
        <v>0.46896120000000002</v>
      </c>
      <c r="F4496" t="s">
        <v>43</v>
      </c>
      <c r="G4496">
        <v>-375.21120000000002</v>
      </c>
      <c r="H4496" s="1">
        <v>-2.2134339999999999E-6</v>
      </c>
      <c r="I4496">
        <v>138.61969999999999</v>
      </c>
      <c r="J4496">
        <v>-349.28109999999998</v>
      </c>
      <c r="K4496">
        <v>1.110217</v>
      </c>
      <c r="L4496">
        <v>142.2543</v>
      </c>
      <c r="M4496">
        <v>-0.99996050000000003</v>
      </c>
      <c r="N4496">
        <v>0</v>
      </c>
      <c r="O4496">
        <v>4.2242490000000002E-3</v>
      </c>
      <c r="P4496">
        <v>-0.98318090000000002</v>
      </c>
      <c r="Q4496">
        <v>0.178565</v>
      </c>
      <c r="R4496">
        <v>-3.8341630000000002E-2</v>
      </c>
      <c r="S4496">
        <v>-3.0578310000000002</v>
      </c>
      <c r="T4496">
        <v>-0.12746109999999999</v>
      </c>
      <c r="U4496">
        <v>-0.41671750000000002</v>
      </c>
      <c r="V4496">
        <v>-4.322459E-2</v>
      </c>
      <c r="W4496">
        <v>0.18607750000000001</v>
      </c>
      <c r="X4496">
        <v>0.98158380000000001</v>
      </c>
      <c r="Y4496">
        <v>-0.13909299999999999</v>
      </c>
      <c r="Z4496">
        <v>-3.0595840000000002E-3</v>
      </c>
      <c r="AA4496">
        <v>0.9902746</v>
      </c>
      <c r="AB4496">
        <v>48</v>
      </c>
      <c r="AC4496">
        <v>-25.930099999999999</v>
      </c>
      <c r="AD4496">
        <v>-1.1102192134340001</v>
      </c>
      <c r="AE4496">
        <v>-3.6345999999999998</v>
      </c>
      <c r="AF4496">
        <v>-3.7373867699921699</v>
      </c>
      <c r="AG4496">
        <v>-1.1102192134340001</v>
      </c>
      <c r="AH4496">
        <v>25.868007308276301</v>
      </c>
      <c r="AI4496">
        <v>92.432323174707903</v>
      </c>
      <c r="AJ4496">
        <v>98.221155045697202</v>
      </c>
      <c r="AK4496">
        <v>26.160169125436202</v>
      </c>
      <c r="AL4496">
        <v>79.2760402967006</v>
      </c>
      <c r="AM4496">
        <v>92.521422653937407</v>
      </c>
      <c r="AN4496">
        <v>0.99999997880467795</v>
      </c>
    </row>
    <row r="4497" spans="1:40" x14ac:dyDescent="0.25">
      <c r="A4497" t="str">
        <f>"20190312172501443"</f>
        <v>20190312172501443</v>
      </c>
      <c r="B4497" t="str">
        <f>"1552382701435131"</f>
        <v>1552382701435131</v>
      </c>
      <c r="C4497" t="s">
        <v>40</v>
      </c>
      <c r="D4497">
        <v>3.3680639999999999</v>
      </c>
      <c r="E4497">
        <v>0.4639432</v>
      </c>
      <c r="F4497" t="s">
        <v>43</v>
      </c>
      <c r="G4497">
        <v>-372.53370000000001</v>
      </c>
      <c r="H4497" s="1">
        <v>-3.2429879999999998E-6</v>
      </c>
      <c r="I4497">
        <v>139.2911</v>
      </c>
      <c r="J4497">
        <v>-351.6918</v>
      </c>
      <c r="K4497">
        <v>1.1110070000000001</v>
      </c>
      <c r="L4497">
        <v>142.25470000000001</v>
      </c>
      <c r="M4497">
        <v>-0.99996969999999996</v>
      </c>
      <c r="N4497">
        <v>0</v>
      </c>
      <c r="O4497">
        <v>-2.8003400000000001E-3</v>
      </c>
      <c r="P4497">
        <v>-0.98270740000000001</v>
      </c>
      <c r="Q4497">
        <v>0.17911009999999999</v>
      </c>
      <c r="R4497">
        <v>-4.6965489999999999E-2</v>
      </c>
      <c r="S4497">
        <v>-3.0626530000000001</v>
      </c>
      <c r="T4497">
        <v>-0.14622950000000001</v>
      </c>
      <c r="U4497">
        <v>-0.39027400000000001</v>
      </c>
      <c r="V4497">
        <v>-4.5115820000000001E-2</v>
      </c>
      <c r="W4497">
        <v>0.18603539999999999</v>
      </c>
      <c r="X4497">
        <v>0.98150669999999995</v>
      </c>
      <c r="Y4497">
        <v>-0.1234941</v>
      </c>
      <c r="Z4497">
        <v>-2.8015649999999998E-3</v>
      </c>
      <c r="AA4497">
        <v>0.99234129999999998</v>
      </c>
      <c r="AB4497">
        <v>49</v>
      </c>
      <c r="AC4497">
        <v>-20.841899999999999</v>
      </c>
      <c r="AD4497">
        <v>-1.111010242988</v>
      </c>
      <c r="AE4497">
        <v>-2.9636000000000098</v>
      </c>
      <c r="AF4497">
        <v>-2.8971530667367902</v>
      </c>
      <c r="AG4497">
        <v>-1.111010242988</v>
      </c>
      <c r="AH4497">
        <v>20.7922055815752</v>
      </c>
      <c r="AI4497">
        <v>93.029420888395506</v>
      </c>
      <c r="AJ4497">
        <v>97.932429931053093</v>
      </c>
      <c r="AK4497">
        <v>21.022455912633401</v>
      </c>
      <c r="AL4497">
        <v>79.278495597015393</v>
      </c>
      <c r="AM4497">
        <v>92.631798473490207</v>
      </c>
      <c r="AN4497">
        <v>1.0000000047061599</v>
      </c>
    </row>
    <row r="4498" spans="1:40" x14ac:dyDescent="0.25">
      <c r="A4498" t="str">
        <f>"20190312172501466"</f>
        <v>20190312172501466</v>
      </c>
      <c r="B4498" t="str">
        <f>"1552382701454651"</f>
        <v>1552382701454651</v>
      </c>
      <c r="C4498" t="s">
        <v>40</v>
      </c>
      <c r="D4498">
        <v>3.4994000000000001</v>
      </c>
      <c r="E4498">
        <v>0.46165620000000002</v>
      </c>
      <c r="F4498" t="s">
        <v>43</v>
      </c>
      <c r="G4498">
        <v>-365.69850000000002</v>
      </c>
      <c r="H4498" s="1">
        <v>-1.969732E-6</v>
      </c>
      <c r="I4498">
        <v>140.15029999999999</v>
      </c>
      <c r="J4498">
        <v>-352.17110000000002</v>
      </c>
      <c r="K4498">
        <v>1.111094</v>
      </c>
      <c r="L4498">
        <v>142.25239999999999</v>
      </c>
      <c r="M4498">
        <v>-0.99996300000000005</v>
      </c>
      <c r="N4498">
        <v>0</v>
      </c>
      <c r="O4498">
        <v>-4.333061E-3</v>
      </c>
      <c r="P4498">
        <v>-0.98256829999999995</v>
      </c>
      <c r="Q4498">
        <v>0.1792879</v>
      </c>
      <c r="R4498">
        <v>-4.9147240000000002E-2</v>
      </c>
      <c r="S4498">
        <v>-3.0751339999999998</v>
      </c>
      <c r="T4498">
        <v>-0.243921</v>
      </c>
      <c r="U4498">
        <v>-0.46200560000000002</v>
      </c>
      <c r="V4498">
        <v>-4.5803299999999998E-2</v>
      </c>
      <c r="W4498">
        <v>0.18635769999999999</v>
      </c>
      <c r="X4498">
        <v>0.98141369999999895</v>
      </c>
      <c r="Y4498">
        <v>-0.14385680000000001</v>
      </c>
      <c r="Z4498">
        <v>-5.3235699999999997E-3</v>
      </c>
      <c r="AA4498">
        <v>0.98958420000000002</v>
      </c>
      <c r="AB4498">
        <v>49</v>
      </c>
      <c r="AC4498">
        <v>-13.5274</v>
      </c>
      <c r="AD4498">
        <v>-1.111095969732</v>
      </c>
      <c r="AE4498">
        <v>-2.1021000000000001</v>
      </c>
      <c r="AF4498">
        <v>-2.0300906457553598</v>
      </c>
      <c r="AG4498">
        <v>-1.111095969732</v>
      </c>
      <c r="AH4498">
        <v>13.447796216823299</v>
      </c>
      <c r="AI4498">
        <v>94.670534482945698</v>
      </c>
      <c r="AJ4498">
        <v>98.584598804266193</v>
      </c>
      <c r="AK4498">
        <v>13.645476370326801</v>
      </c>
      <c r="AL4498">
        <v>79.259700356482597</v>
      </c>
      <c r="AM4498">
        <v>92.672097259702497</v>
      </c>
      <c r="AN4498">
        <v>0.99999999259393402</v>
      </c>
    </row>
    <row r="4499" spans="1:40" x14ac:dyDescent="0.25">
      <c r="A4499" t="str">
        <f>"20190312172501489"</f>
        <v>20190312172501489</v>
      </c>
      <c r="B4499" t="str">
        <f>"1552382701484908"</f>
        <v>1552382701484908</v>
      </c>
      <c r="C4499" t="s">
        <v>40</v>
      </c>
      <c r="D4499">
        <v>3.791785</v>
      </c>
      <c r="E4499">
        <v>0.46131070000000002</v>
      </c>
      <c r="F4499" t="s">
        <v>43</v>
      </c>
      <c r="G4499">
        <v>-367.2978</v>
      </c>
      <c r="H4499" s="1">
        <v>-1.2053750000000001E-6</v>
      </c>
      <c r="I4499">
        <v>139.8561</v>
      </c>
      <c r="J4499">
        <v>-352.67630000000003</v>
      </c>
      <c r="K4499">
        <v>1.111151</v>
      </c>
      <c r="L4499">
        <v>142.2492</v>
      </c>
      <c r="M4499">
        <v>-0.99995310000000004</v>
      </c>
      <c r="N4499">
        <v>0</v>
      </c>
      <c r="O4499">
        <v>-5.9947179999999996E-3</v>
      </c>
      <c r="P4499">
        <v>-0.98247910000000005</v>
      </c>
      <c r="Q4499">
        <v>0.1789309</v>
      </c>
      <c r="R4499">
        <v>-5.2139119999999997E-2</v>
      </c>
      <c r="S4499">
        <v>-3.0700069999999999</v>
      </c>
      <c r="T4499">
        <v>-0.22550200000000001</v>
      </c>
      <c r="U4499">
        <v>-0.48632809999999999</v>
      </c>
      <c r="V4499">
        <v>-4.7163959999999998E-2</v>
      </c>
      <c r="W4499">
        <v>0.18616940000000001</v>
      </c>
      <c r="X4499">
        <v>0.98138499999999995</v>
      </c>
      <c r="Y4499">
        <v>-0.15015899999999999</v>
      </c>
      <c r="Z4499">
        <v>-5.0364429999999998E-3</v>
      </c>
      <c r="AA4499">
        <v>0.988649</v>
      </c>
      <c r="AB4499">
        <v>49</v>
      </c>
      <c r="AC4499">
        <v>-14.6214999999999</v>
      </c>
      <c r="AD4499">
        <v>-1.111152205375</v>
      </c>
      <c r="AE4499">
        <v>-2.3931</v>
      </c>
      <c r="AF4499">
        <v>-2.2925085191803398</v>
      </c>
      <c r="AG4499">
        <v>-1.111152205375</v>
      </c>
      <c r="AH4499">
        <v>14.553726461504301</v>
      </c>
      <c r="AI4499">
        <v>94.312988937678497</v>
      </c>
      <c r="AJ4499">
        <v>98.951698062572603</v>
      </c>
      <c r="AK4499">
        <v>14.7750197444983</v>
      </c>
      <c r="AL4499">
        <v>79.270681416596204</v>
      </c>
      <c r="AM4499">
        <v>92.751436286784497</v>
      </c>
      <c r="AN4499">
        <v>1.00000000142212</v>
      </c>
    </row>
    <row r="4500" spans="1:40" x14ac:dyDescent="0.25">
      <c r="A4500" t="str">
        <f>"20190312172501512"</f>
        <v>20190312172501512</v>
      </c>
      <c r="B4500" t="str">
        <f>"1552382701505403"</f>
        <v>1552382701505403</v>
      </c>
      <c r="C4500" t="s">
        <v>40</v>
      </c>
      <c r="D4500">
        <v>3.5841729999999998</v>
      </c>
      <c r="E4500">
        <v>0.4619586</v>
      </c>
      <c r="F4500" t="s">
        <v>43</v>
      </c>
      <c r="G4500">
        <v>-371.64490000000001</v>
      </c>
      <c r="H4500" s="1">
        <v>-3.6443380000000002E-6</v>
      </c>
      <c r="I4500">
        <v>139.1782</v>
      </c>
      <c r="J4500">
        <v>-353.1773</v>
      </c>
      <c r="K4500">
        <v>1.1111869999999999</v>
      </c>
      <c r="L4500">
        <v>142.24520000000001</v>
      </c>
      <c r="M4500">
        <v>-0.9999403</v>
      </c>
      <c r="N4500">
        <v>0</v>
      </c>
      <c r="O4500">
        <v>-7.6688869999999897E-3</v>
      </c>
      <c r="P4500">
        <v>-0.9823809</v>
      </c>
      <c r="Q4500">
        <v>0.17862729999999999</v>
      </c>
      <c r="R4500">
        <v>-5.495883E-2</v>
      </c>
      <c r="S4500">
        <v>-3.0598450000000001</v>
      </c>
      <c r="T4500">
        <v>-0.1792424</v>
      </c>
      <c r="U4500">
        <v>-0.4953766</v>
      </c>
      <c r="V4500">
        <v>-4.8339689999999998E-2</v>
      </c>
      <c r="W4500">
        <v>0.18604200000000001</v>
      </c>
      <c r="X4500">
        <v>0.981352</v>
      </c>
      <c r="Y4500">
        <v>-0.15199879999999999</v>
      </c>
      <c r="Z4500">
        <v>-3.973557E-3</v>
      </c>
      <c r="AA4500">
        <v>0.98837269999999999</v>
      </c>
      <c r="AB4500">
        <v>49</v>
      </c>
      <c r="AC4500">
        <v>-18.467600000000001</v>
      </c>
      <c r="AD4500">
        <v>-1.111190644338</v>
      </c>
      <c r="AE4500">
        <v>-3.0670000000000002</v>
      </c>
      <c r="AF4500">
        <v>-2.915009346378</v>
      </c>
      <c r="AG4500">
        <v>-1.111190644338</v>
      </c>
      <c r="AH4500">
        <v>18.4256603621476</v>
      </c>
      <c r="AI4500">
        <v>93.408845658074895</v>
      </c>
      <c r="AJ4500">
        <v>98.989902644867101</v>
      </c>
      <c r="AK4500">
        <v>18.6878833450649</v>
      </c>
      <c r="AL4500">
        <v>79.278111213527197</v>
      </c>
      <c r="AM4500">
        <v>92.820010960881405</v>
      </c>
      <c r="AN4500">
        <v>1.0000000496486401</v>
      </c>
    </row>
    <row r="4501" spans="1:40" x14ac:dyDescent="0.25">
      <c r="A4501" t="str">
        <f>"20190312172501534"</f>
        <v>20190312172501534</v>
      </c>
      <c r="B4501" t="str">
        <f>"1552382701525429"</f>
        <v>1552382701525429</v>
      </c>
      <c r="C4501" t="s">
        <v>40</v>
      </c>
      <c r="D4501">
        <v>3.5112770000000002</v>
      </c>
      <c r="E4501">
        <v>0.46195380000000003</v>
      </c>
      <c r="F4501" t="s">
        <v>43</v>
      </c>
      <c r="G4501">
        <v>-373.74329999999998</v>
      </c>
      <c r="H4501" s="1">
        <v>-2.7942159999999999E-6</v>
      </c>
      <c r="I4501">
        <v>138.89580000000001</v>
      </c>
      <c r="J4501">
        <v>-353.65780000000001</v>
      </c>
      <c r="K4501">
        <v>1.111216</v>
      </c>
      <c r="L4501">
        <v>142.2406</v>
      </c>
      <c r="M4501">
        <v>-0.99992530000000002</v>
      </c>
      <c r="N4501">
        <v>0</v>
      </c>
      <c r="O4501">
        <v>-9.281559E-3</v>
      </c>
      <c r="P4501">
        <v>-0.9822786</v>
      </c>
      <c r="Q4501">
        <v>0.17829529999999999</v>
      </c>
      <c r="R4501">
        <v>-5.77914E-2</v>
      </c>
      <c r="S4501">
        <v>-3.056</v>
      </c>
      <c r="T4501">
        <v>-0.1651176</v>
      </c>
      <c r="U4501">
        <v>-0.49769590000000002</v>
      </c>
      <c r="V4501">
        <v>-4.9589229999999998E-2</v>
      </c>
      <c r="W4501">
        <v>0.1858775</v>
      </c>
      <c r="X4501">
        <v>0.98132079999999999</v>
      </c>
      <c r="Y4501">
        <v>-0.15137100000000001</v>
      </c>
      <c r="Z4501">
        <v>-3.5619039999999999E-3</v>
      </c>
      <c r="AA4501">
        <v>0.98847059999999998</v>
      </c>
      <c r="AB4501">
        <v>49</v>
      </c>
      <c r="AC4501">
        <v>-20.0854999999999</v>
      </c>
      <c r="AD4501">
        <v>-1.1112187942159999</v>
      </c>
      <c r="AE4501">
        <v>-3.34479999999999</v>
      </c>
      <c r="AF4501">
        <v>-3.1488473625209301</v>
      </c>
      <c r="AG4501">
        <v>-1.1112187942159999</v>
      </c>
      <c r="AH4501">
        <v>20.055950040555199</v>
      </c>
      <c r="AI4501">
        <v>93.132983103249103</v>
      </c>
      <c r="AJ4501">
        <v>98.922778288688804</v>
      </c>
      <c r="AK4501">
        <v>20.3320234839113</v>
      </c>
      <c r="AL4501">
        <v>79.287703415591395</v>
      </c>
      <c r="AM4501">
        <v>92.892875411199697</v>
      </c>
      <c r="AN4501">
        <v>1.0000000246254399</v>
      </c>
    </row>
    <row r="4502" spans="1:40" x14ac:dyDescent="0.25">
      <c r="A4502" t="str">
        <f>"20190312172501555"</f>
        <v>20190312172501555</v>
      </c>
      <c r="B4502" t="str">
        <f>"1552382701544949"</f>
        <v>1552382701544949</v>
      </c>
      <c r="C4502" t="s">
        <v>40</v>
      </c>
      <c r="D4502">
        <v>3.47492</v>
      </c>
      <c r="E4502">
        <v>0.46195700000000001</v>
      </c>
      <c r="F4502" t="s">
        <v>43</v>
      </c>
      <c r="G4502">
        <v>-374.84140000000002</v>
      </c>
      <c r="H4502" s="1">
        <v>-2.3522679999999999E-6</v>
      </c>
      <c r="I4502">
        <v>138.73159999999999</v>
      </c>
      <c r="J4502">
        <v>-354.1327</v>
      </c>
      <c r="K4502">
        <v>1.1112470000000001</v>
      </c>
      <c r="L4502">
        <v>142.2354</v>
      </c>
      <c r="M4502">
        <v>-0.99990789999999996</v>
      </c>
      <c r="N4502">
        <v>0</v>
      </c>
      <c r="O4502">
        <v>-1.087198E-2</v>
      </c>
      <c r="P4502">
        <v>-0.98223559999999999</v>
      </c>
      <c r="Q4502">
        <v>0.17765549999999999</v>
      </c>
      <c r="R4502">
        <v>-6.0434559999999998E-2</v>
      </c>
      <c r="S4502">
        <v>-3.0534059999999998</v>
      </c>
      <c r="T4502">
        <v>-0.1601717</v>
      </c>
      <c r="U4502">
        <v>-0.50578310000000004</v>
      </c>
      <c r="V4502">
        <v>-5.0672469999999997E-2</v>
      </c>
      <c r="W4502">
        <v>0.18539630000000001</v>
      </c>
      <c r="X4502">
        <v>0.98135640000000002</v>
      </c>
      <c r="Y4502">
        <v>-0.1524935</v>
      </c>
      <c r="Z4502">
        <v>-3.4039640000000002E-3</v>
      </c>
      <c r="AA4502">
        <v>0.98829860000000003</v>
      </c>
      <c r="AB4502">
        <v>49</v>
      </c>
      <c r="AC4502">
        <v>-20.7087</v>
      </c>
      <c r="AD4502">
        <v>-1.11124935226799</v>
      </c>
      <c r="AE4502">
        <v>-3.5038000000000098</v>
      </c>
      <c r="AF4502">
        <v>-3.2692889711709698</v>
      </c>
      <c r="AG4502">
        <v>-1.11124935226799</v>
      </c>
      <c r="AH4502">
        <v>20.687658193537299</v>
      </c>
      <c r="AI4502">
        <v>93.037102308250397</v>
      </c>
      <c r="AJ4502">
        <v>98.980237526344695</v>
      </c>
      <c r="AK4502">
        <v>20.9738486461729</v>
      </c>
      <c r="AL4502">
        <v>79.315760881434798</v>
      </c>
      <c r="AM4502">
        <v>92.955850213745094</v>
      </c>
      <c r="AN4502">
        <v>0.999999935545273</v>
      </c>
    </row>
    <row r="4503" spans="1:40" x14ac:dyDescent="0.25">
      <c r="A4503" t="str">
        <f>"20190312172501577"</f>
        <v>20190312172501577</v>
      </c>
      <c r="B4503" t="str">
        <f>"1552382701575205"</f>
        <v>1552382701575205</v>
      </c>
      <c r="C4503" t="s">
        <v>40</v>
      </c>
      <c r="D4503">
        <v>3.537617</v>
      </c>
      <c r="E4503">
        <v>0.46191680000000002</v>
      </c>
      <c r="F4503" t="s">
        <v>43</v>
      </c>
      <c r="G4503">
        <v>-375.55950000000001</v>
      </c>
      <c r="H4503" s="1">
        <v>-2.0619889999999998E-6</v>
      </c>
      <c r="I4503">
        <v>138.63120000000001</v>
      </c>
      <c r="J4503">
        <v>-354.60160000000002</v>
      </c>
      <c r="K4503">
        <v>1.1112709999999999</v>
      </c>
      <c r="L4503">
        <v>142.2295</v>
      </c>
      <c r="M4503">
        <v>-0.99988840000000001</v>
      </c>
      <c r="N4503">
        <v>0</v>
      </c>
      <c r="O4503">
        <v>-1.243357E-2</v>
      </c>
      <c r="P4503">
        <v>-0.98213289999999998</v>
      </c>
      <c r="Q4503">
        <v>0.17750920000000001</v>
      </c>
      <c r="R4503">
        <v>-6.2493550000000002E-2</v>
      </c>
      <c r="S4503">
        <v>-3.0512700000000001</v>
      </c>
      <c r="T4503">
        <v>-0.1582469</v>
      </c>
      <c r="U4503">
        <v>-0.51324459999999905</v>
      </c>
      <c r="V4503">
        <v>-5.1204470000000002E-2</v>
      </c>
      <c r="W4503">
        <v>0.18540000000000001</v>
      </c>
      <c r="X4503">
        <v>0.98132810000000004</v>
      </c>
      <c r="Y4503">
        <v>-0.153418</v>
      </c>
      <c r="Z4503">
        <v>-3.3082200000000002E-3</v>
      </c>
      <c r="AA4503">
        <v>0.98815580000000003</v>
      </c>
      <c r="AB4503">
        <v>49</v>
      </c>
      <c r="AC4503">
        <v>-20.957899999999899</v>
      </c>
      <c r="AD4503">
        <v>-1.1112730619890001</v>
      </c>
      <c r="AE4503">
        <v>-3.5982999999999898</v>
      </c>
      <c r="AF4503">
        <v>-3.3283415263920402</v>
      </c>
      <c r="AG4503">
        <v>-1.1112730619890001</v>
      </c>
      <c r="AH4503">
        <v>20.9438225632619</v>
      </c>
      <c r="AI4503">
        <v>92.999677151392703</v>
      </c>
      <c r="AJ4503">
        <v>99.029796476026803</v>
      </c>
      <c r="AK4503">
        <v>21.235736123243001</v>
      </c>
      <c r="AL4503">
        <v>79.315545290223795</v>
      </c>
      <c r="AM4503">
        <v>92.986913165752995</v>
      </c>
      <c r="AN4503">
        <v>0.99999994879879395</v>
      </c>
    </row>
    <row r="4504" spans="1:40" x14ac:dyDescent="0.25">
      <c r="A4504" t="str">
        <f>"20190312172501601"</f>
        <v>20190312172501601</v>
      </c>
      <c r="B4504" t="str">
        <f>"1552382701594729"</f>
        <v>1552382701594729</v>
      </c>
      <c r="C4504" t="s">
        <v>40</v>
      </c>
      <c r="D4504">
        <v>3.5385749999999998</v>
      </c>
      <c r="E4504">
        <v>0.46189999999999998</v>
      </c>
      <c r="F4504" t="s">
        <v>43</v>
      </c>
      <c r="G4504">
        <v>-376.59410000000003</v>
      </c>
      <c r="H4504" s="1">
        <v>-1.64422E-6</v>
      </c>
      <c r="I4504">
        <v>138.48429999999999</v>
      </c>
      <c r="J4504">
        <v>-355.12869999999998</v>
      </c>
      <c r="K4504">
        <v>1.1112979999999999</v>
      </c>
      <c r="L4504">
        <v>142.22200000000001</v>
      </c>
      <c r="M4504">
        <v>-0.99986379999999997</v>
      </c>
      <c r="N4504">
        <v>0</v>
      </c>
      <c r="O4504">
        <v>-1.4179000000000001E-2</v>
      </c>
      <c r="P4504">
        <v>-0.9819755</v>
      </c>
      <c r="Q4504">
        <v>0.1776181</v>
      </c>
      <c r="R4504">
        <v>-6.4621280000000003E-2</v>
      </c>
      <c r="S4504">
        <v>-3.0493769999999998</v>
      </c>
      <c r="T4504">
        <v>-0.1540842</v>
      </c>
      <c r="U4504">
        <v>-0.5192871</v>
      </c>
      <c r="V4504">
        <v>-5.162812E-2</v>
      </c>
      <c r="W4504">
        <v>0.1856671</v>
      </c>
      <c r="X4504">
        <v>0.98125549999999995</v>
      </c>
      <c r="Y4504">
        <v>-0.15370799999999901</v>
      </c>
      <c r="Z4504">
        <v>-3.1425619999999998E-3</v>
      </c>
      <c r="AA4504">
        <v>0.98811130000000003</v>
      </c>
      <c r="AB4504">
        <v>49</v>
      </c>
      <c r="AC4504">
        <v>-21.465399999999999</v>
      </c>
      <c r="AD4504">
        <v>-1.1112996442199901</v>
      </c>
      <c r="AE4504">
        <v>-3.73770000000001</v>
      </c>
      <c r="AF4504">
        <v>-3.42404804749484</v>
      </c>
      <c r="AG4504">
        <v>-1.1112996442199901</v>
      </c>
      <c r="AH4504">
        <v>21.460412961885002</v>
      </c>
      <c r="AI4504">
        <v>92.927378792232304</v>
      </c>
      <c r="AJ4504">
        <v>99.065237582455296</v>
      </c>
      <c r="AK4504">
        <v>21.760248537768099</v>
      </c>
      <c r="AL4504">
        <v>79.299972235325498</v>
      </c>
      <c r="AM4504">
        <v>93.011803065820999</v>
      </c>
      <c r="AN4504">
        <v>1.0000000455386899</v>
      </c>
    </row>
    <row r="4505" spans="1:40" x14ac:dyDescent="0.25">
      <c r="A4505" t="str">
        <f>"20190312172501623"</f>
        <v>20190312172501623</v>
      </c>
      <c r="B4505" t="str">
        <f>"1552382701615220"</f>
        <v>1552382701615220</v>
      </c>
      <c r="C4505" t="s">
        <v>40</v>
      </c>
      <c r="D4505">
        <v>3.499949</v>
      </c>
      <c r="E4505">
        <v>0.46201589999999998</v>
      </c>
      <c r="F4505" t="s">
        <v>43</v>
      </c>
      <c r="G4505">
        <v>-377.62869999999998</v>
      </c>
      <c r="H4505" s="1">
        <v>-1.2254139999999999E-6</v>
      </c>
      <c r="I4505">
        <v>138.3433</v>
      </c>
      <c r="J4505">
        <v>-355.61130000000003</v>
      </c>
      <c r="K4505">
        <v>1.1113200000000001</v>
      </c>
      <c r="L4505">
        <v>142.21440000000001</v>
      </c>
      <c r="M4505">
        <v>-0.99983869999999997</v>
      </c>
      <c r="N4505">
        <v>0</v>
      </c>
      <c r="O4505">
        <v>-1.5769490000000001E-2</v>
      </c>
      <c r="P4505">
        <v>-0.98183410000000004</v>
      </c>
      <c r="Q4505">
        <v>0.1777591</v>
      </c>
      <c r="R4505">
        <v>-6.6361500000000004E-2</v>
      </c>
      <c r="S4505">
        <v>-3.0477289999999999</v>
      </c>
      <c r="T4505">
        <v>-0.15053139999999901</v>
      </c>
      <c r="U4505">
        <v>-0.52539060000000004</v>
      </c>
      <c r="V4505">
        <v>-5.1815319999999998E-2</v>
      </c>
      <c r="W4505">
        <v>0.18594450000000001</v>
      </c>
      <c r="X4505">
        <v>0.98119310000000004</v>
      </c>
      <c r="Y4505">
        <v>-0.15415609999999999</v>
      </c>
      <c r="Z4505">
        <v>-3.0044080000000001E-3</v>
      </c>
      <c r="AA4505">
        <v>0.98804190000000003</v>
      </c>
      <c r="AB4505">
        <v>49</v>
      </c>
      <c r="AC4505">
        <v>-22.017399999999899</v>
      </c>
      <c r="AD4505">
        <v>-1.1113212254139999</v>
      </c>
      <c r="AE4505">
        <v>-3.87110000000001</v>
      </c>
      <c r="AF4505">
        <v>-3.5147166942000498</v>
      </c>
      <c r="AG4505">
        <v>-1.1113212254139999</v>
      </c>
      <c r="AH4505">
        <v>22.021288362403201</v>
      </c>
      <c r="AI4505">
        <v>92.852975707025095</v>
      </c>
      <c r="AJ4505">
        <v>99.068231388582007</v>
      </c>
      <c r="AK4505">
        <v>22.327682581196399</v>
      </c>
      <c r="AL4505">
        <v>79.283796675517095</v>
      </c>
      <c r="AM4505">
        <v>93.022895316238106</v>
      </c>
      <c r="AN4505">
        <v>1.0000000419772801</v>
      </c>
    </row>
    <row r="4506" spans="1:40" x14ac:dyDescent="0.25">
      <c r="A4506" t="str">
        <f>"20190312172501644"</f>
        <v>20190312172501644</v>
      </c>
      <c r="B4506" t="str">
        <f>"1552382701634741"</f>
        <v>1552382701634741</v>
      </c>
      <c r="C4506" t="s">
        <v>40</v>
      </c>
      <c r="D4506">
        <v>3.5518900000000002</v>
      </c>
      <c r="E4506">
        <v>0.46214929999999899</v>
      </c>
      <c r="F4506" t="s">
        <v>43</v>
      </c>
      <c r="G4506">
        <v>-378.69009999999997</v>
      </c>
      <c r="H4506" s="1">
        <v>-8.0810230000000002E-7</v>
      </c>
      <c r="I4506">
        <v>138.202</v>
      </c>
      <c r="J4506">
        <v>-356.09289999999999</v>
      </c>
      <c r="K4506">
        <v>1.1113309999999901</v>
      </c>
      <c r="L4506">
        <v>142.20590000000001</v>
      </c>
      <c r="M4506">
        <v>-0.99981140000000002</v>
      </c>
      <c r="N4506">
        <v>0</v>
      </c>
      <c r="O4506">
        <v>-1.735308E-2</v>
      </c>
      <c r="P4506">
        <v>-0.98163800000000001</v>
      </c>
      <c r="Q4506">
        <v>0.17810029999999999</v>
      </c>
      <c r="R4506">
        <v>-6.8319749999999999E-2</v>
      </c>
      <c r="S4506">
        <v>-3.0462340000000001</v>
      </c>
      <c r="T4506">
        <v>-0.14668629999999999</v>
      </c>
      <c r="U4506">
        <v>-0.52958680000000002</v>
      </c>
      <c r="V4506">
        <v>-5.2227959999999997E-2</v>
      </c>
      <c r="W4506">
        <v>0.18640970000000001</v>
      </c>
      <c r="X4506">
        <v>0.98108289999999998</v>
      </c>
      <c r="Y4506">
        <v>-0.1540039</v>
      </c>
      <c r="Z4506">
        <v>-2.8496070000000001E-3</v>
      </c>
      <c r="AA4506">
        <v>0.98806609999999995</v>
      </c>
      <c r="AB4506">
        <v>49</v>
      </c>
      <c r="AC4506">
        <v>-22.597199999999901</v>
      </c>
      <c r="AD4506">
        <v>-1.11133180810229</v>
      </c>
      <c r="AE4506">
        <v>-4.0039000000000096</v>
      </c>
      <c r="AF4506">
        <v>-3.6027025936031301</v>
      </c>
      <c r="AG4506">
        <v>-1.11133180810229</v>
      </c>
      <c r="AH4506">
        <v>22.610257452168799</v>
      </c>
      <c r="AI4506">
        <v>92.778918512061296</v>
      </c>
      <c r="AJ4506">
        <v>99.053362702089899</v>
      </c>
      <c r="AK4506">
        <v>22.922440237003698</v>
      </c>
      <c r="AL4506">
        <v>79.256667878190598</v>
      </c>
      <c r="AM4506">
        <v>93.047265069087302</v>
      </c>
      <c r="AN4506">
        <v>0.99999999636613002</v>
      </c>
    </row>
    <row r="4507" spans="1:40" x14ac:dyDescent="0.25">
      <c r="A4507" t="str">
        <f>"20190312172501666"</f>
        <v>20190312172501666</v>
      </c>
      <c r="B4507" t="str">
        <f>"1552382701655237"</f>
        <v>1552382701655237</v>
      </c>
      <c r="C4507" t="s">
        <v>40</v>
      </c>
      <c r="D4507">
        <v>3.5215689999999999</v>
      </c>
      <c r="E4507">
        <v>0.46230520000000003</v>
      </c>
      <c r="F4507" t="s">
        <v>43</v>
      </c>
      <c r="G4507">
        <v>-379.70949999999999</v>
      </c>
      <c r="H4507" s="1">
        <v>-4.9860200000000003E-7</v>
      </c>
      <c r="I4507">
        <v>138.06139999999999</v>
      </c>
      <c r="J4507">
        <v>-356.57920000000001</v>
      </c>
      <c r="K4507">
        <v>1.11134</v>
      </c>
      <c r="L4507">
        <v>142.19659999999999</v>
      </c>
      <c r="M4507">
        <v>-0.99978129999999998</v>
      </c>
      <c r="N4507">
        <v>0</v>
      </c>
      <c r="O4507">
        <v>-1.894943E-2</v>
      </c>
      <c r="P4507">
        <v>-0.98158160000000005</v>
      </c>
      <c r="Q4507">
        <v>0.17751020000000001</v>
      </c>
      <c r="R4507">
        <v>-7.0625919999999995E-2</v>
      </c>
      <c r="S4507">
        <v>-3.0448909999999998</v>
      </c>
      <c r="T4507">
        <v>-0.143284299999999</v>
      </c>
      <c r="U4507">
        <v>-0.53433229999999998</v>
      </c>
      <c r="V4507">
        <v>-5.2967750000000001E-2</v>
      </c>
      <c r="W4507">
        <v>0.18593419999999999</v>
      </c>
      <c r="X4507">
        <v>0.98113349999999999</v>
      </c>
      <c r="Y4507">
        <v>-0.154002799999999</v>
      </c>
      <c r="Z4507">
        <v>-2.7099590000000001E-3</v>
      </c>
      <c r="AA4507">
        <v>0.98806669999999996</v>
      </c>
      <c r="AB4507">
        <v>49</v>
      </c>
      <c r="AC4507">
        <v>-23.130299999999899</v>
      </c>
      <c r="AD4507">
        <v>-1.1113404986019999</v>
      </c>
      <c r="AE4507">
        <v>-4.1351999999999904</v>
      </c>
      <c r="AF4507">
        <v>-3.6878844457522302</v>
      </c>
      <c r="AG4507">
        <v>-1.1113404986019999</v>
      </c>
      <c r="AH4507">
        <v>23.1527163423969</v>
      </c>
      <c r="AI4507">
        <v>92.713952048255905</v>
      </c>
      <c r="AJ4507">
        <v>99.050338262929003</v>
      </c>
      <c r="AK4507">
        <v>23.470914839872499</v>
      </c>
      <c r="AL4507">
        <v>79.284397134218807</v>
      </c>
      <c r="AM4507">
        <v>93.090186315747999</v>
      </c>
      <c r="AN4507">
        <v>1.0000000270459699</v>
      </c>
    </row>
    <row r="4508" spans="1:40" x14ac:dyDescent="0.25">
      <c r="A4508" t="str">
        <f>"20190312172501690"</f>
        <v>20190312172501690</v>
      </c>
      <c r="B4508" t="str">
        <f>"1552382701685493"</f>
        <v>1552382701685493</v>
      </c>
      <c r="C4508" t="s">
        <v>40</v>
      </c>
      <c r="D4508">
        <v>3.4829569999999999</v>
      </c>
      <c r="E4508">
        <v>0.46247850000000001</v>
      </c>
      <c r="F4508" t="s">
        <v>43</v>
      </c>
      <c r="G4508">
        <v>-380.07870000000003</v>
      </c>
      <c r="H4508" s="1">
        <v>-4.5205409999999998E-6</v>
      </c>
      <c r="I4508">
        <v>138.02629999999999</v>
      </c>
      <c r="J4508">
        <v>-357.08760000000001</v>
      </c>
      <c r="K4508">
        <v>1.11134</v>
      </c>
      <c r="L4508">
        <v>142.18610000000001</v>
      </c>
      <c r="M4508">
        <v>-0.99974719999999995</v>
      </c>
      <c r="N4508">
        <v>0</v>
      </c>
      <c r="O4508">
        <v>-2.061663E-2</v>
      </c>
      <c r="P4508">
        <v>-0.98143749999999996</v>
      </c>
      <c r="Q4508">
        <v>0.1775388</v>
      </c>
      <c r="R4508">
        <v>-7.2530140000000007E-2</v>
      </c>
      <c r="S4508">
        <v>-3.043488</v>
      </c>
      <c r="T4508">
        <v>-0.1439337</v>
      </c>
      <c r="U4508">
        <v>-0.54010009999999997</v>
      </c>
      <c r="V4508">
        <v>-5.3239050000000003E-2</v>
      </c>
      <c r="W4508">
        <v>0.18607570000000001</v>
      </c>
      <c r="X4508">
        <v>0.98109199999999996</v>
      </c>
      <c r="Y4508">
        <v>-0.15424879999999999</v>
      </c>
      <c r="Z4508">
        <v>-2.650674E-3</v>
      </c>
      <c r="AA4508">
        <v>0.98802849999999998</v>
      </c>
      <c r="AB4508">
        <v>49</v>
      </c>
      <c r="AC4508">
        <v>-22.991099999999999</v>
      </c>
      <c r="AD4508">
        <v>-1.111344520541</v>
      </c>
      <c r="AE4508">
        <v>-4.1598000000000104</v>
      </c>
      <c r="AF4508">
        <v>-3.6765794419731201</v>
      </c>
      <c r="AG4508">
        <v>-1.111344520541</v>
      </c>
      <c r="AH4508">
        <v>23.019894949878601</v>
      </c>
      <c r="AI4508">
        <v>92.729415984401498</v>
      </c>
      <c r="AJ4508">
        <v>99.074249954202202</v>
      </c>
      <c r="AK4508">
        <v>23.338120887079199</v>
      </c>
      <c r="AL4508">
        <v>79.276145899413393</v>
      </c>
      <c r="AM4508">
        <v>93.106114415866301</v>
      </c>
      <c r="AN4508">
        <v>1.00000003751969</v>
      </c>
    </row>
    <row r="4509" spans="1:40" x14ac:dyDescent="0.25">
      <c r="A4509" t="str">
        <f>"20190312172501713"</f>
        <v>20190312172501713</v>
      </c>
      <c r="B4509" t="str">
        <f>"1552382701705013"</f>
        <v>1552382701705013</v>
      </c>
      <c r="C4509" t="s">
        <v>40</v>
      </c>
      <c r="D4509">
        <v>3.545506</v>
      </c>
      <c r="E4509">
        <v>0.46258270000000001</v>
      </c>
      <c r="F4509" t="s">
        <v>43</v>
      </c>
      <c r="G4509">
        <v>-380.95190000000002</v>
      </c>
      <c r="H4509" s="1">
        <v>-4.1659150000000004E-6</v>
      </c>
      <c r="I4509">
        <v>137.91370000000001</v>
      </c>
      <c r="J4509">
        <v>-357.59679999999997</v>
      </c>
      <c r="K4509">
        <v>1.11134</v>
      </c>
      <c r="L4509">
        <v>142.1747</v>
      </c>
      <c r="M4509">
        <v>-0.9997106</v>
      </c>
      <c r="N4509">
        <v>0</v>
      </c>
      <c r="O4509">
        <v>-2.2281220000000001E-2</v>
      </c>
      <c r="P4509">
        <v>-0.9813347</v>
      </c>
      <c r="Q4509">
        <v>0.17748050000000001</v>
      </c>
      <c r="R4509">
        <v>-7.4045470000000002E-2</v>
      </c>
      <c r="S4509">
        <v>-3.0421140000000002</v>
      </c>
      <c r="T4509">
        <v>-0.14166989999999999</v>
      </c>
      <c r="U4509">
        <v>-0.54461669999999995</v>
      </c>
      <c r="V4509">
        <v>-5.3121590000000003E-2</v>
      </c>
      <c r="W4509">
        <v>0.18612529999999999</v>
      </c>
      <c r="X4509">
        <v>0.98108890000000004</v>
      </c>
      <c r="Y4509">
        <v>-0.15410850000000001</v>
      </c>
      <c r="Z4509">
        <v>-2.5298289999999999E-3</v>
      </c>
      <c r="AA4509">
        <v>0.98805069999999995</v>
      </c>
      <c r="AB4509">
        <v>49</v>
      </c>
      <c r="AC4509">
        <v>-23.3551</v>
      </c>
      <c r="AD4509">
        <v>-1.1113441659150001</v>
      </c>
      <c r="AE4509">
        <v>-4.2609999999999904</v>
      </c>
      <c r="AF4509">
        <v>-3.73136381084087</v>
      </c>
      <c r="AG4509">
        <v>-1.1113441659150001</v>
      </c>
      <c r="AH4509">
        <v>23.392983249157801</v>
      </c>
      <c r="AI4509">
        <v>92.686034386801495</v>
      </c>
      <c r="AJ4509">
        <v>99.062778989029098</v>
      </c>
      <c r="AK4509">
        <v>23.7147596875731</v>
      </c>
      <c r="AL4509">
        <v>79.273252878186099</v>
      </c>
      <c r="AM4509">
        <v>93.099284620996599</v>
      </c>
      <c r="AN4509">
        <v>0.99999998016371405</v>
      </c>
    </row>
    <row r="4510" spans="1:40" x14ac:dyDescent="0.25">
      <c r="A4510" t="str">
        <f>"20190312172501734"</f>
        <v>20190312172501734</v>
      </c>
      <c r="B4510" t="str">
        <f>"1552382701725042"</f>
        <v>1552382701725042</v>
      </c>
      <c r="C4510" t="s">
        <v>40</v>
      </c>
      <c r="D4510">
        <v>3.5504150000000001</v>
      </c>
      <c r="E4510">
        <v>0.46260849999999998</v>
      </c>
      <c r="F4510" t="s">
        <v>43</v>
      </c>
      <c r="G4510">
        <v>-381.60820000000001</v>
      </c>
      <c r="H4510" s="1">
        <v>-3.8961979999999996E-6</v>
      </c>
      <c r="I4510">
        <v>137.84690000000001</v>
      </c>
      <c r="J4510">
        <v>-358.07690000000002</v>
      </c>
      <c r="K4510">
        <v>1.11134</v>
      </c>
      <c r="L4510">
        <v>142.16309999999999</v>
      </c>
      <c r="M4510">
        <v>-0.99967360000000005</v>
      </c>
      <c r="N4510">
        <v>0</v>
      </c>
      <c r="O4510">
        <v>-2.384151E-2</v>
      </c>
      <c r="P4510">
        <v>-0.98131000000000002</v>
      </c>
      <c r="Q4510">
        <v>0.1770861</v>
      </c>
      <c r="R4510">
        <v>-7.5307369999999998E-2</v>
      </c>
      <c r="S4510">
        <v>-3.0411990000000002</v>
      </c>
      <c r="T4510">
        <v>-0.140759</v>
      </c>
      <c r="U4510">
        <v>-0.54812620000000001</v>
      </c>
      <c r="V4510">
        <v>-5.2847619999999998E-2</v>
      </c>
      <c r="W4510">
        <v>0.18583250000000001</v>
      </c>
      <c r="X4510">
        <v>0.98115920000000001</v>
      </c>
      <c r="Y4510">
        <v>-0.15372629999999901</v>
      </c>
      <c r="Z4510">
        <v>-2.4337859999999998E-3</v>
      </c>
      <c r="AA4510">
        <v>0.9881105</v>
      </c>
      <c r="AB4510">
        <v>49</v>
      </c>
      <c r="AC4510">
        <v>-23.531299999999899</v>
      </c>
      <c r="AD4510">
        <v>-1.111343896198</v>
      </c>
      <c r="AE4510">
        <v>-4.3161999999999798</v>
      </c>
      <c r="AF4510">
        <v>-3.7458444466416601</v>
      </c>
      <c r="AG4510">
        <v>-1.111343896198</v>
      </c>
      <c r="AH4510">
        <v>23.5766433929371</v>
      </c>
      <c r="AI4510">
        <v>92.665399681948898</v>
      </c>
      <c r="AJ4510">
        <v>99.027666518840505</v>
      </c>
      <c r="AK4510">
        <v>23.898212266857499</v>
      </c>
      <c r="AL4510">
        <v>79.290326985681205</v>
      </c>
      <c r="AM4510">
        <v>93.083110756612001</v>
      </c>
      <c r="AN4510">
        <v>0.99999998237027699</v>
      </c>
    </row>
    <row r="4511" spans="1:40" x14ac:dyDescent="0.25">
      <c r="A4511" t="str">
        <f>"20190312172501756"</f>
        <v>20190312172501756</v>
      </c>
      <c r="B4511" t="str">
        <f>"1552382701744561"</f>
        <v>1552382701744561</v>
      </c>
      <c r="C4511" t="s">
        <v>40</v>
      </c>
      <c r="D4511">
        <v>3.535053</v>
      </c>
      <c r="E4511">
        <v>0.46270559999999999</v>
      </c>
      <c r="F4511" t="s">
        <v>43</v>
      </c>
      <c r="G4511">
        <v>-381.99709999999999</v>
      </c>
      <c r="H4511" s="1">
        <v>-3.7342900000000001E-6</v>
      </c>
      <c r="I4511">
        <v>137.8192</v>
      </c>
      <c r="J4511">
        <v>-358.55560000000003</v>
      </c>
      <c r="K4511">
        <v>1.111334</v>
      </c>
      <c r="L4511">
        <v>142.15090000000001</v>
      </c>
      <c r="M4511">
        <v>-0.99963480000000005</v>
      </c>
      <c r="N4511">
        <v>0</v>
      </c>
      <c r="O4511">
        <v>-2.53811E-2</v>
      </c>
      <c r="P4511">
        <v>-0.981267</v>
      </c>
      <c r="Q4511">
        <v>0.17675959999999999</v>
      </c>
      <c r="R4511">
        <v>-7.6626360000000004E-2</v>
      </c>
      <c r="S4511">
        <v>-3.0402529999999999</v>
      </c>
      <c r="T4511">
        <v>-0.14125190000000001</v>
      </c>
      <c r="U4511">
        <v>-0.55210879999999996</v>
      </c>
      <c r="V4511">
        <v>-5.2649639999999998E-2</v>
      </c>
      <c r="W4511">
        <v>0.1856081</v>
      </c>
      <c r="X4511">
        <v>0.98121230000000004</v>
      </c>
      <c r="Y4511">
        <v>-0.15351229999999999</v>
      </c>
      <c r="Z4511">
        <v>-2.3670200000000001E-3</v>
      </c>
      <c r="AA4511">
        <v>0.98814389999999996</v>
      </c>
      <c r="AB4511">
        <v>49</v>
      </c>
      <c r="AC4511">
        <v>-23.441499999999898</v>
      </c>
      <c r="AD4511">
        <v>-1.1113377342899999</v>
      </c>
      <c r="AE4511">
        <v>-4.3317000000000103</v>
      </c>
      <c r="AF4511">
        <v>-3.7272070487929598</v>
      </c>
      <c r="AG4511">
        <v>-1.1113377342899999</v>
      </c>
      <c r="AH4511">
        <v>23.4928363819559</v>
      </c>
      <c r="AI4511">
        <v>92.674973191455095</v>
      </c>
      <c r="AJ4511">
        <v>99.015005586132204</v>
      </c>
      <c r="AK4511">
        <v>23.812612313931002</v>
      </c>
      <c r="AL4511">
        <v>79.303411606809405</v>
      </c>
      <c r="AM4511">
        <v>93.071416928630796</v>
      </c>
      <c r="AN4511">
        <v>0.99999996452451401</v>
      </c>
    </row>
    <row r="4512" spans="1:40" x14ac:dyDescent="0.25">
      <c r="A4512" t="str">
        <f>"20190312172501779"</f>
        <v>20190312172501779</v>
      </c>
      <c r="B4512" t="str">
        <f>"1552382701774819"</f>
        <v>1552382701774819</v>
      </c>
      <c r="C4512" t="s">
        <v>40</v>
      </c>
      <c r="D4512">
        <v>3.541763</v>
      </c>
      <c r="E4512">
        <v>0.4629355</v>
      </c>
      <c r="F4512" t="s">
        <v>43</v>
      </c>
      <c r="G4512">
        <v>-382.41550000000001</v>
      </c>
      <c r="H4512" s="1">
        <v>-3.5594939999999998E-6</v>
      </c>
      <c r="I4512">
        <v>137.7928</v>
      </c>
      <c r="J4512">
        <v>-359.06310000000002</v>
      </c>
      <c r="K4512">
        <v>1.1113219999999999</v>
      </c>
      <c r="L4512">
        <v>142.13720000000001</v>
      </c>
      <c r="M4512">
        <v>-0.99959169999999997</v>
      </c>
      <c r="N4512">
        <v>0</v>
      </c>
      <c r="O4512">
        <v>-2.6988120000000001E-2</v>
      </c>
      <c r="P4512">
        <v>-0.98115580000000002</v>
      </c>
      <c r="Q4512">
        <v>0.17692949999999999</v>
      </c>
      <c r="R4512">
        <v>-7.7649850000000006E-2</v>
      </c>
      <c r="S4512">
        <v>-3.0394290000000002</v>
      </c>
      <c r="T4512">
        <v>-0.141569899999999</v>
      </c>
      <c r="U4512">
        <v>-0.55516049999999995</v>
      </c>
      <c r="V4512">
        <v>-5.209188E-2</v>
      </c>
      <c r="W4512">
        <v>0.185892</v>
      </c>
      <c r="X4512">
        <v>0.98118839999999996</v>
      </c>
      <c r="Y4512">
        <v>-0.1529327</v>
      </c>
      <c r="Z4512">
        <v>-2.2852910000000001E-3</v>
      </c>
      <c r="AA4512">
        <v>0.98823399999999995</v>
      </c>
      <c r="AB4512">
        <v>50</v>
      </c>
      <c r="AC4512">
        <v>-23.3523999999999</v>
      </c>
      <c r="AD4512">
        <v>-1.1113255594939999</v>
      </c>
      <c r="AE4512">
        <v>-4.3444000000000003</v>
      </c>
      <c r="AF4512">
        <v>-3.7044433264984198</v>
      </c>
      <c r="AG4512">
        <v>-1.1113255594939999</v>
      </c>
      <c r="AH4512">
        <v>23.409901636745701</v>
      </c>
      <c r="AI4512">
        <v>92.684576684222506</v>
      </c>
      <c r="AJ4512">
        <v>98.992070958975603</v>
      </c>
      <c r="AK4512">
        <v>23.727229916290899</v>
      </c>
      <c r="AL4512">
        <v>79.286858035169999</v>
      </c>
      <c r="AM4512">
        <v>93.039014137062296</v>
      </c>
      <c r="AN4512">
        <v>1.0000000379602401</v>
      </c>
    </row>
    <row r="4513" spans="1:40" x14ac:dyDescent="0.25">
      <c r="A4513" t="str">
        <f>"20190312172501802"</f>
        <v>20190312172501802</v>
      </c>
      <c r="B4513" t="str">
        <f>"1552382701795317"</f>
        <v>1552382701795317</v>
      </c>
      <c r="C4513" t="s">
        <v>40</v>
      </c>
      <c r="D4513">
        <v>3.5110209999999999</v>
      </c>
      <c r="E4513">
        <v>0.46311170000000002</v>
      </c>
      <c r="F4513" t="s">
        <v>43</v>
      </c>
      <c r="G4513">
        <v>-383.16109999999998</v>
      </c>
      <c r="H4513" s="1">
        <v>-3.2517309999999999E-6</v>
      </c>
      <c r="I4513">
        <v>137.72450000000001</v>
      </c>
      <c r="J4513">
        <v>-359.56229999999999</v>
      </c>
      <c r="K4513">
        <v>1.1113139999999999</v>
      </c>
      <c r="L4513">
        <v>142.12289999999999</v>
      </c>
      <c r="M4513">
        <v>-0.99954759999999998</v>
      </c>
      <c r="N4513">
        <v>0</v>
      </c>
      <c r="O4513">
        <v>-2.8533650000000001E-2</v>
      </c>
      <c r="P4513">
        <v>-0.98100100000000001</v>
      </c>
      <c r="Q4513">
        <v>0.17706759999999999</v>
      </c>
      <c r="R4513">
        <v>-7.9272560000000006E-2</v>
      </c>
      <c r="S4513">
        <v>-3.0388489999999999</v>
      </c>
      <c r="T4513">
        <v>-0.14014270000000001</v>
      </c>
      <c r="U4513">
        <v>-0.55645749999999905</v>
      </c>
      <c r="V4513">
        <v>-5.219087E-2</v>
      </c>
      <c r="W4513">
        <v>0.186145</v>
      </c>
      <c r="X4513">
        <v>0.98113510000000004</v>
      </c>
      <c r="Y4513">
        <v>-0.1518514</v>
      </c>
      <c r="Z4513">
        <v>-2.1673550000000001E-3</v>
      </c>
      <c r="AA4513">
        <v>0.98840090000000003</v>
      </c>
      <c r="AB4513">
        <v>50</v>
      </c>
      <c r="AC4513">
        <v>-23.598799999999901</v>
      </c>
      <c r="AD4513">
        <v>-1.1113172517309999</v>
      </c>
      <c r="AE4513">
        <v>-4.3983999999999801</v>
      </c>
      <c r="AF4513">
        <v>-3.7152560142576698</v>
      </c>
      <c r="AG4513">
        <v>-1.1113172517309999</v>
      </c>
      <c r="AH4513">
        <v>23.663981550616501</v>
      </c>
      <c r="AI4513">
        <v>92.6562807588856</v>
      </c>
      <c r="AJ4513">
        <v>98.922627847354804</v>
      </c>
      <c r="AK4513">
        <v>23.9796200160343</v>
      </c>
      <c r="AL4513">
        <v>79.272103923354706</v>
      </c>
      <c r="AM4513">
        <v>93.044943403726904</v>
      </c>
      <c r="AN4513">
        <v>0.99999996619418197</v>
      </c>
    </row>
    <row r="4514" spans="1:40" x14ac:dyDescent="0.25">
      <c r="A4514" t="str">
        <f>"20190312172501824"</f>
        <v>20190312172501824</v>
      </c>
      <c r="B4514" t="str">
        <f>"1552382701814837"</f>
        <v>1552382701814837</v>
      </c>
      <c r="C4514" t="s">
        <v>40</v>
      </c>
      <c r="D4514">
        <v>3.5682960000000001</v>
      </c>
      <c r="E4514">
        <v>0.46327420000000002</v>
      </c>
      <c r="F4514" t="s">
        <v>43</v>
      </c>
      <c r="G4514">
        <v>-383.75299999999999</v>
      </c>
      <c r="H4514" s="1">
        <v>-3.008383E-6</v>
      </c>
      <c r="I4514">
        <v>137.66480000000001</v>
      </c>
      <c r="J4514">
        <v>-360.0471</v>
      </c>
      <c r="K4514">
        <v>1.1112949999999999</v>
      </c>
      <c r="L4514">
        <v>142.10830000000001</v>
      </c>
      <c r="M4514">
        <v>-0.9995039</v>
      </c>
      <c r="N4514">
        <v>0</v>
      </c>
      <c r="O4514">
        <v>-2.9989930000000001E-2</v>
      </c>
      <c r="P4514">
        <v>-0.98090949999999999</v>
      </c>
      <c r="Q4514">
        <v>0.17680670000000001</v>
      </c>
      <c r="R4514">
        <v>-8.0969849999999996E-2</v>
      </c>
      <c r="S4514">
        <v>-3.0380549999999999</v>
      </c>
      <c r="T4514">
        <v>-0.1395682</v>
      </c>
      <c r="U4514">
        <v>-0.55987549999999997</v>
      </c>
      <c r="V4514">
        <v>-5.2445360000000003E-2</v>
      </c>
      <c r="W4514">
        <v>0.1860077</v>
      </c>
      <c r="X4514">
        <v>0.98114760000000001</v>
      </c>
      <c r="Y4514">
        <v>-0.15153559999999999</v>
      </c>
      <c r="Z4514">
        <v>-2.0854279999999998E-3</v>
      </c>
      <c r="AA4514">
        <v>0.98844960000000004</v>
      </c>
      <c r="AB4514">
        <v>50</v>
      </c>
      <c r="AC4514">
        <v>-23.7059</v>
      </c>
      <c r="AD4514">
        <v>-1.111298008383</v>
      </c>
      <c r="AE4514">
        <v>-4.4435000000000002</v>
      </c>
      <c r="AF4514">
        <v>-3.72262678738893</v>
      </c>
      <c r="AG4514">
        <v>-1.111298008383</v>
      </c>
      <c r="AH4514">
        <v>23.778021653625601</v>
      </c>
      <c r="AI4514">
        <v>92.643692508157599</v>
      </c>
      <c r="AJ4514">
        <v>98.897854938629607</v>
      </c>
      <c r="AK4514">
        <v>24.0933029537652</v>
      </c>
      <c r="AL4514">
        <v>79.280110796098995</v>
      </c>
      <c r="AM4514">
        <v>93.059723922249702</v>
      </c>
      <c r="AN4514">
        <v>0.99999999661528904</v>
      </c>
    </row>
    <row r="4515" spans="1:40" x14ac:dyDescent="0.25">
      <c r="A4515" t="str">
        <f>"20190312172501846"</f>
        <v>20190312172501846</v>
      </c>
      <c r="B4515" t="str">
        <f>"1552382701834763"</f>
        <v>1552382701834763</v>
      </c>
      <c r="C4515" t="s">
        <v>40</v>
      </c>
      <c r="D4515">
        <v>3.5630039999999998</v>
      </c>
      <c r="E4515">
        <v>0.46344039999999997</v>
      </c>
      <c r="F4515" t="s">
        <v>43</v>
      </c>
      <c r="G4515">
        <v>-384.10019999999997</v>
      </c>
      <c r="H4515" s="1">
        <v>-2.8636079999999998E-6</v>
      </c>
      <c r="I4515">
        <v>137.6413</v>
      </c>
      <c r="J4515">
        <v>-360.541</v>
      </c>
      <c r="K4515">
        <v>1.111278</v>
      </c>
      <c r="L4515">
        <v>142.09270000000001</v>
      </c>
      <c r="M4515">
        <v>-0.99945819999999996</v>
      </c>
      <c r="N4515">
        <v>0</v>
      </c>
      <c r="O4515">
        <v>-3.14346E-2</v>
      </c>
      <c r="P4515">
        <v>-0.9808344</v>
      </c>
      <c r="Q4515">
        <v>0.17653969999999999</v>
      </c>
      <c r="R4515">
        <v>-8.2447729999999997E-2</v>
      </c>
      <c r="S4515">
        <v>-3.0371090000000001</v>
      </c>
      <c r="T4515">
        <v>-0.1403208</v>
      </c>
      <c r="U4515">
        <v>-0.56402589999999997</v>
      </c>
      <c r="V4515">
        <v>-5.2489790000000001E-2</v>
      </c>
      <c r="W4515">
        <v>0.18586949999999999</v>
      </c>
      <c r="X4515">
        <v>0.98117140000000003</v>
      </c>
      <c r="Y4515">
        <v>-0.15146799999999999</v>
      </c>
      <c r="Z4515">
        <v>-2.0294689999999999E-3</v>
      </c>
      <c r="AA4515">
        <v>0.98846009999999995</v>
      </c>
      <c r="AB4515">
        <v>50</v>
      </c>
      <c r="AC4515">
        <v>-23.559199999999901</v>
      </c>
      <c r="AD4515">
        <v>-1.111280863608</v>
      </c>
      <c r="AE4515">
        <v>-4.4513999999999996</v>
      </c>
      <c r="AF4515">
        <v>-3.7006406435557699</v>
      </c>
      <c r="AG4515">
        <v>-1.111280863608</v>
      </c>
      <c r="AH4515">
        <v>23.6367123650497</v>
      </c>
      <c r="AI4515">
        <v>92.659431566091996</v>
      </c>
      <c r="AJ4515">
        <v>98.898178800111907</v>
      </c>
      <c r="AK4515">
        <v>23.950445878076099</v>
      </c>
      <c r="AL4515">
        <v>79.288169455964606</v>
      </c>
      <c r="AM4515">
        <v>93.062236948870904</v>
      </c>
      <c r="AN4515">
        <v>0.99999998263122603</v>
      </c>
    </row>
    <row r="4516" spans="1:40" x14ac:dyDescent="0.25">
      <c r="A4516" t="str">
        <f>"20190312172501867"</f>
        <v>20190312172501867</v>
      </c>
      <c r="B4516" t="str">
        <f>"1552382701865020"</f>
        <v>1552382701865020</v>
      </c>
      <c r="C4516" t="s">
        <v>40</v>
      </c>
      <c r="D4516">
        <v>3.6813570000000002</v>
      </c>
      <c r="E4516">
        <v>0.4635727</v>
      </c>
      <c r="F4516" t="s">
        <v>43</v>
      </c>
      <c r="G4516">
        <v>-384.49040000000002</v>
      </c>
      <c r="H4516" s="1">
        <v>-2.7007650000000001E-6</v>
      </c>
      <c r="I4516">
        <v>137.6156</v>
      </c>
      <c r="J4516">
        <v>-361.03219999999999</v>
      </c>
      <c r="K4516">
        <v>1.1112500000000001</v>
      </c>
      <c r="L4516">
        <v>142.07650000000001</v>
      </c>
      <c r="M4516">
        <v>-0.99941210000000003</v>
      </c>
      <c r="N4516">
        <v>0</v>
      </c>
      <c r="O4516">
        <v>-3.282769E-2</v>
      </c>
      <c r="P4516">
        <v>-0.98070749999999995</v>
      </c>
      <c r="Q4516">
        <v>0.17667720000000001</v>
      </c>
      <c r="R4516">
        <v>-8.3653080000000005E-2</v>
      </c>
      <c r="S4516">
        <v>-3.0362550000000001</v>
      </c>
      <c r="T4516">
        <v>-0.14088589999999901</v>
      </c>
      <c r="U4516">
        <v>-0.5675964</v>
      </c>
      <c r="V4516">
        <v>-5.2314010000000001E-2</v>
      </c>
      <c r="W4516">
        <v>0.18613469999999999</v>
      </c>
      <c r="X4516">
        <v>0.98113050000000002</v>
      </c>
      <c r="Y4516">
        <v>-0.15126410000000001</v>
      </c>
      <c r="Z4516">
        <v>-1.9693639999999999E-3</v>
      </c>
      <c r="AA4516">
        <v>0.98849140000000002</v>
      </c>
      <c r="AB4516">
        <v>50</v>
      </c>
      <c r="AC4516">
        <v>-23.458200000000001</v>
      </c>
      <c r="AD4516">
        <v>-1.1112527007649999</v>
      </c>
      <c r="AE4516">
        <v>-4.4608999999999996</v>
      </c>
      <c r="AF4516">
        <v>-3.6804084320770998</v>
      </c>
      <c r="AG4516">
        <v>-1.1112527007649999</v>
      </c>
      <c r="AH4516">
        <v>23.5410196238679</v>
      </c>
      <c r="AI4516">
        <v>92.670249610967105</v>
      </c>
      <c r="AJ4516">
        <v>98.885705694386004</v>
      </c>
      <c r="AK4516">
        <v>23.852880197644801</v>
      </c>
      <c r="AL4516">
        <v>79.272704609686301</v>
      </c>
      <c r="AM4516">
        <v>93.052128408862202</v>
      </c>
      <c r="AN4516">
        <v>0.99999997010830899</v>
      </c>
    </row>
    <row r="4517" spans="1:40" x14ac:dyDescent="0.25">
      <c r="A4517" t="str">
        <f>"20190312172501891"</f>
        <v>20190312172501891</v>
      </c>
      <c r="B4517" t="str">
        <f>"1552382701885514"</f>
        <v>1552382701885514</v>
      </c>
      <c r="C4517" t="s">
        <v>40</v>
      </c>
      <c r="D4517">
        <v>3.6559059999999999</v>
      </c>
      <c r="E4517">
        <v>0.46367059999999999</v>
      </c>
      <c r="F4517" t="s">
        <v>43</v>
      </c>
      <c r="G4517">
        <v>-384.78449999999998</v>
      </c>
      <c r="H4517" s="1">
        <v>-2.5743660000000002E-6</v>
      </c>
      <c r="I4517">
        <v>137.61689999999999</v>
      </c>
      <c r="J4517">
        <v>-361.54660000000001</v>
      </c>
      <c r="K4517">
        <v>1.1112249999999999</v>
      </c>
      <c r="L4517">
        <v>142.05889999999999</v>
      </c>
      <c r="M4517">
        <v>-0.99936369999999997</v>
      </c>
      <c r="N4517">
        <v>0</v>
      </c>
      <c r="O4517">
        <v>-3.4232060000000002E-2</v>
      </c>
      <c r="P4517">
        <v>-0.98072400000000004</v>
      </c>
      <c r="Q4517">
        <v>0.1762271</v>
      </c>
      <c r="R4517">
        <v>-8.4407839999999998E-2</v>
      </c>
      <c r="S4517">
        <v>-3.0359500000000001</v>
      </c>
      <c r="T4517">
        <v>-0.14203740000000001</v>
      </c>
      <c r="U4517">
        <v>-0.57000729999999999</v>
      </c>
      <c r="V4517">
        <v>-5.1665320000000001E-2</v>
      </c>
      <c r="W4517">
        <v>0.1858311</v>
      </c>
      <c r="X4517">
        <v>0.9812225</v>
      </c>
      <c r="Y4517">
        <v>-0.15065149999999999</v>
      </c>
      <c r="Z4517">
        <v>-1.906322E-3</v>
      </c>
      <c r="AA4517">
        <v>0.98858509999999999</v>
      </c>
      <c r="AB4517">
        <v>50</v>
      </c>
      <c r="AC4517">
        <v>-23.2378999999999</v>
      </c>
      <c r="AD4517">
        <v>-1.1112275743659901</v>
      </c>
      <c r="AE4517">
        <v>-4.4420000000000002</v>
      </c>
      <c r="AF4517">
        <v>-3.6358541450359501</v>
      </c>
      <c r="AG4517">
        <v>-1.1112275743659901</v>
      </c>
      <c r="AH4517">
        <v>23.324888426419701</v>
      </c>
      <c r="AI4517">
        <v>92.695084564443505</v>
      </c>
      <c r="AJ4517">
        <v>98.859893118338604</v>
      </c>
      <c r="AK4517">
        <v>23.632703658086498</v>
      </c>
      <c r="AL4517">
        <v>79.290409341173202</v>
      </c>
      <c r="AM4517">
        <v>93.014070360823098</v>
      </c>
      <c r="AN4517">
        <v>1.0000000487620799</v>
      </c>
    </row>
    <row r="4518" spans="1:40" x14ac:dyDescent="0.25">
      <c r="A4518" t="str">
        <f>"20190312172501914"</f>
        <v>20190312172501914</v>
      </c>
      <c r="B4518" t="str">
        <f>"1552382701905034"</f>
        <v>1552382701905034</v>
      </c>
      <c r="C4518" t="s">
        <v>40</v>
      </c>
      <c r="D4518">
        <v>3.6377480000000002</v>
      </c>
      <c r="E4518">
        <v>0.46378170000000002</v>
      </c>
      <c r="F4518" t="s">
        <v>43</v>
      </c>
      <c r="G4518">
        <v>-384.89229999999998</v>
      </c>
      <c r="H4518" s="1">
        <v>-2.5195300000000002E-6</v>
      </c>
      <c r="I4518">
        <v>137.66550000000001</v>
      </c>
      <c r="J4518">
        <v>-362.0582</v>
      </c>
      <c r="K4518">
        <v>1.1111949999999999</v>
      </c>
      <c r="L4518">
        <v>142.04060000000001</v>
      </c>
      <c r="M4518">
        <v>-0.99931539999999996</v>
      </c>
      <c r="N4518">
        <v>0</v>
      </c>
      <c r="O4518">
        <v>-3.5569049999999998E-2</v>
      </c>
      <c r="P4518">
        <v>-0.98066629999999999</v>
      </c>
      <c r="Q4518">
        <v>0.17632919999999999</v>
      </c>
      <c r="R4518">
        <v>-8.4862670000000001E-2</v>
      </c>
      <c r="S4518">
        <v>-3.0357970000000001</v>
      </c>
      <c r="T4518">
        <v>-0.14450070000000001</v>
      </c>
      <c r="U4518">
        <v>-0.57128909999999999</v>
      </c>
      <c r="V4518">
        <v>-5.0785909999999997E-2</v>
      </c>
      <c r="W4518">
        <v>0.18609390000000001</v>
      </c>
      <c r="X4518">
        <v>0.98121860000000005</v>
      </c>
      <c r="Y4518">
        <v>-0.14973910000000001</v>
      </c>
      <c r="Z4518">
        <v>-1.8549319999999999E-3</v>
      </c>
      <c r="AA4518">
        <v>0.98872380000000004</v>
      </c>
      <c r="AB4518">
        <v>50</v>
      </c>
      <c r="AC4518">
        <v>-22.8340999999999</v>
      </c>
      <c r="AD4518">
        <v>-1.1111975195299999</v>
      </c>
      <c r="AE4518">
        <v>-4.3750999999999998</v>
      </c>
      <c r="AF4518">
        <v>-3.5519880627532001</v>
      </c>
      <c r="AG4518">
        <v>-1.1111975195299999</v>
      </c>
      <c r="AH4518">
        <v>22.922912551023799</v>
      </c>
      <c r="AI4518">
        <v>92.742584364993405</v>
      </c>
      <c r="AJ4518">
        <v>98.808137403128697</v>
      </c>
      <c r="AK4518">
        <v>23.2230768621911</v>
      </c>
      <c r="AL4518">
        <v>79.275084656059505</v>
      </c>
      <c r="AM4518">
        <v>92.962870973735505</v>
      </c>
      <c r="AN4518">
        <v>1.00000004462884</v>
      </c>
    </row>
    <row r="4519" spans="1:40" x14ac:dyDescent="0.25">
      <c r="A4519" t="str">
        <f>"20190312172501935"</f>
        <v>20190312172501935</v>
      </c>
      <c r="B4519" t="str">
        <f>"1552382701925062"</f>
        <v>1552382701925062</v>
      </c>
      <c r="C4519" t="s">
        <v>40</v>
      </c>
      <c r="D4519">
        <v>3.5963120000000002</v>
      </c>
      <c r="E4519">
        <v>0.46391359999999898</v>
      </c>
      <c r="F4519" t="s">
        <v>43</v>
      </c>
      <c r="G4519">
        <v>-385.26479999999998</v>
      </c>
      <c r="H4519" s="1">
        <v>-2.359162E-6</v>
      </c>
      <c r="I4519">
        <v>137.66849999999999</v>
      </c>
      <c r="J4519">
        <v>-362.52510000000001</v>
      </c>
      <c r="K4519">
        <v>1.111167</v>
      </c>
      <c r="L4519">
        <v>142.02340000000001</v>
      </c>
      <c r="M4519">
        <v>-0.99927160000000004</v>
      </c>
      <c r="N4519">
        <v>0</v>
      </c>
      <c r="O4519">
        <v>-3.6732830000000001E-2</v>
      </c>
      <c r="P4519">
        <v>-0.98065199999999997</v>
      </c>
      <c r="Q4519">
        <v>0.17624089999999901</v>
      </c>
      <c r="R4519">
        <v>-8.5212159999999995E-2</v>
      </c>
      <c r="S4519">
        <v>-3.0357970000000001</v>
      </c>
      <c r="T4519">
        <v>-0.14536260000000001</v>
      </c>
      <c r="U4519">
        <v>-0.57192989999999999</v>
      </c>
      <c r="V4519">
        <v>-4.9967299999999999E-2</v>
      </c>
      <c r="W4519">
        <v>0.18617120000000001</v>
      </c>
      <c r="X4519">
        <v>0.9812459</v>
      </c>
      <c r="Y4519">
        <v>-0.148789899999999</v>
      </c>
      <c r="Z4519">
        <v>-1.7883420000000001E-3</v>
      </c>
      <c r="AA4519">
        <v>0.98886719999999895</v>
      </c>
      <c r="AB4519">
        <v>50</v>
      </c>
      <c r="AC4519">
        <v>-22.7396999999999</v>
      </c>
      <c r="AD4519">
        <v>-1.111169359162</v>
      </c>
      <c r="AE4519">
        <v>-4.3549000000000104</v>
      </c>
      <c r="AF4519">
        <v>-3.5085412723212701</v>
      </c>
      <c r="AG4519">
        <v>-1.111169359162</v>
      </c>
      <c r="AH4519">
        <v>22.831740166003701</v>
      </c>
      <c r="AI4519">
        <v>92.7539818005055</v>
      </c>
      <c r="AJ4519">
        <v>98.736272485955894</v>
      </c>
      <c r="AK4519">
        <v>23.126454942602599</v>
      </c>
      <c r="AL4519">
        <v>79.270576233058094</v>
      </c>
      <c r="AM4519">
        <v>92.915115014778294</v>
      </c>
      <c r="AN4519">
        <v>0.99999998152276903</v>
      </c>
    </row>
    <row r="4520" spans="1:40" x14ac:dyDescent="0.25">
      <c r="A4520" t="str">
        <f>"20190312172501957"</f>
        <v>20190312172501957</v>
      </c>
      <c r="B4520" t="str">
        <f>"1552382701955318"</f>
        <v>1552382701955318</v>
      </c>
      <c r="C4520" t="s">
        <v>40</v>
      </c>
      <c r="D4520">
        <v>3.5870980000000001</v>
      </c>
      <c r="E4520">
        <v>0.46402109999999902</v>
      </c>
      <c r="F4520" t="s">
        <v>43</v>
      </c>
      <c r="G4520">
        <v>-385.50650000000002</v>
      </c>
      <c r="H4520" s="1">
        <v>-2.250789E-6</v>
      </c>
      <c r="I4520">
        <v>137.6951</v>
      </c>
      <c r="J4520">
        <v>-363.00700000000001</v>
      </c>
      <c r="K4520">
        <v>1.111137</v>
      </c>
      <c r="L4520">
        <v>142.0051</v>
      </c>
      <c r="M4520">
        <v>-0.99922730000000004</v>
      </c>
      <c r="N4520">
        <v>0</v>
      </c>
      <c r="O4520">
        <v>-3.7874829999999998E-2</v>
      </c>
      <c r="P4520">
        <v>-0.98066010000000003</v>
      </c>
      <c r="Q4520">
        <v>0.17578369999999999</v>
      </c>
      <c r="R4520">
        <v>-8.6060090000000006E-2</v>
      </c>
      <c r="S4520">
        <v>-3.0358580000000002</v>
      </c>
      <c r="T4520">
        <v>-0.146787</v>
      </c>
      <c r="U4520">
        <v>-0.57176210000000005</v>
      </c>
      <c r="V4520">
        <v>-4.9662930000000001E-2</v>
      </c>
      <c r="W4520">
        <v>0.18590280000000001</v>
      </c>
      <c r="X4520">
        <v>0.98131230000000003</v>
      </c>
      <c r="Y4520">
        <v>-0.1476034</v>
      </c>
      <c r="Z4520">
        <v>-1.722814E-3</v>
      </c>
      <c r="AA4520">
        <v>0.98904510000000001</v>
      </c>
      <c r="AB4520">
        <v>50</v>
      </c>
      <c r="AC4520">
        <v>-22.499500000000001</v>
      </c>
      <c r="AD4520">
        <v>-1.1111392507889899</v>
      </c>
      <c r="AE4520">
        <v>-4.3099999999999996</v>
      </c>
      <c r="AF4520">
        <v>-3.44658716435069</v>
      </c>
      <c r="AG4520">
        <v>-1.1111392507889899</v>
      </c>
      <c r="AH4520">
        <v>22.593451765119902</v>
      </c>
      <c r="AI4520">
        <v>92.783372932745905</v>
      </c>
      <c r="AJ4520">
        <v>98.673492309453806</v>
      </c>
      <c r="AK4520">
        <v>22.881819337170501</v>
      </c>
      <c r="AL4520">
        <v>79.286228327687994</v>
      </c>
      <c r="AM4520">
        <v>92.897192563719599</v>
      </c>
      <c r="AN4520">
        <v>1.00000004389765</v>
      </c>
    </row>
    <row r="4521" spans="1:40" x14ac:dyDescent="0.25">
      <c r="A4521" t="str">
        <f>"20190312172501980"</f>
        <v>20190312172501980</v>
      </c>
      <c r="B4521" t="str">
        <f>"1552382701974838"</f>
        <v>1552382701974838</v>
      </c>
      <c r="C4521" t="s">
        <v>40</v>
      </c>
      <c r="D4521">
        <v>3.6686109999999998</v>
      </c>
      <c r="E4521">
        <v>0.46412890000000001</v>
      </c>
      <c r="F4521" t="s">
        <v>43</v>
      </c>
      <c r="G4521">
        <v>-385.5326</v>
      </c>
      <c r="H4521" s="1">
        <v>-2.22979E-6</v>
      </c>
      <c r="I4521">
        <v>137.75030000000001</v>
      </c>
      <c r="J4521">
        <v>-363.52710000000002</v>
      </c>
      <c r="K4521">
        <v>1.111102</v>
      </c>
      <c r="L4521">
        <v>141.9847</v>
      </c>
      <c r="M4521">
        <v>-0.99918010000000002</v>
      </c>
      <c r="N4521">
        <v>0</v>
      </c>
      <c r="O4521">
        <v>-3.903802E-2</v>
      </c>
      <c r="P4521">
        <v>-0.98059359999999995</v>
      </c>
      <c r="Q4521">
        <v>0.1757784</v>
      </c>
      <c r="R4521">
        <v>-8.6824910000000005E-2</v>
      </c>
      <c r="S4521">
        <v>-3.0357059999999998</v>
      </c>
      <c r="T4521">
        <v>-0.1497455</v>
      </c>
      <c r="U4521">
        <v>-0.57339479999999998</v>
      </c>
      <c r="V4521">
        <v>-4.9254199999999998E-2</v>
      </c>
      <c r="W4521">
        <v>0.18612390000000001</v>
      </c>
      <c r="X4521">
        <v>0.98129089999999997</v>
      </c>
      <c r="Y4521">
        <v>-0.14697170000000001</v>
      </c>
      <c r="Z4521">
        <v>-1.68535E-3</v>
      </c>
      <c r="AA4521">
        <v>0.98913930000000005</v>
      </c>
      <c r="AB4521">
        <v>50</v>
      </c>
      <c r="AC4521">
        <v>-22.005499999999898</v>
      </c>
      <c r="AD4521">
        <v>-1.11110422979</v>
      </c>
      <c r="AE4521">
        <v>-4.2343999999999902</v>
      </c>
      <c r="AF4521">
        <v>-3.3638015832638501</v>
      </c>
      <c r="AG4521">
        <v>-1.11110422979</v>
      </c>
      <c r="AH4521">
        <v>22.0997054892145</v>
      </c>
      <c r="AI4521">
        <v>92.845510668986606</v>
      </c>
      <c r="AJ4521">
        <v>98.654576324613302</v>
      </c>
      <c r="AK4521">
        <v>22.381838539562501</v>
      </c>
      <c r="AL4521">
        <v>79.273334260884795</v>
      </c>
      <c r="AM4521">
        <v>92.8734511128241</v>
      </c>
      <c r="AN4521">
        <v>0.99999995639582895</v>
      </c>
    </row>
    <row r="4522" spans="1:40" x14ac:dyDescent="0.25">
      <c r="A4522" t="str">
        <f>"20190312172502004"</f>
        <v>20190312172502004</v>
      </c>
      <c r="B4522" t="str">
        <f>"1552382701995334"</f>
        <v>1552382701995334</v>
      </c>
      <c r="C4522" t="s">
        <v>40</v>
      </c>
      <c r="D4522">
        <v>3.6557539999999999</v>
      </c>
      <c r="E4522">
        <v>0.46424979999999899</v>
      </c>
      <c r="F4522" t="s">
        <v>43</v>
      </c>
      <c r="G4522">
        <v>-385.90879999999999</v>
      </c>
      <c r="H4522" s="1">
        <v>-2.0690450000000002E-6</v>
      </c>
      <c r="I4522">
        <v>137.7467</v>
      </c>
      <c r="J4522">
        <v>-364.04129999999998</v>
      </c>
      <c r="K4522">
        <v>1.111065</v>
      </c>
      <c r="L4522">
        <v>141.9639</v>
      </c>
      <c r="M4522">
        <v>-0.99913510000000005</v>
      </c>
      <c r="N4522">
        <v>0</v>
      </c>
      <c r="O4522">
        <v>-4.0107049999999998E-2</v>
      </c>
      <c r="P4522">
        <v>-0.98059819999999998</v>
      </c>
      <c r="Q4522">
        <v>0.1755149</v>
      </c>
      <c r="R4522">
        <v>-8.7301820000000002E-2</v>
      </c>
      <c r="S4522">
        <v>-3.0354920000000001</v>
      </c>
      <c r="T4522">
        <v>-0.150692299999999</v>
      </c>
      <c r="U4522">
        <v>-0.5747681</v>
      </c>
      <c r="V4522">
        <v>-4.8644659999999999E-2</v>
      </c>
      <c r="W4522">
        <v>0.18610660000000001</v>
      </c>
      <c r="X4522">
        <v>0.98132459999999999</v>
      </c>
      <c r="Y4522">
        <v>-0.1463585</v>
      </c>
      <c r="Z4522">
        <v>-1.6285150000000001E-3</v>
      </c>
      <c r="AA4522">
        <v>0.98923030000000001</v>
      </c>
      <c r="AB4522">
        <v>50</v>
      </c>
      <c r="AC4522">
        <v>-21.8675</v>
      </c>
      <c r="AD4522">
        <v>-1.111067069045</v>
      </c>
      <c r="AE4522">
        <v>-4.2171999999999903</v>
      </c>
      <c r="AF4522">
        <v>-3.3284282080430398</v>
      </c>
      <c r="AG4522">
        <v>-1.111067069045</v>
      </c>
      <c r="AH4522">
        <v>21.9643835548388</v>
      </c>
      <c r="AI4522">
        <v>92.863202552039098</v>
      </c>
      <c r="AJ4522">
        <v>98.616901027449899</v>
      </c>
      <c r="AK4522">
        <v>22.242910090905099</v>
      </c>
      <c r="AL4522">
        <v>79.274343252562204</v>
      </c>
      <c r="AM4522">
        <v>92.837852227361907</v>
      </c>
      <c r="AN4522">
        <v>0.99999997003761698</v>
      </c>
    </row>
    <row r="4523" spans="1:40" x14ac:dyDescent="0.25">
      <c r="A4523" t="str">
        <f>"20190312172502025"</f>
        <v>20190312172502025</v>
      </c>
      <c r="B4523" t="str">
        <f>"1552382702014855"</f>
        <v>1552382702014855</v>
      </c>
      <c r="C4523" t="s">
        <v>40</v>
      </c>
      <c r="D4523">
        <v>3.6807379999999998</v>
      </c>
      <c r="E4523">
        <v>0.46437339999999999</v>
      </c>
      <c r="F4523" t="s">
        <v>43</v>
      </c>
      <c r="G4523">
        <v>-386.15929999999997</v>
      </c>
      <c r="H4523" s="1">
        <v>-1.9573240000000001E-6</v>
      </c>
      <c r="I4523">
        <v>137.77070000000001</v>
      </c>
      <c r="J4523">
        <v>-364.52199999999999</v>
      </c>
      <c r="K4523">
        <v>1.111024</v>
      </c>
      <c r="L4523">
        <v>141.94409999999999</v>
      </c>
      <c r="M4523">
        <v>-0.99909510000000001</v>
      </c>
      <c r="N4523">
        <v>0</v>
      </c>
      <c r="O4523">
        <v>-4.1033809999999997E-2</v>
      </c>
      <c r="P4523">
        <v>-0.9805545</v>
      </c>
      <c r="Q4523">
        <v>0.17548529999999901</v>
      </c>
      <c r="R4523">
        <v>-8.7854139999999997E-2</v>
      </c>
      <c r="S4523">
        <v>-3.0354000000000001</v>
      </c>
      <c r="T4523">
        <v>-0.15247939999999999</v>
      </c>
      <c r="U4523">
        <v>-0.57545469999999999</v>
      </c>
      <c r="V4523">
        <v>-4.8252459999999997E-2</v>
      </c>
      <c r="W4523">
        <v>0.18631410000000001</v>
      </c>
      <c r="X4523">
        <v>0.98130459999999997</v>
      </c>
      <c r="Y4523">
        <v>-0.14566119999999999</v>
      </c>
      <c r="Z4523">
        <v>-1.5844660000000001E-3</v>
      </c>
      <c r="AA4523">
        <v>0.98933329999999997</v>
      </c>
      <c r="AB4523">
        <v>50</v>
      </c>
      <c r="AC4523">
        <v>-21.6372999999999</v>
      </c>
      <c r="AD4523">
        <v>-1.111025957324</v>
      </c>
      <c r="AE4523">
        <v>-4.1733999999999796</v>
      </c>
      <c r="AF4523">
        <v>-3.2736464344229699</v>
      </c>
      <c r="AG4523">
        <v>-1.111025957324</v>
      </c>
      <c r="AH4523">
        <v>21.735084130307399</v>
      </c>
      <c r="AI4523">
        <v>92.893643914960407</v>
      </c>
      <c r="AJ4523">
        <v>98.565267161758896</v>
      </c>
      <c r="AK4523">
        <v>22.008294386594301</v>
      </c>
      <c r="AL4523">
        <v>79.262242856409998</v>
      </c>
      <c r="AM4523">
        <v>92.815066134115</v>
      </c>
      <c r="AN4523">
        <v>0.99999998086801001</v>
      </c>
    </row>
    <row r="4524" spans="1:40" x14ac:dyDescent="0.25">
      <c r="A4524" t="str">
        <f>"20190312172502047"</f>
        <v>20190312172502047</v>
      </c>
      <c r="B4524" t="str">
        <f>"1552382702045110"</f>
        <v>1552382702045110</v>
      </c>
      <c r="C4524" t="s">
        <v>40</v>
      </c>
      <c r="D4524">
        <v>3.6774559999999998</v>
      </c>
      <c r="E4524">
        <v>0.46453699999999998</v>
      </c>
      <c r="F4524" t="s">
        <v>43</v>
      </c>
      <c r="G4524">
        <v>-386.4905</v>
      </c>
      <c r="H4524" s="1">
        <v>-1.8145810000000001E-6</v>
      </c>
      <c r="I4524">
        <v>137.77440000000001</v>
      </c>
      <c r="J4524">
        <v>-365.0104</v>
      </c>
      <c r="K4524">
        <v>1.110978</v>
      </c>
      <c r="L4524">
        <v>141.92349999999999</v>
      </c>
      <c r="M4524">
        <v>-0.99905600000000006</v>
      </c>
      <c r="N4524">
        <v>0</v>
      </c>
      <c r="O4524">
        <v>-4.1910790000000003E-2</v>
      </c>
      <c r="P4524">
        <v>-0.98048780000000002</v>
      </c>
      <c r="Q4524">
        <v>0.17553940000000001</v>
      </c>
      <c r="R4524">
        <v>-8.8486380000000003E-2</v>
      </c>
      <c r="S4524">
        <v>-3.0353089999999998</v>
      </c>
      <c r="T4524">
        <v>-0.1535069</v>
      </c>
      <c r="U4524">
        <v>-0.57609560000000004</v>
      </c>
      <c r="V4524">
        <v>-4.7989129999999998E-2</v>
      </c>
      <c r="W4524">
        <v>0.18660550000000001</v>
      </c>
      <c r="X4524">
        <v>0.98126210000000003</v>
      </c>
      <c r="Y4524">
        <v>-0.14499989999999999</v>
      </c>
      <c r="Z4524">
        <v>-1.5347570000000001E-3</v>
      </c>
      <c r="AA4524">
        <v>0.98943049999999999</v>
      </c>
      <c r="AB4524">
        <v>50</v>
      </c>
      <c r="AC4524">
        <v>-21.4801</v>
      </c>
      <c r="AD4524">
        <v>-1.1109798145809999</v>
      </c>
      <c r="AE4524">
        <v>-4.1490999999999696</v>
      </c>
      <c r="AF4524">
        <v>-3.23679988313167</v>
      </c>
      <c r="AG4524">
        <v>-1.1109798145809999</v>
      </c>
      <c r="AH4524">
        <v>21.579476765058999</v>
      </c>
      <c r="AI4524">
        <v>92.914618742143503</v>
      </c>
      <c r="AJ4524">
        <v>98.530449771293206</v>
      </c>
      <c r="AK4524">
        <v>21.849141106358601</v>
      </c>
      <c r="AL4524">
        <v>79.245248379790297</v>
      </c>
      <c r="AM4524">
        <v>92.799848943470394</v>
      </c>
      <c r="AN4524">
        <v>0.99999993906240603</v>
      </c>
    </row>
    <row r="4525" spans="1:40" x14ac:dyDescent="0.25">
      <c r="A4525" t="str">
        <f>"20190312172502070"</f>
        <v>20190312172502070</v>
      </c>
      <c r="B4525" t="str">
        <f>"1552382702064630"</f>
        <v>1552382702064630</v>
      </c>
      <c r="C4525" t="s">
        <v>40</v>
      </c>
      <c r="D4525">
        <v>3.7145079999999999</v>
      </c>
      <c r="E4525">
        <v>0.4646459</v>
      </c>
      <c r="F4525" t="s">
        <v>43</v>
      </c>
      <c r="G4525">
        <v>-386.75790000000001</v>
      </c>
      <c r="H4525" s="1">
        <v>-1.6959740000000001E-6</v>
      </c>
      <c r="I4525">
        <v>137.7962</v>
      </c>
      <c r="J4525">
        <v>-365.51839999999999</v>
      </c>
      <c r="K4525">
        <v>1.1109329999999999</v>
      </c>
      <c r="L4525">
        <v>141.9016</v>
      </c>
      <c r="M4525">
        <v>-0.99901770000000001</v>
      </c>
      <c r="N4525">
        <v>0</v>
      </c>
      <c r="O4525">
        <v>-4.2741719999999997E-2</v>
      </c>
      <c r="P4525">
        <v>-0.98045150000000003</v>
      </c>
      <c r="Q4525">
        <v>0.1754009</v>
      </c>
      <c r="R4525">
        <v>-8.9159059999999998E-2</v>
      </c>
      <c r="S4525">
        <v>-3.0354920000000001</v>
      </c>
      <c r="T4525">
        <v>-0.1550697</v>
      </c>
      <c r="U4525">
        <v>-0.5760651</v>
      </c>
      <c r="V4525">
        <v>-4.7803640000000001E-2</v>
      </c>
      <c r="W4525">
        <v>0.18672730000000001</v>
      </c>
      <c r="X4525">
        <v>0.98124800000000001</v>
      </c>
      <c r="Y4525">
        <v>-0.1441558</v>
      </c>
      <c r="Z4525">
        <v>-1.4869709999999999E-3</v>
      </c>
      <c r="AA4525">
        <v>0.98955389999999999</v>
      </c>
      <c r="AB4525">
        <v>50</v>
      </c>
      <c r="AC4525">
        <v>-21.2395</v>
      </c>
      <c r="AD4525">
        <v>-1.1109346959740001</v>
      </c>
      <c r="AE4525">
        <v>-4.1054000000000004</v>
      </c>
      <c r="AF4525">
        <v>-3.1853721733650602</v>
      </c>
      <c r="AG4525">
        <v>-1.1109346959740001</v>
      </c>
      <c r="AH4525">
        <v>21.339293618993199</v>
      </c>
      <c r="AI4525">
        <v>92.947557844613698</v>
      </c>
      <c r="AJ4525">
        <v>98.490002287409595</v>
      </c>
      <c r="AK4525">
        <v>21.604310309268701</v>
      </c>
      <c r="AL4525">
        <v>79.238145071973605</v>
      </c>
      <c r="AM4525">
        <v>92.789083960863707</v>
      </c>
      <c r="AN4525">
        <v>0.999999955033268</v>
      </c>
    </row>
    <row r="4526" spans="1:40" x14ac:dyDescent="0.25">
      <c r="A4526" t="str">
        <f>"20190312172502092"</f>
        <v>20190312172502092</v>
      </c>
      <c r="B4526" t="str">
        <f>"1552382702085126"</f>
        <v>1552382702085126</v>
      </c>
      <c r="C4526" t="s">
        <v>40</v>
      </c>
      <c r="D4526">
        <v>3.712993</v>
      </c>
      <c r="E4526">
        <v>0.50705279999999997</v>
      </c>
      <c r="F4526" t="s">
        <v>43</v>
      </c>
      <c r="G4526">
        <v>-387.06319999999999</v>
      </c>
      <c r="H4526" s="1">
        <v>-1.562557E-6</v>
      </c>
      <c r="I4526">
        <v>137.81010000000001</v>
      </c>
      <c r="J4526">
        <v>-366.01670000000001</v>
      </c>
      <c r="K4526">
        <v>1.110886</v>
      </c>
      <c r="L4526">
        <v>141.87979999999999</v>
      </c>
      <c r="M4526">
        <v>-0.99898339999999997</v>
      </c>
      <c r="N4526">
        <v>0</v>
      </c>
      <c r="O4526">
        <v>-4.3460699999999998E-2</v>
      </c>
      <c r="P4526">
        <v>-0.98037620000000003</v>
      </c>
      <c r="Q4526">
        <v>0.1757127</v>
      </c>
      <c r="R4526">
        <v>-8.9373289999999994E-2</v>
      </c>
      <c r="S4526">
        <v>-3.0354000000000001</v>
      </c>
      <c r="T4526">
        <v>-0.15651799999999999</v>
      </c>
      <c r="U4526">
        <v>-0.57643129999999998</v>
      </c>
      <c r="V4526">
        <v>-4.7268930000000001E-2</v>
      </c>
      <c r="W4526">
        <v>0.18732969999999999</v>
      </c>
      <c r="X4526">
        <v>0.98115920000000001</v>
      </c>
      <c r="Y4526">
        <v>-0.14356340000000001</v>
      </c>
      <c r="Z4526">
        <v>-1.44911E-3</v>
      </c>
      <c r="AA4526">
        <v>0.98964010000000002</v>
      </c>
      <c r="AB4526">
        <v>50</v>
      </c>
      <c r="AC4526">
        <v>-21.046499999999899</v>
      </c>
      <c r="AD4526">
        <v>-1.1108875625570001</v>
      </c>
      <c r="AE4526">
        <v>-4.0696999999999797</v>
      </c>
      <c r="AF4526">
        <v>-3.1426531127358102</v>
      </c>
      <c r="AG4526">
        <v>-1.1108875625570001</v>
      </c>
      <c r="AH4526">
        <v>21.1467046252145</v>
      </c>
      <c r="AI4526">
        <v>92.974513946012195</v>
      </c>
      <c r="AJ4526">
        <v>98.452970716935695</v>
      </c>
      <c r="AK4526">
        <v>21.4077896166255</v>
      </c>
      <c r="AL4526">
        <v>79.203011395933999</v>
      </c>
      <c r="AM4526">
        <v>92.758184183786597</v>
      </c>
      <c r="AN4526">
        <v>1.0000000719950299</v>
      </c>
    </row>
    <row r="4527" spans="1:40" x14ac:dyDescent="0.25">
      <c r="A4527" t="str">
        <f>"20190312172502115"</f>
        <v>20190312172502115</v>
      </c>
      <c r="B4527" t="str">
        <f>"1552382702104645"</f>
        <v>1552382702104645</v>
      </c>
      <c r="C4527" t="s">
        <v>40</v>
      </c>
      <c r="D4527">
        <v>3.7244649999999999</v>
      </c>
      <c r="E4527">
        <v>0.51179620000000003</v>
      </c>
      <c r="F4527" t="s">
        <v>43</v>
      </c>
      <c r="G4527">
        <v>-382.28</v>
      </c>
      <c r="H4527" s="1">
        <v>-3.5565970000000001E-6</v>
      </c>
      <c r="I4527">
        <v>140.6026</v>
      </c>
      <c r="J4527">
        <v>-366.51029999999997</v>
      </c>
      <c r="K4527">
        <v>1.110825</v>
      </c>
      <c r="L4527">
        <v>141.8579</v>
      </c>
      <c r="M4527">
        <v>-0.99895299999999998</v>
      </c>
      <c r="N4527">
        <v>0</v>
      </c>
      <c r="O4527">
        <v>-4.40667E-2</v>
      </c>
      <c r="P4527">
        <v>-0.98026619999999998</v>
      </c>
      <c r="Q4527">
        <v>0.17612900000000001</v>
      </c>
      <c r="R4527">
        <v>-8.9759340000000007E-2</v>
      </c>
      <c r="S4527">
        <v>-3.0756839999999999</v>
      </c>
      <c r="T4527">
        <v>-0.2100899</v>
      </c>
      <c r="U4527">
        <v>-0.24153140000000001</v>
      </c>
      <c r="V4527">
        <v>-4.7011450000000003E-2</v>
      </c>
      <c r="W4527">
        <v>0.18806320000000001</v>
      </c>
      <c r="X4527">
        <v>0.98103119999999999</v>
      </c>
      <c r="Y4527">
        <v>-3.4300030000000002E-2</v>
      </c>
      <c r="Z4527">
        <v>1.8318410000000001E-3</v>
      </c>
      <c r="AA4527">
        <v>0.99940989999999996</v>
      </c>
      <c r="AB4527">
        <v>50</v>
      </c>
      <c r="AC4527">
        <v>-15.7697</v>
      </c>
      <c r="AD4527">
        <v>-1.110828556597</v>
      </c>
      <c r="AE4527">
        <v>-1.2553000000000001</v>
      </c>
      <c r="AF4527">
        <v>-0.55636603951779195</v>
      </c>
      <c r="AG4527">
        <v>-1.110828556597</v>
      </c>
      <c r="AH4527">
        <v>15.7321303693607</v>
      </c>
      <c r="AI4527">
        <v>94.036374275240206</v>
      </c>
      <c r="AJ4527">
        <v>92.025418405489702</v>
      </c>
      <c r="AK4527">
        <v>15.781109251590699</v>
      </c>
      <c r="AL4527">
        <v>79.160224029469802</v>
      </c>
      <c r="AM4527">
        <v>92.743540377974895</v>
      </c>
      <c r="AN4527">
        <v>1.00000002949939</v>
      </c>
    </row>
    <row r="4528" spans="1:40" x14ac:dyDescent="0.25">
      <c r="A4528" t="str">
        <f>"20190312172502135"</f>
        <v>20190312172502135</v>
      </c>
      <c r="B4528" t="str">
        <f>"1552382702125142"</f>
        <v>1552382702125142</v>
      </c>
      <c r="C4528" t="s">
        <v>40</v>
      </c>
      <c r="D4528">
        <v>3.7416149999999999</v>
      </c>
      <c r="E4528">
        <v>0.51462540000000001</v>
      </c>
      <c r="F4528" t="s">
        <v>43</v>
      </c>
      <c r="G4528">
        <v>-381.95159999999998</v>
      </c>
      <c r="H4528" s="1">
        <v>-3.75865E-6</v>
      </c>
      <c r="I4528">
        <v>140.83240000000001</v>
      </c>
      <c r="J4528">
        <v>-366.98669999999998</v>
      </c>
      <c r="K4528">
        <v>1.1107419999999999</v>
      </c>
      <c r="L4528">
        <v>141.8365</v>
      </c>
      <c r="M4528">
        <v>-0.9989285</v>
      </c>
      <c r="N4528">
        <v>0</v>
      </c>
      <c r="O4528">
        <v>-4.453932E-2</v>
      </c>
      <c r="P4528">
        <v>-0.98017290000000001</v>
      </c>
      <c r="Q4528">
        <v>0.17651610000000001</v>
      </c>
      <c r="R4528">
        <v>-9.0018810000000005E-2</v>
      </c>
      <c r="S4528">
        <v>-3.0814509999999999</v>
      </c>
      <c r="T4528">
        <v>-0.22167780000000001</v>
      </c>
      <c r="U4528">
        <v>-0.2046356</v>
      </c>
      <c r="V4528">
        <v>-4.6751590000000003E-2</v>
      </c>
      <c r="W4528">
        <v>0.1887548</v>
      </c>
      <c r="X4528">
        <v>0.98091079999999997</v>
      </c>
      <c r="Y4528">
        <v>-2.181056E-2</v>
      </c>
      <c r="Z4528">
        <v>2.4121220000000001E-3</v>
      </c>
      <c r="AA4528">
        <v>0.99975919999999896</v>
      </c>
      <c r="AB4528">
        <v>50</v>
      </c>
      <c r="AC4528">
        <v>-14.9649</v>
      </c>
      <c r="AD4528">
        <v>-1.11074575865</v>
      </c>
      <c r="AE4528">
        <v>-1.00409999999999</v>
      </c>
      <c r="AF4528">
        <v>-0.33468866646961698</v>
      </c>
      <c r="AG4528">
        <v>-1.11074575865</v>
      </c>
      <c r="AH4528">
        <v>14.912983334176401</v>
      </c>
      <c r="AI4528">
        <v>94.258558884708094</v>
      </c>
      <c r="AJ4528">
        <v>91.285660221793904</v>
      </c>
      <c r="AK4528">
        <v>14.958036120067501</v>
      </c>
      <c r="AL4528">
        <v>79.119875789113493</v>
      </c>
      <c r="AM4528">
        <v>92.728732577685406</v>
      </c>
      <c r="AN4528">
        <v>1.0000000416235999</v>
      </c>
    </row>
    <row r="4529" spans="1:40" x14ac:dyDescent="0.25">
      <c r="A4529" t="str">
        <f>"20190312172502159"</f>
        <v>20190312172502159</v>
      </c>
      <c r="B4529" t="str">
        <f>"1552382702155399"</f>
        <v>1552382702155399</v>
      </c>
      <c r="C4529" t="s">
        <v>40</v>
      </c>
      <c r="D4529">
        <v>3.750648</v>
      </c>
      <c r="E4529">
        <v>0.51639740000000001</v>
      </c>
      <c r="F4529" t="s">
        <v>43</v>
      </c>
      <c r="G4529">
        <v>-381.39249999999998</v>
      </c>
      <c r="H4529" s="1">
        <v>-4.0389429999999997E-6</v>
      </c>
      <c r="I4529">
        <v>140.9845</v>
      </c>
      <c r="J4529">
        <v>-367.48360000000002</v>
      </c>
      <c r="K4529">
        <v>1.110635</v>
      </c>
      <c r="L4529">
        <v>141.8141</v>
      </c>
      <c r="M4529">
        <v>-0.99890800000000002</v>
      </c>
      <c r="N4529">
        <v>0</v>
      </c>
      <c r="O4529">
        <v>-4.4913960000000003E-2</v>
      </c>
      <c r="P4529">
        <v>-0.980101</v>
      </c>
      <c r="Q4529">
        <v>0.17684949999999999</v>
      </c>
      <c r="R4529">
        <v>-9.0147759999999993E-2</v>
      </c>
      <c r="S4529">
        <v>-3.086792</v>
      </c>
      <c r="T4529">
        <v>-0.2380052</v>
      </c>
      <c r="U4529">
        <v>-0.1825562</v>
      </c>
      <c r="V4529">
        <v>-4.6449329999999997E-2</v>
      </c>
      <c r="W4529">
        <v>0.18938269999999999</v>
      </c>
      <c r="X4529">
        <v>0.98080409999999996</v>
      </c>
      <c r="Y4529">
        <v>-1.422963E-2</v>
      </c>
      <c r="Z4529">
        <v>2.905899E-3</v>
      </c>
      <c r="AA4529">
        <v>0.99989459999999997</v>
      </c>
      <c r="AB4529">
        <v>50</v>
      </c>
      <c r="AC4529">
        <v>-13.9088999999999</v>
      </c>
      <c r="AD4529">
        <v>-1.1106390389430001</v>
      </c>
      <c r="AE4529">
        <v>-0.829599999999999</v>
      </c>
      <c r="AF4529">
        <v>-0.20271919414065101</v>
      </c>
      <c r="AG4529">
        <v>-1.1106390389430001</v>
      </c>
      <c r="AH4529">
        <v>13.8441654244766</v>
      </c>
      <c r="AI4529">
        <v>94.586203494016402</v>
      </c>
      <c r="AJ4529">
        <v>90.838918335569403</v>
      </c>
      <c r="AK4529">
        <v>13.8901234856559</v>
      </c>
      <c r="AL4529">
        <v>79.083238688395994</v>
      </c>
      <c r="AM4529">
        <v>92.711411585871204</v>
      </c>
      <c r="AN4529">
        <v>1.00000001494677</v>
      </c>
    </row>
    <row r="4530" spans="1:40" x14ac:dyDescent="0.25">
      <c r="A4530" t="str">
        <f>"20190312172502181"</f>
        <v>20190312172502181</v>
      </c>
      <c r="B4530" t="str">
        <f>"1552382702174920"</f>
        <v>1552382702174920</v>
      </c>
      <c r="C4530" t="s">
        <v>40</v>
      </c>
      <c r="D4530">
        <v>3.7842199999999999</v>
      </c>
      <c r="E4530">
        <v>0.51710599999999995</v>
      </c>
      <c r="F4530" t="s">
        <v>43</v>
      </c>
      <c r="G4530">
        <v>-381.27670000000001</v>
      </c>
      <c r="H4530" s="1">
        <v>-4.0981669999999997E-6</v>
      </c>
      <c r="I4530">
        <v>141.06290000000001</v>
      </c>
      <c r="J4530">
        <v>-367.98360000000002</v>
      </c>
      <c r="K4530">
        <v>1.1105259999999999</v>
      </c>
      <c r="L4530">
        <v>141.79150000000001</v>
      </c>
      <c r="M4530">
        <v>-0.99889300000000003</v>
      </c>
      <c r="N4530">
        <v>0</v>
      </c>
      <c r="O4530">
        <v>-4.5175369999999999E-2</v>
      </c>
      <c r="P4530">
        <v>-0.98000200000000004</v>
      </c>
      <c r="Q4530">
        <v>0.177427799999999</v>
      </c>
      <c r="R4530">
        <v>-9.0088050000000003E-2</v>
      </c>
      <c r="S4530">
        <v>-3.090363</v>
      </c>
      <c r="T4530">
        <v>-0.24884120000000001</v>
      </c>
      <c r="U4530">
        <v>-0.16830439999999999</v>
      </c>
      <c r="V4530">
        <v>-4.6070310000000003E-2</v>
      </c>
      <c r="W4530">
        <v>0.1902278</v>
      </c>
      <c r="X4530">
        <v>0.98065840000000004</v>
      </c>
      <c r="Y4530">
        <v>-9.3280919999999996E-3</v>
      </c>
      <c r="Z4530">
        <v>3.2526410000000001E-3</v>
      </c>
      <c r="AA4530">
        <v>0.99995120000000004</v>
      </c>
      <c r="AB4530">
        <v>50</v>
      </c>
      <c r="AC4530">
        <v>-13.2930999999999</v>
      </c>
      <c r="AD4530">
        <v>-1.1105300981669901</v>
      </c>
      <c r="AE4530">
        <v>-0.72860000000000003</v>
      </c>
      <c r="AF4530">
        <v>-0.126404110959771</v>
      </c>
      <c r="AG4530">
        <v>-1.1105300981669901</v>
      </c>
      <c r="AH4530">
        <v>13.2204516279969</v>
      </c>
      <c r="AI4530">
        <v>94.801407251156604</v>
      </c>
      <c r="AJ4530">
        <v>90.547802873308697</v>
      </c>
      <c r="AK4530">
        <v>13.267614568806501</v>
      </c>
      <c r="AL4530">
        <v>79.033921285999796</v>
      </c>
      <c r="AM4530">
        <v>92.689718438675499</v>
      </c>
      <c r="AN4530">
        <v>0.99999999342344803</v>
      </c>
    </row>
    <row r="4531" spans="1:40" x14ac:dyDescent="0.25">
      <c r="A4531" t="str">
        <f>"20190312172502204"</f>
        <v>20190312172502204</v>
      </c>
      <c r="B4531" t="str">
        <f>"1552382702195417"</f>
        <v>1552382702195417</v>
      </c>
      <c r="C4531" t="s">
        <v>40</v>
      </c>
      <c r="D4531">
        <v>3.7770790000000001</v>
      </c>
      <c r="E4531">
        <v>0.51785930000000002</v>
      </c>
      <c r="F4531" t="s">
        <v>43</v>
      </c>
      <c r="G4531">
        <v>-381.84160000000003</v>
      </c>
      <c r="H4531" s="1">
        <v>-3.8673000000000002E-6</v>
      </c>
      <c r="I4531">
        <v>141.0634</v>
      </c>
      <c r="J4531">
        <v>-368.47910000000002</v>
      </c>
      <c r="K4531">
        <v>1.1104179999999999</v>
      </c>
      <c r="L4531">
        <v>141.76900000000001</v>
      </c>
      <c r="M4531">
        <v>-0.99888399999999999</v>
      </c>
      <c r="N4531">
        <v>0</v>
      </c>
      <c r="O4531">
        <v>-4.5307670000000001E-2</v>
      </c>
      <c r="P4531">
        <v>-0.97993439999999998</v>
      </c>
      <c r="Q4531">
        <v>0.1781172</v>
      </c>
      <c r="R4531">
        <v>-8.946192E-2</v>
      </c>
      <c r="S4531">
        <v>-3.0911249999999999</v>
      </c>
      <c r="T4531">
        <v>-0.2477124</v>
      </c>
      <c r="U4531">
        <v>-0.162384</v>
      </c>
      <c r="V4531">
        <v>-4.5253500000000002E-2</v>
      </c>
      <c r="W4531">
        <v>0.19115370000000001</v>
      </c>
      <c r="X4531">
        <v>0.98051639999999995</v>
      </c>
      <c r="Y4531">
        <v>-7.2782509999999899E-3</v>
      </c>
      <c r="Z4531">
        <v>3.3298619999999998E-3</v>
      </c>
      <c r="AA4531">
        <v>0.99996799999999997</v>
      </c>
      <c r="AB4531">
        <v>50</v>
      </c>
      <c r="AC4531">
        <v>-13.362500000000001</v>
      </c>
      <c r="AD4531">
        <v>-1.1104218672999999</v>
      </c>
      <c r="AE4531">
        <v>-0.705600000000004</v>
      </c>
      <c r="AF4531">
        <v>-9.87178461854408E-2</v>
      </c>
      <c r="AG4531">
        <v>-1.1104218672999999</v>
      </c>
      <c r="AH4531">
        <v>13.2892325041979</v>
      </c>
      <c r="AI4531">
        <v>94.776294720535503</v>
      </c>
      <c r="AJ4531">
        <v>90.425608620627202</v>
      </c>
      <c r="AK4531">
        <v>13.335909511059301</v>
      </c>
      <c r="AL4531">
        <v>78.979879686179004</v>
      </c>
      <c r="AM4531">
        <v>92.642480973558804</v>
      </c>
      <c r="AN4531">
        <v>1.0000000134774401</v>
      </c>
    </row>
    <row r="4532" spans="1:40" x14ac:dyDescent="0.25">
      <c r="A4532" t="str">
        <f>"20190312172502226"</f>
        <v>20190312172502226</v>
      </c>
      <c r="B4532" t="str">
        <f>"1552382702214935"</f>
        <v>1552382702214935</v>
      </c>
      <c r="C4532" t="s">
        <v>40</v>
      </c>
      <c r="D4532">
        <v>3.7131449999999999</v>
      </c>
      <c r="E4532">
        <v>0.51847659999999995</v>
      </c>
      <c r="F4532" t="s">
        <v>41</v>
      </c>
      <c r="G4532">
        <v>-369.58909999999997</v>
      </c>
      <c r="H4532">
        <v>1.0220940000000001</v>
      </c>
      <c r="I4532">
        <v>141.71360000000001</v>
      </c>
      <c r="J4532">
        <v>-368.96859999999998</v>
      </c>
      <c r="K4532">
        <v>1.110312</v>
      </c>
      <c r="L4532">
        <v>141.7467</v>
      </c>
      <c r="M4532">
        <v>-0.99888030000000005</v>
      </c>
      <c r="N4532">
        <v>0</v>
      </c>
      <c r="O4532">
        <v>-4.5328649999999998E-2</v>
      </c>
      <c r="P4532">
        <v>-0.97979190000000005</v>
      </c>
      <c r="Q4532">
        <v>0.17900089999999999</v>
      </c>
      <c r="R4532">
        <v>-8.925392E-2</v>
      </c>
      <c r="S4532">
        <v>-3.092041</v>
      </c>
      <c r="T4532">
        <v>-0.2460608</v>
      </c>
      <c r="U4532">
        <v>-0.154174799999999</v>
      </c>
      <c r="V4532">
        <v>-4.4968809999999998E-2</v>
      </c>
      <c r="W4532">
        <v>0.19224550000000001</v>
      </c>
      <c r="X4532">
        <v>0.98031599999999997</v>
      </c>
      <c r="Y4532">
        <v>-4.6004970000000003E-3</v>
      </c>
      <c r="Z4532">
        <v>3.4150209999999999E-3</v>
      </c>
      <c r="AA4532">
        <v>0.99998359999999997</v>
      </c>
      <c r="AB4532">
        <v>49</v>
      </c>
      <c r="AC4532">
        <v>-0.62049999999999195</v>
      </c>
      <c r="AD4532">
        <v>-8.8218000000000102E-2</v>
      </c>
      <c r="AE4532">
        <v>-3.3099999999990297E-2</v>
      </c>
      <c r="AF4532">
        <v>-4.8394218083047998E-3</v>
      </c>
      <c r="AG4532">
        <v>-8.8218000000000102E-2</v>
      </c>
      <c r="AH4532">
        <v>0.60908607971592699</v>
      </c>
      <c r="AI4532">
        <v>98.240965097548894</v>
      </c>
      <c r="AJ4532">
        <v>90.455227298036505</v>
      </c>
      <c r="AK4532">
        <v>0.61546054953274998</v>
      </c>
      <c r="AL4532">
        <v>78.916141820922704</v>
      </c>
      <c r="AM4532">
        <v>92.626416495024898</v>
      </c>
      <c r="AN4532">
        <v>0.99999999299953302</v>
      </c>
    </row>
    <row r="4533" spans="1:40" x14ac:dyDescent="0.25">
      <c r="A4533" t="str">
        <f>"20190312172502248"</f>
        <v>20190312172502248</v>
      </c>
      <c r="B4533" t="str">
        <f>"1552382702245190"</f>
        <v>1552382702245190</v>
      </c>
      <c r="C4533" t="s">
        <v>40</v>
      </c>
      <c r="D4533">
        <v>3.7885460000000002</v>
      </c>
      <c r="E4533">
        <v>0.51908569999999998</v>
      </c>
      <c r="F4533" t="s">
        <v>41</v>
      </c>
      <c r="G4533">
        <v>-370.03230000000002</v>
      </c>
      <c r="H4533">
        <v>1.0252509999999999</v>
      </c>
      <c r="I4533">
        <v>141.6961</v>
      </c>
      <c r="J4533">
        <v>-369.45429999999999</v>
      </c>
      <c r="K4533">
        <v>1.110201</v>
      </c>
      <c r="L4533">
        <v>141.72470000000001</v>
      </c>
      <c r="M4533">
        <v>-0.99888100000000002</v>
      </c>
      <c r="N4533">
        <v>0</v>
      </c>
      <c r="O4533">
        <v>-4.5261410000000002E-2</v>
      </c>
      <c r="P4533">
        <v>-0.9796916</v>
      </c>
      <c r="Q4533">
        <v>0.179587</v>
      </c>
      <c r="R4533">
        <v>-8.9180999999999996E-2</v>
      </c>
      <c r="S4533">
        <v>-3.0935670000000002</v>
      </c>
      <c r="T4533">
        <v>-0.24744650000000001</v>
      </c>
      <c r="U4533">
        <v>-0.148345899999999</v>
      </c>
      <c r="V4533">
        <v>-4.4906729999999999E-2</v>
      </c>
      <c r="W4533">
        <v>0.1930161</v>
      </c>
      <c r="X4533">
        <v>0.98016740000000002</v>
      </c>
      <c r="Y4533">
        <v>-2.7704589999999999E-3</v>
      </c>
      <c r="Z4533">
        <v>3.5003809999999999E-3</v>
      </c>
      <c r="AA4533">
        <v>0.99999000000000005</v>
      </c>
      <c r="AB4533">
        <v>49</v>
      </c>
      <c r="AC4533">
        <v>-0.57800000000003104</v>
      </c>
      <c r="AD4533">
        <v>-8.4949999999999998E-2</v>
      </c>
      <c r="AE4533">
        <v>-2.8600000000011502E-2</v>
      </c>
      <c r="AF4533">
        <v>-2.35635314018471E-3</v>
      </c>
      <c r="AG4533">
        <v>-8.4949999999999998E-2</v>
      </c>
      <c r="AH4533">
        <v>0.56649524029157405</v>
      </c>
      <c r="AI4533">
        <v>98.528290644216398</v>
      </c>
      <c r="AJ4533">
        <v>90.238322057720396</v>
      </c>
      <c r="AK4533">
        <v>0.57283410528103995</v>
      </c>
      <c r="AL4533">
        <v>78.871146858039097</v>
      </c>
      <c r="AM4533">
        <v>92.623192839216799</v>
      </c>
      <c r="AN4533">
        <v>0.999999980640631</v>
      </c>
    </row>
    <row r="4534" spans="1:40" x14ac:dyDescent="0.25">
      <c r="A4534" t="str">
        <f>"20190312172502270"</f>
        <v>20190312172502270</v>
      </c>
      <c r="B4534" t="str">
        <f>"1552382702264713"</f>
        <v>1552382702264713</v>
      </c>
      <c r="C4534" t="s">
        <v>40</v>
      </c>
      <c r="D4534">
        <v>3.9449969999999999</v>
      </c>
      <c r="E4534">
        <v>0.51923809999999904</v>
      </c>
      <c r="F4534" t="s">
        <v>41</v>
      </c>
      <c r="G4534">
        <v>-370.47550000000001</v>
      </c>
      <c r="H4534">
        <v>1.0289839999999999</v>
      </c>
      <c r="I4534">
        <v>141.67750000000001</v>
      </c>
      <c r="J4534">
        <v>-369.95359999999999</v>
      </c>
      <c r="K4534">
        <v>1.110088</v>
      </c>
      <c r="L4534">
        <v>141.7021</v>
      </c>
      <c r="M4534">
        <v>-0.99888520000000003</v>
      </c>
      <c r="N4534">
        <v>0</v>
      </c>
      <c r="O4534">
        <v>-4.511776E-2</v>
      </c>
      <c r="P4534">
        <v>-0.97975190000000001</v>
      </c>
      <c r="Q4534">
        <v>0.17927509999999999</v>
      </c>
      <c r="R4534">
        <v>-8.914387E-2</v>
      </c>
      <c r="S4534">
        <v>-3.0942690000000002</v>
      </c>
      <c r="T4534">
        <v>-0.24609839999999999</v>
      </c>
      <c r="U4534">
        <v>-0.1427002</v>
      </c>
      <c r="V4534">
        <v>-4.4950070000000002E-2</v>
      </c>
      <c r="W4534">
        <v>0.1928744</v>
      </c>
      <c r="X4534">
        <v>0.98019330000000005</v>
      </c>
      <c r="Y4534">
        <v>-1.086112E-3</v>
      </c>
      <c r="Z4534">
        <v>3.53623E-3</v>
      </c>
      <c r="AA4534">
        <v>0.99999309999999997</v>
      </c>
      <c r="AB4534">
        <v>49</v>
      </c>
      <c r="AC4534">
        <v>-0.52190000000001602</v>
      </c>
      <c r="AD4534">
        <v>-8.1103999999999801E-2</v>
      </c>
      <c r="AE4534">
        <v>-2.4599999999992399E-2</v>
      </c>
      <c r="AF4534">
        <v>-1.00158165467821E-3</v>
      </c>
      <c r="AG4534">
        <v>-8.1103999999999801E-2</v>
      </c>
      <c r="AH4534">
        <v>0.51018498703303095</v>
      </c>
      <c r="AI4534">
        <v>99.032697222155903</v>
      </c>
      <c r="AJ4534">
        <v>90.112481412401607</v>
      </c>
      <c r="AK4534">
        <v>0.51659227924515505</v>
      </c>
      <c r="AL4534">
        <v>78.8794210750997</v>
      </c>
      <c r="AM4534">
        <v>92.625651688011899</v>
      </c>
      <c r="AN4534">
        <v>0.999999974166627</v>
      </c>
    </row>
    <row r="4535" spans="1:40" x14ac:dyDescent="0.25">
      <c r="A4535" t="str">
        <f>"20190312172502293"</f>
        <v>20190312172502293</v>
      </c>
      <c r="B4535" t="str">
        <f>"1552382702285206"</f>
        <v>1552382702285206</v>
      </c>
      <c r="C4535" t="s">
        <v>40</v>
      </c>
      <c r="D4535">
        <v>4.0614489999999996</v>
      </c>
      <c r="E4535">
        <v>0.51951769999999997</v>
      </c>
      <c r="F4535" t="s">
        <v>41</v>
      </c>
      <c r="G4535">
        <v>-370.9187</v>
      </c>
      <c r="H4535">
        <v>1.0321739999999999</v>
      </c>
      <c r="I4535">
        <v>141.6585</v>
      </c>
      <c r="J4535">
        <v>-370.44439999999997</v>
      </c>
      <c r="K4535">
        <v>1.109988</v>
      </c>
      <c r="L4535">
        <v>141.68</v>
      </c>
      <c r="M4535">
        <v>-0.99889220000000001</v>
      </c>
      <c r="N4535">
        <v>0</v>
      </c>
      <c r="O4535">
        <v>-4.4921750000000003E-2</v>
      </c>
      <c r="P4535">
        <v>-0.97990129999999998</v>
      </c>
      <c r="Q4535">
        <v>0.17851330000000001</v>
      </c>
      <c r="R4535">
        <v>-8.9033009999999996E-2</v>
      </c>
      <c r="S4535">
        <v>-3.094849</v>
      </c>
      <c r="T4535">
        <v>-0.24991849999999999</v>
      </c>
      <c r="U4535">
        <v>-0.14106749999999901</v>
      </c>
      <c r="V4535">
        <v>-4.4972869999999998E-2</v>
      </c>
      <c r="W4535">
        <v>0.1922614</v>
      </c>
      <c r="X4535">
        <v>0.98031270000000004</v>
      </c>
      <c r="Y4535">
        <v>-7.5192670000000001E-4</v>
      </c>
      <c r="Z4535">
        <v>3.588024E-3</v>
      </c>
      <c r="AA4535">
        <v>0.99999329999999997</v>
      </c>
      <c r="AB4535">
        <v>49</v>
      </c>
      <c r="AC4535">
        <v>-0.47430000000002698</v>
      </c>
      <c r="AD4535">
        <v>-7.7813999999999994E-2</v>
      </c>
      <c r="AE4535">
        <v>-2.15000000000031E-2</v>
      </c>
      <c r="AF4535">
        <v>-1.6537096786920901E-4</v>
      </c>
      <c r="AG4535">
        <v>-7.7813999999999994E-2</v>
      </c>
      <c r="AH4535">
        <v>0.46236748988359599</v>
      </c>
      <c r="AI4535">
        <v>99.553056192075104</v>
      </c>
      <c r="AJ4535">
        <v>90.020492483395103</v>
      </c>
      <c r="AK4535">
        <v>0.468869642485855</v>
      </c>
      <c r="AL4535">
        <v>78.915213549588998</v>
      </c>
      <c r="AM4535">
        <v>92.626662118078201</v>
      </c>
      <c r="AN4535">
        <v>0.99999999737364298</v>
      </c>
    </row>
    <row r="4536" spans="1:40" x14ac:dyDescent="0.25">
      <c r="A4536" t="str">
        <f>"20190312172502316"</f>
        <v>20190312172502316</v>
      </c>
      <c r="B4536" t="str">
        <f>"1552382702304725"</f>
        <v>1552382702304725</v>
      </c>
      <c r="C4536" t="s">
        <v>40</v>
      </c>
      <c r="D4536">
        <v>3.7825519999999999</v>
      </c>
      <c r="E4536">
        <v>0.51980099999999996</v>
      </c>
      <c r="F4536" t="s">
        <v>41</v>
      </c>
      <c r="G4536">
        <v>-371.36259999999999</v>
      </c>
      <c r="H4536">
        <v>1.035989</v>
      </c>
      <c r="I4536">
        <v>141.63910000000001</v>
      </c>
      <c r="J4536">
        <v>-370.94409999999999</v>
      </c>
      <c r="K4536">
        <v>1.109901</v>
      </c>
      <c r="L4536">
        <v>141.65770000000001</v>
      </c>
      <c r="M4536">
        <v>-0.99890120000000004</v>
      </c>
      <c r="N4536">
        <v>0</v>
      </c>
      <c r="O4536">
        <v>-4.4682689999999997E-2</v>
      </c>
      <c r="P4536">
        <v>-0.97984610000000005</v>
      </c>
      <c r="Q4536">
        <v>0.1787695</v>
      </c>
      <c r="R4536">
        <v>-8.9125990000000002E-2</v>
      </c>
      <c r="S4536">
        <v>-3.0944210000000001</v>
      </c>
      <c r="T4536">
        <v>-0.24945100000000001</v>
      </c>
      <c r="U4536">
        <v>-0.1383972</v>
      </c>
      <c r="V4536">
        <v>-4.5256860000000003E-2</v>
      </c>
      <c r="W4536">
        <v>0.19264690000000001</v>
      </c>
      <c r="X4536">
        <v>0.98022399999999998</v>
      </c>
      <c r="Y4536">
        <v>-1.3701229999999999E-4</v>
      </c>
      <c r="Z4536">
        <v>3.587444E-3</v>
      </c>
      <c r="AA4536">
        <v>0.99999360000000004</v>
      </c>
      <c r="AB4536">
        <v>49</v>
      </c>
      <c r="AC4536">
        <v>-0.41849999999999399</v>
      </c>
      <c r="AD4536">
        <v>-7.3911999999999894E-2</v>
      </c>
      <c r="AE4536">
        <v>-1.8599999999992099E-2</v>
      </c>
      <c r="AF4536">
        <v>1.16527914406881E-4</v>
      </c>
      <c r="AG4536">
        <v>-7.3911999999999894E-2</v>
      </c>
      <c r="AH4536">
        <v>0.40626596974721801</v>
      </c>
      <c r="AI4536">
        <v>100.311052012117</v>
      </c>
      <c r="AJ4536">
        <v>89.983566042924906</v>
      </c>
      <c r="AK4536">
        <v>0.41293466250413302</v>
      </c>
      <c r="AL4536">
        <v>78.892705856721904</v>
      </c>
      <c r="AM4536">
        <v>92.643464085684201</v>
      </c>
      <c r="AN4536">
        <v>1.00000005081633</v>
      </c>
    </row>
    <row r="4537" spans="1:40" x14ac:dyDescent="0.25">
      <c r="A4537" t="str">
        <f>"20190312172502337"</f>
        <v>20190312172502337</v>
      </c>
      <c r="B4537" t="str">
        <f>"1552382702334982"</f>
        <v>1552382702334982</v>
      </c>
      <c r="C4537" t="s">
        <v>40</v>
      </c>
      <c r="D4537">
        <v>3.7184729999999999</v>
      </c>
      <c r="E4537">
        <v>0.52009110000000003</v>
      </c>
      <c r="F4537" t="s">
        <v>41</v>
      </c>
      <c r="G4537">
        <v>-371.8125</v>
      </c>
      <c r="H4537">
        <v>1.040735</v>
      </c>
      <c r="I4537">
        <v>141.61959999999999</v>
      </c>
      <c r="J4537">
        <v>-371.42430000000002</v>
      </c>
      <c r="K4537">
        <v>1.1098509999999999</v>
      </c>
      <c r="L4537">
        <v>141.63630000000001</v>
      </c>
      <c r="M4537">
        <v>-0.99891129999999995</v>
      </c>
      <c r="N4537">
        <v>0</v>
      </c>
      <c r="O4537">
        <v>-4.442699E-2</v>
      </c>
      <c r="P4537">
        <v>-0.97984919999999998</v>
      </c>
      <c r="Q4537">
        <v>0.1787154</v>
      </c>
      <c r="R4537">
        <v>-8.9202199999999995E-2</v>
      </c>
      <c r="S4537">
        <v>-3.0942690000000002</v>
      </c>
      <c r="T4537">
        <v>-0.24649599999999999</v>
      </c>
      <c r="U4537">
        <v>-0.1360779</v>
      </c>
      <c r="V4537">
        <v>-4.554569E-2</v>
      </c>
      <c r="W4537">
        <v>0.1927017</v>
      </c>
      <c r="X4537">
        <v>0.98019979999999995</v>
      </c>
      <c r="Y4537">
        <v>3.5557170000000002E-4</v>
      </c>
      <c r="Z4537">
        <v>3.5446090000000002E-3</v>
      </c>
      <c r="AA4537">
        <v>0.99999369999999999</v>
      </c>
      <c r="AB4537">
        <v>49</v>
      </c>
      <c r="AC4537">
        <v>-0.388199999999983</v>
      </c>
      <c r="AD4537">
        <v>-6.91159999999999E-2</v>
      </c>
      <c r="AE4537">
        <v>-1.6700000000014301E-2</v>
      </c>
      <c r="AF4537">
        <v>5.4747365182383702E-4</v>
      </c>
      <c r="AG4537">
        <v>-6.91159999999999E-2</v>
      </c>
      <c r="AH4537">
        <v>0.37664151204117902</v>
      </c>
      <c r="AI4537">
        <v>100.39842148311099</v>
      </c>
      <c r="AJ4537">
        <v>89.9167168074964</v>
      </c>
      <c r="AK4537">
        <v>0.38293099871395198</v>
      </c>
      <c r="AL4537">
        <v>78.889505538442506</v>
      </c>
      <c r="AM4537">
        <v>92.6603761411817</v>
      </c>
      <c r="AN4537">
        <v>1.0000000014902499</v>
      </c>
    </row>
    <row r="4538" spans="1:40" x14ac:dyDescent="0.25">
      <c r="A4538" t="str">
        <f>"20190312172502372"</f>
        <v>20190312172502372</v>
      </c>
      <c r="B4538" t="str">
        <f>"1552382702365238"</f>
        <v>1552382702365238</v>
      </c>
      <c r="C4538" t="s">
        <v>40</v>
      </c>
      <c r="D4538">
        <v>3.6943199999999998</v>
      </c>
      <c r="E4538">
        <v>0.52031530000000004</v>
      </c>
      <c r="F4538" t="s">
        <v>43</v>
      </c>
      <c r="G4538">
        <v>-385.52190000000002</v>
      </c>
      <c r="H4538" s="1">
        <v>-2.2791739999999998E-6</v>
      </c>
      <c r="I4538">
        <v>141.02850000000001</v>
      </c>
      <c r="J4538">
        <v>-372.17079999999999</v>
      </c>
      <c r="K4538">
        <v>1.1097680000000001</v>
      </c>
      <c r="L4538">
        <v>141.60339999999999</v>
      </c>
      <c r="M4538">
        <v>-0.99892829999999999</v>
      </c>
      <c r="N4538">
        <v>0</v>
      </c>
      <c r="O4538">
        <v>-4.3994749999999999E-2</v>
      </c>
      <c r="P4538">
        <v>-0.97979210000000005</v>
      </c>
      <c r="Q4538">
        <v>0.17867</v>
      </c>
      <c r="R4538">
        <v>-8.9914049999999995E-2</v>
      </c>
      <c r="S4538">
        <v>-3.0939939999999999</v>
      </c>
      <c r="T4538">
        <v>-0.2435795</v>
      </c>
      <c r="U4538">
        <v>-0.1333771</v>
      </c>
      <c r="V4538">
        <v>-4.6637079999999997E-2</v>
      </c>
      <c r="W4538">
        <v>0.1927972</v>
      </c>
      <c r="X4538">
        <v>0.98012969999999999</v>
      </c>
      <c r="Y4538">
        <v>7.9359600000000004E-4</v>
      </c>
      <c r="Z4538">
        <v>3.4864840000000002E-3</v>
      </c>
      <c r="AA4538">
        <v>0.99999360000000004</v>
      </c>
      <c r="AB4538">
        <v>49</v>
      </c>
      <c r="AC4538">
        <v>-13.351100000000001</v>
      </c>
      <c r="AD4538">
        <v>-1.1097702791740001</v>
      </c>
      <c r="AE4538">
        <v>-0.57489999999998498</v>
      </c>
      <c r="AF4538">
        <v>1.3006084442256399E-2</v>
      </c>
      <c r="AG4538">
        <v>-1.1097702791740001</v>
      </c>
      <c r="AH4538">
        <v>13.271935824483799</v>
      </c>
      <c r="AI4538">
        <v>94.779826232728297</v>
      </c>
      <c r="AJ4538">
        <v>89.943851935554704</v>
      </c>
      <c r="AK4538">
        <v>13.318259637054201</v>
      </c>
      <c r="AL4538">
        <v>78.883929243640196</v>
      </c>
      <c r="AM4538">
        <v>92.724225118499305</v>
      </c>
      <c r="AN4538">
        <v>1.0000000031904199</v>
      </c>
    </row>
    <row r="4539" spans="1:40" x14ac:dyDescent="0.25">
      <c r="A4539" t="str">
        <f>"20190312172502393"</f>
        <v>20190312172502393</v>
      </c>
      <c r="B4539" t="str">
        <f>"1552382702384761"</f>
        <v>1552382702384761</v>
      </c>
      <c r="C4539" t="s">
        <v>40</v>
      </c>
      <c r="D4539">
        <v>3.7421000000000002</v>
      </c>
      <c r="E4539">
        <v>0.5204742</v>
      </c>
      <c r="F4539" t="s">
        <v>41</v>
      </c>
      <c r="G4539">
        <v>-373.12189999999998</v>
      </c>
      <c r="H4539">
        <v>1.035674</v>
      </c>
      <c r="I4539">
        <v>141.56229999999999</v>
      </c>
      <c r="J4539">
        <v>-372.66230000000002</v>
      </c>
      <c r="K4539">
        <v>1.1097250000000001</v>
      </c>
      <c r="L4539">
        <v>141.58189999999999</v>
      </c>
      <c r="M4539">
        <v>-0.99894050000000001</v>
      </c>
      <c r="N4539">
        <v>0</v>
      </c>
      <c r="O4539">
        <v>-4.3695860000000003E-2</v>
      </c>
      <c r="P4539">
        <v>-0.97978240000000005</v>
      </c>
      <c r="Q4539">
        <v>0.1782378</v>
      </c>
      <c r="R4539">
        <v>-9.0873460000000003E-2</v>
      </c>
      <c r="S4539">
        <v>-3.0936279999999998</v>
      </c>
      <c r="T4539">
        <v>-0.24101359999999999</v>
      </c>
      <c r="U4539">
        <v>-0.13327030000000001</v>
      </c>
      <c r="V4539">
        <v>-4.7865400000000002E-2</v>
      </c>
      <c r="W4539">
        <v>0.192442</v>
      </c>
      <c r="X4539">
        <v>0.98014029999999996</v>
      </c>
      <c r="Y4539">
        <v>5.2835410000000001E-4</v>
      </c>
      <c r="Z4539">
        <v>3.416756E-3</v>
      </c>
      <c r="AA4539">
        <v>0.99999400000000005</v>
      </c>
      <c r="AB4539">
        <v>49</v>
      </c>
      <c r="AC4539">
        <v>-0.45959999999996598</v>
      </c>
      <c r="AD4539">
        <v>-7.4051000000000006E-2</v>
      </c>
      <c r="AE4539">
        <v>-1.9599999999996901E-2</v>
      </c>
      <c r="AF4539">
        <v>4.9072007145139996E-4</v>
      </c>
      <c r="AG4539">
        <v>-7.4051000000000006E-2</v>
      </c>
      <c r="AH4539">
        <v>0.44839825308222903</v>
      </c>
      <c r="AI4539">
        <v>99.377500738458593</v>
      </c>
      <c r="AJ4539">
        <v>89.9372964154107</v>
      </c>
      <c r="AK4539">
        <v>0.45447198458693</v>
      </c>
      <c r="AL4539">
        <v>78.904669208229805</v>
      </c>
      <c r="AM4539">
        <v>92.795832750736906</v>
      </c>
      <c r="AN4539">
        <v>1.0000000137826199</v>
      </c>
    </row>
    <row r="4540" spans="1:40" x14ac:dyDescent="0.25">
      <c r="A4540" t="str">
        <f>"20190312172502415"</f>
        <v>20190312172502415</v>
      </c>
      <c r="B4540" t="str">
        <f>"1552382702405254"</f>
        <v>1552382702405254</v>
      </c>
      <c r="C4540" t="s">
        <v>40</v>
      </c>
      <c r="D4540">
        <v>3.73041</v>
      </c>
      <c r="E4540">
        <v>0.52066889999999999</v>
      </c>
      <c r="F4540" t="s">
        <v>41</v>
      </c>
      <c r="G4540">
        <v>-373.56420000000003</v>
      </c>
      <c r="H4540">
        <v>1.03922</v>
      </c>
      <c r="I4540">
        <v>141.5427</v>
      </c>
      <c r="J4540">
        <v>-373.1318</v>
      </c>
      <c r="K4540">
        <v>1.109686</v>
      </c>
      <c r="L4540">
        <v>141.5615</v>
      </c>
      <c r="M4540">
        <v>-0.99895230000000002</v>
      </c>
      <c r="N4540">
        <v>0</v>
      </c>
      <c r="O4540">
        <v>-4.3403150000000001E-2</v>
      </c>
      <c r="P4540">
        <v>-0.97967179999999998</v>
      </c>
      <c r="Q4540">
        <v>0.17836099999999999</v>
      </c>
      <c r="R4540">
        <v>-9.1818399999999994E-2</v>
      </c>
      <c r="S4540">
        <v>-3.093353</v>
      </c>
      <c r="T4540">
        <v>-0.24190719999999999</v>
      </c>
      <c r="U4540">
        <v>-0.13525390000000001</v>
      </c>
      <c r="V4540">
        <v>-4.9082889999999997E-2</v>
      </c>
      <c r="W4540">
        <v>0.19262870000000001</v>
      </c>
      <c r="X4540">
        <v>0.98004340000000001</v>
      </c>
      <c r="Y4540">
        <v>-4.0576469999999999E-4</v>
      </c>
      <c r="Z4540">
        <v>3.3703610000000001E-3</v>
      </c>
      <c r="AA4540">
        <v>0.99999420000000006</v>
      </c>
      <c r="AB4540">
        <v>49</v>
      </c>
      <c r="AC4540">
        <v>-0.43240000000002898</v>
      </c>
      <c r="AD4540">
        <v>-7.0465999999999904E-2</v>
      </c>
      <c r="AE4540">
        <v>-1.87999999999988E-2</v>
      </c>
      <c r="AF4540" s="1">
        <v>-1.2452442934664201E-5</v>
      </c>
      <c r="AG4540">
        <v>-7.0465999999999904E-2</v>
      </c>
      <c r="AH4540">
        <v>0.42163211743585699</v>
      </c>
      <c r="AI4540">
        <v>99.4879679422897</v>
      </c>
      <c r="AJ4540">
        <v>90.001692168113095</v>
      </c>
      <c r="AK4540">
        <v>0.42747994077442703</v>
      </c>
      <c r="AL4540">
        <v>78.893768040204904</v>
      </c>
      <c r="AM4540">
        <v>92.867112530814694</v>
      </c>
      <c r="AN4540">
        <v>1.000000006019</v>
      </c>
    </row>
    <row r="4541" spans="1:40" x14ac:dyDescent="0.25">
      <c r="A4541" t="str">
        <f>"20190312172502437"</f>
        <v>20190312172502437</v>
      </c>
      <c r="B4541" t="str">
        <f>"1552382702435510"</f>
        <v>1552382702435510</v>
      </c>
      <c r="C4541" t="s">
        <v>40</v>
      </c>
      <c r="D4541">
        <v>3.6707429999999999</v>
      </c>
      <c r="E4541">
        <v>0.520872</v>
      </c>
      <c r="F4541" t="s">
        <v>43</v>
      </c>
      <c r="G4541">
        <v>-387.40809999999999</v>
      </c>
      <c r="H4541" s="1">
        <v>-1.442947E-6</v>
      </c>
      <c r="I4541">
        <v>140.92679999999999</v>
      </c>
      <c r="J4541">
        <v>-373.62299999999999</v>
      </c>
      <c r="K4541">
        <v>1.1096549999999901</v>
      </c>
      <c r="L4541">
        <v>141.54040000000001</v>
      </c>
      <c r="M4541">
        <v>-0.9989652</v>
      </c>
      <c r="N4541">
        <v>0</v>
      </c>
      <c r="O4541">
        <v>-4.3090219999999999E-2</v>
      </c>
      <c r="P4541">
        <v>-0.97969890000000004</v>
      </c>
      <c r="Q4541">
        <v>0.1781817</v>
      </c>
      <c r="R4541">
        <v>-9.1879409999999995E-2</v>
      </c>
      <c r="S4541">
        <v>-3.0930789999999999</v>
      </c>
      <c r="T4541">
        <v>-0.24042440000000001</v>
      </c>
      <c r="U4541">
        <v>-0.13749690000000001</v>
      </c>
      <c r="V4541">
        <v>-4.9433159999999997E-2</v>
      </c>
      <c r="W4541">
        <v>0.1925076</v>
      </c>
      <c r="X4541">
        <v>0.98004959999999997</v>
      </c>
      <c r="Y4541">
        <v>-1.441009E-3</v>
      </c>
      <c r="Z4541">
        <v>3.2855919999999999E-3</v>
      </c>
      <c r="AA4541">
        <v>0.99999360000000004</v>
      </c>
      <c r="AB4541">
        <v>49</v>
      </c>
      <c r="AC4541">
        <v>-13.7850999999999</v>
      </c>
      <c r="AD4541">
        <v>-1.1096564429469999</v>
      </c>
      <c r="AE4541">
        <v>-0.61360000000001902</v>
      </c>
      <c r="AF4541">
        <v>-1.8842211925799102E-2</v>
      </c>
      <c r="AG4541">
        <v>-1.1096564429469999</v>
      </c>
      <c r="AH4541">
        <v>13.7100744584446</v>
      </c>
      <c r="AI4541">
        <v>94.627274875444996</v>
      </c>
      <c r="AJ4541">
        <v>90.078743448375207</v>
      </c>
      <c r="AK4541">
        <v>13.7549203598719</v>
      </c>
      <c r="AL4541">
        <v>78.900839011299993</v>
      </c>
      <c r="AM4541">
        <v>92.887520351651602</v>
      </c>
      <c r="AN4541">
        <v>1.00000001591275</v>
      </c>
    </row>
    <row r="4542" spans="1:40" x14ac:dyDescent="0.25">
      <c r="A4542" t="str">
        <f>"20190312172502460"</f>
        <v>20190312172502460</v>
      </c>
      <c r="B4542" t="str">
        <f>"1552382702455045"</f>
        <v>1552382702455045</v>
      </c>
      <c r="C4542" t="s">
        <v>40</v>
      </c>
      <c r="D4542">
        <v>3.7346119999999998</v>
      </c>
      <c r="E4542">
        <v>0.52103630000000001</v>
      </c>
      <c r="F4542" t="s">
        <v>43</v>
      </c>
      <c r="G4542">
        <v>-387.9864</v>
      </c>
      <c r="H4542" s="1">
        <v>-1.1885360000000001E-6</v>
      </c>
      <c r="I4542">
        <v>140.90289999999999</v>
      </c>
      <c r="J4542">
        <v>-374.12540000000001</v>
      </c>
      <c r="K4542">
        <v>1.109632</v>
      </c>
      <c r="L4542">
        <v>141.5189</v>
      </c>
      <c r="M4542">
        <v>-0.99897860000000005</v>
      </c>
      <c r="N4542">
        <v>0</v>
      </c>
      <c r="O4542">
        <v>-4.2764089999999998E-2</v>
      </c>
      <c r="P4542">
        <v>-0.97960829999999999</v>
      </c>
      <c r="Q4542">
        <v>0.17860970000000001</v>
      </c>
      <c r="R4542">
        <v>-9.2014280000000004E-2</v>
      </c>
      <c r="S4542">
        <v>-3.092743</v>
      </c>
      <c r="T4542">
        <v>-0.23893500000000001</v>
      </c>
      <c r="U4542">
        <v>-0.13723750000000001</v>
      </c>
      <c r="V4542">
        <v>-4.9877030000000003E-2</v>
      </c>
      <c r="W4542">
        <v>0.19298480000000001</v>
      </c>
      <c r="X4542">
        <v>0.97993330000000001</v>
      </c>
      <c r="Y4542">
        <v>-1.685329E-3</v>
      </c>
      <c r="Z4542">
        <v>3.2311240000000001E-3</v>
      </c>
      <c r="AA4542">
        <v>0.99999340000000003</v>
      </c>
      <c r="AB4542">
        <v>49</v>
      </c>
      <c r="AC4542">
        <v>-13.860999999999899</v>
      </c>
      <c r="AD4542">
        <v>-1.109633188536</v>
      </c>
      <c r="AE4542">
        <v>-0.61600000000001298</v>
      </c>
      <c r="AF4542">
        <v>-2.2476414563285401E-2</v>
      </c>
      <c r="AG4542">
        <v>-1.109633188536</v>
      </c>
      <c r="AH4542">
        <v>13.786483469281</v>
      </c>
      <c r="AI4542">
        <v>94.601641733970297</v>
      </c>
      <c r="AJ4542">
        <v>90.0934105172621</v>
      </c>
      <c r="AK4542">
        <v>13.8310851870369</v>
      </c>
      <c r="AL4542">
        <v>78.872975494171101</v>
      </c>
      <c r="AM4542">
        <v>92.913748661960696</v>
      </c>
      <c r="AN4542">
        <v>1.0000000618007701</v>
      </c>
    </row>
    <row r="4543" spans="1:40" x14ac:dyDescent="0.25">
      <c r="A4543" t="str">
        <f>"20190312172502483"</f>
        <v>20190312172502483</v>
      </c>
      <c r="B4543" t="str">
        <f>"1552382702475526"</f>
        <v>1552382702475526</v>
      </c>
      <c r="C4543" t="s">
        <v>40</v>
      </c>
      <c r="D4543">
        <v>3.720424</v>
      </c>
      <c r="E4543">
        <v>0.52118889999999995</v>
      </c>
      <c r="F4543" t="s">
        <v>43</v>
      </c>
      <c r="G4543">
        <v>-388.63569999999999</v>
      </c>
      <c r="H4543" s="1">
        <v>-9.0321650000000002E-7</v>
      </c>
      <c r="I4543">
        <v>140.8775</v>
      </c>
      <c r="J4543">
        <v>-374.61399999999998</v>
      </c>
      <c r="K4543">
        <v>1.109618</v>
      </c>
      <c r="L4543">
        <v>141.4982</v>
      </c>
      <c r="M4543">
        <v>-0.99899150000000003</v>
      </c>
      <c r="N4543">
        <v>0</v>
      </c>
      <c r="O4543">
        <v>-4.2442300000000002E-2</v>
      </c>
      <c r="P4543">
        <v>-0.979518</v>
      </c>
      <c r="Q4543">
        <v>0.17898889999999901</v>
      </c>
      <c r="R4543">
        <v>-9.2237200000000005E-2</v>
      </c>
      <c r="S4543">
        <v>-3.092743</v>
      </c>
      <c r="T4543">
        <v>-0.2365099</v>
      </c>
      <c r="U4543">
        <v>-0.13668820000000001</v>
      </c>
      <c r="V4543">
        <v>-5.040733E-2</v>
      </c>
      <c r="W4543">
        <v>0.19340399999999999</v>
      </c>
      <c r="X4543">
        <v>0.97982349999999996</v>
      </c>
      <c r="Y4543">
        <v>-1.8263439999999999E-3</v>
      </c>
      <c r="Z4543">
        <v>3.168527E-3</v>
      </c>
      <c r="AA4543">
        <v>0.99999329999999997</v>
      </c>
      <c r="AB4543">
        <v>49</v>
      </c>
      <c r="AC4543">
        <v>-14.0216999999999</v>
      </c>
      <c r="AD4543">
        <v>-1.1096189032165</v>
      </c>
      <c r="AE4543">
        <v>-0.62069999999999903</v>
      </c>
      <c r="AF4543">
        <v>-2.48084467411692E-2</v>
      </c>
      <c r="AG4543">
        <v>-1.1096189032165</v>
      </c>
      <c r="AH4543">
        <v>13.948229696511699</v>
      </c>
      <c r="AI4543">
        <v>94.548446015808196</v>
      </c>
      <c r="AJ4543">
        <v>90.101906681106499</v>
      </c>
      <c r="AK4543">
        <v>13.9923186511763</v>
      </c>
      <c r="AL4543">
        <v>78.848495773186301</v>
      </c>
      <c r="AM4543">
        <v>92.945003236028995</v>
      </c>
      <c r="AN4543">
        <v>1.0000000486429801</v>
      </c>
    </row>
    <row r="4544" spans="1:40" x14ac:dyDescent="0.25">
      <c r="A4544" t="str">
        <f>"20190312172502505"</f>
        <v>20190312172502505</v>
      </c>
      <c r="B4544" t="str">
        <f>"1552382702495046"</f>
        <v>1552382702495046</v>
      </c>
      <c r="C4544" t="s">
        <v>40</v>
      </c>
      <c r="D4544">
        <v>3.7484120000000001</v>
      </c>
      <c r="E4544">
        <v>0.52132250000000002</v>
      </c>
      <c r="F4544" t="s">
        <v>41</v>
      </c>
      <c r="G4544">
        <v>-375.74349999999998</v>
      </c>
      <c r="H4544">
        <v>1.0239510000000001</v>
      </c>
      <c r="I4544">
        <v>141.4486</v>
      </c>
      <c r="J4544">
        <v>-375.1078</v>
      </c>
      <c r="K4544">
        <v>1.10961</v>
      </c>
      <c r="L4544">
        <v>141.47739999999999</v>
      </c>
      <c r="M4544">
        <v>-0.99900520000000004</v>
      </c>
      <c r="N4544">
        <v>0</v>
      </c>
      <c r="O4544">
        <v>-4.2111490000000001E-2</v>
      </c>
      <c r="P4544">
        <v>-0.97933289999999995</v>
      </c>
      <c r="Q4544">
        <v>0.17958640000000001</v>
      </c>
      <c r="R4544">
        <v>-9.3039209999999997E-2</v>
      </c>
      <c r="S4544">
        <v>-3.0927730000000002</v>
      </c>
      <c r="T4544">
        <v>-0.2345468</v>
      </c>
      <c r="U4544">
        <v>-0.13572690000000001</v>
      </c>
      <c r="V4544">
        <v>-5.1531420000000001E-2</v>
      </c>
      <c r="W4544">
        <v>0.1940355</v>
      </c>
      <c r="X4544">
        <v>0.97964010000000001</v>
      </c>
      <c r="Y4544">
        <v>-1.8438700000000001E-3</v>
      </c>
      <c r="Z4544">
        <v>3.116621E-3</v>
      </c>
      <c r="AA4544">
        <v>0.99999340000000003</v>
      </c>
      <c r="AB4544">
        <v>49</v>
      </c>
      <c r="AC4544">
        <v>-0.63569999999998505</v>
      </c>
      <c r="AD4544">
        <v>-8.5658999999999902E-2</v>
      </c>
      <c r="AE4544">
        <v>-2.8799999999989698E-2</v>
      </c>
      <c r="AF4544">
        <v>-1.9656735271730299E-3</v>
      </c>
      <c r="AG4544">
        <v>-8.5658999999999902E-2</v>
      </c>
      <c r="AH4544">
        <v>0.62502365793010894</v>
      </c>
      <c r="AI4544">
        <v>97.803687875462202</v>
      </c>
      <c r="AJ4544">
        <v>90.180192260349997</v>
      </c>
      <c r="AK4544">
        <v>0.63086916323889997</v>
      </c>
      <c r="AL4544">
        <v>78.8116142318258</v>
      </c>
      <c r="AM4544">
        <v>93.011120266301205</v>
      </c>
      <c r="AN4544">
        <v>0.99999999401773798</v>
      </c>
    </row>
    <row r="4545" spans="1:40" x14ac:dyDescent="0.25">
      <c r="A4545" t="str">
        <f>"20190312172502528"</f>
        <v>20190312172502528</v>
      </c>
      <c r="B4545" t="str">
        <f>"1552382702525303"</f>
        <v>1552382702525303</v>
      </c>
      <c r="C4545" t="s">
        <v>40</v>
      </c>
      <c r="D4545">
        <v>3.7509239999999999</v>
      </c>
      <c r="E4545">
        <v>0.52149460000000003</v>
      </c>
      <c r="F4545" t="s">
        <v>41</v>
      </c>
      <c r="G4545">
        <v>-376.18340000000001</v>
      </c>
      <c r="H4545">
        <v>1.028991</v>
      </c>
      <c r="I4545">
        <v>141.43029999999999</v>
      </c>
      <c r="J4545">
        <v>-375.60379999999998</v>
      </c>
      <c r="K4545">
        <v>1.1096090000000001</v>
      </c>
      <c r="L4545">
        <v>141.45679999999999</v>
      </c>
      <c r="M4545">
        <v>-0.99901899999999999</v>
      </c>
      <c r="N4545">
        <v>0</v>
      </c>
      <c r="O4545">
        <v>-4.177355E-2</v>
      </c>
      <c r="P4545">
        <v>-0.97897679999999998</v>
      </c>
      <c r="Q4545">
        <v>0.1810978</v>
      </c>
      <c r="R4545">
        <v>-9.3852740000000004E-2</v>
      </c>
      <c r="S4545">
        <v>-3.0928650000000002</v>
      </c>
      <c r="T4545">
        <v>-0.2318807</v>
      </c>
      <c r="U4545">
        <v>-0.13642879999999999</v>
      </c>
      <c r="V4545">
        <v>-5.2680930000000001E-2</v>
      </c>
      <c r="W4545">
        <v>0.19557289999999999</v>
      </c>
      <c r="X4545">
        <v>0.97927319999999995</v>
      </c>
      <c r="Y4545">
        <v>-2.4022140000000002E-3</v>
      </c>
      <c r="Z4545">
        <v>3.035032E-3</v>
      </c>
      <c r="AA4545">
        <v>0.99999249999999995</v>
      </c>
      <c r="AB4545">
        <v>49</v>
      </c>
      <c r="AC4545">
        <v>-0.57960000000002698</v>
      </c>
      <c r="AD4545">
        <v>-8.0617999999999995E-2</v>
      </c>
      <c r="AE4545">
        <v>-2.6499999999998601E-2</v>
      </c>
      <c r="AF4545">
        <v>-2.2194487958799602E-3</v>
      </c>
      <c r="AG4545">
        <v>-8.0617999999999995E-2</v>
      </c>
      <c r="AH4545">
        <v>0.56921167413789697</v>
      </c>
      <c r="AI4545">
        <v>98.061180501681207</v>
      </c>
      <c r="AJ4545">
        <v>90.223404420855999</v>
      </c>
      <c r="AK4545">
        <v>0.57489661492465305</v>
      </c>
      <c r="AL4545">
        <v>78.721807475711799</v>
      </c>
      <c r="AM4545">
        <v>93.079312541524999</v>
      </c>
      <c r="AN4545">
        <v>1.0000000199191501</v>
      </c>
    </row>
    <row r="4546" spans="1:40" x14ac:dyDescent="0.25">
      <c r="A4546" t="str">
        <f>"20190312172502550"</f>
        <v>20190312172502550</v>
      </c>
      <c r="B4546" t="str">
        <f>"1552382702544822"</f>
        <v>1552382702544822</v>
      </c>
      <c r="C4546" t="s">
        <v>40</v>
      </c>
      <c r="D4546">
        <v>3.7168760000000001</v>
      </c>
      <c r="E4546">
        <v>0.52161029999999997</v>
      </c>
      <c r="F4546" t="s">
        <v>41</v>
      </c>
      <c r="G4546">
        <v>-376.62529999999998</v>
      </c>
      <c r="H4546">
        <v>1.034929</v>
      </c>
      <c r="I4546">
        <v>141.41159999999999</v>
      </c>
      <c r="J4546">
        <v>-376.08319999999998</v>
      </c>
      <c r="K4546">
        <v>1.1096090000000001</v>
      </c>
      <c r="L4546">
        <v>141.43690000000001</v>
      </c>
      <c r="M4546">
        <v>-0.99903229999999998</v>
      </c>
      <c r="N4546">
        <v>0</v>
      </c>
      <c r="O4546">
        <v>-4.1442199999999998E-2</v>
      </c>
      <c r="P4546">
        <v>-0.97850979999999999</v>
      </c>
      <c r="Q4546">
        <v>0.18298429999999999</v>
      </c>
      <c r="R4546">
        <v>-9.5053780000000004E-2</v>
      </c>
      <c r="S4546">
        <v>-3.0930789999999999</v>
      </c>
      <c r="T4546">
        <v>-0.22606860000000001</v>
      </c>
      <c r="U4546">
        <v>-0.1368713</v>
      </c>
      <c r="V4546">
        <v>-5.4217939999999999E-2</v>
      </c>
      <c r="W4546">
        <v>0.19747990000000001</v>
      </c>
      <c r="X4546">
        <v>0.97880639999999997</v>
      </c>
      <c r="Y4546">
        <v>-2.8660339999999999E-3</v>
      </c>
      <c r="Z4546">
        <v>2.9178810000000002E-3</v>
      </c>
      <c r="AA4546">
        <v>0.99999170000000004</v>
      </c>
      <c r="AB4546">
        <v>49</v>
      </c>
      <c r="AC4546">
        <v>-0.54210000000000402</v>
      </c>
      <c r="AD4546">
        <v>-7.4679999999999996E-2</v>
      </c>
      <c r="AE4546">
        <v>-2.5300000000015602E-2</v>
      </c>
      <c r="AF4546">
        <v>-2.75778211957446E-3</v>
      </c>
      <c r="AG4546">
        <v>-7.4679999999999996E-2</v>
      </c>
      <c r="AH4546">
        <v>0.53259713797315</v>
      </c>
      <c r="AI4546">
        <v>97.981785849397298</v>
      </c>
      <c r="AJ4546">
        <v>90.296674264404302</v>
      </c>
      <c r="AK4546">
        <v>0.53781448394349696</v>
      </c>
      <c r="AL4546">
        <v>78.610370225777402</v>
      </c>
      <c r="AM4546">
        <v>93.170481750739</v>
      </c>
      <c r="AN4546">
        <v>0.99999993230140405</v>
      </c>
    </row>
    <row r="4547" spans="1:40" x14ac:dyDescent="0.25">
      <c r="A4547" t="str">
        <f>"20190312172502572"</f>
        <v>20190312172502572</v>
      </c>
      <c r="B4547" t="str">
        <f>"1552382702565321"</f>
        <v>1552382702565321</v>
      </c>
      <c r="C4547" t="s">
        <v>40</v>
      </c>
      <c r="D4547">
        <v>3.7630539999999999</v>
      </c>
      <c r="E4547">
        <v>0.52167359999999996</v>
      </c>
      <c r="F4547" t="s">
        <v>43</v>
      </c>
      <c r="G4547">
        <v>-391.72579999999999</v>
      </c>
      <c r="H4547" s="1">
        <v>-3.8283939999999999E-6</v>
      </c>
      <c r="I4547">
        <v>140.7304</v>
      </c>
      <c r="J4547">
        <v>-376.57150000000001</v>
      </c>
      <c r="K4547">
        <v>1.1096079999999999</v>
      </c>
      <c r="L4547">
        <v>141.4169</v>
      </c>
      <c r="M4547">
        <v>-0.99904610000000005</v>
      </c>
      <c r="N4547">
        <v>0</v>
      </c>
      <c r="O4547">
        <v>-4.1101329999999998E-2</v>
      </c>
      <c r="P4547">
        <v>-0.97823539999999998</v>
      </c>
      <c r="Q4547">
        <v>0.1839346</v>
      </c>
      <c r="R4547">
        <v>-9.6040899999999998E-2</v>
      </c>
      <c r="S4547">
        <v>-3.0933229999999998</v>
      </c>
      <c r="T4547">
        <v>-0.21942639999999999</v>
      </c>
      <c r="U4547">
        <v>-0.13969419999999999</v>
      </c>
      <c r="V4547">
        <v>-5.5543519999999999E-2</v>
      </c>
      <c r="W4547">
        <v>0.19844880000000001</v>
      </c>
      <c r="X4547">
        <v>0.97853610000000002</v>
      </c>
      <c r="Y4547">
        <v>-4.1045609999999996E-3</v>
      </c>
      <c r="Z4547">
        <v>2.7641110000000001E-3</v>
      </c>
      <c r="AA4547">
        <v>0.99998779999999998</v>
      </c>
      <c r="AB4547">
        <v>49</v>
      </c>
      <c r="AC4547">
        <v>-15.1542999999999</v>
      </c>
      <c r="AD4547">
        <v>-1.109611828394</v>
      </c>
      <c r="AE4547">
        <v>-0.686499999999995</v>
      </c>
      <c r="AF4547">
        <v>-6.26548912483927E-2</v>
      </c>
      <c r="AG4547">
        <v>-1.109611828394</v>
      </c>
      <c r="AH4547">
        <v>15.0889797803941</v>
      </c>
      <c r="AI4547">
        <v>94.205804379691202</v>
      </c>
      <c r="AJ4547">
        <v>90.237911393254905</v>
      </c>
      <c r="AK4547">
        <v>15.1298537619586</v>
      </c>
      <c r="AL4547">
        <v>78.553735743846502</v>
      </c>
      <c r="AM4547">
        <v>93.248728439973604</v>
      </c>
      <c r="AN4547">
        <v>0.99999995391931895</v>
      </c>
    </row>
    <row r="4548" spans="1:40" x14ac:dyDescent="0.25">
      <c r="A4548" t="str">
        <f>"20190312172502594"</f>
        <v>20190312172502594</v>
      </c>
      <c r="B4548" t="str">
        <f>"1552382702584838"</f>
        <v>1552382702584838</v>
      </c>
      <c r="C4548" t="s">
        <v>40</v>
      </c>
      <c r="D4548">
        <v>3.778133</v>
      </c>
      <c r="E4548">
        <v>0.50531059999999905</v>
      </c>
      <c r="F4548" t="s">
        <v>43</v>
      </c>
      <c r="G4548">
        <v>-392.45549999999997</v>
      </c>
      <c r="H4548" s="1">
        <v>-3.5035009999999998E-6</v>
      </c>
      <c r="I4548">
        <v>140.6859</v>
      </c>
      <c r="J4548">
        <v>-377.04939999999999</v>
      </c>
      <c r="K4548">
        <v>1.1096109999999999</v>
      </c>
      <c r="L4548">
        <v>141.39750000000001</v>
      </c>
      <c r="M4548">
        <v>-0.99905969999999999</v>
      </c>
      <c r="N4548">
        <v>0</v>
      </c>
      <c r="O4548">
        <v>-4.07649E-2</v>
      </c>
      <c r="P4548">
        <v>-0.97795359999999998</v>
      </c>
      <c r="Q4548">
        <v>0.1845975</v>
      </c>
      <c r="R4548">
        <v>-9.7625859999999995E-2</v>
      </c>
      <c r="S4548">
        <v>-3.0933839999999999</v>
      </c>
      <c r="T4548">
        <v>-0.21609510000000001</v>
      </c>
      <c r="U4548">
        <v>-0.14234920000000001</v>
      </c>
      <c r="V4548">
        <v>-5.7463809999999997E-2</v>
      </c>
      <c r="W4548">
        <v>0.1991279</v>
      </c>
      <c r="X4548">
        <v>0.97828729999999997</v>
      </c>
      <c r="Y4548">
        <v>-5.2904120000000004E-3</v>
      </c>
      <c r="Z4548">
        <v>2.6573450000000002E-3</v>
      </c>
      <c r="AA4548">
        <v>0.9999825</v>
      </c>
      <c r="AB4548">
        <v>49</v>
      </c>
      <c r="AC4548">
        <v>-15.406099999999901</v>
      </c>
      <c r="AD4548">
        <v>-1.1096145035009899</v>
      </c>
      <c r="AE4548">
        <v>-0.71160000000000401</v>
      </c>
      <c r="AF4548">
        <v>-8.2484812249702999E-2</v>
      </c>
      <c r="AG4548">
        <v>-1.1096145035009899</v>
      </c>
      <c r="AH4548">
        <v>15.342880716856699</v>
      </c>
      <c r="AI4548">
        <v>94.136434338028806</v>
      </c>
      <c r="AJ4548">
        <v>90.308024690577696</v>
      </c>
      <c r="AK4548">
        <v>15.383173820194701</v>
      </c>
      <c r="AL4548">
        <v>78.514034659404501</v>
      </c>
      <c r="AM4548">
        <v>93.3616453845367</v>
      </c>
      <c r="AN4548">
        <v>1.0000000256796999</v>
      </c>
    </row>
    <row r="4549" spans="1:40" x14ac:dyDescent="0.25">
      <c r="A4549" t="str">
        <f>"20190312172502616"</f>
        <v>20190312172502616</v>
      </c>
      <c r="B4549" t="str">
        <f>"1552382702605334"</f>
        <v>1552382702605334</v>
      </c>
      <c r="C4549" t="s">
        <v>40</v>
      </c>
      <c r="D4549">
        <v>3.828929</v>
      </c>
      <c r="E4549">
        <v>0.50348930000000003</v>
      </c>
      <c r="F4549" t="s">
        <v>43</v>
      </c>
      <c r="G4549">
        <v>-392.86759999999998</v>
      </c>
      <c r="H4549" s="1">
        <v>-3.1364140000000001E-6</v>
      </c>
      <c r="I4549">
        <v>139.9708</v>
      </c>
      <c r="J4549">
        <v>-377.53030000000001</v>
      </c>
      <c r="K4549">
        <v>1.1096109999999999</v>
      </c>
      <c r="L4549">
        <v>141.37809999999999</v>
      </c>
      <c r="M4549">
        <v>-0.99907330000000005</v>
      </c>
      <c r="N4549">
        <v>0</v>
      </c>
      <c r="O4549">
        <v>-4.0424189999999999E-2</v>
      </c>
      <c r="P4549">
        <v>-0.97773690000000002</v>
      </c>
      <c r="Q4549">
        <v>0.1852105</v>
      </c>
      <c r="R4549">
        <v>-9.8629679999999997E-2</v>
      </c>
      <c r="S4549">
        <v>-3.0806879999999999</v>
      </c>
      <c r="T4549">
        <v>-0.21610389999999999</v>
      </c>
      <c r="U4549">
        <v>-0.27784730000000002</v>
      </c>
      <c r="V4549">
        <v>-5.8805639999999999E-2</v>
      </c>
      <c r="W4549">
        <v>0.19975399999999999</v>
      </c>
      <c r="X4549">
        <v>0.9780799</v>
      </c>
      <c r="Y4549">
        <v>-4.9464769999999998E-2</v>
      </c>
      <c r="Z4549">
        <v>1.095625E-3</v>
      </c>
      <c r="AA4549">
        <v>0.99877519999999997</v>
      </c>
      <c r="AB4549">
        <v>49</v>
      </c>
      <c r="AC4549">
        <v>-15.3372999999999</v>
      </c>
      <c r="AD4549">
        <v>-1.109614136414</v>
      </c>
      <c r="AE4549">
        <v>-1.40729999999999</v>
      </c>
      <c r="AF4549">
        <v>-0.78202472107063004</v>
      </c>
      <c r="AG4549">
        <v>-1.109614136414</v>
      </c>
      <c r="AH4549">
        <v>15.302230397827</v>
      </c>
      <c r="AI4549">
        <v>94.142056196882194</v>
      </c>
      <c r="AJ4549">
        <v>92.925571493301106</v>
      </c>
      <c r="AK4549">
        <v>15.3623260395123</v>
      </c>
      <c r="AL4549">
        <v>78.477426323563606</v>
      </c>
      <c r="AM4549">
        <v>93.440684058074893</v>
      </c>
      <c r="AN4549">
        <v>1.0000000272978999</v>
      </c>
    </row>
    <row r="4550" spans="1:40" x14ac:dyDescent="0.25">
      <c r="A4550" t="str">
        <f>"20190312172502638"</f>
        <v>20190312172502638</v>
      </c>
      <c r="B4550" t="str">
        <f>"1552382702634615"</f>
        <v>1552382702634615</v>
      </c>
      <c r="C4550" t="s">
        <v>40</v>
      </c>
      <c r="D4550">
        <v>3.7620309999999999</v>
      </c>
      <c r="E4550">
        <v>0.50208430000000004</v>
      </c>
      <c r="F4550" t="s">
        <v>43</v>
      </c>
      <c r="G4550">
        <v>-393.47789999999998</v>
      </c>
      <c r="H4550" s="1">
        <v>-2.8404599999999999E-6</v>
      </c>
      <c r="I4550">
        <v>139.84229999999999</v>
      </c>
      <c r="J4550">
        <v>-378.01769999999999</v>
      </c>
      <c r="K4550">
        <v>1.1096140000000001</v>
      </c>
      <c r="L4550">
        <v>141.3586</v>
      </c>
      <c r="M4550">
        <v>-0.99908710000000001</v>
      </c>
      <c r="N4550">
        <v>0</v>
      </c>
      <c r="O4550">
        <v>-4.0077160000000001E-2</v>
      </c>
      <c r="P4550">
        <v>-0.97768100000000002</v>
      </c>
      <c r="Q4550">
        <v>0.1849769</v>
      </c>
      <c r="R4550">
        <v>-9.9618010000000007E-2</v>
      </c>
      <c r="S4550">
        <v>-3.0790099999999998</v>
      </c>
      <c r="T4550">
        <v>-0.21423400000000001</v>
      </c>
      <c r="U4550">
        <v>-0.29649350000000002</v>
      </c>
      <c r="V4550">
        <v>-6.0132869999999998E-2</v>
      </c>
      <c r="W4550">
        <v>0.1995344</v>
      </c>
      <c r="X4550">
        <v>0.97804400000000002</v>
      </c>
      <c r="Y4550">
        <v>-5.5839930000000003E-2</v>
      </c>
      <c r="Z4550">
        <v>8.4133059999999895E-4</v>
      </c>
      <c r="AA4550">
        <v>0.99843939999999998</v>
      </c>
      <c r="AB4550">
        <v>49</v>
      </c>
      <c r="AC4550">
        <v>-15.460199999999899</v>
      </c>
      <c r="AD4550">
        <v>-1.10961684046</v>
      </c>
      <c r="AE4550">
        <v>-1.5163</v>
      </c>
      <c r="AF4550">
        <v>-0.89086742690677401</v>
      </c>
      <c r="AG4550">
        <v>-1.10961684046</v>
      </c>
      <c r="AH4550">
        <v>15.4298258179596</v>
      </c>
      <c r="AI4550">
        <v>94.106458802935293</v>
      </c>
      <c r="AJ4550">
        <v>93.304401471984406</v>
      </c>
      <c r="AK4550">
        <v>15.4953031295786</v>
      </c>
      <c r="AL4550">
        <v>78.490266687974199</v>
      </c>
      <c r="AM4550">
        <v>93.518275430383298</v>
      </c>
      <c r="AN4550">
        <v>1.00000000238689</v>
      </c>
    </row>
    <row r="4551" spans="1:40" x14ac:dyDescent="0.25">
      <c r="A4551" t="str">
        <f>"20190312172502661"</f>
        <v>20190312172502661</v>
      </c>
      <c r="B4551" t="str">
        <f>"1552382702655110"</f>
        <v>1552382702655110</v>
      </c>
      <c r="C4551" t="s">
        <v>40</v>
      </c>
      <c r="D4551">
        <v>3.7984260000000001</v>
      </c>
      <c r="E4551">
        <v>0.50206279999999903</v>
      </c>
      <c r="F4551" t="s">
        <v>43</v>
      </c>
      <c r="G4551">
        <v>-393.21859999999998</v>
      </c>
      <c r="H4551" s="1">
        <v>-2.9454900000000002E-6</v>
      </c>
      <c r="I4551">
        <v>139.81909999999999</v>
      </c>
      <c r="J4551">
        <v>-378.51650000000001</v>
      </c>
      <c r="K4551">
        <v>1.109632</v>
      </c>
      <c r="L4551">
        <v>141.3389</v>
      </c>
      <c r="M4551">
        <v>-0.99910120000000002</v>
      </c>
      <c r="N4551">
        <v>0</v>
      </c>
      <c r="O4551">
        <v>-3.9721439999999997E-2</v>
      </c>
      <c r="P4551">
        <v>-0.97758730000000005</v>
      </c>
      <c r="Q4551">
        <v>0.1851467</v>
      </c>
      <c r="R4551">
        <v>-0.1002181</v>
      </c>
      <c r="S4551">
        <v>-3.079224</v>
      </c>
      <c r="T4551">
        <v>-0.22477320000000001</v>
      </c>
      <c r="U4551">
        <v>-0.31184390000000001</v>
      </c>
      <c r="V4551">
        <v>-6.108334E-2</v>
      </c>
      <c r="W4551">
        <v>0.1997147</v>
      </c>
      <c r="X4551">
        <v>0.97794829999999999</v>
      </c>
      <c r="Y4551">
        <v>-6.1098720000000002E-2</v>
      </c>
      <c r="Z4551">
        <v>6.652432E-4</v>
      </c>
      <c r="AA4551">
        <v>0.99813149999999995</v>
      </c>
      <c r="AB4551">
        <v>49</v>
      </c>
      <c r="AC4551">
        <v>-14.7020999999999</v>
      </c>
      <c r="AD4551">
        <v>-1.1096349454900001</v>
      </c>
      <c r="AE4551">
        <v>-1.5198</v>
      </c>
      <c r="AF4551">
        <v>-0.92930999563407501</v>
      </c>
      <c r="AG4551">
        <v>-1.1096349454900001</v>
      </c>
      <c r="AH4551">
        <v>14.668197023766</v>
      </c>
      <c r="AI4551">
        <v>94.317506939055093</v>
      </c>
      <c r="AJ4551">
        <v>93.625153837953107</v>
      </c>
      <c r="AK4551">
        <v>14.739433866612901</v>
      </c>
      <c r="AL4551">
        <v>78.479724111566696</v>
      </c>
      <c r="AM4551">
        <v>93.574091676466097</v>
      </c>
      <c r="AN4551">
        <v>1.0000000066472601</v>
      </c>
    </row>
    <row r="4552" spans="1:40" x14ac:dyDescent="0.25">
      <c r="A4552" t="str">
        <f>"20190312172502683"</f>
        <v>20190312172502683</v>
      </c>
      <c r="B4552" t="str">
        <f>"1552382702674630"</f>
        <v>1552382702674630</v>
      </c>
      <c r="C4552" t="s">
        <v>40</v>
      </c>
      <c r="D4552">
        <v>3.8022870000000002</v>
      </c>
      <c r="E4552">
        <v>0.50183909999999998</v>
      </c>
      <c r="F4552" t="s">
        <v>43</v>
      </c>
      <c r="G4552">
        <v>-393.44240000000002</v>
      </c>
      <c r="H4552" s="1">
        <v>-2.8491649999999999E-6</v>
      </c>
      <c r="I4552">
        <v>139.81780000000001</v>
      </c>
      <c r="J4552">
        <v>-378.98820000000001</v>
      </c>
      <c r="K4552">
        <v>1.109632</v>
      </c>
      <c r="L4552">
        <v>141.32040000000001</v>
      </c>
      <c r="M4552">
        <v>-0.99911450000000002</v>
      </c>
      <c r="N4552">
        <v>0</v>
      </c>
      <c r="O4552">
        <v>-3.9384799999999998E-2</v>
      </c>
      <c r="P4552">
        <v>-0.97740190000000005</v>
      </c>
      <c r="Q4552">
        <v>0.18585460000000001</v>
      </c>
      <c r="R4552">
        <v>-0.1007181</v>
      </c>
      <c r="S4552">
        <v>-3.0799560000000001</v>
      </c>
      <c r="T4552">
        <v>-0.2289737</v>
      </c>
      <c r="U4552">
        <v>-0.31385800000000003</v>
      </c>
      <c r="V4552">
        <v>-6.1918149999999998E-2</v>
      </c>
      <c r="W4552">
        <v>0.20042860000000001</v>
      </c>
      <c r="X4552">
        <v>0.97774970000000005</v>
      </c>
      <c r="Y4552">
        <v>-6.2051660000000002E-2</v>
      </c>
      <c r="Z4552">
        <v>6.172762E-4</v>
      </c>
      <c r="AA4552">
        <v>0.99807270000000003</v>
      </c>
      <c r="AB4552">
        <v>49</v>
      </c>
      <c r="AC4552">
        <v>-14.4542</v>
      </c>
      <c r="AD4552">
        <v>-1.1096348491650001</v>
      </c>
      <c r="AE4552">
        <v>-1.5025999999999999</v>
      </c>
      <c r="AF4552">
        <v>-0.92669270849982699</v>
      </c>
      <c r="AG4552">
        <v>-1.1096348491650001</v>
      </c>
      <c r="AH4552">
        <v>14.4181044806923</v>
      </c>
      <c r="AI4552">
        <v>94.391851231719599</v>
      </c>
      <c r="AJ4552">
        <v>93.677504851557202</v>
      </c>
      <c r="AK4552">
        <v>14.4904032273304</v>
      </c>
      <c r="AL4552">
        <v>78.437976240727593</v>
      </c>
      <c r="AM4552">
        <v>93.623542538549401</v>
      </c>
      <c r="AN4552">
        <v>0.999999978423736</v>
      </c>
    </row>
    <row r="4553" spans="1:40" x14ac:dyDescent="0.25">
      <c r="A4553" t="str">
        <f>"20190312172502706"</f>
        <v>20190312172502706</v>
      </c>
      <c r="B4553" t="str">
        <f>"1552382702695126"</f>
        <v>1552382702695126</v>
      </c>
      <c r="C4553" t="s">
        <v>40</v>
      </c>
      <c r="D4553">
        <v>3.8126850000000001</v>
      </c>
      <c r="E4553">
        <v>0.50187389999999998</v>
      </c>
      <c r="F4553" t="s">
        <v>43</v>
      </c>
      <c r="G4553">
        <v>-393.73770000000002</v>
      </c>
      <c r="H4553" s="1">
        <v>-2.7184730000000002E-6</v>
      </c>
      <c r="I4553">
        <v>139.80279999999999</v>
      </c>
      <c r="J4553">
        <v>-379.4871</v>
      </c>
      <c r="K4553">
        <v>1.1096280000000001</v>
      </c>
      <c r="L4553">
        <v>141.30090000000001</v>
      </c>
      <c r="M4553">
        <v>-0.99912829999999997</v>
      </c>
      <c r="N4553">
        <v>0</v>
      </c>
      <c r="O4553">
        <v>-3.9028140000000003E-2</v>
      </c>
      <c r="P4553">
        <v>-0.9772362</v>
      </c>
      <c r="Q4553">
        <v>0.18666450000000001</v>
      </c>
      <c r="R4553">
        <v>-0.10082629999999999</v>
      </c>
      <c r="S4553">
        <v>-3.0807799999999999</v>
      </c>
      <c r="T4553">
        <v>-0.2317729</v>
      </c>
      <c r="U4553">
        <v>-0.316955599999999</v>
      </c>
      <c r="V4553">
        <v>-6.2380249999999998E-2</v>
      </c>
      <c r="W4553">
        <v>0.2012428</v>
      </c>
      <c r="X4553">
        <v>0.97755309999999995</v>
      </c>
      <c r="Y4553">
        <v>-6.3367919999999994E-2</v>
      </c>
      <c r="Z4553">
        <v>5.4859280000000004E-4</v>
      </c>
      <c r="AA4553">
        <v>0.99799009999999999</v>
      </c>
      <c r="AB4553">
        <v>49</v>
      </c>
      <c r="AC4553">
        <v>-14.2506</v>
      </c>
      <c r="AD4553">
        <v>-1.1096307184729901</v>
      </c>
      <c r="AE4553">
        <v>-1.49810000000002</v>
      </c>
      <c r="AF4553">
        <v>-0.93511524667987</v>
      </c>
      <c r="AG4553">
        <v>-1.1096307184729901</v>
      </c>
      <c r="AH4553">
        <v>14.212982730728701</v>
      </c>
      <c r="AI4553">
        <v>94.454527770708196</v>
      </c>
      <c r="AJ4553">
        <v>93.764237939219299</v>
      </c>
      <c r="AK4553">
        <v>14.2868680598633</v>
      </c>
      <c r="AL4553">
        <v>78.390356136036004</v>
      </c>
      <c r="AM4553">
        <v>93.651244648907607</v>
      </c>
      <c r="AN4553">
        <v>1.0000000117307499</v>
      </c>
    </row>
    <row r="4554" spans="1:40" x14ac:dyDescent="0.25">
      <c r="A4554" t="str">
        <f>"20190312172502729"</f>
        <v>20190312172502729</v>
      </c>
      <c r="B4554" t="str">
        <f>"1552382702725383"</f>
        <v>1552382702725383</v>
      </c>
      <c r="C4554" t="s">
        <v>40</v>
      </c>
      <c r="D4554">
        <v>3.8084929999999999</v>
      </c>
      <c r="E4554">
        <v>0.50173690000000004</v>
      </c>
      <c r="F4554" t="s">
        <v>43</v>
      </c>
      <c r="G4554">
        <v>-394.38060000000002</v>
      </c>
      <c r="H4554" s="1">
        <v>-2.4327060000000002E-6</v>
      </c>
      <c r="I4554">
        <v>139.7653</v>
      </c>
      <c r="J4554">
        <v>-379.96980000000002</v>
      </c>
      <c r="K4554">
        <v>1.109612</v>
      </c>
      <c r="L4554">
        <v>141.28229999999999</v>
      </c>
      <c r="M4554">
        <v>-0.99914170000000002</v>
      </c>
      <c r="N4554">
        <v>0</v>
      </c>
      <c r="O4554">
        <v>-3.8682090000000002E-2</v>
      </c>
      <c r="P4554">
        <v>-0.97724270000000002</v>
      </c>
      <c r="Q4554">
        <v>0.186417</v>
      </c>
      <c r="R4554">
        <v>-0.1012212</v>
      </c>
      <c r="S4554">
        <v>-3.080994</v>
      </c>
      <c r="T4554">
        <v>-0.22954849999999999</v>
      </c>
      <c r="U4554">
        <v>-0.31765749999999998</v>
      </c>
      <c r="V4554">
        <v>-6.3112929999999998E-2</v>
      </c>
      <c r="W4554">
        <v>0.20100180000000001</v>
      </c>
      <c r="X4554">
        <v>0.97755559999999997</v>
      </c>
      <c r="Y4554">
        <v>-6.3930299999999995E-2</v>
      </c>
      <c r="Z4554">
        <v>4.9678769999999997E-4</v>
      </c>
      <c r="AA4554">
        <v>0.99795420000000001</v>
      </c>
      <c r="AB4554">
        <v>49</v>
      </c>
      <c r="AC4554">
        <v>-14.410799999999901</v>
      </c>
      <c r="AD4554">
        <v>-1.109614432706</v>
      </c>
      <c r="AE4554">
        <v>-1.5169999999999899</v>
      </c>
      <c r="AF4554">
        <v>-0.95277638546834897</v>
      </c>
      <c r="AG4554">
        <v>-1.109614432706</v>
      </c>
      <c r="AH4554">
        <v>14.374410101135901</v>
      </c>
      <c r="AI4554">
        <v>94.404494872615203</v>
      </c>
      <c r="AJ4554">
        <v>93.792178590935407</v>
      </c>
      <c r="AK4554">
        <v>14.448622522081999</v>
      </c>
      <c r="AL4554">
        <v>78.404451833123005</v>
      </c>
      <c r="AM4554">
        <v>93.694002442515497</v>
      </c>
      <c r="AN4554">
        <v>0.99999995831389099</v>
      </c>
    </row>
    <row r="4555" spans="1:40" x14ac:dyDescent="0.25">
      <c r="A4555" t="str">
        <f>"20190312172502751"</f>
        <v>20190312172502751</v>
      </c>
      <c r="B4555" t="str">
        <f>"1552382702744902"</f>
        <v>1552382702744902</v>
      </c>
      <c r="C4555" t="s">
        <v>40</v>
      </c>
      <c r="D4555">
        <v>3.962043</v>
      </c>
      <c r="E4555">
        <v>0.50180530000000001</v>
      </c>
      <c r="F4555" t="s">
        <v>43</v>
      </c>
      <c r="G4555">
        <v>-394.68360000000001</v>
      </c>
      <c r="H4555" s="1">
        <v>-2.299142E-6</v>
      </c>
      <c r="I4555">
        <v>139.75190000000001</v>
      </c>
      <c r="J4555">
        <v>-380.45530000000002</v>
      </c>
      <c r="K4555">
        <v>1.109594</v>
      </c>
      <c r="L4555">
        <v>141.2638</v>
      </c>
      <c r="M4555">
        <v>-0.99915500000000002</v>
      </c>
      <c r="N4555">
        <v>0</v>
      </c>
      <c r="O4555">
        <v>-3.8333890000000002E-2</v>
      </c>
      <c r="P4555">
        <v>-0.97722520000000002</v>
      </c>
      <c r="Q4555">
        <v>0.1858957</v>
      </c>
      <c r="R4555">
        <v>-0.1023419</v>
      </c>
      <c r="S4555">
        <v>-3.080994</v>
      </c>
      <c r="T4555">
        <v>-0.23234859999999999</v>
      </c>
      <c r="U4555">
        <v>-0.32044980000000001</v>
      </c>
      <c r="V4555">
        <v>-6.4575090000000002E-2</v>
      </c>
      <c r="W4555">
        <v>0.200487</v>
      </c>
      <c r="X4555">
        <v>0.97756589999999999</v>
      </c>
      <c r="Y4555">
        <v>-6.5166769999999999E-2</v>
      </c>
      <c r="Z4555">
        <v>4.3025030000000002E-4</v>
      </c>
      <c r="AA4555">
        <v>0.99787429999999999</v>
      </c>
      <c r="AB4555">
        <v>49</v>
      </c>
      <c r="AC4555">
        <v>-14.2282999999999</v>
      </c>
      <c r="AD4555">
        <v>-1.1095962991420001</v>
      </c>
      <c r="AE4555">
        <v>-1.51189999999999</v>
      </c>
      <c r="AF4555">
        <v>-0.95953203212987903</v>
      </c>
      <c r="AG4555">
        <v>-1.1095962991420001</v>
      </c>
      <c r="AH4555">
        <v>14.190464709982001</v>
      </c>
      <c r="AI4555">
        <v>94.460891533311795</v>
      </c>
      <c r="AJ4555">
        <v>93.868342373994807</v>
      </c>
      <c r="AK4555">
        <v>14.2660854600342</v>
      </c>
      <c r="AL4555">
        <v>78.434561495693401</v>
      </c>
      <c r="AM4555">
        <v>93.779297796581602</v>
      </c>
      <c r="AN4555">
        <v>1.00000003413015</v>
      </c>
    </row>
    <row r="4556" spans="1:40" x14ac:dyDescent="0.25">
      <c r="A4556" t="str">
        <f>"20190312172502773"</f>
        <v>20190312172502773</v>
      </c>
      <c r="B4556" t="str">
        <f>"1552382702765402"</f>
        <v>1552382702765402</v>
      </c>
      <c r="C4556" t="s">
        <v>40</v>
      </c>
      <c r="D4556">
        <v>3.813752</v>
      </c>
      <c r="E4556">
        <v>0.50187029999999999</v>
      </c>
      <c r="F4556" t="s">
        <v>43</v>
      </c>
      <c r="G4556">
        <v>-395.07589999999999</v>
      </c>
      <c r="H4556" s="1">
        <v>-2.1255280000000002E-6</v>
      </c>
      <c r="I4556">
        <v>139.7319</v>
      </c>
      <c r="J4556">
        <v>-380.93540000000002</v>
      </c>
      <c r="K4556">
        <v>1.109583</v>
      </c>
      <c r="L4556">
        <v>141.2456</v>
      </c>
      <c r="M4556">
        <v>-0.99916819999999895</v>
      </c>
      <c r="N4556">
        <v>0</v>
      </c>
      <c r="O4556">
        <v>-3.7989160000000001E-2</v>
      </c>
      <c r="P4556">
        <v>-0.9770257</v>
      </c>
      <c r="Q4556">
        <v>0.18609600000000001</v>
      </c>
      <c r="R4556">
        <v>-0.1038722</v>
      </c>
      <c r="S4556">
        <v>-3.0806269999999998</v>
      </c>
      <c r="T4556">
        <v>-0.23379720000000001</v>
      </c>
      <c r="U4556">
        <v>-0.32275389999999998</v>
      </c>
      <c r="V4556">
        <v>-6.6449289999999994E-2</v>
      </c>
      <c r="W4556">
        <v>0.20069020000000001</v>
      </c>
      <c r="X4556">
        <v>0.97739860000000001</v>
      </c>
      <c r="Y4556">
        <v>-6.6256480000000006E-2</v>
      </c>
      <c r="Z4556">
        <v>3.657523E-4</v>
      </c>
      <c r="AA4556">
        <v>0.99780259999999998</v>
      </c>
      <c r="AB4556">
        <v>49</v>
      </c>
      <c r="AC4556">
        <v>-14.1404999999999</v>
      </c>
      <c r="AD4556">
        <v>-1.109585125528</v>
      </c>
      <c r="AE4556">
        <v>-1.5137</v>
      </c>
      <c r="AF4556">
        <v>-0.96946070018691399</v>
      </c>
      <c r="AG4556">
        <v>-1.109585125528</v>
      </c>
      <c r="AH4556">
        <v>14.101954442701</v>
      </c>
      <c r="AI4556">
        <v>94.488388672525602</v>
      </c>
      <c r="AJ4556">
        <v>93.932699466925399</v>
      </c>
      <c r="AK4556">
        <v>14.178721814889199</v>
      </c>
      <c r="AL4556">
        <v>78.422677571997596</v>
      </c>
      <c r="AM4556">
        <v>93.889318297626701</v>
      </c>
      <c r="AN4556">
        <v>1.0000000438997501</v>
      </c>
    </row>
    <row r="4557" spans="1:40" x14ac:dyDescent="0.25">
      <c r="A4557" t="str">
        <f>"20190312172502794"</f>
        <v>20190312172502794</v>
      </c>
      <c r="B4557" t="str">
        <f>"1552382702784919"</f>
        <v>1552382702784919</v>
      </c>
      <c r="C4557" t="s">
        <v>40</v>
      </c>
      <c r="D4557">
        <v>3.8438409999999998</v>
      </c>
      <c r="E4557">
        <v>0.50196160000000001</v>
      </c>
      <c r="F4557" t="s">
        <v>43</v>
      </c>
      <c r="G4557">
        <v>-395.56939999999997</v>
      </c>
      <c r="H4557" s="1">
        <v>-1.9041530000000001E-6</v>
      </c>
      <c r="I4557">
        <v>139.69550000000001</v>
      </c>
      <c r="J4557">
        <v>-381.4101</v>
      </c>
      <c r="K4557">
        <v>1.1095870000000001</v>
      </c>
      <c r="L4557">
        <v>141.2278</v>
      </c>
      <c r="M4557">
        <v>-0.99918090000000004</v>
      </c>
      <c r="N4557">
        <v>0</v>
      </c>
      <c r="O4557">
        <v>-3.764932E-2</v>
      </c>
      <c r="P4557">
        <v>-0.97660119999999895</v>
      </c>
      <c r="Q4557">
        <v>0.18734790000000001</v>
      </c>
      <c r="R4557">
        <v>-0.105598</v>
      </c>
      <c r="S4557">
        <v>-3.0803219999999998</v>
      </c>
      <c r="T4557">
        <v>-0.2335585</v>
      </c>
      <c r="U4557">
        <v>-0.32626339999999998</v>
      </c>
      <c r="V4557">
        <v>-6.8521429999999994E-2</v>
      </c>
      <c r="W4557">
        <v>0.20194100000000001</v>
      </c>
      <c r="X4557">
        <v>0.97699769999999997</v>
      </c>
      <c r="Y4557">
        <v>-6.7725399999999894E-2</v>
      </c>
      <c r="Z4557">
        <v>2.8430250000000001E-4</v>
      </c>
      <c r="AA4557">
        <v>0.99770400000000004</v>
      </c>
      <c r="AB4557">
        <v>48</v>
      </c>
      <c r="AC4557">
        <v>-14.159299999999901</v>
      </c>
      <c r="AD4557">
        <v>-1.109588904153</v>
      </c>
      <c r="AE4557">
        <v>-1.53229999999999</v>
      </c>
      <c r="AF4557">
        <v>-0.99204504943711302</v>
      </c>
      <c r="AG4557">
        <v>-1.109588904153</v>
      </c>
      <c r="AH4557">
        <v>14.121240417607201</v>
      </c>
      <c r="AI4557">
        <v>94.481834103996405</v>
      </c>
      <c r="AJ4557">
        <v>94.018539478798104</v>
      </c>
      <c r="AK4557">
        <v>14.1994637873476</v>
      </c>
      <c r="AL4557">
        <v>78.349512743590793</v>
      </c>
      <c r="AM4557">
        <v>94.011852359548797</v>
      </c>
      <c r="AN4557">
        <v>0.99999992982776498</v>
      </c>
    </row>
    <row r="4558" spans="1:40" x14ac:dyDescent="0.25">
      <c r="A4558" t="str">
        <f>"20190312172502817"</f>
        <v>20190312172502817</v>
      </c>
      <c r="B4558" t="str">
        <f>"1552382702805425"</f>
        <v>1552382702805425</v>
      </c>
      <c r="C4558" t="s">
        <v>40</v>
      </c>
      <c r="D4558">
        <v>4.1424580000000004</v>
      </c>
      <c r="E4558">
        <v>0.502081</v>
      </c>
      <c r="F4558" t="s">
        <v>43</v>
      </c>
      <c r="G4558">
        <v>-396.2901</v>
      </c>
      <c r="H4558" s="1">
        <v>-1.578369E-6</v>
      </c>
      <c r="I4558">
        <v>139.63310000000001</v>
      </c>
      <c r="J4558">
        <v>-381.88920000000002</v>
      </c>
      <c r="K4558">
        <v>1.109604</v>
      </c>
      <c r="L4558">
        <v>141.21</v>
      </c>
      <c r="M4558">
        <v>-0.99919369999999996</v>
      </c>
      <c r="N4558">
        <v>0</v>
      </c>
      <c r="O4558">
        <v>-3.730986E-2</v>
      </c>
      <c r="P4558">
        <v>-0.97602960000000005</v>
      </c>
      <c r="Q4558">
        <v>0.18934509999999999</v>
      </c>
      <c r="R4558">
        <v>-0.1073069</v>
      </c>
      <c r="S4558">
        <v>-3.0802309999999999</v>
      </c>
      <c r="T4558">
        <v>-0.22969129999999999</v>
      </c>
      <c r="U4558">
        <v>-0.33009339999999998</v>
      </c>
      <c r="V4558">
        <v>-7.0581850000000002E-2</v>
      </c>
      <c r="W4558">
        <v>0.2039339</v>
      </c>
      <c r="X4558">
        <v>0.976437</v>
      </c>
      <c r="Y4558">
        <v>-6.9291580000000005E-2</v>
      </c>
      <c r="Z4558">
        <v>1.9626299999999999E-4</v>
      </c>
      <c r="AA4558">
        <v>0.99759640000000005</v>
      </c>
      <c r="AB4558">
        <v>48</v>
      </c>
      <c r="AC4558">
        <v>-14.400899999999901</v>
      </c>
      <c r="AD4558">
        <v>-1.109605578369</v>
      </c>
      <c r="AE4558">
        <v>-1.57689999999999</v>
      </c>
      <c r="AF4558">
        <v>-1.0323906232003399</v>
      </c>
      <c r="AG4558">
        <v>-1.109605578369</v>
      </c>
      <c r="AH4558">
        <v>14.3654361487879</v>
      </c>
      <c r="AI4558">
        <v>94.405515769562797</v>
      </c>
      <c r="AJ4558">
        <v>94.110568213345701</v>
      </c>
      <c r="AK4558">
        <v>14.4451656509477</v>
      </c>
      <c r="AL4558">
        <v>78.232902596537301</v>
      </c>
      <c r="AM4558">
        <v>94.134440376857398</v>
      </c>
      <c r="AN4558">
        <v>1.0000000240438101</v>
      </c>
    </row>
    <row r="4559" spans="1:40" x14ac:dyDescent="0.25">
      <c r="A4559" t="str">
        <f>"20190312172502840"</f>
        <v>20190312172502840</v>
      </c>
      <c r="B4559" t="str">
        <f>"1552382702834698"</f>
        <v>1552382702834698</v>
      </c>
      <c r="C4559" t="s">
        <v>40</v>
      </c>
      <c r="D4559">
        <v>3.8784920000000001</v>
      </c>
      <c r="E4559">
        <v>0.50063559999999996</v>
      </c>
      <c r="F4559" t="s">
        <v>43</v>
      </c>
      <c r="G4559">
        <v>-397.17579999999998</v>
      </c>
      <c r="H4559" s="1">
        <v>-1.2051140000000001E-6</v>
      </c>
      <c r="I4559">
        <v>139.55279999999999</v>
      </c>
      <c r="J4559">
        <v>-382.37650000000002</v>
      </c>
      <c r="K4559">
        <v>1.1096360000000001</v>
      </c>
      <c r="L4559">
        <v>141.19200000000001</v>
      </c>
      <c r="M4559">
        <v>-0.99920609999999999</v>
      </c>
      <c r="N4559">
        <v>0</v>
      </c>
      <c r="O4559">
        <v>-3.6973319999999997E-2</v>
      </c>
      <c r="P4559">
        <v>-0.9753522</v>
      </c>
      <c r="Q4559">
        <v>0.19159909999999999</v>
      </c>
      <c r="R4559">
        <v>-0.109443</v>
      </c>
      <c r="S4559">
        <v>-3.0803530000000001</v>
      </c>
      <c r="T4559">
        <v>-0.22359290000000001</v>
      </c>
      <c r="U4559">
        <v>-0.33392329999999998</v>
      </c>
      <c r="V4559">
        <v>-7.3071410000000003E-2</v>
      </c>
      <c r="W4559">
        <v>0.206181</v>
      </c>
      <c r="X4559">
        <v>0.97578169999999997</v>
      </c>
      <c r="Y4559">
        <v>-7.0849110000000007E-2</v>
      </c>
      <c r="Z4559">
        <v>1.1044969999999999E-4</v>
      </c>
      <c r="AA4559">
        <v>0.99748700000000001</v>
      </c>
      <c r="AB4559">
        <v>48</v>
      </c>
      <c r="AC4559">
        <v>-14.799299999999899</v>
      </c>
      <c r="AD4559">
        <v>-1.109637205114</v>
      </c>
      <c r="AE4559">
        <v>-1.63920000000001</v>
      </c>
      <c r="AF4559">
        <v>-1.0848147032195701</v>
      </c>
      <c r="AG4559">
        <v>-1.109637205114</v>
      </c>
      <c r="AH4559">
        <v>14.767776023310899</v>
      </c>
      <c r="AI4559">
        <v>94.285573792644499</v>
      </c>
      <c r="AJ4559">
        <v>94.201300557434493</v>
      </c>
      <c r="AK4559">
        <v>14.8490850338319</v>
      </c>
      <c r="AL4559">
        <v>78.101357367482606</v>
      </c>
      <c r="AM4559">
        <v>94.282600961821998</v>
      </c>
      <c r="AN4559">
        <v>0.99999998088763797</v>
      </c>
    </row>
    <row r="4560" spans="1:40" x14ac:dyDescent="0.25">
      <c r="A4560" t="str">
        <f>"20190312172502862"</f>
        <v>20190312172502862</v>
      </c>
      <c r="B4560" t="str">
        <f>"1552382702855190"</f>
        <v>1552382702855190</v>
      </c>
      <c r="C4560" t="s">
        <v>40</v>
      </c>
      <c r="D4560">
        <v>4.0414089999999998</v>
      </c>
      <c r="E4560">
        <v>0.50134179999999995</v>
      </c>
      <c r="F4560" t="s">
        <v>43</v>
      </c>
      <c r="G4560">
        <v>-394.26569999999998</v>
      </c>
      <c r="H4560" s="1">
        <v>-2.4995629999999998E-6</v>
      </c>
      <c r="I4560">
        <v>139.8314</v>
      </c>
      <c r="J4560">
        <v>-382.87400000000002</v>
      </c>
      <c r="K4560">
        <v>1.1096619999999999</v>
      </c>
      <c r="L4560">
        <v>141.1739</v>
      </c>
      <c r="M4560">
        <v>-0.99921789999999999</v>
      </c>
      <c r="N4560">
        <v>0</v>
      </c>
      <c r="O4560">
        <v>-3.6654689999999997E-2</v>
      </c>
      <c r="P4560">
        <v>-0.97498859999999998</v>
      </c>
      <c r="Q4560">
        <v>0.1928947</v>
      </c>
      <c r="R4560">
        <v>-0.1104048</v>
      </c>
      <c r="S4560">
        <v>-3.0927730000000002</v>
      </c>
      <c r="T4560">
        <v>-0.28865429999999997</v>
      </c>
      <c r="U4560">
        <v>-0.35392760000000001</v>
      </c>
      <c r="V4560">
        <v>-7.4364120000000006E-2</v>
      </c>
      <c r="W4560">
        <v>0.20747099999999999</v>
      </c>
      <c r="X4560">
        <v>0.97541060000000002</v>
      </c>
      <c r="Y4560">
        <v>-7.702444E-2</v>
      </c>
      <c r="Z4560">
        <v>-1.744037E-4</v>
      </c>
      <c r="AA4560">
        <v>0.99702919999999995</v>
      </c>
      <c r="AB4560">
        <v>48</v>
      </c>
      <c r="AC4560">
        <v>-11.391699999999901</v>
      </c>
      <c r="AD4560">
        <v>-1.1096644995630001</v>
      </c>
      <c r="AE4560">
        <v>-1.3425</v>
      </c>
      <c r="AF4560">
        <v>-0.91542525078194004</v>
      </c>
      <c r="AG4560">
        <v>-1.1096644995630001</v>
      </c>
      <c r="AH4560">
        <v>11.3272488472356</v>
      </c>
      <c r="AI4560">
        <v>95.577012651353996</v>
      </c>
      <c r="AJ4560">
        <v>94.620385872344798</v>
      </c>
      <c r="AK4560">
        <v>11.418227758218899</v>
      </c>
      <c r="AL4560">
        <v>78.025813049230194</v>
      </c>
      <c r="AM4560">
        <v>94.359726969056894</v>
      </c>
      <c r="AN4560">
        <v>1.00000003838836</v>
      </c>
    </row>
    <row r="4561" spans="1:40" x14ac:dyDescent="0.25">
      <c r="A4561" t="str">
        <f>"20190312172502884"</f>
        <v>20190312172502884</v>
      </c>
      <c r="B4561" t="str">
        <f>"1552382702874711"</f>
        <v>1552382702874711</v>
      </c>
      <c r="C4561" t="s">
        <v>40</v>
      </c>
      <c r="D4561">
        <v>3.8855849999999998</v>
      </c>
      <c r="E4561">
        <v>0.50223600000000002</v>
      </c>
      <c r="F4561" t="s">
        <v>43</v>
      </c>
      <c r="G4561">
        <v>-394.86349999999999</v>
      </c>
      <c r="H4561" s="1">
        <v>-2.2379950000000001E-6</v>
      </c>
      <c r="I4561">
        <v>139.81209999999999</v>
      </c>
      <c r="J4561">
        <v>-383.33920000000001</v>
      </c>
      <c r="K4561">
        <v>1.109691</v>
      </c>
      <c r="L4561">
        <v>141.15700000000001</v>
      </c>
      <c r="M4561">
        <v>-0.99922739999999999</v>
      </c>
      <c r="N4561">
        <v>0</v>
      </c>
      <c r="O4561">
        <v>-3.6394900000000001E-2</v>
      </c>
      <c r="P4561">
        <v>-0.97455429999999998</v>
      </c>
      <c r="Q4561">
        <v>0.1939303</v>
      </c>
      <c r="R4561">
        <v>-0.112406199999999</v>
      </c>
      <c r="S4561">
        <v>-3.0937809999999999</v>
      </c>
      <c r="T4561">
        <v>-0.28634100000000001</v>
      </c>
      <c r="U4561">
        <v>-0.35137940000000001</v>
      </c>
      <c r="V4561">
        <v>-7.6645840000000007E-2</v>
      </c>
      <c r="W4561">
        <v>0.2084985</v>
      </c>
      <c r="X4561">
        <v>0.97501470000000001</v>
      </c>
      <c r="Y4561">
        <v>-7.6440530000000007E-2</v>
      </c>
      <c r="Z4561">
        <v>-1.699564E-4</v>
      </c>
      <c r="AA4561">
        <v>0.99707409999999996</v>
      </c>
      <c r="AB4561">
        <v>48</v>
      </c>
      <c r="AC4561">
        <v>-11.524299999999901</v>
      </c>
      <c r="AD4561">
        <v>-1.109693237995</v>
      </c>
      <c r="AE4561">
        <v>-1.34490000000002</v>
      </c>
      <c r="AF4561">
        <v>-0.91615636416631596</v>
      </c>
      <c r="AG4561">
        <v>-1.109693237995</v>
      </c>
      <c r="AH4561">
        <v>11.4607788361503</v>
      </c>
      <c r="AI4561">
        <v>95.512963185074</v>
      </c>
      <c r="AJ4561">
        <v>94.570414472271395</v>
      </c>
      <c r="AK4561">
        <v>11.550766775292599</v>
      </c>
      <c r="AL4561">
        <v>77.965624221623003</v>
      </c>
      <c r="AM4561">
        <v>94.494774064513706</v>
      </c>
      <c r="AN4561">
        <v>0.99999993725381997</v>
      </c>
    </row>
    <row r="4562" spans="1:40" x14ac:dyDescent="0.25">
      <c r="A4562" t="str">
        <f>"20190312172502907"</f>
        <v>20190312172502907</v>
      </c>
      <c r="B4562" t="str">
        <f>"1552382702895206"</f>
        <v>1552382702895206</v>
      </c>
      <c r="C4562" t="s">
        <v>40</v>
      </c>
      <c r="D4562">
        <v>3.9493100000000001</v>
      </c>
      <c r="E4562">
        <v>0.50336270000000005</v>
      </c>
      <c r="F4562" t="s">
        <v>43</v>
      </c>
      <c r="G4562">
        <v>-395.13479999999998</v>
      </c>
      <c r="H4562" s="1">
        <v>-2.1232310000000001E-6</v>
      </c>
      <c r="I4562">
        <v>139.81829999999999</v>
      </c>
      <c r="J4562">
        <v>-383.82569999999998</v>
      </c>
      <c r="K4562">
        <v>1.1097269999999999</v>
      </c>
      <c r="L4562">
        <v>141.1395</v>
      </c>
      <c r="M4562">
        <v>-0.99923580000000001</v>
      </c>
      <c r="N4562">
        <v>0</v>
      </c>
      <c r="O4562">
        <v>-3.6166740000000003E-2</v>
      </c>
      <c r="P4562">
        <v>-0.97433610000000004</v>
      </c>
      <c r="Q4562">
        <v>0.19386780000000001</v>
      </c>
      <c r="R4562">
        <v>-0.1143893</v>
      </c>
      <c r="S4562">
        <v>-3.095764</v>
      </c>
      <c r="T4562">
        <v>-0.2912399</v>
      </c>
      <c r="U4562">
        <v>-0.35133360000000002</v>
      </c>
      <c r="V4562">
        <v>-7.8877080000000002E-2</v>
      </c>
      <c r="W4562">
        <v>0.20842810000000001</v>
      </c>
      <c r="X4562">
        <v>0.97485180000000005</v>
      </c>
      <c r="Y4562">
        <v>-7.6574820000000002E-2</v>
      </c>
      <c r="Z4562">
        <v>-2.003424E-4</v>
      </c>
      <c r="AA4562">
        <v>0.99706379999999994</v>
      </c>
      <c r="AB4562">
        <v>48</v>
      </c>
      <c r="AC4562">
        <v>-11.309100000000001</v>
      </c>
      <c r="AD4562">
        <v>-1.109729123231</v>
      </c>
      <c r="AE4562">
        <v>-1.3211999999999999</v>
      </c>
      <c r="AF4562">
        <v>-0.90270218863257301</v>
      </c>
      <c r="AG4562">
        <v>-1.109729123231</v>
      </c>
      <c r="AH4562">
        <v>11.242690928434</v>
      </c>
      <c r="AI4562">
        <v>95.619249969181894</v>
      </c>
      <c r="AJ4562">
        <v>94.590565348385596</v>
      </c>
      <c r="AK4562">
        <v>11.333334429046101</v>
      </c>
      <c r="AL4562">
        <v>77.9697486003314</v>
      </c>
      <c r="AM4562">
        <v>94.625831412215803</v>
      </c>
      <c r="AN4562">
        <v>0.99999994929108704</v>
      </c>
    </row>
    <row r="4563" spans="1:40" x14ac:dyDescent="0.25">
      <c r="A4563" t="str">
        <f>"20190312172502930"</f>
        <v>20190312172502930</v>
      </c>
      <c r="B4563" t="str">
        <f>"1552382702925463"</f>
        <v>1552382702925463</v>
      </c>
      <c r="C4563" t="s">
        <v>40</v>
      </c>
      <c r="D4563">
        <v>4.015288</v>
      </c>
      <c r="E4563">
        <v>0.50441119999999995</v>
      </c>
      <c r="F4563" t="s">
        <v>43</v>
      </c>
      <c r="G4563">
        <v>-395.89109999999999</v>
      </c>
      <c r="H4563" s="1">
        <v>-1.7872860000000001E-6</v>
      </c>
      <c r="I4563">
        <v>139.77510000000001</v>
      </c>
      <c r="J4563">
        <v>-384.31560000000002</v>
      </c>
      <c r="K4563">
        <v>1.1097680000000001</v>
      </c>
      <c r="L4563">
        <v>141.12180000000001</v>
      </c>
      <c r="M4563">
        <v>-0.99924190000000002</v>
      </c>
      <c r="N4563">
        <v>0</v>
      </c>
      <c r="O4563">
        <v>-3.5994569999999997E-2</v>
      </c>
      <c r="P4563">
        <v>-0.97435490000000002</v>
      </c>
      <c r="Q4563">
        <v>0.19274839999999999</v>
      </c>
      <c r="R4563">
        <v>-0.1161051</v>
      </c>
      <c r="S4563">
        <v>-3.0945740000000002</v>
      </c>
      <c r="T4563">
        <v>-0.28462710000000002</v>
      </c>
      <c r="U4563">
        <v>-0.34991460000000002</v>
      </c>
      <c r="V4563">
        <v>-8.0783980000000005E-2</v>
      </c>
      <c r="W4563">
        <v>0.2073016</v>
      </c>
      <c r="X4563">
        <v>0.97493589999999997</v>
      </c>
      <c r="Y4563">
        <v>-7.6346129999999998E-2</v>
      </c>
      <c r="Z4563">
        <v>-2.011545E-4</v>
      </c>
      <c r="AA4563">
        <v>0.99708129999999995</v>
      </c>
      <c r="AB4563">
        <v>48</v>
      </c>
      <c r="AC4563">
        <v>-11.5754999999999</v>
      </c>
      <c r="AD4563">
        <v>-1.109769787286</v>
      </c>
      <c r="AE4563">
        <v>-1.34669999999999</v>
      </c>
      <c r="AF4563">
        <v>-0.92077585189387101</v>
      </c>
      <c r="AG4563">
        <v>-1.109769787286</v>
      </c>
      <c r="AH4563">
        <v>11.512076325269501</v>
      </c>
      <c r="AI4563">
        <v>95.488904679839607</v>
      </c>
      <c r="AJ4563">
        <v>94.572980382575594</v>
      </c>
      <c r="AK4563">
        <v>11.602039409906901</v>
      </c>
      <c r="AL4563">
        <v>78.035734276607002</v>
      </c>
      <c r="AM4563">
        <v>94.736753857966903</v>
      </c>
      <c r="AN4563">
        <v>1.000000006948</v>
      </c>
    </row>
    <row r="4564" spans="1:40" x14ac:dyDescent="0.25">
      <c r="A4564" t="str">
        <f>"20190312172502952"</f>
        <v>20190312172502952</v>
      </c>
      <c r="B4564" t="str">
        <f>"1552382702944983"</f>
        <v>1552382702944983</v>
      </c>
      <c r="C4564" t="s">
        <v>40</v>
      </c>
      <c r="D4564">
        <v>4.0095299999999998</v>
      </c>
      <c r="E4564">
        <v>0.50525589999999998</v>
      </c>
      <c r="F4564" t="s">
        <v>43</v>
      </c>
      <c r="G4564">
        <v>-396.38979999999998</v>
      </c>
      <c r="H4564" s="1">
        <v>-1.570267E-6</v>
      </c>
      <c r="I4564">
        <v>139.76339999999999</v>
      </c>
      <c r="J4564">
        <v>-384.803</v>
      </c>
      <c r="K4564">
        <v>1.109829</v>
      </c>
      <c r="L4564">
        <v>141.1044</v>
      </c>
      <c r="M4564">
        <v>-0.9992453</v>
      </c>
      <c r="N4564">
        <v>0</v>
      </c>
      <c r="O4564">
        <v>-3.5901199999999897E-2</v>
      </c>
      <c r="P4564">
        <v>-0.97451129999999997</v>
      </c>
      <c r="Q4564">
        <v>0.19115760000000001</v>
      </c>
      <c r="R4564">
        <v>-0.11741740000000001</v>
      </c>
      <c r="S4564">
        <v>-3.09375</v>
      </c>
      <c r="T4564">
        <v>-0.2843541</v>
      </c>
      <c r="U4564">
        <v>-0.34803770000000001</v>
      </c>
      <c r="V4564">
        <v>-8.2213419999999995E-2</v>
      </c>
      <c r="W4564">
        <v>0.20570179999999999</v>
      </c>
      <c r="X4564">
        <v>0.9751552</v>
      </c>
      <c r="Y4564">
        <v>-7.587344E-2</v>
      </c>
      <c r="Z4564">
        <v>-1.879288E-4</v>
      </c>
      <c r="AA4564">
        <v>0.99711749999999999</v>
      </c>
      <c r="AB4564">
        <v>48</v>
      </c>
      <c r="AC4564">
        <v>-11.586799999999901</v>
      </c>
      <c r="AD4564">
        <v>-1.1098305702669999</v>
      </c>
      <c r="AE4564">
        <v>-1.341</v>
      </c>
      <c r="AF4564">
        <v>-0.91581835609950002</v>
      </c>
      <c r="AG4564">
        <v>-1.1098305702669999</v>
      </c>
      <c r="AH4564">
        <v>11.5231548827281</v>
      </c>
      <c r="AI4564">
        <v>95.484177239375896</v>
      </c>
      <c r="AJ4564">
        <v>94.544108208140997</v>
      </c>
      <c r="AK4564">
        <v>11.612645934816401</v>
      </c>
      <c r="AL4564">
        <v>78.129414813970598</v>
      </c>
      <c r="AM4564">
        <v>94.819098418916596</v>
      </c>
      <c r="AN4564">
        <v>0.99999997051918699</v>
      </c>
    </row>
    <row r="4565" spans="1:40" x14ac:dyDescent="0.25">
      <c r="A4565" t="str">
        <f>"20190312172502975"</f>
        <v>20190312172502975</v>
      </c>
      <c r="B4565" t="str">
        <f>"1552382702965478"</f>
        <v>1552382702965478</v>
      </c>
      <c r="C4565" t="s">
        <v>40</v>
      </c>
      <c r="D4565">
        <v>4.181603</v>
      </c>
      <c r="E4565">
        <v>0.505965</v>
      </c>
      <c r="F4565" t="s">
        <v>43</v>
      </c>
      <c r="G4565">
        <v>-396.86040000000003</v>
      </c>
      <c r="H4565" s="1">
        <v>-1.366707E-6</v>
      </c>
      <c r="I4565">
        <v>139.75710000000001</v>
      </c>
      <c r="J4565">
        <v>-385.28140000000002</v>
      </c>
      <c r="K4565">
        <v>1.10992</v>
      </c>
      <c r="L4565">
        <v>141.0872</v>
      </c>
      <c r="M4565">
        <v>-0.99924400000000002</v>
      </c>
      <c r="N4565">
        <v>0</v>
      </c>
      <c r="O4565">
        <v>-3.59347E-2</v>
      </c>
      <c r="P4565">
        <v>-0.97445329999999997</v>
      </c>
      <c r="Q4565">
        <v>0.19060740000000001</v>
      </c>
      <c r="R4565">
        <v>-0.118783</v>
      </c>
      <c r="S4565">
        <v>-3.092651</v>
      </c>
      <c r="T4565">
        <v>-0.28466560000000002</v>
      </c>
      <c r="U4565">
        <v>-0.34555049999999998</v>
      </c>
      <c r="V4565">
        <v>-8.3592470000000002E-2</v>
      </c>
      <c r="W4565">
        <v>0.2051325</v>
      </c>
      <c r="X4565">
        <v>0.97515790000000002</v>
      </c>
      <c r="Y4565">
        <v>-7.5090320000000002E-2</v>
      </c>
      <c r="Z4565">
        <v>-1.4928009999999999E-4</v>
      </c>
      <c r="AA4565">
        <v>0.99717670000000003</v>
      </c>
      <c r="AB4565">
        <v>48</v>
      </c>
      <c r="AC4565">
        <v>-11.579000000000001</v>
      </c>
      <c r="AD4565">
        <v>-1.109921366707</v>
      </c>
      <c r="AE4565">
        <v>-1.3300999999999801</v>
      </c>
      <c r="AF4565">
        <v>-0.90490070881848395</v>
      </c>
      <c r="AG4565">
        <v>-1.109921366707</v>
      </c>
      <c r="AH4565">
        <v>11.514895844515999</v>
      </c>
      <c r="AI4565">
        <v>95.488914800146603</v>
      </c>
      <c r="AJ4565">
        <v>94.493367244747503</v>
      </c>
      <c r="AK4565">
        <v>11.603602761347201</v>
      </c>
      <c r="AL4565">
        <v>78.162744260511005</v>
      </c>
      <c r="AM4565">
        <v>94.899530321592493</v>
      </c>
      <c r="AN4565">
        <v>0.99999998676468005</v>
      </c>
    </row>
    <row r="4566" spans="1:40" x14ac:dyDescent="0.25">
      <c r="A4566" t="str">
        <f>"20190312172502996"</f>
        <v>20190312172502996</v>
      </c>
      <c r="B4566" t="str">
        <f>"1552382702985000"</f>
        <v>1552382702985000</v>
      </c>
      <c r="C4566" t="s">
        <v>40</v>
      </c>
      <c r="D4566">
        <v>4.1899850000000001</v>
      </c>
      <c r="E4566">
        <v>0.50657470000000004</v>
      </c>
      <c r="F4566" t="s">
        <v>43</v>
      </c>
      <c r="G4566">
        <v>-397.40640000000002</v>
      </c>
      <c r="H4566" s="1">
        <v>-1.1281329999999999E-6</v>
      </c>
      <c r="I4566">
        <v>139.74080000000001</v>
      </c>
      <c r="J4566">
        <v>-385.74419999999998</v>
      </c>
      <c r="K4566">
        <v>1.1100449999999999</v>
      </c>
      <c r="L4566">
        <v>141.07040000000001</v>
      </c>
      <c r="M4566">
        <v>-0.99923680000000004</v>
      </c>
      <c r="N4566">
        <v>0</v>
      </c>
      <c r="O4566">
        <v>-3.6137929999999999E-2</v>
      </c>
      <c r="P4566">
        <v>-0.9741185</v>
      </c>
      <c r="Q4566">
        <v>0.1911204</v>
      </c>
      <c r="R4566">
        <v>-0.12068959999999999</v>
      </c>
      <c r="S4566">
        <v>-3.0921940000000001</v>
      </c>
      <c r="T4566">
        <v>-0.28305829999999998</v>
      </c>
      <c r="U4566">
        <v>-0.34332279999999998</v>
      </c>
      <c r="V4566">
        <v>-8.5375129999999994E-2</v>
      </c>
      <c r="W4566">
        <v>0.20561460000000001</v>
      </c>
      <c r="X4566">
        <v>0.97490189999999999</v>
      </c>
      <c r="Y4566">
        <v>-7.4200420000000003E-2</v>
      </c>
      <c r="Z4566" s="1">
        <v>-8.9453529999999995E-5</v>
      </c>
      <c r="AA4566">
        <v>0.99724330000000005</v>
      </c>
      <c r="AB4566">
        <v>48</v>
      </c>
      <c r="AC4566">
        <v>-11.6622</v>
      </c>
      <c r="AD4566">
        <v>-1.1100461281330001</v>
      </c>
      <c r="AE4566">
        <v>-1.3295999999999899</v>
      </c>
      <c r="AF4566">
        <v>-0.89919518022463096</v>
      </c>
      <c r="AG4566">
        <v>-1.1100461281330001</v>
      </c>
      <c r="AH4566">
        <v>11.598899056001599</v>
      </c>
      <c r="AI4566">
        <v>95.450457163064996</v>
      </c>
      <c r="AJ4566">
        <v>94.432942060625393</v>
      </c>
      <c r="AK4566">
        <v>11.6865398510439</v>
      </c>
      <c r="AL4566">
        <v>78.134520439904605</v>
      </c>
      <c r="AM4566">
        <v>95.004798061196695</v>
      </c>
      <c r="AN4566">
        <v>0.99999999558964303</v>
      </c>
    </row>
    <row r="4567" spans="1:40" x14ac:dyDescent="0.25">
      <c r="A4567" t="str">
        <f>"20190312172503020"</f>
        <v>20190312172503020</v>
      </c>
      <c r="B4567" t="str">
        <f>"1552382703015257"</f>
        <v>1552382703015257</v>
      </c>
      <c r="C4567" t="s">
        <v>40</v>
      </c>
      <c r="D4567">
        <v>3.9841540000000002</v>
      </c>
      <c r="E4567">
        <v>0.50721890000000003</v>
      </c>
      <c r="F4567" t="s">
        <v>43</v>
      </c>
      <c r="G4567">
        <v>-398.02260000000001</v>
      </c>
      <c r="H4567" s="1">
        <v>-8.5461579999999997E-7</v>
      </c>
      <c r="I4567">
        <v>139.7064</v>
      </c>
      <c r="J4567">
        <v>-386.24529999999999</v>
      </c>
      <c r="K4567">
        <v>1.110242</v>
      </c>
      <c r="L4567">
        <v>141.05189999999999</v>
      </c>
      <c r="M4567">
        <v>-0.9992202</v>
      </c>
      <c r="N4567">
        <v>0</v>
      </c>
      <c r="O4567">
        <v>-3.659689E-2</v>
      </c>
      <c r="P4567">
        <v>-0.97375080000000003</v>
      </c>
      <c r="Q4567">
        <v>0.19188759999999999</v>
      </c>
      <c r="R4567">
        <v>-0.1224287</v>
      </c>
      <c r="S4567">
        <v>-3.0920100000000001</v>
      </c>
      <c r="T4567">
        <v>-0.279537799999999</v>
      </c>
      <c r="U4567">
        <v>-0.34346009999999999</v>
      </c>
      <c r="V4567">
        <v>-8.6773840000000005E-2</v>
      </c>
      <c r="W4567">
        <v>0.20633589999999999</v>
      </c>
      <c r="X4567">
        <v>0.97462590000000004</v>
      </c>
      <c r="Y4567">
        <v>-7.3799939999999994E-2</v>
      </c>
      <c r="Z4567" s="1">
        <v>-2.9115240000000001E-5</v>
      </c>
      <c r="AA4567">
        <v>0.99727310000000002</v>
      </c>
      <c r="AB4567">
        <v>48</v>
      </c>
      <c r="AC4567">
        <v>-11.7773</v>
      </c>
      <c r="AD4567">
        <v>-1.1102428546158001</v>
      </c>
      <c r="AE4567">
        <v>-1.3454999999999799</v>
      </c>
      <c r="AF4567">
        <v>-0.90559443253797001</v>
      </c>
      <c r="AG4567">
        <v>-1.1102428546158001</v>
      </c>
      <c r="AH4567">
        <v>11.715880238265999</v>
      </c>
      <c r="AI4567">
        <v>95.397402890290806</v>
      </c>
      <c r="AJ4567">
        <v>94.419964226845806</v>
      </c>
      <c r="AK4567">
        <v>11.8031601797934</v>
      </c>
      <c r="AL4567">
        <v>78.092286532650206</v>
      </c>
      <c r="AM4567">
        <v>95.087798366763906</v>
      </c>
      <c r="AN4567">
        <v>0.99999992394397996</v>
      </c>
    </row>
    <row r="4568" spans="1:40" x14ac:dyDescent="0.25">
      <c r="A4568" t="str">
        <f>"20190312172503042"</f>
        <v>20190312172503042</v>
      </c>
      <c r="B4568" t="str">
        <f>"1552382703034775"</f>
        <v>1552382703034775</v>
      </c>
      <c r="C4568" t="s">
        <v>40</v>
      </c>
      <c r="D4568">
        <v>4.0199749999999996</v>
      </c>
      <c r="E4568">
        <v>0.50743919999999998</v>
      </c>
      <c r="F4568" t="s">
        <v>43</v>
      </c>
      <c r="G4568">
        <v>-398.56689999999998</v>
      </c>
      <c r="H4568" s="1">
        <v>-6.1465949999999996E-7</v>
      </c>
      <c r="I4568">
        <v>139.68209999999999</v>
      </c>
      <c r="J4568">
        <v>-386.71370000000002</v>
      </c>
      <c r="K4568">
        <v>1.1104799999999999</v>
      </c>
      <c r="L4568">
        <v>141.0342</v>
      </c>
      <c r="M4568">
        <v>-0.99919369999999996</v>
      </c>
      <c r="N4568">
        <v>0</v>
      </c>
      <c r="O4568">
        <v>-3.731019E-2</v>
      </c>
      <c r="P4568">
        <v>-0.9732518</v>
      </c>
      <c r="Q4568">
        <v>0.1931639</v>
      </c>
      <c r="R4568">
        <v>-0.1243742</v>
      </c>
      <c r="S4568">
        <v>-3.09259</v>
      </c>
      <c r="T4568">
        <v>-0.27865899999999999</v>
      </c>
      <c r="U4568">
        <v>-0.34379579999999998</v>
      </c>
      <c r="V4568">
        <v>-8.8160539999999996E-2</v>
      </c>
      <c r="W4568">
        <v>0.20755499999999999</v>
      </c>
      <c r="X4568">
        <v>0.97424259999999996</v>
      </c>
      <c r="Y4568">
        <v>-7.3180759999999997E-2</v>
      </c>
      <c r="Z4568" s="1">
        <v>6.2589769999999898E-5</v>
      </c>
      <c r="AA4568">
        <v>0.9973187</v>
      </c>
      <c r="AB4568">
        <v>48</v>
      </c>
      <c r="AC4568">
        <v>-11.8531999999999</v>
      </c>
      <c r="AD4568">
        <v>-1.1104806146595001</v>
      </c>
      <c r="AE4568">
        <v>-1.3521000000000001</v>
      </c>
      <c r="AF4568">
        <v>-0.90105751262492895</v>
      </c>
      <c r="AG4568">
        <v>-1.1104806146595001</v>
      </c>
      <c r="AH4568">
        <v>11.7932172486108</v>
      </c>
      <c r="AI4568">
        <v>95.363719892117601</v>
      </c>
      <c r="AJ4568">
        <v>94.369179472746296</v>
      </c>
      <c r="AK4568">
        <v>11.879606260711</v>
      </c>
      <c r="AL4568">
        <v>78.020892656414901</v>
      </c>
      <c r="AM4568">
        <v>95.170690104805601</v>
      </c>
      <c r="AN4568">
        <v>1.0000000012464201</v>
      </c>
    </row>
    <row r="4569" spans="1:40" x14ac:dyDescent="0.25">
      <c r="A4569" t="str">
        <f>"20190312172503064"</f>
        <v>20190312172503064</v>
      </c>
      <c r="B4569" t="str">
        <f>"1552382703055271"</f>
        <v>1552382703055271</v>
      </c>
      <c r="C4569" t="s">
        <v>40</v>
      </c>
      <c r="D4569">
        <v>4.1772710000000002</v>
      </c>
      <c r="E4569">
        <v>0.5077777</v>
      </c>
      <c r="F4569" t="s">
        <v>43</v>
      </c>
      <c r="G4569">
        <v>-399.05360000000002</v>
      </c>
      <c r="H4569" s="1">
        <v>-3.942334E-7</v>
      </c>
      <c r="I4569">
        <v>139.63829999999999</v>
      </c>
      <c r="J4569">
        <v>-387.18720000000002</v>
      </c>
      <c r="K4569">
        <v>1.1107830000000001</v>
      </c>
      <c r="L4569">
        <v>141.01570000000001</v>
      </c>
      <c r="M4569">
        <v>-0.99915279999999995</v>
      </c>
      <c r="N4569">
        <v>0</v>
      </c>
      <c r="O4569">
        <v>-3.8389779999999998E-2</v>
      </c>
      <c r="P4569">
        <v>-0.97278200000000004</v>
      </c>
      <c r="Q4569">
        <v>0.19408710000000001</v>
      </c>
      <c r="R4569">
        <v>-0.12659280000000001</v>
      </c>
      <c r="S4569">
        <v>-3.0929869999999999</v>
      </c>
      <c r="T4569">
        <v>-0.27834189999999998</v>
      </c>
      <c r="U4569">
        <v>-0.34986879999999998</v>
      </c>
      <c r="V4569">
        <v>-8.9493370000000003E-2</v>
      </c>
      <c r="W4569">
        <v>0.20840800000000001</v>
      </c>
      <c r="X4569">
        <v>0.97393890000000005</v>
      </c>
      <c r="Y4569">
        <v>-7.4024339999999994E-2</v>
      </c>
      <c r="Z4569">
        <v>1.212207E-4</v>
      </c>
      <c r="AA4569">
        <v>0.99725640000000004</v>
      </c>
      <c r="AB4569">
        <v>48</v>
      </c>
      <c r="AC4569">
        <v>-11.866400000000001</v>
      </c>
      <c r="AD4569">
        <v>-1.1107833942334</v>
      </c>
      <c r="AE4569">
        <v>-1.3774000000000199</v>
      </c>
      <c r="AF4569">
        <v>-0.91289308166917404</v>
      </c>
      <c r="AG4569">
        <v>-1.1107833942334</v>
      </c>
      <c r="AH4569">
        <v>11.808440383754499</v>
      </c>
      <c r="AI4569">
        <v>95.357929601390694</v>
      </c>
      <c r="AJ4569">
        <v>94.420659215756501</v>
      </c>
      <c r="AK4569">
        <v>11.8956495335122</v>
      </c>
      <c r="AL4569">
        <v>77.9709263484541</v>
      </c>
      <c r="AM4569">
        <v>95.250055828886801</v>
      </c>
      <c r="AN4569">
        <v>0.99999996933558299</v>
      </c>
    </row>
    <row r="4570" spans="1:40" x14ac:dyDescent="0.25">
      <c r="A4570" t="str">
        <f>"20190312172503085"</f>
        <v>20190312172503085</v>
      </c>
      <c r="B4570" t="str">
        <f>"1552382703074791"</f>
        <v>1552382703074791</v>
      </c>
      <c r="C4570" t="s">
        <v>40</v>
      </c>
      <c r="D4570">
        <v>4.0058660000000001</v>
      </c>
      <c r="E4570">
        <v>0.50772829999999902</v>
      </c>
      <c r="F4570" t="s">
        <v>43</v>
      </c>
      <c r="G4570">
        <v>-399.59899999999999</v>
      </c>
      <c r="H4570" s="1">
        <v>-1.596616E-7</v>
      </c>
      <c r="I4570">
        <v>139.58619999999999</v>
      </c>
      <c r="J4570">
        <v>-387.65589999999997</v>
      </c>
      <c r="K4570">
        <v>1.1111009999999999</v>
      </c>
      <c r="L4570">
        <v>140.9967</v>
      </c>
      <c r="M4570">
        <v>-0.99909859999999995</v>
      </c>
      <c r="N4570">
        <v>0</v>
      </c>
      <c r="O4570">
        <v>-3.9773639999999999E-2</v>
      </c>
      <c r="P4570">
        <v>-0.97252689999999997</v>
      </c>
      <c r="Q4570">
        <v>0.19389120000000001</v>
      </c>
      <c r="R4570">
        <v>-0.1288311</v>
      </c>
      <c r="S4570">
        <v>-3.0928040000000001</v>
      </c>
      <c r="T4570">
        <v>-0.27678760000000002</v>
      </c>
      <c r="U4570">
        <v>-0.3561859</v>
      </c>
      <c r="V4570">
        <v>-9.0548100000000006E-2</v>
      </c>
      <c r="W4570">
        <v>0.208144</v>
      </c>
      <c r="X4570">
        <v>0.97389789999999998</v>
      </c>
      <c r="Y4570">
        <v>-7.4664919999999996E-2</v>
      </c>
      <c r="Z4570">
        <v>2.1499369999999999E-4</v>
      </c>
      <c r="AA4570">
        <v>0.99720869999999995</v>
      </c>
      <c r="AB4570">
        <v>48</v>
      </c>
      <c r="AC4570">
        <v>-11.943099999999999</v>
      </c>
      <c r="AD4570">
        <v>-1.1111011596616001</v>
      </c>
      <c r="AE4570">
        <v>-1.4105000000000101</v>
      </c>
      <c r="AF4570">
        <v>-0.92640298626636897</v>
      </c>
      <c r="AG4570">
        <v>-1.1111011596616001</v>
      </c>
      <c r="AH4570">
        <v>11.888275410719499</v>
      </c>
      <c r="AI4570">
        <v>95.323417760380806</v>
      </c>
      <c r="AJ4570">
        <v>94.455812957723893</v>
      </c>
      <c r="AK4570">
        <v>11.975970128598499</v>
      </c>
      <c r="AL4570">
        <v>77.986391976792802</v>
      </c>
      <c r="AM4570">
        <v>95.311801183824102</v>
      </c>
      <c r="AN4570">
        <v>1.0000000013870001</v>
      </c>
    </row>
    <row r="4571" spans="1:40" x14ac:dyDescent="0.25">
      <c r="A4571" t="str">
        <f>"20190312172503107"</f>
        <v>20190312172503107</v>
      </c>
      <c r="B4571" t="str">
        <f>"1552382703105047"</f>
        <v>1552382703105047</v>
      </c>
      <c r="C4571" t="s">
        <v>40</v>
      </c>
      <c r="D4571">
        <v>3.9913509999999999</v>
      </c>
      <c r="E4571">
        <v>0.50791940000000002</v>
      </c>
      <c r="F4571" t="s">
        <v>43</v>
      </c>
      <c r="G4571">
        <v>-399.86410000000001</v>
      </c>
      <c r="H4571" s="1">
        <v>-5.04075899999999E-8</v>
      </c>
      <c r="I4571">
        <v>139.5608</v>
      </c>
      <c r="J4571">
        <v>-388.1311</v>
      </c>
      <c r="K4571">
        <v>1.1114409999999999</v>
      </c>
      <c r="L4571">
        <v>140.97640000000001</v>
      </c>
      <c r="M4571">
        <v>-0.99902679999999999</v>
      </c>
      <c r="N4571">
        <v>0</v>
      </c>
      <c r="O4571">
        <v>-4.1538190000000003E-2</v>
      </c>
      <c r="P4571">
        <v>-0.97233060000000004</v>
      </c>
      <c r="Q4571">
        <v>0.19282179999999999</v>
      </c>
      <c r="R4571">
        <v>-0.13188359999999999</v>
      </c>
      <c r="S4571">
        <v>-3.092651</v>
      </c>
      <c r="T4571">
        <v>-0.28147050000000001</v>
      </c>
      <c r="U4571">
        <v>-0.36370849999999999</v>
      </c>
      <c r="V4571">
        <v>-9.2051770000000005E-2</v>
      </c>
      <c r="W4571">
        <v>0.20699989999999999</v>
      </c>
      <c r="X4571">
        <v>0.9740008</v>
      </c>
      <c r="Y4571">
        <v>-7.5302380000000002E-2</v>
      </c>
      <c r="Z4571">
        <v>3.4915139999999999E-4</v>
      </c>
      <c r="AA4571">
        <v>0.99716070000000001</v>
      </c>
      <c r="AB4571">
        <v>48</v>
      </c>
      <c r="AC4571">
        <v>-11.733000000000001</v>
      </c>
      <c r="AD4571">
        <v>-1.11144105040759</v>
      </c>
      <c r="AE4571">
        <v>-1.41560000000001</v>
      </c>
      <c r="AF4571">
        <v>-0.91883005222307401</v>
      </c>
      <c r="AG4571">
        <v>-1.11144105040759</v>
      </c>
      <c r="AH4571">
        <v>11.6783884257002</v>
      </c>
      <c r="AI4571">
        <v>95.419859483622304</v>
      </c>
      <c r="AJ4571">
        <v>94.498639368249101</v>
      </c>
      <c r="AK4571">
        <v>11.767085709508899</v>
      </c>
      <c r="AL4571">
        <v>78.053403870372506</v>
      </c>
      <c r="AM4571">
        <v>95.398926431560994</v>
      </c>
      <c r="AN4571">
        <v>1.00000002268039</v>
      </c>
    </row>
    <row r="4572" spans="1:40" x14ac:dyDescent="0.25">
      <c r="A4572" t="str">
        <f>"20190312172503131"</f>
        <v>20190312172503131</v>
      </c>
      <c r="B4572" t="str">
        <f>"1552382703125543"</f>
        <v>1552382703125543</v>
      </c>
      <c r="C4572" t="s">
        <v>40</v>
      </c>
      <c r="D4572">
        <v>3.9523160000000002</v>
      </c>
      <c r="E4572">
        <v>0.50795849999999998</v>
      </c>
      <c r="F4572" t="s">
        <v>49</v>
      </c>
      <c r="G4572">
        <v>-400.10879999999997</v>
      </c>
      <c r="H4572" s="1">
        <v>-5.3764669999999998E-6</v>
      </c>
      <c r="I4572">
        <v>139.53540000000001</v>
      </c>
      <c r="J4572">
        <v>-388.62189999999998</v>
      </c>
      <c r="K4572">
        <v>1.111837</v>
      </c>
      <c r="L4572">
        <v>140.95429999999999</v>
      </c>
      <c r="M4572">
        <v>-0.99893030000000005</v>
      </c>
      <c r="N4572">
        <v>0</v>
      </c>
      <c r="O4572">
        <v>-4.3793659999999998E-2</v>
      </c>
      <c r="P4572">
        <v>-0.97195560000000003</v>
      </c>
      <c r="Q4572">
        <v>0.19178870000000001</v>
      </c>
      <c r="R4572">
        <v>-0.13608689999999901</v>
      </c>
      <c r="S4572">
        <v>-3.0918269999999999</v>
      </c>
      <c r="T4572">
        <v>-0.2869005</v>
      </c>
      <c r="U4572">
        <v>-0.3719635</v>
      </c>
      <c r="V4572">
        <v>-9.4253980000000001E-2</v>
      </c>
      <c r="W4572">
        <v>0.2058768</v>
      </c>
      <c r="X4572">
        <v>0.97402820000000001</v>
      </c>
      <c r="Y4572">
        <v>-7.5709509999999994E-2</v>
      </c>
      <c r="Z4572">
        <v>5.4477550000000001E-4</v>
      </c>
      <c r="AA4572">
        <v>0.99712970000000001</v>
      </c>
      <c r="AB4572">
        <v>48</v>
      </c>
      <c r="AC4572">
        <v>-11.486899999999901</v>
      </c>
      <c r="AD4572">
        <v>-1.111842376467</v>
      </c>
      <c r="AE4572">
        <v>-1.4188999999999701</v>
      </c>
      <c r="AF4572">
        <v>-0.906068435058073</v>
      </c>
      <c r="AG4572">
        <v>-1.111842376467</v>
      </c>
      <c r="AH4572">
        <v>11.432524136341801</v>
      </c>
      <c r="AI4572">
        <v>95.537438622070596</v>
      </c>
      <c r="AJ4572">
        <v>94.5314238415136</v>
      </c>
      <c r="AK4572">
        <v>11.522142231683899</v>
      </c>
      <c r="AL4572">
        <v>78.119169127751505</v>
      </c>
      <c r="AM4572">
        <v>95.527143073139499</v>
      </c>
      <c r="AN4572">
        <v>1.00000000195966</v>
      </c>
    </row>
    <row r="4573" spans="1:40" x14ac:dyDescent="0.25">
      <c r="A4573" t="str">
        <f>"20190312172503153"</f>
        <v>20190312172503153</v>
      </c>
      <c r="B4573" t="str">
        <f>"1552382703145063"</f>
        <v>1552382703145063</v>
      </c>
      <c r="C4573" t="s">
        <v>40</v>
      </c>
      <c r="D4573">
        <v>4.2096220000000004</v>
      </c>
      <c r="E4573">
        <v>0.50813059999999999</v>
      </c>
      <c r="F4573" t="s">
        <v>49</v>
      </c>
      <c r="G4573">
        <v>-400.36500000000001</v>
      </c>
      <c r="H4573" s="1">
        <v>-5.4710400000000001E-6</v>
      </c>
      <c r="I4573">
        <v>139.49459999999999</v>
      </c>
      <c r="J4573">
        <v>-389.10660000000001</v>
      </c>
      <c r="K4573">
        <v>1.1122620000000001</v>
      </c>
      <c r="L4573">
        <v>140.93109999999999</v>
      </c>
      <c r="M4573">
        <v>-0.99880880000000005</v>
      </c>
      <c r="N4573">
        <v>0</v>
      </c>
      <c r="O4573">
        <v>-4.6479600000000003E-2</v>
      </c>
      <c r="P4573">
        <v>-0.97134180000000003</v>
      </c>
      <c r="Q4573">
        <v>0.19172980000000001</v>
      </c>
      <c r="R4573">
        <v>-0.14048169999999999</v>
      </c>
      <c r="S4573">
        <v>-3.0904850000000001</v>
      </c>
      <c r="T4573">
        <v>-0.29261029999999999</v>
      </c>
      <c r="U4573">
        <v>-0.38415529999999998</v>
      </c>
      <c r="V4573">
        <v>-9.6257969999999998E-2</v>
      </c>
      <c r="W4573">
        <v>0.20571629999999999</v>
      </c>
      <c r="X4573">
        <v>0.97386609999999996</v>
      </c>
      <c r="Y4573">
        <v>-7.6956109999999994E-2</v>
      </c>
      <c r="Z4573">
        <v>7.4918749999999996E-4</v>
      </c>
      <c r="AA4573">
        <v>0.99703419999999998</v>
      </c>
      <c r="AB4573">
        <v>48</v>
      </c>
      <c r="AC4573">
        <v>-11.2583999999999</v>
      </c>
      <c r="AD4573">
        <v>-1.11226747104</v>
      </c>
      <c r="AE4573">
        <v>-1.4364999999999899</v>
      </c>
      <c r="AF4573">
        <v>-0.90293173353999101</v>
      </c>
      <c r="AG4573">
        <v>-1.11226747104</v>
      </c>
      <c r="AH4573">
        <v>11.205388553194499</v>
      </c>
      <c r="AI4573">
        <v>95.6505192257071</v>
      </c>
      <c r="AJ4573">
        <v>94.606947698522404</v>
      </c>
      <c r="AK4573">
        <v>11.296599367536601</v>
      </c>
      <c r="AL4573">
        <v>78.128566065031706</v>
      </c>
      <c r="AM4573">
        <v>95.644841421192098</v>
      </c>
      <c r="AN4573">
        <v>0.99999998680170998</v>
      </c>
    </row>
    <row r="4574" spans="1:40" x14ac:dyDescent="0.25">
      <c r="A4574" t="str">
        <f>"20190312172503175"</f>
        <v>20190312172503175</v>
      </c>
      <c r="B4574" t="str">
        <f>"1552382703165562"</f>
        <v>1552382703165562</v>
      </c>
      <c r="C4574" t="s">
        <v>40</v>
      </c>
      <c r="D4574">
        <v>3.921964</v>
      </c>
      <c r="E4574">
        <v>0.50817599999999996</v>
      </c>
      <c r="F4574" t="s">
        <v>49</v>
      </c>
      <c r="G4574">
        <v>-400.81990000000002</v>
      </c>
      <c r="H4574" s="1">
        <v>-5.6418510000000003E-6</v>
      </c>
      <c r="I4574">
        <v>139.42840000000001</v>
      </c>
      <c r="J4574">
        <v>-389.56479999999999</v>
      </c>
      <c r="K4574">
        <v>1.1127009999999999</v>
      </c>
      <c r="L4574">
        <v>140.90770000000001</v>
      </c>
      <c r="M4574">
        <v>-0.99866580000000005</v>
      </c>
      <c r="N4574">
        <v>0</v>
      </c>
      <c r="O4574">
        <v>-4.9454329999999998E-2</v>
      </c>
      <c r="P4574">
        <v>-0.97058109999999997</v>
      </c>
      <c r="Q4574">
        <v>0.19226180000000001</v>
      </c>
      <c r="R4574">
        <v>-0.1449415</v>
      </c>
      <c r="S4574">
        <v>-3.0891109999999999</v>
      </c>
      <c r="T4574">
        <v>-0.29333589999999998</v>
      </c>
      <c r="U4574">
        <v>-0.39630130000000002</v>
      </c>
      <c r="V4574">
        <v>-9.806173E-2</v>
      </c>
      <c r="W4574">
        <v>0.2061432</v>
      </c>
      <c r="X4574">
        <v>0.97359589999999996</v>
      </c>
      <c r="Y4574">
        <v>-7.7907580000000004E-2</v>
      </c>
      <c r="Z4574">
        <v>9.862498999999999E-4</v>
      </c>
      <c r="AA4574">
        <v>0.99696010000000002</v>
      </c>
      <c r="AB4574">
        <v>48</v>
      </c>
      <c r="AC4574">
        <v>-11.255100000000001</v>
      </c>
      <c r="AD4574">
        <v>-1.1127066418510001</v>
      </c>
      <c r="AE4574">
        <v>-1.4792999999999901</v>
      </c>
      <c r="AF4574">
        <v>-0.91205177401987203</v>
      </c>
      <c r="AG4574">
        <v>-1.1127066418510001</v>
      </c>
      <c r="AH4574">
        <v>11.206817966429201</v>
      </c>
      <c r="AI4574">
        <v>95.651656511685303</v>
      </c>
      <c r="AJ4574">
        <v>94.6526858211963</v>
      </c>
      <c r="AK4574">
        <v>11.298793008193</v>
      </c>
      <c r="AL4574">
        <v>78.103571518933805</v>
      </c>
      <c r="AM4574">
        <v>95.751501788086898</v>
      </c>
      <c r="AN4574">
        <v>1.0000000491468199</v>
      </c>
    </row>
    <row r="4575" spans="1:40" x14ac:dyDescent="0.25">
      <c r="A4575" t="str">
        <f>"20190312172503197"</f>
        <v>20190312172503197</v>
      </c>
      <c r="B4575" t="str">
        <f>"1552382703185079"</f>
        <v>1552382703185079</v>
      </c>
      <c r="C4575" t="s">
        <v>40</v>
      </c>
      <c r="D4575">
        <v>3.8535279999999998</v>
      </c>
      <c r="E4575">
        <v>0.48624430000000002</v>
      </c>
      <c r="F4575" t="s">
        <v>49</v>
      </c>
      <c r="G4575">
        <v>-401.37610000000001</v>
      </c>
      <c r="H4575" s="1">
        <v>-5.84797699999999E-6</v>
      </c>
      <c r="I4575">
        <v>139.3416</v>
      </c>
      <c r="J4575">
        <v>-390.02809999999999</v>
      </c>
      <c r="K4575">
        <v>1.1131679999999999</v>
      </c>
      <c r="L4575">
        <v>140.88249999999999</v>
      </c>
      <c r="M4575">
        <v>-0.99848970000000004</v>
      </c>
      <c r="N4575">
        <v>0</v>
      </c>
      <c r="O4575">
        <v>-5.2889220000000001E-2</v>
      </c>
      <c r="P4575">
        <v>-0.96960809999999997</v>
      </c>
      <c r="Q4575">
        <v>0.193111</v>
      </c>
      <c r="R4575">
        <v>-0.15022849999999999</v>
      </c>
      <c r="S4575">
        <v>-3.0874329999999999</v>
      </c>
      <c r="T4575">
        <v>-0.29085919999999998</v>
      </c>
      <c r="U4575">
        <v>-0.40937810000000002</v>
      </c>
      <c r="V4575">
        <v>-0.1002736</v>
      </c>
      <c r="W4575">
        <v>0.2068748</v>
      </c>
      <c r="X4575">
        <v>0.97321530000000001</v>
      </c>
      <c r="Y4575">
        <v>-7.8712069999999995E-2</v>
      </c>
      <c r="Z4575">
        <v>1.26111E-3</v>
      </c>
      <c r="AA4575">
        <v>0.99689660000000002</v>
      </c>
      <c r="AB4575">
        <v>48</v>
      </c>
      <c r="AC4575">
        <v>-11.348000000000001</v>
      </c>
      <c r="AD4575">
        <v>-1.1131738479769999</v>
      </c>
      <c r="AE4575">
        <v>-1.5408999999999899</v>
      </c>
      <c r="AF4575">
        <v>-0.92970552309398602</v>
      </c>
      <c r="AG4575">
        <v>-1.1131738479769999</v>
      </c>
      <c r="AH4575">
        <v>11.306789941932401</v>
      </c>
      <c r="AI4575">
        <v>95.603961472769498</v>
      </c>
      <c r="AJ4575">
        <v>94.700594817302502</v>
      </c>
      <c r="AK4575">
        <v>11.3994301246367</v>
      </c>
      <c r="AL4575">
        <v>78.060729867975994</v>
      </c>
      <c r="AM4575">
        <v>95.882616433966803</v>
      </c>
      <c r="AN4575">
        <v>0.99999999894304403</v>
      </c>
    </row>
    <row r="4576" spans="1:40" x14ac:dyDescent="0.25">
      <c r="A4576" t="str">
        <f>"20190312172503220"</f>
        <v>20190312172503220</v>
      </c>
      <c r="B4576" t="str">
        <f>"1552382703215335"</f>
        <v>1552382703215335</v>
      </c>
      <c r="C4576" t="s">
        <v>40</v>
      </c>
      <c r="D4576">
        <v>3.9113180000000001</v>
      </c>
      <c r="E4576">
        <v>0.48289130000000002</v>
      </c>
      <c r="F4576" t="s">
        <v>49</v>
      </c>
      <c r="G4576">
        <v>-408.19200000000001</v>
      </c>
      <c r="H4576" s="1">
        <v>-8.5794399999999905E-6</v>
      </c>
      <c r="I4576">
        <v>137.33179999999999</v>
      </c>
      <c r="J4576">
        <v>-390.50720000000001</v>
      </c>
      <c r="K4576">
        <v>1.113666</v>
      </c>
      <c r="L4576">
        <v>140.8544</v>
      </c>
      <c r="M4576">
        <v>-0.99826999999999999</v>
      </c>
      <c r="N4576">
        <v>0</v>
      </c>
      <c r="O4576">
        <v>-5.687917E-2</v>
      </c>
      <c r="P4576">
        <v>-0.96848429999999996</v>
      </c>
      <c r="Q4576">
        <v>0.19422610000000001</v>
      </c>
      <c r="R4576">
        <v>-0.1559326</v>
      </c>
      <c r="S4576">
        <v>-3.0391240000000002</v>
      </c>
      <c r="T4576">
        <v>-0.18625269999999999</v>
      </c>
      <c r="U4576">
        <v>-0.59408570000000005</v>
      </c>
      <c r="V4576">
        <v>-0.1023884</v>
      </c>
      <c r="W4576">
        <v>0.20786279999999999</v>
      </c>
      <c r="X4576">
        <v>0.97278450000000005</v>
      </c>
      <c r="Y4576">
        <v>-0.13556679999999999</v>
      </c>
      <c r="Z4576">
        <v>-6.671483E-4</v>
      </c>
      <c r="AA4576">
        <v>0.99076799999999998</v>
      </c>
      <c r="AB4576">
        <v>48</v>
      </c>
      <c r="AC4576">
        <v>-17.6847999999999</v>
      </c>
      <c r="AD4576">
        <v>-1.11367457943999</v>
      </c>
      <c r="AE4576">
        <v>-3.5226000000000099</v>
      </c>
      <c r="AF4576">
        <v>-2.5013466246676099</v>
      </c>
      <c r="AG4576">
        <v>-1.11367457943999</v>
      </c>
      <c r="AH4576">
        <v>17.788695997762801</v>
      </c>
      <c r="AI4576">
        <v>93.547559765585504</v>
      </c>
      <c r="AJ4576">
        <v>98.004132698946506</v>
      </c>
      <c r="AK4576">
        <v>17.9981863338073</v>
      </c>
      <c r="AL4576">
        <v>78.002863873738605</v>
      </c>
      <c r="AM4576">
        <v>96.008425263727005</v>
      </c>
      <c r="AN4576">
        <v>1.0000000057593199</v>
      </c>
    </row>
    <row r="4577" spans="1:40" x14ac:dyDescent="0.25">
      <c r="A4577" t="str">
        <f>"20190312172503242"</f>
        <v>20190312172503242</v>
      </c>
      <c r="B4577" t="str">
        <f>"1552382703234858"</f>
        <v>1552382703234858</v>
      </c>
      <c r="C4577" t="s">
        <v>40</v>
      </c>
      <c r="D4577">
        <v>3.8897219999999999</v>
      </c>
      <c r="E4577">
        <v>0.48240929999999999</v>
      </c>
      <c r="F4577" t="s">
        <v>49</v>
      </c>
      <c r="G4577">
        <v>-408.04930000000002</v>
      </c>
      <c r="H4577" s="1">
        <v>-8.4138760000000002E-6</v>
      </c>
      <c r="I4577">
        <v>137.15639999999999</v>
      </c>
      <c r="J4577">
        <v>-390.98250000000002</v>
      </c>
      <c r="K4577">
        <v>1.114161</v>
      </c>
      <c r="L4577">
        <v>140.8244</v>
      </c>
      <c r="M4577">
        <v>-0.99800960000000005</v>
      </c>
      <c r="N4577">
        <v>0</v>
      </c>
      <c r="O4577">
        <v>-6.1275330000000003E-2</v>
      </c>
      <c r="P4577">
        <v>-0.96729730000000003</v>
      </c>
      <c r="Q4577">
        <v>0.19505749999999999</v>
      </c>
      <c r="R4577">
        <v>-0.1621389</v>
      </c>
      <c r="S4577">
        <v>-3.033264</v>
      </c>
      <c r="T4577">
        <v>-0.19256999999999999</v>
      </c>
      <c r="U4577">
        <v>-0.63945010000000002</v>
      </c>
      <c r="V4577">
        <v>-0.1046131</v>
      </c>
      <c r="W4577">
        <v>0.20856520000000001</v>
      </c>
      <c r="X4577">
        <v>0.97239739999999997</v>
      </c>
      <c r="Y4577">
        <v>-0.14576430000000001</v>
      </c>
      <c r="Z4577">
        <v>-7.3565049999999997E-4</v>
      </c>
      <c r="AA4577">
        <v>0.98931910000000001</v>
      </c>
      <c r="AB4577">
        <v>48</v>
      </c>
      <c r="AC4577">
        <v>-17.066800000000001</v>
      </c>
      <c r="AD4577">
        <v>-1.1141694138760001</v>
      </c>
      <c r="AE4577">
        <v>-3.6680000000000001</v>
      </c>
      <c r="AF4577">
        <v>-2.6046055990439201</v>
      </c>
      <c r="AG4577">
        <v>-1.1141694138760001</v>
      </c>
      <c r="AH4577">
        <v>17.189481023463902</v>
      </c>
      <c r="AI4577">
        <v>93.666810272734494</v>
      </c>
      <c r="AJ4577">
        <v>98.616100373683906</v>
      </c>
      <c r="AK4577">
        <v>17.42135475976</v>
      </c>
      <c r="AL4577">
        <v>77.961717741014098</v>
      </c>
      <c r="AM4577">
        <v>96.140415328119303</v>
      </c>
      <c r="AN4577">
        <v>1.0000000234347</v>
      </c>
    </row>
    <row r="4578" spans="1:40" x14ac:dyDescent="0.25">
      <c r="A4578" t="str">
        <f>"20190312172503265"</f>
        <v>20190312172503265</v>
      </c>
      <c r="B4578" t="str">
        <f>"1552382703255351"</f>
        <v>1552382703255351</v>
      </c>
      <c r="C4578" t="s">
        <v>40</v>
      </c>
      <c r="D4578">
        <v>3.8942589999999999</v>
      </c>
      <c r="E4578">
        <v>0.48229929999999899</v>
      </c>
      <c r="F4578" t="s">
        <v>49</v>
      </c>
      <c r="G4578">
        <v>-409.12329999999997</v>
      </c>
      <c r="H4578" s="1">
        <v>-8.9501620000000005E-6</v>
      </c>
      <c r="I4578">
        <v>136.8535</v>
      </c>
      <c r="J4578">
        <v>-391.45659999999998</v>
      </c>
      <c r="K4578">
        <v>1.1146339999999999</v>
      </c>
      <c r="L4578">
        <v>140.792</v>
      </c>
      <c r="M4578">
        <v>-0.99770219999999998</v>
      </c>
      <c r="N4578">
        <v>0</v>
      </c>
      <c r="O4578">
        <v>-6.6084680000000007E-2</v>
      </c>
      <c r="P4578">
        <v>-0.96610560000000001</v>
      </c>
      <c r="Q4578">
        <v>0.19557530000000001</v>
      </c>
      <c r="R4578">
        <v>-0.16849500000000001</v>
      </c>
      <c r="S4578">
        <v>-3.0278320000000001</v>
      </c>
      <c r="T4578">
        <v>-0.18596270000000001</v>
      </c>
      <c r="U4578">
        <v>-0.66276550000000001</v>
      </c>
      <c r="V4578">
        <v>-0.10657850000000001</v>
      </c>
      <c r="W4578">
        <v>0.2089569</v>
      </c>
      <c r="X4578">
        <v>0.97209979999999996</v>
      </c>
      <c r="Y4578">
        <v>-0.14864939999999999</v>
      </c>
      <c r="Z4578">
        <v>-5.0858830000000002E-4</v>
      </c>
      <c r="AA4578">
        <v>0.98888980000000004</v>
      </c>
      <c r="AB4578">
        <v>48</v>
      </c>
      <c r="AC4578">
        <v>-17.666699999999899</v>
      </c>
      <c r="AD4578">
        <v>-1.1146429501620001</v>
      </c>
      <c r="AE4578">
        <v>-3.9384999999999999</v>
      </c>
      <c r="AF4578">
        <v>-2.7518245171282101</v>
      </c>
      <c r="AG4578">
        <v>-1.1146429501620001</v>
      </c>
      <c r="AH4578">
        <v>17.820795122135099</v>
      </c>
      <c r="AI4578">
        <v>93.537220209037798</v>
      </c>
      <c r="AJ4578">
        <v>98.7780814604494</v>
      </c>
      <c r="AK4578">
        <v>18.066424822430399</v>
      </c>
      <c r="AL4578">
        <v>77.938768969819193</v>
      </c>
      <c r="AM4578">
        <v>96.256770923177896</v>
      </c>
      <c r="AN4578">
        <v>0.99999999193995004</v>
      </c>
    </row>
    <row r="4579" spans="1:40" x14ac:dyDescent="0.25">
      <c r="A4579" t="str">
        <f>"20190312172503286"</f>
        <v>20190312172503286</v>
      </c>
      <c r="B4579" t="str">
        <f>"1552382703274871"</f>
        <v>1552382703274871</v>
      </c>
      <c r="C4579" t="s">
        <v>40</v>
      </c>
      <c r="D4579">
        <v>3.9007329999999998</v>
      </c>
      <c r="E4579">
        <v>0.48237730000000001</v>
      </c>
      <c r="F4579" t="s">
        <v>49</v>
      </c>
      <c r="G4579">
        <v>-409.80270000000002</v>
      </c>
      <c r="H4579" s="1">
        <v>-9.2824350000000002E-6</v>
      </c>
      <c r="I4579">
        <v>136.64609999999999</v>
      </c>
      <c r="J4579">
        <v>-391.91629999999998</v>
      </c>
      <c r="K4579">
        <v>1.1150629999999999</v>
      </c>
      <c r="L4579">
        <v>140.75829999999999</v>
      </c>
      <c r="M4579">
        <v>-0.99735969999999996</v>
      </c>
      <c r="N4579">
        <v>0</v>
      </c>
      <c r="O4579">
        <v>-7.1066050000000006E-2</v>
      </c>
      <c r="P4579">
        <v>-0.96483260000000004</v>
      </c>
      <c r="Q4579">
        <v>0.19593240000000001</v>
      </c>
      <c r="R4579">
        <v>-0.17523920000000001</v>
      </c>
      <c r="S4579">
        <v>-3.0233150000000002</v>
      </c>
      <c r="T4579">
        <v>-0.18368590000000001</v>
      </c>
      <c r="U4579">
        <v>-0.68321229999999999</v>
      </c>
      <c r="V4579">
        <v>-0.1087499</v>
      </c>
      <c r="W4579">
        <v>0.2091905</v>
      </c>
      <c r="X4579">
        <v>0.97180900000000003</v>
      </c>
      <c r="Y4579">
        <v>-0.1504009</v>
      </c>
      <c r="Z4579">
        <v>-2.5847510000000001E-4</v>
      </c>
      <c r="AA4579">
        <v>0.98862499999999998</v>
      </c>
      <c r="AB4579">
        <v>48</v>
      </c>
      <c r="AC4579">
        <v>-17.886399999999998</v>
      </c>
      <c r="AD4579">
        <v>-1.1150722824349999</v>
      </c>
      <c r="AE4579">
        <v>-4.1121999999999996</v>
      </c>
      <c r="AF4579">
        <v>-2.8201325029611302</v>
      </c>
      <c r="AG4579">
        <v>-1.1150722824349999</v>
      </c>
      <c r="AH4579">
        <v>18.066745033683301</v>
      </c>
      <c r="AI4579">
        <v>93.489640979436103</v>
      </c>
      <c r="AJ4579">
        <v>98.872001938443503</v>
      </c>
      <c r="AK4579">
        <v>18.319492614191901</v>
      </c>
      <c r="AL4579">
        <v>77.925081918349406</v>
      </c>
      <c r="AM4579">
        <v>96.385097106768796</v>
      </c>
      <c r="AN4579">
        <v>0.99999996926062895</v>
      </c>
    </row>
    <row r="4580" spans="1:40" x14ac:dyDescent="0.25">
      <c r="A4580" t="str">
        <f>"20190312172503309"</f>
        <v>20190312172503309</v>
      </c>
      <c r="B4580" t="str">
        <f>"1552382703305127"</f>
        <v>1552382703305127</v>
      </c>
      <c r="C4580" t="s">
        <v>40</v>
      </c>
      <c r="D4580">
        <v>3.8717549999999998</v>
      </c>
      <c r="E4580">
        <v>0.48250539999999997</v>
      </c>
      <c r="F4580" t="s">
        <v>49</v>
      </c>
      <c r="G4580">
        <v>-410.49880000000002</v>
      </c>
      <c r="H4580" s="1">
        <v>-9.2366879999999997E-6</v>
      </c>
      <c r="I4580">
        <v>136.42930000000001</v>
      </c>
      <c r="J4580">
        <v>-392.38389999999998</v>
      </c>
      <c r="K4580">
        <v>1.1154679999999999</v>
      </c>
      <c r="L4580">
        <v>140.72149999999999</v>
      </c>
      <c r="M4580">
        <v>-0.99696209999999996</v>
      </c>
      <c r="N4580">
        <v>0</v>
      </c>
      <c r="O4580">
        <v>-7.6434080000000001E-2</v>
      </c>
      <c r="P4580">
        <v>-0.96355749999999996</v>
      </c>
      <c r="Q4580">
        <v>0.1959584</v>
      </c>
      <c r="R4580">
        <v>-0.18209069999999999</v>
      </c>
      <c r="S4580">
        <v>-3.0183719999999998</v>
      </c>
      <c r="T4580">
        <v>-0.18112210000000001</v>
      </c>
      <c r="U4580">
        <v>-0.70315550000000004</v>
      </c>
      <c r="V4580">
        <v>-0.11064060000000001</v>
      </c>
      <c r="W4580">
        <v>0.20910380000000001</v>
      </c>
      <c r="X4580">
        <v>0.97161419999999998</v>
      </c>
      <c r="Y4580">
        <v>-0.15164250000000001</v>
      </c>
      <c r="Z4580" s="1">
        <v>2.3566649999999999E-5</v>
      </c>
      <c r="AA4580">
        <v>0.98843539999999996</v>
      </c>
      <c r="AB4580">
        <v>48</v>
      </c>
      <c r="AC4580">
        <v>-18.114899999999999</v>
      </c>
      <c r="AD4580">
        <v>-1.1154772366879999</v>
      </c>
      <c r="AE4580">
        <v>-4.2921999999999798</v>
      </c>
      <c r="AF4580">
        <v>-2.8845335813911999</v>
      </c>
      <c r="AG4580">
        <v>-1.1154772366879999</v>
      </c>
      <c r="AH4580">
        <v>18.324213709636599</v>
      </c>
      <c r="AI4580">
        <v>93.441280078343397</v>
      </c>
      <c r="AJ4580">
        <v>98.945890185644799</v>
      </c>
      <c r="AK4580">
        <v>18.5833697569675</v>
      </c>
      <c r="AL4580">
        <v>77.930161543058304</v>
      </c>
      <c r="AM4580">
        <v>96.496457368048297</v>
      </c>
      <c r="AN4580">
        <v>0.999999947592218</v>
      </c>
    </row>
    <row r="4581" spans="1:40" x14ac:dyDescent="0.25">
      <c r="A4581" t="str">
        <f>"20190312172503332"</f>
        <v>20190312172503332</v>
      </c>
      <c r="B4581" t="str">
        <f>"1552382703324647"</f>
        <v>1552382703324647</v>
      </c>
      <c r="C4581" t="s">
        <v>40</v>
      </c>
      <c r="D4581">
        <v>3.8876330000000001</v>
      </c>
      <c r="E4581">
        <v>0.48256729999999998</v>
      </c>
      <c r="F4581" t="s">
        <v>49</v>
      </c>
      <c r="G4581">
        <v>-410.95600000000002</v>
      </c>
      <c r="H4581" s="1">
        <v>-9.1247859999999995E-6</v>
      </c>
      <c r="I4581">
        <v>136.26519999999999</v>
      </c>
      <c r="J4581">
        <v>-392.88299999999998</v>
      </c>
      <c r="K4581">
        <v>1.115904</v>
      </c>
      <c r="L4581">
        <v>140.67930000000001</v>
      </c>
      <c r="M4581">
        <v>-0.9964809</v>
      </c>
      <c r="N4581">
        <v>0</v>
      </c>
      <c r="O4581">
        <v>-8.2458169999999997E-2</v>
      </c>
      <c r="P4581">
        <v>-0.96219529999999998</v>
      </c>
      <c r="Q4581">
        <v>0.19576730000000001</v>
      </c>
      <c r="R4581">
        <v>-0.18935569999999999</v>
      </c>
      <c r="S4581">
        <v>-3.01355</v>
      </c>
      <c r="T4581">
        <v>-0.1809994</v>
      </c>
      <c r="U4581">
        <v>-0.72308349999999999</v>
      </c>
      <c r="V4581">
        <v>-0.11231140000000001</v>
      </c>
      <c r="W4581">
        <v>0.20884639999999999</v>
      </c>
      <c r="X4581">
        <v>0.97147790000000001</v>
      </c>
      <c r="Y4581">
        <v>-0.15221689999999999</v>
      </c>
      <c r="Z4581">
        <v>3.6026720000000001E-4</v>
      </c>
      <c r="AA4581">
        <v>0.98834710000000003</v>
      </c>
      <c r="AB4581">
        <v>47</v>
      </c>
      <c r="AC4581">
        <v>-18.072999999999901</v>
      </c>
      <c r="AD4581">
        <v>-1.1159131247859999</v>
      </c>
      <c r="AE4581">
        <v>-4.4141000000000101</v>
      </c>
      <c r="AF4581">
        <v>-2.89820205314399</v>
      </c>
      <c r="AG4581">
        <v>-1.1159131247859999</v>
      </c>
      <c r="AH4581">
        <v>18.309584508994998</v>
      </c>
      <c r="AI4581">
        <v>93.444903847446795</v>
      </c>
      <c r="AJ4581">
        <v>98.994653906490498</v>
      </c>
      <c r="AK4581">
        <v>18.5710991095021</v>
      </c>
      <c r="AL4581">
        <v>77.945242965619698</v>
      </c>
      <c r="AM4581">
        <v>96.594620734374601</v>
      </c>
      <c r="AN4581">
        <v>0.99999998977566495</v>
      </c>
    </row>
    <row r="4582" spans="1:40" x14ac:dyDescent="0.25">
      <c r="A4582" t="str">
        <f>"20190312172503354"</f>
        <v>20190312172503354</v>
      </c>
      <c r="B4582" t="str">
        <f>"1552382703345143"</f>
        <v>1552382703345143</v>
      </c>
      <c r="C4582" t="s">
        <v>40</v>
      </c>
      <c r="D4582">
        <v>3.8726780000000001</v>
      </c>
      <c r="E4582">
        <v>0.48270869999999999</v>
      </c>
      <c r="F4582" t="s">
        <v>49</v>
      </c>
      <c r="G4582">
        <v>-411.3449</v>
      </c>
      <c r="H4582" s="1">
        <v>-9.0218289999999999E-6</v>
      </c>
      <c r="I4582">
        <v>136.1078</v>
      </c>
      <c r="J4582">
        <v>-393.34570000000002</v>
      </c>
      <c r="K4582">
        <v>1.1163050000000001</v>
      </c>
      <c r="L4582">
        <v>140.63740000000001</v>
      </c>
      <c r="M4582">
        <v>-0.99598030000000004</v>
      </c>
      <c r="N4582">
        <v>0</v>
      </c>
      <c r="O4582">
        <v>-8.8272589999999998E-2</v>
      </c>
      <c r="P4582">
        <v>-0.96068410000000004</v>
      </c>
      <c r="Q4582">
        <v>0.1961958</v>
      </c>
      <c r="R4582">
        <v>-0.1964515</v>
      </c>
      <c r="S4582">
        <v>-3.0082399999999998</v>
      </c>
      <c r="T4582">
        <v>-0.1818302</v>
      </c>
      <c r="U4582">
        <v>-0.74488829999999995</v>
      </c>
      <c r="V4582">
        <v>-0.1140187</v>
      </c>
      <c r="W4582">
        <v>0.20930940000000001</v>
      </c>
      <c r="X4582">
        <v>0.97117929999999997</v>
      </c>
      <c r="Y4582">
        <v>-0.15361169999999999</v>
      </c>
      <c r="Z4582">
        <v>6.6360550000000001E-4</v>
      </c>
      <c r="AA4582">
        <v>0.98813099999999998</v>
      </c>
      <c r="AB4582">
        <v>47</v>
      </c>
      <c r="AC4582">
        <v>-17.999199999999899</v>
      </c>
      <c r="AD4582">
        <v>-1.116314021829</v>
      </c>
      <c r="AE4582">
        <v>-4.5296000000000101</v>
      </c>
      <c r="AF4582">
        <v>-2.9123590545050502</v>
      </c>
      <c r="AG4582">
        <v>-1.116314021829</v>
      </c>
      <c r="AH4582">
        <v>18.262743118324099</v>
      </c>
      <c r="AI4582">
        <v>93.454325126626799</v>
      </c>
      <c r="AJ4582">
        <v>99.060663889829101</v>
      </c>
      <c r="AK4582">
        <v>18.527163260024</v>
      </c>
      <c r="AL4582">
        <v>77.918115118938204</v>
      </c>
      <c r="AM4582">
        <v>96.696005174994497</v>
      </c>
      <c r="AN4582">
        <v>0.99999996081326903</v>
      </c>
    </row>
    <row r="4583" spans="1:40" x14ac:dyDescent="0.25">
      <c r="A4583" t="str">
        <f>"20190312172503376"</f>
        <v>20190312172503376</v>
      </c>
      <c r="B4583" t="str">
        <f>"1552382703364664"</f>
        <v>1552382703364664</v>
      </c>
      <c r="C4583" t="s">
        <v>40</v>
      </c>
      <c r="D4583">
        <v>3.8250760000000001</v>
      </c>
      <c r="E4583">
        <v>0.4827861</v>
      </c>
      <c r="F4583" t="s">
        <v>49</v>
      </c>
      <c r="G4583">
        <v>-411.81920000000002</v>
      </c>
      <c r="H4583" s="1">
        <v>-8.9011720000000005E-6</v>
      </c>
      <c r="I4583">
        <v>135.9271</v>
      </c>
      <c r="J4583">
        <v>-393.80220000000003</v>
      </c>
      <c r="K4583">
        <v>1.116716</v>
      </c>
      <c r="L4583">
        <v>140.5933</v>
      </c>
      <c r="M4583">
        <v>-0.99543119999999996</v>
      </c>
      <c r="N4583">
        <v>0</v>
      </c>
      <c r="O4583">
        <v>-9.4217720000000005E-2</v>
      </c>
      <c r="P4583">
        <v>-0.95905320000000005</v>
      </c>
      <c r="Q4583">
        <v>0.19597890000000001</v>
      </c>
      <c r="R4583">
        <v>-0.20447509999999999</v>
      </c>
      <c r="S4583">
        <v>-3.0032649999999999</v>
      </c>
      <c r="T4583">
        <v>-0.1814808</v>
      </c>
      <c r="U4583">
        <v>-0.76576230000000001</v>
      </c>
      <c r="V4583">
        <v>-0.11651930000000001</v>
      </c>
      <c r="W4583">
        <v>0.20922689999999999</v>
      </c>
      <c r="X4583">
        <v>0.97090030000000005</v>
      </c>
      <c r="Y4583">
        <v>-0.15456149999999999</v>
      </c>
      <c r="Z4583">
        <v>9.8445689999999996E-4</v>
      </c>
      <c r="AA4583">
        <v>0.98798269999999999</v>
      </c>
      <c r="AB4583">
        <v>47</v>
      </c>
      <c r="AC4583">
        <v>-18.016999999999999</v>
      </c>
      <c r="AD4583">
        <v>-1.116724901172</v>
      </c>
      <c r="AE4583">
        <v>-4.6661999999999999</v>
      </c>
      <c r="AF4583">
        <v>-2.9371393481942101</v>
      </c>
      <c r="AG4583">
        <v>-1.116724901172</v>
      </c>
      <c r="AH4583">
        <v>18.310602935044901</v>
      </c>
      <c r="AI4583">
        <v>93.446081009290694</v>
      </c>
      <c r="AJ4583">
        <v>99.112983690135906</v>
      </c>
      <c r="AK4583">
        <v>18.578268000556001</v>
      </c>
      <c r="AL4583">
        <v>77.922949750455501</v>
      </c>
      <c r="AM4583">
        <v>96.843428698499395</v>
      </c>
      <c r="AN4583">
        <v>1.0000000177480901</v>
      </c>
    </row>
    <row r="4584" spans="1:40" x14ac:dyDescent="0.25">
      <c r="A4584" t="str">
        <f>"20190312172503409"</f>
        <v>20190312172503409</v>
      </c>
      <c r="B4584" t="str">
        <f>"1552382703404682"</f>
        <v>1552382703404682</v>
      </c>
      <c r="C4584" t="s">
        <v>40</v>
      </c>
      <c r="D4584">
        <v>3.884458</v>
      </c>
      <c r="E4584">
        <v>0.48311110000000002</v>
      </c>
      <c r="F4584" t="s">
        <v>49</v>
      </c>
      <c r="G4584">
        <v>-412.24529999999999</v>
      </c>
      <c r="H4584" s="1">
        <v>-8.7791390000000004E-6</v>
      </c>
      <c r="I4584">
        <v>135.7336</v>
      </c>
      <c r="J4584">
        <v>-394.48649999999998</v>
      </c>
      <c r="K4584">
        <v>1.117337</v>
      </c>
      <c r="L4584">
        <v>140.52160000000001</v>
      </c>
      <c r="M4584">
        <v>-0.99449730000000003</v>
      </c>
      <c r="N4584">
        <v>0</v>
      </c>
      <c r="O4584">
        <v>-0.10351879999999999</v>
      </c>
      <c r="P4584">
        <v>-0.956951</v>
      </c>
      <c r="Q4584">
        <v>0.19442719999999999</v>
      </c>
      <c r="R4584">
        <v>-0.21550620000000001</v>
      </c>
      <c r="S4584">
        <v>-2.9967959999999998</v>
      </c>
      <c r="T4584">
        <v>-0.18145549999999999</v>
      </c>
      <c r="U4584">
        <v>-0.78965759999999996</v>
      </c>
      <c r="V4584">
        <v>-0.1188427</v>
      </c>
      <c r="W4584">
        <v>0.2080806</v>
      </c>
      <c r="X4584">
        <v>0.97086499999999998</v>
      </c>
      <c r="Y4584">
        <v>-0.15323399999999901</v>
      </c>
      <c r="Z4584">
        <v>1.5721750000000001E-3</v>
      </c>
      <c r="AA4584">
        <v>0.98818870000000003</v>
      </c>
      <c r="AB4584">
        <v>47</v>
      </c>
      <c r="AC4584">
        <v>-17.758800000000001</v>
      </c>
      <c r="AD4584">
        <v>-1.117345779139</v>
      </c>
      <c r="AE4584">
        <v>-4.78800000000001</v>
      </c>
      <c r="AF4584">
        <v>-2.9129122066214501</v>
      </c>
      <c r="AG4584">
        <v>-1.117345779139</v>
      </c>
      <c r="AH4584">
        <v>18.092310383149801</v>
      </c>
      <c r="AI4584">
        <v>93.489166717189605</v>
      </c>
      <c r="AJ4584">
        <v>99.1462888760894</v>
      </c>
      <c r="AK4584">
        <v>18.359335884336101</v>
      </c>
      <c r="AL4584">
        <v>77.990105654978095</v>
      </c>
      <c r="AM4584">
        <v>96.978805585203503</v>
      </c>
      <c r="AN4584">
        <v>0.99999998583232497</v>
      </c>
    </row>
    <row r="4585" spans="1:40" x14ac:dyDescent="0.25">
      <c r="A4585" t="str">
        <f>"20190312172503432"</f>
        <v>20190312172503432</v>
      </c>
      <c r="B4585" t="str">
        <f>"1552382703425175"</f>
        <v>1552382703425175</v>
      </c>
      <c r="C4585" t="s">
        <v>40</v>
      </c>
      <c r="D4585">
        <v>3.8532150000000001</v>
      </c>
      <c r="E4585">
        <v>0.48344199999999998</v>
      </c>
      <c r="F4585" t="s">
        <v>49</v>
      </c>
      <c r="G4585">
        <v>-412.40100000000001</v>
      </c>
      <c r="H4585" s="1">
        <v>-8.7055059999999997E-6</v>
      </c>
      <c r="I4585">
        <v>135.59639999999999</v>
      </c>
      <c r="J4585">
        <v>-394.95679999999999</v>
      </c>
      <c r="K4585">
        <v>1.1177629999999901</v>
      </c>
      <c r="L4585">
        <v>140.4683</v>
      </c>
      <c r="M4585">
        <v>-0.99377439999999995</v>
      </c>
      <c r="N4585">
        <v>0</v>
      </c>
      <c r="O4585">
        <v>-0.110172699999999</v>
      </c>
      <c r="P4585">
        <v>-0.95529810000000004</v>
      </c>
      <c r="Q4585">
        <v>0.1938773</v>
      </c>
      <c r="R4585">
        <v>-0.22319829999999999</v>
      </c>
      <c r="S4585">
        <v>-2.9877929999999999</v>
      </c>
      <c r="T4585">
        <v>-0.1863515</v>
      </c>
      <c r="U4585">
        <v>-0.8214264</v>
      </c>
      <c r="V4585">
        <v>-0.1203227</v>
      </c>
      <c r="W4585">
        <v>0.2078642</v>
      </c>
      <c r="X4585">
        <v>0.97072910000000001</v>
      </c>
      <c r="Y4585">
        <v>-0.157146799999999</v>
      </c>
      <c r="Z4585">
        <v>1.8989709999999999E-3</v>
      </c>
      <c r="AA4585">
        <v>0.98757340000000005</v>
      </c>
      <c r="AB4585">
        <v>47</v>
      </c>
      <c r="AC4585">
        <v>-17.444199999999999</v>
      </c>
      <c r="AD4585">
        <v>-1.1177717055059999</v>
      </c>
      <c r="AE4585">
        <v>-4.8719000000000099</v>
      </c>
      <c r="AF4585">
        <v>-2.909015789648</v>
      </c>
      <c r="AG4585">
        <v>-1.1177717055059999</v>
      </c>
      <c r="AH4585">
        <v>17.806979734496402</v>
      </c>
      <c r="AI4585">
        <v>93.544962383497406</v>
      </c>
      <c r="AJ4585">
        <v>99.278098184783403</v>
      </c>
      <c r="AK4585">
        <v>18.077619138448998</v>
      </c>
      <c r="AL4585">
        <v>78.002782184100695</v>
      </c>
      <c r="AM4585">
        <v>97.065821827884207</v>
      </c>
      <c r="AN4585">
        <v>1.00000003168186</v>
      </c>
    </row>
    <row r="4586" spans="1:40" x14ac:dyDescent="0.25">
      <c r="A4586" t="str">
        <f>"20190312172503465"</f>
        <v>20190312172503465</v>
      </c>
      <c r="B4586" t="str">
        <f>"1552382703454876"</f>
        <v>1552382703454876</v>
      </c>
      <c r="C4586" t="s">
        <v>40</v>
      </c>
      <c r="D4586">
        <v>3.8850470000000001</v>
      </c>
      <c r="E4586">
        <v>0.48389739999999998</v>
      </c>
      <c r="F4586" t="s">
        <v>49</v>
      </c>
      <c r="G4586">
        <v>-412.52659999999997</v>
      </c>
      <c r="H4586" s="1">
        <v>-8.6534719999999995E-6</v>
      </c>
      <c r="I4586">
        <v>135.5026</v>
      </c>
      <c r="J4586">
        <v>-395.63670000000002</v>
      </c>
      <c r="K4586">
        <v>1.1183350000000001</v>
      </c>
      <c r="L4586">
        <v>140.3852</v>
      </c>
      <c r="M4586">
        <v>-0.99260530000000002</v>
      </c>
      <c r="N4586">
        <v>0</v>
      </c>
      <c r="O4586">
        <v>-0.1201542</v>
      </c>
      <c r="P4586">
        <v>-0.95255590000000001</v>
      </c>
      <c r="Q4586">
        <v>0.19414380000000001</v>
      </c>
      <c r="R4586">
        <v>-0.23440469999999999</v>
      </c>
      <c r="S4586">
        <v>-2.9819640000000001</v>
      </c>
      <c r="T4586">
        <v>-0.1897104</v>
      </c>
      <c r="U4586">
        <v>-0.84278869999999895</v>
      </c>
      <c r="V4586">
        <v>-0.12224699999999999</v>
      </c>
      <c r="W4586">
        <v>0.20861689999999999</v>
      </c>
      <c r="X4586">
        <v>0.9703271</v>
      </c>
      <c r="Y4586">
        <v>-0.15429760000000001</v>
      </c>
      <c r="Z4586">
        <v>2.6374300000000001E-3</v>
      </c>
      <c r="AA4586">
        <v>0.98802089999999998</v>
      </c>
      <c r="AB4586">
        <v>47</v>
      </c>
      <c r="AC4586">
        <v>-16.889899999999901</v>
      </c>
      <c r="AD4586">
        <v>-1.1183436534719999</v>
      </c>
      <c r="AE4586">
        <v>-4.8825999999999903</v>
      </c>
      <c r="AF4586">
        <v>-2.8061675032148998</v>
      </c>
      <c r="AG4586">
        <v>-1.1183436534719999</v>
      </c>
      <c r="AH4586">
        <v>17.284317850469701</v>
      </c>
      <c r="AI4586">
        <v>93.654320657328597</v>
      </c>
      <c r="AJ4586">
        <v>99.221701726533098</v>
      </c>
      <c r="AK4586">
        <v>17.5463076497429</v>
      </c>
      <c r="AL4586">
        <v>77.958688765983098</v>
      </c>
      <c r="AM4586">
        <v>97.180597467556893</v>
      </c>
      <c r="AN4586">
        <v>1.0000000104845099</v>
      </c>
    </row>
    <row r="4587" spans="1:40" x14ac:dyDescent="0.25">
      <c r="A4587" t="str">
        <f>"20190312172503488"</f>
        <v>20190312172503488</v>
      </c>
      <c r="B4587" t="str">
        <f>"1552382703485133"</f>
        <v>1552382703485133</v>
      </c>
      <c r="C4587" t="s">
        <v>40</v>
      </c>
      <c r="D4587">
        <v>3.8084699999999998</v>
      </c>
      <c r="E4587">
        <v>0.45627590000000001</v>
      </c>
      <c r="F4587" t="s">
        <v>49</v>
      </c>
      <c r="G4587">
        <v>-413.11110000000002</v>
      </c>
      <c r="H4587" s="1">
        <v>-8.4897180000000003E-6</v>
      </c>
      <c r="I4587">
        <v>135.24539999999999</v>
      </c>
      <c r="J4587">
        <v>-396.09809999999999</v>
      </c>
      <c r="K4587">
        <v>1.118692</v>
      </c>
      <c r="L4587">
        <v>140.32429999999999</v>
      </c>
      <c r="M4587">
        <v>-0.99171670000000001</v>
      </c>
      <c r="N4587">
        <v>0</v>
      </c>
      <c r="O4587">
        <v>-0.1272199</v>
      </c>
      <c r="P4587">
        <v>-0.95062990000000003</v>
      </c>
      <c r="Q4587">
        <v>0.19420699999999999</v>
      </c>
      <c r="R4587">
        <v>-0.2420474</v>
      </c>
      <c r="S4587">
        <v>-2.9730219999999998</v>
      </c>
      <c r="T4587">
        <v>-0.1902711</v>
      </c>
      <c r="U4587">
        <v>-0.87446590000000002</v>
      </c>
      <c r="V4587">
        <v>-0.1233026</v>
      </c>
      <c r="W4587">
        <v>0.20899970000000001</v>
      </c>
      <c r="X4587">
        <v>0.9701111</v>
      </c>
      <c r="Y4587">
        <v>-0.15775989999999901</v>
      </c>
      <c r="Z4587">
        <v>2.975494E-3</v>
      </c>
      <c r="AA4587">
        <v>0.98747300000000005</v>
      </c>
      <c r="AB4587">
        <v>47</v>
      </c>
      <c r="AC4587">
        <v>-17.013000000000002</v>
      </c>
      <c r="AD4587">
        <v>-1.118700489718</v>
      </c>
      <c r="AE4587">
        <v>-5.0789</v>
      </c>
      <c r="AF4587">
        <v>-2.8615273034362199</v>
      </c>
      <c r="AG4587">
        <v>-1.118700489718</v>
      </c>
      <c r="AH4587">
        <v>17.4516732967666</v>
      </c>
      <c r="AI4587">
        <v>93.619595533991301</v>
      </c>
      <c r="AJ4587">
        <v>99.311849700458694</v>
      </c>
      <c r="AK4587">
        <v>17.720065749062002</v>
      </c>
      <c r="AL4587">
        <v>77.936261148211599</v>
      </c>
      <c r="AM4587">
        <v>97.243541584367705</v>
      </c>
      <c r="AN4587">
        <v>0.99999997605502899</v>
      </c>
    </row>
    <row r="4588" spans="1:40" x14ac:dyDescent="0.25">
      <c r="A4588" t="str">
        <f>"20190312172503510"</f>
        <v>20190312172503510</v>
      </c>
      <c r="B4588" t="str">
        <f>"1552382703504656"</f>
        <v>1552382703504656</v>
      </c>
      <c r="C4588" t="s">
        <v>40</v>
      </c>
      <c r="D4588">
        <v>3.9970780000000001</v>
      </c>
      <c r="E4588">
        <v>0.4516753</v>
      </c>
      <c r="F4588" t="s">
        <v>49</v>
      </c>
      <c r="G4588">
        <v>-411.35919999999999</v>
      </c>
      <c r="H4588" s="1">
        <v>-8.3179509999999999E-6</v>
      </c>
      <c r="I4588">
        <v>134.50040000000001</v>
      </c>
      <c r="J4588">
        <v>-396.55549999999999</v>
      </c>
      <c r="K4588">
        <v>1.119016</v>
      </c>
      <c r="L4588">
        <v>140.2604</v>
      </c>
      <c r="M4588">
        <v>-0.99075429999999998</v>
      </c>
      <c r="N4588">
        <v>0</v>
      </c>
      <c r="O4588">
        <v>-0.1344514</v>
      </c>
      <c r="P4588">
        <v>-0.94873739999999995</v>
      </c>
      <c r="Q4588">
        <v>0.1939081</v>
      </c>
      <c r="R4588">
        <v>-0.24959419999999999</v>
      </c>
      <c r="S4588">
        <v>-2.9161380000000001</v>
      </c>
      <c r="T4588">
        <v>-0.2137638</v>
      </c>
      <c r="U4588">
        <v>-1.112854</v>
      </c>
      <c r="V4588">
        <v>-0.12407269999999899</v>
      </c>
      <c r="W4588">
        <v>0.2090217</v>
      </c>
      <c r="X4588">
        <v>0.97000819999999999</v>
      </c>
      <c r="Y4588">
        <v>-0.2274484</v>
      </c>
      <c r="Z4588">
        <v>1.3876820000000001E-3</v>
      </c>
      <c r="AA4588">
        <v>0.97378920000000002</v>
      </c>
      <c r="AB4588">
        <v>46</v>
      </c>
      <c r="AC4588">
        <v>-14.8036999999999</v>
      </c>
      <c r="AD4588">
        <v>-1.119024317951</v>
      </c>
      <c r="AE4588">
        <v>-5.75999999999999</v>
      </c>
      <c r="AF4588">
        <v>-3.69862255365623</v>
      </c>
      <c r="AG4588">
        <v>-1.119024317951</v>
      </c>
      <c r="AH4588">
        <v>15.367544190018799</v>
      </c>
      <c r="AI4588">
        <v>94.0495438991707</v>
      </c>
      <c r="AJ4588">
        <v>103.53243292761999</v>
      </c>
      <c r="AK4588">
        <v>15.845928141032401</v>
      </c>
      <c r="AL4588">
        <v>77.934972550979296</v>
      </c>
      <c r="AM4588">
        <v>97.289061798882898</v>
      </c>
      <c r="AN4588">
        <v>1.0000000070117001</v>
      </c>
    </row>
    <row r="4589" spans="1:40" x14ac:dyDescent="0.25">
      <c r="A4589" t="str">
        <f>"20190312172503533"</f>
        <v>20190312172503533</v>
      </c>
      <c r="B4589" t="str">
        <f>"1552382703525149"</f>
        <v>1552382703525149</v>
      </c>
      <c r="C4589" t="s">
        <v>40</v>
      </c>
      <c r="D4589">
        <v>3.7955040000000002</v>
      </c>
      <c r="E4589">
        <v>0.45087339999999998</v>
      </c>
      <c r="F4589" t="s">
        <v>49</v>
      </c>
      <c r="G4589">
        <v>-411.67930000000001</v>
      </c>
      <c r="H4589" s="1">
        <v>-8.1334090000000004E-6</v>
      </c>
      <c r="I4589">
        <v>134.14250000000001</v>
      </c>
      <c r="J4589">
        <v>-397.02080000000001</v>
      </c>
      <c r="K4589">
        <v>1.119313</v>
      </c>
      <c r="L4589">
        <v>140.1917</v>
      </c>
      <c r="M4589">
        <v>-0.98968149999999999</v>
      </c>
      <c r="N4589">
        <v>0</v>
      </c>
      <c r="O4589">
        <v>-0.14207939999999999</v>
      </c>
      <c r="P4589">
        <v>-0.9468858</v>
      </c>
      <c r="Q4589">
        <v>0.19311600000000001</v>
      </c>
      <c r="R4589">
        <v>-0.25712610000000002</v>
      </c>
      <c r="S4589">
        <v>-2.8975520000000001</v>
      </c>
      <c r="T4589">
        <v>-0.2143929</v>
      </c>
      <c r="U4589">
        <v>-1.1721189999999999</v>
      </c>
      <c r="V4589">
        <v>-0.1244141</v>
      </c>
      <c r="W4589">
        <v>0.20855679999999999</v>
      </c>
      <c r="X4589">
        <v>0.9700645</v>
      </c>
      <c r="Y4589">
        <v>-0.23923440000000001</v>
      </c>
      <c r="Z4589">
        <v>1.504247E-3</v>
      </c>
      <c r="AA4589">
        <v>0.97096070000000001</v>
      </c>
      <c r="AB4589">
        <v>46</v>
      </c>
      <c r="AC4589">
        <v>-14.6585</v>
      </c>
      <c r="AD4589">
        <v>-1.1193211334090001</v>
      </c>
      <c r="AE4589">
        <v>-6.0491999999999804</v>
      </c>
      <c r="AF4589">
        <v>-3.8854235943850299</v>
      </c>
      <c r="AG4589">
        <v>-1.1193211334090001</v>
      </c>
      <c r="AH4589">
        <v>15.2931608879588</v>
      </c>
      <c r="AI4589">
        <v>94.057612624733395</v>
      </c>
      <c r="AJ4589">
        <v>104.255122561243</v>
      </c>
      <c r="AK4589">
        <v>15.8186651223323</v>
      </c>
      <c r="AL4589">
        <v>77.962209202141096</v>
      </c>
      <c r="AM4589">
        <v>97.308482285478803</v>
      </c>
      <c r="AN4589">
        <v>0.999999970632649</v>
      </c>
    </row>
    <row r="4590" spans="1:40" x14ac:dyDescent="0.25">
      <c r="A4590" t="str">
        <f>"20190312172503554"</f>
        <v>20190312172503554</v>
      </c>
      <c r="B4590" t="str">
        <f>"1552382703545176"</f>
        <v>1552382703545176</v>
      </c>
      <c r="C4590" t="s">
        <v>40</v>
      </c>
      <c r="D4590">
        <v>3.766721</v>
      </c>
      <c r="E4590">
        <v>0.45073279999999899</v>
      </c>
      <c r="F4590" t="s">
        <v>49</v>
      </c>
      <c r="G4590">
        <v>-411.95280000000002</v>
      </c>
      <c r="H4590" s="1">
        <v>-8.0365459999999992E-6</v>
      </c>
      <c r="I4590">
        <v>133.9759</v>
      </c>
      <c r="J4590">
        <v>-397.46269999999998</v>
      </c>
      <c r="K4590">
        <v>1.1195839999999999</v>
      </c>
      <c r="L4590">
        <v>140.12280000000001</v>
      </c>
      <c r="M4590">
        <v>-0.98856379999999999</v>
      </c>
      <c r="N4590">
        <v>0</v>
      </c>
      <c r="O4590">
        <v>-0.14960970000000001</v>
      </c>
      <c r="P4590">
        <v>-0.94499379999999999</v>
      </c>
      <c r="Q4590">
        <v>0.19228229999999999</v>
      </c>
      <c r="R4590">
        <v>-0.26460230000000001</v>
      </c>
      <c r="S4590">
        <v>-2.8861690000000002</v>
      </c>
      <c r="T4590">
        <v>-0.21635019999999999</v>
      </c>
      <c r="U4590">
        <v>-1.2014309999999999</v>
      </c>
      <c r="V4590">
        <v>-0.1247878</v>
      </c>
      <c r="W4590">
        <v>0.2080158</v>
      </c>
      <c r="X4590">
        <v>0.97013269999999996</v>
      </c>
      <c r="Y4590">
        <v>-0.24161389999999999</v>
      </c>
      <c r="Z4590">
        <v>1.9626299999999999E-3</v>
      </c>
      <c r="AA4590">
        <v>0.97037050000000002</v>
      </c>
      <c r="AB4590">
        <v>46</v>
      </c>
      <c r="AC4590">
        <v>-14.4901</v>
      </c>
      <c r="AD4590">
        <v>-1.1195920365459999</v>
      </c>
      <c r="AE4590">
        <v>-6.1469000000000102</v>
      </c>
      <c r="AF4590">
        <v>-3.8897638454683299</v>
      </c>
      <c r="AG4590">
        <v>-1.1195920365459999</v>
      </c>
      <c r="AH4590">
        <v>15.1700046412696</v>
      </c>
      <c r="AI4590">
        <v>94.089134995848994</v>
      </c>
      <c r="AJ4590">
        <v>104.38146215810499</v>
      </c>
      <c r="AK4590">
        <v>15.700725776789801</v>
      </c>
      <c r="AL4590">
        <v>77.993901796548599</v>
      </c>
      <c r="AM4590">
        <v>97.3296865084708</v>
      </c>
      <c r="AN4590">
        <v>1.0000000118438801</v>
      </c>
    </row>
    <row r="4591" spans="1:40" x14ac:dyDescent="0.25">
      <c r="A4591" t="str">
        <f>"20190312172503577"</f>
        <v>20190312172503577</v>
      </c>
      <c r="B4591" t="str">
        <f>"1552382703564695"</f>
        <v>1552382703564695</v>
      </c>
      <c r="C4591" t="s">
        <v>40</v>
      </c>
      <c r="D4591">
        <v>3.7557049999999998</v>
      </c>
      <c r="E4591">
        <v>0.4511095</v>
      </c>
      <c r="F4591" t="s">
        <v>49</v>
      </c>
      <c r="G4591">
        <v>-412.2835</v>
      </c>
      <c r="H4591" s="1">
        <v>-7.9341499999999992E-6</v>
      </c>
      <c r="I4591">
        <v>133.8081</v>
      </c>
      <c r="J4591">
        <v>-397.90050000000002</v>
      </c>
      <c r="K4591">
        <v>1.119853</v>
      </c>
      <c r="L4591">
        <v>140.05090000000001</v>
      </c>
      <c r="M4591">
        <v>-0.98735200000000001</v>
      </c>
      <c r="N4591">
        <v>0</v>
      </c>
      <c r="O4591">
        <v>-0.15736620000000001</v>
      </c>
      <c r="P4591">
        <v>-0.94321120000000003</v>
      </c>
      <c r="Q4591">
        <v>0.19031190000000001</v>
      </c>
      <c r="R4591">
        <v>-0.27227610000000002</v>
      </c>
      <c r="S4591">
        <v>-2.8757320000000002</v>
      </c>
      <c r="T4591">
        <v>-0.21723819999999999</v>
      </c>
      <c r="U4591">
        <v>-1.225266</v>
      </c>
      <c r="V4591">
        <v>-0.1250868</v>
      </c>
      <c r="W4591">
        <v>0.20631769999999999</v>
      </c>
      <c r="X4591">
        <v>0.97045669999999995</v>
      </c>
      <c r="Y4591">
        <v>-0.24208569999999999</v>
      </c>
      <c r="Z4591">
        <v>2.5028060000000002E-3</v>
      </c>
      <c r="AA4591">
        <v>0.97025159999999999</v>
      </c>
      <c r="AB4591">
        <v>46</v>
      </c>
      <c r="AC4591">
        <v>-14.3829999999999</v>
      </c>
      <c r="AD4591">
        <v>-1.1198609341500001</v>
      </c>
      <c r="AE4591">
        <v>-6.2428000000000097</v>
      </c>
      <c r="AF4591">
        <v>-3.8813689862688001</v>
      </c>
      <c r="AG4591">
        <v>-1.1198609341500001</v>
      </c>
      <c r="AH4591">
        <v>15.1092389239871</v>
      </c>
      <c r="AI4591">
        <v>94.1060384062461</v>
      </c>
      <c r="AJ4591">
        <v>104.40702880446599</v>
      </c>
      <c r="AK4591">
        <v>15.6399557090655</v>
      </c>
      <c r="AL4591">
        <v>78.093352606483506</v>
      </c>
      <c r="AM4591">
        <v>97.344631144140706</v>
      </c>
      <c r="AN4591">
        <v>0.99999995372120798</v>
      </c>
    </row>
    <row r="4592" spans="1:40" x14ac:dyDescent="0.25">
      <c r="A4592" t="str">
        <f>"20190312172503599"</f>
        <v>20190312172503599</v>
      </c>
      <c r="B4592" t="str">
        <f>"1552382703594951"</f>
        <v>1552382703594951</v>
      </c>
      <c r="C4592" t="s">
        <v>40</v>
      </c>
      <c r="D4592">
        <v>3.7352270000000001</v>
      </c>
      <c r="E4592">
        <v>0.45193509999999998</v>
      </c>
      <c r="F4592" t="s">
        <v>49</v>
      </c>
      <c r="G4592">
        <v>-412.14440000000002</v>
      </c>
      <c r="H4592" s="1">
        <v>-7.9698899999999905E-6</v>
      </c>
      <c r="I4592">
        <v>133.86189999999999</v>
      </c>
      <c r="J4592">
        <v>-398.36090000000002</v>
      </c>
      <c r="K4592">
        <v>1.120142</v>
      </c>
      <c r="L4592">
        <v>139.97130000000001</v>
      </c>
      <c r="M4592">
        <v>-0.98595540000000004</v>
      </c>
      <c r="N4592">
        <v>0</v>
      </c>
      <c r="O4592">
        <v>-0.16584989999999999</v>
      </c>
      <c r="P4592">
        <v>-0.94109259999999995</v>
      </c>
      <c r="Q4592">
        <v>0.18871209999999999</v>
      </c>
      <c r="R4592">
        <v>-0.2805935</v>
      </c>
      <c r="S4592">
        <v>-2.8665470000000002</v>
      </c>
      <c r="T4592">
        <v>-0.22536970000000001</v>
      </c>
      <c r="U4592">
        <v>-1.2455290000000001</v>
      </c>
      <c r="V4592">
        <v>-0.12536729999999999</v>
      </c>
      <c r="W4592">
        <v>0.2049734</v>
      </c>
      <c r="X4592">
        <v>0.97070540000000005</v>
      </c>
      <c r="Y4592">
        <v>-0.24065639999999999</v>
      </c>
      <c r="Z4592">
        <v>3.2731150000000001E-3</v>
      </c>
      <c r="AA4592">
        <v>0.97060480000000005</v>
      </c>
      <c r="AB4592">
        <v>46</v>
      </c>
      <c r="AC4592">
        <v>-13.7835</v>
      </c>
      <c r="AD4592">
        <v>-1.1201499698899999</v>
      </c>
      <c r="AE4592">
        <v>-6.1094000000000204</v>
      </c>
      <c r="AF4592">
        <v>-3.71780288651432</v>
      </c>
      <c r="AG4592">
        <v>-1.1201499698899999</v>
      </c>
      <c r="AH4592">
        <v>14.525795562618599</v>
      </c>
      <c r="AI4592">
        <v>94.272426222916806</v>
      </c>
      <c r="AJ4592">
        <v>104.356372175674</v>
      </c>
      <c r="AK4592">
        <v>15.035808291708401</v>
      </c>
      <c r="AL4592">
        <v>78.172058254388901</v>
      </c>
      <c r="AM4592">
        <v>97.359055397454895</v>
      </c>
      <c r="AN4592">
        <v>1.0000000141030001</v>
      </c>
    </row>
    <row r="4593" spans="1:40" x14ac:dyDescent="0.25">
      <c r="A4593" t="str">
        <f>"20190312172503622"</f>
        <v>20190312172503622</v>
      </c>
      <c r="B4593" t="str">
        <f>"1552382703615447"</f>
        <v>1552382703615447</v>
      </c>
      <c r="C4593" t="s">
        <v>40</v>
      </c>
      <c r="D4593">
        <v>3.9669430000000001</v>
      </c>
      <c r="E4593">
        <v>0.4527331</v>
      </c>
      <c r="F4593" t="s">
        <v>49</v>
      </c>
      <c r="G4593">
        <v>-412.13639999999998</v>
      </c>
      <c r="H4593" s="1">
        <v>-7.9763140000000001E-6</v>
      </c>
      <c r="I4593">
        <v>133.875</v>
      </c>
      <c r="J4593">
        <v>-398.7946</v>
      </c>
      <c r="K4593">
        <v>1.1204160000000001</v>
      </c>
      <c r="L4593">
        <v>139.89240000000001</v>
      </c>
      <c r="M4593">
        <v>-0.98451239999999995</v>
      </c>
      <c r="N4593">
        <v>0</v>
      </c>
      <c r="O4593">
        <v>-0.17417669999999999</v>
      </c>
      <c r="P4593">
        <v>-0.93853719999999996</v>
      </c>
      <c r="Q4593">
        <v>0.1883678</v>
      </c>
      <c r="R4593">
        <v>-0.28924949999999999</v>
      </c>
      <c r="S4593">
        <v>-2.857361</v>
      </c>
      <c r="T4593">
        <v>-0.23234469999999999</v>
      </c>
      <c r="U4593">
        <v>-1.264526</v>
      </c>
      <c r="V4593">
        <v>-0.12622719999999901</v>
      </c>
      <c r="W4593">
        <v>0.20482030000000001</v>
      </c>
      <c r="X4593">
        <v>0.97062630000000005</v>
      </c>
      <c r="Y4593">
        <v>-0.2390159</v>
      </c>
      <c r="Z4593">
        <v>4.0691920000000001E-3</v>
      </c>
      <c r="AA4593">
        <v>0.97100710000000001</v>
      </c>
      <c r="AB4593">
        <v>46</v>
      </c>
      <c r="AC4593">
        <v>-13.3417999999999</v>
      </c>
      <c r="AD4593">
        <v>-1.120423976314</v>
      </c>
      <c r="AE4593">
        <v>-6.0174000000000003</v>
      </c>
      <c r="AF4593">
        <v>-3.5801100657079798</v>
      </c>
      <c r="AG4593">
        <v>-1.120423976314</v>
      </c>
      <c r="AH4593">
        <v>14.103430118659</v>
      </c>
      <c r="AI4593">
        <v>94.403154393500202</v>
      </c>
      <c r="AJ4593">
        <v>104.243493297325</v>
      </c>
      <c r="AK4593">
        <v>14.5938096150793</v>
      </c>
      <c r="AL4593">
        <v>78.181020666355593</v>
      </c>
      <c r="AM4593">
        <v>97.409569638976905</v>
      </c>
      <c r="AN4593">
        <v>1.0000000377817999</v>
      </c>
    </row>
    <row r="4594" spans="1:40" x14ac:dyDescent="0.25">
      <c r="A4594" t="str">
        <f>"20190312172503644"</f>
        <v>20190312172503644</v>
      </c>
      <c r="B4594" t="str">
        <f>"1552382703635477"</f>
        <v>1552382703635477</v>
      </c>
      <c r="C4594" t="s">
        <v>40</v>
      </c>
      <c r="D4594">
        <v>3.7265239999999999</v>
      </c>
      <c r="E4594">
        <v>0.45321090000000003</v>
      </c>
      <c r="F4594" t="s">
        <v>49</v>
      </c>
      <c r="G4594">
        <v>-412.47980000000001</v>
      </c>
      <c r="H4594" s="1">
        <v>-7.8770909999999999E-6</v>
      </c>
      <c r="I4594">
        <v>133.71700000000001</v>
      </c>
      <c r="J4594">
        <v>-399.2389</v>
      </c>
      <c r="K4594">
        <v>1.1207129999999901</v>
      </c>
      <c r="L4594">
        <v>139.80699999999999</v>
      </c>
      <c r="M4594">
        <v>-0.98289159999999998</v>
      </c>
      <c r="N4594">
        <v>0</v>
      </c>
      <c r="O4594">
        <v>-0.1830724</v>
      </c>
      <c r="P4594">
        <v>-0.93576930000000003</v>
      </c>
      <c r="Q4594">
        <v>0.18768460000000001</v>
      </c>
      <c r="R4594">
        <v>-0.298514</v>
      </c>
      <c r="S4594">
        <v>-2.8472900000000001</v>
      </c>
      <c r="T4594">
        <v>-0.2331116</v>
      </c>
      <c r="U4594">
        <v>-1.2848360000000001</v>
      </c>
      <c r="V4594">
        <v>-0.12715580000000001</v>
      </c>
      <c r="W4594">
        <v>0.20430119999999999</v>
      </c>
      <c r="X4594">
        <v>0.97061439999999999</v>
      </c>
      <c r="Y4594">
        <v>-0.23730100000000001</v>
      </c>
      <c r="Z4594">
        <v>4.8270830000000002E-3</v>
      </c>
      <c r="AA4594">
        <v>0.97142419999999996</v>
      </c>
      <c r="AB4594">
        <v>45</v>
      </c>
      <c r="AC4594">
        <v>-13.2409</v>
      </c>
      <c r="AD4594">
        <v>-1.12072087709099</v>
      </c>
      <c r="AE4594">
        <v>-6.09</v>
      </c>
      <c r="AF4594">
        <v>-3.5415525638666798</v>
      </c>
      <c r="AG4594">
        <v>-1.12072087709099</v>
      </c>
      <c r="AH4594">
        <v>14.0490930106726</v>
      </c>
      <c r="AI4594">
        <v>94.423129493274999</v>
      </c>
      <c r="AJ4594">
        <v>104.148572700684</v>
      </c>
      <c r="AK4594">
        <v>14.5318830255927</v>
      </c>
      <c r="AL4594">
        <v>78.211404322962295</v>
      </c>
      <c r="AM4594">
        <v>97.463556853322899</v>
      </c>
      <c r="AN4594">
        <v>0.99999994564121797</v>
      </c>
    </row>
    <row r="4595" spans="1:40" x14ac:dyDescent="0.25">
      <c r="A4595" t="str">
        <f>"20190312172503665"</f>
        <v>20190312172503665</v>
      </c>
      <c r="B4595" t="str">
        <f>"1552382703654995"</f>
        <v>1552382703654995</v>
      </c>
      <c r="C4595" t="s">
        <v>40</v>
      </c>
      <c r="D4595">
        <v>3.7487180000000002</v>
      </c>
      <c r="E4595">
        <v>0.45368530000000001</v>
      </c>
      <c r="F4595" t="s">
        <v>49</v>
      </c>
      <c r="G4595">
        <v>-412.79109999999997</v>
      </c>
      <c r="H4595" s="1">
        <v>-7.7759660000000001E-6</v>
      </c>
      <c r="I4595">
        <v>133.54820000000001</v>
      </c>
      <c r="J4595">
        <v>-399.66149999999999</v>
      </c>
      <c r="K4595">
        <v>1.120981</v>
      </c>
      <c r="L4595">
        <v>139.7218</v>
      </c>
      <c r="M4595">
        <v>-0.98121449999999999</v>
      </c>
      <c r="N4595">
        <v>0</v>
      </c>
      <c r="O4595">
        <v>-0.191832</v>
      </c>
      <c r="P4595">
        <v>-0.93297059999999998</v>
      </c>
      <c r="Q4595">
        <v>0.18711700000000001</v>
      </c>
      <c r="R4595">
        <v>-0.30749539999999997</v>
      </c>
      <c r="S4595">
        <v>-2.8352360000000001</v>
      </c>
      <c r="T4595">
        <v>-0.23446449999999999</v>
      </c>
      <c r="U4595">
        <v>-1.309402</v>
      </c>
      <c r="V4595">
        <v>-0.12793199999999999</v>
      </c>
      <c r="W4595">
        <v>0.2038722</v>
      </c>
      <c r="X4595">
        <v>0.97060259999999998</v>
      </c>
      <c r="Y4595">
        <v>-0.23716519999999999</v>
      </c>
      <c r="Z4595">
        <v>5.5333919999999998E-3</v>
      </c>
      <c r="AA4595">
        <v>0.97145360000000003</v>
      </c>
      <c r="AB4595">
        <v>45</v>
      </c>
      <c r="AC4595">
        <v>-13.1295999999999</v>
      </c>
      <c r="AD4595">
        <v>-1.120988775966</v>
      </c>
      <c r="AE4595">
        <v>-6.1735999999999898</v>
      </c>
      <c r="AF4595">
        <v>-3.5186839111911001</v>
      </c>
      <c r="AG4595">
        <v>-1.120988775966</v>
      </c>
      <c r="AH4595">
        <v>13.986696963889701</v>
      </c>
      <c r="AI4595">
        <v>94.444375504570402</v>
      </c>
      <c r="AJ4595">
        <v>104.121069855621</v>
      </c>
      <c r="AK4595">
        <v>14.466009963441801</v>
      </c>
      <c r="AL4595">
        <v>78.236512592909307</v>
      </c>
      <c r="AM4595">
        <v>97.508688758997707</v>
      </c>
      <c r="AN4595">
        <v>0.99999993884179805</v>
      </c>
    </row>
    <row r="4596" spans="1:40" x14ac:dyDescent="0.25">
      <c r="A4596" t="str">
        <f>"20190312172503689"</f>
        <v>20190312172503689</v>
      </c>
      <c r="B4596" t="str">
        <f>"1552382703685251"</f>
        <v>1552382703685251</v>
      </c>
      <c r="C4596" t="s">
        <v>40</v>
      </c>
      <c r="D4596">
        <v>3.7475149999999999</v>
      </c>
      <c r="E4596">
        <v>0.45448270000000002</v>
      </c>
      <c r="F4596" t="s">
        <v>49</v>
      </c>
      <c r="G4596">
        <v>-413.06720000000001</v>
      </c>
      <c r="H4596" s="1">
        <v>-7.681719E-6</v>
      </c>
      <c r="I4596">
        <v>133.38810000000001</v>
      </c>
      <c r="J4596">
        <v>-400.10300000000001</v>
      </c>
      <c r="K4596">
        <v>1.121251</v>
      </c>
      <c r="L4596">
        <v>139.6285</v>
      </c>
      <c r="M4596">
        <v>-0.97931029999999997</v>
      </c>
      <c r="N4596">
        <v>0</v>
      </c>
      <c r="O4596">
        <v>-0.20130429999999999</v>
      </c>
      <c r="P4596">
        <v>-0.92976159999999997</v>
      </c>
      <c r="Q4596">
        <v>0.1867569</v>
      </c>
      <c r="R4596">
        <v>-0.31727830000000001</v>
      </c>
      <c r="S4596">
        <v>-2.823242</v>
      </c>
      <c r="T4596">
        <v>-0.2360805</v>
      </c>
      <c r="U4596">
        <v>-1.333893</v>
      </c>
      <c r="V4596">
        <v>-0.12886800000000001</v>
      </c>
      <c r="W4596">
        <v>0.20362759999999999</v>
      </c>
      <c r="X4596">
        <v>0.97053020000000001</v>
      </c>
      <c r="Y4596">
        <v>-0.2362852</v>
      </c>
      <c r="Z4596">
        <v>6.3388430000000003E-3</v>
      </c>
      <c r="AA4596">
        <v>0.9716631</v>
      </c>
      <c r="AB4596">
        <v>45</v>
      </c>
      <c r="AC4596">
        <v>-12.9642</v>
      </c>
      <c r="AD4596">
        <v>-1.121258681719</v>
      </c>
      <c r="AE4596">
        <v>-6.2403999999999904</v>
      </c>
      <c r="AF4596">
        <v>-3.4811466922647498</v>
      </c>
      <c r="AG4596">
        <v>-1.121258681719</v>
      </c>
      <c r="AH4596">
        <v>13.870939810599999</v>
      </c>
      <c r="AI4596">
        <v>94.483029474108704</v>
      </c>
      <c r="AJ4596">
        <v>104.088371821335</v>
      </c>
      <c r="AK4596">
        <v>14.344984299527299</v>
      </c>
      <c r="AL4596">
        <v>78.250828331798402</v>
      </c>
      <c r="AM4596">
        <v>97.563549239903196</v>
      </c>
      <c r="AN4596">
        <v>1.0000000150088899</v>
      </c>
    </row>
    <row r="4597" spans="1:40" x14ac:dyDescent="0.25">
      <c r="A4597" t="str">
        <f>"20190312172503710"</f>
        <v>20190312172503710</v>
      </c>
      <c r="B4597" t="str">
        <f>"1552382703704774"</f>
        <v>1552382703704774</v>
      </c>
      <c r="C4597" t="s">
        <v>40</v>
      </c>
      <c r="D4597">
        <v>3.75841</v>
      </c>
      <c r="E4597">
        <v>0.4638449</v>
      </c>
      <c r="F4597" t="s">
        <v>49</v>
      </c>
      <c r="G4597">
        <v>-413.44979999999998</v>
      </c>
      <c r="H4597" s="1">
        <v>-7.5588149999999997E-6</v>
      </c>
      <c r="I4597">
        <v>133.18379999999999</v>
      </c>
      <c r="J4597">
        <v>-400.53550000000001</v>
      </c>
      <c r="K4597">
        <v>1.121516</v>
      </c>
      <c r="L4597">
        <v>139.5326</v>
      </c>
      <c r="M4597">
        <v>-0.97728230000000005</v>
      </c>
      <c r="N4597">
        <v>0</v>
      </c>
      <c r="O4597">
        <v>-0.21090980000000001</v>
      </c>
      <c r="P4597">
        <v>-0.9265641</v>
      </c>
      <c r="Q4597">
        <v>0.1859896</v>
      </c>
      <c r="R4597">
        <v>-0.32693559999999999</v>
      </c>
      <c r="S4597">
        <v>-2.8109130000000002</v>
      </c>
      <c r="T4597">
        <v>-0.23614450000000001</v>
      </c>
      <c r="U4597">
        <v>-1.3573</v>
      </c>
      <c r="V4597">
        <v>-0.12952359999999999</v>
      </c>
      <c r="W4597">
        <v>0.20295859999999999</v>
      </c>
      <c r="X4597">
        <v>0.97058299999999997</v>
      </c>
      <c r="Y4597">
        <v>-0.23500090000000001</v>
      </c>
      <c r="Z4597">
        <v>7.1362489999999999E-3</v>
      </c>
      <c r="AA4597">
        <v>0.97196890000000002</v>
      </c>
      <c r="AB4597">
        <v>45</v>
      </c>
      <c r="AC4597">
        <v>-12.9142999999999</v>
      </c>
      <c r="AD4597">
        <v>-1.1215235588150001</v>
      </c>
      <c r="AE4597">
        <v>-6.3488000000000104</v>
      </c>
      <c r="AF4597">
        <v>-3.4605581668042</v>
      </c>
      <c r="AG4597">
        <v>-1.1215235588150001</v>
      </c>
      <c r="AH4597">
        <v>13.878690431952201</v>
      </c>
      <c r="AI4597">
        <v>94.483296606385593</v>
      </c>
      <c r="AJ4597">
        <v>104.000823977409</v>
      </c>
      <c r="AK4597">
        <v>14.3475198562251</v>
      </c>
      <c r="AL4597">
        <v>78.289976031690102</v>
      </c>
      <c r="AM4597">
        <v>97.601170337932999</v>
      </c>
      <c r="AN4597">
        <v>0.99999995807995901</v>
      </c>
    </row>
    <row r="4598" spans="1:40" x14ac:dyDescent="0.25">
      <c r="A4598" t="str">
        <f>"20190312172503734"</f>
        <v>20190312172503734</v>
      </c>
      <c r="B4598" t="str">
        <f>"1552382703725266"</f>
        <v>1552382703725266</v>
      </c>
      <c r="C4598" t="s">
        <v>40</v>
      </c>
      <c r="D4598">
        <v>3.8841299999999999</v>
      </c>
      <c r="E4598">
        <v>0.46372669999999999</v>
      </c>
      <c r="F4598" t="s">
        <v>49</v>
      </c>
      <c r="G4598">
        <v>-413.78109999999998</v>
      </c>
      <c r="H4598" s="1">
        <v>-7.6071730000000001E-6</v>
      </c>
      <c r="I4598">
        <v>133.3552</v>
      </c>
      <c r="J4598">
        <v>-400.97669999999999</v>
      </c>
      <c r="K4598">
        <v>1.1217859999999999</v>
      </c>
      <c r="L4598">
        <v>139.43</v>
      </c>
      <c r="M4598">
        <v>-0.97503390000000001</v>
      </c>
      <c r="N4598">
        <v>0</v>
      </c>
      <c r="O4598">
        <v>-0.22105379999999999</v>
      </c>
      <c r="P4598">
        <v>-0.92316469999999995</v>
      </c>
      <c r="Q4598">
        <v>0.18491779999999999</v>
      </c>
      <c r="R4598">
        <v>-0.337005</v>
      </c>
      <c r="S4598">
        <v>-2.8214419999999998</v>
      </c>
      <c r="T4598">
        <v>-0.2388942</v>
      </c>
      <c r="U4598">
        <v>-1.3158259999999999</v>
      </c>
      <c r="V4598">
        <v>-0.1300714</v>
      </c>
      <c r="W4598">
        <v>0.20196910000000001</v>
      </c>
      <c r="X4598">
        <v>0.97071620000000003</v>
      </c>
      <c r="Y4598">
        <v>-0.2118372</v>
      </c>
      <c r="Z4598">
        <v>8.9353360000000003E-3</v>
      </c>
      <c r="AA4598">
        <v>0.97726409999999997</v>
      </c>
      <c r="AB4598">
        <v>45</v>
      </c>
      <c r="AC4598">
        <v>-12.8043999999999</v>
      </c>
      <c r="AD4598">
        <v>-1.1217936071729999</v>
      </c>
      <c r="AE4598">
        <v>-6.0747999999999998</v>
      </c>
      <c r="AF4598">
        <v>-3.0741014854652202</v>
      </c>
      <c r="AG4598">
        <v>-1.1217936071729999</v>
      </c>
      <c r="AH4598">
        <v>13.744539633476</v>
      </c>
      <c r="AI4598">
        <v>94.553967845378693</v>
      </c>
      <c r="AJ4598">
        <v>102.607276796004</v>
      </c>
      <c r="AK4598">
        <v>14.1287257237242</v>
      </c>
      <c r="AL4598">
        <v>78.347869850455993</v>
      </c>
      <c r="AM4598">
        <v>97.631905043096594</v>
      </c>
      <c r="AN4598">
        <v>1.0000000136975999</v>
      </c>
    </row>
    <row r="4599" spans="1:40" x14ac:dyDescent="0.25">
      <c r="A4599" t="str">
        <f>"20190312172503756"</f>
        <v>20190312172503756</v>
      </c>
      <c r="B4599" t="str">
        <f>"1552382703744787"</f>
        <v>1552382703744787</v>
      </c>
      <c r="C4599" t="s">
        <v>40</v>
      </c>
      <c r="D4599">
        <v>3.7338089999999999</v>
      </c>
      <c r="E4599">
        <v>0.45913369999999998</v>
      </c>
      <c r="F4599" t="s">
        <v>49</v>
      </c>
      <c r="G4599">
        <v>-413.2389</v>
      </c>
      <c r="H4599" s="1">
        <v>-7.7343740000000006E-6</v>
      </c>
      <c r="I4599">
        <v>133.54300000000001</v>
      </c>
      <c r="J4599">
        <v>-401.40629999999999</v>
      </c>
      <c r="K4599">
        <v>1.1220619999999999</v>
      </c>
      <c r="L4599">
        <v>139.3254</v>
      </c>
      <c r="M4599">
        <v>-0.97265820000000003</v>
      </c>
      <c r="N4599">
        <v>0</v>
      </c>
      <c r="O4599">
        <v>-0.23126869999999999</v>
      </c>
      <c r="P4599">
        <v>-0.91960730000000002</v>
      </c>
      <c r="Q4599">
        <v>0.18417420000000001</v>
      </c>
      <c r="R4599">
        <v>-0.34699049999999998</v>
      </c>
      <c r="S4599">
        <v>-2.8088679999999999</v>
      </c>
      <c r="T4599">
        <v>-0.25696659999999999</v>
      </c>
      <c r="U4599">
        <v>-1.348511</v>
      </c>
      <c r="V4599">
        <v>-0.130495</v>
      </c>
      <c r="W4599">
        <v>0.20129</v>
      </c>
      <c r="X4599">
        <v>0.97080040000000001</v>
      </c>
      <c r="Y4599">
        <v>-0.2125763</v>
      </c>
      <c r="Z4599">
        <v>1.043236E-2</v>
      </c>
      <c r="AA4599">
        <v>0.97708879999999998</v>
      </c>
      <c r="AB4599">
        <v>45</v>
      </c>
      <c r="AC4599">
        <v>-11.832599999999999</v>
      </c>
      <c r="AD4599">
        <v>-1.122069734374</v>
      </c>
      <c r="AE4599">
        <v>-5.7823999999999902</v>
      </c>
      <c r="AF4599">
        <v>-2.8676239575197999</v>
      </c>
      <c r="AG4599">
        <v>-1.122069734374</v>
      </c>
      <c r="AH4599">
        <v>12.756660195633099</v>
      </c>
      <c r="AI4599">
        <v>94.9049884675334</v>
      </c>
      <c r="AJ4599">
        <v>102.669162843904</v>
      </c>
      <c r="AK4599">
        <v>13.1230593611928</v>
      </c>
      <c r="AL4599">
        <v>78.387595292145704</v>
      </c>
      <c r="AM4599">
        <v>97.655809109292306</v>
      </c>
      <c r="AN4599">
        <v>1.0000000128825799</v>
      </c>
    </row>
    <row r="4600" spans="1:40" x14ac:dyDescent="0.25">
      <c r="A4600" t="str">
        <f>"20190312172503777"</f>
        <v>20190312172503777</v>
      </c>
      <c r="B4600" t="str">
        <f>"1552382703775043"</f>
        <v>1552382703775043</v>
      </c>
      <c r="C4600" t="s">
        <v>40</v>
      </c>
      <c r="D4600">
        <v>3.6249859999999998</v>
      </c>
      <c r="E4600">
        <v>0.45267859999999999</v>
      </c>
      <c r="F4600" t="s">
        <v>49</v>
      </c>
      <c r="G4600">
        <v>-413.49459999999999</v>
      </c>
      <c r="H4600" s="1">
        <v>-7.55408199999999E-6</v>
      </c>
      <c r="I4600">
        <v>133.18190000000001</v>
      </c>
      <c r="J4600">
        <v>-401.8177</v>
      </c>
      <c r="K4600">
        <v>1.1223259999999999</v>
      </c>
      <c r="L4600">
        <v>139.22059999999999</v>
      </c>
      <c r="M4600">
        <v>-0.97019690000000003</v>
      </c>
      <c r="N4600">
        <v>0</v>
      </c>
      <c r="O4600">
        <v>-0.24137359999999999</v>
      </c>
      <c r="P4600">
        <v>-0.91589089999999995</v>
      </c>
      <c r="Q4600">
        <v>0.18372839999999999</v>
      </c>
      <c r="R4600">
        <v>-0.35691509999999999</v>
      </c>
      <c r="S4600">
        <v>-2.7807010000000001</v>
      </c>
      <c r="T4600">
        <v>-0.25811269999999997</v>
      </c>
      <c r="U4600">
        <v>-1.4131929999999999</v>
      </c>
      <c r="V4600">
        <v>-0.13099820000000001</v>
      </c>
      <c r="W4600">
        <v>0.20088600000000001</v>
      </c>
      <c r="X4600">
        <v>0.97081629999999997</v>
      </c>
      <c r="Y4600">
        <v>-0.2244756</v>
      </c>
      <c r="Z4600">
        <v>1.082935E-2</v>
      </c>
      <c r="AA4600">
        <v>0.97441949999999999</v>
      </c>
      <c r="AB4600">
        <v>44</v>
      </c>
      <c r="AC4600">
        <v>-11.6768999999999</v>
      </c>
      <c r="AD4600">
        <v>-1.1223335540820001</v>
      </c>
      <c r="AE4600">
        <v>-6.0386999999999702</v>
      </c>
      <c r="AF4600">
        <v>-3.0189226616176401</v>
      </c>
      <c r="AG4600">
        <v>-1.1223335540820001</v>
      </c>
      <c r="AH4600">
        <v>12.6968504235639</v>
      </c>
      <c r="AI4600">
        <v>94.915181761287698</v>
      </c>
      <c r="AJ4600">
        <v>103.37482953310599</v>
      </c>
      <c r="AK4600">
        <v>13.098989935174499</v>
      </c>
      <c r="AL4600">
        <v>78.411225335336795</v>
      </c>
      <c r="AM4600">
        <v>97.684854079286197</v>
      </c>
      <c r="AN4600">
        <v>1.0000000008724601</v>
      </c>
    </row>
    <row r="4601" spans="1:40" x14ac:dyDescent="0.25">
      <c r="A4601" t="str">
        <f>"20190312172503801"</f>
        <v>20190312172503801</v>
      </c>
      <c r="B4601" t="str">
        <f>"1552382703795542"</f>
        <v>1552382703795542</v>
      </c>
      <c r="C4601" t="s">
        <v>40</v>
      </c>
      <c r="D4601">
        <v>3.6874790000000002</v>
      </c>
      <c r="E4601">
        <v>0.45096009999999997</v>
      </c>
      <c r="F4601" t="s">
        <v>49</v>
      </c>
      <c r="G4601">
        <v>-413.92680000000001</v>
      </c>
      <c r="H4601" s="1">
        <v>-7.309376E-6</v>
      </c>
      <c r="I4601">
        <v>132.64490000000001</v>
      </c>
      <c r="J4601">
        <v>-402.2482</v>
      </c>
      <c r="K4601">
        <v>1.122614</v>
      </c>
      <c r="L4601">
        <v>139.10599999999999</v>
      </c>
      <c r="M4601">
        <v>-0.967414</v>
      </c>
      <c r="N4601">
        <v>0</v>
      </c>
      <c r="O4601">
        <v>-0.25228390000000001</v>
      </c>
      <c r="P4601">
        <v>-0.91179370000000004</v>
      </c>
      <c r="Q4601">
        <v>0.18339910000000001</v>
      </c>
      <c r="R4601">
        <v>-0.36741859999999998</v>
      </c>
      <c r="S4601">
        <v>-2.7455440000000002</v>
      </c>
      <c r="T4601">
        <v>-0.25446980000000002</v>
      </c>
      <c r="U4601">
        <v>-1.490936</v>
      </c>
      <c r="V4601">
        <v>-0.13134279999999901</v>
      </c>
      <c r="W4601">
        <v>0.20059170000000001</v>
      </c>
      <c r="X4601">
        <v>0.97083059999999999</v>
      </c>
      <c r="Y4601">
        <v>-0.24004200000000001</v>
      </c>
      <c r="Z4601">
        <v>1.0934549999999999E-2</v>
      </c>
      <c r="AA4601">
        <v>0.97070089999999998</v>
      </c>
      <c r="AB4601">
        <v>44</v>
      </c>
      <c r="AC4601">
        <v>-11.678599999999999</v>
      </c>
      <c r="AD4601">
        <v>-1.122621309376</v>
      </c>
      <c r="AE4601">
        <v>-6.4610999999999796</v>
      </c>
      <c r="AF4601">
        <v>-3.2817829555125702</v>
      </c>
      <c r="AG4601">
        <v>-1.122621309376</v>
      </c>
      <c r="AH4601">
        <v>12.8402240345208</v>
      </c>
      <c r="AI4601">
        <v>94.841800486238697</v>
      </c>
      <c r="AJ4601">
        <v>104.337078905442</v>
      </c>
      <c r="AK4601">
        <v>13.3004410162988</v>
      </c>
      <c r="AL4601">
        <v>78.428437926047394</v>
      </c>
      <c r="AM4601">
        <v>97.7047149850018</v>
      </c>
      <c r="AN4601">
        <v>1.00000000755854</v>
      </c>
    </row>
    <row r="4602" spans="1:40" x14ac:dyDescent="0.25">
      <c r="A4602" t="str">
        <f>"20190312172503823"</f>
        <v>20190312172503823</v>
      </c>
      <c r="B4602" t="str">
        <f>"1552382703815058"</f>
        <v>1552382703815058</v>
      </c>
      <c r="C4602" t="s">
        <v>40</v>
      </c>
      <c r="D4602">
        <v>3.7040329999999999</v>
      </c>
      <c r="E4602">
        <v>0.4498645</v>
      </c>
      <c r="F4602" t="s">
        <v>49</v>
      </c>
      <c r="G4602">
        <v>-414.2396</v>
      </c>
      <c r="H4602" s="1">
        <v>-7.1705589999999999E-6</v>
      </c>
      <c r="I4602">
        <v>132.3486</v>
      </c>
      <c r="J4602">
        <v>-402.66140000000001</v>
      </c>
      <c r="K4602">
        <v>1.1228849999999999</v>
      </c>
      <c r="L4602">
        <v>138.9907</v>
      </c>
      <c r="M4602">
        <v>-0.96452309999999997</v>
      </c>
      <c r="N4602">
        <v>0</v>
      </c>
      <c r="O4602">
        <v>-0.26311040000000002</v>
      </c>
      <c r="P4602">
        <v>-0.90771199999999996</v>
      </c>
      <c r="Q4602">
        <v>0.18277379999999999</v>
      </c>
      <c r="R4602">
        <v>-0.37769409999999998</v>
      </c>
      <c r="S4602">
        <v>-2.7231139999999998</v>
      </c>
      <c r="T4602">
        <v>-0.25493539999999998</v>
      </c>
      <c r="U4602">
        <v>-1.5345310000000001</v>
      </c>
      <c r="V4602">
        <v>-0.13151479999999999</v>
      </c>
      <c r="W4602">
        <v>0.19999459999999999</v>
      </c>
      <c r="X4602">
        <v>0.97093050000000003</v>
      </c>
      <c r="Y4602">
        <v>-0.2444007</v>
      </c>
      <c r="Z4602">
        <v>1.168049E-2</v>
      </c>
      <c r="AA4602">
        <v>0.96960400000000002</v>
      </c>
      <c r="AB4602">
        <v>44</v>
      </c>
      <c r="AC4602">
        <v>-11.578199999999899</v>
      </c>
      <c r="AD4602">
        <v>-1.122892170559</v>
      </c>
      <c r="AE4602">
        <v>-6.6420999999999903</v>
      </c>
      <c r="AF4602">
        <v>-3.3372835259926901</v>
      </c>
      <c r="AG4602">
        <v>-1.122892170559</v>
      </c>
      <c r="AH4602">
        <v>12.827294780180999</v>
      </c>
      <c r="AI4602">
        <v>94.842476118357993</v>
      </c>
      <c r="AJ4602">
        <v>104.583365469941</v>
      </c>
      <c r="AK4602">
        <v>13.301798357260701</v>
      </c>
      <c r="AL4602">
        <v>78.463356852265207</v>
      </c>
      <c r="AM4602">
        <v>97.713899053255801</v>
      </c>
      <c r="AN4602">
        <v>1.0000000092392201</v>
      </c>
    </row>
    <row r="4603" spans="1:40" x14ac:dyDescent="0.25">
      <c r="A4603" t="str">
        <f>"20190312172503844"</f>
        <v>20190312172503844</v>
      </c>
      <c r="B4603" t="str">
        <f>"1552382703835085"</f>
        <v>1552382703835085</v>
      </c>
      <c r="C4603" t="s">
        <v>40</v>
      </c>
      <c r="D4603">
        <v>3.6983169999999999</v>
      </c>
      <c r="E4603">
        <v>0.44920700000000002</v>
      </c>
      <c r="F4603" t="s">
        <v>49</v>
      </c>
      <c r="G4603">
        <v>-414.60890000000001</v>
      </c>
      <c r="H4603" s="1">
        <v>-7.0203980000000001E-6</v>
      </c>
      <c r="I4603">
        <v>132.0325</v>
      </c>
      <c r="J4603">
        <v>-403.07350000000002</v>
      </c>
      <c r="K4603">
        <v>1.123156</v>
      </c>
      <c r="L4603">
        <v>138.87039999999999</v>
      </c>
      <c r="M4603">
        <v>-0.96141529999999997</v>
      </c>
      <c r="N4603">
        <v>0</v>
      </c>
      <c r="O4603">
        <v>-0.27424130000000002</v>
      </c>
      <c r="P4603">
        <v>-0.90324970000000004</v>
      </c>
      <c r="Q4603">
        <v>0.18214230000000001</v>
      </c>
      <c r="R4603">
        <v>-0.388542</v>
      </c>
      <c r="S4603">
        <v>-2.7014770000000001</v>
      </c>
      <c r="T4603">
        <v>-0.25390040000000003</v>
      </c>
      <c r="U4603">
        <v>-1.573318</v>
      </c>
      <c r="V4603">
        <v>-0.1320093</v>
      </c>
      <c r="W4603">
        <v>0.19936519999999999</v>
      </c>
      <c r="X4603">
        <v>0.97099279999999999</v>
      </c>
      <c r="Y4603">
        <v>-0.24699199999999999</v>
      </c>
      <c r="Z4603">
        <v>1.2459319999999999E-2</v>
      </c>
      <c r="AA4603">
        <v>0.96893739999999995</v>
      </c>
      <c r="AB4603">
        <v>44</v>
      </c>
      <c r="AC4603">
        <v>-11.5353999999999</v>
      </c>
      <c r="AD4603">
        <v>-1.1231630203980001</v>
      </c>
      <c r="AE4603">
        <v>-6.8378999999999897</v>
      </c>
      <c r="AF4603">
        <v>-3.3876194006609399</v>
      </c>
      <c r="AG4603">
        <v>-1.1231630203980001</v>
      </c>
      <c r="AH4603">
        <v>12.878263737576599</v>
      </c>
      <c r="AI4603">
        <v>94.821175728569997</v>
      </c>
      <c r="AJ4603">
        <v>104.737748382085</v>
      </c>
      <c r="AK4603">
        <v>13.363649848327499</v>
      </c>
      <c r="AL4603">
        <v>78.500159623184103</v>
      </c>
      <c r="AM4603">
        <v>97.742061656895601</v>
      </c>
      <c r="AN4603">
        <v>0.99999997795468398</v>
      </c>
    </row>
    <row r="4604" spans="1:40" x14ac:dyDescent="0.25">
      <c r="A4604" t="str">
        <f>"20190312172503867"</f>
        <v>20190312172503867</v>
      </c>
      <c r="B4604" t="str">
        <f>"1552382703855582"</f>
        <v>1552382703855582</v>
      </c>
      <c r="C4604" t="s">
        <v>40</v>
      </c>
      <c r="D4604">
        <v>3.6893050000000001</v>
      </c>
      <c r="E4604">
        <v>0.44902629999999999</v>
      </c>
      <c r="F4604" t="s">
        <v>49</v>
      </c>
      <c r="G4604">
        <v>-414.96089999999998</v>
      </c>
      <c r="H4604" s="1">
        <v>-6.8759009999999999E-6</v>
      </c>
      <c r="I4604">
        <v>131.72790000000001</v>
      </c>
      <c r="J4604">
        <v>-403.47890000000001</v>
      </c>
      <c r="K4604">
        <v>1.1234010000000001</v>
      </c>
      <c r="L4604">
        <v>138.74709999999999</v>
      </c>
      <c r="M4604">
        <v>-0.95813610000000005</v>
      </c>
      <c r="N4604">
        <v>0</v>
      </c>
      <c r="O4604">
        <v>-0.28548040000000002</v>
      </c>
      <c r="P4604">
        <v>-0.89863879999999996</v>
      </c>
      <c r="Q4604">
        <v>0.18129580000000001</v>
      </c>
      <c r="R4604">
        <v>-0.39947510000000003</v>
      </c>
      <c r="S4604">
        <v>-2.6798099999999998</v>
      </c>
      <c r="T4604">
        <v>-0.25319849999999999</v>
      </c>
      <c r="U4604">
        <v>-1.6101529999999999</v>
      </c>
      <c r="V4604">
        <v>-0.1324786</v>
      </c>
      <c r="W4604">
        <v>0.19851199999999999</v>
      </c>
      <c r="X4604">
        <v>0.97110370000000001</v>
      </c>
      <c r="Y4604">
        <v>-0.24891650000000001</v>
      </c>
      <c r="Z4604">
        <v>1.3288400000000001E-2</v>
      </c>
      <c r="AA4604">
        <v>0.96843380000000001</v>
      </c>
      <c r="AB4604">
        <v>44</v>
      </c>
      <c r="AC4604">
        <v>-11.4819999999999</v>
      </c>
      <c r="AD4604">
        <v>-1.123407875901</v>
      </c>
      <c r="AE4604">
        <v>-7.0191999999999801</v>
      </c>
      <c r="AF4604">
        <v>-3.4244207213618298</v>
      </c>
      <c r="AG4604">
        <v>-1.123407875901</v>
      </c>
      <c r="AH4604">
        <v>12.918238492750399</v>
      </c>
      <c r="AI4604">
        <v>94.804966956003298</v>
      </c>
      <c r="AJ4604">
        <v>104.846733904282</v>
      </c>
      <c r="AK4604">
        <v>13.4115468268245</v>
      </c>
      <c r="AL4604">
        <v>78.5500416211692</v>
      </c>
      <c r="AM4604">
        <v>97.768373117769102</v>
      </c>
      <c r="AN4604">
        <v>0.99999999487782498</v>
      </c>
    </row>
    <row r="4605" spans="1:40" x14ac:dyDescent="0.25">
      <c r="A4605" t="str">
        <f>"20190312172503889"</f>
        <v>20190312172503889</v>
      </c>
      <c r="B4605" t="str">
        <f>"1552382703884865"</f>
        <v>1552382703884865</v>
      </c>
      <c r="C4605" t="s">
        <v>40</v>
      </c>
      <c r="D4605">
        <v>3.6823939999999999</v>
      </c>
      <c r="E4605">
        <v>0.44889430000000002</v>
      </c>
      <c r="F4605" t="s">
        <v>49</v>
      </c>
      <c r="G4605">
        <v>-415.25619999999998</v>
      </c>
      <c r="H4605" s="1">
        <v>-6.7528430000000001E-6</v>
      </c>
      <c r="I4605">
        <v>131.46789999999999</v>
      </c>
      <c r="J4605">
        <v>-403.8877</v>
      </c>
      <c r="K4605">
        <v>1.1236459999999999</v>
      </c>
      <c r="L4605">
        <v>138.6173</v>
      </c>
      <c r="M4605">
        <v>-0.95459300000000002</v>
      </c>
      <c r="N4605">
        <v>0</v>
      </c>
      <c r="O4605">
        <v>-0.29710760000000003</v>
      </c>
      <c r="P4605">
        <v>-0.89384399999999997</v>
      </c>
      <c r="Q4605">
        <v>0.18086369999999999</v>
      </c>
      <c r="R4605">
        <v>-0.41028229999999999</v>
      </c>
      <c r="S4605">
        <v>-2.6589969999999998</v>
      </c>
      <c r="T4605">
        <v>-0.25363449999999998</v>
      </c>
      <c r="U4605">
        <v>-1.6434329999999999</v>
      </c>
      <c r="V4605">
        <v>-0.1324669</v>
      </c>
      <c r="W4605">
        <v>0.1980778</v>
      </c>
      <c r="X4605">
        <v>0.971194</v>
      </c>
      <c r="Y4605">
        <v>-0.2493339</v>
      </c>
      <c r="Z4605">
        <v>1.427431E-2</v>
      </c>
      <c r="AA4605">
        <v>0.96831239999999996</v>
      </c>
      <c r="AB4605">
        <v>44</v>
      </c>
      <c r="AC4605">
        <v>-11.3684999999999</v>
      </c>
      <c r="AD4605">
        <v>-1.12365275284299</v>
      </c>
      <c r="AE4605">
        <v>-7.1494000000000097</v>
      </c>
      <c r="AF4605">
        <v>-3.42395623675064</v>
      </c>
      <c r="AG4605">
        <v>-1.12365275284299</v>
      </c>
      <c r="AH4605">
        <v>12.889310163702399</v>
      </c>
      <c r="AI4605">
        <v>94.8160809628137</v>
      </c>
      <c r="AJ4605">
        <v>104.87665040337799</v>
      </c>
      <c r="AK4605">
        <v>13.3835865266482</v>
      </c>
      <c r="AL4605">
        <v>78.5754239944511</v>
      </c>
      <c r="AM4605">
        <v>97.766982009526799</v>
      </c>
      <c r="AN4605">
        <v>1.00000004004222</v>
      </c>
    </row>
    <row r="4606" spans="1:40" x14ac:dyDescent="0.25">
      <c r="A4606" t="str">
        <f>"20190312172503913"</f>
        <v>20190312172503913</v>
      </c>
      <c r="B4606" t="str">
        <f>"1552382703905357"</f>
        <v>1552382703905357</v>
      </c>
      <c r="C4606" t="s">
        <v>40</v>
      </c>
      <c r="D4606">
        <v>3.6650589999999998</v>
      </c>
      <c r="E4606">
        <v>0.44906620000000003</v>
      </c>
      <c r="F4606" t="s">
        <v>49</v>
      </c>
      <c r="G4606">
        <v>-415.63589999999999</v>
      </c>
      <c r="H4606" s="1">
        <v>-6.6015110000000003E-6</v>
      </c>
      <c r="I4606">
        <v>131.15049999999999</v>
      </c>
      <c r="J4606">
        <v>-404.30779999999999</v>
      </c>
      <c r="K4606">
        <v>1.123896</v>
      </c>
      <c r="L4606">
        <v>138.47819999999999</v>
      </c>
      <c r="M4606">
        <v>-0.95069090000000001</v>
      </c>
      <c r="N4606">
        <v>0</v>
      </c>
      <c r="O4606">
        <v>-0.30936170000000002</v>
      </c>
      <c r="P4606">
        <v>-0.88841059999999905</v>
      </c>
      <c r="Q4606">
        <v>0.18107100000000001</v>
      </c>
      <c r="R4606">
        <v>-0.42182930000000002</v>
      </c>
      <c r="S4606">
        <v>-2.6378170000000001</v>
      </c>
      <c r="T4606">
        <v>-0.25229220000000002</v>
      </c>
      <c r="U4606">
        <v>-1.6765139999999901</v>
      </c>
      <c r="V4606">
        <v>-0.13270170000000001</v>
      </c>
      <c r="W4606">
        <v>0.19826150000000001</v>
      </c>
      <c r="X4606">
        <v>0.9711244</v>
      </c>
      <c r="Y4606">
        <v>-0.2490802</v>
      </c>
      <c r="Z4606">
        <v>1.523822E-2</v>
      </c>
      <c r="AA4606">
        <v>0.96836299999999997</v>
      </c>
      <c r="AB4606">
        <v>43</v>
      </c>
      <c r="AC4606">
        <v>-11.328099999999999</v>
      </c>
      <c r="AD4606">
        <v>-1.1239026015109901</v>
      </c>
      <c r="AE4606">
        <v>-7.3276999999999903</v>
      </c>
      <c r="AF4606">
        <v>-3.4388678745128902</v>
      </c>
      <c r="AG4606">
        <v>-1.1239026015109901</v>
      </c>
      <c r="AH4606">
        <v>12.9497091391311</v>
      </c>
      <c r="AI4606">
        <v>94.794887638042198</v>
      </c>
      <c r="AJ4606">
        <v>104.87196806590499</v>
      </c>
      <c r="AK4606">
        <v>13.445591697807</v>
      </c>
      <c r="AL4606">
        <v>78.564685123801496</v>
      </c>
      <c r="AM4606">
        <v>97.781131445124899</v>
      </c>
      <c r="AN4606">
        <v>0.99999998192024897</v>
      </c>
    </row>
    <row r="4607" spans="1:40" x14ac:dyDescent="0.25">
      <c r="A4607" t="str">
        <f>"20190312172503946"</f>
        <v>20190312172503946</v>
      </c>
      <c r="B4607" t="str">
        <f>"1552382703935613"</f>
        <v>1552382703935613</v>
      </c>
      <c r="C4607" t="s">
        <v>40</v>
      </c>
      <c r="D4607">
        <v>3.7262240000000002</v>
      </c>
      <c r="E4607">
        <v>0.44954559999999999</v>
      </c>
      <c r="F4607" t="s">
        <v>49</v>
      </c>
      <c r="G4607">
        <v>-416.03739999999999</v>
      </c>
      <c r="H4607" s="1">
        <v>-6.4400939999999998E-6</v>
      </c>
      <c r="I4607">
        <v>130.81139999999999</v>
      </c>
      <c r="J4607">
        <v>-404.89690000000002</v>
      </c>
      <c r="K4607">
        <v>1.124233</v>
      </c>
      <c r="L4607">
        <v>138.273</v>
      </c>
      <c r="M4607">
        <v>-0.9447451</v>
      </c>
      <c r="N4607">
        <v>0</v>
      </c>
      <c r="O4607">
        <v>-0.3270652</v>
      </c>
      <c r="P4607">
        <v>-0.88023869999999904</v>
      </c>
      <c r="Q4607">
        <v>0.18146619999999999</v>
      </c>
      <c r="R4607">
        <v>-0.43846380000000001</v>
      </c>
      <c r="S4607">
        <v>-2.616028</v>
      </c>
      <c r="T4607">
        <v>-0.25066329999999998</v>
      </c>
      <c r="U4607">
        <v>-1.7099299999999999</v>
      </c>
      <c r="V4607">
        <v>-0.13303599999999999</v>
      </c>
      <c r="W4607">
        <v>0.19860079999999999</v>
      </c>
      <c r="X4607">
        <v>0.97100940000000002</v>
      </c>
      <c r="Y4607">
        <v>-0.24341009999999999</v>
      </c>
      <c r="Z4607">
        <v>1.6843609999999998E-2</v>
      </c>
      <c r="AA4607">
        <v>0.96977720000000001</v>
      </c>
      <c r="AB4607">
        <v>43</v>
      </c>
      <c r="AC4607">
        <v>-11.1404999999999</v>
      </c>
      <c r="AD4607">
        <v>-1.1242394400939999</v>
      </c>
      <c r="AE4607">
        <v>-7.4615999999999998</v>
      </c>
      <c r="AF4607">
        <v>-3.3826858271772999</v>
      </c>
      <c r="AG4607">
        <v>-1.1242394400939999</v>
      </c>
      <c r="AH4607">
        <v>12.8779746621508</v>
      </c>
      <c r="AI4607">
        <v>94.826327731434603</v>
      </c>
      <c r="AJ4607">
        <v>104.71753336351701</v>
      </c>
      <c r="AK4607">
        <v>13.362211984662</v>
      </c>
      <c r="AL4607">
        <v>78.544851093551301</v>
      </c>
      <c r="AM4607">
        <v>97.801404984321906</v>
      </c>
      <c r="AN4607">
        <v>1.0000000549724899</v>
      </c>
    </row>
    <row r="4608" spans="1:40" x14ac:dyDescent="0.25">
      <c r="A4608" t="str">
        <f>"20190312172503968"</f>
        <v>20190312172503968</v>
      </c>
      <c r="B4608" t="str">
        <f>"1552382703964894"</f>
        <v>1552382703964894</v>
      </c>
      <c r="C4608" t="s">
        <v>40</v>
      </c>
      <c r="D4608">
        <v>3.708107</v>
      </c>
      <c r="E4608">
        <v>0.45041629999999999</v>
      </c>
      <c r="F4608" t="s">
        <v>49</v>
      </c>
      <c r="G4608">
        <v>-416.55549999999999</v>
      </c>
      <c r="H4608" s="1">
        <v>-6.223667E-6</v>
      </c>
      <c r="I4608">
        <v>130.35380000000001</v>
      </c>
      <c r="J4608">
        <v>-405.29969999999997</v>
      </c>
      <c r="K4608">
        <v>1.1244499999999999</v>
      </c>
      <c r="L4608">
        <v>138.1251</v>
      </c>
      <c r="M4608">
        <v>-0.94033449999999996</v>
      </c>
      <c r="N4608">
        <v>0</v>
      </c>
      <c r="O4608">
        <v>-0.33953539999999999</v>
      </c>
      <c r="P4608">
        <v>-0.87414720000000001</v>
      </c>
      <c r="Q4608">
        <v>0.18121509999999999</v>
      </c>
      <c r="R4608">
        <v>-0.4505866</v>
      </c>
      <c r="S4608">
        <v>-2.5849609999999998</v>
      </c>
      <c r="T4608">
        <v>-0.2492673</v>
      </c>
      <c r="U4608">
        <v>-1.755844</v>
      </c>
      <c r="V4608">
        <v>-0.13369739999999999</v>
      </c>
      <c r="W4608">
        <v>0.19829040000000001</v>
      </c>
      <c r="X4608">
        <v>0.97098200000000001</v>
      </c>
      <c r="Y4608">
        <v>-0.24779799999999999</v>
      </c>
      <c r="Z4608">
        <v>1.7616469999999999E-2</v>
      </c>
      <c r="AA4608">
        <v>0.9686515</v>
      </c>
      <c r="AB4608">
        <v>43</v>
      </c>
      <c r="AC4608">
        <v>-11.255800000000001</v>
      </c>
      <c r="AD4608">
        <v>-1.1244562236669999</v>
      </c>
      <c r="AE4608">
        <v>-7.7712999999999903</v>
      </c>
      <c r="AF4608">
        <v>-3.4633211249863698</v>
      </c>
      <c r="AG4608">
        <v>-1.1244562236669999</v>
      </c>
      <c r="AH4608">
        <v>13.137280822853601</v>
      </c>
      <c r="AI4608">
        <v>94.731304769770603</v>
      </c>
      <c r="AJ4608">
        <v>104.76861205086099</v>
      </c>
      <c r="AK4608">
        <v>13.6325765148132</v>
      </c>
      <c r="AL4608">
        <v>78.562996650635597</v>
      </c>
      <c r="AM4608">
        <v>97.839927704814599</v>
      </c>
      <c r="AN4608">
        <v>1.0000000609114501</v>
      </c>
    </row>
    <row r="4609" spans="1:40" x14ac:dyDescent="0.25">
      <c r="A4609" t="str">
        <f>"20190312172503995"</f>
        <v>20190312172503995</v>
      </c>
      <c r="B4609" t="str">
        <f>"1552382703985390"</f>
        <v>1552382703985390</v>
      </c>
      <c r="C4609" t="s">
        <v>40</v>
      </c>
      <c r="D4609">
        <v>3.7066859999999999</v>
      </c>
      <c r="E4609">
        <v>0.4511096</v>
      </c>
      <c r="F4609" t="s">
        <v>49</v>
      </c>
      <c r="G4609">
        <v>-416.80529999999999</v>
      </c>
      <c r="H4609" s="1">
        <v>-6.1111660000000004E-6</v>
      </c>
      <c r="I4609">
        <v>130.11320000000001</v>
      </c>
      <c r="J4609">
        <v>-405.7405</v>
      </c>
      <c r="K4609">
        <v>1.124684</v>
      </c>
      <c r="L4609">
        <v>137.9564</v>
      </c>
      <c r="M4609">
        <v>-0.93518199999999996</v>
      </c>
      <c r="N4609">
        <v>0</v>
      </c>
      <c r="O4609">
        <v>-0.3534774</v>
      </c>
      <c r="P4609">
        <v>-0.86713660000000004</v>
      </c>
      <c r="Q4609">
        <v>0.1809192</v>
      </c>
      <c r="R4609">
        <v>-0.46405039999999997</v>
      </c>
      <c r="S4609">
        <v>-2.56366</v>
      </c>
      <c r="T4609">
        <v>-0.25054989999999999</v>
      </c>
      <c r="U4609">
        <v>-1.785202</v>
      </c>
      <c r="V4609">
        <v>-0.13436519999999999</v>
      </c>
      <c r="W4609">
        <v>0.19793189999999999</v>
      </c>
      <c r="X4609">
        <v>0.97096289999999996</v>
      </c>
      <c r="Y4609">
        <v>-0.24468519999999999</v>
      </c>
      <c r="Z4609">
        <v>1.9002129999999999E-2</v>
      </c>
      <c r="AA4609">
        <v>0.96941639999999996</v>
      </c>
      <c r="AB4609">
        <v>43</v>
      </c>
      <c r="AC4609">
        <v>-11.0647999999999</v>
      </c>
      <c r="AD4609">
        <v>-1.1246901111659999</v>
      </c>
      <c r="AE4609">
        <v>-7.8431999999999897</v>
      </c>
      <c r="AF4609">
        <v>-3.4011107942110699</v>
      </c>
      <c r="AG4609">
        <v>-1.1246901111659999</v>
      </c>
      <c r="AH4609">
        <v>13.033573304906399</v>
      </c>
      <c r="AI4609">
        <v>94.772884137705205</v>
      </c>
      <c r="AJ4609">
        <v>104.62518817649401</v>
      </c>
      <c r="AK4609">
        <v>13.516897409354801</v>
      </c>
      <c r="AL4609">
        <v>78.583951820364106</v>
      </c>
      <c r="AM4609">
        <v>97.878749529753705</v>
      </c>
      <c r="AN4609">
        <v>0.99999999859252997</v>
      </c>
    </row>
    <row r="4610" spans="1:40" x14ac:dyDescent="0.25">
      <c r="A4610" t="str">
        <f>"20190312172504013"</f>
        <v>20190312172504013</v>
      </c>
      <c r="B4610" t="str">
        <f>"1552382704004910"</f>
        <v>1552382704004910</v>
      </c>
      <c r="C4610" t="s">
        <v>40</v>
      </c>
      <c r="D4610">
        <v>3.7178879999999999</v>
      </c>
      <c r="E4610">
        <v>0.4513665</v>
      </c>
      <c r="F4610" t="s">
        <v>49</v>
      </c>
      <c r="G4610">
        <v>-417.10239999999999</v>
      </c>
      <c r="H4610" s="1">
        <v>-5.9706199999999998E-6</v>
      </c>
      <c r="I4610">
        <v>129.81049999999999</v>
      </c>
      <c r="J4610">
        <v>-406.08870000000002</v>
      </c>
      <c r="K4610">
        <v>1.1248640000000001</v>
      </c>
      <c r="L4610">
        <v>137.81790000000001</v>
      </c>
      <c r="M4610">
        <v>-0.93085600000000002</v>
      </c>
      <c r="N4610">
        <v>0</v>
      </c>
      <c r="O4610">
        <v>-0.36471589999999998</v>
      </c>
      <c r="P4610">
        <v>-0.86092169999999901</v>
      </c>
      <c r="Q4610">
        <v>0.18113370000000001</v>
      </c>
      <c r="R4610">
        <v>-0.47539959999999998</v>
      </c>
      <c r="S4610">
        <v>-2.538208</v>
      </c>
      <c r="T4610">
        <v>-0.25125189999999997</v>
      </c>
      <c r="U4610">
        <v>-1.8197779999999999</v>
      </c>
      <c r="V4610">
        <v>-0.13554150000000001</v>
      </c>
      <c r="W4610">
        <v>0.19806889999999999</v>
      </c>
      <c r="X4610">
        <v>0.97077139999999995</v>
      </c>
      <c r="Y4610">
        <v>-0.24635670000000001</v>
      </c>
      <c r="Z4610">
        <v>1.9940349999999999E-2</v>
      </c>
      <c r="AA4610">
        <v>0.96897409999999995</v>
      </c>
      <c r="AB4610">
        <v>43</v>
      </c>
      <c r="AC4610">
        <v>-11.013699999999901</v>
      </c>
      <c r="AD4610">
        <v>-1.1248699706199901</v>
      </c>
      <c r="AE4610">
        <v>-8.0074000000000094</v>
      </c>
      <c r="AF4610">
        <v>-3.4144057844878901</v>
      </c>
      <c r="AG4610">
        <v>-1.1248699706199901</v>
      </c>
      <c r="AH4610">
        <v>13.086515250471299</v>
      </c>
      <c r="AI4610">
        <v>94.754466613698696</v>
      </c>
      <c r="AJ4610">
        <v>104.62305576262401</v>
      </c>
      <c r="AK4610">
        <v>13.571307258800299</v>
      </c>
      <c r="AL4610">
        <v>78.575943182672006</v>
      </c>
      <c r="AM4610">
        <v>97.948394196047104</v>
      </c>
      <c r="AN4610">
        <v>0.99999994921370805</v>
      </c>
    </row>
    <row r="4611" spans="1:40" x14ac:dyDescent="0.25">
      <c r="A4611" t="str">
        <f>"20190312172504035"</f>
        <v>20190312172504035</v>
      </c>
      <c r="B4611" t="str">
        <f>"1552382704025406"</f>
        <v>1552382704025406</v>
      </c>
      <c r="C4611" t="s">
        <v>40</v>
      </c>
      <c r="D4611">
        <v>3.6616659999999999</v>
      </c>
      <c r="E4611">
        <v>0.46435700000000002</v>
      </c>
      <c r="F4611" t="s">
        <v>49</v>
      </c>
      <c r="G4611">
        <v>-417.34879999999998</v>
      </c>
      <c r="H4611" s="1">
        <v>-5.8319900000000004E-6</v>
      </c>
      <c r="I4611">
        <v>129.5275</v>
      </c>
      <c r="J4611">
        <v>-406.4633</v>
      </c>
      <c r="K4611">
        <v>1.1250549999999999</v>
      </c>
      <c r="L4611">
        <v>137.66329999999999</v>
      </c>
      <c r="M4611">
        <v>-0.92593369999999997</v>
      </c>
      <c r="N4611">
        <v>0</v>
      </c>
      <c r="O4611">
        <v>-0.37703629999999999</v>
      </c>
      <c r="P4611">
        <v>-0.85393949999999996</v>
      </c>
      <c r="Q4611">
        <v>0.18073059999999999</v>
      </c>
      <c r="R4611">
        <v>-0.48798000000000002</v>
      </c>
      <c r="S4611">
        <v>-2.5149840000000001</v>
      </c>
      <c r="T4611">
        <v>-0.25124419999999997</v>
      </c>
      <c r="U4611">
        <v>-1.851685</v>
      </c>
      <c r="V4611">
        <v>-0.13695639999999901</v>
      </c>
      <c r="W4611">
        <v>0.19757669999999999</v>
      </c>
      <c r="X4611">
        <v>0.97067309999999996</v>
      </c>
      <c r="Y4611">
        <v>-0.24577470000000001</v>
      </c>
      <c r="Z4611">
        <v>2.1001289999999999E-2</v>
      </c>
      <c r="AA4611">
        <v>0.9690995</v>
      </c>
      <c r="AB4611">
        <v>42</v>
      </c>
      <c r="AC4611">
        <v>-10.885499999999899</v>
      </c>
      <c r="AD4611">
        <v>-1.12506083199</v>
      </c>
      <c r="AE4611">
        <v>-8.1357999999999802</v>
      </c>
      <c r="AF4611">
        <v>-3.40647719339974</v>
      </c>
      <c r="AG4611">
        <v>-1.12506083199</v>
      </c>
      <c r="AH4611">
        <v>13.0604567528794</v>
      </c>
      <c r="AI4611">
        <v>94.764813996648897</v>
      </c>
      <c r="AJ4611">
        <v>104.618415733745</v>
      </c>
      <c r="AK4611">
        <v>13.544200948696201</v>
      </c>
      <c r="AL4611">
        <v>78.604712580950206</v>
      </c>
      <c r="AM4611">
        <v>98.031092225179904</v>
      </c>
      <c r="AN4611">
        <v>0.99999993747372795</v>
      </c>
    </row>
    <row r="4612" spans="1:40" x14ac:dyDescent="0.25">
      <c r="A4612" t="str">
        <f>"20190312172504169"</f>
        <v>20190312172504169</v>
      </c>
      <c r="B4612" t="str">
        <f>"1552382704164973"</f>
        <v>1552382704164973</v>
      </c>
      <c r="C4612" t="s">
        <v>40</v>
      </c>
      <c r="D4612">
        <v>3.8449879999999999</v>
      </c>
      <c r="E4612">
        <v>0.45126640000000001</v>
      </c>
      <c r="F4612" t="s">
        <v>49</v>
      </c>
      <c r="G4612">
        <v>-417.54309999999998</v>
      </c>
      <c r="H4612" s="1">
        <v>-5.9472530000000004E-6</v>
      </c>
      <c r="I4612">
        <v>129.8159</v>
      </c>
      <c r="J4612">
        <v>-408.68700000000001</v>
      </c>
      <c r="K4612">
        <v>1.126036</v>
      </c>
      <c r="L4612">
        <v>136.61600000000001</v>
      </c>
      <c r="M4612">
        <v>-0.89029159999999996</v>
      </c>
      <c r="N4612">
        <v>0</v>
      </c>
      <c r="O4612">
        <v>-0.45484819999999998</v>
      </c>
      <c r="P4612">
        <v>-0.80477860000000001</v>
      </c>
      <c r="Q4612">
        <v>0.18024689999999999</v>
      </c>
      <c r="R4612">
        <v>-0.5655464</v>
      </c>
      <c r="S4612">
        <v>-2.5397949999999998</v>
      </c>
      <c r="T4612">
        <v>-0.25789679999999998</v>
      </c>
      <c r="U4612">
        <v>-1.798843</v>
      </c>
      <c r="V4612">
        <v>-0.145014</v>
      </c>
      <c r="W4612">
        <v>0.19651879999999999</v>
      </c>
      <c r="X4612">
        <v>0.9697171</v>
      </c>
      <c r="Y4612">
        <v>-0.14432710000000001</v>
      </c>
      <c r="Z4612">
        <v>3.2279000000000002E-2</v>
      </c>
      <c r="AA4612">
        <v>0.98900339999999998</v>
      </c>
      <c r="AB4612">
        <v>41</v>
      </c>
      <c r="AC4612">
        <v>-8.8561000000000192</v>
      </c>
      <c r="AD4612">
        <v>-1.1260419472529899</v>
      </c>
      <c r="AE4612">
        <v>-6.8001000000000102</v>
      </c>
      <c r="AF4612">
        <v>-2.0059894877911799</v>
      </c>
      <c r="AG4612">
        <v>-1.1260419472529899</v>
      </c>
      <c r="AH4612">
        <v>10.869687298124299</v>
      </c>
      <c r="AI4612">
        <v>95.816904357230797</v>
      </c>
      <c r="AJ4612">
        <v>100.456228645161</v>
      </c>
      <c r="AK4612">
        <v>11.110448517099</v>
      </c>
      <c r="AL4612">
        <v>78.666538396198803</v>
      </c>
      <c r="AM4612">
        <v>98.5051325385989</v>
      </c>
      <c r="AN4612">
        <v>0.99999997649092398</v>
      </c>
    </row>
    <row r="4613" spans="1:40" x14ac:dyDescent="0.25">
      <c r="A4613" t="str">
        <f>"20190312172504192"</f>
        <v>20190312172504192</v>
      </c>
      <c r="B4613" t="str">
        <f>"1552382704185469"</f>
        <v>1552382704185469</v>
      </c>
      <c r="C4613" t="s">
        <v>40</v>
      </c>
      <c r="D4613">
        <v>3.6327470000000002</v>
      </c>
      <c r="E4613">
        <v>0.44584230000000002</v>
      </c>
      <c r="F4613" t="s">
        <v>49</v>
      </c>
      <c r="G4613">
        <v>-417.41669999999999</v>
      </c>
      <c r="H4613" s="1">
        <v>-5.351233E-6</v>
      </c>
      <c r="I4613">
        <v>128.5917</v>
      </c>
      <c r="J4613">
        <v>-409.03969999999998</v>
      </c>
      <c r="K4613">
        <v>1.1261639999999999</v>
      </c>
      <c r="L4613">
        <v>136.42740000000001</v>
      </c>
      <c r="M4613">
        <v>-0.88351939999999995</v>
      </c>
      <c r="N4613">
        <v>0</v>
      </c>
      <c r="O4613">
        <v>-0.467866</v>
      </c>
      <c r="P4613">
        <v>-0.79594989999999999</v>
      </c>
      <c r="Q4613">
        <v>0.18067939999999999</v>
      </c>
      <c r="R4613">
        <v>-0.57777069999999997</v>
      </c>
      <c r="S4613">
        <v>-2.3052670000000002</v>
      </c>
      <c r="T4613">
        <v>-0.29735409999999901</v>
      </c>
      <c r="U4613">
        <v>-2.1189580000000001</v>
      </c>
      <c r="V4613">
        <v>-0.1457184</v>
      </c>
      <c r="W4613">
        <v>0.19688629999999999</v>
      </c>
      <c r="X4613">
        <v>0.96953699999999998</v>
      </c>
      <c r="Y4613">
        <v>-0.2542566</v>
      </c>
      <c r="Z4613">
        <v>3.3501700000000002E-2</v>
      </c>
      <c r="AA4613">
        <v>0.96655639999999998</v>
      </c>
      <c r="AB4613">
        <v>41</v>
      </c>
      <c r="AC4613">
        <v>-8.3770000000000095</v>
      </c>
      <c r="AD4613">
        <v>-1.126169351233</v>
      </c>
      <c r="AE4613">
        <v>-7.8357000000000001</v>
      </c>
      <c r="AF4613">
        <v>-2.9757391126886898</v>
      </c>
      <c r="AG4613">
        <v>-1.126169351233</v>
      </c>
      <c r="AH4613">
        <v>10.9643510879785</v>
      </c>
      <c r="AI4613">
        <v>95.661009088120693</v>
      </c>
      <c r="AJ4613">
        <v>105.184381805095</v>
      </c>
      <c r="AK4613">
        <v>11.416666564934699</v>
      </c>
      <c r="AL4613">
        <v>78.645063253879798</v>
      </c>
      <c r="AM4613">
        <v>98.547401354189304</v>
      </c>
      <c r="AN4613">
        <v>1.00000003079762</v>
      </c>
    </row>
    <row r="4614" spans="1:40" x14ac:dyDescent="0.25">
      <c r="A4614" t="str">
        <f>"20190312172504213"</f>
        <v>20190312172504213</v>
      </c>
      <c r="B4614" t="str">
        <f>"1552382704204990"</f>
        <v>1552382704204990</v>
      </c>
      <c r="C4614" t="s">
        <v>40</v>
      </c>
      <c r="D4614">
        <v>3.7407889999999999</v>
      </c>
      <c r="E4614">
        <v>0.44339810000000002</v>
      </c>
      <c r="F4614" t="s">
        <v>49</v>
      </c>
      <c r="G4614">
        <v>-418.15769999999998</v>
      </c>
      <c r="H4614" s="1">
        <v>-4.7748990000000004E-6</v>
      </c>
      <c r="I4614">
        <v>127.545</v>
      </c>
      <c r="J4614">
        <v>-409.38909999999998</v>
      </c>
      <c r="K4614">
        <v>1.1262829999999999</v>
      </c>
      <c r="L4614">
        <v>136.23400000000001</v>
      </c>
      <c r="M4614">
        <v>-0.87647629999999999</v>
      </c>
      <c r="N4614">
        <v>0</v>
      </c>
      <c r="O4614">
        <v>-0.48093039999999998</v>
      </c>
      <c r="P4614">
        <v>-0.78737190000000001</v>
      </c>
      <c r="Q4614">
        <v>0.18047240000000001</v>
      </c>
      <c r="R4614">
        <v>-0.58947050000000001</v>
      </c>
      <c r="S4614">
        <v>-2.24472</v>
      </c>
      <c r="T4614">
        <v>-0.27724749999999998</v>
      </c>
      <c r="U4614">
        <v>-2.1867220000000001</v>
      </c>
      <c r="V4614">
        <v>-0.1456819</v>
      </c>
      <c r="W4614">
        <v>0.19664970000000001</v>
      </c>
      <c r="X4614">
        <v>0.96959050000000002</v>
      </c>
      <c r="Y4614">
        <v>-0.26780589999999999</v>
      </c>
      <c r="Z4614">
        <v>3.1902159999999999E-2</v>
      </c>
      <c r="AA4614">
        <v>0.96294460000000004</v>
      </c>
      <c r="AB4614">
        <v>41</v>
      </c>
      <c r="AC4614">
        <v>-8.7685999999999904</v>
      </c>
      <c r="AD4614">
        <v>-1.1262877748989999</v>
      </c>
      <c r="AE4614">
        <v>-8.6890000000000001</v>
      </c>
      <c r="AF4614">
        <v>-3.3713934748119101</v>
      </c>
      <c r="AG4614">
        <v>-1.1262877748989999</v>
      </c>
      <c r="AH4614">
        <v>11.769241931683201</v>
      </c>
      <c r="AI4614">
        <v>95.256267451408604</v>
      </c>
      <c r="AJ4614">
        <v>105.98478373297399</v>
      </c>
      <c r="AK4614">
        <v>12.2943024918204</v>
      </c>
      <c r="AL4614">
        <v>78.658889722104504</v>
      </c>
      <c r="AM4614">
        <v>98.544827435280894</v>
      </c>
      <c r="AN4614">
        <v>1.0000000290939699</v>
      </c>
    </row>
    <row r="4615" spans="1:40" x14ac:dyDescent="0.25">
      <c r="A4615" t="str">
        <f>"20190312172504236"</f>
        <v>20190312172504236</v>
      </c>
      <c r="B4615" t="str">
        <f>"1552382704225487"</f>
        <v>1552382704225487</v>
      </c>
      <c r="C4615" t="s">
        <v>40</v>
      </c>
      <c r="D4615">
        <v>3.7931810000000001</v>
      </c>
      <c r="E4615">
        <v>0.44225880000000001</v>
      </c>
      <c r="F4615" t="s">
        <v>49</v>
      </c>
      <c r="G4615">
        <v>-418.55759999999998</v>
      </c>
      <c r="H4615" s="1">
        <v>-4.4328790000000004E-6</v>
      </c>
      <c r="I4615">
        <v>126.9194</v>
      </c>
      <c r="J4615">
        <v>-409.72800000000001</v>
      </c>
      <c r="K4615">
        <v>1.12639</v>
      </c>
      <c r="L4615">
        <v>136.03989999999999</v>
      </c>
      <c r="M4615">
        <v>-0.86931440000000004</v>
      </c>
      <c r="N4615">
        <v>0</v>
      </c>
      <c r="O4615">
        <v>-0.49375780000000002</v>
      </c>
      <c r="P4615">
        <v>-0.77858649999999996</v>
      </c>
      <c r="Q4615">
        <v>0.18002950000000001</v>
      </c>
      <c r="R4615">
        <v>-0.60115949999999996</v>
      </c>
      <c r="S4615">
        <v>-2.1993100000000001</v>
      </c>
      <c r="T4615">
        <v>-0.27016950000000001</v>
      </c>
      <c r="U4615">
        <v>-2.2343600000000001</v>
      </c>
      <c r="V4615">
        <v>-0.14589779999999999</v>
      </c>
      <c r="W4615">
        <v>0.19617090000000001</v>
      </c>
      <c r="X4615">
        <v>0.96965500000000004</v>
      </c>
      <c r="Y4615">
        <v>-0.2738448</v>
      </c>
      <c r="Z4615">
        <v>3.2024980000000002E-2</v>
      </c>
      <c r="AA4615">
        <v>0.9612406</v>
      </c>
      <c r="AB4615">
        <v>41</v>
      </c>
      <c r="AC4615">
        <v>-8.8295999999999708</v>
      </c>
      <c r="AD4615">
        <v>-1.1263944328790001</v>
      </c>
      <c r="AE4615">
        <v>-9.1204999999999892</v>
      </c>
      <c r="AF4615">
        <v>-3.5418961886634501</v>
      </c>
      <c r="AG4615">
        <v>-1.1263944328790001</v>
      </c>
      <c r="AH4615">
        <v>12.0868712226496</v>
      </c>
      <c r="AI4615">
        <v>95.110417727079493</v>
      </c>
      <c r="AJ4615">
        <v>106.33251807629</v>
      </c>
      <c r="AK4615">
        <v>12.645404263312599</v>
      </c>
      <c r="AL4615">
        <v>78.686867624083405</v>
      </c>
      <c r="AM4615">
        <v>98.556742700622905</v>
      </c>
      <c r="AN4615">
        <v>1.0000000045383199</v>
      </c>
    </row>
    <row r="4616" spans="1:40" x14ac:dyDescent="0.25">
      <c r="A4616" t="str">
        <f>"20190312172504257"</f>
        <v>20190312172504257</v>
      </c>
      <c r="B4616" t="str">
        <f>"1552382704254766"</f>
        <v>1552382704254766</v>
      </c>
      <c r="C4616" t="s">
        <v>40</v>
      </c>
      <c r="D4616">
        <v>3.6528070000000001</v>
      </c>
      <c r="E4616">
        <v>0.44116490000000003</v>
      </c>
      <c r="F4616" t="s">
        <v>49</v>
      </c>
      <c r="G4616">
        <v>-418.71809999999999</v>
      </c>
      <c r="H4616" s="1">
        <v>-4.2498770000000002E-6</v>
      </c>
      <c r="I4616">
        <v>126.57850000000001</v>
      </c>
      <c r="J4616">
        <v>-410.06650000000002</v>
      </c>
      <c r="K4616">
        <v>1.1264959999999999</v>
      </c>
      <c r="L4616">
        <v>135.83930000000001</v>
      </c>
      <c r="M4616">
        <v>-0.86182109999999901</v>
      </c>
      <c r="N4616">
        <v>0</v>
      </c>
      <c r="O4616">
        <v>-0.50672320000000004</v>
      </c>
      <c r="P4616">
        <v>-0.76931479999999997</v>
      </c>
      <c r="Q4616">
        <v>0.18012110000000001</v>
      </c>
      <c r="R4616">
        <v>-0.61295330000000003</v>
      </c>
      <c r="S4616">
        <v>-2.1602480000000002</v>
      </c>
      <c r="T4616">
        <v>-0.2706633</v>
      </c>
      <c r="U4616">
        <v>-2.2734990000000002</v>
      </c>
      <c r="V4616">
        <v>-0.14621609999999999</v>
      </c>
      <c r="W4616">
        <v>0.19622329999999999</v>
      </c>
      <c r="X4616">
        <v>0.96959640000000002</v>
      </c>
      <c r="Y4616">
        <v>-0.27641739999999998</v>
      </c>
      <c r="Z4616">
        <v>3.3177819999999997E-2</v>
      </c>
      <c r="AA4616">
        <v>0.96046480000000001</v>
      </c>
      <c r="AB4616">
        <v>41</v>
      </c>
      <c r="AC4616">
        <v>-8.65159999999997</v>
      </c>
      <c r="AD4616">
        <v>-1.126500249877</v>
      </c>
      <c r="AE4616">
        <v>-9.2607999999999997</v>
      </c>
      <c r="AF4616">
        <v>-3.5698731949217199</v>
      </c>
      <c r="AG4616">
        <v>-1.126500249877</v>
      </c>
      <c r="AH4616">
        <v>12.056548610936</v>
      </c>
      <c r="AI4616">
        <v>95.119459239051807</v>
      </c>
      <c r="AJ4616">
        <v>106.49371202613</v>
      </c>
      <c r="AK4616">
        <v>12.624316292324799</v>
      </c>
      <c r="AL4616">
        <v>78.683805250916393</v>
      </c>
      <c r="AM4616">
        <v>98.575643967921806</v>
      </c>
      <c r="AN4616">
        <v>0.99999995512752904</v>
      </c>
    </row>
    <row r="4617" spans="1:40" x14ac:dyDescent="0.25">
      <c r="A4617" t="str">
        <f>"20190312172504281"</f>
        <v>20190312172504281</v>
      </c>
      <c r="B4617" t="str">
        <f>"1552382704275262"</f>
        <v>1552382704275262</v>
      </c>
      <c r="C4617" t="s">
        <v>40</v>
      </c>
      <c r="D4617">
        <v>3.6270250000000002</v>
      </c>
      <c r="E4617">
        <v>0.44081090000000001</v>
      </c>
      <c r="F4617" t="s">
        <v>49</v>
      </c>
      <c r="G4617">
        <v>-418.86660000000001</v>
      </c>
      <c r="H4617" s="1">
        <v>-4.0689070000000001E-6</v>
      </c>
      <c r="I4617">
        <v>126.2402</v>
      </c>
      <c r="J4617">
        <v>-410.4203</v>
      </c>
      <c r="K4617">
        <v>1.1266020000000001</v>
      </c>
      <c r="L4617">
        <v>135.6224</v>
      </c>
      <c r="M4617">
        <v>-0.8536125</v>
      </c>
      <c r="N4617">
        <v>0</v>
      </c>
      <c r="O4617">
        <v>-0.52043159999999999</v>
      </c>
      <c r="P4617">
        <v>-0.75943909999999903</v>
      </c>
      <c r="Q4617">
        <v>0.18045169999999999</v>
      </c>
      <c r="R4617">
        <v>-0.62505189999999999</v>
      </c>
      <c r="S4617">
        <v>-2.1203609999999999</v>
      </c>
      <c r="T4617">
        <v>-0.27142470000000002</v>
      </c>
      <c r="U4617">
        <v>-2.3128510000000002</v>
      </c>
      <c r="V4617">
        <v>-0.14616999999999999</v>
      </c>
      <c r="W4617">
        <v>0.19653139999999999</v>
      </c>
      <c r="X4617">
        <v>0.96954099999999999</v>
      </c>
      <c r="Y4617">
        <v>-0.2782425</v>
      </c>
      <c r="Z4617">
        <v>3.446511E-2</v>
      </c>
      <c r="AA4617">
        <v>0.95989230000000003</v>
      </c>
      <c r="AB4617">
        <v>41</v>
      </c>
      <c r="AC4617">
        <v>-8.4463000000000008</v>
      </c>
      <c r="AD4617">
        <v>-1.1266060689069901</v>
      </c>
      <c r="AE4617">
        <v>-9.3821999999999903</v>
      </c>
      <c r="AF4617">
        <v>-3.5853841224671399</v>
      </c>
      <c r="AG4617">
        <v>-1.1266060689069901</v>
      </c>
      <c r="AH4617">
        <v>12.0000919111759</v>
      </c>
      <c r="AI4617">
        <v>95.140143028958306</v>
      </c>
      <c r="AJ4617">
        <v>106.635078864349</v>
      </c>
      <c r="AK4617">
        <v>12.5748330572142</v>
      </c>
      <c r="AL4617">
        <v>78.665802442721599</v>
      </c>
      <c r="AM4617">
        <v>98.573462946526703</v>
      </c>
      <c r="AN4617">
        <v>1.0000000053834699</v>
      </c>
    </row>
    <row r="4618" spans="1:40" x14ac:dyDescent="0.25">
      <c r="A4618" t="str">
        <f>"20190312172504303"</f>
        <v>20190312172504303</v>
      </c>
      <c r="B4618" t="str">
        <f>"1552382704294786"</f>
        <v>1552382704294786</v>
      </c>
      <c r="C4618" t="s">
        <v>40</v>
      </c>
      <c r="D4618">
        <v>3.8002729999999998</v>
      </c>
      <c r="E4618">
        <v>0.44090479999999999</v>
      </c>
      <c r="F4618" t="s">
        <v>49</v>
      </c>
      <c r="G4618">
        <v>-419.05399999999997</v>
      </c>
      <c r="H4618" s="1">
        <v>-3.8744349999999996E-6</v>
      </c>
      <c r="I4618">
        <v>125.87990000000001</v>
      </c>
      <c r="J4618">
        <v>-410.75310000000002</v>
      </c>
      <c r="K4618">
        <v>1.1266879999999999</v>
      </c>
      <c r="L4618">
        <v>135.41059999999999</v>
      </c>
      <c r="M4618">
        <v>-0.84551309999999902</v>
      </c>
      <c r="N4618">
        <v>0</v>
      </c>
      <c r="O4618">
        <v>-0.53348899999999999</v>
      </c>
      <c r="P4618">
        <v>-0.74933079999999996</v>
      </c>
      <c r="Q4618">
        <v>0.1805204</v>
      </c>
      <c r="R4618">
        <v>-0.63711549999999995</v>
      </c>
      <c r="S4618">
        <v>-2.0815730000000001</v>
      </c>
      <c r="T4618">
        <v>-0.27162340000000001</v>
      </c>
      <c r="U4618">
        <v>-2.3488920000000002</v>
      </c>
      <c r="V4618">
        <v>-0.1468313</v>
      </c>
      <c r="W4618">
        <v>0.1965529</v>
      </c>
      <c r="X4618">
        <v>0.96943670000000004</v>
      </c>
      <c r="Y4618">
        <v>-0.27970620000000002</v>
      </c>
      <c r="Z4618">
        <v>3.565053E-2</v>
      </c>
      <c r="AA4618">
        <v>0.95942349999999998</v>
      </c>
      <c r="AB4618">
        <v>40</v>
      </c>
      <c r="AC4618">
        <v>-8.3009000000000093</v>
      </c>
      <c r="AD4618">
        <v>-1.1266918744350001</v>
      </c>
      <c r="AE4618">
        <v>-9.53069999999998</v>
      </c>
      <c r="AF4618">
        <v>-3.6021692282414799</v>
      </c>
      <c r="AG4618">
        <v>-1.1266918744350001</v>
      </c>
      <c r="AH4618">
        <v>12.010605220233799</v>
      </c>
      <c r="AI4618">
        <v>95.134462710568698</v>
      </c>
      <c r="AJ4618">
        <v>106.69481359074901</v>
      </c>
      <c r="AK4618">
        <v>12.5896662181773</v>
      </c>
      <c r="AL4618">
        <v>78.664545950482093</v>
      </c>
      <c r="AM4618">
        <v>98.612583241402902</v>
      </c>
      <c r="AN4618">
        <v>0.99999999423249497</v>
      </c>
    </row>
    <row r="4619" spans="1:40" x14ac:dyDescent="0.25">
      <c r="A4619" t="str">
        <f>"20190312172504325"</f>
        <v>20190312172504325</v>
      </c>
      <c r="B4619" t="str">
        <f>"1552382704315278"</f>
        <v>1552382704315278</v>
      </c>
      <c r="C4619" t="s">
        <v>40</v>
      </c>
      <c r="D4619">
        <v>3.8421449999999999</v>
      </c>
      <c r="E4619">
        <v>0.44103290000000001</v>
      </c>
      <c r="F4619" t="s">
        <v>49</v>
      </c>
      <c r="G4619">
        <v>-419.23390000000001</v>
      </c>
      <c r="H4619" s="1">
        <v>-3.682757E-6</v>
      </c>
      <c r="I4619">
        <v>125.52419999999999</v>
      </c>
      <c r="J4619">
        <v>-411.0711</v>
      </c>
      <c r="K4619">
        <v>1.12677</v>
      </c>
      <c r="L4619">
        <v>135.2012</v>
      </c>
      <c r="M4619">
        <v>-0.83741949999999998</v>
      </c>
      <c r="N4619">
        <v>0</v>
      </c>
      <c r="O4619">
        <v>-0.54610530000000002</v>
      </c>
      <c r="P4619">
        <v>-0.73950280000000002</v>
      </c>
      <c r="Q4619">
        <v>0.1802851</v>
      </c>
      <c r="R4619">
        <v>-0.64856230000000004</v>
      </c>
      <c r="S4619">
        <v>-2.0435180000000002</v>
      </c>
      <c r="T4619">
        <v>-0.27148450000000002</v>
      </c>
      <c r="U4619">
        <v>-2.3821870000000001</v>
      </c>
      <c r="V4619">
        <v>-0.14720549999999999</v>
      </c>
      <c r="W4619">
        <v>0.19628590000000001</v>
      </c>
      <c r="X4619">
        <v>0.96943400000000002</v>
      </c>
      <c r="Y4619">
        <v>-0.28079870000000001</v>
      </c>
      <c r="Z4619">
        <v>3.6776999999999997E-2</v>
      </c>
      <c r="AA4619">
        <v>0.95906179999999996</v>
      </c>
      <c r="AB4619">
        <v>40</v>
      </c>
      <c r="AC4619">
        <v>-8.1628000000000007</v>
      </c>
      <c r="AD4619">
        <v>-1.1267736827570001</v>
      </c>
      <c r="AE4619">
        <v>-9.6769999999999996</v>
      </c>
      <c r="AF4619">
        <v>-3.6182060621069101</v>
      </c>
      <c r="AG4619">
        <v>-1.1267736827570001</v>
      </c>
      <c r="AH4619">
        <v>12.028085303694899</v>
      </c>
      <c r="AI4619">
        <v>95.1261501933174</v>
      </c>
      <c r="AJ4619">
        <v>106.74197711173601</v>
      </c>
      <c r="AK4619">
        <v>12.6109424752071</v>
      </c>
      <c r="AL4619">
        <v>78.680147308134707</v>
      </c>
      <c r="AM4619">
        <v>98.634225739398005</v>
      </c>
      <c r="AN4619">
        <v>0.99999994706252804</v>
      </c>
    </row>
    <row r="4620" spans="1:40" x14ac:dyDescent="0.25">
      <c r="A4620" t="str">
        <f>"20190312172504348"</f>
        <v>20190312172504348</v>
      </c>
      <c r="B4620" t="str">
        <f>"1552382704334798"</f>
        <v>1552382704334798</v>
      </c>
      <c r="C4620" t="s">
        <v>40</v>
      </c>
      <c r="D4620">
        <v>3.7194989999999999</v>
      </c>
      <c r="E4620">
        <v>0.44135400000000002</v>
      </c>
      <c r="F4620" t="s">
        <v>49</v>
      </c>
      <c r="G4620">
        <v>-419.45670000000001</v>
      </c>
      <c r="H4620" s="1">
        <v>-3.4657180000000002E-6</v>
      </c>
      <c r="I4620">
        <v>125.1236</v>
      </c>
      <c r="J4620">
        <v>-411.40280000000001</v>
      </c>
      <c r="K4620">
        <v>1.1268450000000001</v>
      </c>
      <c r="L4620">
        <v>134.97540000000001</v>
      </c>
      <c r="M4620">
        <v>-0.82859369999999999</v>
      </c>
      <c r="N4620">
        <v>0</v>
      </c>
      <c r="O4620">
        <v>-0.55940519999999905</v>
      </c>
      <c r="P4620">
        <v>-0.72892279999999998</v>
      </c>
      <c r="Q4620">
        <v>0.1798312</v>
      </c>
      <c r="R4620">
        <v>-0.66055489999999994</v>
      </c>
      <c r="S4620">
        <v>-2.0070800000000002</v>
      </c>
      <c r="T4620">
        <v>-0.2696923</v>
      </c>
      <c r="U4620">
        <v>-2.412064</v>
      </c>
      <c r="V4620">
        <v>-0.14752199999999999</v>
      </c>
      <c r="W4620">
        <v>0.19579869999999999</v>
      </c>
      <c r="X4620">
        <v>0.96948440000000002</v>
      </c>
      <c r="Y4620">
        <v>-0.27990159999999997</v>
      </c>
      <c r="Z4620">
        <v>3.782522E-2</v>
      </c>
      <c r="AA4620">
        <v>0.9592832</v>
      </c>
      <c r="AB4620">
        <v>40</v>
      </c>
      <c r="AC4620">
        <v>-8.0538999999999898</v>
      </c>
      <c r="AD4620">
        <v>-1.126848465718</v>
      </c>
      <c r="AE4620">
        <v>-9.8518000000000097</v>
      </c>
      <c r="AF4620">
        <v>-3.6301899286573698</v>
      </c>
      <c r="AG4620">
        <v>-1.126848465718</v>
      </c>
      <c r="AH4620">
        <v>12.092765521675201</v>
      </c>
      <c r="AI4620">
        <v>95.100077627264398</v>
      </c>
      <c r="AJ4620">
        <v>106.709503333714</v>
      </c>
      <c r="AK4620">
        <v>12.6760815848208</v>
      </c>
      <c r="AL4620">
        <v>78.708614081904003</v>
      </c>
      <c r="AM4620">
        <v>98.652066135905699</v>
      </c>
      <c r="AN4620">
        <v>0.99999993662452302</v>
      </c>
    </row>
    <row r="4621" spans="1:40" x14ac:dyDescent="0.25">
      <c r="A4621" t="str">
        <f>"20190312172504370"</f>
        <v>20190312172504370</v>
      </c>
      <c r="B4621" t="str">
        <f>"1552382704365054"</f>
        <v>1552382704365054</v>
      </c>
      <c r="C4621" t="s">
        <v>40</v>
      </c>
      <c r="D4621">
        <v>3.6757420000000001</v>
      </c>
      <c r="E4621">
        <v>0.44157220000000003</v>
      </c>
      <c r="F4621" t="s">
        <v>49</v>
      </c>
      <c r="G4621">
        <v>-419.66730000000001</v>
      </c>
      <c r="H4621" s="1">
        <v>-3.2569399999999999E-6</v>
      </c>
      <c r="I4621">
        <v>124.7268</v>
      </c>
      <c r="J4621">
        <v>-411.72199999999998</v>
      </c>
      <c r="K4621">
        <v>1.126906</v>
      </c>
      <c r="L4621">
        <v>134.75059999999999</v>
      </c>
      <c r="M4621">
        <v>-0.81971839999999996</v>
      </c>
      <c r="N4621">
        <v>0</v>
      </c>
      <c r="O4621">
        <v>-0.5723319</v>
      </c>
      <c r="P4621">
        <v>-0.71868100000000001</v>
      </c>
      <c r="Q4621">
        <v>0.1789791</v>
      </c>
      <c r="R4621">
        <v>-0.67191109999999998</v>
      </c>
      <c r="S4621">
        <v>-1.9691160000000001</v>
      </c>
      <c r="T4621">
        <v>-0.268484</v>
      </c>
      <c r="U4621">
        <v>-2.4418329999999999</v>
      </c>
      <c r="V4621">
        <v>-0.1474075</v>
      </c>
      <c r="W4621">
        <v>0.19492889999999999</v>
      </c>
      <c r="X4621">
        <v>0.96967720000000002</v>
      </c>
      <c r="Y4621">
        <v>-0.27961950000000002</v>
      </c>
      <c r="Z4621">
        <v>3.8890399999999999E-2</v>
      </c>
      <c r="AA4621">
        <v>0.95932289999999998</v>
      </c>
      <c r="AB4621">
        <v>40</v>
      </c>
      <c r="AC4621">
        <v>-7.9453000000000298</v>
      </c>
      <c r="AD4621">
        <v>-1.1269092569400001</v>
      </c>
      <c r="AE4621">
        <v>-10.0237999999999</v>
      </c>
      <c r="AF4621">
        <v>-3.64198882448397</v>
      </c>
      <c r="AG4621">
        <v>-1.1269092569400001</v>
      </c>
      <c r="AH4621">
        <v>12.158523593345899</v>
      </c>
      <c r="AI4621">
        <v>95.073817863901397</v>
      </c>
      <c r="AJ4621">
        <v>106.67516797467501</v>
      </c>
      <c r="AK4621">
        <v>12.742201655953799</v>
      </c>
      <c r="AL4621">
        <v>78.759430519942995</v>
      </c>
      <c r="AM4621">
        <v>98.6437592931334</v>
      </c>
      <c r="AN4621">
        <v>1.00000005965564</v>
      </c>
    </row>
    <row r="4622" spans="1:40" x14ac:dyDescent="0.25">
      <c r="A4622" t="str">
        <f>"20190312172504393"</f>
        <v>20190312172504393</v>
      </c>
      <c r="B4622" t="str">
        <f>"1552382704385550"</f>
        <v>1552382704385550</v>
      </c>
      <c r="C4622" t="s">
        <v>40</v>
      </c>
      <c r="D4622">
        <v>3.6667380000000001</v>
      </c>
      <c r="E4622">
        <v>0.44185210000000003</v>
      </c>
      <c r="F4622" t="s">
        <v>49</v>
      </c>
      <c r="G4622">
        <v>-419.8175</v>
      </c>
      <c r="H4622" s="1">
        <v>-3.0577669999999999E-6</v>
      </c>
      <c r="I4622">
        <v>124.39619999999999</v>
      </c>
      <c r="J4622">
        <v>-412.04599999999999</v>
      </c>
      <c r="K4622">
        <v>1.126968</v>
      </c>
      <c r="L4622">
        <v>134.5147</v>
      </c>
      <c r="M4622">
        <v>-0.81030979999999997</v>
      </c>
      <c r="N4622">
        <v>0</v>
      </c>
      <c r="O4622">
        <v>-0.58557689999999996</v>
      </c>
      <c r="P4622">
        <v>-0.70790549999999997</v>
      </c>
      <c r="Q4622">
        <v>0.17888889999999999</v>
      </c>
      <c r="R4622">
        <v>-0.68327780000000005</v>
      </c>
      <c r="S4622">
        <v>-1.931549</v>
      </c>
      <c r="T4622">
        <v>-0.26887440000000001</v>
      </c>
      <c r="U4622">
        <v>-2.4705050000000002</v>
      </c>
      <c r="V4622">
        <v>-0.1471161</v>
      </c>
      <c r="W4622">
        <v>0.1948241</v>
      </c>
      <c r="X4622">
        <v>0.96974249999999995</v>
      </c>
      <c r="Y4622">
        <v>-0.2785069</v>
      </c>
      <c r="Z4622">
        <v>4.024548E-2</v>
      </c>
      <c r="AA4622">
        <v>0.95959070000000002</v>
      </c>
      <c r="AB4622">
        <v>40</v>
      </c>
      <c r="AC4622">
        <v>-7.7714999999999996</v>
      </c>
      <c r="AD4622">
        <v>-1.126971057767</v>
      </c>
      <c r="AE4622">
        <v>-10.118499999999999</v>
      </c>
      <c r="AF4622">
        <v>-3.62096516238649</v>
      </c>
      <c r="AG4622">
        <v>-1.126971057767</v>
      </c>
      <c r="AH4622">
        <v>12.130876321151099</v>
      </c>
      <c r="AI4622">
        <v>95.087057099768998</v>
      </c>
      <c r="AJ4622">
        <v>106.619924486397</v>
      </c>
      <c r="AK4622">
        <v>12.709823476009699</v>
      </c>
      <c r="AL4622">
        <v>78.765552339952905</v>
      </c>
      <c r="AM4622">
        <v>98.626357183851098</v>
      </c>
      <c r="AN4622">
        <v>1.00000004656313</v>
      </c>
    </row>
    <row r="4623" spans="1:40" x14ac:dyDescent="0.25">
      <c r="A4623" t="str">
        <f>"20190312172504414"</f>
        <v>20190312172504414</v>
      </c>
      <c r="B4623" t="str">
        <f>"1552382704405070"</f>
        <v>1552382704405070</v>
      </c>
      <c r="C4623" t="s">
        <v>40</v>
      </c>
      <c r="D4623">
        <v>3.7124299999999999</v>
      </c>
      <c r="E4623">
        <v>0.4426774</v>
      </c>
      <c r="F4623" t="s">
        <v>49</v>
      </c>
      <c r="G4623">
        <v>-420.0086</v>
      </c>
      <c r="H4623" s="1">
        <v>-2.8006029999999998E-6</v>
      </c>
      <c r="I4623">
        <v>124.00109999999999</v>
      </c>
      <c r="J4623">
        <v>-412.33940000000001</v>
      </c>
      <c r="K4623">
        <v>1.1270180000000001</v>
      </c>
      <c r="L4623">
        <v>134.29390000000001</v>
      </c>
      <c r="M4623">
        <v>-0.8014251</v>
      </c>
      <c r="N4623">
        <v>0</v>
      </c>
      <c r="O4623">
        <v>-0.59767919999999997</v>
      </c>
      <c r="P4623">
        <v>-0.69758369999999903</v>
      </c>
      <c r="Q4623">
        <v>0.1787831</v>
      </c>
      <c r="R4623">
        <v>-0.69384009999999996</v>
      </c>
      <c r="S4623">
        <v>-1.8930359999999999</v>
      </c>
      <c r="T4623">
        <v>-0.26792840000000001</v>
      </c>
      <c r="U4623">
        <v>-2.4995270000000001</v>
      </c>
      <c r="V4623">
        <v>-0.147133399999999</v>
      </c>
      <c r="W4623">
        <v>0.1946927</v>
      </c>
      <c r="X4623">
        <v>0.96976620000000002</v>
      </c>
      <c r="Y4623">
        <v>-0.278864099999999</v>
      </c>
      <c r="Z4623">
        <v>4.123607E-2</v>
      </c>
      <c r="AA4623">
        <v>0.95944490000000004</v>
      </c>
      <c r="AB4623">
        <v>40</v>
      </c>
      <c r="AC4623">
        <v>-7.6691999999999796</v>
      </c>
      <c r="AD4623">
        <v>-1.127020800603</v>
      </c>
      <c r="AE4623">
        <v>-10.2928</v>
      </c>
      <c r="AF4623">
        <v>-3.6380518623912299</v>
      </c>
      <c r="AG4623">
        <v>-1.127020800603</v>
      </c>
      <c r="AH4623">
        <v>12.207033418242199</v>
      </c>
      <c r="AI4623">
        <v>95.056344129176793</v>
      </c>
      <c r="AJ4623">
        <v>106.59559081501099</v>
      </c>
      <c r="AK4623">
        <v>12.787386836743501</v>
      </c>
      <c r="AL4623">
        <v>78.773227269643797</v>
      </c>
      <c r="AM4623">
        <v>98.627148659999605</v>
      </c>
      <c r="AN4623">
        <v>0.99999998374564403</v>
      </c>
    </row>
    <row r="4624" spans="1:40" x14ac:dyDescent="0.25">
      <c r="A4624" t="str">
        <f>"20190312172504437"</f>
        <v>20190312172504437</v>
      </c>
      <c r="B4624" t="str">
        <f>"1552382704425567"</f>
        <v>1552382704425567</v>
      </c>
      <c r="C4624" t="s">
        <v>40</v>
      </c>
      <c r="D4624">
        <v>3.7063199999999998</v>
      </c>
      <c r="E4624">
        <v>0.44349300000000003</v>
      </c>
      <c r="F4624" t="s">
        <v>49</v>
      </c>
      <c r="G4624">
        <v>-420.12439999999998</v>
      </c>
      <c r="H4624" s="1">
        <v>-2.6574129999999999E-6</v>
      </c>
      <c r="I4624">
        <v>123.7273</v>
      </c>
      <c r="J4624">
        <v>-412.64580000000001</v>
      </c>
      <c r="K4624">
        <v>1.127067</v>
      </c>
      <c r="L4624">
        <v>134.0558</v>
      </c>
      <c r="M4624">
        <v>-0.79176040000000003</v>
      </c>
      <c r="N4624">
        <v>0</v>
      </c>
      <c r="O4624">
        <v>-0.61042450000000004</v>
      </c>
      <c r="P4624">
        <v>-0.68693630000000006</v>
      </c>
      <c r="Q4624">
        <v>0.17839720000000001</v>
      </c>
      <c r="R4624">
        <v>-0.70448060000000001</v>
      </c>
      <c r="S4624">
        <v>-1.859375</v>
      </c>
      <c r="T4624">
        <v>-0.26918109999999901</v>
      </c>
      <c r="U4624">
        <v>-2.5237430000000001</v>
      </c>
      <c r="V4624">
        <v>-0.14646999999999999</v>
      </c>
      <c r="W4624">
        <v>0.1943124</v>
      </c>
      <c r="X4624">
        <v>0.96994290000000005</v>
      </c>
      <c r="Y4624">
        <v>-0.27623019999999998</v>
      </c>
      <c r="Z4624">
        <v>4.274091E-2</v>
      </c>
      <c r="AA4624">
        <v>0.96014069999999996</v>
      </c>
      <c r="AB4624">
        <v>39</v>
      </c>
      <c r="AC4624">
        <v>-7.4785999999999699</v>
      </c>
      <c r="AD4624">
        <v>-1.1270696574129999</v>
      </c>
      <c r="AE4624">
        <v>-10.3285</v>
      </c>
      <c r="AF4624">
        <v>-3.58546580866307</v>
      </c>
      <c r="AG4624">
        <v>-1.1270696574129999</v>
      </c>
      <c r="AH4624">
        <v>12.1342777448971</v>
      </c>
      <c r="AI4624">
        <v>95.090237978361898</v>
      </c>
      <c r="AJ4624">
        <v>106.46148391365401</v>
      </c>
      <c r="AK4624">
        <v>12.7030133223601</v>
      </c>
      <c r="AL4624">
        <v>78.795441273008606</v>
      </c>
      <c r="AM4624">
        <v>98.587290329031106</v>
      </c>
      <c r="AN4624">
        <v>0.99999999947708496</v>
      </c>
    </row>
    <row r="4625" spans="1:40" x14ac:dyDescent="0.25">
      <c r="A4625" t="str">
        <f>"20190312172504459"</f>
        <v>20190312172504459</v>
      </c>
      <c r="B4625" t="str">
        <f>"1552382704454846"</f>
        <v>1552382704454846</v>
      </c>
      <c r="C4625" t="s">
        <v>40</v>
      </c>
      <c r="D4625">
        <v>3.72444</v>
      </c>
      <c r="E4625">
        <v>0.44462469999999998</v>
      </c>
      <c r="F4625" t="s">
        <v>49</v>
      </c>
      <c r="G4625">
        <v>-420.22609999999997</v>
      </c>
      <c r="H4625" s="1">
        <v>-2.5238880000000002E-6</v>
      </c>
      <c r="I4625">
        <v>123.4747</v>
      </c>
      <c r="J4625">
        <v>-412.94139999999999</v>
      </c>
      <c r="K4625">
        <v>1.1271100000000001</v>
      </c>
      <c r="L4625">
        <v>133.8184</v>
      </c>
      <c r="M4625">
        <v>-0.78204010000000002</v>
      </c>
      <c r="N4625">
        <v>0</v>
      </c>
      <c r="O4625">
        <v>-0.62282930000000003</v>
      </c>
      <c r="P4625">
        <v>-0.67643949999999997</v>
      </c>
      <c r="Q4625">
        <v>0.1781324</v>
      </c>
      <c r="R4625">
        <v>-0.71463189999999999</v>
      </c>
      <c r="S4625">
        <v>-1.8250729999999999</v>
      </c>
      <c r="T4625">
        <v>-0.27135900000000002</v>
      </c>
      <c r="U4625">
        <v>-2.5475620000000001</v>
      </c>
      <c r="V4625">
        <v>-0.1455882</v>
      </c>
      <c r="W4625">
        <v>0.1940664</v>
      </c>
      <c r="X4625">
        <v>0.97012489999999996</v>
      </c>
      <c r="Y4625">
        <v>-0.27391680000000002</v>
      </c>
      <c r="Z4625">
        <v>4.436843E-2</v>
      </c>
      <c r="AA4625">
        <v>0.96072939999999996</v>
      </c>
      <c r="AB4625">
        <v>39</v>
      </c>
      <c r="AC4625">
        <v>-7.2846999999999804</v>
      </c>
      <c r="AD4625">
        <v>-1.127112523888</v>
      </c>
      <c r="AE4625">
        <v>-10.343699999999901</v>
      </c>
      <c r="AF4625">
        <v>-3.52496894286605</v>
      </c>
      <c r="AG4625">
        <v>-1.127112523888</v>
      </c>
      <c r="AH4625">
        <v>12.0466901857483</v>
      </c>
      <c r="AI4625">
        <v>95.131212577521296</v>
      </c>
      <c r="AJ4625">
        <v>106.30994637335399</v>
      </c>
      <c r="AK4625">
        <v>12.6023225288468</v>
      </c>
      <c r="AL4625">
        <v>78.809809629191307</v>
      </c>
      <c r="AM4625">
        <v>98.534777907579894</v>
      </c>
      <c r="AN4625">
        <v>1.0000000065940999</v>
      </c>
    </row>
    <row r="4626" spans="1:40" x14ac:dyDescent="0.25">
      <c r="A4626" t="str">
        <f>"20190312172504482"</f>
        <v>20190312172504482</v>
      </c>
      <c r="B4626" t="str">
        <f>"1552382704475342"</f>
        <v>1552382704475342</v>
      </c>
      <c r="C4626" t="s">
        <v>40</v>
      </c>
      <c r="D4626">
        <v>3.7511060000000001</v>
      </c>
      <c r="E4626">
        <v>0.445434</v>
      </c>
      <c r="F4626" t="s">
        <v>49</v>
      </c>
      <c r="G4626">
        <v>-420.3646</v>
      </c>
      <c r="H4626" s="1">
        <v>-2.3781379999999999E-6</v>
      </c>
      <c r="I4626">
        <v>123.1874</v>
      </c>
      <c r="J4626">
        <v>-413.2407</v>
      </c>
      <c r="K4626">
        <v>1.127148</v>
      </c>
      <c r="L4626">
        <v>133.56989999999999</v>
      </c>
      <c r="M4626">
        <v>-0.77177489999999904</v>
      </c>
      <c r="N4626">
        <v>0</v>
      </c>
      <c r="O4626">
        <v>-0.63550530000000005</v>
      </c>
      <c r="P4626">
        <v>-0.66556749999999998</v>
      </c>
      <c r="Q4626">
        <v>0.1779357</v>
      </c>
      <c r="R4626">
        <v>-0.72481640000000003</v>
      </c>
      <c r="S4626">
        <v>-1.7933650000000001</v>
      </c>
      <c r="T4626">
        <v>-0.27229789999999998</v>
      </c>
      <c r="U4626">
        <v>-2.5683289999999999</v>
      </c>
      <c r="V4626">
        <v>-0.1444597</v>
      </c>
      <c r="W4626">
        <v>0.19389519999999999</v>
      </c>
      <c r="X4626">
        <v>0.97032779999999996</v>
      </c>
      <c r="Y4626">
        <v>-0.26988299999999998</v>
      </c>
      <c r="Z4626">
        <v>4.5905229999999998E-2</v>
      </c>
      <c r="AA4626">
        <v>0.96179829999999999</v>
      </c>
      <c r="AB4626">
        <v>39</v>
      </c>
      <c r="AC4626">
        <v>-7.1238999999999901</v>
      </c>
      <c r="AD4626">
        <v>-1.1271503781379999</v>
      </c>
      <c r="AE4626">
        <v>-10.382499999999901</v>
      </c>
      <c r="AF4626">
        <v>-3.4588259887511899</v>
      </c>
      <c r="AG4626">
        <v>-1.1271503781379999</v>
      </c>
      <c r="AH4626">
        <v>12.003002244235899</v>
      </c>
      <c r="AI4626">
        <v>95.156062432978302</v>
      </c>
      <c r="AJ4626">
        <v>106.075045461383</v>
      </c>
      <c r="AK4626">
        <v>12.5421691931871</v>
      </c>
      <c r="AL4626">
        <v>78.819808479128</v>
      </c>
      <c r="AM4626">
        <v>98.467839993010102</v>
      </c>
      <c r="AN4626">
        <v>0.99999999647998405</v>
      </c>
    </row>
    <row r="4627" spans="1:40" x14ac:dyDescent="0.25">
      <c r="A4627" t="str">
        <f>"20190312172504503"</f>
        <v>20190312172504503</v>
      </c>
      <c r="B4627" t="str">
        <f>"1552382704494862"</f>
        <v>1552382704494862</v>
      </c>
      <c r="C4627" t="s">
        <v>40</v>
      </c>
      <c r="D4627">
        <v>3.7099389999999999</v>
      </c>
      <c r="E4627">
        <v>0.44629550000000001</v>
      </c>
      <c r="F4627" t="s">
        <v>49</v>
      </c>
      <c r="G4627">
        <v>-420.51139999999998</v>
      </c>
      <c r="H4627" s="1">
        <v>-2.2100430000000001E-6</v>
      </c>
      <c r="I4627">
        <v>122.86150000000001</v>
      </c>
      <c r="J4627">
        <v>-413.52330000000001</v>
      </c>
      <c r="K4627">
        <v>1.1271789999999999</v>
      </c>
      <c r="L4627">
        <v>133.32679999999999</v>
      </c>
      <c r="M4627">
        <v>-0.76165760000000005</v>
      </c>
      <c r="N4627">
        <v>0</v>
      </c>
      <c r="O4627">
        <v>-0.64759709999999904</v>
      </c>
      <c r="P4627">
        <v>-0.654335</v>
      </c>
      <c r="Q4627">
        <v>0.17752780000000001</v>
      </c>
      <c r="R4627">
        <v>-0.73507109999999998</v>
      </c>
      <c r="S4627">
        <v>-1.7590330000000001</v>
      </c>
      <c r="T4627">
        <v>-0.2726942</v>
      </c>
      <c r="U4627">
        <v>-2.5907140000000002</v>
      </c>
      <c r="V4627">
        <v>-0.14416329999999999</v>
      </c>
      <c r="W4627">
        <v>0.1934737</v>
      </c>
      <c r="X4627">
        <v>0.97045599999999999</v>
      </c>
      <c r="Y4627">
        <v>-0.26731579999999999</v>
      </c>
      <c r="Z4627">
        <v>4.7246330000000003E-2</v>
      </c>
      <c r="AA4627">
        <v>0.96245000000000003</v>
      </c>
      <c r="AB4627">
        <v>39</v>
      </c>
      <c r="AC4627">
        <v>-6.98809999999997</v>
      </c>
      <c r="AD4627">
        <v>-1.1271812100430001</v>
      </c>
      <c r="AE4627">
        <v>-10.4652999999999</v>
      </c>
      <c r="AF4627">
        <v>-3.4189252157685601</v>
      </c>
      <c r="AG4627">
        <v>-1.1271812100430001</v>
      </c>
      <c r="AH4627">
        <v>12.006505690651</v>
      </c>
      <c r="AI4627">
        <v>95.159333037449798</v>
      </c>
      <c r="AJ4627">
        <v>105.894624170398</v>
      </c>
      <c r="AK4627">
        <v>12.5345828016304</v>
      </c>
      <c r="AL4627">
        <v>78.844424701096202</v>
      </c>
      <c r="AM4627">
        <v>98.449616704824905</v>
      </c>
      <c r="AN4627">
        <v>0.99999998879728902</v>
      </c>
    </row>
    <row r="4628" spans="1:40" x14ac:dyDescent="0.25">
      <c r="A4628" t="str">
        <f>"20190312172504526"</f>
        <v>20190312172504526</v>
      </c>
      <c r="B4628" t="str">
        <f>"1552382704515359"</f>
        <v>1552382704515359</v>
      </c>
      <c r="C4628" t="s">
        <v>40</v>
      </c>
      <c r="D4628">
        <v>3.7274940000000001</v>
      </c>
      <c r="E4628">
        <v>0.44715929999999998</v>
      </c>
      <c r="F4628" t="s">
        <v>49</v>
      </c>
      <c r="G4628">
        <v>-420.6121</v>
      </c>
      <c r="H4628" s="1">
        <v>-2.0604140000000002E-6</v>
      </c>
      <c r="I4628">
        <v>122.584</v>
      </c>
      <c r="J4628">
        <v>-413.80149999999998</v>
      </c>
      <c r="K4628">
        <v>1.1272059999999999</v>
      </c>
      <c r="L4628">
        <v>133.0797</v>
      </c>
      <c r="M4628">
        <v>-0.75129609999999902</v>
      </c>
      <c r="N4628">
        <v>0</v>
      </c>
      <c r="O4628">
        <v>-0.65959040000000002</v>
      </c>
      <c r="P4628">
        <v>-0.64277790000000001</v>
      </c>
      <c r="Q4628">
        <v>0.17804629999999999</v>
      </c>
      <c r="R4628">
        <v>-0.74507489999999998</v>
      </c>
      <c r="S4628">
        <v>-1.7240599999999999</v>
      </c>
      <c r="T4628">
        <v>-0.2741439</v>
      </c>
      <c r="U4628">
        <v>-2.6127929999999999</v>
      </c>
      <c r="V4628">
        <v>-0.1438721</v>
      </c>
      <c r="W4628">
        <v>0.1939747</v>
      </c>
      <c r="X4628">
        <v>0.97039920000000002</v>
      </c>
      <c r="Y4628">
        <v>-0.26479069999999999</v>
      </c>
      <c r="Z4628">
        <v>4.876962E-2</v>
      </c>
      <c r="AA4628">
        <v>0.96307189999999998</v>
      </c>
      <c r="AB4628">
        <v>39</v>
      </c>
      <c r="AC4628">
        <v>-6.8106000000000204</v>
      </c>
      <c r="AD4628">
        <v>-1.127208060414</v>
      </c>
      <c r="AE4628">
        <v>-10.495699999999999</v>
      </c>
      <c r="AF4628">
        <v>-3.3666857752245498</v>
      </c>
      <c r="AG4628">
        <v>-1.127208060414</v>
      </c>
      <c r="AH4628">
        <v>11.945661509531501</v>
      </c>
      <c r="AI4628">
        <v>95.189546030163598</v>
      </c>
      <c r="AJ4628">
        <v>105.739606447165</v>
      </c>
      <c r="AK4628">
        <v>12.4621025521725</v>
      </c>
      <c r="AL4628">
        <v>78.815165196839999</v>
      </c>
      <c r="AM4628">
        <v>98.433281209081898</v>
      </c>
      <c r="AN4628">
        <v>0.99999998637956999</v>
      </c>
    </row>
    <row r="4629" spans="1:40" x14ac:dyDescent="0.25">
      <c r="A4629" t="str">
        <f>"20190312172504549"</f>
        <v>20190312172504549</v>
      </c>
      <c r="B4629" t="str">
        <f>"1552382704545614"</f>
        <v>1552382704545614</v>
      </c>
      <c r="C4629" t="s">
        <v>40</v>
      </c>
      <c r="D4629">
        <v>3.7251729999999998</v>
      </c>
      <c r="E4629">
        <v>0.46640039999999999</v>
      </c>
      <c r="F4629" t="s">
        <v>49</v>
      </c>
      <c r="G4629">
        <v>-420.79050000000001</v>
      </c>
      <c r="H4629" s="1">
        <v>-1.8470399999999999E-6</v>
      </c>
      <c r="I4629">
        <v>122.17359999999999</v>
      </c>
      <c r="J4629">
        <v>-414.08589999999998</v>
      </c>
      <c r="K4629">
        <v>1.1272260000000001</v>
      </c>
      <c r="L4629">
        <v>132.8185</v>
      </c>
      <c r="M4629">
        <v>-0.74026380000000003</v>
      </c>
      <c r="N4629">
        <v>0</v>
      </c>
      <c r="O4629">
        <v>-0.67194909999999997</v>
      </c>
      <c r="P4629">
        <v>-0.63038739999999904</v>
      </c>
      <c r="Q4629">
        <v>0.1774164</v>
      </c>
      <c r="R4629">
        <v>-0.75573500000000005</v>
      </c>
      <c r="S4629">
        <v>-1.688507</v>
      </c>
      <c r="T4629">
        <v>-0.2723256</v>
      </c>
      <c r="U4629">
        <v>-2.6348569999999998</v>
      </c>
      <c r="V4629">
        <v>-0.14391010000000001</v>
      </c>
      <c r="W4629">
        <v>0.19331789999999999</v>
      </c>
      <c r="X4629">
        <v>0.97052470000000002</v>
      </c>
      <c r="Y4629">
        <v>-0.26170460000000001</v>
      </c>
      <c r="Z4629">
        <v>4.9766369999999997E-2</v>
      </c>
      <c r="AA4629">
        <v>0.9638641</v>
      </c>
      <c r="AB4629">
        <v>39</v>
      </c>
      <c r="AC4629">
        <v>-6.7046000000000197</v>
      </c>
      <c r="AD4629">
        <v>-1.1272278470399999</v>
      </c>
      <c r="AE4629">
        <v>-10.6449</v>
      </c>
      <c r="AF4629">
        <v>-3.34883169200765</v>
      </c>
      <c r="AG4629">
        <v>-1.1272278470399999</v>
      </c>
      <c r="AH4629">
        <v>12.022473876961399</v>
      </c>
      <c r="AI4629">
        <v>95.161038909201196</v>
      </c>
      <c r="AJ4629">
        <v>105.565052838189</v>
      </c>
      <c r="AK4629">
        <v>12.5309694135273</v>
      </c>
      <c r="AL4629">
        <v>78.853523962511503</v>
      </c>
      <c r="AM4629">
        <v>98.434401480015694</v>
      </c>
      <c r="AN4629">
        <v>1.00000006032625</v>
      </c>
    </row>
    <row r="4630" spans="1:40" x14ac:dyDescent="0.25">
      <c r="A4630" t="str">
        <f>"20190312172504571"</f>
        <v>20190312172504571</v>
      </c>
      <c r="B4630" t="str">
        <f>"1552382704565134"</f>
        <v>1552382704565134</v>
      </c>
      <c r="C4630" t="s">
        <v>40</v>
      </c>
      <c r="D4630">
        <v>3.6194850000000001</v>
      </c>
      <c r="E4630">
        <v>0.46027669999999998</v>
      </c>
      <c r="F4630" t="s">
        <v>49</v>
      </c>
      <c r="G4630">
        <v>-421.37290000000002</v>
      </c>
      <c r="H4630" s="1">
        <v>-2.0244379999999998E-6</v>
      </c>
      <c r="I4630">
        <v>122.2089</v>
      </c>
      <c r="J4630">
        <v>-414.36430000000001</v>
      </c>
      <c r="K4630">
        <v>1.127246</v>
      </c>
      <c r="L4630">
        <v>132.55420000000001</v>
      </c>
      <c r="M4630">
        <v>-0.72902140000000004</v>
      </c>
      <c r="N4630">
        <v>0</v>
      </c>
      <c r="O4630">
        <v>-0.68413069999999998</v>
      </c>
      <c r="P4630">
        <v>-0.6171972</v>
      </c>
      <c r="Q4630">
        <v>0.17744480000000001</v>
      </c>
      <c r="R4630">
        <v>-0.76653870000000002</v>
      </c>
      <c r="S4630">
        <v>-1.7613220000000001</v>
      </c>
      <c r="T4630">
        <v>-0.27245809999999998</v>
      </c>
      <c r="U4630">
        <v>-2.5644230000000001</v>
      </c>
      <c r="V4630">
        <v>-0.14464070000000001</v>
      </c>
      <c r="W4630">
        <v>0.1932894</v>
      </c>
      <c r="X4630">
        <v>0.97042169999999905</v>
      </c>
      <c r="Y4630">
        <v>-0.21477189999999999</v>
      </c>
      <c r="Z4630">
        <v>5.2838570000000001E-2</v>
      </c>
      <c r="AA4630">
        <v>0.97523389999999999</v>
      </c>
      <c r="AB4630">
        <v>38</v>
      </c>
      <c r="AC4630">
        <v>-7.0086000000000004</v>
      </c>
      <c r="AD4630">
        <v>-1.1272480244380001</v>
      </c>
      <c r="AE4630">
        <v>-10.3453</v>
      </c>
      <c r="AF4630">
        <v>-2.72564322818</v>
      </c>
      <c r="AG4630">
        <v>-1.1272480244380001</v>
      </c>
      <c r="AH4630">
        <v>12.091562660286399</v>
      </c>
      <c r="AI4630">
        <v>95.196416485870799</v>
      </c>
      <c r="AJ4630">
        <v>102.703120043935</v>
      </c>
      <c r="AK4630">
        <v>12.4461121111597</v>
      </c>
      <c r="AL4630">
        <v>78.8551876024206</v>
      </c>
      <c r="AM4630">
        <v>98.477487166231995</v>
      </c>
      <c r="AN4630">
        <v>1.0000000000398599</v>
      </c>
    </row>
    <row r="4631" spans="1:40" x14ac:dyDescent="0.25">
      <c r="A4631" t="str">
        <f>"20190312172504593"</f>
        <v>20190312172504593</v>
      </c>
      <c r="B4631" t="str">
        <f>"1552382704585631"</f>
        <v>1552382704585631</v>
      </c>
      <c r="C4631" t="s">
        <v>40</v>
      </c>
      <c r="D4631">
        <v>3.4993310000000002</v>
      </c>
      <c r="E4631">
        <v>0.4374982</v>
      </c>
      <c r="F4631" t="s">
        <v>49</v>
      </c>
      <c r="G4631">
        <v>-421.27690000000001</v>
      </c>
      <c r="H4631" s="1">
        <v>-1.7037619999999999E-6</v>
      </c>
      <c r="I4631">
        <v>121.74460000000001</v>
      </c>
      <c r="J4631">
        <v>-414.62450000000001</v>
      </c>
      <c r="K4631">
        <v>1.1272530000000001</v>
      </c>
      <c r="L4631">
        <v>132.2989</v>
      </c>
      <c r="M4631">
        <v>-0.71809149999999999</v>
      </c>
      <c r="N4631">
        <v>0</v>
      </c>
      <c r="O4631">
        <v>-0.69559499999999996</v>
      </c>
      <c r="P4631">
        <v>-0.60456509999999997</v>
      </c>
      <c r="Q4631">
        <v>0.1770745</v>
      </c>
      <c r="R4631">
        <v>-0.77662439999999999</v>
      </c>
      <c r="S4631">
        <v>-1.6788639999999999</v>
      </c>
      <c r="T4631">
        <v>-0.27377370000000001</v>
      </c>
      <c r="U4631">
        <v>-2.6253359999999999</v>
      </c>
      <c r="V4631">
        <v>-0.14520239999999901</v>
      </c>
      <c r="W4631">
        <v>0.19287480000000001</v>
      </c>
      <c r="X4631">
        <v>0.97042030000000001</v>
      </c>
      <c r="Y4631">
        <v>-0.23133690000000001</v>
      </c>
      <c r="Z4631">
        <v>5.3569209999999999E-2</v>
      </c>
      <c r="AA4631">
        <v>0.97139779999999998</v>
      </c>
      <c r="AB4631">
        <v>38</v>
      </c>
      <c r="AC4631">
        <v>-6.6524000000000001</v>
      </c>
      <c r="AD4631">
        <v>-1.127254703762</v>
      </c>
      <c r="AE4631">
        <v>-10.5542999999999</v>
      </c>
      <c r="AF4631">
        <v>-2.9283962390829199</v>
      </c>
      <c r="AG4631">
        <v>-1.127254703762</v>
      </c>
      <c r="AH4631">
        <v>12.0233751495853</v>
      </c>
      <c r="AI4631">
        <v>95.204842705733498</v>
      </c>
      <c r="AJ4631">
        <v>103.688364349446</v>
      </c>
      <c r="AK4631">
        <v>12.426091810697899</v>
      </c>
      <c r="AL4631">
        <v>78.879397919594297</v>
      </c>
      <c r="AM4631">
        <v>98.509939746465506</v>
      </c>
      <c r="AN4631">
        <v>0.99999999204644496</v>
      </c>
    </row>
    <row r="4632" spans="1:40" x14ac:dyDescent="0.25">
      <c r="A4632" t="str">
        <f>"20190312172504615"</f>
        <v>20190312172504615</v>
      </c>
      <c r="B4632" t="str">
        <f>"1552382704605150"</f>
        <v>1552382704605150</v>
      </c>
      <c r="C4632" t="s">
        <v>40</v>
      </c>
      <c r="D4632">
        <v>3.5200119999999999</v>
      </c>
      <c r="E4632">
        <v>0.43858019999999998</v>
      </c>
      <c r="F4632" t="s">
        <v>49</v>
      </c>
      <c r="G4632">
        <v>-421.10730000000001</v>
      </c>
      <c r="H4632" s="1">
        <v>-7.2972179999999996E-7</v>
      </c>
      <c r="I4632">
        <v>120.2831</v>
      </c>
      <c r="J4632">
        <v>-414.88069999999999</v>
      </c>
      <c r="K4632">
        <v>1.1272530000000001</v>
      </c>
      <c r="L4632">
        <v>132.03919999999999</v>
      </c>
      <c r="M4632">
        <v>-0.70691110000000001</v>
      </c>
      <c r="N4632">
        <v>0</v>
      </c>
      <c r="O4632">
        <v>-0.70695509999999995</v>
      </c>
      <c r="P4632">
        <v>-0.59188940000000001</v>
      </c>
      <c r="Q4632">
        <v>0.17699379999999901</v>
      </c>
      <c r="R4632">
        <v>-0.7863464</v>
      </c>
      <c r="S4632">
        <v>-1.490143</v>
      </c>
      <c r="T4632">
        <v>-0.25911309999999999</v>
      </c>
      <c r="U4632">
        <v>-2.7619630000000002</v>
      </c>
      <c r="V4632">
        <v>-0.145481</v>
      </c>
      <c r="W4632">
        <v>0.1927644</v>
      </c>
      <c r="X4632">
        <v>0.9704005</v>
      </c>
      <c r="Y4632">
        <v>-0.2872902</v>
      </c>
      <c r="Z4632">
        <v>4.9686639999999997E-2</v>
      </c>
      <c r="AA4632">
        <v>0.95655400000000002</v>
      </c>
      <c r="AB4632">
        <v>38</v>
      </c>
      <c r="AC4632">
        <v>-6.2266000000000101</v>
      </c>
      <c r="AD4632">
        <v>-1.1272537297217999</v>
      </c>
      <c r="AE4632">
        <v>-11.756099999999901</v>
      </c>
      <c r="AF4632">
        <v>-3.8816805387613198</v>
      </c>
      <c r="AG4632">
        <v>-1.1272537297217999</v>
      </c>
      <c r="AH4632">
        <v>12.625161402429001</v>
      </c>
      <c r="AI4632">
        <v>94.8780092996832</v>
      </c>
      <c r="AJ4632">
        <v>107.09035519194499</v>
      </c>
      <c r="AK4632">
        <v>13.256426562748899</v>
      </c>
      <c r="AL4632">
        <v>78.885844242213196</v>
      </c>
      <c r="AM4632">
        <v>98.5261994334398</v>
      </c>
      <c r="AN4632">
        <v>0.99999998283430402</v>
      </c>
    </row>
    <row r="4633" spans="1:40" x14ac:dyDescent="0.25">
      <c r="A4633" t="str">
        <f>"20190312172504637"</f>
        <v>20190312172504637</v>
      </c>
      <c r="B4633" t="str">
        <f>"1552382704635406"</f>
        <v>1552382704635406</v>
      </c>
      <c r="C4633" t="s">
        <v>40</v>
      </c>
      <c r="D4633">
        <v>3.4464579999999998</v>
      </c>
      <c r="E4633">
        <v>0.43952479999999999</v>
      </c>
      <c r="F4633" t="s">
        <v>49</v>
      </c>
      <c r="G4633">
        <v>-421.26130000000001</v>
      </c>
      <c r="H4633" s="1">
        <v>-4.7385160000000001E-7</v>
      </c>
      <c r="I4633">
        <v>119.81619999999999</v>
      </c>
      <c r="J4633">
        <v>-415.13499999999999</v>
      </c>
      <c r="K4633">
        <v>1.1272420000000001</v>
      </c>
      <c r="L4633">
        <v>131.773</v>
      </c>
      <c r="M4633">
        <v>-0.69538269999999902</v>
      </c>
      <c r="N4633">
        <v>0</v>
      </c>
      <c r="O4633">
        <v>-0.71829809999999905</v>
      </c>
      <c r="P4633">
        <v>-0.57906289999999905</v>
      </c>
      <c r="Q4633">
        <v>0.17704629999999999</v>
      </c>
      <c r="R4633">
        <v>-0.79582710000000001</v>
      </c>
      <c r="S4633">
        <v>-1.451355</v>
      </c>
      <c r="T4633">
        <v>-0.25641259999999999</v>
      </c>
      <c r="U4633">
        <v>-2.7803339999999999</v>
      </c>
      <c r="V4633">
        <v>-0.14550539999999901</v>
      </c>
      <c r="W4633">
        <v>0.1928009</v>
      </c>
      <c r="X4633">
        <v>0.97038959999999996</v>
      </c>
      <c r="Y4633">
        <v>-0.28487509999999999</v>
      </c>
      <c r="Z4633">
        <v>5.0336730000000003E-2</v>
      </c>
      <c r="AA4633">
        <v>0.95724209999999998</v>
      </c>
      <c r="AB4633">
        <v>38</v>
      </c>
      <c r="AC4633">
        <v>-6.1263000000000103</v>
      </c>
      <c r="AD4633">
        <v>-1.1272424738516</v>
      </c>
      <c r="AE4633">
        <v>-11.956799999999999</v>
      </c>
      <c r="AF4633">
        <v>-3.8876344566597201</v>
      </c>
      <c r="AG4633">
        <v>-1.1272424738516</v>
      </c>
      <c r="AH4633">
        <v>12.761980708521699</v>
      </c>
      <c r="AI4633">
        <v>94.829717964861899</v>
      </c>
      <c r="AJ4633">
        <v>106.942112608477</v>
      </c>
      <c r="AK4633">
        <v>13.3885222809742</v>
      </c>
      <c r="AL4633">
        <v>78.883713071296398</v>
      </c>
      <c r="AM4633">
        <v>98.527702799078696</v>
      </c>
      <c r="AN4633">
        <v>0.99999999212906499</v>
      </c>
    </row>
    <row r="4634" spans="1:40" x14ac:dyDescent="0.25">
      <c r="A4634" t="str">
        <f>"20190312172504659"</f>
        <v>20190312172504659</v>
      </c>
      <c r="B4634" t="str">
        <f>"1552382704654930"</f>
        <v>1552382704654930</v>
      </c>
      <c r="C4634" t="s">
        <v>40</v>
      </c>
      <c r="D4634">
        <v>3.550478</v>
      </c>
      <c r="E4634">
        <v>0.44019459999999999</v>
      </c>
      <c r="F4634" t="s">
        <v>43</v>
      </c>
      <c r="G4634">
        <v>-421.31799999999998</v>
      </c>
      <c r="H4634" s="1">
        <v>-4.498616E-6</v>
      </c>
      <c r="I4634">
        <v>119.5192</v>
      </c>
      <c r="J4634">
        <v>-415.38600000000002</v>
      </c>
      <c r="K4634">
        <v>1.12723</v>
      </c>
      <c r="L4634">
        <v>131.50139999999999</v>
      </c>
      <c r="M4634">
        <v>-0.68355919999999903</v>
      </c>
      <c r="N4634">
        <v>0</v>
      </c>
      <c r="O4634">
        <v>-0.72955950000000003</v>
      </c>
      <c r="P4634">
        <v>-0.56585969999999997</v>
      </c>
      <c r="Q4634">
        <v>0.17737919999999999</v>
      </c>
      <c r="R4634">
        <v>-0.80519549999999995</v>
      </c>
      <c r="S4634">
        <v>-1.412445</v>
      </c>
      <c r="T4634">
        <v>-0.25750909999999999</v>
      </c>
      <c r="U4634">
        <v>-2.7992710000000001</v>
      </c>
      <c r="V4634">
        <v>-0.14561789999999999</v>
      </c>
      <c r="W4634">
        <v>0.19311529999999999</v>
      </c>
      <c r="X4634">
        <v>0.97031020000000001</v>
      </c>
      <c r="Y4634">
        <v>-0.28245409999999999</v>
      </c>
      <c r="Z4634">
        <v>5.1699889999999998E-2</v>
      </c>
      <c r="AA4634">
        <v>0.95788660000000003</v>
      </c>
      <c r="AB4634">
        <v>38</v>
      </c>
      <c r="AC4634">
        <v>-5.9320000000000697</v>
      </c>
      <c r="AD4634">
        <v>-1.1272344986159999</v>
      </c>
      <c r="AE4634">
        <v>-11.982199999999899</v>
      </c>
      <c r="AF4634">
        <v>-3.8364722974091099</v>
      </c>
      <c r="AG4634">
        <v>-1.1272344986159999</v>
      </c>
      <c r="AH4634">
        <v>12.709396023989299</v>
      </c>
      <c r="AI4634">
        <v>94.853279134898003</v>
      </c>
      <c r="AJ4634">
        <v>106.797022792663</v>
      </c>
      <c r="AK4634">
        <v>13.323585275677599</v>
      </c>
      <c r="AL4634">
        <v>78.865354214915101</v>
      </c>
      <c r="AM4634">
        <v>98.534887151938904</v>
      </c>
      <c r="AN4634">
        <v>0.99999998805926904</v>
      </c>
    </row>
    <row r="4635" spans="1:40" x14ac:dyDescent="0.25">
      <c r="A4635" t="str">
        <f>"20190312172504683"</f>
        <v>20190312172504683</v>
      </c>
      <c r="B4635" t="str">
        <f>"1552382704675422"</f>
        <v>1552382704675422</v>
      </c>
      <c r="C4635" t="s">
        <v>40</v>
      </c>
      <c r="D4635">
        <v>3.642395</v>
      </c>
      <c r="E4635">
        <v>0.44115159999999998</v>
      </c>
      <c r="F4635" t="s">
        <v>43</v>
      </c>
      <c r="G4635">
        <v>-421.43810000000002</v>
      </c>
      <c r="H4635" s="1">
        <v>-4.3621449999999999E-6</v>
      </c>
      <c r="I4635">
        <v>119.05549999999999</v>
      </c>
      <c r="J4635">
        <v>-415.63339999999999</v>
      </c>
      <c r="K4635">
        <v>1.1272180000000001</v>
      </c>
      <c r="L4635">
        <v>131.22409999999999</v>
      </c>
      <c r="M4635">
        <v>-0.6714194</v>
      </c>
      <c r="N4635">
        <v>0</v>
      </c>
      <c r="O4635">
        <v>-0.74074759999999995</v>
      </c>
      <c r="P4635">
        <v>-0.55300349999999998</v>
      </c>
      <c r="Q4635">
        <v>0.17741509999999999</v>
      </c>
      <c r="R4635">
        <v>-0.81407059999999998</v>
      </c>
      <c r="S4635">
        <v>-1.3706969999999901</v>
      </c>
      <c r="T4635">
        <v>-0.2552971</v>
      </c>
      <c r="U4635">
        <v>-2.818756</v>
      </c>
      <c r="V4635">
        <v>-0.14498629999999901</v>
      </c>
      <c r="W4635">
        <v>0.19316159999999999</v>
      </c>
      <c r="X4635">
        <v>0.97039560000000002</v>
      </c>
      <c r="Y4635">
        <v>-0.28069490000000002</v>
      </c>
      <c r="Z4635">
        <v>5.2376430000000002E-2</v>
      </c>
      <c r="AA4635">
        <v>0.95836690000000002</v>
      </c>
      <c r="AB4635">
        <v>38</v>
      </c>
      <c r="AC4635">
        <v>-5.80470000000002</v>
      </c>
      <c r="AD4635">
        <v>-1.1272223621449999</v>
      </c>
      <c r="AE4635">
        <v>-12.1685999999999</v>
      </c>
      <c r="AF4635">
        <v>-3.8444888508348898</v>
      </c>
      <c r="AG4635">
        <v>-1.1272223621449999</v>
      </c>
      <c r="AH4635">
        <v>12.8247578237553</v>
      </c>
      <c r="AI4635">
        <v>94.812537987390101</v>
      </c>
      <c r="AJ4635">
        <v>106.687199436832</v>
      </c>
      <c r="AK4635">
        <v>13.4359643500527</v>
      </c>
      <c r="AL4635">
        <v>78.862650938276801</v>
      </c>
      <c r="AM4635">
        <v>98.497672848314295</v>
      </c>
      <c r="AN4635">
        <v>1.0000000257007999</v>
      </c>
    </row>
    <row r="4636" spans="1:40" x14ac:dyDescent="0.25">
      <c r="A4636" t="str">
        <f>"20190312172504704"</f>
        <v>20190312172504704</v>
      </c>
      <c r="B4636" t="str">
        <f>"1552382704694942"</f>
        <v>1552382704694942</v>
      </c>
      <c r="C4636" t="s">
        <v>40</v>
      </c>
      <c r="D4636">
        <v>3.484057</v>
      </c>
      <c r="E4636">
        <v>0.45603549999999998</v>
      </c>
      <c r="F4636" t="s">
        <v>43</v>
      </c>
      <c r="G4636">
        <v>-421.50229999999999</v>
      </c>
      <c r="H4636" s="1">
        <v>-4.2639550000000004E-6</v>
      </c>
      <c r="I4636">
        <v>118.73350000000001</v>
      </c>
      <c r="J4636">
        <v>-415.86750000000001</v>
      </c>
      <c r="K4636">
        <v>1.1271979999999999</v>
      </c>
      <c r="L4636">
        <v>130.95240000000001</v>
      </c>
      <c r="M4636">
        <v>-0.65947029999999995</v>
      </c>
      <c r="N4636">
        <v>0</v>
      </c>
      <c r="O4636">
        <v>-0.75140660000000004</v>
      </c>
      <c r="P4636">
        <v>-0.54024240000000001</v>
      </c>
      <c r="Q4636">
        <v>0.17762809999999901</v>
      </c>
      <c r="R4636">
        <v>-0.82254889999999903</v>
      </c>
      <c r="S4636">
        <v>-1.3324579999999999</v>
      </c>
      <c r="T4636">
        <v>-0.25592219999999999</v>
      </c>
      <c r="U4636">
        <v>-2.8358310000000002</v>
      </c>
      <c r="V4636">
        <v>-0.144542899999999</v>
      </c>
      <c r="W4636">
        <v>0.19337119999999999</v>
      </c>
      <c r="X4636">
        <v>0.9704199</v>
      </c>
      <c r="Y4636">
        <v>-0.27814830000000001</v>
      </c>
      <c r="Z4636">
        <v>5.3601299999999998E-2</v>
      </c>
      <c r="AA4636">
        <v>0.95904140000000004</v>
      </c>
      <c r="AB4636">
        <v>37</v>
      </c>
      <c r="AC4636">
        <v>-5.6347999999999798</v>
      </c>
      <c r="AD4636">
        <v>-1.1272022639549999</v>
      </c>
      <c r="AE4636">
        <v>-12.2189</v>
      </c>
      <c r="AF4636">
        <v>-3.7982520393183301</v>
      </c>
      <c r="AG4636">
        <v>-1.1272022639549999</v>
      </c>
      <c r="AH4636">
        <v>12.810585533382699</v>
      </c>
      <c r="AI4636">
        <v>94.822056541398993</v>
      </c>
      <c r="AJ4636">
        <v>106.514734292279</v>
      </c>
      <c r="AK4636">
        <v>13.409265647535101</v>
      </c>
      <c r="AL4636">
        <v>78.850409855979194</v>
      </c>
      <c r="AM4636">
        <v>98.4718537401764</v>
      </c>
      <c r="AN4636">
        <v>0.99999992662292703</v>
      </c>
    </row>
    <row r="4637" spans="1:40" x14ac:dyDescent="0.25">
      <c r="A4637" t="str">
        <f>"20190312172504727"</f>
        <v>20190312172504727</v>
      </c>
      <c r="B4637" t="str">
        <f>"1552382704715438"</f>
        <v>1552382704715438</v>
      </c>
      <c r="C4637" t="s">
        <v>40</v>
      </c>
      <c r="D4637">
        <v>3.678693</v>
      </c>
      <c r="E4637">
        <v>0.45629510000000001</v>
      </c>
      <c r="F4637" t="s">
        <v>49</v>
      </c>
      <c r="G4637">
        <v>-421.40640000000002</v>
      </c>
      <c r="H4637" s="1">
        <v>-5.0588159999999996E-7</v>
      </c>
      <c r="I4637">
        <v>119.8058</v>
      </c>
      <c r="J4637">
        <v>-416.09899999999999</v>
      </c>
      <c r="K4637">
        <v>1.1271799999999901</v>
      </c>
      <c r="L4637">
        <v>130.67449999999999</v>
      </c>
      <c r="M4637">
        <v>-0.64719300000000002</v>
      </c>
      <c r="N4637">
        <v>0</v>
      </c>
      <c r="O4637">
        <v>-0.76200749999999995</v>
      </c>
      <c r="P4637">
        <v>-0.52687320000000004</v>
      </c>
      <c r="Q4637">
        <v>0.17873159999999999</v>
      </c>
      <c r="R4637">
        <v>-0.83093909999999904</v>
      </c>
      <c r="S4637">
        <v>-1.3892819999999999</v>
      </c>
      <c r="T4637">
        <v>-0.28272720000000001</v>
      </c>
      <c r="U4637">
        <v>-2.7958219999999998</v>
      </c>
      <c r="V4637">
        <v>-0.14436559999999901</v>
      </c>
      <c r="W4637">
        <v>0.1944555</v>
      </c>
      <c r="X4637">
        <v>0.97022969999999997</v>
      </c>
      <c r="Y4637">
        <v>-0.2416054</v>
      </c>
      <c r="Z4637">
        <v>6.1631140000000001E-2</v>
      </c>
      <c r="AA4637">
        <v>0.96841540000000004</v>
      </c>
      <c r="AB4637">
        <v>37</v>
      </c>
      <c r="AC4637">
        <v>-5.3074000000000296</v>
      </c>
      <c r="AD4637">
        <v>-1.12718050588159</v>
      </c>
      <c r="AE4637">
        <v>-10.868699999999899</v>
      </c>
      <c r="AF4637">
        <v>-2.9648458659200401</v>
      </c>
      <c r="AG4637">
        <v>-1.12718050588159</v>
      </c>
      <c r="AH4637">
        <v>11.618884406505501</v>
      </c>
      <c r="AI4637">
        <v>95.370062057851399</v>
      </c>
      <c r="AJ4637">
        <v>104.314952314707</v>
      </c>
      <c r="AK4637">
        <v>12.044057528642099</v>
      </c>
      <c r="AL4637">
        <v>78.787083039455396</v>
      </c>
      <c r="AM4637">
        <v>98.463247239954299</v>
      </c>
      <c r="AN4637">
        <v>1.00000001935284</v>
      </c>
    </row>
    <row r="4638" spans="1:40" x14ac:dyDescent="0.25">
      <c r="A4638" t="str">
        <f>"20190312172504749"</f>
        <v>20190312172504749</v>
      </c>
      <c r="B4638" t="str">
        <f>"1552382704745695"</f>
        <v>1552382704745695</v>
      </c>
      <c r="C4638" t="s">
        <v>40</v>
      </c>
      <c r="D4638">
        <v>3.555866</v>
      </c>
      <c r="E4638">
        <v>0.45796049999999999</v>
      </c>
      <c r="F4638" t="s">
        <v>49</v>
      </c>
      <c r="G4638">
        <v>-421.2953</v>
      </c>
      <c r="H4638" s="1">
        <v>-4.8216839999999995E-7</v>
      </c>
      <c r="I4638">
        <v>119.815</v>
      </c>
      <c r="J4638">
        <v>-416.33190000000002</v>
      </c>
      <c r="K4638">
        <v>1.127154</v>
      </c>
      <c r="L4638">
        <v>130.3852</v>
      </c>
      <c r="M4638">
        <v>-0.63435450000000004</v>
      </c>
      <c r="N4638">
        <v>0</v>
      </c>
      <c r="O4638">
        <v>-0.77272890000000005</v>
      </c>
      <c r="P4638">
        <v>-0.51274960000000003</v>
      </c>
      <c r="Q4638">
        <v>0.17953669999999999</v>
      </c>
      <c r="R4638">
        <v>-0.83955619999999997</v>
      </c>
      <c r="S4638">
        <v>-1.348511</v>
      </c>
      <c r="T4638">
        <v>-0.2925217</v>
      </c>
      <c r="U4638">
        <v>-2.818222</v>
      </c>
      <c r="V4638">
        <v>-0.14444560000000001</v>
      </c>
      <c r="W4638">
        <v>0.19523190000000001</v>
      </c>
      <c r="X4638">
        <v>0.97006179999999997</v>
      </c>
      <c r="Y4638">
        <v>-0.23987330000000001</v>
      </c>
      <c r="Z4638">
        <v>6.490419E-2</v>
      </c>
      <c r="AA4638">
        <v>0.96863220000000005</v>
      </c>
      <c r="AB4638">
        <v>37</v>
      </c>
      <c r="AC4638">
        <v>-4.9633999999999698</v>
      </c>
      <c r="AD4638">
        <v>-1.1271544821683901</v>
      </c>
      <c r="AE4638">
        <v>-10.5702</v>
      </c>
      <c r="AF4638">
        <v>-2.84408893598926</v>
      </c>
      <c r="AG4638">
        <v>-1.1271544821683901</v>
      </c>
      <c r="AH4638">
        <v>11.214711119141899</v>
      </c>
      <c r="AI4638">
        <v>95.564351851106906</v>
      </c>
      <c r="AJ4638">
        <v>104.230393359186</v>
      </c>
      <c r="AK4638">
        <v>11.6245027673572</v>
      </c>
      <c r="AL4638">
        <v>78.741728695250401</v>
      </c>
      <c r="AM4638">
        <v>98.469313539323295</v>
      </c>
      <c r="AN4638">
        <v>0.99999996097810395</v>
      </c>
    </row>
    <row r="4639" spans="1:40" x14ac:dyDescent="0.25">
      <c r="A4639" t="str">
        <f>"20190312172504772"</f>
        <v>20190312172504772</v>
      </c>
      <c r="B4639" t="str">
        <f>"1552382704765214"</f>
        <v>1552382704765214</v>
      </c>
      <c r="C4639" t="s">
        <v>40</v>
      </c>
      <c r="D4639">
        <v>3.6332629999999999</v>
      </c>
      <c r="E4639">
        <v>0.45800590000000002</v>
      </c>
      <c r="F4639" t="s">
        <v>43</v>
      </c>
      <c r="G4639">
        <v>-421.4547</v>
      </c>
      <c r="H4639" s="1">
        <v>-4.4570830000000002E-6</v>
      </c>
      <c r="I4639">
        <v>119.3259</v>
      </c>
      <c r="J4639">
        <v>-416.55250000000001</v>
      </c>
      <c r="K4639">
        <v>1.127119</v>
      </c>
      <c r="L4639">
        <v>130.10159999999999</v>
      </c>
      <c r="M4639">
        <v>-0.62171359999999998</v>
      </c>
      <c r="N4639">
        <v>0</v>
      </c>
      <c r="O4639">
        <v>-0.78293639999999998</v>
      </c>
      <c r="P4639">
        <v>-0.49930289999999999</v>
      </c>
      <c r="Q4639">
        <v>0.1807938</v>
      </c>
      <c r="R4639">
        <v>-0.84735519999999998</v>
      </c>
      <c r="S4639">
        <v>-1.3125</v>
      </c>
      <c r="T4639">
        <v>-0.28878700000000002</v>
      </c>
      <c r="U4639">
        <v>-2.8334959999999998</v>
      </c>
      <c r="V4639">
        <v>-0.14400779999999999</v>
      </c>
      <c r="W4639">
        <v>0.19648470000000001</v>
      </c>
      <c r="X4639">
        <v>0.96987400000000001</v>
      </c>
      <c r="Y4639">
        <v>-0.23621420000000001</v>
      </c>
      <c r="Z4639">
        <v>6.5302390000000002E-2</v>
      </c>
      <c r="AA4639">
        <v>0.96950420000000004</v>
      </c>
      <c r="AB4639">
        <v>37</v>
      </c>
      <c r="AC4639">
        <v>-4.9021999999999899</v>
      </c>
      <c r="AD4639">
        <v>-1.127123457083</v>
      </c>
      <c r="AE4639">
        <v>-10.775699999999899</v>
      </c>
      <c r="AF4639">
        <v>-2.8362691567997498</v>
      </c>
      <c r="AG4639">
        <v>-1.127123457083</v>
      </c>
      <c r="AH4639">
        <v>11.3840314966234</v>
      </c>
      <c r="AI4639">
        <v>95.487695426785706</v>
      </c>
      <c r="AJ4639">
        <v>103.99010250012</v>
      </c>
      <c r="AK4639">
        <v>11.786051210368701</v>
      </c>
      <c r="AL4639">
        <v>78.668531644278403</v>
      </c>
      <c r="AM4639">
        <v>98.445625999416805</v>
      </c>
      <c r="AN4639">
        <v>1.0000000298354601</v>
      </c>
    </row>
    <row r="4640" spans="1:40" x14ac:dyDescent="0.25">
      <c r="A4640" t="str">
        <f>"20190312172504794"</f>
        <v>20190312172504794</v>
      </c>
      <c r="B4640" t="str">
        <f>"1552382704785710"</f>
        <v>1552382704785710</v>
      </c>
      <c r="C4640" t="s">
        <v>40</v>
      </c>
      <c r="D4640">
        <v>3.593207</v>
      </c>
      <c r="E4640">
        <v>0.45866580000000001</v>
      </c>
      <c r="F4640" t="s">
        <v>43</v>
      </c>
      <c r="G4640">
        <v>-421.67590000000001</v>
      </c>
      <c r="H4640" s="1">
        <v>-4.2401670000000002E-6</v>
      </c>
      <c r="I4640">
        <v>118.5732</v>
      </c>
      <c r="J4640">
        <v>-416.76940000000002</v>
      </c>
      <c r="K4640">
        <v>1.127086</v>
      </c>
      <c r="L4640">
        <v>129.81280000000001</v>
      </c>
      <c r="M4640">
        <v>-0.60878739999999998</v>
      </c>
      <c r="N4640">
        <v>0</v>
      </c>
      <c r="O4640">
        <v>-0.79302980000000001</v>
      </c>
      <c r="P4640">
        <v>-0.48561989999999999</v>
      </c>
      <c r="Q4640">
        <v>0.18116380000000001</v>
      </c>
      <c r="R4640">
        <v>-0.8551919</v>
      </c>
      <c r="S4640">
        <v>-1.2678529999999999</v>
      </c>
      <c r="T4640">
        <v>-0.2789218</v>
      </c>
      <c r="U4640">
        <v>-2.852875</v>
      </c>
      <c r="V4640">
        <v>-0.1436308</v>
      </c>
      <c r="W4640">
        <v>0.19685259999999999</v>
      </c>
      <c r="X4640">
        <v>0.96985529999999998</v>
      </c>
      <c r="Y4640">
        <v>-0.23533319999999999</v>
      </c>
      <c r="Z4640">
        <v>6.4162410000000003E-2</v>
      </c>
      <c r="AA4640">
        <v>0.96979459999999995</v>
      </c>
      <c r="AB4640">
        <v>37</v>
      </c>
      <c r="AC4640">
        <v>-4.9064999999999896</v>
      </c>
      <c r="AD4640">
        <v>-1.127090240167</v>
      </c>
      <c r="AE4640">
        <v>-11.239599999999999</v>
      </c>
      <c r="AF4640">
        <v>-2.9275107668409999</v>
      </c>
      <c r="AG4640">
        <v>-1.127090240167</v>
      </c>
      <c r="AH4640">
        <v>11.803524733832701</v>
      </c>
      <c r="AI4640">
        <v>95.295023610281902</v>
      </c>
      <c r="AJ4640">
        <v>103.929424026414</v>
      </c>
      <c r="AK4640">
        <v>12.213265240780199</v>
      </c>
      <c r="AL4640">
        <v>78.647032630015104</v>
      </c>
      <c r="AM4640">
        <v>98.423993820377405</v>
      </c>
      <c r="AN4640">
        <v>1.00000002788674</v>
      </c>
    </row>
    <row r="4641" spans="1:40" x14ac:dyDescent="0.25">
      <c r="A4641" t="str">
        <f>"20190312172504815"</f>
        <v>20190312172504815</v>
      </c>
      <c r="B4641" t="str">
        <f>"1552382704805230"</f>
        <v>1552382704805230</v>
      </c>
      <c r="C4641" t="s">
        <v>40</v>
      </c>
      <c r="D4641">
        <v>3.4824449999999998</v>
      </c>
      <c r="E4641">
        <v>0.45986309999999903</v>
      </c>
      <c r="F4641" t="s">
        <v>43</v>
      </c>
      <c r="G4641">
        <v>-421.80880000000002</v>
      </c>
      <c r="H4641" s="1">
        <v>-4.0740740000000002E-6</v>
      </c>
      <c r="I4641">
        <v>118.0158</v>
      </c>
      <c r="J4641">
        <v>-416.97320000000002</v>
      </c>
      <c r="K4641">
        <v>1.1270469999999999</v>
      </c>
      <c r="L4641">
        <v>129.53200000000001</v>
      </c>
      <c r="M4641">
        <v>-0.59616789999999997</v>
      </c>
      <c r="N4641">
        <v>0</v>
      </c>
      <c r="O4641">
        <v>-0.80256070000000002</v>
      </c>
      <c r="P4641">
        <v>-0.47225990000000001</v>
      </c>
      <c r="Q4641">
        <v>0.18079629999999999</v>
      </c>
      <c r="R4641">
        <v>-0.8627186</v>
      </c>
      <c r="S4641">
        <v>-1.2259519999999999</v>
      </c>
      <c r="T4641">
        <v>-0.27419349999999998</v>
      </c>
      <c r="U4641">
        <v>-2.8699189999999999</v>
      </c>
      <c r="V4641">
        <v>-0.14338210000000001</v>
      </c>
      <c r="W4641">
        <v>0.19648470000000001</v>
      </c>
      <c r="X4641">
        <v>0.96996669999999996</v>
      </c>
      <c r="Y4641">
        <v>-0.23399420000000001</v>
      </c>
      <c r="Z4641">
        <v>6.4105499999999996E-2</v>
      </c>
      <c r="AA4641">
        <v>0.97012229999999999</v>
      </c>
      <c r="AB4641">
        <v>37</v>
      </c>
      <c r="AC4641">
        <v>-4.8356000000000003</v>
      </c>
      <c r="AD4641">
        <v>-1.1270510740739901</v>
      </c>
      <c r="AE4641">
        <v>-11.5162</v>
      </c>
      <c r="AF4641">
        <v>-2.9613310809639199</v>
      </c>
      <c r="AG4641">
        <v>-1.1270510740739901</v>
      </c>
      <c r="AH4641">
        <v>12.0302375033305</v>
      </c>
      <c r="AI4641">
        <v>95.197851256607095</v>
      </c>
      <c r="AJ4641">
        <v>103.828838899126</v>
      </c>
      <c r="AK4641">
        <v>12.440512058641</v>
      </c>
      <c r="AL4641">
        <v>78.668531663639001</v>
      </c>
      <c r="AM4641">
        <v>98.408664219577304</v>
      </c>
      <c r="AN4641">
        <v>1.0000000315216899</v>
      </c>
    </row>
    <row r="4642" spans="1:40" x14ac:dyDescent="0.25">
      <c r="A4642" t="str">
        <f>"20190312172504839"</f>
        <v>20190312172504839</v>
      </c>
      <c r="B4642" t="str">
        <f>"1552382704835487"</f>
        <v>1552382704835487</v>
      </c>
      <c r="C4642" t="s">
        <v>40</v>
      </c>
      <c r="D4642">
        <v>3.5741179999999999</v>
      </c>
      <c r="E4642">
        <v>0.46120660000000002</v>
      </c>
      <c r="F4642" t="s">
        <v>43</v>
      </c>
      <c r="G4642">
        <v>-421.89659999999998</v>
      </c>
      <c r="H4642" s="1">
        <v>-3.9367409999999996E-6</v>
      </c>
      <c r="I4642">
        <v>117.5894</v>
      </c>
      <c r="J4642">
        <v>-417.17989999999998</v>
      </c>
      <c r="K4642">
        <v>1.1269940000000001</v>
      </c>
      <c r="L4642">
        <v>129.23699999999999</v>
      </c>
      <c r="M4642">
        <v>-0.58286319999999903</v>
      </c>
      <c r="N4642">
        <v>0</v>
      </c>
      <c r="O4642">
        <v>-0.81227550000000004</v>
      </c>
      <c r="P4642">
        <v>-0.45829330000000001</v>
      </c>
      <c r="Q4642">
        <v>0.18001549999999999</v>
      </c>
      <c r="R4642">
        <v>-0.87038059999999995</v>
      </c>
      <c r="S4642">
        <v>-1.188812</v>
      </c>
      <c r="T4642">
        <v>-0.2721401</v>
      </c>
      <c r="U4642">
        <v>-2.883667</v>
      </c>
      <c r="V4642">
        <v>-0.14306940000000001</v>
      </c>
      <c r="W4642">
        <v>0.19570889999999999</v>
      </c>
      <c r="X4642">
        <v>0.97016970000000002</v>
      </c>
      <c r="Y4642">
        <v>-0.23028129999999999</v>
      </c>
      <c r="Z4642">
        <v>6.4741519999999997E-2</v>
      </c>
      <c r="AA4642">
        <v>0.9709681</v>
      </c>
      <c r="AB4642">
        <v>37</v>
      </c>
      <c r="AC4642">
        <v>-4.7167000000000003</v>
      </c>
      <c r="AD4642">
        <v>-1.1269979367409999</v>
      </c>
      <c r="AE4642">
        <v>-11.647599999999899</v>
      </c>
      <c r="AF4642">
        <v>-2.93480114527219</v>
      </c>
      <c r="AG4642">
        <v>-1.1269979367409999</v>
      </c>
      <c r="AH4642">
        <v>12.1157278025544</v>
      </c>
      <c r="AI4642">
        <v>95.165778382005996</v>
      </c>
      <c r="AJ4642">
        <v>103.616520398752</v>
      </c>
      <c r="AK4642">
        <v>12.5169501995214</v>
      </c>
      <c r="AL4642">
        <v>78.713861895335199</v>
      </c>
      <c r="AM4642">
        <v>98.388856548713093</v>
      </c>
      <c r="AN4642">
        <v>1.00000003677682</v>
      </c>
    </row>
    <row r="4643" spans="1:40" x14ac:dyDescent="0.25">
      <c r="A4643" t="str">
        <f>"20190312172504861"</f>
        <v>20190312172504861</v>
      </c>
      <c r="B4643" t="str">
        <f>"1552382704855012"</f>
        <v>1552382704855012</v>
      </c>
      <c r="C4643" t="s">
        <v>40</v>
      </c>
      <c r="D4643">
        <v>3.538611</v>
      </c>
      <c r="E4643">
        <v>0.46220739999999999</v>
      </c>
      <c r="F4643" t="s">
        <v>43</v>
      </c>
      <c r="G4643">
        <v>-421.90010000000001</v>
      </c>
      <c r="H4643" s="1">
        <v>-3.8391350000000001E-6</v>
      </c>
      <c r="I4643">
        <v>117.3597</v>
      </c>
      <c r="J4643">
        <v>-417.38249999999999</v>
      </c>
      <c r="K4643">
        <v>1.126943</v>
      </c>
      <c r="L4643">
        <v>128.93719999999999</v>
      </c>
      <c r="M4643">
        <v>-0.56928519999999905</v>
      </c>
      <c r="N4643">
        <v>0</v>
      </c>
      <c r="O4643">
        <v>-0.82184950000000001</v>
      </c>
      <c r="P4643">
        <v>-0.4441753</v>
      </c>
      <c r="Q4643">
        <v>0.18015339999999999</v>
      </c>
      <c r="R4643">
        <v>-0.87764089999999995</v>
      </c>
      <c r="S4643">
        <v>-1.1514279999999999</v>
      </c>
      <c r="T4643">
        <v>-0.27491759999999998</v>
      </c>
      <c r="U4643">
        <v>-2.8973239999999998</v>
      </c>
      <c r="V4643">
        <v>-0.14257829999999999</v>
      </c>
      <c r="W4643">
        <v>0.19586000000000001</v>
      </c>
      <c r="X4643">
        <v>0.97021139999999995</v>
      </c>
      <c r="Y4643">
        <v>-0.22653200000000001</v>
      </c>
      <c r="Z4643">
        <v>6.6503110000000004E-2</v>
      </c>
      <c r="AA4643">
        <v>0.97173069999999895</v>
      </c>
      <c r="AB4643">
        <v>36</v>
      </c>
      <c r="AC4643">
        <v>-4.5176000000000096</v>
      </c>
      <c r="AD4643">
        <v>-1.1269468391349999</v>
      </c>
      <c r="AE4643">
        <v>-11.577499999999899</v>
      </c>
      <c r="AF4643">
        <v>-2.8553207596867098</v>
      </c>
      <c r="AG4643">
        <v>-1.1269468391349999</v>
      </c>
      <c r="AH4643">
        <v>11.9910521063355</v>
      </c>
      <c r="AI4643">
        <v>95.2238043589049</v>
      </c>
      <c r="AJ4643">
        <v>103.393892079549</v>
      </c>
      <c r="AK4643">
        <v>12.377729857925701</v>
      </c>
      <c r="AL4643">
        <v>78.705032496234395</v>
      </c>
      <c r="AM4643">
        <v>98.360114395394902</v>
      </c>
      <c r="AN4643">
        <v>0.99999993596042203</v>
      </c>
    </row>
    <row r="4644" spans="1:40" x14ac:dyDescent="0.25">
      <c r="A4644" t="str">
        <f>"20190312172504883"</f>
        <v>20190312172504883</v>
      </c>
      <c r="B4644" t="str">
        <f>"1552382704875502"</f>
        <v>1552382704875502</v>
      </c>
      <c r="C4644" t="s">
        <v>40</v>
      </c>
      <c r="D4644">
        <v>3.445929</v>
      </c>
      <c r="E4644">
        <v>0.47627399999999998</v>
      </c>
      <c r="F4644" t="s">
        <v>43</v>
      </c>
      <c r="G4644">
        <v>-421.96129999999999</v>
      </c>
      <c r="H4644" s="1">
        <v>-3.6796319999999999E-6</v>
      </c>
      <c r="I4644">
        <v>116.95</v>
      </c>
      <c r="J4644">
        <v>-417.57029999999997</v>
      </c>
      <c r="K4644">
        <v>1.1268910000000001</v>
      </c>
      <c r="L4644">
        <v>128.6481</v>
      </c>
      <c r="M4644">
        <v>-0.55614839999999999</v>
      </c>
      <c r="N4644">
        <v>0</v>
      </c>
      <c r="O4644">
        <v>-0.83079590000000003</v>
      </c>
      <c r="P4644">
        <v>-0.4311217</v>
      </c>
      <c r="Q4644">
        <v>0.1804685</v>
      </c>
      <c r="R4644">
        <v>-0.88406180000000001</v>
      </c>
      <c r="S4644">
        <v>-1.112152</v>
      </c>
      <c r="T4644">
        <v>-0.27372729999999901</v>
      </c>
      <c r="U4644">
        <v>-2.9116209999999998</v>
      </c>
      <c r="V4644">
        <v>-0.14147609999999999</v>
      </c>
      <c r="W4644">
        <v>0.19621669999999999</v>
      </c>
      <c r="X4644">
        <v>0.97030070000000002</v>
      </c>
      <c r="Y4644">
        <v>-0.22408139999999999</v>
      </c>
      <c r="Z4644">
        <v>6.7212339999999995E-2</v>
      </c>
      <c r="AA4644">
        <v>0.97224999999999995</v>
      </c>
      <c r="AB4644">
        <v>36</v>
      </c>
      <c r="AC4644">
        <v>-4.3910000000000204</v>
      </c>
      <c r="AD4644">
        <v>-1.1268946796320001</v>
      </c>
      <c r="AE4644">
        <v>-11.698099999999901</v>
      </c>
      <c r="AF4644">
        <v>-2.8354738243656898</v>
      </c>
      <c r="AG4644">
        <v>-1.1268946796320001</v>
      </c>
      <c r="AH4644">
        <v>12.0655453169857</v>
      </c>
      <c r="AI4644">
        <v>95.195094557286197</v>
      </c>
      <c r="AJ4644">
        <v>103.22486924198</v>
      </c>
      <c r="AK4644">
        <v>12.445368103189301</v>
      </c>
      <c r="AL4644">
        <v>78.6841910055943</v>
      </c>
      <c r="AM4644">
        <v>98.295636709603599</v>
      </c>
      <c r="AN4644">
        <v>0.99999996432529403</v>
      </c>
    </row>
    <row r="4645" spans="1:40" x14ac:dyDescent="0.25">
      <c r="A4645" t="str">
        <f>"20190312172504905"</f>
        <v>20190312172504905</v>
      </c>
      <c r="B4645" t="str">
        <f>"1552382704895022"</f>
        <v>1552382704895022</v>
      </c>
      <c r="C4645" t="s">
        <v>40</v>
      </c>
      <c r="D4645">
        <v>3.512737</v>
      </c>
      <c r="E4645">
        <v>0.47783100000000001</v>
      </c>
      <c r="F4645" t="s">
        <v>43</v>
      </c>
      <c r="G4645">
        <v>-422.50119999999998</v>
      </c>
      <c r="H4645" s="1">
        <v>-3.6326679999999999E-6</v>
      </c>
      <c r="I4645">
        <v>116.5057</v>
      </c>
      <c r="J4645">
        <v>-417.75639999999999</v>
      </c>
      <c r="K4645">
        <v>1.1268370000000001</v>
      </c>
      <c r="L4645">
        <v>128.3509</v>
      </c>
      <c r="M4645">
        <v>-0.54259469999999899</v>
      </c>
      <c r="N4645">
        <v>0</v>
      </c>
      <c r="O4645">
        <v>-0.83971119999999899</v>
      </c>
      <c r="P4645">
        <v>-0.41797780000000001</v>
      </c>
      <c r="Q4645">
        <v>0.1806113</v>
      </c>
      <c r="R4645">
        <v>-0.89032269999999902</v>
      </c>
      <c r="S4645">
        <v>-1.168701</v>
      </c>
      <c r="T4645">
        <v>-0.26709690000000003</v>
      </c>
      <c r="U4645">
        <v>-2.8780060000000001</v>
      </c>
      <c r="V4645">
        <v>-0.14005999999999999</v>
      </c>
      <c r="W4645">
        <v>0.19641729999999999</v>
      </c>
      <c r="X4645">
        <v>0.97046560000000004</v>
      </c>
      <c r="Y4645">
        <v>-0.18783939999999999</v>
      </c>
      <c r="Z4645">
        <v>6.7581929999999998E-2</v>
      </c>
      <c r="AA4645">
        <v>0.97987190000000002</v>
      </c>
      <c r="AB4645">
        <v>36</v>
      </c>
      <c r="AC4645">
        <v>-4.7447999999999899</v>
      </c>
      <c r="AD4645">
        <v>-1.1268406326680001</v>
      </c>
      <c r="AE4645">
        <v>-11.845199999999901</v>
      </c>
      <c r="AF4645">
        <v>-2.4245548246544999</v>
      </c>
      <c r="AG4645">
        <v>-1.1268406326680001</v>
      </c>
      <c r="AH4645">
        <v>12.427118951129399</v>
      </c>
      <c r="AI4645">
        <v>95.085805413857997</v>
      </c>
      <c r="AJ4645">
        <v>101.03983481942301</v>
      </c>
      <c r="AK4645">
        <v>12.7114720364994</v>
      </c>
      <c r="AL4645">
        <v>78.672470014183403</v>
      </c>
      <c r="AM4645">
        <v>98.212363778914195</v>
      </c>
      <c r="AN4645">
        <v>1.0000000200613199</v>
      </c>
    </row>
    <row r="4646" spans="1:40" x14ac:dyDescent="0.25">
      <c r="A4646" t="str">
        <f>"20190312172504928"</f>
        <v>20190312172504928</v>
      </c>
      <c r="B4646" t="str">
        <f>"1552382704915519"</f>
        <v>1552382704915519</v>
      </c>
      <c r="C4646" t="s">
        <v>40</v>
      </c>
      <c r="D4646">
        <v>3.4948929999999998</v>
      </c>
      <c r="E4646">
        <v>0.47940470000000002</v>
      </c>
      <c r="F4646" t="s">
        <v>43</v>
      </c>
      <c r="G4646">
        <v>-422.4622</v>
      </c>
      <c r="H4646" s="1">
        <v>-3.5691529999999998E-6</v>
      </c>
      <c r="I4646">
        <v>116.3817</v>
      </c>
      <c r="J4646">
        <v>-417.9359</v>
      </c>
      <c r="K4646">
        <v>1.126782</v>
      </c>
      <c r="L4646">
        <v>128.05340000000001</v>
      </c>
      <c r="M4646">
        <v>-0.528977699999999</v>
      </c>
      <c r="N4646">
        <v>0</v>
      </c>
      <c r="O4646">
        <v>-0.84835590000000005</v>
      </c>
      <c r="P4646">
        <v>-0.40493849999999998</v>
      </c>
      <c r="Q4646">
        <v>0.1797473</v>
      </c>
      <c r="R4646">
        <v>-0.89650239999999903</v>
      </c>
      <c r="S4646">
        <v>-1.1366879999999999</v>
      </c>
      <c r="T4646">
        <v>-0.27218910000000002</v>
      </c>
      <c r="U4646">
        <v>-2.891159</v>
      </c>
      <c r="V4646">
        <v>-0.1385892</v>
      </c>
      <c r="W4646">
        <v>0.19561590000000001</v>
      </c>
      <c r="X4646">
        <v>0.97083850000000005</v>
      </c>
      <c r="Y4646">
        <v>-0.18296229999999999</v>
      </c>
      <c r="Z4646">
        <v>6.9836170000000003E-2</v>
      </c>
      <c r="AA4646">
        <v>0.98063639999999996</v>
      </c>
      <c r="AB4646">
        <v>36</v>
      </c>
      <c r="AC4646">
        <v>-4.5262999999999902</v>
      </c>
      <c r="AD4646">
        <v>-1.126785569153</v>
      </c>
      <c r="AE4646">
        <v>-11.6717</v>
      </c>
      <c r="AF4646">
        <v>-2.3159472932743199</v>
      </c>
      <c r="AG4646">
        <v>-1.126785569153</v>
      </c>
      <c r="AH4646">
        <v>12.2001474443258</v>
      </c>
      <c r="AI4646">
        <v>95.184703169814</v>
      </c>
      <c r="AJ4646">
        <v>100.748535532568</v>
      </c>
      <c r="AK4646">
        <v>12.469035858772999</v>
      </c>
      <c r="AL4646">
        <v>78.719294661150698</v>
      </c>
      <c r="AM4646">
        <v>98.124202122028905</v>
      </c>
      <c r="AN4646">
        <v>0.99999996988584905</v>
      </c>
    </row>
    <row r="4647" spans="1:40" x14ac:dyDescent="0.25">
      <c r="A4647" t="str">
        <f>"20190312172504950"</f>
        <v>20190312172504950</v>
      </c>
      <c r="B4647" t="str">
        <f>"1552382704944798"</f>
        <v>1552382704944798</v>
      </c>
      <c r="C4647" t="s">
        <v>40</v>
      </c>
      <c r="D4647">
        <v>3.5256850000000002</v>
      </c>
      <c r="E4647">
        <v>0.4808887</v>
      </c>
      <c r="F4647" t="s">
        <v>43</v>
      </c>
      <c r="G4647">
        <v>-422.41300000000001</v>
      </c>
      <c r="H4647" s="1">
        <v>-3.51731E-6</v>
      </c>
      <c r="I4647">
        <v>116.2915</v>
      </c>
      <c r="J4647">
        <v>-418.11279999999999</v>
      </c>
      <c r="K4647">
        <v>1.1267210000000001</v>
      </c>
      <c r="L4647">
        <v>127.74890000000001</v>
      </c>
      <c r="M4647">
        <v>-0.51498080000000002</v>
      </c>
      <c r="N4647">
        <v>0</v>
      </c>
      <c r="O4647">
        <v>-0.85692549999999901</v>
      </c>
      <c r="P4647">
        <v>-0.39158029999999999</v>
      </c>
      <c r="Q4647">
        <v>0.1794269</v>
      </c>
      <c r="R4647">
        <v>-0.90248070000000002</v>
      </c>
      <c r="S4647">
        <v>-1.1049800000000001</v>
      </c>
      <c r="T4647">
        <v>-0.27810180000000001</v>
      </c>
      <c r="U4647">
        <v>-2.9029690000000001</v>
      </c>
      <c r="V4647">
        <v>-0.13705239999999999</v>
      </c>
      <c r="W4647">
        <v>0.19535259999999999</v>
      </c>
      <c r="X4647">
        <v>0.97110969999999996</v>
      </c>
      <c r="Y4647">
        <v>-0.17756340000000001</v>
      </c>
      <c r="Z4647">
        <v>7.2357619999999997E-2</v>
      </c>
      <c r="AA4647">
        <v>0.98144569999999998</v>
      </c>
      <c r="AB4647">
        <v>36</v>
      </c>
      <c r="AC4647">
        <v>-4.30020000000001</v>
      </c>
      <c r="AD4647">
        <v>-1.12672451730999</v>
      </c>
      <c r="AE4647">
        <v>-11.4574</v>
      </c>
      <c r="AF4647">
        <v>-2.1972887776530698</v>
      </c>
      <c r="AG4647">
        <v>-1.12672451730999</v>
      </c>
      <c r="AH4647">
        <v>11.9343438598498</v>
      </c>
      <c r="AI4647">
        <v>95.304684309484401</v>
      </c>
      <c r="AJ4647">
        <v>100.432167975895</v>
      </c>
      <c r="AK4647">
        <v>12.1871304856985</v>
      </c>
      <c r="AL4647">
        <v>78.734678040680194</v>
      </c>
      <c r="AM4647">
        <v>98.033082108919402</v>
      </c>
      <c r="AN4647">
        <v>1.0000000240533</v>
      </c>
    </row>
    <row r="4648" spans="1:40" x14ac:dyDescent="0.25">
      <c r="A4648" t="str">
        <f>"20190312172504974"</f>
        <v>20190312172504974</v>
      </c>
      <c r="B4648" t="str">
        <f>"1552382704965295"</f>
        <v>1552382704965295</v>
      </c>
      <c r="C4648" t="s">
        <v>40</v>
      </c>
      <c r="D4648">
        <v>3.311083</v>
      </c>
      <c r="E4648">
        <v>0.45435639999999999</v>
      </c>
      <c r="F4648" t="s">
        <v>43</v>
      </c>
      <c r="G4648">
        <v>-422.38380000000001</v>
      </c>
      <c r="H4648" s="1">
        <v>-3.4457290000000001E-6</v>
      </c>
      <c r="I4648">
        <v>116.1427</v>
      </c>
      <c r="J4648">
        <v>-418.2867</v>
      </c>
      <c r="K4648">
        <v>1.126649</v>
      </c>
      <c r="L4648">
        <v>127.4374</v>
      </c>
      <c r="M4648">
        <v>-0.50061089999999997</v>
      </c>
      <c r="N4648">
        <v>0</v>
      </c>
      <c r="O4648">
        <v>-0.86539979999999905</v>
      </c>
      <c r="P4648">
        <v>-0.37816339999999998</v>
      </c>
      <c r="Q4648">
        <v>0.1791509</v>
      </c>
      <c r="R4648">
        <v>-0.90823900000000002</v>
      </c>
      <c r="S4648">
        <v>-1.0726929999999999</v>
      </c>
      <c r="T4648">
        <v>-0.28298489999999998</v>
      </c>
      <c r="U4648">
        <v>-2.9149780000000001</v>
      </c>
      <c r="V4648">
        <v>-0.13521459999999999</v>
      </c>
      <c r="W4648">
        <v>0.1951408</v>
      </c>
      <c r="X4648">
        <v>0.97140990000000005</v>
      </c>
      <c r="Y4648">
        <v>-0.1720785</v>
      </c>
      <c r="Z4648">
        <v>7.4632290000000004E-2</v>
      </c>
      <c r="AA4648">
        <v>0.98225200000000001</v>
      </c>
      <c r="AB4648">
        <v>36</v>
      </c>
      <c r="AC4648">
        <v>-4.09710000000001</v>
      </c>
      <c r="AD4648">
        <v>-1.1266524457289999</v>
      </c>
      <c r="AE4648">
        <v>-11.294699999999899</v>
      </c>
      <c r="AF4648">
        <v>-2.0907340275718602</v>
      </c>
      <c r="AG4648">
        <v>-1.1266524457289999</v>
      </c>
      <c r="AH4648">
        <v>11.7251743069487</v>
      </c>
      <c r="AI4648">
        <v>95.403885666753098</v>
      </c>
      <c r="AJ4648">
        <v>100.11024130403401</v>
      </c>
      <c r="AK4648">
        <v>11.963286631851799</v>
      </c>
      <c r="AL4648">
        <v>78.747051796464206</v>
      </c>
      <c r="AM4648">
        <v>97.924322586843402</v>
      </c>
      <c r="AN4648">
        <v>1.0000000568478999</v>
      </c>
    </row>
    <row r="4649" spans="1:40" x14ac:dyDescent="0.25">
      <c r="A4649" t="str">
        <f>"20190312172504996"</f>
        <v>20190312172504996</v>
      </c>
      <c r="B4649" t="str">
        <f>"1552382704984815"</f>
        <v>1552382704984815</v>
      </c>
      <c r="C4649" t="s">
        <v>40</v>
      </c>
      <c r="D4649">
        <v>3.3478379999999999</v>
      </c>
      <c r="E4649">
        <v>0.445156</v>
      </c>
      <c r="F4649" t="s">
        <v>43</v>
      </c>
      <c r="G4649">
        <v>-421.91750000000002</v>
      </c>
      <c r="H4649" s="1">
        <v>-2.5368200000000001E-6</v>
      </c>
      <c r="I4649">
        <v>114.31319999999999</v>
      </c>
      <c r="J4649">
        <v>-418.45339999999999</v>
      </c>
      <c r="K4649">
        <v>1.1265799999999999</v>
      </c>
      <c r="L4649">
        <v>127.12649999999999</v>
      </c>
      <c r="M4649">
        <v>-0.48621150000000002</v>
      </c>
      <c r="N4649">
        <v>0</v>
      </c>
      <c r="O4649">
        <v>-0.87357220000000002</v>
      </c>
      <c r="P4649">
        <v>-0.36481429999999998</v>
      </c>
      <c r="Q4649">
        <v>0.17808759999999901</v>
      </c>
      <c r="R4649">
        <v>-0.91389039999999999</v>
      </c>
      <c r="S4649">
        <v>-0.83206179999999996</v>
      </c>
      <c r="T4649">
        <v>-0.25818970000000002</v>
      </c>
      <c r="U4649">
        <v>-3.0076139999999998</v>
      </c>
      <c r="V4649">
        <v>-0.13337929999999901</v>
      </c>
      <c r="W4649">
        <v>0.19413800000000001</v>
      </c>
      <c r="X4649">
        <v>0.97186439999999996</v>
      </c>
      <c r="Y4649">
        <v>-0.23640369999999999</v>
      </c>
      <c r="Z4649">
        <v>6.7262130000000003E-2</v>
      </c>
      <c r="AA4649">
        <v>0.96932410000000002</v>
      </c>
      <c r="AB4649">
        <v>35</v>
      </c>
      <c r="AC4649">
        <v>-3.4641000000000299</v>
      </c>
      <c r="AD4649">
        <v>-1.12658253682</v>
      </c>
      <c r="AE4649">
        <v>-12.8132999999999</v>
      </c>
      <c r="AF4649">
        <v>-3.1816650973692999</v>
      </c>
      <c r="AG4649">
        <v>-1.12658253682</v>
      </c>
      <c r="AH4649">
        <v>12.7885278549302</v>
      </c>
      <c r="AI4649">
        <v>94.886178547574005</v>
      </c>
      <c r="AJ4649">
        <v>103.97100573038</v>
      </c>
      <c r="AK4649">
        <v>13.2264366214189</v>
      </c>
      <c r="AL4649">
        <v>78.805627714154895</v>
      </c>
      <c r="AM4649">
        <v>97.814491953130499</v>
      </c>
      <c r="AN4649">
        <v>1.0000000063499199</v>
      </c>
    </row>
    <row r="4650" spans="1:40" x14ac:dyDescent="0.25">
      <c r="A4650" t="str">
        <f>"20190312172505017"</f>
        <v>20190312172505017</v>
      </c>
      <c r="B4650" t="str">
        <f>"1552382705015071"</f>
        <v>1552382705015071</v>
      </c>
      <c r="C4650" t="s">
        <v>40</v>
      </c>
      <c r="D4650">
        <v>3.348767</v>
      </c>
      <c r="E4650">
        <v>0.44086239999999999</v>
      </c>
      <c r="F4650" t="s">
        <v>43</v>
      </c>
      <c r="G4650">
        <v>-421.58879999999999</v>
      </c>
      <c r="H4650" s="1">
        <v>-2.2435819999999999E-6</v>
      </c>
      <c r="I4650">
        <v>113.8335</v>
      </c>
      <c r="J4650">
        <v>-418.60559999999998</v>
      </c>
      <c r="K4650">
        <v>1.1265050000000001</v>
      </c>
      <c r="L4650">
        <v>126.8309</v>
      </c>
      <c r="M4650">
        <v>-0.4724756</v>
      </c>
      <c r="N4650">
        <v>0</v>
      </c>
      <c r="O4650">
        <v>-0.88107809999999898</v>
      </c>
      <c r="P4650">
        <v>-0.35215109999999999</v>
      </c>
      <c r="Q4650">
        <v>0.17667669999999999</v>
      </c>
      <c r="R4650">
        <v>-0.91911639999999994</v>
      </c>
      <c r="S4650">
        <v>-0.71850590000000003</v>
      </c>
      <c r="T4650">
        <v>-0.25816169999999999</v>
      </c>
      <c r="U4650">
        <v>-3.0461429999999998</v>
      </c>
      <c r="V4650">
        <v>-0.1316253</v>
      </c>
      <c r="W4650">
        <v>0.1927789</v>
      </c>
      <c r="X4650">
        <v>0.97237399999999996</v>
      </c>
      <c r="Y4650">
        <v>-0.25820579999999999</v>
      </c>
      <c r="Z4650">
        <v>6.7366350000000005E-2</v>
      </c>
      <c r="AA4650">
        <v>0.96373830000000005</v>
      </c>
      <c r="AB4650">
        <v>35</v>
      </c>
      <c r="AC4650">
        <v>-2.9832000000000098</v>
      </c>
      <c r="AD4650">
        <v>-1.1265072435819901</v>
      </c>
      <c r="AE4650">
        <v>-12.997400000000001</v>
      </c>
      <c r="AF4650">
        <v>-3.4884509404750901</v>
      </c>
      <c r="AG4650">
        <v>-1.1265072435819901</v>
      </c>
      <c r="AH4650">
        <v>12.7730761001402</v>
      </c>
      <c r="AI4650">
        <v>94.862900355162793</v>
      </c>
      <c r="AJ4650">
        <v>105.275511070954</v>
      </c>
      <c r="AK4650">
        <v>13.288708800854801</v>
      </c>
      <c r="AL4650">
        <v>78.884998440243706</v>
      </c>
      <c r="AM4650">
        <v>97.708979254878301</v>
      </c>
      <c r="AN4650">
        <v>1.00000005988064</v>
      </c>
    </row>
    <row r="4651" spans="1:40" x14ac:dyDescent="0.25">
      <c r="A4651" t="str">
        <f>"20190312172505040"</f>
        <v>20190312172505040</v>
      </c>
      <c r="B4651" t="str">
        <f>"1552382705035567"</f>
        <v>1552382705035567</v>
      </c>
      <c r="C4651" t="s">
        <v>40</v>
      </c>
      <c r="D4651">
        <v>3.3006850000000001</v>
      </c>
      <c r="E4651">
        <v>0.4399419</v>
      </c>
      <c r="F4651" t="s">
        <v>43</v>
      </c>
      <c r="G4651">
        <v>-421.39530000000002</v>
      </c>
      <c r="H4651" s="1">
        <v>-2.0602210000000001E-6</v>
      </c>
      <c r="I4651">
        <v>113.5261</v>
      </c>
      <c r="J4651">
        <v>-418.75880000000001</v>
      </c>
      <c r="K4651">
        <v>1.126428</v>
      </c>
      <c r="L4651">
        <v>126.5211</v>
      </c>
      <c r="M4651">
        <v>-0.45803729999999998</v>
      </c>
      <c r="N4651">
        <v>0</v>
      </c>
      <c r="O4651">
        <v>-0.88867109999999905</v>
      </c>
      <c r="P4651">
        <v>-0.33920169999999999</v>
      </c>
      <c r="Q4651">
        <v>0.17521289999999901</v>
      </c>
      <c r="R4651">
        <v>-0.92425290000000004</v>
      </c>
      <c r="S4651">
        <v>-0.64318850000000005</v>
      </c>
      <c r="T4651">
        <v>-0.25972430000000002</v>
      </c>
      <c r="U4651">
        <v>-3.0675050000000001</v>
      </c>
      <c r="V4651">
        <v>-0.12944800000000001</v>
      </c>
      <c r="W4651">
        <v>0.19138069999999999</v>
      </c>
      <c r="X4651">
        <v>0.97294230000000004</v>
      </c>
      <c r="Y4651">
        <v>-0.2664897</v>
      </c>
      <c r="Z4651">
        <v>6.8292359999999996E-2</v>
      </c>
      <c r="AA4651">
        <v>0.96141529999999997</v>
      </c>
      <c r="AB4651">
        <v>35</v>
      </c>
      <c r="AC4651">
        <v>-2.6365000000000101</v>
      </c>
      <c r="AD4651">
        <v>-1.126430060221</v>
      </c>
      <c r="AE4651">
        <v>-12.994999999999999</v>
      </c>
      <c r="AF4651">
        <v>-3.58418778112841</v>
      </c>
      <c r="AG4651">
        <v>-1.126430060221</v>
      </c>
      <c r="AH4651">
        <v>12.6674494040842</v>
      </c>
      <c r="AI4651">
        <v>94.890549943552799</v>
      </c>
      <c r="AJ4651">
        <v>105.798579969507</v>
      </c>
      <c r="AK4651">
        <v>13.212854390175901</v>
      </c>
      <c r="AL4651">
        <v>78.966629183497105</v>
      </c>
      <c r="AM4651">
        <v>97.578578364408799</v>
      </c>
      <c r="AN4651">
        <v>1.00000003808288</v>
      </c>
    </row>
    <row r="4652" spans="1:40" x14ac:dyDescent="0.25">
      <c r="A4652" t="str">
        <f>"20190312172505063"</f>
        <v>20190312172505063</v>
      </c>
      <c r="B4652" t="str">
        <f>"1552382705055086"</f>
        <v>1552382705055086</v>
      </c>
      <c r="C4652" t="s">
        <v>40</v>
      </c>
      <c r="D4652">
        <v>3.3088030000000002</v>
      </c>
      <c r="E4652">
        <v>0.43973089999999998</v>
      </c>
      <c r="F4652" t="s">
        <v>43</v>
      </c>
      <c r="G4652">
        <v>-421.27519999999998</v>
      </c>
      <c r="H4652" s="1">
        <v>-1.9927910000000002E-6</v>
      </c>
      <c r="I4652">
        <v>113.4435</v>
      </c>
      <c r="J4652">
        <v>-418.90640000000002</v>
      </c>
      <c r="K4652">
        <v>1.126349</v>
      </c>
      <c r="L4652">
        <v>126.20869999999999</v>
      </c>
      <c r="M4652">
        <v>-0.44343549999999998</v>
      </c>
      <c r="N4652">
        <v>0</v>
      </c>
      <c r="O4652">
        <v>-0.89604819999999996</v>
      </c>
      <c r="P4652">
        <v>-0.32558179999999998</v>
      </c>
      <c r="Q4652">
        <v>0.17515339999999999</v>
      </c>
      <c r="R4652">
        <v>-0.92914929999999996</v>
      </c>
      <c r="S4652">
        <v>-0.59240719999999902</v>
      </c>
      <c r="T4652">
        <v>-0.26518419999999998</v>
      </c>
      <c r="U4652">
        <v>-3.078735</v>
      </c>
      <c r="V4652">
        <v>-0.12778390000000001</v>
      </c>
      <c r="W4652">
        <v>0.1913521</v>
      </c>
      <c r="X4652">
        <v>0.97316780000000003</v>
      </c>
      <c r="Y4652">
        <v>-0.26669150000000003</v>
      </c>
      <c r="Z4652">
        <v>7.0480089999999995E-2</v>
      </c>
      <c r="AA4652">
        <v>0.96120139999999998</v>
      </c>
      <c r="AB4652">
        <v>35</v>
      </c>
      <c r="AC4652">
        <v>-2.3687999999999598</v>
      </c>
      <c r="AD4652">
        <v>-1.126350992791</v>
      </c>
      <c r="AE4652">
        <v>-12.765199999999901</v>
      </c>
      <c r="AF4652">
        <v>-3.5123668726397201</v>
      </c>
      <c r="AG4652">
        <v>-1.126350992791</v>
      </c>
      <c r="AH4652">
        <v>12.398219675290299</v>
      </c>
      <c r="AI4652">
        <v>94.995410641589004</v>
      </c>
      <c r="AJ4652">
        <v>105.81721739970401</v>
      </c>
      <c r="AK4652">
        <v>12.935271111334799</v>
      </c>
      <c r="AL4652">
        <v>78.968297815491098</v>
      </c>
      <c r="AM4652">
        <v>97.480549846395306</v>
      </c>
      <c r="AN4652">
        <v>0.99999995911522899</v>
      </c>
    </row>
    <row r="4653" spans="1:40" x14ac:dyDescent="0.25">
      <c r="A4653" t="str">
        <f>"20190312172505084"</f>
        <v>20190312172505084</v>
      </c>
      <c r="B4653" t="str">
        <f>"1552382705075583"</f>
        <v>1552382705075583</v>
      </c>
      <c r="C4653" t="s">
        <v>40</v>
      </c>
      <c r="D4653">
        <v>3.3075770000000002</v>
      </c>
      <c r="E4653">
        <v>0.43997340000000001</v>
      </c>
      <c r="F4653" t="s">
        <v>43</v>
      </c>
      <c r="G4653">
        <v>-421.21440000000001</v>
      </c>
      <c r="H4653" s="1">
        <v>-1.8502619999999999E-6</v>
      </c>
      <c r="I4653">
        <v>113.1489</v>
      </c>
      <c r="J4653">
        <v>-419.04270000000002</v>
      </c>
      <c r="K4653">
        <v>1.126268</v>
      </c>
      <c r="L4653">
        <v>125.907</v>
      </c>
      <c r="M4653">
        <v>-0.4292918</v>
      </c>
      <c r="N4653">
        <v>0</v>
      </c>
      <c r="O4653">
        <v>-0.90291140000000003</v>
      </c>
      <c r="P4653">
        <v>-0.31303340000000002</v>
      </c>
      <c r="Q4653">
        <v>0.17489589999999999</v>
      </c>
      <c r="R4653">
        <v>-0.93349970000000004</v>
      </c>
      <c r="S4653">
        <v>-0.54568479999999997</v>
      </c>
      <c r="T4653">
        <v>-0.26630199999999998</v>
      </c>
      <c r="U4653">
        <v>-3.087723</v>
      </c>
      <c r="V4653">
        <v>-0.1255569</v>
      </c>
      <c r="W4653">
        <v>0.1911368</v>
      </c>
      <c r="X4653">
        <v>0.97350000000000003</v>
      </c>
      <c r="Y4653">
        <v>-0.26613140000000002</v>
      </c>
      <c r="Z4653">
        <v>7.1520059999999996E-2</v>
      </c>
      <c r="AA4653">
        <v>0.96127989999999996</v>
      </c>
      <c r="AB4653">
        <v>35</v>
      </c>
      <c r="AC4653">
        <v>-2.17169999999998</v>
      </c>
      <c r="AD4653">
        <v>-1.1262698502619899</v>
      </c>
      <c r="AE4653">
        <v>-12.758100000000001</v>
      </c>
      <c r="AF4653">
        <v>-3.4904674771100801</v>
      </c>
      <c r="AG4653">
        <v>-1.1262698502619899</v>
      </c>
      <c r="AH4653">
        <v>12.3609707856361</v>
      </c>
      <c r="AI4653">
        <v>95.011226763122195</v>
      </c>
      <c r="AJ4653">
        <v>105.768517732473</v>
      </c>
      <c r="AK4653">
        <v>12.893620350689799</v>
      </c>
      <c r="AL4653">
        <v>78.980866366376603</v>
      </c>
      <c r="AM4653">
        <v>97.3491372202663</v>
      </c>
      <c r="AN4653">
        <v>1.00000003072592</v>
      </c>
    </row>
    <row r="4654" spans="1:40" x14ac:dyDescent="0.25">
      <c r="A4654" t="str">
        <f>"20190312172505106"</f>
        <v>20190312172505106</v>
      </c>
      <c r="B4654" t="str">
        <f>"1552382705095103"</f>
        <v>1552382705095103</v>
      </c>
      <c r="C4654" t="s">
        <v>40</v>
      </c>
      <c r="D4654">
        <v>3.353418</v>
      </c>
      <c r="E4654">
        <v>0.44044489999999997</v>
      </c>
      <c r="F4654" t="s">
        <v>43</v>
      </c>
      <c r="G4654">
        <v>-421.16550000000001</v>
      </c>
      <c r="H4654" s="1">
        <v>-1.739835E-6</v>
      </c>
      <c r="I4654">
        <v>112.9218</v>
      </c>
      <c r="J4654">
        <v>-419.17619999999999</v>
      </c>
      <c r="K4654">
        <v>1.126172</v>
      </c>
      <c r="L4654">
        <v>125.5984</v>
      </c>
      <c r="M4654">
        <v>-0.41479280000000002</v>
      </c>
      <c r="N4654">
        <v>0</v>
      </c>
      <c r="O4654">
        <v>-0.90966530000000001</v>
      </c>
      <c r="P4654">
        <v>-0.29968689999999998</v>
      </c>
      <c r="Q4654">
        <v>0.17526939999999999</v>
      </c>
      <c r="R4654">
        <v>-0.93780019999999997</v>
      </c>
      <c r="S4654">
        <v>-0.50585939999999996</v>
      </c>
      <c r="T4654">
        <v>-0.26838719999999999</v>
      </c>
      <c r="U4654">
        <v>-3.0943450000000001</v>
      </c>
      <c r="V4654">
        <v>-0.1238037</v>
      </c>
      <c r="W4654">
        <v>0.19152240000000001</v>
      </c>
      <c r="X4654">
        <v>0.97364870000000003</v>
      </c>
      <c r="Y4654">
        <v>-0.26309890000000002</v>
      </c>
      <c r="Z4654">
        <v>7.2878730000000003E-2</v>
      </c>
      <c r="AA4654">
        <v>0.96201230000000004</v>
      </c>
      <c r="AB4654">
        <v>35</v>
      </c>
      <c r="AC4654">
        <v>-1.9893000000000101</v>
      </c>
      <c r="AD4654">
        <v>-1.126173739835</v>
      </c>
      <c r="AE4654">
        <v>-12.676599999999899</v>
      </c>
      <c r="AF4654">
        <v>-3.4229856862115202</v>
      </c>
      <c r="AG4654">
        <v>-1.126173739835</v>
      </c>
      <c r="AH4654">
        <v>12.264955987444599</v>
      </c>
      <c r="AI4654">
        <v>95.054130414415198</v>
      </c>
      <c r="AJ4654">
        <v>105.593709242835</v>
      </c>
      <c r="AK4654">
        <v>12.783358075022999</v>
      </c>
      <c r="AL4654">
        <v>78.958356804994594</v>
      </c>
      <c r="AM4654">
        <v>97.246521987621094</v>
      </c>
      <c r="AN4654">
        <v>0.99999998842356996</v>
      </c>
    </row>
    <row r="4655" spans="1:40" x14ac:dyDescent="0.25">
      <c r="A4655" t="str">
        <f>"20190312172505130"</f>
        <v>20190312172505130</v>
      </c>
      <c r="B4655" t="str">
        <f>"1552382705125359"</f>
        <v>1552382705125359</v>
      </c>
      <c r="C4655" t="s">
        <v>40</v>
      </c>
      <c r="D4655">
        <v>3.3999820000000001</v>
      </c>
      <c r="E4655">
        <v>0.4410731</v>
      </c>
      <c r="F4655" t="s">
        <v>43</v>
      </c>
      <c r="G4655">
        <v>-421.1465</v>
      </c>
      <c r="H4655" s="1">
        <v>-1.535633E-6</v>
      </c>
      <c r="I4655">
        <v>112.4576</v>
      </c>
      <c r="J4655">
        <v>-419.30650000000003</v>
      </c>
      <c r="K4655">
        <v>1.1260709999999901</v>
      </c>
      <c r="L4655">
        <v>125.2829</v>
      </c>
      <c r="M4655">
        <v>-0.3999508</v>
      </c>
      <c r="N4655">
        <v>0</v>
      </c>
      <c r="O4655">
        <v>-0.91628989999999999</v>
      </c>
      <c r="P4655">
        <v>-0.28576509999999999</v>
      </c>
      <c r="Q4655">
        <v>0.17523520000000001</v>
      </c>
      <c r="R4655">
        <v>-0.94214180000000003</v>
      </c>
      <c r="S4655">
        <v>-0.46481319999999998</v>
      </c>
      <c r="T4655">
        <v>-0.265681099999999</v>
      </c>
      <c r="U4655">
        <v>-3.100098</v>
      </c>
      <c r="V4655">
        <v>-0.1223438</v>
      </c>
      <c r="W4655">
        <v>0.1914874</v>
      </c>
      <c r="X4655">
        <v>0.97384009999999999</v>
      </c>
      <c r="Y4655">
        <v>-0.26012790000000002</v>
      </c>
      <c r="Z4655">
        <v>7.29432E-2</v>
      </c>
      <c r="AA4655">
        <v>0.96281499999999998</v>
      </c>
      <c r="AB4655">
        <v>35</v>
      </c>
      <c r="AC4655">
        <v>-1.8399999999999701</v>
      </c>
      <c r="AD4655">
        <v>-1.1260725356329999</v>
      </c>
      <c r="AE4655">
        <v>-12.8253</v>
      </c>
      <c r="AF4655">
        <v>-3.4184728720020301</v>
      </c>
      <c r="AG4655">
        <v>-1.1260725356329999</v>
      </c>
      <c r="AH4655">
        <v>12.396787180735901</v>
      </c>
      <c r="AI4655">
        <v>95.004481793427303</v>
      </c>
      <c r="AJ4655">
        <v>105.416446744507</v>
      </c>
      <c r="AK4655">
        <v>12.9086919762065</v>
      </c>
      <c r="AL4655">
        <v>78.9603999353848</v>
      </c>
      <c r="AM4655">
        <v>97.160570138015601</v>
      </c>
      <c r="AN4655">
        <v>0.99999998506260401</v>
      </c>
    </row>
    <row r="4656" spans="1:40" x14ac:dyDescent="0.25">
      <c r="A4656" t="str">
        <f>"20190312172505152"</f>
        <v>20190312172505152</v>
      </c>
      <c r="B4656" t="str">
        <f>"1552382705144879"</f>
        <v>1552382705144879</v>
      </c>
      <c r="C4656" t="s">
        <v>40</v>
      </c>
      <c r="D4656">
        <v>3.3921879999999902</v>
      </c>
      <c r="E4656">
        <v>0.44160739999999998</v>
      </c>
      <c r="F4656" t="s">
        <v>43</v>
      </c>
      <c r="G4656">
        <v>-421.11649999999997</v>
      </c>
      <c r="H4656" s="1">
        <v>-1.337558E-6</v>
      </c>
      <c r="I4656">
        <v>112.0145</v>
      </c>
      <c r="J4656">
        <v>-419.43020000000001</v>
      </c>
      <c r="K4656">
        <v>1.1259629999999901</v>
      </c>
      <c r="L4656">
        <v>124.9686</v>
      </c>
      <c r="M4656">
        <v>-0.38515240000000001</v>
      </c>
      <c r="N4656">
        <v>0</v>
      </c>
      <c r="O4656">
        <v>-0.9226105</v>
      </c>
      <c r="P4656">
        <v>-0.27162720000000001</v>
      </c>
      <c r="Q4656">
        <v>0.17455229999999999</v>
      </c>
      <c r="R4656">
        <v>-0.94644119999999998</v>
      </c>
      <c r="S4656">
        <v>-0.42355350000000003</v>
      </c>
      <c r="T4656">
        <v>-0.26349679999999998</v>
      </c>
      <c r="U4656">
        <v>-3.104752</v>
      </c>
      <c r="V4656">
        <v>-0.1212174</v>
      </c>
      <c r="W4656">
        <v>0.19078200000000001</v>
      </c>
      <c r="X4656">
        <v>0.97411939999999997</v>
      </c>
      <c r="Y4656">
        <v>-0.25733460000000002</v>
      </c>
      <c r="Z4656">
        <v>7.3115940000000004E-2</v>
      </c>
      <c r="AA4656">
        <v>0.96355219999999997</v>
      </c>
      <c r="AB4656">
        <v>34</v>
      </c>
      <c r="AC4656">
        <v>-1.6862999999999599</v>
      </c>
      <c r="AD4656">
        <v>-1.12596433755799</v>
      </c>
      <c r="AE4656">
        <v>-12.954099999999899</v>
      </c>
      <c r="AF4656">
        <v>-3.40894764857982</v>
      </c>
      <c r="AG4656">
        <v>-1.12596433755799</v>
      </c>
      <c r="AH4656">
        <v>12.5109463087097</v>
      </c>
      <c r="AI4656">
        <v>94.962696437605004</v>
      </c>
      <c r="AJ4656">
        <v>105.241781814794</v>
      </c>
      <c r="AK4656">
        <v>13.015855611508099</v>
      </c>
      <c r="AL4656">
        <v>79.001575861550904</v>
      </c>
      <c r="AM4656">
        <v>97.093305270500693</v>
      </c>
      <c r="AN4656">
        <v>1.00000001752155</v>
      </c>
    </row>
    <row r="4657" spans="1:40" x14ac:dyDescent="0.25">
      <c r="A4657" t="str">
        <f>"20190312172505175"</f>
        <v>20190312172505175</v>
      </c>
      <c r="B4657" t="str">
        <f>"1552382705165375"</f>
        <v>1552382705165375</v>
      </c>
      <c r="C4657" t="s">
        <v>40</v>
      </c>
      <c r="D4657">
        <v>3.3888389999999999</v>
      </c>
      <c r="E4657">
        <v>0.44231160000000003</v>
      </c>
      <c r="F4657" t="s">
        <v>43</v>
      </c>
      <c r="G4657">
        <v>-421.05200000000002</v>
      </c>
      <c r="H4657" s="1">
        <v>-1.1996999999999999E-6</v>
      </c>
      <c r="I4657">
        <v>111.7332</v>
      </c>
      <c r="J4657">
        <v>-419.54930000000002</v>
      </c>
      <c r="K4657">
        <v>1.12585</v>
      </c>
      <c r="L4657">
        <v>124.651</v>
      </c>
      <c r="M4657">
        <v>-0.3702086</v>
      </c>
      <c r="N4657">
        <v>0</v>
      </c>
      <c r="O4657">
        <v>-0.92871029999999999</v>
      </c>
      <c r="P4657">
        <v>-0.2574977</v>
      </c>
      <c r="Q4657">
        <v>0.17427139999999999</v>
      </c>
      <c r="R4657">
        <v>-0.95043390000000005</v>
      </c>
      <c r="S4657">
        <v>-0.38098140000000003</v>
      </c>
      <c r="T4657">
        <v>-0.26450839999999998</v>
      </c>
      <c r="U4657">
        <v>-3.1092219999999999</v>
      </c>
      <c r="V4657">
        <v>-0.11994929999999999</v>
      </c>
      <c r="W4657">
        <v>0.19046750000000001</v>
      </c>
      <c r="X4657">
        <v>0.97433789999999998</v>
      </c>
      <c r="Y4657">
        <v>-0.25490160000000001</v>
      </c>
      <c r="Z4657">
        <v>7.4135290000000006E-2</v>
      </c>
      <c r="AA4657">
        <v>0.96412089999999995</v>
      </c>
      <c r="AB4657">
        <v>34</v>
      </c>
      <c r="AC4657">
        <v>-1.50269999999994</v>
      </c>
      <c r="AD4657">
        <v>-1.1258511997</v>
      </c>
      <c r="AE4657">
        <v>-12.9178</v>
      </c>
      <c r="AF4657">
        <v>-3.36225898138931</v>
      </c>
      <c r="AG4657">
        <v>-1.1258511997</v>
      </c>
      <c r="AH4657">
        <v>12.4625845532508</v>
      </c>
      <c r="AI4657">
        <v>94.984726781370497</v>
      </c>
      <c r="AJ4657">
        <v>105.098266940611</v>
      </c>
      <c r="AK4657">
        <v>12.9571733078139</v>
      </c>
      <c r="AL4657">
        <v>79.019932044198995</v>
      </c>
      <c r="AM4657">
        <v>97.018285276608694</v>
      </c>
      <c r="AN4657">
        <v>1.00000002325157</v>
      </c>
    </row>
    <row r="4658" spans="1:40" x14ac:dyDescent="0.25">
      <c r="A4658" t="str">
        <f>"20190312172505197"</f>
        <v>20190312172505197</v>
      </c>
      <c r="B4658" t="str">
        <f>"1552382705184896"</f>
        <v>1552382705184896</v>
      </c>
      <c r="C4658" t="s">
        <v>40</v>
      </c>
      <c r="D4658">
        <v>3.4305020000000002</v>
      </c>
      <c r="E4658">
        <v>0.4548796</v>
      </c>
      <c r="F4658" t="s">
        <v>43</v>
      </c>
      <c r="G4658">
        <v>-420.99119999999999</v>
      </c>
      <c r="H4658" s="1">
        <v>-1.0663409999999999E-6</v>
      </c>
      <c r="I4658">
        <v>111.46</v>
      </c>
      <c r="J4658">
        <v>-419.66079999999999</v>
      </c>
      <c r="K4658">
        <v>1.125721</v>
      </c>
      <c r="L4658">
        <v>124.3385</v>
      </c>
      <c r="M4658">
        <v>-0.35552840000000002</v>
      </c>
      <c r="N4658">
        <v>0</v>
      </c>
      <c r="O4658">
        <v>-0.93443169999999998</v>
      </c>
      <c r="P4658">
        <v>-0.2444596</v>
      </c>
      <c r="Q4658">
        <v>0.17436199999999999</v>
      </c>
      <c r="R4658">
        <v>-0.95385450000000005</v>
      </c>
      <c r="S4658">
        <v>-0.34027099999999999</v>
      </c>
      <c r="T4658">
        <v>-0.26569280000000001</v>
      </c>
      <c r="U4658">
        <v>-3.1129910000000001</v>
      </c>
      <c r="V4658">
        <v>-0.1178626</v>
      </c>
      <c r="W4658">
        <v>0.19054099999999999</v>
      </c>
      <c r="X4658">
        <v>0.9745781</v>
      </c>
      <c r="Y4658">
        <v>-0.2522508</v>
      </c>
      <c r="Z4658">
        <v>7.517248E-2</v>
      </c>
      <c r="AA4658">
        <v>0.96473759999999997</v>
      </c>
      <c r="AB4658">
        <v>34</v>
      </c>
      <c r="AC4658">
        <v>-1.33039999999999</v>
      </c>
      <c r="AD4658">
        <v>-1.1257220663409999</v>
      </c>
      <c r="AE4658">
        <v>-12.878500000000001</v>
      </c>
      <c r="AF4658">
        <v>-3.3112008648401199</v>
      </c>
      <c r="AG4658">
        <v>-1.1257220663409999</v>
      </c>
      <c r="AH4658">
        <v>12.415942538915001</v>
      </c>
      <c r="AI4658">
        <v>95.006647757856697</v>
      </c>
      <c r="AJ4658">
        <v>104.93263580005799</v>
      </c>
      <c r="AK4658">
        <v>12.8991058010857</v>
      </c>
      <c r="AL4658">
        <v>79.015641640228694</v>
      </c>
      <c r="AM4658">
        <v>96.895694370986106</v>
      </c>
      <c r="AN4658">
        <v>0.99999996907968403</v>
      </c>
    </row>
    <row r="4659" spans="1:40" x14ac:dyDescent="0.25">
      <c r="A4659" t="str">
        <f>"20190312172505219"</f>
        <v>20190312172505219</v>
      </c>
      <c r="B4659" t="str">
        <f>"1552382705215151"</f>
        <v>1552382705215151</v>
      </c>
      <c r="C4659" t="s">
        <v>40</v>
      </c>
      <c r="D4659">
        <v>3.4886409999999999</v>
      </c>
      <c r="E4659">
        <v>0.45601550000000002</v>
      </c>
      <c r="F4659" t="s">
        <v>43</v>
      </c>
      <c r="G4659">
        <v>-421.33440000000002</v>
      </c>
      <c r="H4659" s="1">
        <v>-1.0504430000000001E-6</v>
      </c>
      <c r="I4659">
        <v>111.2101</v>
      </c>
      <c r="J4659">
        <v>-419.76690000000002</v>
      </c>
      <c r="K4659">
        <v>1.125569</v>
      </c>
      <c r="L4659">
        <v>124.0253</v>
      </c>
      <c r="M4659">
        <v>-0.34088289999999999</v>
      </c>
      <c r="N4659">
        <v>0</v>
      </c>
      <c r="O4659">
        <v>-0.93987670000000001</v>
      </c>
      <c r="P4659">
        <v>-0.2309571</v>
      </c>
      <c r="Q4659">
        <v>0.17434259999999999</v>
      </c>
      <c r="R4659">
        <v>-0.95721670000000003</v>
      </c>
      <c r="S4659">
        <v>-0.39422610000000002</v>
      </c>
      <c r="T4659">
        <v>-0.26518140000000001</v>
      </c>
      <c r="U4659">
        <v>-3.09259</v>
      </c>
      <c r="V4659">
        <v>-0.1163255</v>
      </c>
      <c r="W4659">
        <v>0.19046650000000001</v>
      </c>
      <c r="X4659">
        <v>0.97477729999999996</v>
      </c>
      <c r="Y4659">
        <v>-0.21972359999999999</v>
      </c>
      <c r="Z4659">
        <v>7.6472100000000001E-2</v>
      </c>
      <c r="AA4659">
        <v>0.97256030000000004</v>
      </c>
      <c r="AB4659">
        <v>34</v>
      </c>
      <c r="AC4659">
        <v>-1.5674999999999899</v>
      </c>
      <c r="AD4659">
        <v>-1.125570050443</v>
      </c>
      <c r="AE4659">
        <v>-12.815200000000001</v>
      </c>
      <c r="AF4659">
        <v>-2.87400539611455</v>
      </c>
      <c r="AG4659">
        <v>-1.125570050443</v>
      </c>
      <c r="AH4659">
        <v>12.486844356572799</v>
      </c>
      <c r="AI4659">
        <v>95.020189366813199</v>
      </c>
      <c r="AJ4659">
        <v>102.961616052636</v>
      </c>
      <c r="AK4659">
        <v>12.862662902394</v>
      </c>
      <c r="AL4659">
        <v>79.019989561703298</v>
      </c>
      <c r="AM4659">
        <v>96.805235776653205</v>
      </c>
      <c r="AN4659">
        <v>0.99999994708389295</v>
      </c>
    </row>
    <row r="4660" spans="1:40" x14ac:dyDescent="0.25">
      <c r="A4660" t="str">
        <f>"20190312172505242"</f>
        <v>20190312172505242</v>
      </c>
      <c r="B4660" t="str">
        <f>"1552382705235646"</f>
        <v>1552382705235646</v>
      </c>
      <c r="C4660" t="s">
        <v>40</v>
      </c>
      <c r="D4660">
        <v>3.48888</v>
      </c>
      <c r="E4660">
        <v>0.46549170000000001</v>
      </c>
      <c r="F4660" t="s">
        <v>43</v>
      </c>
      <c r="G4660">
        <v>-421.2894</v>
      </c>
      <c r="H4660" s="1">
        <v>-9.1466209999999995E-7</v>
      </c>
      <c r="I4660">
        <v>110.92149999999999</v>
      </c>
      <c r="J4660">
        <v>-419.86919999999998</v>
      </c>
      <c r="K4660">
        <v>1.1253839999999999</v>
      </c>
      <c r="L4660">
        <v>123.7072</v>
      </c>
      <c r="M4660">
        <v>-0.32609100000000002</v>
      </c>
      <c r="N4660">
        <v>0</v>
      </c>
      <c r="O4660">
        <v>-0.94511480000000003</v>
      </c>
      <c r="P4660">
        <v>-0.21719959999999999</v>
      </c>
      <c r="Q4660">
        <v>0.1739513</v>
      </c>
      <c r="R4660">
        <v>-0.96050290000000005</v>
      </c>
      <c r="S4660">
        <v>-0.35968020000000001</v>
      </c>
      <c r="T4660">
        <v>-0.26590999999999998</v>
      </c>
      <c r="U4660">
        <v>-3.0957180000000002</v>
      </c>
      <c r="V4660">
        <v>-0.11493250000000001</v>
      </c>
      <c r="W4660">
        <v>0.18998899999999999</v>
      </c>
      <c r="X4660">
        <v>0.97503569999999995</v>
      </c>
      <c r="Y4660">
        <v>-0.21523320000000001</v>
      </c>
      <c r="Z4660">
        <v>7.7355439999999998E-2</v>
      </c>
      <c r="AA4660">
        <v>0.97349410000000003</v>
      </c>
      <c r="AB4660">
        <v>34</v>
      </c>
      <c r="AC4660">
        <v>-1.4202000000000199</v>
      </c>
      <c r="AD4660">
        <v>-1.1253849146621</v>
      </c>
      <c r="AE4660">
        <v>-12.7857</v>
      </c>
      <c r="AF4660">
        <v>-2.8061718823458599</v>
      </c>
      <c r="AG4660">
        <v>-1.1253849146621</v>
      </c>
      <c r="AH4660">
        <v>12.4544085644515</v>
      </c>
      <c r="AI4660">
        <v>95.037629856004401</v>
      </c>
      <c r="AJ4660">
        <v>102.69759068554499</v>
      </c>
      <c r="AK4660">
        <v>12.8161376603757</v>
      </c>
      <c r="AL4660">
        <v>79.047857281697105</v>
      </c>
      <c r="AM4660">
        <v>96.722727910699405</v>
      </c>
      <c r="AN4660">
        <v>0.99999995797586905</v>
      </c>
    </row>
    <row r="4661" spans="1:40" x14ac:dyDescent="0.25">
      <c r="A4661" t="str">
        <f>"20190312172505263"</f>
        <v>20190312172505263</v>
      </c>
      <c r="B4661" t="str">
        <f>"1552382705255166"</f>
        <v>1552382705255166</v>
      </c>
      <c r="C4661" t="s">
        <v>40</v>
      </c>
      <c r="D4661">
        <v>3.634026</v>
      </c>
      <c r="E4661">
        <v>0.46636719999999998</v>
      </c>
      <c r="F4661" t="s">
        <v>43</v>
      </c>
      <c r="G4661">
        <v>-421.34739999999999</v>
      </c>
      <c r="H4661" s="1">
        <v>-1.403041E-6</v>
      </c>
      <c r="I4661">
        <v>112.0239</v>
      </c>
      <c r="J4661">
        <v>-419.96499999999997</v>
      </c>
      <c r="K4661">
        <v>1.1251690000000001</v>
      </c>
      <c r="L4661">
        <v>123.3909</v>
      </c>
      <c r="M4661">
        <v>-0.31154320000000002</v>
      </c>
      <c r="N4661">
        <v>0</v>
      </c>
      <c r="O4661">
        <v>-0.95001429999999998</v>
      </c>
      <c r="P4661">
        <v>-0.20407810000000001</v>
      </c>
      <c r="Q4661">
        <v>0.17326420000000001</v>
      </c>
      <c r="R4661">
        <v>-0.96350029999999998</v>
      </c>
      <c r="S4661">
        <v>-0.39080809999999999</v>
      </c>
      <c r="T4661">
        <v>-0.29753649999999998</v>
      </c>
      <c r="U4661">
        <v>-3.0888819999999999</v>
      </c>
      <c r="V4661">
        <v>-0.11317439999999999</v>
      </c>
      <c r="W4661">
        <v>0.18921650000000001</v>
      </c>
      <c r="X4661">
        <v>0.97539160000000003</v>
      </c>
      <c r="Y4661">
        <v>-0.19036649999999999</v>
      </c>
      <c r="Z4661">
        <v>8.7559799999999993E-2</v>
      </c>
      <c r="AA4661">
        <v>0.97780049999999996</v>
      </c>
      <c r="AB4661">
        <v>34</v>
      </c>
      <c r="AC4661">
        <v>-1.3824000000000101</v>
      </c>
      <c r="AD4661">
        <v>-1.1251704030409999</v>
      </c>
      <c r="AE4661">
        <v>-11.367000000000001</v>
      </c>
      <c r="AF4661">
        <v>-2.2071618059248501</v>
      </c>
      <c r="AG4661">
        <v>-1.1251704030409999</v>
      </c>
      <c r="AH4661">
        <v>11.1244030624236</v>
      </c>
      <c r="AI4661">
        <v>95.665800077604999</v>
      </c>
      <c r="AJ4661">
        <v>101.222155672564</v>
      </c>
      <c r="AK4661">
        <v>11.396925689354701</v>
      </c>
      <c r="AL4661">
        <v>79.092936989208795</v>
      </c>
      <c r="AM4661">
        <v>96.618417288432298</v>
      </c>
      <c r="AN4661">
        <v>1.0000000510190801</v>
      </c>
    </row>
    <row r="4662" spans="1:40" x14ac:dyDescent="0.25">
      <c r="A4662" t="str">
        <f>"20190312172505285"</f>
        <v>20190312172505285</v>
      </c>
      <c r="B4662" t="str">
        <f>"1552382705275663"</f>
        <v>1552382705275663</v>
      </c>
      <c r="C4662" t="s">
        <v>40</v>
      </c>
      <c r="D4662">
        <v>3.5445009999999999</v>
      </c>
      <c r="E4662">
        <v>0.46790589999999999</v>
      </c>
      <c r="F4662" t="s">
        <v>43</v>
      </c>
      <c r="G4662">
        <v>-421.28989999999999</v>
      </c>
      <c r="H4662" s="1">
        <v>-1.330805E-6</v>
      </c>
      <c r="I4662">
        <v>111.8912</v>
      </c>
      <c r="J4662">
        <v>-420.05439999999999</v>
      </c>
      <c r="K4662">
        <v>1.124951</v>
      </c>
      <c r="L4662">
        <v>123.0789</v>
      </c>
      <c r="M4662">
        <v>-0.29732599999999998</v>
      </c>
      <c r="N4662">
        <v>0</v>
      </c>
      <c r="O4662">
        <v>-0.95456410000000003</v>
      </c>
      <c r="P4662">
        <v>-0.19179109999999999</v>
      </c>
      <c r="Q4662">
        <v>0.17368810000000001</v>
      </c>
      <c r="R4662">
        <v>-0.96594460000000004</v>
      </c>
      <c r="S4662">
        <v>-0.35632320000000001</v>
      </c>
      <c r="T4662">
        <v>-0.30259069999999999</v>
      </c>
      <c r="U4662">
        <v>-3.09259</v>
      </c>
      <c r="V4662">
        <v>-0.1109189</v>
      </c>
      <c r="W4662">
        <v>0.18955320000000001</v>
      </c>
      <c r="X4662">
        <v>0.97558529999999999</v>
      </c>
      <c r="Y4662">
        <v>-0.18661949999999999</v>
      </c>
      <c r="Z4662">
        <v>8.9672769999999999E-2</v>
      </c>
      <c r="AA4662">
        <v>0.97833119999999996</v>
      </c>
      <c r="AB4662">
        <v>34</v>
      </c>
      <c r="AC4662">
        <v>-1.2355</v>
      </c>
      <c r="AD4662">
        <v>-1.124952330805</v>
      </c>
      <c r="AE4662">
        <v>-11.1877</v>
      </c>
      <c r="AF4662">
        <v>-2.1262257750027298</v>
      </c>
      <c r="AG4662">
        <v>-1.124952330805</v>
      </c>
      <c r="AH4662">
        <v>10.9396821215906</v>
      </c>
      <c r="AI4662">
        <v>95.764103116107194</v>
      </c>
      <c r="AJ4662">
        <v>100.99882401535</v>
      </c>
      <c r="AK4662">
        <v>11.201026681260901</v>
      </c>
      <c r="AL4662">
        <v>79.073289911720707</v>
      </c>
      <c r="AM4662">
        <v>96.486374762568701</v>
      </c>
      <c r="AN4662">
        <v>1.0000000477917601</v>
      </c>
    </row>
    <row r="4663" spans="1:40" x14ac:dyDescent="0.25">
      <c r="A4663" t="str">
        <f>"20190312172505307"</f>
        <v>20190312172505307</v>
      </c>
      <c r="B4663" t="str">
        <f>"1552382705304944"</f>
        <v>1552382705304944</v>
      </c>
      <c r="C4663" t="s">
        <v>40</v>
      </c>
      <c r="D4663">
        <v>3.5646520000000002</v>
      </c>
      <c r="E4663">
        <v>0.47775830000000002</v>
      </c>
      <c r="F4663" t="s">
        <v>43</v>
      </c>
      <c r="G4663">
        <v>-421.2944</v>
      </c>
      <c r="H4663" s="1">
        <v>-1.1319689999999999E-6</v>
      </c>
      <c r="I4663">
        <v>111.42489999999999</v>
      </c>
      <c r="J4663">
        <v>-420.14019999999999</v>
      </c>
      <c r="K4663">
        <v>1.1247210000000001</v>
      </c>
      <c r="L4663">
        <v>122.76179999999999</v>
      </c>
      <c r="M4663">
        <v>-0.28305000000000002</v>
      </c>
      <c r="N4663">
        <v>0</v>
      </c>
      <c r="O4663">
        <v>-0.95889919999999995</v>
      </c>
      <c r="P4663">
        <v>-0.1796644</v>
      </c>
      <c r="Q4663">
        <v>0.17354849999999999</v>
      </c>
      <c r="R4663">
        <v>-0.9682984</v>
      </c>
      <c r="S4663">
        <v>-0.32922360000000001</v>
      </c>
      <c r="T4663">
        <v>-0.29867339999999998</v>
      </c>
      <c r="U4663">
        <v>-3.0941160000000001</v>
      </c>
      <c r="V4663">
        <v>-0.1084788</v>
      </c>
      <c r="W4663">
        <v>0.1893252</v>
      </c>
      <c r="X4663">
        <v>0.97590390000000005</v>
      </c>
      <c r="Y4663">
        <v>-0.1804684</v>
      </c>
      <c r="Z4663">
        <v>8.9189999999999894E-2</v>
      </c>
      <c r="AA4663">
        <v>0.97952859999999997</v>
      </c>
      <c r="AB4663">
        <v>34</v>
      </c>
      <c r="AC4663">
        <v>-1.1541999999999999</v>
      </c>
      <c r="AD4663">
        <v>-1.1247221319689999</v>
      </c>
      <c r="AE4663">
        <v>-11.3369</v>
      </c>
      <c r="AF4663">
        <v>-2.0822789960632999</v>
      </c>
      <c r="AG4663">
        <v>-1.1247221319689999</v>
      </c>
      <c r="AH4663">
        <v>11.0918027426648</v>
      </c>
      <c r="AI4663">
        <v>95.691318571615795</v>
      </c>
      <c r="AJ4663">
        <v>100.632459402625</v>
      </c>
      <c r="AK4663">
        <v>11.3414714113194</v>
      </c>
      <c r="AL4663">
        <v>79.086594301301702</v>
      </c>
      <c r="AM4663">
        <v>96.342803417950705</v>
      </c>
      <c r="AN4663">
        <v>1.00000005171984</v>
      </c>
    </row>
    <row r="4664" spans="1:40" x14ac:dyDescent="0.25">
      <c r="A4664" t="str">
        <f>"20190312172505331"</f>
        <v>20190312172505331</v>
      </c>
      <c r="B4664" t="str">
        <f>"1552382705325439"</f>
        <v>1552382705325439</v>
      </c>
      <c r="C4664" t="s">
        <v>40</v>
      </c>
      <c r="D4664">
        <v>3.6353939999999998</v>
      </c>
      <c r="E4664">
        <v>0.47933520000000002</v>
      </c>
      <c r="F4664" t="s">
        <v>43</v>
      </c>
      <c r="G4664">
        <v>-421.55349999999999</v>
      </c>
      <c r="H4664" s="1">
        <v>-9.8552639999999998E-7</v>
      </c>
      <c r="I4664">
        <v>110.9229</v>
      </c>
      <c r="J4664">
        <v>-420.22390000000001</v>
      </c>
      <c r="K4664">
        <v>1.124455</v>
      </c>
      <c r="L4664">
        <v>122.4331</v>
      </c>
      <c r="M4664">
        <v>-0.2684763</v>
      </c>
      <c r="N4664">
        <v>0</v>
      </c>
      <c r="O4664">
        <v>-0.96308629999999995</v>
      </c>
      <c r="P4664">
        <v>-0.16660520000000001</v>
      </c>
      <c r="Q4664">
        <v>0.173227399999999</v>
      </c>
      <c r="R4664">
        <v>-0.970688</v>
      </c>
      <c r="S4664">
        <v>-0.367981</v>
      </c>
      <c r="T4664">
        <v>-0.2928364</v>
      </c>
      <c r="U4664">
        <v>-3.0824280000000002</v>
      </c>
      <c r="V4664">
        <v>-0.10669919999999999</v>
      </c>
      <c r="W4664">
        <v>0.1888785</v>
      </c>
      <c r="X4664">
        <v>0.97618660000000002</v>
      </c>
      <c r="Y4664">
        <v>-0.15292610000000001</v>
      </c>
      <c r="Z4664">
        <v>8.8536519999999994E-2</v>
      </c>
      <c r="AA4664">
        <v>0.98426360000000002</v>
      </c>
      <c r="AB4664">
        <v>34</v>
      </c>
      <c r="AC4664">
        <v>-1.3295999999999699</v>
      </c>
      <c r="AD4664">
        <v>-1.12445598552639</v>
      </c>
      <c r="AE4664">
        <v>-11.5101999999999</v>
      </c>
      <c r="AF4664">
        <v>-1.7931569648275201</v>
      </c>
      <c r="AG4664">
        <v>-1.12445598552639</v>
      </c>
      <c r="AH4664">
        <v>11.337707311610799</v>
      </c>
      <c r="AI4664">
        <v>95.5948886899195</v>
      </c>
      <c r="AJ4664">
        <v>98.987381692080405</v>
      </c>
      <c r="AK4664">
        <v>11.533577946485099</v>
      </c>
      <c r="AL4664">
        <v>79.112658489107304</v>
      </c>
      <c r="AM4664">
        <v>96.237784197641304</v>
      </c>
      <c r="AN4664">
        <v>1.0000000425312201</v>
      </c>
    </row>
    <row r="4665" spans="1:40" x14ac:dyDescent="0.25">
      <c r="A4665" t="str">
        <f>"20190312172505352"</f>
        <v>20190312172505352</v>
      </c>
      <c r="B4665" t="str">
        <f>"1552382705344964"</f>
        <v>1552382705344964</v>
      </c>
      <c r="C4665" t="s">
        <v>40</v>
      </c>
      <c r="D4665">
        <v>3.5033110000000001</v>
      </c>
      <c r="E4665">
        <v>0.4795257</v>
      </c>
      <c r="F4665" t="s">
        <v>43</v>
      </c>
      <c r="G4665">
        <v>-421.495</v>
      </c>
      <c r="H4665" s="1">
        <v>-9.5468730000000003E-7</v>
      </c>
      <c r="I4665">
        <v>110.8873</v>
      </c>
      <c r="J4665">
        <v>-420.2996</v>
      </c>
      <c r="K4665">
        <v>1.1241699999999999</v>
      </c>
      <c r="L4665">
        <v>122.11709999999999</v>
      </c>
      <c r="M4665">
        <v>-0.25472919999999999</v>
      </c>
      <c r="N4665">
        <v>0</v>
      </c>
      <c r="O4665">
        <v>-0.96681870000000003</v>
      </c>
      <c r="P4665">
        <v>-0.1548012</v>
      </c>
      <c r="Q4665">
        <v>0.1722891</v>
      </c>
      <c r="R4665">
        <v>-0.97280690000000003</v>
      </c>
      <c r="S4665">
        <v>-0.33972170000000002</v>
      </c>
      <c r="T4665">
        <v>-0.30054130000000001</v>
      </c>
      <c r="U4665">
        <v>-3.0859220000000001</v>
      </c>
      <c r="V4665">
        <v>-0.1045223</v>
      </c>
      <c r="W4665">
        <v>0.18782989999999999</v>
      </c>
      <c r="X4665">
        <v>0.9766243</v>
      </c>
      <c r="Y4665">
        <v>-0.14789829999999901</v>
      </c>
      <c r="Z4665">
        <v>9.1360689999999994E-2</v>
      </c>
      <c r="AA4665">
        <v>0.98477380000000003</v>
      </c>
      <c r="AB4665">
        <v>34</v>
      </c>
      <c r="AC4665">
        <v>-1.1954</v>
      </c>
      <c r="AD4665">
        <v>-1.1241709546873</v>
      </c>
      <c r="AE4665">
        <v>-11.2297999999999</v>
      </c>
      <c r="AF4665">
        <v>-1.6884119571966401</v>
      </c>
      <c r="AG4665">
        <v>-1.1241709546873</v>
      </c>
      <c r="AH4665">
        <v>11.0542394991108</v>
      </c>
      <c r="AI4665">
        <v>95.740659407704996</v>
      </c>
      <c r="AJ4665">
        <v>98.684175694337398</v>
      </c>
      <c r="AK4665">
        <v>11.2388035918539</v>
      </c>
      <c r="AL4665">
        <v>79.173833377324399</v>
      </c>
      <c r="AM4665">
        <v>96.1087742911634</v>
      </c>
      <c r="AN4665">
        <v>1.00000000294089</v>
      </c>
    </row>
    <row r="4666" spans="1:40" x14ac:dyDescent="0.25">
      <c r="A4666" t="str">
        <f>"20190312172505377"</f>
        <v>20190312172505377</v>
      </c>
      <c r="B4666" t="str">
        <f>"1552382705365455"</f>
        <v>1552382705365455</v>
      </c>
      <c r="C4666" t="s">
        <v>40</v>
      </c>
      <c r="D4666">
        <v>3.5292699999999999</v>
      </c>
      <c r="E4666">
        <v>0.4651961</v>
      </c>
      <c r="F4666" t="s">
        <v>43</v>
      </c>
      <c r="G4666">
        <v>-421.4144</v>
      </c>
      <c r="H4666" s="1">
        <v>-8.9410589999999995E-7</v>
      </c>
      <c r="I4666">
        <v>110.79600000000001</v>
      </c>
      <c r="J4666">
        <v>-420.37439999999998</v>
      </c>
      <c r="K4666">
        <v>1.12382</v>
      </c>
      <c r="L4666">
        <v>121.7847</v>
      </c>
      <c r="M4666">
        <v>-0.2406103</v>
      </c>
      <c r="N4666">
        <v>0</v>
      </c>
      <c r="O4666">
        <v>-0.97043460000000004</v>
      </c>
      <c r="P4666">
        <v>-0.14337800000000001</v>
      </c>
      <c r="Q4666">
        <v>0.17126640000000001</v>
      </c>
      <c r="R4666">
        <v>-0.9747363</v>
      </c>
      <c r="S4666">
        <v>-0.30426029999999998</v>
      </c>
      <c r="T4666">
        <v>-0.30681320000000001</v>
      </c>
      <c r="U4666">
        <v>-3.0897830000000002</v>
      </c>
      <c r="V4666">
        <v>-0.10158780000000001</v>
      </c>
      <c r="W4666">
        <v>0.1867048</v>
      </c>
      <c r="X4666">
        <v>0.9771495</v>
      </c>
      <c r="Y4666">
        <v>-0.1448151</v>
      </c>
      <c r="Z4666">
        <v>9.3738849999999999E-2</v>
      </c>
      <c r="AA4666">
        <v>0.98500840000000001</v>
      </c>
      <c r="AB4666">
        <v>33</v>
      </c>
      <c r="AC4666">
        <v>-1.04000000000002</v>
      </c>
      <c r="AD4666">
        <v>-1.1238208941059</v>
      </c>
      <c r="AE4666">
        <v>-10.9886999999999</v>
      </c>
      <c r="AF4666">
        <v>-1.61826390557015</v>
      </c>
      <c r="AG4666">
        <v>-1.1238208941059</v>
      </c>
      <c r="AH4666">
        <v>10.8040337103958</v>
      </c>
      <c r="AI4666">
        <v>95.873418594827896</v>
      </c>
      <c r="AJ4666">
        <v>98.518622872401096</v>
      </c>
      <c r="AK4666">
        <v>10.982208151618201</v>
      </c>
      <c r="AL4666">
        <v>79.239457297203302</v>
      </c>
      <c r="AM4666">
        <v>95.935342413965003</v>
      </c>
      <c r="AN4666">
        <v>0.99999995440106304</v>
      </c>
    </row>
    <row r="4667" spans="1:40" x14ac:dyDescent="0.25">
      <c r="A4667" t="str">
        <f>"20190312172505398"</f>
        <v>20190312172505398</v>
      </c>
      <c r="B4667" t="str">
        <f>"1552382705394735"</f>
        <v>1552382705394735</v>
      </c>
      <c r="C4667" t="s">
        <v>40</v>
      </c>
      <c r="D4667">
        <v>3.6265839999999998</v>
      </c>
      <c r="E4667">
        <v>0.46534449999999999</v>
      </c>
      <c r="F4667" t="s">
        <v>43</v>
      </c>
      <c r="G4667">
        <v>-421.25029999999998</v>
      </c>
      <c r="H4667" s="1">
        <v>-2.6271429999999999E-6</v>
      </c>
      <c r="I4667">
        <v>104.4455</v>
      </c>
      <c r="J4667">
        <v>-420.44139999999999</v>
      </c>
      <c r="K4667">
        <v>1.123454</v>
      </c>
      <c r="L4667">
        <v>121.4669</v>
      </c>
      <c r="M4667">
        <v>-0.2275007</v>
      </c>
      <c r="N4667">
        <v>0</v>
      </c>
      <c r="O4667">
        <v>-0.97359680000000004</v>
      </c>
      <c r="P4667">
        <v>-0.13250149999999999</v>
      </c>
      <c r="Q4667">
        <v>0.17083860000000001</v>
      </c>
      <c r="R4667">
        <v>-0.97634909999999997</v>
      </c>
      <c r="S4667">
        <v>-0.1560974</v>
      </c>
      <c r="T4667">
        <v>-0.20027400000000001</v>
      </c>
      <c r="U4667">
        <v>-3.0899809999999999</v>
      </c>
      <c r="V4667">
        <v>-9.9129419999999996E-2</v>
      </c>
      <c r="W4667">
        <v>0.18615719999999999</v>
      </c>
      <c r="X4667">
        <v>0.97750649999999994</v>
      </c>
      <c r="Y4667">
        <v>-0.17821600000000001</v>
      </c>
      <c r="Z4667">
        <v>6.1583609999999997E-2</v>
      </c>
      <c r="AA4667">
        <v>0.9820624</v>
      </c>
      <c r="AB4667">
        <v>33</v>
      </c>
      <c r="AC4667">
        <v>-0.80889999999999396</v>
      </c>
      <c r="AD4667">
        <v>-1.123456627143</v>
      </c>
      <c r="AE4667">
        <v>-17.0214</v>
      </c>
      <c r="AF4667">
        <v>-3.0720294639998702</v>
      </c>
      <c r="AG4667">
        <v>-1.123456627143</v>
      </c>
      <c r="AH4667">
        <v>16.686433581227099</v>
      </c>
      <c r="AI4667">
        <v>93.788295895759205</v>
      </c>
      <c r="AJ4667">
        <v>100.431539818715</v>
      </c>
      <c r="AK4667">
        <v>17.004016745506298</v>
      </c>
      <c r="AL4667">
        <v>79.271393403278594</v>
      </c>
      <c r="AM4667">
        <v>95.790597284893394</v>
      </c>
      <c r="AN4667">
        <v>1.0000000512818099</v>
      </c>
    </row>
    <row r="4668" spans="1:40" x14ac:dyDescent="0.25">
      <c r="A4668" t="str">
        <f>"20190312172505420"</f>
        <v>20190312172505420</v>
      </c>
      <c r="B4668" t="str">
        <f>"1552382705415231"</f>
        <v>1552382705415231</v>
      </c>
      <c r="C4668" t="s">
        <v>40</v>
      </c>
      <c r="D4668">
        <v>3.5410949999999999</v>
      </c>
      <c r="E4668">
        <v>0.46643210000000002</v>
      </c>
      <c r="F4668" t="s">
        <v>43</v>
      </c>
      <c r="G4668">
        <v>-421.1388</v>
      </c>
      <c r="H4668" s="1">
        <v>-2.3613379999999999E-6</v>
      </c>
      <c r="I4668">
        <v>103.946</v>
      </c>
      <c r="J4668">
        <v>-420.50310000000002</v>
      </c>
      <c r="K4668">
        <v>1.1230519999999999</v>
      </c>
      <c r="L4668">
        <v>121.15519999999999</v>
      </c>
      <c r="M4668">
        <v>-0.21507599999999999</v>
      </c>
      <c r="N4668">
        <v>0</v>
      </c>
      <c r="O4668">
        <v>-0.97642240000000002</v>
      </c>
      <c r="P4668">
        <v>-0.1228191</v>
      </c>
      <c r="Q4668">
        <v>0.17005890000000001</v>
      </c>
      <c r="R4668">
        <v>-0.97775009999999996</v>
      </c>
      <c r="S4668">
        <v>-0.1230164</v>
      </c>
      <c r="T4668">
        <v>-0.1981763</v>
      </c>
      <c r="U4668">
        <v>-3.090668</v>
      </c>
      <c r="V4668">
        <v>-9.6169030000000003E-2</v>
      </c>
      <c r="W4668">
        <v>0.185281</v>
      </c>
      <c r="X4668">
        <v>0.97796850000000002</v>
      </c>
      <c r="Y4668">
        <v>-0.17617539999999901</v>
      </c>
      <c r="Z4668">
        <v>6.1222829999999999E-2</v>
      </c>
      <c r="AA4668">
        <v>0.98245300000000002</v>
      </c>
      <c r="AB4668">
        <v>33</v>
      </c>
      <c r="AC4668">
        <v>-0.63569999999998505</v>
      </c>
      <c r="AD4668">
        <v>-1.123054361338</v>
      </c>
      <c r="AE4668">
        <v>-17.2091999999999</v>
      </c>
      <c r="AF4668">
        <v>-3.06805228911551</v>
      </c>
      <c r="AG4668">
        <v>-1.123054361338</v>
      </c>
      <c r="AH4668">
        <v>16.871313918741201</v>
      </c>
      <c r="AI4668">
        <v>93.747054092250394</v>
      </c>
      <c r="AJ4668">
        <v>100.306623834975</v>
      </c>
      <c r="AK4668">
        <v>17.184744085728401</v>
      </c>
      <c r="AL4668">
        <v>79.322483812488798</v>
      </c>
      <c r="AM4668">
        <v>95.616153577072794</v>
      </c>
      <c r="AN4668">
        <v>0.99999995914219397</v>
      </c>
    </row>
    <row r="4669" spans="1:40" x14ac:dyDescent="0.25">
      <c r="A4669" t="str">
        <f>"20190312172505443"</f>
        <v>20190312172505443</v>
      </c>
      <c r="B4669" t="str">
        <f>"1552382705434751"</f>
        <v>1552382705434751</v>
      </c>
      <c r="C4669" t="s">
        <v>40</v>
      </c>
      <c r="D4669">
        <v>3.5399970000000001</v>
      </c>
      <c r="E4669">
        <v>0.46763149999999998</v>
      </c>
      <c r="F4669" t="s">
        <v>43</v>
      </c>
      <c r="G4669">
        <v>-421.06470000000002</v>
      </c>
      <c r="H4669" s="1">
        <v>-2.3869430000000001E-6</v>
      </c>
      <c r="I4669">
        <v>104.04179999999999</v>
      </c>
      <c r="J4669">
        <v>-420.56380000000001</v>
      </c>
      <c r="K4669">
        <v>1.1225780000000001</v>
      </c>
      <c r="L4669">
        <v>120.8262</v>
      </c>
      <c r="M4669">
        <v>-0.20250860000000001</v>
      </c>
      <c r="N4669">
        <v>0</v>
      </c>
      <c r="O4669">
        <v>-0.97911179999999998</v>
      </c>
      <c r="P4669">
        <v>-0.1125225</v>
      </c>
      <c r="Q4669">
        <v>0.16981109999999999</v>
      </c>
      <c r="R4669">
        <v>-0.97903189999999995</v>
      </c>
      <c r="S4669">
        <v>-0.1014404</v>
      </c>
      <c r="T4669">
        <v>-0.2028326</v>
      </c>
      <c r="U4669">
        <v>-3.090805</v>
      </c>
      <c r="V4669">
        <v>-9.3666550000000001E-2</v>
      </c>
      <c r="W4669">
        <v>0.1849094</v>
      </c>
      <c r="X4669">
        <v>0.97828170000000003</v>
      </c>
      <c r="Y4669">
        <v>-0.17037379999999999</v>
      </c>
      <c r="Z4669">
        <v>6.2956159999999997E-2</v>
      </c>
      <c r="AA4669">
        <v>0.98336630000000003</v>
      </c>
      <c r="AB4669">
        <v>33</v>
      </c>
      <c r="AC4669">
        <v>-0.50090000000000101</v>
      </c>
      <c r="AD4669">
        <v>-1.122580386943</v>
      </c>
      <c r="AE4669">
        <v>-16.784400000000002</v>
      </c>
      <c r="AF4669">
        <v>-2.8960853947494001</v>
      </c>
      <c r="AG4669">
        <v>-1.122580386943</v>
      </c>
      <c r="AH4669">
        <v>16.4643887322244</v>
      </c>
      <c r="AI4669">
        <v>93.841723381271194</v>
      </c>
      <c r="AJ4669">
        <v>99.976269793127202</v>
      </c>
      <c r="AK4669">
        <v>16.754808076030798</v>
      </c>
      <c r="AL4669">
        <v>79.344149696429895</v>
      </c>
      <c r="AM4669">
        <v>95.469169305262</v>
      </c>
      <c r="AN4669">
        <v>0.99999999667607598</v>
      </c>
    </row>
    <row r="4670" spans="1:40" x14ac:dyDescent="0.25">
      <c r="A4670" t="str">
        <f>"20190312172505465"</f>
        <v>20190312172505465</v>
      </c>
      <c r="B4670" t="str">
        <f>"1552382705455247"</f>
        <v>1552382705455247</v>
      </c>
      <c r="C4670" t="s">
        <v>40</v>
      </c>
      <c r="D4670">
        <v>3.710607</v>
      </c>
      <c r="E4670">
        <v>0.4687345</v>
      </c>
      <c r="F4670" t="s">
        <v>43</v>
      </c>
      <c r="G4670">
        <v>-421.00229999999999</v>
      </c>
      <c r="H4670" s="1">
        <v>-2.3471680000000001E-6</v>
      </c>
      <c r="I4670">
        <v>103.9928</v>
      </c>
      <c r="J4670">
        <v>-420.61770000000001</v>
      </c>
      <c r="K4670">
        <v>1.1221080000000001</v>
      </c>
      <c r="L4670">
        <v>120.5147</v>
      </c>
      <c r="M4670">
        <v>-0.19115109999999999</v>
      </c>
      <c r="N4670">
        <v>0</v>
      </c>
      <c r="O4670">
        <v>-0.98139790000000005</v>
      </c>
      <c r="P4670">
        <v>-0.1037614</v>
      </c>
      <c r="Q4670">
        <v>0.1697874</v>
      </c>
      <c r="R4670">
        <v>-0.98000310000000002</v>
      </c>
      <c r="S4670">
        <v>-8.0505370000000007E-2</v>
      </c>
      <c r="T4670">
        <v>-0.20611499999999999</v>
      </c>
      <c r="U4670">
        <v>-3.0907439999999999</v>
      </c>
      <c r="V4670">
        <v>-9.0851870000000001E-2</v>
      </c>
      <c r="W4670">
        <v>0.1847763</v>
      </c>
      <c r="X4670">
        <v>0.9785722</v>
      </c>
      <c r="Y4670">
        <v>-0.16561049999999999</v>
      </c>
      <c r="Z4670">
        <v>6.423181E-2</v>
      </c>
      <c r="AA4670">
        <v>0.98409720000000001</v>
      </c>
      <c r="AB4670">
        <v>33</v>
      </c>
      <c r="AC4670">
        <v>-0.38459999999997702</v>
      </c>
      <c r="AD4670">
        <v>-1.1221103471679901</v>
      </c>
      <c r="AE4670">
        <v>-16.521899999999999</v>
      </c>
      <c r="AF4670">
        <v>-2.7684151092346001</v>
      </c>
      <c r="AG4670">
        <v>-1.1221103471679901</v>
      </c>
      <c r="AH4670">
        <v>16.215918698926799</v>
      </c>
      <c r="AI4670">
        <v>93.902167780682504</v>
      </c>
      <c r="AJ4670">
        <v>99.6882496851768</v>
      </c>
      <c r="AK4670">
        <v>16.488762024435399</v>
      </c>
      <c r="AL4670">
        <v>79.351908945140494</v>
      </c>
      <c r="AM4670">
        <v>95.304207012595597</v>
      </c>
      <c r="AN4670">
        <v>0.99999994696851202</v>
      </c>
    </row>
    <row r="4671" spans="1:40" x14ac:dyDescent="0.25">
      <c r="A4671" t="str">
        <f>"20190312172505487"</f>
        <v>20190312172505487</v>
      </c>
      <c r="B4671" t="str">
        <f>"1552382705474770"</f>
        <v>1552382705474770</v>
      </c>
      <c r="C4671" t="s">
        <v>40</v>
      </c>
      <c r="D4671">
        <v>3.5896560000000002</v>
      </c>
      <c r="E4671">
        <v>0.46926899999999999</v>
      </c>
      <c r="F4671" t="s">
        <v>43</v>
      </c>
      <c r="G4671">
        <v>-420.95839999999998</v>
      </c>
      <c r="H4671" s="1">
        <v>-2.2968900000000001E-6</v>
      </c>
      <c r="I4671">
        <v>103.91119999999999</v>
      </c>
      <c r="J4671">
        <v>-420.67</v>
      </c>
      <c r="K4671">
        <v>1.121624</v>
      </c>
      <c r="L4671">
        <v>120.1927</v>
      </c>
      <c r="M4671">
        <v>-0.1799115</v>
      </c>
      <c r="N4671">
        <v>0</v>
      </c>
      <c r="O4671">
        <v>-0.98352620000000002</v>
      </c>
      <c r="P4671">
        <v>-9.3466450000000006E-2</v>
      </c>
      <c r="Q4671">
        <v>0.1705372</v>
      </c>
      <c r="R4671">
        <v>-0.98090860000000002</v>
      </c>
      <c r="S4671">
        <v>-6.3415529999999998E-2</v>
      </c>
      <c r="T4671">
        <v>-0.20887610000000001</v>
      </c>
      <c r="U4671">
        <v>-3.0906829999999998</v>
      </c>
      <c r="V4671">
        <v>-8.9700559999999999E-2</v>
      </c>
      <c r="W4671">
        <v>0.1853503</v>
      </c>
      <c r="X4671">
        <v>0.97856989999999999</v>
      </c>
      <c r="Y4671">
        <v>-0.1597642</v>
      </c>
      <c r="Z4671">
        <v>6.5340330000000002E-2</v>
      </c>
      <c r="AA4671">
        <v>0.98499040000000004</v>
      </c>
      <c r="AB4671">
        <v>33</v>
      </c>
      <c r="AC4671">
        <v>-0.28839999999996702</v>
      </c>
      <c r="AD4671">
        <v>-1.1216262968899999</v>
      </c>
      <c r="AE4671">
        <v>-16.281500000000001</v>
      </c>
      <c r="AF4671">
        <v>-2.6334936724871101</v>
      </c>
      <c r="AG4671">
        <v>-1.1216262968899999</v>
      </c>
      <c r="AH4671">
        <v>15.9917738162719</v>
      </c>
      <c r="AI4671">
        <v>93.958876217220293</v>
      </c>
      <c r="AJ4671">
        <v>99.351425095357399</v>
      </c>
      <c r="AK4671">
        <v>16.245927620905601</v>
      </c>
      <c r="AL4671">
        <v>79.318443525631693</v>
      </c>
      <c r="AM4671">
        <v>95.237378473183796</v>
      </c>
      <c r="AN4671">
        <v>0.99999998668020595</v>
      </c>
    </row>
    <row r="4672" spans="1:40" x14ac:dyDescent="0.25">
      <c r="A4672" t="str">
        <f>"20190312172505509"</f>
        <v>20190312172505509</v>
      </c>
      <c r="B4672" t="str">
        <f>"1552382705505023"</f>
        <v>1552382705505023</v>
      </c>
      <c r="C4672" t="s">
        <v>40</v>
      </c>
      <c r="D4672">
        <v>3.5500240000000001</v>
      </c>
      <c r="E4672">
        <v>0.48216229999999899</v>
      </c>
      <c r="F4672" t="s">
        <v>43</v>
      </c>
      <c r="G4672">
        <v>-420.86579999999998</v>
      </c>
      <c r="H4672" s="1">
        <v>-2.1088609999999998E-6</v>
      </c>
      <c r="I4672">
        <v>103.5655</v>
      </c>
      <c r="J4672">
        <v>-420.71929999999998</v>
      </c>
      <c r="K4672">
        <v>1.1211469999999999</v>
      </c>
      <c r="L4672">
        <v>119.8674</v>
      </c>
      <c r="M4672">
        <v>-0.1691192</v>
      </c>
      <c r="N4672">
        <v>0</v>
      </c>
      <c r="O4672">
        <v>-0.98544469999999995</v>
      </c>
      <c r="P4672">
        <v>-8.477411E-2</v>
      </c>
      <c r="Q4672">
        <v>0.1705246</v>
      </c>
      <c r="R4672">
        <v>-0.98170040000000003</v>
      </c>
      <c r="S4672">
        <v>-3.6407469999999997E-2</v>
      </c>
      <c r="T4672">
        <v>-0.20852290000000001</v>
      </c>
      <c r="U4672">
        <v>-3.0911870000000001</v>
      </c>
      <c r="V4672">
        <v>-8.7406029999999996E-2</v>
      </c>
      <c r="W4672">
        <v>0.18520739999999999</v>
      </c>
      <c r="X4672">
        <v>0.97880460000000002</v>
      </c>
      <c r="Y4672">
        <v>-0.15754849999999901</v>
      </c>
      <c r="Z4672">
        <v>6.5428760000000002E-2</v>
      </c>
      <c r="AA4672">
        <v>0.98534129999999998</v>
      </c>
      <c r="AB4672">
        <v>33</v>
      </c>
      <c r="AC4672">
        <v>-0.14650000000000299</v>
      </c>
      <c r="AD4672">
        <v>-1.1211491088609999</v>
      </c>
      <c r="AE4672">
        <v>-16.3019</v>
      </c>
      <c r="AF4672">
        <v>-2.6006853279882298</v>
      </c>
      <c r="AG4672">
        <v>-1.1211491088609999</v>
      </c>
      <c r="AH4672">
        <v>16.016042389640599</v>
      </c>
      <c r="AI4672">
        <v>93.952661924942504</v>
      </c>
      <c r="AJ4672">
        <v>99.2231887794443</v>
      </c>
      <c r="AK4672">
        <v>16.264505935511199</v>
      </c>
      <c r="AL4672">
        <v>79.326775710178396</v>
      </c>
      <c r="AM4672">
        <v>95.102906394125796</v>
      </c>
      <c r="AN4672">
        <v>1.00000002003814</v>
      </c>
    </row>
    <row r="4673" spans="1:40" x14ac:dyDescent="0.25">
      <c r="A4673" t="str">
        <f>"20190312172505533"</f>
        <v>20190312172505533</v>
      </c>
      <c r="B4673" t="str">
        <f>"1552382705525519"</f>
        <v>1552382705525519</v>
      </c>
      <c r="C4673" t="s">
        <v>40</v>
      </c>
      <c r="D4673">
        <v>3.5768490000000002</v>
      </c>
      <c r="E4673">
        <v>0.48360740000000002</v>
      </c>
      <c r="F4673" t="s">
        <v>43</v>
      </c>
      <c r="G4673">
        <v>-421.3245</v>
      </c>
      <c r="H4673" s="1">
        <v>-2.0721879999999999E-6</v>
      </c>
      <c r="I4673">
        <v>103.2298</v>
      </c>
      <c r="J4673">
        <v>-420.76679999999999</v>
      </c>
      <c r="K4673">
        <v>1.120628</v>
      </c>
      <c r="L4673">
        <v>119.53230000000001</v>
      </c>
      <c r="M4673">
        <v>-0.15863769999999999</v>
      </c>
      <c r="N4673">
        <v>0</v>
      </c>
      <c r="O4673">
        <v>-0.98719129999999999</v>
      </c>
      <c r="P4673">
        <v>-7.6121709999999995E-2</v>
      </c>
      <c r="Q4673">
        <v>0.170878799999999</v>
      </c>
      <c r="R4673">
        <v>-0.98234739999999998</v>
      </c>
      <c r="S4673">
        <v>-0.1121216</v>
      </c>
      <c r="T4673">
        <v>-0.2077059</v>
      </c>
      <c r="U4673">
        <v>-3.0823209999999999</v>
      </c>
      <c r="V4673">
        <v>-8.5377980000000006E-2</v>
      </c>
      <c r="W4673">
        <v>0.18543100000000001</v>
      </c>
      <c r="X4673">
        <v>0.97894130000000001</v>
      </c>
      <c r="Y4673">
        <v>-0.12274259999999999</v>
      </c>
      <c r="Z4673">
        <v>6.5682840000000006E-2</v>
      </c>
      <c r="AA4673">
        <v>0.99026259999999999</v>
      </c>
      <c r="AB4673">
        <v>33</v>
      </c>
      <c r="AC4673">
        <v>-0.55770000000001096</v>
      </c>
      <c r="AD4673">
        <v>-1.120630072188</v>
      </c>
      <c r="AE4673">
        <v>-16.302499999999998</v>
      </c>
      <c r="AF4673">
        <v>-2.0263634271406801</v>
      </c>
      <c r="AG4673">
        <v>-1.120630072188</v>
      </c>
      <c r="AH4673">
        <v>16.108458428953298</v>
      </c>
      <c r="AI4673">
        <v>93.948510769675494</v>
      </c>
      <c r="AJ4673">
        <v>97.169860971689403</v>
      </c>
      <c r="AK4673">
        <v>16.274040477240501</v>
      </c>
      <c r="AL4673">
        <v>79.313739003436197</v>
      </c>
      <c r="AM4673">
        <v>94.984416579885902</v>
      </c>
      <c r="AN4673">
        <v>1.00000006203778</v>
      </c>
    </row>
    <row r="4674" spans="1:40" x14ac:dyDescent="0.25">
      <c r="A4674" t="str">
        <f>"20190312172505545"</f>
        <v>20190312172505545</v>
      </c>
      <c r="B4674" t="str">
        <f>"1552382705535279"</f>
        <v>1552382705535279</v>
      </c>
      <c r="C4674" t="s">
        <v>40</v>
      </c>
      <c r="D4674">
        <v>3.6691769999999999</v>
      </c>
      <c r="E4674">
        <v>0.48404439999999999</v>
      </c>
      <c r="F4674" t="s">
        <v>43</v>
      </c>
      <c r="G4674">
        <v>-421.29140000000001</v>
      </c>
      <c r="H4674" s="1">
        <v>-1.9506910000000002E-6</v>
      </c>
      <c r="I4674">
        <v>102.9913</v>
      </c>
      <c r="J4674">
        <v>-420.79259999999999</v>
      </c>
      <c r="K4674">
        <v>1.120314</v>
      </c>
      <c r="L4674">
        <v>119.3407</v>
      </c>
      <c r="M4674">
        <v>-0.15293570000000001</v>
      </c>
      <c r="N4674">
        <v>0</v>
      </c>
      <c r="O4674">
        <v>-0.98809340000000001</v>
      </c>
      <c r="P4674">
        <v>-7.1359889999999995E-2</v>
      </c>
      <c r="Q4674">
        <v>0.17115039999999901</v>
      </c>
      <c r="R4674">
        <v>-0.98265740000000001</v>
      </c>
      <c r="S4674">
        <v>-9.7778320000000002E-2</v>
      </c>
      <c r="T4674">
        <v>-0.20884610000000001</v>
      </c>
      <c r="U4674">
        <v>-3.0826570000000002</v>
      </c>
      <c r="V4674">
        <v>-8.4320210000000007E-2</v>
      </c>
      <c r="W4674">
        <v>0.18562960000000001</v>
      </c>
      <c r="X4674">
        <v>0.97899530000000001</v>
      </c>
      <c r="Y4674">
        <v>-0.12161950000000001</v>
      </c>
      <c r="Z4674">
        <v>6.6135319999999997E-2</v>
      </c>
      <c r="AA4674">
        <v>0.990371</v>
      </c>
      <c r="AB4674">
        <v>33</v>
      </c>
      <c r="AC4674">
        <v>-0.49880000000001701</v>
      </c>
      <c r="AD4674">
        <v>-1.1203159506910001</v>
      </c>
      <c r="AE4674">
        <v>-16.349399999999999</v>
      </c>
      <c r="AF4674">
        <v>-1.9984542546175601</v>
      </c>
      <c r="AG4674">
        <v>-1.1203159506910001</v>
      </c>
      <c r="AH4674">
        <v>16.157512195609101</v>
      </c>
      <c r="AI4674">
        <v>93.936477467759204</v>
      </c>
      <c r="AJ4674">
        <v>97.050862734118098</v>
      </c>
      <c r="AK4674">
        <v>16.319133787932099</v>
      </c>
      <c r="AL4674">
        <v>79.302158581552305</v>
      </c>
      <c r="AM4674">
        <v>94.922698509469299</v>
      </c>
      <c r="AN4674">
        <v>1.0000000218163401</v>
      </c>
    </row>
    <row r="4675" spans="1:40" x14ac:dyDescent="0.25">
      <c r="A4675" t="str">
        <f>"20190312172505565"</f>
        <v>20190312172505565</v>
      </c>
      <c r="B4675" t="str">
        <f>"1552382705555307"</f>
        <v>1552382705555307</v>
      </c>
      <c r="C4675" t="s">
        <v>40</v>
      </c>
      <c r="D4675">
        <v>3.6073940000000002</v>
      </c>
      <c r="E4675">
        <v>0.48452519999999999</v>
      </c>
      <c r="F4675" t="s">
        <v>43</v>
      </c>
      <c r="G4675">
        <v>-421.25450000000001</v>
      </c>
      <c r="H4675" s="1">
        <v>-1.9394220000000002E-6</v>
      </c>
      <c r="I4675">
        <v>102.9883</v>
      </c>
      <c r="J4675">
        <v>-420.82830000000001</v>
      </c>
      <c r="K4675">
        <v>1.1198319999999999</v>
      </c>
      <c r="L4675">
        <v>119.0625</v>
      </c>
      <c r="M4675">
        <v>-0.14509059999999999</v>
      </c>
      <c r="N4675">
        <v>0</v>
      </c>
      <c r="O4675">
        <v>-0.98927989999999999</v>
      </c>
      <c r="P4675">
        <v>-6.5449839999999995E-2</v>
      </c>
      <c r="Q4675">
        <v>0.171314299999999</v>
      </c>
      <c r="R4675">
        <v>-0.98304040000000004</v>
      </c>
      <c r="S4675">
        <v>-8.7097170000000002E-2</v>
      </c>
      <c r="T4675">
        <v>-0.21124599999999999</v>
      </c>
      <c r="U4675">
        <v>-3.083405</v>
      </c>
      <c r="V4675">
        <v>-8.2206440000000006E-2</v>
      </c>
      <c r="W4675">
        <v>0.1857065</v>
      </c>
      <c r="X4675">
        <v>0.97916049999999999</v>
      </c>
      <c r="Y4675">
        <v>-0.11717859999999999</v>
      </c>
      <c r="Z4675">
        <v>6.7018229999999998E-2</v>
      </c>
      <c r="AA4675">
        <v>0.99084700000000003</v>
      </c>
      <c r="AB4675">
        <v>33</v>
      </c>
      <c r="AC4675">
        <v>-0.42619999999999397</v>
      </c>
      <c r="AD4675">
        <v>-1.119833939422</v>
      </c>
      <c r="AE4675">
        <v>-16.074200000000001</v>
      </c>
      <c r="AF4675">
        <v>-1.90162312492057</v>
      </c>
      <c r="AG4675">
        <v>-1.119833939422</v>
      </c>
      <c r="AH4675">
        <v>15.888846854313501</v>
      </c>
      <c r="AI4675">
        <v>94.003023047024598</v>
      </c>
      <c r="AJ4675">
        <v>96.824861649130298</v>
      </c>
      <c r="AK4675">
        <v>16.0413731619504</v>
      </c>
      <c r="AL4675">
        <v>79.297674809063807</v>
      </c>
      <c r="AM4675">
        <v>94.799072375965295</v>
      </c>
      <c r="AN4675">
        <v>1.0000000438399801</v>
      </c>
    </row>
    <row r="4676" spans="1:40" x14ac:dyDescent="0.25">
      <c r="A4676" t="str">
        <f>"20190312172505588"</f>
        <v>20190312172505588</v>
      </c>
      <c r="B4676" t="str">
        <f>"1552382705585563"</f>
        <v>1552382705585563</v>
      </c>
      <c r="C4676" t="s">
        <v>40</v>
      </c>
      <c r="D4676">
        <v>3.6237249999999999</v>
      </c>
      <c r="E4676">
        <v>0.49256879999999997</v>
      </c>
      <c r="F4676" t="s">
        <v>43</v>
      </c>
      <c r="G4676">
        <v>-421.2115</v>
      </c>
      <c r="H4676" s="1">
        <v>-1.8494119999999999E-6</v>
      </c>
      <c r="I4676">
        <v>102.822</v>
      </c>
      <c r="J4676">
        <v>-420.86849999999998</v>
      </c>
      <c r="K4676">
        <v>1.1192169999999999</v>
      </c>
      <c r="L4676">
        <v>118.72920000000001</v>
      </c>
      <c r="M4676">
        <v>-0.1363743</v>
      </c>
      <c r="N4676">
        <v>0</v>
      </c>
      <c r="O4676">
        <v>-0.99052359999999995</v>
      </c>
      <c r="P4676">
        <v>-5.9019530000000001E-2</v>
      </c>
      <c r="Q4676">
        <v>0.17124059999999999</v>
      </c>
      <c r="R4676">
        <v>-0.98346</v>
      </c>
      <c r="S4676">
        <v>-7.2784420000000002E-2</v>
      </c>
      <c r="T4676">
        <v>-0.21265100000000001</v>
      </c>
      <c r="U4676">
        <v>-3.0839840000000001</v>
      </c>
      <c r="V4676">
        <v>-7.9695000000000002E-2</v>
      </c>
      <c r="W4676">
        <v>0.18553639999999999</v>
      </c>
      <c r="X4676">
        <v>0.9794003</v>
      </c>
      <c r="Y4676">
        <v>-0.1130342</v>
      </c>
      <c r="Z4676">
        <v>6.7597320000000002E-2</v>
      </c>
      <c r="AA4676">
        <v>0.99128899999999998</v>
      </c>
      <c r="AB4676">
        <v>33</v>
      </c>
      <c r="AC4676">
        <v>-0.34300000000001701</v>
      </c>
      <c r="AD4676">
        <v>-1.1192188494119999</v>
      </c>
      <c r="AE4676">
        <v>-15.9072</v>
      </c>
      <c r="AF4676">
        <v>-1.82081655411487</v>
      </c>
      <c r="AG4676">
        <v>-1.1192188494119999</v>
      </c>
      <c r="AH4676">
        <v>15.727506450313401</v>
      </c>
      <c r="AI4676">
        <v>94.0435680285633</v>
      </c>
      <c r="AJ4676">
        <v>96.603889549997703</v>
      </c>
      <c r="AK4676">
        <v>15.8720661194839</v>
      </c>
      <c r="AL4676">
        <v>79.307592695185704</v>
      </c>
      <c r="AM4676">
        <v>94.651978361096695</v>
      </c>
      <c r="AN4676">
        <v>0.99999999819502505</v>
      </c>
    </row>
    <row r="4677" spans="1:40" x14ac:dyDescent="0.25">
      <c r="A4677" t="str">
        <f>"20190312172505609"</f>
        <v>20190312172505609</v>
      </c>
      <c r="B4677" t="str">
        <f>"1552382705605083"</f>
        <v>1552382705605083</v>
      </c>
      <c r="C4677" t="s">
        <v>40</v>
      </c>
      <c r="D4677">
        <v>3.6500849999999998</v>
      </c>
      <c r="E4677">
        <v>0.49445020000000001</v>
      </c>
      <c r="F4677" t="s">
        <v>43</v>
      </c>
      <c r="G4677">
        <v>-421.43880000000001</v>
      </c>
      <c r="H4677" s="1">
        <v>-2.3485649999999999E-6</v>
      </c>
      <c r="I4677">
        <v>103.7501</v>
      </c>
      <c r="J4677">
        <v>-420.90499999999997</v>
      </c>
      <c r="K4677">
        <v>1.1186179999999999</v>
      </c>
      <c r="L4677">
        <v>118.4076</v>
      </c>
      <c r="M4677">
        <v>-0.12860550000000001</v>
      </c>
      <c r="N4677">
        <v>0</v>
      </c>
      <c r="O4677">
        <v>-0.99156630000000001</v>
      </c>
      <c r="P4677">
        <v>-5.371277E-2</v>
      </c>
      <c r="Q4677">
        <v>0.170544</v>
      </c>
      <c r="R4677">
        <v>-0.98388520000000002</v>
      </c>
      <c r="S4677">
        <v>-0.11740109999999999</v>
      </c>
      <c r="T4677">
        <v>-0.23039889999999999</v>
      </c>
      <c r="U4677">
        <v>-3.083542</v>
      </c>
      <c r="V4677">
        <v>-7.7016539999999994E-2</v>
      </c>
      <c r="W4677">
        <v>0.1847655</v>
      </c>
      <c r="X4677">
        <v>0.97976019999999997</v>
      </c>
      <c r="Y4677">
        <v>-9.0901739999999995E-2</v>
      </c>
      <c r="Z4677">
        <v>7.3404010000000006E-2</v>
      </c>
      <c r="AA4677">
        <v>0.99315089999999995</v>
      </c>
      <c r="AB4677">
        <v>33</v>
      </c>
      <c r="AC4677">
        <v>-0.53380000000004202</v>
      </c>
      <c r="AD4677">
        <v>-1.1186203485649999</v>
      </c>
      <c r="AE4677">
        <v>-14.657500000000001</v>
      </c>
      <c r="AF4677">
        <v>-1.3480700034059701</v>
      </c>
      <c r="AG4677">
        <v>-1.1186203485649999</v>
      </c>
      <c r="AH4677">
        <v>14.519951792057499</v>
      </c>
      <c r="AI4677">
        <v>94.386586920581493</v>
      </c>
      <c r="AJ4677">
        <v>95.304283198972001</v>
      </c>
      <c r="AK4677">
        <v>14.625238605300799</v>
      </c>
      <c r="AL4677">
        <v>79.352538543149905</v>
      </c>
      <c r="AM4677">
        <v>94.494637863443302</v>
      </c>
      <c r="AN4677">
        <v>0.99999994346392895</v>
      </c>
    </row>
    <row r="4678" spans="1:40" x14ac:dyDescent="0.25">
      <c r="A4678" t="str">
        <f>"20190312172505623"</f>
        <v>20190312172505623</v>
      </c>
      <c r="B4678" t="str">
        <f>"1552382705614843"</f>
        <v>1552382705614843</v>
      </c>
      <c r="C4678" t="s">
        <v>40</v>
      </c>
      <c r="D4678">
        <v>3.6662620000000001</v>
      </c>
      <c r="E4678">
        <v>0.49534869999999998</v>
      </c>
      <c r="F4678" t="s">
        <v>43</v>
      </c>
      <c r="G4678">
        <v>-421.45699999999999</v>
      </c>
      <c r="H4678" s="1">
        <v>-2.368143E-6</v>
      </c>
      <c r="I4678">
        <v>103.7813</v>
      </c>
      <c r="J4678">
        <v>-420.92720000000003</v>
      </c>
      <c r="K4678">
        <v>1.118239</v>
      </c>
      <c r="L4678">
        <v>118.2045</v>
      </c>
      <c r="M4678">
        <v>-0.1239875</v>
      </c>
      <c r="N4678">
        <v>0</v>
      </c>
      <c r="O4678">
        <v>-0.9921567</v>
      </c>
      <c r="P4678">
        <v>-5.0525870000000001E-2</v>
      </c>
      <c r="Q4678">
        <v>0.17016120000000001</v>
      </c>
      <c r="R4678">
        <v>-0.98412029999999995</v>
      </c>
      <c r="S4678">
        <v>-0.11636349999999999</v>
      </c>
      <c r="T4678">
        <v>-0.23583779999999999</v>
      </c>
      <c r="U4678">
        <v>-3.0836640000000002</v>
      </c>
      <c r="V4678">
        <v>-7.5449559999999999E-2</v>
      </c>
      <c r="W4678">
        <v>0.18433859999999999</v>
      </c>
      <c r="X4678">
        <v>0.97996260000000002</v>
      </c>
      <c r="Y4678">
        <v>-8.6604269999999997E-2</v>
      </c>
      <c r="Z4678">
        <v>7.5206140000000005E-2</v>
      </c>
      <c r="AA4678">
        <v>0.99340010000000001</v>
      </c>
      <c r="AB4678">
        <v>33</v>
      </c>
      <c r="AC4678">
        <v>-0.52979999999996596</v>
      </c>
      <c r="AD4678">
        <v>-1.1182413681429999</v>
      </c>
      <c r="AE4678">
        <v>-14.4231999999999</v>
      </c>
      <c r="AF4678">
        <v>-1.2552758144780001</v>
      </c>
      <c r="AG4678">
        <v>-1.1182413681429999</v>
      </c>
      <c r="AH4678">
        <v>14.291783715916701</v>
      </c>
      <c r="AI4678">
        <v>94.456827630070805</v>
      </c>
      <c r="AJ4678">
        <v>95.019521190772593</v>
      </c>
      <c r="AK4678">
        <v>14.390318374184099</v>
      </c>
      <c r="AL4678">
        <v>79.377426496611093</v>
      </c>
      <c r="AM4678">
        <v>94.402647351658501</v>
      </c>
      <c r="AN4678">
        <v>1.0000000264764499</v>
      </c>
    </row>
    <row r="4679" spans="1:40" x14ac:dyDescent="0.25">
      <c r="A4679" t="str">
        <f>"20190312172505644"</f>
        <v>20190312172505644</v>
      </c>
      <c r="B4679" t="str">
        <f>"1552382705635338"</f>
        <v>1552382705635338</v>
      </c>
      <c r="C4679" t="s">
        <v>40</v>
      </c>
      <c r="D4679">
        <v>3.692571</v>
      </c>
      <c r="E4679">
        <v>0.50463789999999997</v>
      </c>
      <c r="F4679" t="s">
        <v>43</v>
      </c>
      <c r="G4679">
        <v>-421.4649</v>
      </c>
      <c r="H4679" s="1">
        <v>-2.3239790000000002E-6</v>
      </c>
      <c r="I4679">
        <v>103.68340000000001</v>
      </c>
      <c r="J4679">
        <v>-420.95749999999998</v>
      </c>
      <c r="K4679">
        <v>1.117699</v>
      </c>
      <c r="L4679">
        <v>117.9135</v>
      </c>
      <c r="M4679">
        <v>-0.117871699999999</v>
      </c>
      <c r="N4679">
        <v>0</v>
      </c>
      <c r="O4679">
        <v>-0.99290489999999998</v>
      </c>
      <c r="P4679">
        <v>-4.7343839999999998E-2</v>
      </c>
      <c r="Q4679">
        <v>0.16865279999999999</v>
      </c>
      <c r="R4679">
        <v>-0.98453769999999996</v>
      </c>
      <c r="S4679">
        <v>-0.1141968</v>
      </c>
      <c r="T4679">
        <v>-0.23746239999999999</v>
      </c>
      <c r="U4679">
        <v>-3.0836030000000001</v>
      </c>
      <c r="V4679">
        <v>-7.232653E-2</v>
      </c>
      <c r="W4679">
        <v>0.18279319999999999</v>
      </c>
      <c r="X4679">
        <v>0.98048740000000001</v>
      </c>
      <c r="Y4679">
        <v>-8.1162070000000003E-2</v>
      </c>
      <c r="Z4679">
        <v>7.5826820000000003E-2</v>
      </c>
      <c r="AA4679">
        <v>0.99381240000000004</v>
      </c>
      <c r="AB4679">
        <v>33</v>
      </c>
      <c r="AC4679">
        <v>-0.50740000000001795</v>
      </c>
      <c r="AD4679">
        <v>-1.1177013239789999</v>
      </c>
      <c r="AE4679">
        <v>-14.230099999999901</v>
      </c>
      <c r="AF4679">
        <v>-1.1664833304770299</v>
      </c>
      <c r="AG4679">
        <v>-1.1177013239789999</v>
      </c>
      <c r="AH4679">
        <v>14.103790568226</v>
      </c>
      <c r="AI4679">
        <v>94.515768402766398</v>
      </c>
      <c r="AJ4679">
        <v>94.728005617726097</v>
      </c>
      <c r="AK4679">
        <v>14.196015215626</v>
      </c>
      <c r="AL4679">
        <v>79.467501856307507</v>
      </c>
      <c r="AM4679">
        <v>94.218833362586906</v>
      </c>
      <c r="AN4679">
        <v>1.00000001123342</v>
      </c>
    </row>
    <row r="4680" spans="1:40" x14ac:dyDescent="0.25">
      <c r="A4680" t="str">
        <f>"20190312172505656"</f>
        <v>20190312172505656</v>
      </c>
      <c r="B4680" t="str">
        <f>"1552382705645099"</f>
        <v>1552382705645099</v>
      </c>
      <c r="C4680" t="s">
        <v>40</v>
      </c>
      <c r="D4680">
        <v>3.7154389999999999</v>
      </c>
      <c r="E4680">
        <v>0.50529780000000002</v>
      </c>
      <c r="F4680" t="s">
        <v>43</v>
      </c>
      <c r="G4680">
        <v>-421.77359999999999</v>
      </c>
      <c r="H4680" s="1">
        <v>-2.4834459999999998E-6</v>
      </c>
      <c r="I4680">
        <v>103.84699999999999</v>
      </c>
      <c r="J4680">
        <v>-420.97590000000002</v>
      </c>
      <c r="K4680">
        <v>1.117362</v>
      </c>
      <c r="L4680">
        <v>117.7294</v>
      </c>
      <c r="M4680">
        <v>-0.11428969999999999</v>
      </c>
      <c r="N4680">
        <v>0</v>
      </c>
      <c r="O4680">
        <v>-0.99332549999999997</v>
      </c>
      <c r="P4680">
        <v>-4.5407629999999997E-2</v>
      </c>
      <c r="Q4680">
        <v>0.16805980000000001</v>
      </c>
      <c r="R4680">
        <v>-0.98473069999999896</v>
      </c>
      <c r="S4680">
        <v>-0.17871090000000001</v>
      </c>
      <c r="T4680">
        <v>-0.2447666</v>
      </c>
      <c r="U4680">
        <v>-3.080444</v>
      </c>
      <c r="V4680">
        <v>-7.0561299999999993E-2</v>
      </c>
      <c r="W4680">
        <v>0.1821748</v>
      </c>
      <c r="X4680">
        <v>0.98073109999999997</v>
      </c>
      <c r="Y4680">
        <v>-5.6752669999999998E-2</v>
      </c>
      <c r="Z4680">
        <v>7.830268E-2</v>
      </c>
      <c r="AA4680">
        <v>0.99531289999999994</v>
      </c>
      <c r="AB4680">
        <v>33</v>
      </c>
      <c r="AC4680">
        <v>-0.79769999999996299</v>
      </c>
      <c r="AD4680">
        <v>-1.1173644834459999</v>
      </c>
      <c r="AE4680">
        <v>-13.882399999999899</v>
      </c>
      <c r="AF4680">
        <v>-0.789239725428453</v>
      </c>
      <c r="AG4680">
        <v>-1.1173644834459999</v>
      </c>
      <c r="AH4680">
        <v>13.7935284479346</v>
      </c>
      <c r="AI4680">
        <v>94.623684375165695</v>
      </c>
      <c r="AJ4680">
        <v>93.274785946050002</v>
      </c>
      <c r="AK4680">
        <v>13.8611987135688</v>
      </c>
      <c r="AL4680">
        <v>79.503538788355101</v>
      </c>
      <c r="AM4680">
        <v>94.115205848109298</v>
      </c>
      <c r="AN4680">
        <v>1.0000000226599599</v>
      </c>
    </row>
    <row r="4681" spans="1:40" x14ac:dyDescent="0.25">
      <c r="A4681" t="str">
        <f>"20190312172505677"</f>
        <v>20190312172505677</v>
      </c>
      <c r="B4681" t="str">
        <f>"1552382705665594"</f>
        <v>1552382705665594</v>
      </c>
      <c r="C4681" t="s">
        <v>40</v>
      </c>
      <c r="D4681">
        <v>3.6784650000000001</v>
      </c>
      <c r="E4681">
        <v>0.5059205</v>
      </c>
      <c r="F4681" t="s">
        <v>43</v>
      </c>
      <c r="G4681">
        <v>-421.77760000000001</v>
      </c>
      <c r="H4681" s="1">
        <v>-2.4966259999999998E-6</v>
      </c>
      <c r="I4681">
        <v>103.87260000000001</v>
      </c>
      <c r="J4681">
        <v>-421.00409999999999</v>
      </c>
      <c r="K4681">
        <v>1.1168370000000001</v>
      </c>
      <c r="L4681">
        <v>117.43729999999999</v>
      </c>
      <c r="M4681">
        <v>-0.1089754</v>
      </c>
      <c r="N4681">
        <v>0</v>
      </c>
      <c r="O4681">
        <v>-0.99392539999999996</v>
      </c>
      <c r="P4681">
        <v>-4.3868589999999999E-2</v>
      </c>
      <c r="Q4681">
        <v>0.16719629999999999</v>
      </c>
      <c r="R4681">
        <v>-0.98494720000000002</v>
      </c>
      <c r="S4681">
        <v>-0.1782532</v>
      </c>
      <c r="T4681">
        <v>-0.24841630000000001</v>
      </c>
      <c r="U4681">
        <v>-3.0807039999999999</v>
      </c>
      <c r="V4681">
        <v>-6.6604259999999998E-2</v>
      </c>
      <c r="W4681">
        <v>0.18129229999999999</v>
      </c>
      <c r="X4681">
        <v>0.98117120000000002</v>
      </c>
      <c r="Y4681">
        <v>-5.1569690000000001E-2</v>
      </c>
      <c r="Z4681">
        <v>7.9539509999999994E-2</v>
      </c>
      <c r="AA4681">
        <v>0.99549690000000002</v>
      </c>
      <c r="AB4681">
        <v>33</v>
      </c>
      <c r="AC4681">
        <v>-0.77350000000001196</v>
      </c>
      <c r="AD4681">
        <v>-1.116839496626</v>
      </c>
      <c r="AE4681">
        <v>-13.564699999999901</v>
      </c>
      <c r="AF4681">
        <v>-0.70473937730451297</v>
      </c>
      <c r="AG4681">
        <v>-1.116839496626</v>
      </c>
      <c r="AH4681">
        <v>13.477133538806401</v>
      </c>
      <c r="AI4681">
        <v>94.730797998768296</v>
      </c>
      <c r="AJ4681">
        <v>92.993355255116199</v>
      </c>
      <c r="AK4681">
        <v>13.5416807108264</v>
      </c>
      <c r="AL4681">
        <v>79.554958058707797</v>
      </c>
      <c r="AM4681">
        <v>93.883417620313793</v>
      </c>
      <c r="AN4681">
        <v>0.99999997459943801</v>
      </c>
    </row>
    <row r="4682" spans="1:40" x14ac:dyDescent="0.25">
      <c r="A4682" t="str">
        <f>"20190312172505699"</f>
        <v>20190312172505699</v>
      </c>
      <c r="B4682" t="str">
        <f>"1552382705694875"</f>
        <v>1552382705694875</v>
      </c>
      <c r="C4682" t="s">
        <v>40</v>
      </c>
      <c r="D4682">
        <v>3.6445829999999999</v>
      </c>
      <c r="E4682">
        <v>0.50709070000000001</v>
      </c>
      <c r="F4682" t="s">
        <v>43</v>
      </c>
      <c r="G4682">
        <v>-421.7953</v>
      </c>
      <c r="H4682" s="1">
        <v>-2.423041E-6</v>
      </c>
      <c r="I4682">
        <v>103.70699999999999</v>
      </c>
      <c r="J4682">
        <v>-421.03440000000001</v>
      </c>
      <c r="K4682">
        <v>1.116268</v>
      </c>
      <c r="L4682">
        <v>117.1097</v>
      </c>
      <c r="M4682">
        <v>-0.1035798</v>
      </c>
      <c r="N4682">
        <v>0</v>
      </c>
      <c r="O4682">
        <v>-0.99450499999999997</v>
      </c>
      <c r="P4682">
        <v>-4.2308690000000003E-2</v>
      </c>
      <c r="Q4682">
        <v>0.1663888</v>
      </c>
      <c r="R4682">
        <v>-0.98515240000000004</v>
      </c>
      <c r="S4682">
        <v>-0.17752079999999901</v>
      </c>
      <c r="T4682">
        <v>-0.25056820000000002</v>
      </c>
      <c r="U4682">
        <v>-3.0804749999999999</v>
      </c>
      <c r="V4682">
        <v>-6.2566460000000004E-2</v>
      </c>
      <c r="W4682">
        <v>0.18046039999999999</v>
      </c>
      <c r="X4682">
        <v>0.98159030000000003</v>
      </c>
      <c r="Y4682">
        <v>-4.6384069999999999E-2</v>
      </c>
      <c r="Z4682">
        <v>8.0310649999999997E-2</v>
      </c>
      <c r="AA4682">
        <v>0.99568999999999996</v>
      </c>
      <c r="AB4682">
        <v>33</v>
      </c>
      <c r="AC4682">
        <v>-0.76089999999999203</v>
      </c>
      <c r="AD4682">
        <v>-1.1162704230410001</v>
      </c>
      <c r="AE4682">
        <v>-13.4026999999999</v>
      </c>
      <c r="AF4682">
        <v>-0.62726590517409797</v>
      </c>
      <c r="AG4682">
        <v>-1.1162704230410001</v>
      </c>
      <c r="AH4682">
        <v>13.317333269686999</v>
      </c>
      <c r="AI4682">
        <v>94.786100089581694</v>
      </c>
      <c r="AJ4682">
        <v>92.696722055341894</v>
      </c>
      <c r="AK4682">
        <v>13.378747609139699</v>
      </c>
      <c r="AL4682">
        <v>79.603422239465502</v>
      </c>
      <c r="AM4682">
        <v>93.647093050050898</v>
      </c>
      <c r="AN4682">
        <v>1.00000001746959</v>
      </c>
    </row>
    <row r="4683" spans="1:40" x14ac:dyDescent="0.25">
      <c r="A4683" t="str">
        <f>"20190312172505722"</f>
        <v>20190312172505722</v>
      </c>
      <c r="B4683" t="str">
        <f>"1552382705715371"</f>
        <v>1552382705715371</v>
      </c>
      <c r="C4683" t="s">
        <v>40</v>
      </c>
      <c r="D4683">
        <v>3.7478590000000001</v>
      </c>
      <c r="E4683">
        <v>0.48614740000000001</v>
      </c>
      <c r="F4683" t="s">
        <v>43</v>
      </c>
      <c r="G4683">
        <v>-421.84219999999999</v>
      </c>
      <c r="H4683" s="1">
        <v>-2.3186530000000001E-6</v>
      </c>
      <c r="I4683">
        <v>103.4597</v>
      </c>
      <c r="J4683">
        <v>-421.0634</v>
      </c>
      <c r="K4683">
        <v>1.115704</v>
      </c>
      <c r="L4683">
        <v>116.7816</v>
      </c>
      <c r="M4683">
        <v>-9.8788710000000002E-2</v>
      </c>
      <c r="N4683">
        <v>0</v>
      </c>
      <c r="O4683">
        <v>-0.99499490000000002</v>
      </c>
      <c r="P4683">
        <v>-4.1332929999999997E-2</v>
      </c>
      <c r="Q4683">
        <v>0.16498409999999999</v>
      </c>
      <c r="R4683">
        <v>-0.98543009999999998</v>
      </c>
      <c r="S4683">
        <v>-0.18228150000000001</v>
      </c>
      <c r="T4683">
        <v>-0.25187080000000001</v>
      </c>
      <c r="U4683">
        <v>-3.0799259999999999</v>
      </c>
      <c r="V4683">
        <v>-5.8551440000000003E-2</v>
      </c>
      <c r="W4683">
        <v>0.17903579999999999</v>
      </c>
      <c r="X4683">
        <v>0.98209869999999999</v>
      </c>
      <c r="Y4683">
        <v>-4.0030030000000001E-2</v>
      </c>
      <c r="Z4683">
        <v>8.0806680000000006E-2</v>
      </c>
      <c r="AA4683">
        <v>0.99592570000000002</v>
      </c>
      <c r="AB4683">
        <v>33</v>
      </c>
      <c r="AC4683">
        <v>-0.77879999999998895</v>
      </c>
      <c r="AD4683">
        <v>-1.1157063186530001</v>
      </c>
      <c r="AE4683">
        <v>-13.321899999999999</v>
      </c>
      <c r="AF4683">
        <v>-0.53745554346680802</v>
      </c>
      <c r="AG4683">
        <v>-1.1157063186530001</v>
      </c>
      <c r="AH4683">
        <v>13.241108420636699</v>
      </c>
      <c r="AI4683">
        <v>94.812466665310495</v>
      </c>
      <c r="AJ4683">
        <v>92.324355228164407</v>
      </c>
      <c r="AK4683">
        <v>13.298895114171801</v>
      </c>
      <c r="AL4683">
        <v>79.686396787590695</v>
      </c>
      <c r="AM4683">
        <v>93.411860901728502</v>
      </c>
      <c r="AN4683">
        <v>0.99999997267470098</v>
      </c>
    </row>
    <row r="4684" spans="1:40" x14ac:dyDescent="0.25">
      <c r="A4684" t="str">
        <f>"20190312172505735"</f>
        <v>20190312172505735</v>
      </c>
      <c r="B4684" t="str">
        <f>"1552382705725131"</f>
        <v>1552382705725131</v>
      </c>
      <c r="C4684" t="s">
        <v>40</v>
      </c>
      <c r="D4684">
        <v>3.6028440000000002</v>
      </c>
      <c r="E4684">
        <v>0.4858363</v>
      </c>
      <c r="F4684" t="s">
        <v>43</v>
      </c>
      <c r="G4684">
        <v>-421.11329999999998</v>
      </c>
      <c r="H4684" s="1">
        <v>-2.549074E-6</v>
      </c>
      <c r="I4684">
        <v>104.3574</v>
      </c>
      <c r="J4684">
        <v>-421.08080000000001</v>
      </c>
      <c r="K4684">
        <v>1.1153599999999999</v>
      </c>
      <c r="L4684">
        <v>116.5776</v>
      </c>
      <c r="M4684">
        <v>-9.6139039999999995E-2</v>
      </c>
      <c r="N4684">
        <v>0</v>
      </c>
      <c r="O4684">
        <v>-0.99525560000000002</v>
      </c>
      <c r="P4684">
        <v>-4.0235989999999999E-2</v>
      </c>
      <c r="Q4684">
        <v>0.16458629999999999</v>
      </c>
      <c r="R4684">
        <v>-0.98554160000000002</v>
      </c>
      <c r="S4684">
        <v>-1.242065E-2</v>
      </c>
      <c r="T4684">
        <v>-0.27751409999999999</v>
      </c>
      <c r="U4684">
        <v>-3.0903170000000002</v>
      </c>
      <c r="V4684">
        <v>-5.6874099999999997E-2</v>
      </c>
      <c r="W4684">
        <v>0.17861540000000001</v>
      </c>
      <c r="X4684">
        <v>0.98227379999999997</v>
      </c>
      <c r="Y4684">
        <v>-9.2163540000000002E-2</v>
      </c>
      <c r="Z4684">
        <v>8.8629920000000001E-2</v>
      </c>
      <c r="AA4684">
        <v>0.9917916</v>
      </c>
      <c r="AB4684">
        <v>33</v>
      </c>
      <c r="AC4684">
        <v>-3.24999999999704E-2</v>
      </c>
      <c r="AD4684">
        <v>-1.115362549074</v>
      </c>
      <c r="AE4684">
        <v>-12.2202</v>
      </c>
      <c r="AF4684">
        <v>-1.13318024049226</v>
      </c>
      <c r="AG4684">
        <v>-1.115362549074</v>
      </c>
      <c r="AH4684">
        <v>12.066189464437601</v>
      </c>
      <c r="AI4684">
        <v>95.258236182949005</v>
      </c>
      <c r="AJ4684">
        <v>95.365121293481195</v>
      </c>
      <c r="AK4684">
        <v>12.1704995487048</v>
      </c>
      <c r="AL4684">
        <v>79.710878546439304</v>
      </c>
      <c r="AM4684">
        <v>93.3137519341699</v>
      </c>
      <c r="AN4684">
        <v>0.99999997126720397</v>
      </c>
    </row>
    <row r="4685" spans="1:40" x14ac:dyDescent="0.25">
      <c r="A4685" t="str">
        <f>"20190312172505748"</f>
        <v>20190312172505748</v>
      </c>
      <c r="B4685" t="str">
        <f>"1552382705745158"</f>
        <v>1552382705745158</v>
      </c>
      <c r="C4685" t="s">
        <v>40</v>
      </c>
      <c r="D4685">
        <v>3.6798690000000001</v>
      </c>
      <c r="E4685">
        <v>0.48494330000000002</v>
      </c>
      <c r="F4685" t="s">
        <v>43</v>
      </c>
      <c r="G4685">
        <v>-421.1121</v>
      </c>
      <c r="H4685" s="1">
        <v>-2.2033129999999999E-6</v>
      </c>
      <c r="I4685">
        <v>103.6267</v>
      </c>
      <c r="J4685">
        <v>-421.09550000000002</v>
      </c>
      <c r="K4685">
        <v>1.115086</v>
      </c>
      <c r="L4685">
        <v>116.4028</v>
      </c>
      <c r="M4685">
        <v>-9.3981739999999994E-2</v>
      </c>
      <c r="N4685">
        <v>0</v>
      </c>
      <c r="O4685">
        <v>-0.99546279999999998</v>
      </c>
      <c r="P4685">
        <v>-3.9937210000000001E-2</v>
      </c>
      <c r="Q4685">
        <v>0.1639555</v>
      </c>
      <c r="R4685">
        <v>-0.98565919999999896</v>
      </c>
      <c r="S4685">
        <v>-7.446289E-3</v>
      </c>
      <c r="T4685">
        <v>-0.2659572</v>
      </c>
      <c r="U4685">
        <v>-3.08812</v>
      </c>
      <c r="V4685">
        <v>-5.4917489999999999E-2</v>
      </c>
      <c r="W4685">
        <v>0.1779731</v>
      </c>
      <c r="X4685">
        <v>0.98250170000000003</v>
      </c>
      <c r="Y4685">
        <v>-9.1599330000000007E-2</v>
      </c>
      <c r="Z4685">
        <v>8.5055549999999994E-2</v>
      </c>
      <c r="AA4685">
        <v>0.99215679999999995</v>
      </c>
      <c r="AB4685">
        <v>33</v>
      </c>
      <c r="AC4685">
        <v>-1.6599999999982601E-2</v>
      </c>
      <c r="AD4685">
        <v>-1.1150882033130001</v>
      </c>
      <c r="AE4685">
        <v>-12.7761</v>
      </c>
      <c r="AF4685">
        <v>-1.17537286617081</v>
      </c>
      <c r="AG4685">
        <v>-1.1150882033130001</v>
      </c>
      <c r="AH4685">
        <v>12.6249274041537</v>
      </c>
      <c r="AI4685">
        <v>95.025890859941896</v>
      </c>
      <c r="AJ4685">
        <v>95.318869601030997</v>
      </c>
      <c r="AK4685">
        <v>12.728460827446799</v>
      </c>
      <c r="AL4685">
        <v>79.748278900543099</v>
      </c>
      <c r="AM4685">
        <v>93.199251055188398</v>
      </c>
      <c r="AN4685">
        <v>0.99999997276719899</v>
      </c>
    </row>
    <row r="4686" spans="1:40" x14ac:dyDescent="0.25">
      <c r="A4686" t="str">
        <f>"20190312172505766"</f>
        <v>20190312172505766</v>
      </c>
      <c r="B4686" t="str">
        <f>"1552382705754918"</f>
        <v>1552382705754918</v>
      </c>
      <c r="C4686" t="s">
        <v>40</v>
      </c>
      <c r="D4686">
        <v>3.6553339999999999</v>
      </c>
      <c r="E4686">
        <v>0.48488419999999999</v>
      </c>
      <c r="F4686" t="s">
        <v>43</v>
      </c>
      <c r="G4686">
        <v>-421.09480000000002</v>
      </c>
      <c r="H4686" s="1">
        <v>-1.85977E-6</v>
      </c>
      <c r="I4686">
        <v>102.9097</v>
      </c>
      <c r="J4686">
        <v>-421.1173</v>
      </c>
      <c r="K4686">
        <v>1.1146940000000001</v>
      </c>
      <c r="L4686">
        <v>116.1375</v>
      </c>
      <c r="M4686">
        <v>-9.0932040000000006E-2</v>
      </c>
      <c r="N4686">
        <v>0</v>
      </c>
      <c r="O4686">
        <v>-0.99574759999999995</v>
      </c>
      <c r="P4686">
        <v>-3.9719070000000002E-2</v>
      </c>
      <c r="Q4686">
        <v>0.16323319999999999</v>
      </c>
      <c r="R4686">
        <v>-0.98578770000000004</v>
      </c>
      <c r="S4686">
        <v>1.5258789999999999E-4</v>
      </c>
      <c r="T4686">
        <v>-0.25503700000000001</v>
      </c>
      <c r="U4686">
        <v>-3.0860750000000001</v>
      </c>
      <c r="V4686">
        <v>-5.1947489999999999E-2</v>
      </c>
      <c r="W4686">
        <v>0.17723120000000001</v>
      </c>
      <c r="X4686">
        <v>0.98279729999999998</v>
      </c>
      <c r="Y4686">
        <v>-9.0990399999999999E-2</v>
      </c>
      <c r="Z4686">
        <v>8.1678290000000001E-2</v>
      </c>
      <c r="AA4686">
        <v>0.99249659999999995</v>
      </c>
      <c r="AB4686">
        <v>33</v>
      </c>
      <c r="AC4686">
        <v>2.2499999999979502E-2</v>
      </c>
      <c r="AD4686">
        <v>-1.1146958597700001</v>
      </c>
      <c r="AE4686">
        <v>-13.2278</v>
      </c>
      <c r="AF4686">
        <v>-1.21672845957339</v>
      </c>
      <c r="AG4686">
        <v>-1.1146958597700001</v>
      </c>
      <c r="AH4686">
        <v>13.0780694214676</v>
      </c>
      <c r="AI4686">
        <v>94.850924225083503</v>
      </c>
      <c r="AJ4686">
        <v>95.315257400189793</v>
      </c>
      <c r="AK4686">
        <v>13.181762962398</v>
      </c>
      <c r="AL4686">
        <v>79.791473471657795</v>
      </c>
      <c r="AM4686">
        <v>93.0256541575407</v>
      </c>
      <c r="AN4686">
        <v>0.999999986429014</v>
      </c>
    </row>
    <row r="4687" spans="1:40" x14ac:dyDescent="0.25">
      <c r="A4687" t="str">
        <f>"20190312172505789"</f>
        <v>20190312172505789</v>
      </c>
      <c r="B4687" t="str">
        <f>"1552382705785174"</f>
        <v>1552382705785174</v>
      </c>
      <c r="C4687" t="s">
        <v>40</v>
      </c>
      <c r="D4687">
        <v>3.640342</v>
      </c>
      <c r="E4687">
        <v>0.48521959999999997</v>
      </c>
      <c r="F4687" t="s">
        <v>43</v>
      </c>
      <c r="G4687">
        <v>-421.11090000000002</v>
      </c>
      <c r="H4687" s="1">
        <v>-1.69225E-6</v>
      </c>
      <c r="I4687">
        <v>102.5463</v>
      </c>
      <c r="J4687">
        <v>-421.14400000000001</v>
      </c>
      <c r="K4687">
        <v>1.114247</v>
      </c>
      <c r="L4687">
        <v>115.8038</v>
      </c>
      <c r="M4687">
        <v>-8.7514239999999993E-2</v>
      </c>
      <c r="N4687">
        <v>0</v>
      </c>
      <c r="O4687">
        <v>-0.99605569999999999</v>
      </c>
      <c r="P4687">
        <v>-3.9436970000000002E-2</v>
      </c>
      <c r="Q4687">
        <v>0.16250619999999999</v>
      </c>
      <c r="R4687">
        <v>-0.9859192</v>
      </c>
      <c r="S4687">
        <v>1.4648440000000001E-3</v>
      </c>
      <c r="T4687">
        <v>-0.25303419999999999</v>
      </c>
      <c r="U4687">
        <v>-3.0851899999999999</v>
      </c>
      <c r="V4687">
        <v>-4.8653809999999999E-2</v>
      </c>
      <c r="W4687">
        <v>0.17647470000000001</v>
      </c>
      <c r="X4687">
        <v>0.98310200000000003</v>
      </c>
      <c r="Y4687">
        <v>-8.7994429999999998E-2</v>
      </c>
      <c r="Z4687">
        <v>8.1112760000000006E-2</v>
      </c>
      <c r="AA4687">
        <v>0.9928131</v>
      </c>
      <c r="AB4687">
        <v>33</v>
      </c>
      <c r="AC4687">
        <v>3.3099999999990297E-2</v>
      </c>
      <c r="AD4687">
        <v>-1.1142486922499999</v>
      </c>
      <c r="AE4687">
        <v>-13.257499999999901</v>
      </c>
      <c r="AF4687">
        <v>-1.1849471240199601</v>
      </c>
      <c r="AG4687">
        <v>-1.1142486922499999</v>
      </c>
      <c r="AH4687">
        <v>13.1111123260431</v>
      </c>
      <c r="AI4687">
        <v>94.837989021792595</v>
      </c>
      <c r="AJ4687">
        <v>95.164208668010502</v>
      </c>
      <c r="AK4687">
        <v>13.211620500946299</v>
      </c>
      <c r="AL4687">
        <v>79.835512319554397</v>
      </c>
      <c r="AM4687">
        <v>92.833261859458105</v>
      </c>
      <c r="AN4687">
        <v>1.0000000276858001</v>
      </c>
    </row>
    <row r="4688" spans="1:40" x14ac:dyDescent="0.25">
      <c r="A4688" t="str">
        <f>"20190312172505812"</f>
        <v>20190312172505812</v>
      </c>
      <c r="B4688" t="str">
        <f>"1552382705805670"</f>
        <v>1552382705805670</v>
      </c>
      <c r="C4688" t="s">
        <v>40</v>
      </c>
      <c r="D4688">
        <v>3.625877</v>
      </c>
      <c r="E4688">
        <v>0.48543809999999898</v>
      </c>
      <c r="F4688" t="s">
        <v>43</v>
      </c>
      <c r="G4688">
        <v>-421.14749999999998</v>
      </c>
      <c r="H4688" s="1">
        <v>-1.4695859999999999E-6</v>
      </c>
      <c r="I4688">
        <v>102.05459999999999</v>
      </c>
      <c r="J4688">
        <v>-421.16969999999998</v>
      </c>
      <c r="K4688">
        <v>1.113847</v>
      </c>
      <c r="L4688">
        <v>115.4706</v>
      </c>
      <c r="M4688">
        <v>-8.4486779999999997E-2</v>
      </c>
      <c r="N4688">
        <v>0</v>
      </c>
      <c r="O4688">
        <v>-0.99631879999999995</v>
      </c>
      <c r="P4688">
        <v>-3.9606530000000001E-2</v>
      </c>
      <c r="Q4688">
        <v>0.161791299999999</v>
      </c>
      <c r="R4688">
        <v>-0.98603010000000002</v>
      </c>
      <c r="S4688">
        <v>-7.9345700000000002E-4</v>
      </c>
      <c r="T4688">
        <v>-0.24993000000000001</v>
      </c>
      <c r="U4688">
        <v>-3.0840000000000001</v>
      </c>
      <c r="V4688">
        <v>-4.5314920000000002E-2</v>
      </c>
      <c r="W4688">
        <v>0.1757312</v>
      </c>
      <c r="X4688">
        <v>0.98339469999999995</v>
      </c>
      <c r="Y4688">
        <v>-8.4239659999999994E-2</v>
      </c>
      <c r="Z4688">
        <v>8.0199670000000001E-2</v>
      </c>
      <c r="AA4688">
        <v>0.99321280000000001</v>
      </c>
      <c r="AB4688">
        <v>33</v>
      </c>
      <c r="AC4688">
        <v>2.2199999999997999E-2</v>
      </c>
      <c r="AD4688">
        <v>-1.113848469586</v>
      </c>
      <c r="AE4688">
        <v>-13.416</v>
      </c>
      <c r="AF4688">
        <v>-1.14780301026651</v>
      </c>
      <c r="AG4688">
        <v>-1.113848469586</v>
      </c>
      <c r="AH4688">
        <v>13.2746450750234</v>
      </c>
      <c r="AI4688">
        <v>94.778590220046993</v>
      </c>
      <c r="AJ4688">
        <v>94.941835142449094</v>
      </c>
      <c r="AK4688">
        <v>13.3706511446309</v>
      </c>
      <c r="AL4688">
        <v>79.878787938970007</v>
      </c>
      <c r="AM4688">
        <v>92.638328562427802</v>
      </c>
      <c r="AN4688">
        <v>1.00000001630806</v>
      </c>
    </row>
    <row r="4689" spans="1:40" x14ac:dyDescent="0.25">
      <c r="A4689" t="str">
        <f>"20190312172505833"</f>
        <v>20190312172505833</v>
      </c>
      <c r="B4689" t="str">
        <f>"1552382705825190"</f>
        <v>1552382705825190</v>
      </c>
      <c r="C4689" t="s">
        <v>40</v>
      </c>
      <c r="D4689">
        <v>3.6596630000000001</v>
      </c>
      <c r="E4689">
        <v>0.48569770000000001</v>
      </c>
      <c r="F4689" t="s">
        <v>43</v>
      </c>
      <c r="G4689">
        <v>-421.1841</v>
      </c>
      <c r="H4689" s="1">
        <v>-1.234223E-6</v>
      </c>
      <c r="I4689">
        <v>101.5361</v>
      </c>
      <c r="J4689">
        <v>-421.19349999999997</v>
      </c>
      <c r="K4689">
        <v>1.1134949999999999</v>
      </c>
      <c r="L4689">
        <v>115.1553</v>
      </c>
      <c r="M4689">
        <v>-8.1942650000000006E-2</v>
      </c>
      <c r="N4689">
        <v>0</v>
      </c>
      <c r="O4689">
        <v>-0.99653239999999998</v>
      </c>
      <c r="P4689">
        <v>-4.055566E-2</v>
      </c>
      <c r="Q4689">
        <v>0.1614892</v>
      </c>
      <c r="R4689">
        <v>-0.98604069999999999</v>
      </c>
      <c r="S4689">
        <v>-3.1738280000000001E-3</v>
      </c>
      <c r="T4689">
        <v>-0.24642359999999999</v>
      </c>
      <c r="U4689">
        <v>-3.0828090000000001</v>
      </c>
      <c r="V4689">
        <v>-4.1695599999999999E-2</v>
      </c>
      <c r="W4689">
        <v>0.17540629999999999</v>
      </c>
      <c r="X4689">
        <v>0.98361279999999995</v>
      </c>
      <c r="Y4689">
        <v>-8.0927899999999997E-2</v>
      </c>
      <c r="Z4689">
        <v>7.9148309999999999E-2</v>
      </c>
      <c r="AA4689">
        <v>0.99357249999999997</v>
      </c>
      <c r="AB4689">
        <v>33</v>
      </c>
      <c r="AC4689">
        <v>9.3999999999709802E-3</v>
      </c>
      <c r="AD4689">
        <v>-1.1134962342229999</v>
      </c>
      <c r="AE4689">
        <v>-13.6191999999999</v>
      </c>
      <c r="AF4689">
        <v>-1.11800473277471</v>
      </c>
      <c r="AG4689">
        <v>-1.1134962342229999</v>
      </c>
      <c r="AH4689">
        <v>13.482494540176299</v>
      </c>
      <c r="AI4689">
        <v>94.705169731431894</v>
      </c>
      <c r="AJ4689">
        <v>94.740275105255407</v>
      </c>
      <c r="AK4689">
        <v>13.5745153678509</v>
      </c>
      <c r="AL4689">
        <v>79.897697053783602</v>
      </c>
      <c r="AM4689">
        <v>92.427329633695607</v>
      </c>
      <c r="AN4689">
        <v>1.00000001673144</v>
      </c>
    </row>
    <row r="4690" spans="1:40" x14ac:dyDescent="0.25">
      <c r="A4690" t="str">
        <f>"20190312172505855"</f>
        <v>20190312172505855</v>
      </c>
      <c r="B4690" t="str">
        <f>"1552382705845686"</f>
        <v>1552382705845686</v>
      </c>
      <c r="C4690" t="s">
        <v>40</v>
      </c>
      <c r="D4690">
        <v>3.8423400000000001</v>
      </c>
      <c r="E4690">
        <v>0.4859115</v>
      </c>
      <c r="F4690" t="s">
        <v>43</v>
      </c>
      <c r="G4690">
        <v>-421.23169999999999</v>
      </c>
      <c r="H4690" s="1">
        <v>-1.0125789999999999E-6</v>
      </c>
      <c r="I4690">
        <v>101.04040000000001</v>
      </c>
      <c r="J4690">
        <v>-421.21719999999999</v>
      </c>
      <c r="K4690">
        <v>1.113156</v>
      </c>
      <c r="L4690">
        <v>114.8352</v>
      </c>
      <c r="M4690">
        <v>-7.9660419999999996E-2</v>
      </c>
      <c r="N4690">
        <v>0</v>
      </c>
      <c r="O4690">
        <v>-0.99671880000000002</v>
      </c>
      <c r="P4690">
        <v>-4.1429559999999997E-2</v>
      </c>
      <c r="Q4690">
        <v>0.16082199999999999</v>
      </c>
      <c r="R4690">
        <v>-0.98611369999999998</v>
      </c>
      <c r="S4690">
        <v>-8.3312990000000003E-3</v>
      </c>
      <c r="T4690">
        <v>-0.24312839999999999</v>
      </c>
      <c r="U4690">
        <v>-3.0819399999999999</v>
      </c>
      <c r="V4690">
        <v>-3.841982E-2</v>
      </c>
      <c r="W4690">
        <v>0.1747157</v>
      </c>
      <c r="X4690">
        <v>0.98386910000000005</v>
      </c>
      <c r="Y4690">
        <v>-7.6981599999999997E-2</v>
      </c>
      <c r="Z4690">
        <v>7.8152410000000005E-2</v>
      </c>
      <c r="AA4690">
        <v>0.99396479999999998</v>
      </c>
      <c r="AB4690">
        <v>33</v>
      </c>
      <c r="AC4690">
        <v>-1.4499999999998099E-2</v>
      </c>
      <c r="AD4690">
        <v>-1.113157012579</v>
      </c>
      <c r="AE4690">
        <v>-13.794799999999899</v>
      </c>
      <c r="AF4690">
        <v>-1.0775423485604401</v>
      </c>
      <c r="AG4690">
        <v>-1.113157012579</v>
      </c>
      <c r="AH4690">
        <v>13.6631394577294</v>
      </c>
      <c r="AI4690">
        <v>94.6433339661275</v>
      </c>
      <c r="AJ4690">
        <v>94.509293526043194</v>
      </c>
      <c r="AK4690">
        <v>13.7506943784289</v>
      </c>
      <c r="AL4690">
        <v>79.937886292547006</v>
      </c>
      <c r="AM4690">
        <v>92.236248353107001</v>
      </c>
      <c r="AN4690">
        <v>1.0000000321650599</v>
      </c>
    </row>
    <row r="4691" spans="1:40" x14ac:dyDescent="0.25">
      <c r="A4691" t="str">
        <f>"20190312172505877"</f>
        <v>20190312172505877</v>
      </c>
      <c r="B4691" t="str">
        <f>"1552382705874967"</f>
        <v>1552382705874967</v>
      </c>
      <c r="C4691" t="s">
        <v>40</v>
      </c>
      <c r="D4691">
        <v>3.7745340000000001</v>
      </c>
      <c r="E4691">
        <v>0.48625869999999999</v>
      </c>
      <c r="F4691" t="s">
        <v>43</v>
      </c>
      <c r="G4691">
        <v>-421.27859999999998</v>
      </c>
      <c r="H4691" s="1">
        <v>-9.8730669999999895E-7</v>
      </c>
      <c r="I4691">
        <v>100.9605</v>
      </c>
      <c r="J4691">
        <v>-421.2407</v>
      </c>
      <c r="K4691">
        <v>1.112824</v>
      </c>
      <c r="L4691">
        <v>114.51130000000001</v>
      </c>
      <c r="M4691">
        <v>-7.7640790000000001E-2</v>
      </c>
      <c r="N4691">
        <v>0</v>
      </c>
      <c r="O4691">
        <v>-0.99687939999999997</v>
      </c>
      <c r="P4691">
        <v>-4.1840450000000001E-2</v>
      </c>
      <c r="Q4691">
        <v>0.16065489999999999</v>
      </c>
      <c r="R4691">
        <v>-0.98612390000000005</v>
      </c>
      <c r="S4691">
        <v>-1.364136E-2</v>
      </c>
      <c r="T4691">
        <v>-0.24726890000000001</v>
      </c>
      <c r="U4691">
        <v>-3.0820159999999999</v>
      </c>
      <c r="V4691">
        <v>-3.5867870000000003E-2</v>
      </c>
      <c r="W4691">
        <v>0.17451989999999901</v>
      </c>
      <c r="X4691">
        <v>0.98400010000000004</v>
      </c>
      <c r="Y4691">
        <v>-7.3248949999999993E-2</v>
      </c>
      <c r="Z4691">
        <v>7.9503089999999998E-2</v>
      </c>
      <c r="AA4691">
        <v>0.99413969999999896</v>
      </c>
      <c r="AB4691">
        <v>33</v>
      </c>
      <c r="AC4691">
        <v>-3.7899999999979103E-2</v>
      </c>
      <c r="AD4691">
        <v>-1.1128249873067</v>
      </c>
      <c r="AE4691">
        <v>-13.550800000000001</v>
      </c>
      <c r="AF4691">
        <v>-1.0076208036262999</v>
      </c>
      <c r="AG4691">
        <v>-1.1128249873067</v>
      </c>
      <c r="AH4691">
        <v>13.422309417889799</v>
      </c>
      <c r="AI4691">
        <v>94.726235324150494</v>
      </c>
      <c r="AJ4691">
        <v>94.293175687964293</v>
      </c>
      <c r="AK4691">
        <v>13.506001230780599</v>
      </c>
      <c r="AL4691">
        <v>79.949279000481098</v>
      </c>
      <c r="AM4691">
        <v>92.087569010262797</v>
      </c>
      <c r="AN4691">
        <v>0.99999994819717697</v>
      </c>
    </row>
    <row r="4692" spans="1:40" x14ac:dyDescent="0.25">
      <c r="A4692" t="str">
        <f>"20190312172505890"</f>
        <v>20190312172505890</v>
      </c>
      <c r="B4692" t="str">
        <f>"1552382705885703"</f>
        <v>1552382705885703</v>
      </c>
      <c r="C4692" t="s">
        <v>40</v>
      </c>
      <c r="D4692">
        <v>3.691446</v>
      </c>
      <c r="E4692">
        <v>0.4864503</v>
      </c>
      <c r="F4692" t="s">
        <v>43</v>
      </c>
      <c r="G4692">
        <v>-421.32549999999998</v>
      </c>
      <c r="H4692" s="1">
        <v>-9.0501080000000002E-7</v>
      </c>
      <c r="I4692">
        <v>100.76</v>
      </c>
      <c r="J4692">
        <v>-421.2534</v>
      </c>
      <c r="K4692">
        <v>1.112649</v>
      </c>
      <c r="L4692">
        <v>114.333</v>
      </c>
      <c r="M4692">
        <v>-7.6665150000000001E-2</v>
      </c>
      <c r="N4692">
        <v>0</v>
      </c>
      <c r="O4692">
        <v>-0.99695520000000004</v>
      </c>
      <c r="P4692">
        <v>-4.1912030000000003E-2</v>
      </c>
      <c r="Q4692">
        <v>0.1606311</v>
      </c>
      <c r="R4692">
        <v>-0.98612420000000001</v>
      </c>
      <c r="S4692">
        <v>-1.901245E-2</v>
      </c>
      <c r="T4692">
        <v>-0.249416</v>
      </c>
      <c r="U4692">
        <v>-3.0820470000000002</v>
      </c>
      <c r="V4692">
        <v>-3.4755139999999997E-2</v>
      </c>
      <c r="W4692">
        <v>0.17448050000000001</v>
      </c>
      <c r="X4692">
        <v>0.98404709999999995</v>
      </c>
      <c r="Y4692">
        <v>-7.054059E-2</v>
      </c>
      <c r="Z4692">
        <v>8.0204800000000007E-2</v>
      </c>
      <c r="AA4692">
        <v>0.99427929999999998</v>
      </c>
      <c r="AB4692">
        <v>33</v>
      </c>
      <c r="AC4692">
        <v>-7.2099999999977599E-2</v>
      </c>
      <c r="AD4692">
        <v>-1.1126499050108001</v>
      </c>
      <c r="AE4692">
        <v>-13.572999999999899</v>
      </c>
      <c r="AF4692">
        <v>-0.96232724540798398</v>
      </c>
      <c r="AG4692">
        <v>-1.1126499050108001</v>
      </c>
      <c r="AH4692">
        <v>13.4482046855323</v>
      </c>
      <c r="AI4692">
        <v>94.717639774887999</v>
      </c>
      <c r="AJ4692">
        <v>94.092997384573806</v>
      </c>
      <c r="AK4692">
        <v>13.5284246238188</v>
      </c>
      <c r="AL4692">
        <v>79.951572458580401</v>
      </c>
      <c r="AM4692">
        <v>92.022764422972898</v>
      </c>
      <c r="AN4692">
        <v>1.00000002982753</v>
      </c>
    </row>
    <row r="4693" spans="1:40" x14ac:dyDescent="0.25">
      <c r="A4693" t="str">
        <f>"20190312172505903"</f>
        <v>20190312172505903</v>
      </c>
      <c r="B4693" t="str">
        <f>"1552382705895463"</f>
        <v>1552382705895463</v>
      </c>
      <c r="C4693" t="s">
        <v>40</v>
      </c>
      <c r="D4693">
        <v>3.7099530000000001</v>
      </c>
      <c r="E4693">
        <v>0.48662519999999998</v>
      </c>
      <c r="F4693" t="s">
        <v>43</v>
      </c>
      <c r="G4693">
        <v>-421.34820000000002</v>
      </c>
      <c r="H4693" s="1">
        <v>-8.2575269999999899E-7</v>
      </c>
      <c r="I4693">
        <v>100.5796</v>
      </c>
      <c r="J4693">
        <v>-421.2663</v>
      </c>
      <c r="K4693">
        <v>1.112474</v>
      </c>
      <c r="L4693">
        <v>114.1521</v>
      </c>
      <c r="M4693">
        <v>-7.5727539999999996E-2</v>
      </c>
      <c r="N4693">
        <v>0</v>
      </c>
      <c r="O4693">
        <v>-0.99702760000000001</v>
      </c>
      <c r="P4693">
        <v>-4.2251110000000001E-2</v>
      </c>
      <c r="Q4693">
        <v>0.16017020000000001</v>
      </c>
      <c r="R4693">
        <v>-0.98618499999999998</v>
      </c>
      <c r="S4693">
        <v>-2.1240229999999999E-2</v>
      </c>
      <c r="T4693">
        <v>-0.24932550000000001</v>
      </c>
      <c r="U4693">
        <v>-3.081909</v>
      </c>
      <c r="V4693">
        <v>-3.3417370000000002E-2</v>
      </c>
      <c r="W4693">
        <v>0.17400579999999999</v>
      </c>
      <c r="X4693">
        <v>0.98417750000000004</v>
      </c>
      <c r="Y4693">
        <v>-6.8883390000000003E-2</v>
      </c>
      <c r="Z4693">
        <v>8.0192609999999998E-2</v>
      </c>
      <c r="AA4693">
        <v>0.99439639999999996</v>
      </c>
      <c r="AB4693">
        <v>33</v>
      </c>
      <c r="AC4693">
        <v>-8.1900000000018694E-2</v>
      </c>
      <c r="AD4693">
        <v>-1.1124748257527</v>
      </c>
      <c r="AE4693">
        <v>-13.5725</v>
      </c>
      <c r="AF4693">
        <v>-0.93993616132945201</v>
      </c>
      <c r="AG4693">
        <v>-1.1124748257527</v>
      </c>
      <c r="AH4693">
        <v>13.449368189946799</v>
      </c>
      <c r="AI4693">
        <v>94.717046719487001</v>
      </c>
      <c r="AJ4693">
        <v>93.997730743365196</v>
      </c>
      <c r="AK4693">
        <v>13.5279926424456</v>
      </c>
      <c r="AL4693">
        <v>79.979193446301593</v>
      </c>
      <c r="AM4693">
        <v>91.944709112404396</v>
      </c>
      <c r="AN4693">
        <v>1.0000000452788</v>
      </c>
    </row>
    <row r="4694" spans="1:40" x14ac:dyDescent="0.25">
      <c r="A4694" t="str">
        <f>"20190312172505922"</f>
        <v>20190312172505922</v>
      </c>
      <c r="B4694" t="str">
        <f>"1552382705914986"</f>
        <v>1552382705914986</v>
      </c>
      <c r="C4694" t="s">
        <v>40</v>
      </c>
      <c r="D4694">
        <v>3.6725569999999998</v>
      </c>
      <c r="E4694">
        <v>0.48687809999999998</v>
      </c>
      <c r="F4694" t="s">
        <v>43</v>
      </c>
      <c r="G4694">
        <v>-421.3734</v>
      </c>
      <c r="H4694" s="1">
        <v>-7.8222339999999997E-7</v>
      </c>
      <c r="I4694">
        <v>100.4734</v>
      </c>
      <c r="J4694">
        <v>-421.28710000000001</v>
      </c>
      <c r="K4694">
        <v>1.112206</v>
      </c>
      <c r="L4694">
        <v>113.85769999999999</v>
      </c>
      <c r="M4694">
        <v>-7.4409329999999996E-2</v>
      </c>
      <c r="N4694">
        <v>0</v>
      </c>
      <c r="O4694">
        <v>-0.99712750000000006</v>
      </c>
      <c r="P4694">
        <v>-4.2546220000000003E-2</v>
      </c>
      <c r="Q4694">
        <v>0.1595289</v>
      </c>
      <c r="R4694">
        <v>-0.98627600000000004</v>
      </c>
      <c r="S4694">
        <v>-2.4108890000000001E-2</v>
      </c>
      <c r="T4694">
        <v>-0.25063010000000002</v>
      </c>
      <c r="U4694">
        <v>-3.081696</v>
      </c>
      <c r="V4694">
        <v>-3.1709109999999999E-2</v>
      </c>
      <c r="W4694">
        <v>0.17334229999999901</v>
      </c>
      <c r="X4694">
        <v>0.98435099999999998</v>
      </c>
      <c r="Y4694">
        <v>-6.6638459999999997E-2</v>
      </c>
      <c r="Z4694">
        <v>8.0632990000000002E-2</v>
      </c>
      <c r="AA4694">
        <v>0.9945138</v>
      </c>
      <c r="AB4694">
        <v>33</v>
      </c>
      <c r="AC4694">
        <v>-8.6299999999994201E-2</v>
      </c>
      <c r="AD4694">
        <v>-1.1122067822233901</v>
      </c>
      <c r="AE4694">
        <v>-13.3842999999999</v>
      </c>
      <c r="AF4694">
        <v>-0.90371556509433604</v>
      </c>
      <c r="AG4694">
        <v>-1.1122067822233901</v>
      </c>
      <c r="AH4694">
        <v>13.262036609391901</v>
      </c>
      <c r="AI4694">
        <v>94.782792921975997</v>
      </c>
      <c r="AJ4694">
        <v>93.898282509312494</v>
      </c>
      <c r="AK4694">
        <v>13.3392398875599</v>
      </c>
      <c r="AL4694">
        <v>80.017794926856894</v>
      </c>
      <c r="AM4694">
        <v>91.8450432223229</v>
      </c>
      <c r="AN4694">
        <v>0.99999995591363999</v>
      </c>
    </row>
    <row r="4695" spans="1:40" x14ac:dyDescent="0.25">
      <c r="A4695" t="str">
        <f>"20190312172505945"</f>
        <v>20190312172505945</v>
      </c>
      <c r="B4695" t="str">
        <f>"1552382705935479"</f>
        <v>1552382705935479</v>
      </c>
      <c r="C4695" t="s">
        <v>40</v>
      </c>
      <c r="D4695">
        <v>3.6998530000000001</v>
      </c>
      <c r="E4695">
        <v>0.48717909999999998</v>
      </c>
      <c r="F4695" t="s">
        <v>43</v>
      </c>
      <c r="G4695">
        <v>-421.4076</v>
      </c>
      <c r="H4695" s="1">
        <v>-6.9360569999999899E-7</v>
      </c>
      <c r="I4695">
        <v>100.2666</v>
      </c>
      <c r="J4695">
        <v>-421.30939999999998</v>
      </c>
      <c r="K4695">
        <v>1.1119540000000001</v>
      </c>
      <c r="L4695">
        <v>113.5385</v>
      </c>
      <c r="M4695">
        <v>-7.3200520000000005E-2</v>
      </c>
      <c r="N4695">
        <v>0</v>
      </c>
      <c r="O4695">
        <v>-0.99721769999999998</v>
      </c>
      <c r="P4695">
        <v>-4.4120859999999998E-2</v>
      </c>
      <c r="Q4695">
        <v>0.1580705</v>
      </c>
      <c r="R4695">
        <v>-0.98644200000000004</v>
      </c>
      <c r="S4695">
        <v>-2.7313230000000001E-2</v>
      </c>
      <c r="T4695">
        <v>-0.25215700000000002</v>
      </c>
      <c r="U4695">
        <v>-3.0813290000000002</v>
      </c>
      <c r="V4695">
        <v>-2.884068E-2</v>
      </c>
      <c r="W4695">
        <v>0.17186699999999999</v>
      </c>
      <c r="X4695">
        <v>0.98469790000000001</v>
      </c>
      <c r="Y4695">
        <v>-6.4393980000000003E-2</v>
      </c>
      <c r="Z4695">
        <v>8.1147120000000003E-2</v>
      </c>
      <c r="AA4695">
        <v>0.99461980000000005</v>
      </c>
      <c r="AB4695">
        <v>33</v>
      </c>
      <c r="AC4695">
        <v>-9.8200000000019799E-2</v>
      </c>
      <c r="AD4695">
        <v>-1.1119546936057001</v>
      </c>
      <c r="AE4695">
        <v>-13.2719</v>
      </c>
      <c r="AF4695">
        <v>-0.86758026633810903</v>
      </c>
      <c r="AG4695">
        <v>-1.1119546936057001</v>
      </c>
      <c r="AH4695">
        <v>13.1511667019613</v>
      </c>
      <c r="AI4695">
        <v>94.822532776646199</v>
      </c>
      <c r="AJ4695">
        <v>93.774324015556303</v>
      </c>
      <c r="AK4695">
        <v>13.2265764422222</v>
      </c>
      <c r="AL4695">
        <v>80.103611871056401</v>
      </c>
      <c r="AM4695">
        <v>91.677648519844993</v>
      </c>
      <c r="AN4695">
        <v>1.0000000023881299</v>
      </c>
    </row>
    <row r="4696" spans="1:40" x14ac:dyDescent="0.25">
      <c r="A4696" t="str">
        <f>"20190312172505956"</f>
        <v>20190312172505956</v>
      </c>
      <c r="B4696" t="str">
        <f>"1552382705945241"</f>
        <v>1552382705945241</v>
      </c>
      <c r="C4696" t="s">
        <v>40</v>
      </c>
      <c r="D4696">
        <v>3.7301630000000001</v>
      </c>
      <c r="E4696">
        <v>0.4873111</v>
      </c>
      <c r="F4696" t="s">
        <v>43</v>
      </c>
      <c r="G4696">
        <v>-421.46260000000001</v>
      </c>
      <c r="H4696" s="1">
        <v>-7.2194109999999898E-7</v>
      </c>
      <c r="I4696">
        <v>100.29559999999999</v>
      </c>
      <c r="J4696">
        <v>-421.32209999999998</v>
      </c>
      <c r="K4696">
        <v>1.111829</v>
      </c>
      <c r="L4696">
        <v>113.35639999999999</v>
      </c>
      <c r="M4696">
        <v>-7.2595950000000006E-2</v>
      </c>
      <c r="N4696">
        <v>0</v>
      </c>
      <c r="O4696">
        <v>-0.99726250000000005</v>
      </c>
      <c r="P4696">
        <v>-4.3709369999999997E-2</v>
      </c>
      <c r="Q4696">
        <v>0.15735789999999999</v>
      </c>
      <c r="R4696">
        <v>-0.98657439999999996</v>
      </c>
      <c r="S4696">
        <v>-3.5644530000000001E-2</v>
      </c>
      <c r="T4696">
        <v>-0.25870789999999999</v>
      </c>
      <c r="U4696">
        <v>-3.0810849999999999</v>
      </c>
      <c r="V4696">
        <v>-2.860536E-2</v>
      </c>
      <c r="W4696">
        <v>0.171139299999999</v>
      </c>
      <c r="X4696">
        <v>0.98483149999999997</v>
      </c>
      <c r="Y4696">
        <v>-6.1100769999999999E-2</v>
      </c>
      <c r="Z4696">
        <v>8.3260379999999995E-2</v>
      </c>
      <c r="AA4696">
        <v>0.99465289999999995</v>
      </c>
      <c r="AB4696">
        <v>33</v>
      </c>
      <c r="AC4696">
        <v>-0.14050000000003099</v>
      </c>
      <c r="AD4696">
        <v>-1.1118297219411</v>
      </c>
      <c r="AE4696">
        <v>-13.0608</v>
      </c>
      <c r="AF4696">
        <v>-0.80231214308338705</v>
      </c>
      <c r="AG4696">
        <v>-1.1118297219411</v>
      </c>
      <c r="AH4696">
        <v>12.942751455041201</v>
      </c>
      <c r="AI4696">
        <v>94.900502948190194</v>
      </c>
      <c r="AJ4696">
        <v>93.547186529790494</v>
      </c>
      <c r="AK4696">
        <v>13.0151713524064</v>
      </c>
      <c r="AL4696">
        <v>80.145933085685101</v>
      </c>
      <c r="AM4696">
        <v>91.663742192208005</v>
      </c>
      <c r="AN4696">
        <v>1.0000000050087301</v>
      </c>
    </row>
    <row r="4697" spans="1:40" x14ac:dyDescent="0.25">
      <c r="A4697" t="str">
        <f>"20190312172505979"</f>
        <v>20190312172505979</v>
      </c>
      <c r="B4697" t="str">
        <f>"1552382705975495"</f>
        <v>1552382705975495</v>
      </c>
      <c r="C4697" t="s">
        <v>40</v>
      </c>
      <c r="D4697">
        <v>3.836055</v>
      </c>
      <c r="E4697">
        <v>0.48759409999999997</v>
      </c>
      <c r="F4697" t="s">
        <v>43</v>
      </c>
      <c r="G4697">
        <v>-421.47329999999999</v>
      </c>
      <c r="H4697" s="1">
        <v>-6.8172769999999997E-7</v>
      </c>
      <c r="I4697">
        <v>100.2045</v>
      </c>
      <c r="J4697">
        <v>-421.34350000000001</v>
      </c>
      <c r="K4697">
        <v>1.1116349999999999</v>
      </c>
      <c r="L4697">
        <v>113.04559999999999</v>
      </c>
      <c r="M4697">
        <v>-7.1701589999999996E-2</v>
      </c>
      <c r="N4697">
        <v>0</v>
      </c>
      <c r="O4697">
        <v>-0.99732739999999998</v>
      </c>
      <c r="P4697">
        <v>-4.3821470000000001E-2</v>
      </c>
      <c r="Q4697">
        <v>0.156880399999999</v>
      </c>
      <c r="R4697">
        <v>-0.98664470000000004</v>
      </c>
      <c r="S4697">
        <v>-3.5430910000000003E-2</v>
      </c>
      <c r="T4697">
        <v>-0.26044250000000002</v>
      </c>
      <c r="U4697">
        <v>-3.0807950000000002</v>
      </c>
      <c r="V4697">
        <v>-2.752862E-2</v>
      </c>
      <c r="W4697">
        <v>0.1706385</v>
      </c>
      <c r="X4697">
        <v>0.98494910000000002</v>
      </c>
      <c r="Y4697">
        <v>-6.0274050000000003E-2</v>
      </c>
      <c r="Z4697">
        <v>8.383285E-2</v>
      </c>
      <c r="AA4697">
        <v>0.99465530000000002</v>
      </c>
      <c r="AB4697">
        <v>33</v>
      </c>
      <c r="AC4697">
        <v>-0.12979999999998801</v>
      </c>
      <c r="AD4697">
        <v>-1.1116356817277</v>
      </c>
      <c r="AE4697">
        <v>-12.8410999999999</v>
      </c>
      <c r="AF4697">
        <v>-0.78546634306757601</v>
      </c>
      <c r="AG4697">
        <v>-1.1116356817277</v>
      </c>
      <c r="AH4697">
        <v>12.7220193559014</v>
      </c>
      <c r="AI4697">
        <v>94.984314142497794</v>
      </c>
      <c r="AJ4697">
        <v>93.532996760473594</v>
      </c>
      <c r="AK4697">
        <v>12.7946265188521</v>
      </c>
      <c r="AL4697">
        <v>80.175055398775001</v>
      </c>
      <c r="AM4697">
        <v>91.600959107345304</v>
      </c>
      <c r="AN4697">
        <v>1.00000002609608</v>
      </c>
    </row>
    <row r="4698" spans="1:40" x14ac:dyDescent="0.25">
      <c r="A4698" t="str">
        <f>"20190312172506002"</f>
        <v>20190312172506002</v>
      </c>
      <c r="B4698" t="str">
        <f>"1552382705995015"</f>
        <v>1552382705995015</v>
      </c>
      <c r="C4698" t="s">
        <v>40</v>
      </c>
      <c r="D4698">
        <v>3.7732030000000001</v>
      </c>
      <c r="E4698">
        <v>0.48772910000000003</v>
      </c>
      <c r="F4698" t="s">
        <v>43</v>
      </c>
      <c r="G4698">
        <v>-421.50940000000003</v>
      </c>
      <c r="H4698" s="1">
        <v>-5.911243E-7</v>
      </c>
      <c r="I4698">
        <v>99.992500000000007</v>
      </c>
      <c r="J4698">
        <v>-421.36680000000001</v>
      </c>
      <c r="K4698">
        <v>1.111426</v>
      </c>
      <c r="L4698">
        <v>112.7079</v>
      </c>
      <c r="M4698">
        <v>-7.0943619999999999E-2</v>
      </c>
      <c r="N4698">
        <v>0</v>
      </c>
      <c r="O4698">
        <v>-0.99738230000000005</v>
      </c>
      <c r="P4698">
        <v>-4.3536350000000001E-2</v>
      </c>
      <c r="Q4698">
        <v>0.15644739999999999</v>
      </c>
      <c r="R4698">
        <v>-0.98672649999999995</v>
      </c>
      <c r="S4698">
        <v>-3.9154050000000003E-2</v>
      </c>
      <c r="T4698">
        <v>-0.26234950000000001</v>
      </c>
      <c r="U4698">
        <v>-3.0805820000000002</v>
      </c>
      <c r="V4698">
        <v>-2.6981270000000002E-2</v>
      </c>
      <c r="W4698">
        <v>0.17018220000000001</v>
      </c>
      <c r="X4698">
        <v>0.98504320000000001</v>
      </c>
      <c r="Y4698">
        <v>-5.8313240000000002E-2</v>
      </c>
      <c r="Z4698">
        <v>8.4459309999999996E-2</v>
      </c>
      <c r="AA4698">
        <v>0.99471909999999997</v>
      </c>
      <c r="AB4698">
        <v>33</v>
      </c>
      <c r="AC4698">
        <v>-0.14260000000001499</v>
      </c>
      <c r="AD4698">
        <v>-1.1114265911243</v>
      </c>
      <c r="AE4698">
        <v>-12.715399999999899</v>
      </c>
      <c r="AF4698">
        <v>-0.75416290693620003</v>
      </c>
      <c r="AG4698">
        <v>-1.1114265911243</v>
      </c>
      <c r="AH4698">
        <v>12.597240007814699</v>
      </c>
      <c r="AI4698">
        <v>95.033059183978693</v>
      </c>
      <c r="AJ4698">
        <v>93.426055151712902</v>
      </c>
      <c r="AK4698">
        <v>12.668641859810499</v>
      </c>
      <c r="AL4698">
        <v>80.201587661063002</v>
      </c>
      <c r="AM4698">
        <v>91.568993579654403</v>
      </c>
      <c r="AN4698">
        <v>1.00000003799694</v>
      </c>
    </row>
    <row r="4699" spans="1:40" x14ac:dyDescent="0.25">
      <c r="A4699" t="str">
        <f>"20190312172506025"</f>
        <v>20190312172506025</v>
      </c>
      <c r="B4699" t="str">
        <f>"1552382706015511"</f>
        <v>1552382706015511</v>
      </c>
      <c r="C4699" t="s">
        <v>40</v>
      </c>
      <c r="D4699">
        <v>3.779925</v>
      </c>
      <c r="E4699">
        <v>0.48794670000000001</v>
      </c>
      <c r="F4699" t="s">
        <v>43</v>
      </c>
      <c r="G4699">
        <v>-421.53190000000001</v>
      </c>
      <c r="H4699" s="1">
        <v>-4.7317499999999997E-7</v>
      </c>
      <c r="I4699">
        <v>99.730339999999998</v>
      </c>
      <c r="J4699">
        <v>-421.38909999999998</v>
      </c>
      <c r="K4699">
        <v>1.1112299999999999</v>
      </c>
      <c r="L4699">
        <v>112.3832</v>
      </c>
      <c r="M4699">
        <v>-7.0417489999999999E-2</v>
      </c>
      <c r="N4699">
        <v>0</v>
      </c>
      <c r="O4699">
        <v>-0.99742010000000003</v>
      </c>
      <c r="P4699">
        <v>-4.3455870000000001E-2</v>
      </c>
      <c r="Q4699">
        <v>0.155886</v>
      </c>
      <c r="R4699">
        <v>-0.98681890000000005</v>
      </c>
      <c r="S4699">
        <v>-3.9184570000000002E-2</v>
      </c>
      <c r="T4699">
        <v>-0.26381539999999998</v>
      </c>
      <c r="U4699">
        <v>-3.080444</v>
      </c>
      <c r="V4699">
        <v>-2.6465869999999999E-2</v>
      </c>
      <c r="W4699">
        <v>0.1696019</v>
      </c>
      <c r="X4699">
        <v>0.98515719999999996</v>
      </c>
      <c r="Y4699">
        <v>-5.7776699999999903E-2</v>
      </c>
      <c r="Z4699">
        <v>8.4937680000000002E-2</v>
      </c>
      <c r="AA4699">
        <v>0.99470970000000003</v>
      </c>
      <c r="AB4699">
        <v>33</v>
      </c>
      <c r="AC4699">
        <v>-0.14280000000002199</v>
      </c>
      <c r="AD4699">
        <v>-1.111230473175</v>
      </c>
      <c r="AE4699">
        <v>-12.65286</v>
      </c>
      <c r="AF4699">
        <v>-0.74289455189053999</v>
      </c>
      <c r="AG4699">
        <v>-1.111230473175</v>
      </c>
      <c r="AH4699">
        <v>12.534830595805399</v>
      </c>
      <c r="AI4699">
        <v>95.057280063657899</v>
      </c>
      <c r="AJ4699">
        <v>93.391748342334495</v>
      </c>
      <c r="AK4699">
        <v>12.605899553196499</v>
      </c>
      <c r="AL4699">
        <v>80.235326284783298</v>
      </c>
      <c r="AM4699">
        <v>91.538858991300501</v>
      </c>
      <c r="AN4699">
        <v>0.99999997773515303</v>
      </c>
    </row>
    <row r="4700" spans="1:40" x14ac:dyDescent="0.25">
      <c r="A4700" t="str">
        <f>"20190312172506046"</f>
        <v>20190312172506046</v>
      </c>
      <c r="B4700" t="str">
        <f>"1552382706035031"</f>
        <v>1552382706035031</v>
      </c>
      <c r="C4700" t="s">
        <v>40</v>
      </c>
      <c r="D4700">
        <v>3.8060369999999999</v>
      </c>
      <c r="E4700">
        <v>0.48815989999999998</v>
      </c>
      <c r="F4700" t="s">
        <v>43</v>
      </c>
      <c r="G4700">
        <v>-421.55840000000001</v>
      </c>
      <c r="H4700" s="1">
        <v>-4.5297050000000004E-6</v>
      </c>
      <c r="I4700">
        <v>99.485209999999995</v>
      </c>
      <c r="J4700">
        <v>-421.41039999999998</v>
      </c>
      <c r="K4700">
        <v>1.1110640000000001</v>
      </c>
      <c r="L4700">
        <v>112.0731</v>
      </c>
      <c r="M4700">
        <v>-7.0041729999999996E-2</v>
      </c>
      <c r="N4700">
        <v>0</v>
      </c>
      <c r="O4700">
        <v>-0.99744690000000003</v>
      </c>
      <c r="P4700">
        <v>-4.329682E-2</v>
      </c>
      <c r="Q4700">
        <v>0.1548214</v>
      </c>
      <c r="R4700">
        <v>-0.98699329999999996</v>
      </c>
      <c r="S4700">
        <v>-4.0435789999999999E-2</v>
      </c>
      <c r="T4700">
        <v>-0.2653779</v>
      </c>
      <c r="U4700">
        <v>-3.0802149999999999</v>
      </c>
      <c r="V4700">
        <v>-2.6194100000000001E-2</v>
      </c>
      <c r="W4700">
        <v>0.1685229</v>
      </c>
      <c r="X4700">
        <v>0.9853497</v>
      </c>
      <c r="Y4700">
        <v>-5.6996199999999997E-2</v>
      </c>
      <c r="Z4700">
        <v>8.5448449999999995E-2</v>
      </c>
      <c r="AA4700">
        <v>0.99471100000000001</v>
      </c>
      <c r="AB4700">
        <v>32</v>
      </c>
      <c r="AC4700">
        <v>-0.148000000000024</v>
      </c>
      <c r="AD4700">
        <v>-1.111068529705</v>
      </c>
      <c r="AE4700">
        <v>-12.58789</v>
      </c>
      <c r="AF4700">
        <v>-0.72845224580552403</v>
      </c>
      <c r="AG4700">
        <v>-1.111068529705</v>
      </c>
      <c r="AH4700">
        <v>12.470198109564899</v>
      </c>
      <c r="AI4700">
        <v>95.082870102617093</v>
      </c>
      <c r="AJ4700">
        <v>93.343159557557797</v>
      </c>
      <c r="AK4700">
        <v>12.540771780234101</v>
      </c>
      <c r="AL4700">
        <v>80.298052195689493</v>
      </c>
      <c r="AM4700">
        <v>91.522766987280704</v>
      </c>
      <c r="AN4700">
        <v>1.0000000649946501</v>
      </c>
    </row>
    <row r="4701" spans="1:40" x14ac:dyDescent="0.25">
      <c r="A4701" t="str">
        <f>"20190312172506068"</f>
        <v>20190312172506068</v>
      </c>
      <c r="B4701" t="str">
        <f>"1552382706065287"</f>
        <v>1552382706065287</v>
      </c>
      <c r="C4701" t="s">
        <v>40</v>
      </c>
      <c r="D4701">
        <v>3.808478</v>
      </c>
      <c r="E4701">
        <v>0.48850179999999999</v>
      </c>
      <c r="F4701" t="s">
        <v>43</v>
      </c>
      <c r="G4701">
        <v>-421.5847</v>
      </c>
      <c r="H4701" s="1">
        <v>-4.4815890000000003E-6</v>
      </c>
      <c r="I4701">
        <v>99.330119999999994</v>
      </c>
      <c r="J4701">
        <v>-421.43189999999998</v>
      </c>
      <c r="K4701">
        <v>1.1109199999999999</v>
      </c>
      <c r="L4701">
        <v>111.7617</v>
      </c>
      <c r="M4701">
        <v>-6.9779540000000001E-2</v>
      </c>
      <c r="N4701">
        <v>0</v>
      </c>
      <c r="O4701">
        <v>-0.99746579999999996</v>
      </c>
      <c r="P4701">
        <v>-4.3021280000000002E-2</v>
      </c>
      <c r="Q4701">
        <v>0.15283869999999999</v>
      </c>
      <c r="R4701">
        <v>-0.98731429999999998</v>
      </c>
      <c r="S4701">
        <v>-4.2114260000000001E-2</v>
      </c>
      <c r="T4701">
        <v>-0.26853070000000001</v>
      </c>
      <c r="U4701">
        <v>-3.0798190000000001</v>
      </c>
      <c r="V4701">
        <v>-2.616974E-2</v>
      </c>
      <c r="W4701">
        <v>0.16652819999999999</v>
      </c>
      <c r="X4701">
        <v>0.98568929999999999</v>
      </c>
      <c r="Y4701">
        <v>-5.6191230000000002E-2</v>
      </c>
      <c r="Z4701">
        <v>8.6471160000000005E-2</v>
      </c>
      <c r="AA4701">
        <v>0.99466840000000001</v>
      </c>
      <c r="AB4701">
        <v>32</v>
      </c>
      <c r="AC4701">
        <v>-0.15280000000001301</v>
      </c>
      <c r="AD4701">
        <v>-1.110924481589</v>
      </c>
      <c r="AE4701">
        <v>-12.43158</v>
      </c>
      <c r="AF4701">
        <v>-0.70946136432789497</v>
      </c>
      <c r="AG4701">
        <v>-1.110924481589</v>
      </c>
      <c r="AH4701">
        <v>12.313615967166999</v>
      </c>
      <c r="AI4701">
        <v>95.146732649155794</v>
      </c>
      <c r="AJ4701">
        <v>93.297508360097893</v>
      </c>
      <c r="AK4701">
        <v>12.383966522004901</v>
      </c>
      <c r="AL4701">
        <v>80.413977253044607</v>
      </c>
      <c r="AM4701">
        <v>91.520827603895796</v>
      </c>
      <c r="AN4701">
        <v>0.999999946410697</v>
      </c>
    </row>
    <row r="4702" spans="1:40" x14ac:dyDescent="0.25">
      <c r="A4702" t="str">
        <f>"20190312172506090"</f>
        <v>20190312172506090</v>
      </c>
      <c r="B4702" t="str">
        <f>"1552382706085783"</f>
        <v>1552382706085783</v>
      </c>
      <c r="C4702" t="s">
        <v>40</v>
      </c>
      <c r="D4702">
        <v>3.8050980000000001</v>
      </c>
      <c r="E4702">
        <v>0.48874079999999898</v>
      </c>
      <c r="F4702" t="s">
        <v>43</v>
      </c>
      <c r="G4702">
        <v>-421.6155</v>
      </c>
      <c r="H4702" s="1">
        <v>-4.4776320000000002E-6</v>
      </c>
      <c r="I4702">
        <v>99.302440000000004</v>
      </c>
      <c r="J4702">
        <v>-421.45460000000003</v>
      </c>
      <c r="K4702">
        <v>1.1107940000000001</v>
      </c>
      <c r="L4702">
        <v>111.4327</v>
      </c>
      <c r="M4702">
        <v>-6.9615220000000005E-2</v>
      </c>
      <c r="N4702">
        <v>0</v>
      </c>
      <c r="O4702">
        <v>-0.99747730000000001</v>
      </c>
      <c r="P4702">
        <v>-4.3852599999999999E-2</v>
      </c>
      <c r="Q4702">
        <v>0.1533621</v>
      </c>
      <c r="R4702">
        <v>-0.98719650000000003</v>
      </c>
      <c r="S4702">
        <v>-4.5379639999999999E-2</v>
      </c>
      <c r="T4702">
        <v>-0.27454509999999899</v>
      </c>
      <c r="U4702">
        <v>-3.0790709999999999</v>
      </c>
      <c r="V4702">
        <v>-2.5118459999999999E-2</v>
      </c>
      <c r="W4702">
        <v>0.16703699999999999</v>
      </c>
      <c r="X4702">
        <v>0.98563060000000002</v>
      </c>
      <c r="Y4702">
        <v>-5.4971289999999999E-2</v>
      </c>
      <c r="Z4702">
        <v>8.8417960000000004E-2</v>
      </c>
      <c r="AA4702">
        <v>0.99456540000000004</v>
      </c>
      <c r="AB4702">
        <v>32</v>
      </c>
      <c r="AC4702">
        <v>-0.16089999999996901</v>
      </c>
      <c r="AD4702">
        <v>-1.1107984776319999</v>
      </c>
      <c r="AE4702">
        <v>-12.1302599999999</v>
      </c>
      <c r="AF4702">
        <v>-0.67833535088038399</v>
      </c>
      <c r="AG4702">
        <v>-1.1107984776319999</v>
      </c>
      <c r="AH4702">
        <v>12.011323921868099</v>
      </c>
      <c r="AI4702">
        <v>95.275285242389501</v>
      </c>
      <c r="AJ4702">
        <v>93.232325806987504</v>
      </c>
      <c r="AK4702">
        <v>12.0816354216722</v>
      </c>
      <c r="AL4702">
        <v>80.384411449095595</v>
      </c>
      <c r="AM4702">
        <v>91.459847431477101</v>
      </c>
      <c r="AN4702">
        <v>0.99999998802906498</v>
      </c>
    </row>
    <row r="4703" spans="1:40" x14ac:dyDescent="0.25">
      <c r="A4703" t="str">
        <f>"20190312172506113"</f>
        <v>20190312172506113</v>
      </c>
      <c r="B4703" t="str">
        <f>"1552382706105315"</f>
        <v>1552382706105315</v>
      </c>
      <c r="C4703" t="s">
        <v>40</v>
      </c>
      <c r="D4703">
        <v>3.854501</v>
      </c>
      <c r="E4703">
        <v>0.48886249999999998</v>
      </c>
      <c r="F4703" t="s">
        <v>43</v>
      </c>
      <c r="G4703">
        <v>-421.65480000000002</v>
      </c>
      <c r="H4703" s="1">
        <v>-4.3342799999999996E-6</v>
      </c>
      <c r="I4703">
        <v>98.860690000000005</v>
      </c>
      <c r="J4703">
        <v>-421.47680000000003</v>
      </c>
      <c r="K4703">
        <v>1.110708</v>
      </c>
      <c r="L4703">
        <v>111.1116</v>
      </c>
      <c r="M4703">
        <v>-6.9537420000000003E-2</v>
      </c>
      <c r="N4703">
        <v>0</v>
      </c>
      <c r="O4703">
        <v>-0.99748320000000001</v>
      </c>
      <c r="P4703">
        <v>-4.5580669999999997E-2</v>
      </c>
      <c r="Q4703">
        <v>0.15534790000000001</v>
      </c>
      <c r="R4703">
        <v>-0.98680780000000001</v>
      </c>
      <c r="S4703">
        <v>-4.9041750000000002E-2</v>
      </c>
      <c r="T4703">
        <v>-0.27204489999999998</v>
      </c>
      <c r="U4703">
        <v>-3.0790099999999998</v>
      </c>
      <c r="V4703">
        <v>-2.3251239999999999E-2</v>
      </c>
      <c r="W4703">
        <v>0.16900560000000001</v>
      </c>
      <c r="X4703">
        <v>0.98534080000000002</v>
      </c>
      <c r="Y4703">
        <v>-5.370929E-2</v>
      </c>
      <c r="Z4703">
        <v>8.7623709999999994E-2</v>
      </c>
      <c r="AA4703">
        <v>0.9947047</v>
      </c>
      <c r="AB4703">
        <v>32</v>
      </c>
      <c r="AC4703">
        <v>-0.17799999999999699</v>
      </c>
      <c r="AD4703">
        <v>-1.1107123342799901</v>
      </c>
      <c r="AE4703">
        <v>-12.2509099999999</v>
      </c>
      <c r="AF4703">
        <v>-0.66891211811030904</v>
      </c>
      <c r="AG4703">
        <v>-1.1107123342799901</v>
      </c>
      <c r="AH4703">
        <v>12.1339094498055</v>
      </c>
      <c r="AI4703">
        <v>95.222273084872896</v>
      </c>
      <c r="AJ4703">
        <v>93.155379346168701</v>
      </c>
      <c r="AK4703">
        <v>12.2029866773408</v>
      </c>
      <c r="AL4703">
        <v>80.269992443357907</v>
      </c>
      <c r="AM4703">
        <v>91.351766551895295</v>
      </c>
      <c r="AN4703">
        <v>1.0000000025687601</v>
      </c>
    </row>
    <row r="4704" spans="1:40" x14ac:dyDescent="0.25">
      <c r="A4704" t="str">
        <f>"20190312172506134"</f>
        <v>20190312172506134</v>
      </c>
      <c r="B4704" t="str">
        <f>"1552382706124822"</f>
        <v>1552382706124822</v>
      </c>
      <c r="C4704" t="s">
        <v>40</v>
      </c>
      <c r="D4704">
        <v>3.813523</v>
      </c>
      <c r="E4704">
        <v>0.48905159999999998</v>
      </c>
      <c r="F4704" t="s">
        <v>43</v>
      </c>
      <c r="G4704">
        <v>-421.6986</v>
      </c>
      <c r="H4704" s="1">
        <v>-4.1463539999999998E-6</v>
      </c>
      <c r="I4704">
        <v>98.285659999999993</v>
      </c>
      <c r="J4704">
        <v>-421.49860000000001</v>
      </c>
      <c r="K4704">
        <v>1.1106240000000001</v>
      </c>
      <c r="L4704">
        <v>110.7963</v>
      </c>
      <c r="M4704">
        <v>-6.9509539999999995E-2</v>
      </c>
      <c r="N4704">
        <v>0</v>
      </c>
      <c r="O4704">
        <v>-0.99748539999999997</v>
      </c>
      <c r="P4704">
        <v>-4.6193110000000003E-2</v>
      </c>
      <c r="Q4704">
        <v>0.1550955</v>
      </c>
      <c r="R4704">
        <v>-0.98681909999999895</v>
      </c>
      <c r="S4704">
        <v>-5.3253170000000002E-2</v>
      </c>
      <c r="T4704">
        <v>-0.26669189999999998</v>
      </c>
      <c r="U4704">
        <v>-3.0796359999999998</v>
      </c>
      <c r="V4704">
        <v>-2.2583209999999999E-2</v>
      </c>
      <c r="W4704">
        <v>0.16874049999999999</v>
      </c>
      <c r="X4704">
        <v>0.98540170000000005</v>
      </c>
      <c r="Y4704">
        <v>-5.232208E-2</v>
      </c>
      <c r="Z4704">
        <v>8.5897669999999995E-2</v>
      </c>
      <c r="AA4704">
        <v>0.99492910000000001</v>
      </c>
      <c r="AB4704">
        <v>32</v>
      </c>
      <c r="AC4704">
        <v>-0.19999999999998799</v>
      </c>
      <c r="AD4704">
        <v>-1.110628146354</v>
      </c>
      <c r="AE4704">
        <v>-12.51064</v>
      </c>
      <c r="AF4704">
        <v>-0.66493686514581296</v>
      </c>
      <c r="AG4704">
        <v>-1.110628146354</v>
      </c>
      <c r="AH4704">
        <v>12.396605784632399</v>
      </c>
      <c r="AI4704">
        <v>95.112225731998095</v>
      </c>
      <c r="AJ4704">
        <v>93.070324431675402</v>
      </c>
      <c r="AK4704">
        <v>12.464007015951299</v>
      </c>
      <c r="AL4704">
        <v>80.285402209965198</v>
      </c>
      <c r="AM4704">
        <v>91.312861708133497</v>
      </c>
      <c r="AN4704">
        <v>0.99999993403851895</v>
      </c>
    </row>
    <row r="4705" spans="1:40" x14ac:dyDescent="0.25">
      <c r="A4705" t="str">
        <f>"20190312172506158"</f>
        <v>20190312172506158</v>
      </c>
      <c r="B4705" t="str">
        <f>"1552382706145322"</f>
        <v>1552382706145322</v>
      </c>
      <c r="C4705" t="s">
        <v>40</v>
      </c>
      <c r="D4705">
        <v>4.0613890000000001</v>
      </c>
      <c r="E4705">
        <v>0.48900159999999998</v>
      </c>
      <c r="F4705" t="s">
        <v>43</v>
      </c>
      <c r="G4705">
        <v>-421.7346</v>
      </c>
      <c r="H4705" s="1">
        <v>-4.0806920000000004E-6</v>
      </c>
      <c r="I4705">
        <v>98.073920000000001</v>
      </c>
      <c r="J4705">
        <v>-421.52120000000002</v>
      </c>
      <c r="K4705">
        <v>1.110547</v>
      </c>
      <c r="L4705">
        <v>110.4708</v>
      </c>
      <c r="M4705">
        <v>-6.9503819999999994E-2</v>
      </c>
      <c r="N4705">
        <v>0</v>
      </c>
      <c r="O4705">
        <v>-0.99748599999999998</v>
      </c>
      <c r="P4705">
        <v>-4.6416730000000003E-2</v>
      </c>
      <c r="Q4705">
        <v>0.15284020000000001</v>
      </c>
      <c r="R4705">
        <v>-0.98716060000000005</v>
      </c>
      <c r="S4705">
        <v>-5.7128909999999998E-2</v>
      </c>
      <c r="T4705">
        <v>-0.26884439999999998</v>
      </c>
      <c r="U4705">
        <v>-3.0796510000000001</v>
      </c>
      <c r="V4705">
        <v>-2.235465E-2</v>
      </c>
      <c r="W4705">
        <v>0.1664775</v>
      </c>
      <c r="X4705">
        <v>0.9857918</v>
      </c>
      <c r="Y4705">
        <v>-5.1065770000000003E-2</v>
      </c>
      <c r="Z4705">
        <v>8.6587209999999998E-2</v>
      </c>
      <c r="AA4705">
        <v>0.9949346</v>
      </c>
      <c r="AB4705">
        <v>32</v>
      </c>
      <c r="AC4705">
        <v>-0.213399999999978</v>
      </c>
      <c r="AD4705">
        <v>-1.110551080692</v>
      </c>
      <c r="AE4705">
        <v>-12.3968799999999</v>
      </c>
      <c r="AF4705">
        <v>-0.64366496964880204</v>
      </c>
      <c r="AG4705">
        <v>-1.110551080692</v>
      </c>
      <c r="AH4705">
        <v>12.2831832554589</v>
      </c>
      <c r="AI4705">
        <v>95.159157658786299</v>
      </c>
      <c r="AJ4705">
        <v>92.999677224465998</v>
      </c>
      <c r="AK4705">
        <v>12.3500696023612</v>
      </c>
      <c r="AL4705">
        <v>80.4169236041527</v>
      </c>
      <c r="AM4705">
        <v>91.2990649898112</v>
      </c>
      <c r="AN4705">
        <v>0.99999998066505602</v>
      </c>
    </row>
    <row r="4706" spans="1:40" x14ac:dyDescent="0.25">
      <c r="A4706" t="str">
        <f>"20190312172506180"</f>
        <v>20190312172506180</v>
      </c>
      <c r="B4706" t="str">
        <f>"1552382706175576"</f>
        <v>1552382706175576</v>
      </c>
      <c r="C4706" t="s">
        <v>40</v>
      </c>
      <c r="D4706">
        <v>3.8761070000000002</v>
      </c>
      <c r="E4706">
        <v>0.4892764</v>
      </c>
      <c r="F4706" t="s">
        <v>43</v>
      </c>
      <c r="G4706">
        <v>-421.7552</v>
      </c>
      <c r="H4706" s="1">
        <v>-4.1055470000000001E-6</v>
      </c>
      <c r="I4706">
        <v>98.136229999999998</v>
      </c>
      <c r="J4706">
        <v>-421.54419999999999</v>
      </c>
      <c r="K4706">
        <v>1.1105050000000001</v>
      </c>
      <c r="L4706">
        <v>110.1408</v>
      </c>
      <c r="M4706">
        <v>-6.9503369999999995E-2</v>
      </c>
      <c r="N4706">
        <v>0</v>
      </c>
      <c r="O4706">
        <v>-0.99748619999999999</v>
      </c>
      <c r="P4706">
        <v>-4.6442900000000002E-2</v>
      </c>
      <c r="Q4706">
        <v>0.15056240000000001</v>
      </c>
      <c r="R4706">
        <v>-0.98750930000000003</v>
      </c>
      <c r="S4706">
        <v>-5.841064E-2</v>
      </c>
      <c r="T4706">
        <v>-0.2772365</v>
      </c>
      <c r="U4706">
        <v>-3.0791930000000001</v>
      </c>
      <c r="V4706">
        <v>-2.233653E-2</v>
      </c>
      <c r="W4706">
        <v>0.164192899999999</v>
      </c>
      <c r="X4706">
        <v>0.98617540000000004</v>
      </c>
      <c r="Y4706">
        <v>-5.0653070000000001E-2</v>
      </c>
      <c r="Z4706">
        <v>8.9282449999999999E-2</v>
      </c>
      <c r="AA4706">
        <v>0.99471750000000003</v>
      </c>
      <c r="AB4706">
        <v>32</v>
      </c>
      <c r="AC4706">
        <v>-0.21100000000001201</v>
      </c>
      <c r="AD4706">
        <v>-1.11050910554699</v>
      </c>
      <c r="AE4706">
        <v>-12.004569999999999</v>
      </c>
      <c r="AF4706">
        <v>-0.61865537695446704</v>
      </c>
      <c r="AG4706">
        <v>-1.11050910554699</v>
      </c>
      <c r="AH4706">
        <v>11.8884952744292</v>
      </c>
      <c r="AI4706">
        <v>95.329366944179498</v>
      </c>
      <c r="AJ4706">
        <v>92.978879771350506</v>
      </c>
      <c r="AK4706">
        <v>11.956265505544</v>
      </c>
      <c r="AL4706">
        <v>80.549649100538602</v>
      </c>
      <c r="AM4706">
        <v>91.297507642679093</v>
      </c>
      <c r="AN4706">
        <v>1.0000000742740001</v>
      </c>
    </row>
    <row r="4707" spans="1:40" x14ac:dyDescent="0.25">
      <c r="A4707" t="str">
        <f>"20190312172506203"</f>
        <v>20190312172506203</v>
      </c>
      <c r="B4707" t="str">
        <f>"1552382706195095"</f>
        <v>1552382706195095</v>
      </c>
      <c r="C4707" t="s">
        <v>40</v>
      </c>
      <c r="D4707">
        <v>3.9476580000000001</v>
      </c>
      <c r="E4707">
        <v>0.48932409999999998</v>
      </c>
      <c r="F4707" t="s">
        <v>43</v>
      </c>
      <c r="G4707">
        <v>-421.78769999999997</v>
      </c>
      <c r="H4707" s="1">
        <v>-4.1131469999999999E-6</v>
      </c>
      <c r="I4707">
        <v>98.141639999999995</v>
      </c>
      <c r="J4707">
        <v>-421.5668</v>
      </c>
      <c r="K4707">
        <v>1.1104849999999999</v>
      </c>
      <c r="L4707">
        <v>109.8143</v>
      </c>
      <c r="M4707">
        <v>-6.9497760000000006E-2</v>
      </c>
      <c r="N4707">
        <v>0</v>
      </c>
      <c r="O4707">
        <v>-0.99748689999999995</v>
      </c>
      <c r="P4707">
        <v>-4.6329799999999997E-2</v>
      </c>
      <c r="Q4707">
        <v>0.15032390000000001</v>
      </c>
      <c r="R4707">
        <v>-0.9875507</v>
      </c>
      <c r="S4707">
        <v>-6.2469480000000001E-2</v>
      </c>
      <c r="T4707">
        <v>-0.28490579999999999</v>
      </c>
      <c r="U4707">
        <v>-3.0784449999999999</v>
      </c>
      <c r="V4707">
        <v>-2.2438099999999999E-2</v>
      </c>
      <c r="W4707">
        <v>0.16394400000000001</v>
      </c>
      <c r="X4707">
        <v>0.98621440000000005</v>
      </c>
      <c r="Y4707">
        <v>-4.9336369999999997E-2</v>
      </c>
      <c r="Z4707">
        <v>9.1755699999999996E-2</v>
      </c>
      <c r="AA4707">
        <v>0.99455859999999996</v>
      </c>
      <c r="AB4707">
        <v>32</v>
      </c>
      <c r="AC4707">
        <v>-0.22089999999997101</v>
      </c>
      <c r="AD4707">
        <v>-1.1104891131470001</v>
      </c>
      <c r="AE4707">
        <v>-11.67266</v>
      </c>
      <c r="AF4707">
        <v>-0.58563638823115105</v>
      </c>
      <c r="AG4707">
        <v>-1.1104891131470001</v>
      </c>
      <c r="AH4707">
        <v>11.555237730959099</v>
      </c>
      <c r="AI4707">
        <v>95.482425168698697</v>
      </c>
      <c r="AJ4707">
        <v>92.901351652915594</v>
      </c>
      <c r="AK4707">
        <v>11.6232385791835</v>
      </c>
      <c r="AL4707">
        <v>80.564104960830505</v>
      </c>
      <c r="AM4707">
        <v>91.303354190398196</v>
      </c>
      <c r="AN4707">
        <v>0.99999997311748401</v>
      </c>
    </row>
    <row r="4708" spans="1:40" x14ac:dyDescent="0.25">
      <c r="A4708" t="str">
        <f>"20190312172506224"</f>
        <v>20190312172506224</v>
      </c>
      <c r="B4708" t="str">
        <f>"1552382706215591"</f>
        <v>1552382706215591</v>
      </c>
      <c r="C4708" t="s">
        <v>40</v>
      </c>
      <c r="D4708">
        <v>4.0381239999999998</v>
      </c>
      <c r="E4708">
        <v>0.48950310000000002</v>
      </c>
      <c r="F4708" t="s">
        <v>43</v>
      </c>
      <c r="G4708">
        <v>-421.81029999999998</v>
      </c>
      <c r="H4708" s="1">
        <v>-4.0221690000000004E-6</v>
      </c>
      <c r="I4708">
        <v>97.862489999999994</v>
      </c>
      <c r="J4708">
        <v>-421.58859999999999</v>
      </c>
      <c r="K4708">
        <v>1.110493</v>
      </c>
      <c r="L4708">
        <v>109.5018</v>
      </c>
      <c r="M4708">
        <v>-6.9479199999999894E-2</v>
      </c>
      <c r="N4708">
        <v>0</v>
      </c>
      <c r="O4708">
        <v>-0.99748829999999999</v>
      </c>
      <c r="P4708">
        <v>-4.6521149999999997E-2</v>
      </c>
      <c r="Q4708">
        <v>0.15168309999999999</v>
      </c>
      <c r="R4708">
        <v>-0.9873343</v>
      </c>
      <c r="S4708">
        <v>-6.2713619999999998E-2</v>
      </c>
      <c r="T4708">
        <v>-0.2860277</v>
      </c>
      <c r="U4708">
        <v>-3.0784150000000001</v>
      </c>
      <c r="V4708">
        <v>-2.2210130000000002E-2</v>
      </c>
      <c r="W4708">
        <v>0.1652901</v>
      </c>
      <c r="X4708">
        <v>0.98599490000000001</v>
      </c>
      <c r="Y4708">
        <v>-4.9239400000000003E-2</v>
      </c>
      <c r="Z4708">
        <v>9.2115130000000003E-2</v>
      </c>
      <c r="AA4708">
        <v>0.99453020000000003</v>
      </c>
      <c r="AB4708">
        <v>32</v>
      </c>
      <c r="AC4708">
        <v>-0.22169999999999801</v>
      </c>
      <c r="AD4708">
        <v>-1.110497022169</v>
      </c>
      <c r="AE4708">
        <v>-11.639309999999901</v>
      </c>
      <c r="AF4708">
        <v>-0.58230379982765801</v>
      </c>
      <c r="AG4708">
        <v>-1.110497022169</v>
      </c>
      <c r="AH4708">
        <v>11.5217387724185</v>
      </c>
      <c r="AI4708">
        <v>95.498345605656795</v>
      </c>
      <c r="AJ4708">
        <v>92.893242762083403</v>
      </c>
      <c r="AK4708">
        <v>11.589769009406099</v>
      </c>
      <c r="AL4708">
        <v>80.485912862771997</v>
      </c>
      <c r="AM4708">
        <v>91.290403779655904</v>
      </c>
      <c r="AN4708">
        <v>1.0000000249293099</v>
      </c>
    </row>
    <row r="4709" spans="1:40" x14ac:dyDescent="0.25">
      <c r="A4709" t="str">
        <f>"20190312172506246"</f>
        <v>20190312172506246</v>
      </c>
      <c r="B4709" t="str">
        <f>"1552382706235111"</f>
        <v>1552382706235111</v>
      </c>
      <c r="C4709" t="s">
        <v>40</v>
      </c>
      <c r="D4709">
        <v>3.8725209999999999</v>
      </c>
      <c r="E4709">
        <v>0.48968600000000001</v>
      </c>
      <c r="F4709" t="s">
        <v>43</v>
      </c>
      <c r="G4709">
        <v>-421.84280000000001</v>
      </c>
      <c r="H4709" s="1">
        <v>-3.8208330000000002E-6</v>
      </c>
      <c r="I4709">
        <v>97.352620000000002</v>
      </c>
      <c r="J4709">
        <v>-421.61040000000003</v>
      </c>
      <c r="K4709">
        <v>1.1104989999999999</v>
      </c>
      <c r="L4709">
        <v>109.1874</v>
      </c>
      <c r="M4709">
        <v>-6.9447030000000007E-2</v>
      </c>
      <c r="N4709">
        <v>0</v>
      </c>
      <c r="O4709">
        <v>-0.99749069999999995</v>
      </c>
      <c r="P4709">
        <v>-4.6738389999999998E-2</v>
      </c>
      <c r="Q4709">
        <v>0.15287890000000001</v>
      </c>
      <c r="R4709">
        <v>-0.98713919999999999</v>
      </c>
      <c r="S4709">
        <v>-6.4422610000000005E-2</v>
      </c>
      <c r="T4709">
        <v>-0.28140749999999998</v>
      </c>
      <c r="U4709">
        <v>-3.0786899999999999</v>
      </c>
      <c r="V4709">
        <v>-2.194805E-2</v>
      </c>
      <c r="W4709">
        <v>0.1664746</v>
      </c>
      <c r="X4709">
        <v>0.9858015</v>
      </c>
      <c r="Y4709">
        <v>-4.8654309999999999E-2</v>
      </c>
      <c r="Z4709">
        <v>9.0632710000000005E-2</v>
      </c>
      <c r="AA4709">
        <v>0.9946952</v>
      </c>
      <c r="AB4709">
        <v>32</v>
      </c>
      <c r="AC4709">
        <v>-0.23239999999998401</v>
      </c>
      <c r="AD4709">
        <v>-1.1105028208329999</v>
      </c>
      <c r="AE4709">
        <v>-11.834779999999901</v>
      </c>
      <c r="AF4709">
        <v>-0.584980728378939</v>
      </c>
      <c r="AG4709">
        <v>-1.1105028208329999</v>
      </c>
      <c r="AH4709">
        <v>11.719196902551801</v>
      </c>
      <c r="AI4709">
        <v>95.406452736725598</v>
      </c>
      <c r="AJ4709">
        <v>92.857630189693296</v>
      </c>
      <c r="AK4709">
        <v>11.786220556583499</v>
      </c>
      <c r="AL4709">
        <v>80.4170928167038</v>
      </c>
      <c r="AM4709">
        <v>91.275432135378196</v>
      </c>
      <c r="AN4709">
        <v>1.0000000533730999</v>
      </c>
    </row>
    <row r="4710" spans="1:40" x14ac:dyDescent="0.25">
      <c r="A4710" t="str">
        <f>"20190312172506269"</f>
        <v>20190312172506269</v>
      </c>
      <c r="B4710" t="str">
        <f>"1552382706265368"</f>
        <v>1552382706265368</v>
      </c>
      <c r="C4710" t="s">
        <v>40</v>
      </c>
      <c r="D4710">
        <v>3.9277639999999998</v>
      </c>
      <c r="E4710">
        <v>0.48995230000000001</v>
      </c>
      <c r="F4710" t="s">
        <v>43</v>
      </c>
      <c r="G4710">
        <v>-421.875</v>
      </c>
      <c r="H4710" s="1">
        <v>-3.612604E-6</v>
      </c>
      <c r="I4710">
        <v>96.847260000000006</v>
      </c>
      <c r="J4710">
        <v>-421.63260000000002</v>
      </c>
      <c r="K4710">
        <v>1.1105080000000001</v>
      </c>
      <c r="L4710">
        <v>108.8687</v>
      </c>
      <c r="M4710">
        <v>-6.9393750000000004E-2</v>
      </c>
      <c r="N4710">
        <v>0</v>
      </c>
      <c r="O4710">
        <v>-0.99749429999999994</v>
      </c>
      <c r="P4710">
        <v>-4.7304560000000002E-2</v>
      </c>
      <c r="Q4710">
        <v>0.152437299999999</v>
      </c>
      <c r="R4710">
        <v>-0.98718039999999996</v>
      </c>
      <c r="S4710">
        <v>-6.6009520000000002E-2</v>
      </c>
      <c r="T4710">
        <v>-0.27706900000000001</v>
      </c>
      <c r="U4710">
        <v>-3.0788570000000002</v>
      </c>
      <c r="V4710">
        <v>-2.1335779999999999E-2</v>
      </c>
      <c r="W4710">
        <v>0.1660256</v>
      </c>
      <c r="X4710">
        <v>0.98589059999999995</v>
      </c>
      <c r="Y4710">
        <v>-4.8086959999999998E-2</v>
      </c>
      <c r="Z4710">
        <v>8.9243130000000004E-2</v>
      </c>
      <c r="AA4710">
        <v>0.99484839999999997</v>
      </c>
      <c r="AB4710">
        <v>32</v>
      </c>
      <c r="AC4710">
        <v>-0.242399999999975</v>
      </c>
      <c r="AD4710">
        <v>-1.110511612604</v>
      </c>
      <c r="AE4710">
        <v>-12.02144</v>
      </c>
      <c r="AF4710">
        <v>-0.58746519529774399</v>
      </c>
      <c r="AG4710">
        <v>-1.110511612604</v>
      </c>
      <c r="AH4710">
        <v>11.9077031333061</v>
      </c>
      <c r="AI4710">
        <v>95.321554731419695</v>
      </c>
      <c r="AJ4710">
        <v>92.824390868262199</v>
      </c>
      <c r="AK4710">
        <v>11.973794106646499</v>
      </c>
      <c r="AL4710">
        <v>80.443181122604301</v>
      </c>
      <c r="AM4710">
        <v>91.239751510145197</v>
      </c>
      <c r="AN4710">
        <v>0.99999999526596395</v>
      </c>
    </row>
    <row r="4711" spans="1:40" x14ac:dyDescent="0.25">
      <c r="A4711" t="str">
        <f>"20190312172506291"</f>
        <v>20190312172506291</v>
      </c>
      <c r="B4711" t="str">
        <f>"1552382706284890"</f>
        <v>1552382706284890</v>
      </c>
      <c r="C4711" t="s">
        <v>40</v>
      </c>
      <c r="D4711">
        <v>3.919136</v>
      </c>
      <c r="E4711">
        <v>0.49011830000000001</v>
      </c>
      <c r="F4711" t="s">
        <v>43</v>
      </c>
      <c r="G4711">
        <v>-421.90609999999998</v>
      </c>
      <c r="H4711" s="1">
        <v>-3.4955010000000001E-6</v>
      </c>
      <c r="I4711">
        <v>96.55498</v>
      </c>
      <c r="J4711">
        <v>-421.65530000000001</v>
      </c>
      <c r="K4711">
        <v>1.110527</v>
      </c>
      <c r="L4711">
        <v>108.5414</v>
      </c>
      <c r="M4711">
        <v>-6.9303920000000005E-2</v>
      </c>
      <c r="N4711">
        <v>0</v>
      </c>
      <c r="O4711">
        <v>-0.99750070000000002</v>
      </c>
      <c r="P4711">
        <v>-4.7146859999999999E-2</v>
      </c>
      <c r="Q4711">
        <v>0.15082119999999999</v>
      </c>
      <c r="R4711">
        <v>-0.98743610000000004</v>
      </c>
      <c r="S4711">
        <v>-6.8389889999999995E-2</v>
      </c>
      <c r="T4711">
        <v>-0.27764</v>
      </c>
      <c r="U4711">
        <v>-3.0785520000000002</v>
      </c>
      <c r="V4711">
        <v>-2.142817E-2</v>
      </c>
      <c r="W4711">
        <v>0.164405</v>
      </c>
      <c r="X4711">
        <v>0.98616020000000004</v>
      </c>
      <c r="Y4711">
        <v>-4.722639E-2</v>
      </c>
      <c r="Z4711">
        <v>8.9436299999999996E-2</v>
      </c>
      <c r="AA4711">
        <v>0.99487230000000004</v>
      </c>
      <c r="AB4711">
        <v>32</v>
      </c>
      <c r="AC4711">
        <v>-0.25079999999996899</v>
      </c>
      <c r="AD4711">
        <v>-1.110530495501</v>
      </c>
      <c r="AE4711">
        <v>-11.986419999999899</v>
      </c>
      <c r="AF4711">
        <v>-0.57564856114798302</v>
      </c>
      <c r="AG4711">
        <v>-1.110530495501</v>
      </c>
      <c r="AH4711">
        <v>11.8731050458494</v>
      </c>
      <c r="AI4711">
        <v>95.337282947733598</v>
      </c>
      <c r="AJ4711">
        <v>92.775720940055194</v>
      </c>
      <c r="AK4711">
        <v>11.9388137047683</v>
      </c>
      <c r="AL4711">
        <v>80.537329065692006</v>
      </c>
      <c r="AM4711">
        <v>91.244778012876495</v>
      </c>
      <c r="AN4711">
        <v>1.00000005527929</v>
      </c>
    </row>
    <row r="4712" spans="1:40" x14ac:dyDescent="0.25">
      <c r="A4712" t="str">
        <f>"20190312172506314"</f>
        <v>20190312172506314</v>
      </c>
      <c r="B4712" t="str">
        <f>"1552382706305386"</f>
        <v>1552382706305386</v>
      </c>
      <c r="C4712" t="s">
        <v>40</v>
      </c>
      <c r="D4712">
        <v>3.9291770000000001</v>
      </c>
      <c r="E4712">
        <v>0.49026969999999997</v>
      </c>
      <c r="F4712" t="s">
        <v>43</v>
      </c>
      <c r="G4712">
        <v>-421.92489999999998</v>
      </c>
      <c r="H4712" s="1">
        <v>-3.444984E-6</v>
      </c>
      <c r="I4712">
        <v>96.425600000000003</v>
      </c>
      <c r="J4712">
        <v>-421.67759999999998</v>
      </c>
      <c r="K4712">
        <v>1.110549</v>
      </c>
      <c r="L4712">
        <v>108.2191</v>
      </c>
      <c r="M4712">
        <v>-6.9167859999999998E-2</v>
      </c>
      <c r="N4712">
        <v>0</v>
      </c>
      <c r="O4712">
        <v>-0.99751029999999996</v>
      </c>
      <c r="P4712">
        <v>-4.7118239999999999E-2</v>
      </c>
      <c r="Q4712">
        <v>0.14912690000000001</v>
      </c>
      <c r="R4712">
        <v>-0.98769490000000004</v>
      </c>
      <c r="S4712">
        <v>-6.8481449999999999E-2</v>
      </c>
      <c r="T4712">
        <v>-0.28212670000000001</v>
      </c>
      <c r="U4712">
        <v>-3.0779879999999999</v>
      </c>
      <c r="V4712">
        <v>-2.1351040000000002E-2</v>
      </c>
      <c r="W4712">
        <v>0.1627063</v>
      </c>
      <c r="X4712">
        <v>0.98644350000000003</v>
      </c>
      <c r="Y4712">
        <v>-4.7059429999999999E-2</v>
      </c>
      <c r="Z4712">
        <v>9.0887819999999994E-2</v>
      </c>
      <c r="AA4712">
        <v>0.99474859999999998</v>
      </c>
      <c r="AB4712">
        <v>32</v>
      </c>
      <c r="AC4712">
        <v>-0.247299999999995</v>
      </c>
      <c r="AD4712">
        <v>-1.1105524449840001</v>
      </c>
      <c r="AE4712">
        <v>-11.7934999999999</v>
      </c>
      <c r="AF4712">
        <v>-0.56410077714437301</v>
      </c>
      <c r="AG4712">
        <v>-1.1105524449840001</v>
      </c>
      <c r="AH4712">
        <v>11.678841876982</v>
      </c>
      <c r="AI4712">
        <v>95.425690682737198</v>
      </c>
      <c r="AJ4712">
        <v>92.765299386623397</v>
      </c>
      <c r="AK4712">
        <v>11.7450791401073</v>
      </c>
      <c r="AL4712">
        <v>80.635985326142304</v>
      </c>
      <c r="AM4712">
        <v>91.239942782742602</v>
      </c>
      <c r="AN4712">
        <v>0.99999999283051</v>
      </c>
    </row>
    <row r="4713" spans="1:40" x14ac:dyDescent="0.25">
      <c r="A4713" t="str">
        <f>"20190312172506335"</f>
        <v>20190312172506335</v>
      </c>
      <c r="B4713" t="str">
        <f>"1552382706324903"</f>
        <v>1552382706324903</v>
      </c>
      <c r="C4713" t="s">
        <v>40</v>
      </c>
      <c r="D4713">
        <v>3.9169589999999999</v>
      </c>
      <c r="E4713">
        <v>0.49042740000000001</v>
      </c>
      <c r="F4713" t="s">
        <v>43</v>
      </c>
      <c r="G4713">
        <v>-421.94490000000002</v>
      </c>
      <c r="H4713" s="1">
        <v>-3.3987620000000002E-6</v>
      </c>
      <c r="I4713">
        <v>96.305419999999998</v>
      </c>
      <c r="J4713">
        <v>-421.69900000000001</v>
      </c>
      <c r="K4713">
        <v>1.110576</v>
      </c>
      <c r="L4713">
        <v>107.9072</v>
      </c>
      <c r="M4713">
        <v>-6.8975670000000003E-2</v>
      </c>
      <c r="N4713">
        <v>0</v>
      </c>
      <c r="O4713">
        <v>-0.99752359999999896</v>
      </c>
      <c r="P4713">
        <v>-4.7541880000000002E-2</v>
      </c>
      <c r="Q4713">
        <v>0.14815400000000001</v>
      </c>
      <c r="R4713">
        <v>-0.98782130000000001</v>
      </c>
      <c r="S4713">
        <v>-6.9061280000000003E-2</v>
      </c>
      <c r="T4713">
        <v>-0.28686460000000003</v>
      </c>
      <c r="U4713">
        <v>-3.0774080000000001</v>
      </c>
      <c r="V4713">
        <v>-2.076269E-2</v>
      </c>
      <c r="W4713">
        <v>0.1617276</v>
      </c>
      <c r="X4713">
        <v>0.98661699999999997</v>
      </c>
      <c r="Y4713">
        <v>-4.6678629999999999E-2</v>
      </c>
      <c r="Z4713">
        <v>9.2420909999999995E-2</v>
      </c>
      <c r="AA4713">
        <v>0.99462530000000005</v>
      </c>
      <c r="AB4713">
        <v>32</v>
      </c>
      <c r="AC4713">
        <v>-0.245900000000006</v>
      </c>
      <c r="AD4713">
        <v>-1.1105793987620001</v>
      </c>
      <c r="AE4713">
        <v>-11.60178</v>
      </c>
      <c r="AF4713">
        <v>-0.54996474569567699</v>
      </c>
      <c r="AG4713">
        <v>-1.1105793987620001</v>
      </c>
      <c r="AH4713">
        <v>11.485904956340001</v>
      </c>
      <c r="AI4713">
        <v>95.516515691186001</v>
      </c>
      <c r="AJ4713">
        <v>92.741326081534794</v>
      </c>
      <c r="AK4713">
        <v>11.5525694323184</v>
      </c>
      <c r="AL4713">
        <v>80.6928135065193</v>
      </c>
      <c r="AM4713">
        <v>91.205573127809103</v>
      </c>
      <c r="AN4713">
        <v>1.0000000052933899</v>
      </c>
    </row>
    <row r="4714" spans="1:40" x14ac:dyDescent="0.25">
      <c r="A4714" t="str">
        <f>"20190312172506359"</f>
        <v>20190312172506359</v>
      </c>
      <c r="B4714" t="str">
        <f>"1552382706355159"</f>
        <v>1552382706355159</v>
      </c>
      <c r="C4714" t="s">
        <v>40</v>
      </c>
      <c r="D4714">
        <v>4.0868900000000004</v>
      </c>
      <c r="E4714">
        <v>0.49056329999999998</v>
      </c>
      <c r="F4714" t="s">
        <v>43</v>
      </c>
      <c r="G4714">
        <v>-421.96589999999998</v>
      </c>
      <c r="H4714" s="1">
        <v>-3.3141300000000001E-6</v>
      </c>
      <c r="I4714">
        <v>96.095140000000001</v>
      </c>
      <c r="J4714">
        <v>-421.72120000000001</v>
      </c>
      <c r="K4714">
        <v>1.110617</v>
      </c>
      <c r="L4714">
        <v>107.5834</v>
      </c>
      <c r="M4714">
        <v>-6.8694119999999997E-2</v>
      </c>
      <c r="N4714">
        <v>0</v>
      </c>
      <c r="O4714">
        <v>-0.99754330000000002</v>
      </c>
      <c r="P4714">
        <v>-4.7612719999999997E-2</v>
      </c>
      <c r="Q4714">
        <v>0.14674889999999999</v>
      </c>
      <c r="R4714">
        <v>-0.98802760000000001</v>
      </c>
      <c r="S4714">
        <v>-6.9519040000000004E-2</v>
      </c>
      <c r="T4714">
        <v>-0.28930489999999998</v>
      </c>
      <c r="U4714">
        <v>-3.0770420000000001</v>
      </c>
      <c r="V4714">
        <v>-2.04499E-2</v>
      </c>
      <c r="W4714">
        <v>0.16031770000000001</v>
      </c>
      <c r="X4714">
        <v>0.9868536</v>
      </c>
      <c r="Y4714">
        <v>-4.6247799999999999E-2</v>
      </c>
      <c r="Z4714">
        <v>9.3214740000000004E-2</v>
      </c>
      <c r="AA4714">
        <v>0.99457130000000005</v>
      </c>
      <c r="AB4714">
        <v>32</v>
      </c>
      <c r="AC4714">
        <v>-0.244699999999966</v>
      </c>
      <c r="AD4714">
        <v>-1.11062031413</v>
      </c>
      <c r="AE4714">
        <v>-11.488259999999901</v>
      </c>
      <c r="AF4714">
        <v>-0.54008314901576604</v>
      </c>
      <c r="AG4714">
        <v>-1.11062031413</v>
      </c>
      <c r="AH4714">
        <v>11.3716970529034</v>
      </c>
      <c r="AI4714">
        <v>95.571878322896794</v>
      </c>
      <c r="AJ4714">
        <v>92.719141191600102</v>
      </c>
      <c r="AK4714">
        <v>11.4385602744848</v>
      </c>
      <c r="AL4714">
        <v>80.774662819221305</v>
      </c>
      <c r="AM4714">
        <v>91.187131800094804</v>
      </c>
      <c r="AN4714">
        <v>0.99999999558813002</v>
      </c>
    </row>
    <row r="4715" spans="1:40" x14ac:dyDescent="0.25">
      <c r="A4715" t="str">
        <f>"20190312172506381"</f>
        <v>20190312172506381</v>
      </c>
      <c r="B4715" t="str">
        <f>"1552382706375655"</f>
        <v>1552382706375655</v>
      </c>
      <c r="C4715" t="s">
        <v>40</v>
      </c>
      <c r="D4715">
        <v>3.9287879999999999</v>
      </c>
      <c r="E4715">
        <v>0.49066700000000002</v>
      </c>
      <c r="F4715" t="s">
        <v>43</v>
      </c>
      <c r="G4715">
        <v>-421.98259999999999</v>
      </c>
      <c r="H4715" s="1">
        <v>-3.2466750000000001E-6</v>
      </c>
      <c r="I4715">
        <v>95.927520000000001</v>
      </c>
      <c r="J4715">
        <v>-421.74290000000002</v>
      </c>
      <c r="K4715">
        <v>1.110676</v>
      </c>
      <c r="L4715">
        <v>107.2629</v>
      </c>
      <c r="M4715">
        <v>-6.8315100000000004E-2</v>
      </c>
      <c r="N4715">
        <v>0</v>
      </c>
      <c r="O4715">
        <v>-0.99756940000000005</v>
      </c>
      <c r="P4715">
        <v>-4.693253E-2</v>
      </c>
      <c r="Q4715">
        <v>0.1446171</v>
      </c>
      <c r="R4715">
        <v>-0.98837439999999999</v>
      </c>
      <c r="S4715">
        <v>-6.9000240000000004E-2</v>
      </c>
      <c r="T4715">
        <v>-0.29314790000000002</v>
      </c>
      <c r="U4715">
        <v>-3.0765690000000001</v>
      </c>
      <c r="V4715">
        <v>-2.0805379999999998E-2</v>
      </c>
      <c r="W4715">
        <v>0.15818189999999999</v>
      </c>
      <c r="X4715">
        <v>0.98719080000000003</v>
      </c>
      <c r="Y4715">
        <v>-4.6035060000000003E-2</v>
      </c>
      <c r="Z4715">
        <v>9.4460680000000005E-2</v>
      </c>
      <c r="AA4715">
        <v>0.9944636</v>
      </c>
      <c r="AB4715">
        <v>32</v>
      </c>
      <c r="AC4715">
        <v>-0.23969999999996999</v>
      </c>
      <c r="AD4715">
        <v>-1.110679246675</v>
      </c>
      <c r="AE4715">
        <v>-11.335380000000001</v>
      </c>
      <c r="AF4715">
        <v>-0.53022238829031199</v>
      </c>
      <c r="AG4715">
        <v>-1.110679246675</v>
      </c>
      <c r="AH4715">
        <v>11.217620472168599</v>
      </c>
      <c r="AI4715">
        <v>95.648275757290705</v>
      </c>
      <c r="AJ4715">
        <v>92.706180973320201</v>
      </c>
      <c r="AK4715">
        <v>11.2849347905805</v>
      </c>
      <c r="AL4715">
        <v>80.898617318788695</v>
      </c>
      <c r="AM4715">
        <v>91.207349197069902</v>
      </c>
      <c r="AN4715">
        <v>1.0000000264645901</v>
      </c>
    </row>
    <row r="4716" spans="1:40" x14ac:dyDescent="0.25">
      <c r="A4716" t="str">
        <f>"20190312172506404"</f>
        <v>20190312172506404</v>
      </c>
      <c r="B4716" t="str">
        <f>"1552382706395174"</f>
        <v>1552382706395174</v>
      </c>
      <c r="C4716" t="s">
        <v>40</v>
      </c>
      <c r="D4716">
        <v>3.9284979999999998</v>
      </c>
      <c r="E4716">
        <v>0.49075530000000001</v>
      </c>
      <c r="F4716" t="s">
        <v>43</v>
      </c>
      <c r="G4716">
        <v>-421.99250000000001</v>
      </c>
      <c r="H4716" s="1">
        <v>-3.225343E-6</v>
      </c>
      <c r="I4716">
        <v>95.871650000000002</v>
      </c>
      <c r="J4716">
        <v>-421.76510000000002</v>
      </c>
      <c r="K4716">
        <v>1.11076</v>
      </c>
      <c r="L4716">
        <v>106.9295</v>
      </c>
      <c r="M4716">
        <v>-6.7786680000000002E-2</v>
      </c>
      <c r="N4716">
        <v>0</v>
      </c>
      <c r="O4716">
        <v>-0.99760550000000003</v>
      </c>
      <c r="P4716">
        <v>-4.6110449999999997E-2</v>
      </c>
      <c r="Q4716">
        <v>0.1431075</v>
      </c>
      <c r="R4716">
        <v>-0.98863279999999998</v>
      </c>
      <c r="S4716">
        <v>-6.7413329999999994E-2</v>
      </c>
      <c r="T4716">
        <v>-0.29991820000000002</v>
      </c>
      <c r="U4716">
        <v>-3.0759889999999999</v>
      </c>
      <c r="V4716">
        <v>-2.1153709999999999E-2</v>
      </c>
      <c r="W4716">
        <v>0.15666649999999999</v>
      </c>
      <c r="X4716">
        <v>0.987425</v>
      </c>
      <c r="Y4716">
        <v>-4.60191E-2</v>
      </c>
      <c r="Z4716">
        <v>9.6645809999999999E-2</v>
      </c>
      <c r="AA4716">
        <v>0.99425439999999998</v>
      </c>
      <c r="AB4716">
        <v>32</v>
      </c>
      <c r="AC4716">
        <v>-0.227399999999988</v>
      </c>
      <c r="AD4716">
        <v>-1.110763225343</v>
      </c>
      <c r="AE4716">
        <v>-11.05785</v>
      </c>
      <c r="AF4716">
        <v>-0.51754866810521905</v>
      </c>
      <c r="AG4716">
        <v>-1.110763225343</v>
      </c>
      <c r="AH4716">
        <v>10.9375110134003</v>
      </c>
      <c r="AI4716">
        <v>95.792377597522702</v>
      </c>
      <c r="AJ4716">
        <v>92.709140330173994</v>
      </c>
      <c r="AK4716">
        <v>11.005943791192299</v>
      </c>
      <c r="AL4716">
        <v>80.9865394168162</v>
      </c>
      <c r="AM4716">
        <v>91.227265804194602</v>
      </c>
      <c r="AN4716">
        <v>1.0000000011470001</v>
      </c>
    </row>
    <row r="4717" spans="1:40" x14ac:dyDescent="0.25">
      <c r="A4717" t="str">
        <f>"20190312172506425"</f>
        <v>20190312172506425</v>
      </c>
      <c r="B4717" t="str">
        <f>"1552382706415672"</f>
        <v>1552382706415672</v>
      </c>
      <c r="C4717" t="s">
        <v>40</v>
      </c>
      <c r="D4717">
        <v>3.9484119999999998</v>
      </c>
      <c r="E4717">
        <v>0.49079159999999999</v>
      </c>
      <c r="F4717" t="s">
        <v>41</v>
      </c>
      <c r="G4717">
        <v>-421.78590000000003</v>
      </c>
      <c r="H4717">
        <v>1.015258</v>
      </c>
      <c r="I4717">
        <v>105.9641</v>
      </c>
      <c r="J4717">
        <v>-421.78519999999997</v>
      </c>
      <c r="K4717">
        <v>1.1108450000000001</v>
      </c>
      <c r="L4717">
        <v>106.6258</v>
      </c>
      <c r="M4717">
        <v>-6.7191589999999995E-2</v>
      </c>
      <c r="N4717">
        <v>0</v>
      </c>
      <c r="O4717">
        <v>-0.99764589999999997</v>
      </c>
      <c r="P4717">
        <v>-4.5276900000000002E-2</v>
      </c>
      <c r="Q4717">
        <v>0.14356440000000001</v>
      </c>
      <c r="R4717">
        <v>-0.98860519999999996</v>
      </c>
      <c r="S4717">
        <v>-6.5978999999999996E-2</v>
      </c>
      <c r="T4717">
        <v>-0.30426569999999997</v>
      </c>
      <c r="U4717">
        <v>-3.0754700000000001</v>
      </c>
      <c r="V4717">
        <v>-2.142902E-2</v>
      </c>
      <c r="W4717">
        <v>0.15711439999999999</v>
      </c>
      <c r="X4717">
        <v>0.98734789999999995</v>
      </c>
      <c r="Y4717">
        <v>-4.588598E-2</v>
      </c>
      <c r="Z4717">
        <v>9.8056420000000005E-2</v>
      </c>
      <c r="AA4717">
        <v>0.99412239999999996</v>
      </c>
      <c r="AB4717">
        <v>32</v>
      </c>
      <c r="AC4717">
        <v>-7.0000000005165897E-4</v>
      </c>
      <c r="AD4717">
        <v>-9.5587000000000005E-2</v>
      </c>
      <c r="AE4717">
        <v>-0.66169999999999596</v>
      </c>
      <c r="AF4717">
        <v>-4.2871799565693397E-2</v>
      </c>
      <c r="AG4717">
        <v>-9.5587000000000005E-2</v>
      </c>
      <c r="AH4717">
        <v>0.64675507475480098</v>
      </c>
      <c r="AI4717">
        <v>98.389006488582595</v>
      </c>
      <c r="AJ4717">
        <v>93.7924477568084</v>
      </c>
      <c r="AK4717">
        <v>0.65518470104855897</v>
      </c>
      <c r="AL4717">
        <v>80.960554894121898</v>
      </c>
      <c r="AM4717">
        <v>91.243330417719605</v>
      </c>
      <c r="AN4717">
        <v>1.0000000066099599</v>
      </c>
    </row>
    <row r="4718" spans="1:40" x14ac:dyDescent="0.25">
      <c r="A4718" t="str">
        <f>"20190312172506446"</f>
        <v>20190312172506446</v>
      </c>
      <c r="B4718" t="str">
        <f>"1552382706435191"</f>
        <v>1552382706435191</v>
      </c>
      <c r="C4718" t="s">
        <v>40</v>
      </c>
      <c r="D4718">
        <v>3.9518420000000001</v>
      </c>
      <c r="E4718">
        <v>0.4939846</v>
      </c>
      <c r="F4718" t="s">
        <v>41</v>
      </c>
      <c r="G4718">
        <v>-421.8048</v>
      </c>
      <c r="H4718">
        <v>1.0175369999999999</v>
      </c>
      <c r="I4718">
        <v>105.6777</v>
      </c>
      <c r="J4718">
        <v>-421.80489999999998</v>
      </c>
      <c r="K4718">
        <v>1.1109329999999999</v>
      </c>
      <c r="L4718">
        <v>106.3228</v>
      </c>
      <c r="M4718">
        <v>-6.650346E-2</v>
      </c>
      <c r="N4718">
        <v>0</v>
      </c>
      <c r="O4718">
        <v>-0.99769200000000002</v>
      </c>
      <c r="P4718">
        <v>-4.4464129999999998E-2</v>
      </c>
      <c r="Q4718">
        <v>0.1447339</v>
      </c>
      <c r="R4718">
        <v>-0.98847130000000005</v>
      </c>
      <c r="S4718">
        <v>-6.2805180000000002E-2</v>
      </c>
      <c r="T4718">
        <v>-0.3028013</v>
      </c>
      <c r="U4718">
        <v>-3.0756679999999998</v>
      </c>
      <c r="V4718">
        <v>-2.1583160000000001E-2</v>
      </c>
      <c r="W4718">
        <v>0.1582741</v>
      </c>
      <c r="X4718">
        <v>0.98715929999999996</v>
      </c>
      <c r="Y4718">
        <v>-4.6222800000000001E-2</v>
      </c>
      <c r="Z4718">
        <v>9.7589800000000004E-2</v>
      </c>
      <c r="AA4718">
        <v>0.9941527</v>
      </c>
      <c r="AB4718">
        <v>32</v>
      </c>
      <c r="AC4718" s="1">
        <v>9.9999999974897906E-5</v>
      </c>
      <c r="AD4718">
        <v>-9.3395999999999799E-2</v>
      </c>
      <c r="AE4718">
        <v>-0.64509999999999901</v>
      </c>
      <c r="AF4718">
        <v>-4.2122287257163597E-2</v>
      </c>
      <c r="AG4718">
        <v>-9.3395999999999799E-2</v>
      </c>
      <c r="AH4718">
        <v>0.63045037424148398</v>
      </c>
      <c r="AI4718">
        <v>98.408131273807996</v>
      </c>
      <c r="AJ4718">
        <v>93.822422516288498</v>
      </c>
      <c r="AK4718">
        <v>0.63872120231052498</v>
      </c>
      <c r="AL4718">
        <v>80.893267040692507</v>
      </c>
      <c r="AM4718">
        <v>91.252510091404503</v>
      </c>
      <c r="AN4718">
        <v>1.00000000355144</v>
      </c>
    </row>
    <row r="4719" spans="1:40" x14ac:dyDescent="0.25">
      <c r="A4719" t="str">
        <f>"20190312172506470"</f>
        <v>20190312172506470</v>
      </c>
      <c r="B4719" t="str">
        <f>"1552382706465447"</f>
        <v>1552382706465447</v>
      </c>
      <c r="C4719" t="s">
        <v>40</v>
      </c>
      <c r="D4719">
        <v>3.9913789999999998</v>
      </c>
      <c r="E4719">
        <v>0.49450959999999999</v>
      </c>
      <c r="F4719" t="s">
        <v>43</v>
      </c>
      <c r="G4719">
        <v>-422.21089999999998</v>
      </c>
      <c r="H4719" s="1">
        <v>-1.4758600000000001E-6</v>
      </c>
      <c r="I4719">
        <v>91.658090000000001</v>
      </c>
      <c r="J4719">
        <v>-421.82600000000002</v>
      </c>
      <c r="K4719">
        <v>1.1110070000000001</v>
      </c>
      <c r="L4719">
        <v>105.9933</v>
      </c>
      <c r="M4719">
        <v>-6.5649330000000006E-2</v>
      </c>
      <c r="N4719">
        <v>0</v>
      </c>
      <c r="O4719">
        <v>-0.99774850000000004</v>
      </c>
      <c r="P4719">
        <v>-4.258696E-2</v>
      </c>
      <c r="Q4719">
        <v>0.14546289999999901</v>
      </c>
      <c r="R4719">
        <v>-0.98844699999999996</v>
      </c>
      <c r="S4719">
        <v>-8.4869379999999994E-2</v>
      </c>
      <c r="T4719">
        <v>-0.2322043</v>
      </c>
      <c r="U4719">
        <v>-3.0651700000000002</v>
      </c>
      <c r="V4719">
        <v>-2.2640549999999999E-2</v>
      </c>
      <c r="W4719">
        <v>0.1589921</v>
      </c>
      <c r="X4719">
        <v>0.98702020000000001</v>
      </c>
      <c r="Y4719">
        <v>-3.809096E-2</v>
      </c>
      <c r="Z4719">
        <v>7.5253500000000001E-2</v>
      </c>
      <c r="AA4719">
        <v>0.99643669999999995</v>
      </c>
      <c r="AB4719">
        <v>32</v>
      </c>
      <c r="AC4719">
        <v>-0.38490000000001601</v>
      </c>
      <c r="AD4719">
        <v>-1.1110084758600001</v>
      </c>
      <c r="AE4719">
        <v>-14.33521</v>
      </c>
      <c r="AF4719">
        <v>-0.55379193808469995</v>
      </c>
      <c r="AG4719">
        <v>-1.1110084758600001</v>
      </c>
      <c r="AH4719">
        <v>14.244054143755999</v>
      </c>
      <c r="AI4719">
        <v>94.456576185557296</v>
      </c>
      <c r="AJ4719">
        <v>92.226470616056702</v>
      </c>
      <c r="AK4719">
        <v>14.2980454536407</v>
      </c>
      <c r="AL4719">
        <v>80.851600850675297</v>
      </c>
      <c r="AM4719">
        <v>91.314036447845794</v>
      </c>
      <c r="AN4719">
        <v>0.99999997878737601</v>
      </c>
    </row>
    <row r="4720" spans="1:40" x14ac:dyDescent="0.25">
      <c r="A4720" t="str">
        <f>"20190312172506483"</f>
        <v>20190312172506483</v>
      </c>
      <c r="B4720" t="str">
        <f>"1552382706475207"</f>
        <v>1552382706475207</v>
      </c>
      <c r="C4720" t="s">
        <v>40</v>
      </c>
      <c r="D4720">
        <v>3.98746</v>
      </c>
      <c r="E4720">
        <v>0.49459389999999998</v>
      </c>
      <c r="F4720" t="s">
        <v>43</v>
      </c>
      <c r="G4720">
        <v>-422.2242</v>
      </c>
      <c r="H4720" s="1">
        <v>-1.3446189999999999E-6</v>
      </c>
      <c r="I4720">
        <v>91.343909999999994</v>
      </c>
      <c r="J4720">
        <v>-421.8383</v>
      </c>
      <c r="K4720">
        <v>1.111049</v>
      </c>
      <c r="L4720">
        <v>105.7974</v>
      </c>
      <c r="M4720">
        <v>-6.5097710000000003E-2</v>
      </c>
      <c r="N4720">
        <v>0</v>
      </c>
      <c r="O4720">
        <v>-0.99778469999999997</v>
      </c>
      <c r="P4720">
        <v>-4.1260489999999997E-2</v>
      </c>
      <c r="Q4720">
        <v>0.14495369999999999</v>
      </c>
      <c r="R4720">
        <v>-0.98857799999999996</v>
      </c>
      <c r="S4720">
        <v>-8.3343509999999996E-2</v>
      </c>
      <c r="T4720">
        <v>-0.2325034</v>
      </c>
      <c r="U4720">
        <v>-3.0657040000000002</v>
      </c>
      <c r="V4720">
        <v>-2.344307E-2</v>
      </c>
      <c r="W4720">
        <v>0.15847849999999999</v>
      </c>
      <c r="X4720">
        <v>0.98708410000000002</v>
      </c>
      <c r="Y4720">
        <v>-3.803906E-2</v>
      </c>
      <c r="Z4720">
        <v>7.534151E-2</v>
      </c>
      <c r="AA4720">
        <v>0.99643199999999998</v>
      </c>
      <c r="AB4720">
        <v>32</v>
      </c>
      <c r="AC4720">
        <v>-0.38589999999999203</v>
      </c>
      <c r="AD4720">
        <v>-1.1110503446190001</v>
      </c>
      <c r="AE4720">
        <v>-14.45349</v>
      </c>
      <c r="AF4720">
        <v>-0.55263299355185502</v>
      </c>
      <c r="AG4720">
        <v>-1.1110503446190001</v>
      </c>
      <c r="AH4720">
        <v>14.363137530829601</v>
      </c>
      <c r="AI4720">
        <v>94.420008577779697</v>
      </c>
      <c r="AJ4720">
        <v>92.203413230062495</v>
      </c>
      <c r="AK4720">
        <v>14.4166416277636</v>
      </c>
      <c r="AL4720">
        <v>80.881406203117606</v>
      </c>
      <c r="AM4720">
        <v>91.360508705971895</v>
      </c>
      <c r="AN4720">
        <v>1.00000001648304</v>
      </c>
    </row>
    <row r="4721" spans="1:40" x14ac:dyDescent="0.25">
      <c r="A4721" t="str">
        <f>"20190312172506503"</f>
        <v>20190312172506503</v>
      </c>
      <c r="B4721" t="str">
        <f>"1552382706495706"</f>
        <v>1552382706495706</v>
      </c>
      <c r="C4721" t="s">
        <v>40</v>
      </c>
      <c r="D4721">
        <v>3.9750510000000001</v>
      </c>
      <c r="E4721">
        <v>0.49459910000000001</v>
      </c>
      <c r="F4721" t="s">
        <v>43</v>
      </c>
      <c r="G4721">
        <v>-422.21440000000001</v>
      </c>
      <c r="H4721" s="1">
        <v>-1.333699E-6</v>
      </c>
      <c r="I4721">
        <v>91.324590000000001</v>
      </c>
      <c r="J4721">
        <v>-421.85590000000002</v>
      </c>
      <c r="K4721">
        <v>1.11111</v>
      </c>
      <c r="L4721">
        <v>105.5158</v>
      </c>
      <c r="M4721">
        <v>-6.424262E-2</v>
      </c>
      <c r="N4721">
        <v>0</v>
      </c>
      <c r="O4721">
        <v>-0.99784010000000001</v>
      </c>
      <c r="P4721">
        <v>-3.855563E-2</v>
      </c>
      <c r="Q4721">
        <v>0.14385780000000001</v>
      </c>
      <c r="R4721">
        <v>-0.98884709999999998</v>
      </c>
      <c r="S4721">
        <v>-7.9650879999999993E-2</v>
      </c>
      <c r="T4721">
        <v>-0.2353606</v>
      </c>
      <c r="U4721">
        <v>-3.0658569999999998</v>
      </c>
      <c r="V4721">
        <v>-2.5333089999999999E-2</v>
      </c>
      <c r="W4721">
        <v>0.1573753</v>
      </c>
      <c r="X4721">
        <v>0.98721389999999998</v>
      </c>
      <c r="Y4721">
        <v>-3.8385160000000002E-2</v>
      </c>
      <c r="Z4721">
        <v>7.6265269999999996E-2</v>
      </c>
      <c r="AA4721">
        <v>0.99634840000000002</v>
      </c>
      <c r="AB4721">
        <v>32</v>
      </c>
      <c r="AC4721">
        <v>-0.35849999999999199</v>
      </c>
      <c r="AD4721">
        <v>-1.1111113336989999</v>
      </c>
      <c r="AE4721">
        <v>-14.1912099999999</v>
      </c>
      <c r="AF4721">
        <v>-0.55063356634199601</v>
      </c>
      <c r="AG4721">
        <v>-1.1111113336989999</v>
      </c>
      <c r="AH4721">
        <v>14.098550830671501</v>
      </c>
      <c r="AI4721">
        <v>94.502766081830799</v>
      </c>
      <c r="AJ4721">
        <v>92.236609501218993</v>
      </c>
      <c r="AK4721">
        <v>14.152982061929</v>
      </c>
      <c r="AL4721">
        <v>80.945418217234305</v>
      </c>
      <c r="AM4721">
        <v>91.469955666768797</v>
      </c>
      <c r="AN4721">
        <v>1.0000000174261201</v>
      </c>
    </row>
    <row r="4722" spans="1:40" x14ac:dyDescent="0.25">
      <c r="A4722" t="str">
        <f>"20190312172506525"</f>
        <v>20190312172506525</v>
      </c>
      <c r="B4722" t="str">
        <f>"1552382706515223"</f>
        <v>1552382706515223</v>
      </c>
      <c r="C4722" t="s">
        <v>40</v>
      </c>
      <c r="D4722">
        <v>3.9750749999999999</v>
      </c>
      <c r="E4722">
        <v>0.49464520000000001</v>
      </c>
      <c r="F4722" t="s">
        <v>43</v>
      </c>
      <c r="G4722">
        <v>-422.18790000000001</v>
      </c>
      <c r="H4722" s="1">
        <v>-1.2872200000000001E-6</v>
      </c>
      <c r="I4722">
        <v>91.232680000000002</v>
      </c>
      <c r="J4722">
        <v>-421.87470000000002</v>
      </c>
      <c r="K4722">
        <v>1.111178</v>
      </c>
      <c r="L4722">
        <v>105.2073</v>
      </c>
      <c r="M4722">
        <v>-6.3247100000000001E-2</v>
      </c>
      <c r="N4722">
        <v>0</v>
      </c>
      <c r="O4722">
        <v>-0.99790380000000001</v>
      </c>
      <c r="P4722">
        <v>-3.5087140000000003E-2</v>
      </c>
      <c r="Q4722">
        <v>0.1423806</v>
      </c>
      <c r="R4722">
        <v>-0.98919009999999996</v>
      </c>
      <c r="S4722">
        <v>-7.1258539999999995E-2</v>
      </c>
      <c r="T4722">
        <v>-0.23848920000000001</v>
      </c>
      <c r="U4722">
        <v>-3.0657350000000001</v>
      </c>
      <c r="V4722">
        <v>-2.7848700000000001E-2</v>
      </c>
      <c r="W4722">
        <v>0.15588940000000001</v>
      </c>
      <c r="X4722">
        <v>0.98738190000000003</v>
      </c>
      <c r="Y4722">
        <v>-4.0114789999999997E-2</v>
      </c>
      <c r="Z4722">
        <v>7.7283350000000001E-2</v>
      </c>
      <c r="AA4722">
        <v>0.99620180000000003</v>
      </c>
      <c r="AB4722">
        <v>32</v>
      </c>
      <c r="AC4722">
        <v>-0.31319999999999398</v>
      </c>
      <c r="AD4722">
        <v>-1.1111792872199999</v>
      </c>
      <c r="AE4722">
        <v>-13.97462</v>
      </c>
      <c r="AF4722">
        <v>-0.56777641563689896</v>
      </c>
      <c r="AG4722">
        <v>-1.1111792872199999</v>
      </c>
      <c r="AH4722">
        <v>13.878742795341299</v>
      </c>
      <c r="AI4722">
        <v>94.573721031549894</v>
      </c>
      <c r="AJ4722">
        <v>92.342651839632097</v>
      </c>
      <c r="AK4722">
        <v>13.934726084345399</v>
      </c>
      <c r="AL4722">
        <v>81.031618154785903</v>
      </c>
      <c r="AM4722">
        <v>91.615575568097</v>
      </c>
      <c r="AN4722">
        <v>1.0000000357858201</v>
      </c>
    </row>
    <row r="4723" spans="1:40" x14ac:dyDescent="0.25">
      <c r="A4723" t="str">
        <f>"20190312172506548"</f>
        <v>20190312172506548</v>
      </c>
      <c r="B4723" t="str">
        <f>"1552382706545479"</f>
        <v>1552382706545479</v>
      </c>
      <c r="C4723" t="s">
        <v>40</v>
      </c>
      <c r="D4723">
        <v>4.0295319999999997</v>
      </c>
      <c r="E4723">
        <v>0.49465629999999999</v>
      </c>
      <c r="F4723" t="s">
        <v>43</v>
      </c>
      <c r="G4723">
        <v>-422.15019999999998</v>
      </c>
      <c r="H4723" s="1">
        <v>-1.275672E-6</v>
      </c>
      <c r="I4723">
        <v>91.229119999999995</v>
      </c>
      <c r="J4723">
        <v>-421.8938</v>
      </c>
      <c r="K4723">
        <v>1.1112280000000001</v>
      </c>
      <c r="L4723">
        <v>104.889</v>
      </c>
      <c r="M4723">
        <v>-6.218017E-2</v>
      </c>
      <c r="N4723">
        <v>0</v>
      </c>
      <c r="O4723">
        <v>-0.99797089999999999</v>
      </c>
      <c r="P4723">
        <v>-3.1887690000000003E-2</v>
      </c>
      <c r="Q4723">
        <v>0.1420022</v>
      </c>
      <c r="R4723">
        <v>-0.98935309999999999</v>
      </c>
      <c r="S4723">
        <v>-6.0424800000000001E-2</v>
      </c>
      <c r="T4723">
        <v>-0.24370739999999999</v>
      </c>
      <c r="U4723">
        <v>-3.0657350000000001</v>
      </c>
      <c r="V4723">
        <v>-3.0011550000000001E-2</v>
      </c>
      <c r="W4723">
        <v>0.155501799999999</v>
      </c>
      <c r="X4723">
        <v>0.98737960000000002</v>
      </c>
      <c r="Y4723">
        <v>-4.256774E-2</v>
      </c>
      <c r="Z4723">
        <v>7.8970769999999996E-2</v>
      </c>
      <c r="AA4723">
        <v>0.99596770000000001</v>
      </c>
      <c r="AB4723">
        <v>32</v>
      </c>
      <c r="AC4723">
        <v>-0.25639999999998497</v>
      </c>
      <c r="AD4723">
        <v>-1.1112292756719999</v>
      </c>
      <c r="AE4723">
        <v>-13.659879999999999</v>
      </c>
      <c r="AF4723">
        <v>-0.58964882864407497</v>
      </c>
      <c r="AG4723">
        <v>-1.1112292756719999</v>
      </c>
      <c r="AH4723">
        <v>13.559683196160901</v>
      </c>
      <c r="AI4723">
        <v>94.680572071763905</v>
      </c>
      <c r="AJ4723">
        <v>92.489963642431903</v>
      </c>
      <c r="AK4723">
        <v>13.617911903977101</v>
      </c>
      <c r="AL4723">
        <v>81.054099739993902</v>
      </c>
      <c r="AM4723">
        <v>91.740977740975396</v>
      </c>
      <c r="AN4723">
        <v>0.99999998871640094</v>
      </c>
    </row>
    <row r="4724" spans="1:40" x14ac:dyDescent="0.25">
      <c r="A4724" t="str">
        <f>"20190312172506570"</f>
        <v>20190312172506570</v>
      </c>
      <c r="B4724" t="str">
        <f>"1552382706565003"</f>
        <v>1552382706565003</v>
      </c>
      <c r="C4724" t="s">
        <v>40</v>
      </c>
      <c r="D4724">
        <v>3.9877060000000002</v>
      </c>
      <c r="E4724">
        <v>0.49471779999999999</v>
      </c>
      <c r="F4724" t="s">
        <v>43</v>
      </c>
      <c r="G4724">
        <v>-422.12200000000001</v>
      </c>
      <c r="H4724" s="1">
        <v>-1.198535E-6</v>
      </c>
      <c r="I4724">
        <v>91.066789999999997</v>
      </c>
      <c r="J4724">
        <v>-421.91300000000001</v>
      </c>
      <c r="K4724">
        <v>1.111253</v>
      </c>
      <c r="L4724">
        <v>104.5625</v>
      </c>
      <c r="M4724">
        <v>-6.105994E-2</v>
      </c>
      <c r="N4724">
        <v>0</v>
      </c>
      <c r="O4724">
        <v>-0.99804000000000004</v>
      </c>
      <c r="P4724">
        <v>-2.8966740000000001E-2</v>
      </c>
      <c r="Q4724">
        <v>0.14246220000000001</v>
      </c>
      <c r="R4724">
        <v>-0.98937640000000004</v>
      </c>
      <c r="S4724">
        <v>-5.0628659999999999E-2</v>
      </c>
      <c r="T4724">
        <v>-0.24649299999999999</v>
      </c>
      <c r="U4724">
        <v>-3.0660400000000001</v>
      </c>
      <c r="V4724">
        <v>-3.1831289999999998E-2</v>
      </c>
      <c r="W4724">
        <v>0.15595110000000001</v>
      </c>
      <c r="X4724">
        <v>0.98725180000000001</v>
      </c>
      <c r="Y4724">
        <v>-4.463044E-2</v>
      </c>
      <c r="Z4724">
        <v>7.9866699999999902E-2</v>
      </c>
      <c r="AA4724">
        <v>0.99580590000000002</v>
      </c>
      <c r="AB4724">
        <v>32</v>
      </c>
      <c r="AC4724">
        <v>-0.20899999999994601</v>
      </c>
      <c r="AD4724">
        <v>-1.111254198535</v>
      </c>
      <c r="AE4724">
        <v>-13.495710000000001</v>
      </c>
      <c r="AF4724">
        <v>-0.61137054294196203</v>
      </c>
      <c r="AG4724">
        <v>-1.111254198535</v>
      </c>
      <c r="AH4724">
        <v>13.3925057590917</v>
      </c>
      <c r="AI4724">
        <v>94.738386387534703</v>
      </c>
      <c r="AJ4724">
        <v>92.613749068832107</v>
      </c>
      <c r="AK4724">
        <v>13.452429904736301</v>
      </c>
      <c r="AL4724">
        <v>81.028039331757199</v>
      </c>
      <c r="AM4724">
        <v>91.846709198444501</v>
      </c>
      <c r="AN4724">
        <v>1.00000004660875</v>
      </c>
    </row>
    <row r="4725" spans="1:40" x14ac:dyDescent="0.25">
      <c r="A4725" t="str">
        <f>"20190312172506593"</f>
        <v>20190312172506593</v>
      </c>
      <c r="B4725" t="str">
        <f>"1552382706585498"</f>
        <v>1552382706585498</v>
      </c>
      <c r="C4725" t="s">
        <v>40</v>
      </c>
      <c r="D4725">
        <v>4.0042339999999896</v>
      </c>
      <c r="E4725">
        <v>0.4948206</v>
      </c>
      <c r="F4725" t="s">
        <v>43</v>
      </c>
      <c r="G4725">
        <v>-422.10039999999998</v>
      </c>
      <c r="H4725" s="1">
        <v>-1.029029E-6</v>
      </c>
      <c r="I4725">
        <v>90.685079999999999</v>
      </c>
      <c r="J4725">
        <v>-421.93110000000001</v>
      </c>
      <c r="K4725">
        <v>1.1112649999999999</v>
      </c>
      <c r="L4725">
        <v>104.247</v>
      </c>
      <c r="M4725">
        <v>-5.9964249999999997E-2</v>
      </c>
      <c r="N4725">
        <v>0</v>
      </c>
      <c r="O4725">
        <v>-0.99810620000000005</v>
      </c>
      <c r="P4725">
        <v>-2.592003E-2</v>
      </c>
      <c r="Q4725">
        <v>0.1424754</v>
      </c>
      <c r="R4725">
        <v>-0.98945890000000003</v>
      </c>
      <c r="S4725">
        <v>-4.1412350000000001E-2</v>
      </c>
      <c r="T4725">
        <v>-0.24554200000000001</v>
      </c>
      <c r="U4725">
        <v>-3.0663450000000001</v>
      </c>
      <c r="V4725">
        <v>-3.3799910000000002E-2</v>
      </c>
      <c r="W4725">
        <v>0.15595539999999999</v>
      </c>
      <c r="X4725">
        <v>0.98718570000000005</v>
      </c>
      <c r="Y4725">
        <v>-4.6527310000000002E-2</v>
      </c>
      <c r="Z4725">
        <v>7.9558950000000003E-2</v>
      </c>
      <c r="AA4725">
        <v>0.99574379999999996</v>
      </c>
      <c r="AB4725">
        <v>32</v>
      </c>
      <c r="AC4725">
        <v>-0.16929999999996401</v>
      </c>
      <c r="AD4725">
        <v>-1.111266029029</v>
      </c>
      <c r="AE4725">
        <v>-13.561920000000001</v>
      </c>
      <c r="AF4725">
        <v>-0.64001513265018894</v>
      </c>
      <c r="AG4725">
        <v>-1.111266029029</v>
      </c>
      <c r="AH4725">
        <v>13.457323006747099</v>
      </c>
      <c r="AI4725">
        <v>94.715300419738995</v>
      </c>
      <c r="AJ4725">
        <v>92.722871104302001</v>
      </c>
      <c r="AK4725">
        <v>13.5182866542036</v>
      </c>
      <c r="AL4725">
        <v>81.027790060834107</v>
      </c>
      <c r="AM4725">
        <v>91.960964362089896</v>
      </c>
      <c r="AN4725">
        <v>1.0000000634948201</v>
      </c>
    </row>
    <row r="4726" spans="1:40" x14ac:dyDescent="0.25">
      <c r="A4726" t="str">
        <f>"20190312172506606"</f>
        <v>20190312172506606</v>
      </c>
      <c r="B4726" t="str">
        <f>"1552382706595255"</f>
        <v>1552382706595255</v>
      </c>
      <c r="C4726" t="s">
        <v>40</v>
      </c>
      <c r="D4726">
        <v>4.0183039999999997</v>
      </c>
      <c r="E4726">
        <v>0.49491279999999999</v>
      </c>
      <c r="F4726" t="s">
        <v>43</v>
      </c>
      <c r="G4726">
        <v>-422.07589999999999</v>
      </c>
      <c r="H4726" s="1">
        <v>-8.8717130000000003E-7</v>
      </c>
      <c r="I4726">
        <v>90.369619999999998</v>
      </c>
      <c r="J4726">
        <v>-421.94200000000001</v>
      </c>
      <c r="K4726">
        <v>1.1112629999999999</v>
      </c>
      <c r="L4726">
        <v>104.054</v>
      </c>
      <c r="M4726">
        <v>-5.9290990000000002E-2</v>
      </c>
      <c r="N4726">
        <v>0</v>
      </c>
      <c r="O4726">
        <v>-0.99814650000000005</v>
      </c>
      <c r="P4726">
        <v>-2.4477470000000001E-2</v>
      </c>
      <c r="Q4726">
        <v>0.142425</v>
      </c>
      <c r="R4726">
        <v>-0.98950269999999996</v>
      </c>
      <c r="S4726">
        <v>-3.1982419999999998E-2</v>
      </c>
      <c r="T4726">
        <v>-0.2455543</v>
      </c>
      <c r="U4726">
        <v>-3.0664669999999998</v>
      </c>
      <c r="V4726">
        <v>-3.4578320000000003E-2</v>
      </c>
      <c r="W4726">
        <v>0.15590119999999999</v>
      </c>
      <c r="X4726">
        <v>0.98716720000000002</v>
      </c>
      <c r="Y4726">
        <v>-4.891554E-2</v>
      </c>
      <c r="Z4726">
        <v>7.9561439999999997E-2</v>
      </c>
      <c r="AA4726">
        <v>0.99562910000000004</v>
      </c>
      <c r="AB4726">
        <v>32</v>
      </c>
      <c r="AC4726">
        <v>-0.13390000000003899</v>
      </c>
      <c r="AD4726">
        <v>-1.1112638871713001</v>
      </c>
      <c r="AE4726">
        <v>-13.684380000000001</v>
      </c>
      <c r="AF4726">
        <v>-0.67333249412485796</v>
      </c>
      <c r="AG4726">
        <v>-1.1112638871713001</v>
      </c>
      <c r="AH4726">
        <v>13.578704255439501</v>
      </c>
      <c r="AI4726">
        <v>94.672871168330005</v>
      </c>
      <c r="AJ4726">
        <v>92.838822845277505</v>
      </c>
      <c r="AK4726">
        <v>13.640729208193701</v>
      </c>
      <c r="AL4726">
        <v>81.030933034002999</v>
      </c>
      <c r="AM4726">
        <v>92.006126339260604</v>
      </c>
      <c r="AN4726">
        <v>0.99999996256565005</v>
      </c>
    </row>
    <row r="4727" spans="1:40" x14ac:dyDescent="0.25">
      <c r="A4727" t="str">
        <f>"20190312172506627"</f>
        <v>20190312172506627</v>
      </c>
      <c r="B4727" t="str">
        <f>"1552382706615751"</f>
        <v>1552382706615751</v>
      </c>
      <c r="C4727" t="s">
        <v>40</v>
      </c>
      <c r="D4727">
        <v>4.0358830000000001</v>
      </c>
      <c r="E4727">
        <v>0.49509059999999999</v>
      </c>
      <c r="F4727" t="s">
        <v>43</v>
      </c>
      <c r="G4727">
        <v>-422.07089999999999</v>
      </c>
      <c r="H4727" s="1">
        <v>-8.0993139999999899E-7</v>
      </c>
      <c r="I4727">
        <v>90.19265</v>
      </c>
      <c r="J4727">
        <v>-421.95760000000001</v>
      </c>
      <c r="K4727">
        <v>1.111253</v>
      </c>
      <c r="L4727">
        <v>103.7747</v>
      </c>
      <c r="M4727">
        <v>-5.8316439999999997E-2</v>
      </c>
      <c r="N4727">
        <v>0</v>
      </c>
      <c r="O4727">
        <v>-0.99820439999999999</v>
      </c>
      <c r="P4727">
        <v>-2.2224790000000001E-2</v>
      </c>
      <c r="Q4727">
        <v>0.1417523</v>
      </c>
      <c r="R4727">
        <v>-0.989653</v>
      </c>
      <c r="S4727">
        <v>-2.8503420000000002E-2</v>
      </c>
      <c r="T4727">
        <v>-0.24584020000000001</v>
      </c>
      <c r="U4727">
        <v>-3.0664980000000002</v>
      </c>
      <c r="V4727">
        <v>-3.5871449999999999E-2</v>
      </c>
      <c r="W4727">
        <v>0.15522339999999901</v>
      </c>
      <c r="X4727">
        <v>0.98722790000000005</v>
      </c>
      <c r="Y4727">
        <v>-4.9069969999999997E-2</v>
      </c>
      <c r="Z4727">
        <v>7.9659679999999997E-2</v>
      </c>
      <c r="AA4727">
        <v>0.99561359999999999</v>
      </c>
      <c r="AB4727">
        <v>32</v>
      </c>
      <c r="AC4727">
        <v>-0.113299999999981</v>
      </c>
      <c r="AD4727">
        <v>-1.1112538099314</v>
      </c>
      <c r="AE4727">
        <v>-13.582049999999899</v>
      </c>
      <c r="AF4727">
        <v>-0.67450884062766103</v>
      </c>
      <c r="AG4727">
        <v>-1.1112538099314</v>
      </c>
      <c r="AH4727">
        <v>13.475339149383499</v>
      </c>
      <c r="AI4727">
        <v>94.708403295431594</v>
      </c>
      <c r="AJ4727">
        <v>92.865551763278901</v>
      </c>
      <c r="AK4727">
        <v>13.537895419786601</v>
      </c>
      <c r="AL4727">
        <v>81.070247015340499</v>
      </c>
      <c r="AM4727">
        <v>92.080957087963696</v>
      </c>
      <c r="AN4727">
        <v>0.99999999568553599</v>
      </c>
    </row>
    <row r="4728" spans="1:40" x14ac:dyDescent="0.25">
      <c r="A4728" t="str">
        <f>"20190312172506648"</f>
        <v>20190312172506648</v>
      </c>
      <c r="B4728" t="str">
        <f>"1552382706645031"</f>
        <v>1552382706645031</v>
      </c>
      <c r="C4728" t="s">
        <v>40</v>
      </c>
      <c r="D4728">
        <v>4.0423730000000004</v>
      </c>
      <c r="E4728">
        <v>0.49541049999999998</v>
      </c>
      <c r="F4728" t="s">
        <v>43</v>
      </c>
      <c r="G4728">
        <v>-422.05500000000001</v>
      </c>
      <c r="H4728" s="1">
        <v>-7.3777189999999998E-7</v>
      </c>
      <c r="I4728">
        <v>90.034319999999994</v>
      </c>
      <c r="J4728">
        <v>-421.97469999999998</v>
      </c>
      <c r="K4728">
        <v>1.111245</v>
      </c>
      <c r="L4728">
        <v>103.4637</v>
      </c>
      <c r="M4728">
        <v>-5.7234979999999998E-2</v>
      </c>
      <c r="N4728">
        <v>0</v>
      </c>
      <c r="O4728">
        <v>-0.9982666</v>
      </c>
      <c r="P4728">
        <v>-2.0435120000000001E-2</v>
      </c>
      <c r="Q4728">
        <v>0.1414319</v>
      </c>
      <c r="R4728">
        <v>-0.98973710000000004</v>
      </c>
      <c r="S4728">
        <v>-2.1728520000000001E-2</v>
      </c>
      <c r="T4728">
        <v>-0.2479982</v>
      </c>
      <c r="U4728">
        <v>-3.0664370000000001</v>
      </c>
      <c r="V4728">
        <v>-3.6592630000000001E-2</v>
      </c>
      <c r="W4728">
        <v>0.15489929999999999</v>
      </c>
      <c r="X4728">
        <v>0.98725240000000003</v>
      </c>
      <c r="Y4728">
        <v>-5.0187639999999999E-2</v>
      </c>
      <c r="Z4728">
        <v>8.0362069999999994E-2</v>
      </c>
      <c r="AA4728">
        <v>0.99550150000000004</v>
      </c>
      <c r="AB4728">
        <v>32</v>
      </c>
      <c r="AC4728">
        <v>-8.0300000000022395E-2</v>
      </c>
      <c r="AD4728">
        <v>-1.1112457377718901</v>
      </c>
      <c r="AE4728">
        <v>-13.42938</v>
      </c>
      <c r="AF4728">
        <v>-0.68385194389190895</v>
      </c>
      <c r="AG4728">
        <v>-1.1112457377718901</v>
      </c>
      <c r="AH4728">
        <v>13.3207523429198</v>
      </c>
      <c r="AI4728">
        <v>94.762452371669795</v>
      </c>
      <c r="AJ4728">
        <v>92.938832731923895</v>
      </c>
      <c r="AK4728">
        <v>13.3845046061587</v>
      </c>
      <c r="AL4728">
        <v>81.089044484672797</v>
      </c>
      <c r="AM4728">
        <v>92.122703302805107</v>
      </c>
      <c r="AN4728">
        <v>1.0000000575082799</v>
      </c>
    </row>
    <row r="4729" spans="1:40" x14ac:dyDescent="0.25">
      <c r="A4729" t="str">
        <f>"20190312172506672"</f>
        <v>20190312172506672</v>
      </c>
      <c r="B4729" t="str">
        <f>"1552382706665530"</f>
        <v>1552382706665530</v>
      </c>
      <c r="C4729" t="s">
        <v>40</v>
      </c>
      <c r="D4729">
        <v>4.0520079999999998</v>
      </c>
      <c r="E4729">
        <v>0.49566250000000001</v>
      </c>
      <c r="F4729" t="s">
        <v>43</v>
      </c>
      <c r="G4729">
        <v>-422.05599999999998</v>
      </c>
      <c r="H4729" s="1">
        <v>-6.4598999999999902E-7</v>
      </c>
      <c r="I4729">
        <v>89.819730000000007</v>
      </c>
      <c r="J4729">
        <v>-421.99239999999998</v>
      </c>
      <c r="K4729">
        <v>1.1112439999999999</v>
      </c>
      <c r="L4729">
        <v>103.13200000000001</v>
      </c>
      <c r="M4729">
        <v>-5.6086509999999999E-2</v>
      </c>
      <c r="N4729">
        <v>0</v>
      </c>
      <c r="O4729">
        <v>-0.9983322</v>
      </c>
      <c r="P4729">
        <v>-1.8820960000000001E-2</v>
      </c>
      <c r="Q4729">
        <v>0.1414842</v>
      </c>
      <c r="R4729">
        <v>-0.98976240000000004</v>
      </c>
      <c r="S4729">
        <v>-1.8280029999999999E-2</v>
      </c>
      <c r="T4729">
        <v>-0.24974669999999999</v>
      </c>
      <c r="U4729">
        <v>-3.0664060000000002</v>
      </c>
      <c r="V4729">
        <v>-3.7068749999999998E-2</v>
      </c>
      <c r="W4729">
        <v>0.1549478</v>
      </c>
      <c r="X4729">
        <v>0.98722699999999997</v>
      </c>
      <c r="Y4729">
        <v>-5.0158340000000003E-2</v>
      </c>
      <c r="Z4729">
        <v>8.0933989999999997E-2</v>
      </c>
      <c r="AA4729">
        <v>0.99545660000000002</v>
      </c>
      <c r="AB4729">
        <v>32</v>
      </c>
      <c r="AC4729">
        <v>-6.3600000000008095E-2</v>
      </c>
      <c r="AD4729">
        <v>-1.1112446459899901</v>
      </c>
      <c r="AE4729">
        <v>-13.3122699999999</v>
      </c>
      <c r="AF4729">
        <v>-0.67848113648527097</v>
      </c>
      <c r="AG4729">
        <v>-1.1112446459899901</v>
      </c>
      <c r="AH4729">
        <v>13.202881777094101</v>
      </c>
      <c r="AI4729">
        <v>94.804754328340593</v>
      </c>
      <c r="AJ4729">
        <v>92.941777453751897</v>
      </c>
      <c r="AK4729">
        <v>13.266924607298099</v>
      </c>
      <c r="AL4729">
        <v>81.086231442957697</v>
      </c>
      <c r="AM4729">
        <v>92.1503520781297</v>
      </c>
      <c r="AN4729">
        <v>1.0000000312402</v>
      </c>
    </row>
    <row r="4730" spans="1:40" x14ac:dyDescent="0.25">
      <c r="A4730" t="str">
        <f>"20190312172506693"</f>
        <v>20190312172506693</v>
      </c>
      <c r="B4730" t="str">
        <f>"1552382706685047"</f>
        <v>1552382706685047</v>
      </c>
      <c r="C4730" t="s">
        <v>40</v>
      </c>
      <c r="D4730">
        <v>4.0469169999999997</v>
      </c>
      <c r="E4730">
        <v>0.49587049999999999</v>
      </c>
      <c r="F4730" t="s">
        <v>43</v>
      </c>
      <c r="G4730">
        <v>-422.05919999999998</v>
      </c>
      <c r="H4730" s="1">
        <v>-4.6285419999999997E-6</v>
      </c>
      <c r="I4730">
        <v>89.514589999999998</v>
      </c>
      <c r="J4730">
        <v>-422.00830000000002</v>
      </c>
      <c r="K4730">
        <v>1.111243</v>
      </c>
      <c r="L4730">
        <v>102.8291</v>
      </c>
      <c r="M4730">
        <v>-5.5041649999999998E-2</v>
      </c>
      <c r="N4730">
        <v>0</v>
      </c>
      <c r="O4730">
        <v>-0.99839009999999995</v>
      </c>
      <c r="P4730">
        <v>-1.764102E-2</v>
      </c>
      <c r="Q4730">
        <v>0.14188709999999999</v>
      </c>
      <c r="R4730">
        <v>-0.98972590000000005</v>
      </c>
      <c r="S4730">
        <v>-1.504517E-2</v>
      </c>
      <c r="T4730">
        <v>-0.25024410000000002</v>
      </c>
      <c r="U4730">
        <v>-3.0665279999999999</v>
      </c>
      <c r="V4730">
        <v>-3.7211370000000001E-2</v>
      </c>
      <c r="W4730">
        <v>0.15534770000000001</v>
      </c>
      <c r="X4730">
        <v>0.9871588</v>
      </c>
      <c r="Y4730">
        <v>-5.0163470000000002E-2</v>
      </c>
      <c r="Z4730">
        <v>8.1098229999999993E-2</v>
      </c>
      <c r="AA4730">
        <v>0.99544299999999997</v>
      </c>
      <c r="AB4730">
        <v>32</v>
      </c>
      <c r="AC4730">
        <v>-5.0899999999955897E-2</v>
      </c>
      <c r="AD4730">
        <v>-1.1112476285420001</v>
      </c>
      <c r="AE4730">
        <v>-13.31451</v>
      </c>
      <c r="AF4730">
        <v>-0.67738010678341898</v>
      </c>
      <c r="AG4730">
        <v>-1.1112476285420001</v>
      </c>
      <c r="AH4730">
        <v>13.2051409912522</v>
      </c>
      <c r="AI4730">
        <v>94.803971550992003</v>
      </c>
      <c r="AJ4730">
        <v>92.936510341547603</v>
      </c>
      <c r="AK4730">
        <v>13.2691169148461</v>
      </c>
      <c r="AL4730">
        <v>81.063038144194905</v>
      </c>
      <c r="AM4730">
        <v>92.158766620861797</v>
      </c>
      <c r="AN4730">
        <v>1.000000045185</v>
      </c>
    </row>
    <row r="4731" spans="1:40" x14ac:dyDescent="0.25">
      <c r="A4731" t="str">
        <f>"20190312172506707"</f>
        <v>20190312172506707</v>
      </c>
      <c r="B4731" t="str">
        <f>"1552382706695783"</f>
        <v>1552382706695783</v>
      </c>
      <c r="C4731" t="s">
        <v>40</v>
      </c>
      <c r="D4731">
        <v>4.0599069999999999</v>
      </c>
      <c r="E4731">
        <v>0.49587049999999999</v>
      </c>
      <c r="F4731" t="s">
        <v>43</v>
      </c>
      <c r="G4731">
        <v>-422.06420000000003</v>
      </c>
      <c r="H4731" s="1">
        <v>-4.5077110000000001E-6</v>
      </c>
      <c r="I4731">
        <v>89.156909999999996</v>
      </c>
      <c r="J4731">
        <v>-422.01819999999998</v>
      </c>
      <c r="K4731">
        <v>1.111243</v>
      </c>
      <c r="L4731">
        <v>102.6388</v>
      </c>
      <c r="M4731">
        <v>-5.4386429999999999E-2</v>
      </c>
      <c r="N4731">
        <v>0</v>
      </c>
      <c r="O4731">
        <v>-0.99842609999999998</v>
      </c>
      <c r="P4731">
        <v>-1.705048E-2</v>
      </c>
      <c r="Q4731">
        <v>0.1424049</v>
      </c>
      <c r="R4731">
        <v>-0.98966189999999998</v>
      </c>
      <c r="S4731">
        <v>-1.254272E-2</v>
      </c>
      <c r="T4731">
        <v>-0.249251</v>
      </c>
      <c r="U4731">
        <v>-3.0666500000000001</v>
      </c>
      <c r="V4731">
        <v>-3.7149950000000001E-2</v>
      </c>
      <c r="W4731">
        <v>0.1558631</v>
      </c>
      <c r="X4731">
        <v>0.98707990000000001</v>
      </c>
      <c r="Y4731">
        <v>-5.032039E-2</v>
      </c>
      <c r="Z4731">
        <v>8.0779480000000001E-2</v>
      </c>
      <c r="AA4731">
        <v>0.99546100000000004</v>
      </c>
      <c r="AB4731">
        <v>32</v>
      </c>
      <c r="AC4731">
        <v>-4.6000000000049099E-2</v>
      </c>
      <c r="AD4731">
        <v>-1.111247507711</v>
      </c>
      <c r="AE4731">
        <v>-13.48189</v>
      </c>
      <c r="AF4731">
        <v>-0.68273033192558696</v>
      </c>
      <c r="AG4731">
        <v>-1.111247507711</v>
      </c>
      <c r="AH4731">
        <v>13.3735766974005</v>
      </c>
      <c r="AI4731">
        <v>94.743803789030494</v>
      </c>
      <c r="AJ4731">
        <v>92.922452093875094</v>
      </c>
      <c r="AK4731">
        <v>13.4370214486239</v>
      </c>
      <c r="AL4731">
        <v>81.033144052160694</v>
      </c>
      <c r="AM4731">
        <v>92.155378895785105</v>
      </c>
      <c r="AN4731">
        <v>1.0000000768552999</v>
      </c>
    </row>
    <row r="4732" spans="1:40" x14ac:dyDescent="0.25">
      <c r="A4732" t="str">
        <f>"20190312172506727"</f>
        <v>20190312172506727</v>
      </c>
      <c r="B4732" t="str">
        <f>"1552382706715304"</f>
        <v>1552382706715304</v>
      </c>
      <c r="C4732" t="s">
        <v>40</v>
      </c>
      <c r="D4732">
        <v>4.0581430000000003</v>
      </c>
      <c r="E4732">
        <v>0.49435879999999999</v>
      </c>
      <c r="F4732" t="s">
        <v>43</v>
      </c>
      <c r="G4732">
        <v>-422.065</v>
      </c>
      <c r="H4732" s="1">
        <v>-4.4124350000000002E-6</v>
      </c>
      <c r="I4732">
        <v>88.876530000000002</v>
      </c>
      <c r="J4732">
        <v>-422.03199999999998</v>
      </c>
      <c r="K4732">
        <v>1.111246</v>
      </c>
      <c r="L4732">
        <v>102.366</v>
      </c>
      <c r="M4732">
        <v>-5.3448240000000001E-2</v>
      </c>
      <c r="N4732">
        <v>0</v>
      </c>
      <c r="O4732">
        <v>-0.99847669999999999</v>
      </c>
      <c r="P4732">
        <v>-1.538978E-2</v>
      </c>
      <c r="Q4732">
        <v>0.14301889999999901</v>
      </c>
      <c r="R4732">
        <v>-0.9896007</v>
      </c>
      <c r="S4732">
        <v>-1.043701E-2</v>
      </c>
      <c r="T4732">
        <v>-0.24763209999999999</v>
      </c>
      <c r="U4732">
        <v>-3.0668030000000002</v>
      </c>
      <c r="V4732">
        <v>-3.7876260000000002E-2</v>
      </c>
      <c r="W4732">
        <v>0.15647249999999999</v>
      </c>
      <c r="X4732">
        <v>0.98695580000000005</v>
      </c>
      <c r="Y4732">
        <v>-5.0065499999999999E-2</v>
      </c>
      <c r="Z4732">
        <v>8.0261009999999994E-2</v>
      </c>
      <c r="AA4732">
        <v>0.99551579999999995</v>
      </c>
      <c r="AB4732">
        <v>32</v>
      </c>
      <c r="AC4732">
        <v>-3.3000000000015399E-2</v>
      </c>
      <c r="AD4732">
        <v>-1.111250412435</v>
      </c>
      <c r="AE4732">
        <v>-13.489469999999899</v>
      </c>
      <c r="AF4732">
        <v>-0.68346505181035999</v>
      </c>
      <c r="AG4732">
        <v>-1.111250412435</v>
      </c>
      <c r="AH4732">
        <v>13.3811406664299</v>
      </c>
      <c r="AI4732">
        <v>94.741140557404705</v>
      </c>
      <c r="AJ4732">
        <v>92.923940747243606</v>
      </c>
      <c r="AK4732">
        <v>13.444587293441399</v>
      </c>
      <c r="AL4732">
        <v>80.997793610945706</v>
      </c>
      <c r="AM4732">
        <v>92.197753329563497</v>
      </c>
      <c r="AN4732">
        <v>1.0000000027407301</v>
      </c>
    </row>
    <row r="4733" spans="1:40" x14ac:dyDescent="0.25">
      <c r="A4733" t="str">
        <f>"20190312172506749"</f>
        <v>20190312172506749</v>
      </c>
      <c r="B4733" t="str">
        <f>"1552382706745559"</f>
        <v>1552382706745559</v>
      </c>
      <c r="C4733" t="s">
        <v>40</v>
      </c>
      <c r="D4733">
        <v>4.0324220000000004</v>
      </c>
      <c r="E4733">
        <v>0.47095690000000001</v>
      </c>
      <c r="F4733" t="s">
        <v>43</v>
      </c>
      <c r="G4733">
        <v>-422.00290000000001</v>
      </c>
      <c r="H4733" s="1">
        <v>-4.1958130000000003E-6</v>
      </c>
      <c r="I4733">
        <v>88.272379999999998</v>
      </c>
      <c r="J4733">
        <v>-422.04770000000002</v>
      </c>
      <c r="K4733">
        <v>1.111245</v>
      </c>
      <c r="L4733">
        <v>102.0513</v>
      </c>
      <c r="M4733">
        <v>-5.2366410000000002E-2</v>
      </c>
      <c r="N4733">
        <v>0</v>
      </c>
      <c r="O4733">
        <v>-0.99853409999999998</v>
      </c>
      <c r="P4733">
        <v>-1.357885E-2</v>
      </c>
      <c r="Q4733">
        <v>0.14320729999999901</v>
      </c>
      <c r="R4733">
        <v>-0.98959980000000003</v>
      </c>
      <c r="S4733">
        <v>6.3476560000000001E-3</v>
      </c>
      <c r="T4733">
        <v>-0.24179120000000001</v>
      </c>
      <c r="U4733">
        <v>-3.0665589999999998</v>
      </c>
      <c r="V4733">
        <v>-3.8613040000000001E-2</v>
      </c>
      <c r="W4733">
        <v>0.15665670000000001</v>
      </c>
      <c r="X4733">
        <v>0.98689800000000005</v>
      </c>
      <c r="Y4733">
        <v>-5.4431819999999999E-2</v>
      </c>
      <c r="Z4733">
        <v>7.8383789999999995E-2</v>
      </c>
      <c r="AA4733">
        <v>0.99543619999999999</v>
      </c>
      <c r="AB4733">
        <v>32</v>
      </c>
      <c r="AC4733">
        <v>4.4800000000009201E-2</v>
      </c>
      <c r="AD4733">
        <v>-1.111249195813</v>
      </c>
      <c r="AE4733">
        <v>-13.778919999999999</v>
      </c>
      <c r="AF4733">
        <v>-0.76140644452209405</v>
      </c>
      <c r="AG4733">
        <v>-1.111249195813</v>
      </c>
      <c r="AH4733">
        <v>13.6687615422659</v>
      </c>
      <c r="AI4733">
        <v>94.640673660549197</v>
      </c>
      <c r="AJ4733">
        <v>93.188316439687796</v>
      </c>
      <c r="AK4733">
        <v>13.734979310078399</v>
      </c>
      <c r="AL4733">
        <v>80.987107701871693</v>
      </c>
      <c r="AM4733">
        <v>92.240592597428403</v>
      </c>
      <c r="AN4733">
        <v>0.99999997545846497</v>
      </c>
    </row>
    <row r="4734" spans="1:40" x14ac:dyDescent="0.25">
      <c r="A4734" t="str">
        <f>"20190312172506764"</f>
        <v>20190312172506764</v>
      </c>
      <c r="B4734" t="str">
        <f>"1552382706755319"</f>
        <v>1552382706755319</v>
      </c>
      <c r="C4734" t="s">
        <v>40</v>
      </c>
      <c r="D4734">
        <v>4.0325559999999996</v>
      </c>
      <c r="E4734">
        <v>0.4710471</v>
      </c>
      <c r="F4734" t="s">
        <v>43</v>
      </c>
      <c r="G4734">
        <v>-420.96940000000001</v>
      </c>
      <c r="H4734" s="1">
        <v>-2.7340220000000002E-6</v>
      </c>
      <c r="I4734">
        <v>85.360910000000004</v>
      </c>
      <c r="J4734">
        <v>-422.05829999999997</v>
      </c>
      <c r="K4734">
        <v>1.1112439999999999</v>
      </c>
      <c r="L4734">
        <v>101.8353</v>
      </c>
      <c r="M4734">
        <v>-5.1623599999999999E-2</v>
      </c>
      <c r="N4734">
        <v>0</v>
      </c>
      <c r="O4734">
        <v>-0.99857280000000004</v>
      </c>
      <c r="P4734">
        <v>-1.258458E-2</v>
      </c>
      <c r="Q4734">
        <v>0.1430601</v>
      </c>
      <c r="R4734">
        <v>-0.98963429999999997</v>
      </c>
      <c r="S4734">
        <v>0.197937</v>
      </c>
      <c r="T4734">
        <v>-0.20398649999999999</v>
      </c>
      <c r="U4734">
        <v>-3.0637819999999998</v>
      </c>
      <c r="V4734">
        <v>-3.8871860000000001E-2</v>
      </c>
      <c r="W4734">
        <v>0.1565078</v>
      </c>
      <c r="X4734">
        <v>0.98691150000000005</v>
      </c>
      <c r="Y4734">
        <v>-0.1157649</v>
      </c>
      <c r="Z4734">
        <v>6.6008079999999997E-2</v>
      </c>
      <c r="AA4734">
        <v>0.99108090000000004</v>
      </c>
      <c r="AB4734">
        <v>32</v>
      </c>
      <c r="AC4734">
        <v>1.08889999999996</v>
      </c>
      <c r="AD4734">
        <v>-1.111246734022</v>
      </c>
      <c r="AE4734">
        <v>-16.47439</v>
      </c>
      <c r="AF4734">
        <v>-1.92925506309537</v>
      </c>
      <c r="AG4734">
        <v>-1.111246734022</v>
      </c>
      <c r="AH4734">
        <v>16.322259245422899</v>
      </c>
      <c r="AI4734">
        <v>93.867939767604298</v>
      </c>
      <c r="AJ4734">
        <v>96.740958928856699</v>
      </c>
      <c r="AK4734">
        <v>16.473404058577199</v>
      </c>
      <c r="AL4734">
        <v>80.995745914464194</v>
      </c>
      <c r="AM4734">
        <v>92.255564820190102</v>
      </c>
      <c r="AN4734">
        <v>1.0000000108964699</v>
      </c>
    </row>
    <row r="4735" spans="1:40" x14ac:dyDescent="0.25">
      <c r="A4735" t="str">
        <f>"20190312172506783"</f>
        <v>20190312172506783</v>
      </c>
      <c r="B4735" t="str">
        <f>"1552382706774839"</f>
        <v>1552382706774839</v>
      </c>
      <c r="C4735" t="s">
        <v>40</v>
      </c>
      <c r="D4735">
        <v>4.0503809999999998</v>
      </c>
      <c r="E4735">
        <v>0.47107640000000001</v>
      </c>
      <c r="F4735" t="s">
        <v>43</v>
      </c>
      <c r="G4735">
        <v>-421.0292</v>
      </c>
      <c r="H4735" s="1">
        <v>-3.0709609999999999E-6</v>
      </c>
      <c r="I4735">
        <v>86.109269999999995</v>
      </c>
      <c r="J4735">
        <v>-422.07119999999998</v>
      </c>
      <c r="K4735">
        <v>1.11124</v>
      </c>
      <c r="L4735">
        <v>101.5669</v>
      </c>
      <c r="M4735">
        <v>-5.070028E-2</v>
      </c>
      <c r="N4735">
        <v>0</v>
      </c>
      <c r="O4735">
        <v>-0.99861999999999995</v>
      </c>
      <c r="P4735">
        <v>-1.1237169999999999E-2</v>
      </c>
      <c r="Q4735">
        <v>0.14296879999999901</v>
      </c>
      <c r="R4735">
        <v>-0.98966350000000003</v>
      </c>
      <c r="S4735">
        <v>0.20059199999999999</v>
      </c>
      <c r="T4735">
        <v>-0.21660180000000001</v>
      </c>
      <c r="U4735">
        <v>-3.065277</v>
      </c>
      <c r="V4735">
        <v>-3.9303980000000002E-2</v>
      </c>
      <c r="W4735">
        <v>0.1564141</v>
      </c>
      <c r="X4735">
        <v>0.98690919999999904</v>
      </c>
      <c r="Y4735">
        <v>-0.1156522</v>
      </c>
      <c r="Z4735">
        <v>7.0040149999999995E-2</v>
      </c>
      <c r="AA4735">
        <v>0.99081730000000001</v>
      </c>
      <c r="AB4735">
        <v>32</v>
      </c>
      <c r="AC4735">
        <v>1.0419999999999701</v>
      </c>
      <c r="AD4735">
        <v>-1.1112430709609999</v>
      </c>
      <c r="AE4735">
        <v>-15.45763</v>
      </c>
      <c r="AF4735">
        <v>-1.81510110830101</v>
      </c>
      <c r="AG4735">
        <v>-1.1112430709609999</v>
      </c>
      <c r="AH4735">
        <v>15.3061655573142</v>
      </c>
      <c r="AI4735">
        <v>94.123653030229505</v>
      </c>
      <c r="AJ4735">
        <v>96.762909297767806</v>
      </c>
      <c r="AK4735">
        <v>15.4534189506409</v>
      </c>
      <c r="AL4735">
        <v>81.001181113059999</v>
      </c>
      <c r="AM4735">
        <v>92.280617841322197</v>
      </c>
      <c r="AN4735">
        <v>0.99999997128364404</v>
      </c>
    </row>
    <row r="4736" spans="1:40" x14ac:dyDescent="0.25">
      <c r="A4736" t="str">
        <f>"20190312172506804"</f>
        <v>20190312172506804</v>
      </c>
      <c r="B4736" t="str">
        <f>"1552382706795336"</f>
        <v>1552382706795336</v>
      </c>
      <c r="C4736" t="s">
        <v>40</v>
      </c>
      <c r="D4736">
        <v>4.0228429999999999</v>
      </c>
      <c r="E4736">
        <v>0.47164600000000001</v>
      </c>
      <c r="F4736" t="s">
        <v>43</v>
      </c>
      <c r="G4736">
        <v>-421.0025</v>
      </c>
      <c r="H4736" s="1">
        <v>-2.8521289999999999E-6</v>
      </c>
      <c r="I4736">
        <v>85.615719999999996</v>
      </c>
      <c r="J4736">
        <v>-422.08499999999998</v>
      </c>
      <c r="K4736">
        <v>1.1112379999999999</v>
      </c>
      <c r="L4736">
        <v>101.27249999999999</v>
      </c>
      <c r="M4736">
        <v>-4.9687500000000002E-2</v>
      </c>
      <c r="N4736">
        <v>0</v>
      </c>
      <c r="O4736">
        <v>-0.99867090000000003</v>
      </c>
      <c r="P4736">
        <v>-9.4046479999999998E-3</v>
      </c>
      <c r="Q4736">
        <v>0.1420614</v>
      </c>
      <c r="R4736">
        <v>-0.9898131</v>
      </c>
      <c r="S4736">
        <v>0.20532230000000001</v>
      </c>
      <c r="T4736">
        <v>-0.21349070000000001</v>
      </c>
      <c r="U4736">
        <v>-3.064514</v>
      </c>
      <c r="V4736">
        <v>-4.0136169999999999E-2</v>
      </c>
      <c r="W4736">
        <v>0.15550420000000001</v>
      </c>
      <c r="X4736">
        <v>0.98701950000000005</v>
      </c>
      <c r="Y4736">
        <v>-0.11618829999999999</v>
      </c>
      <c r="Z4736">
        <v>6.9055729999999996E-2</v>
      </c>
      <c r="AA4736">
        <v>0.99082369999999997</v>
      </c>
      <c r="AB4736">
        <v>32</v>
      </c>
      <c r="AC4736">
        <v>1.08249999999998</v>
      </c>
      <c r="AD4736">
        <v>-1.111240852129</v>
      </c>
      <c r="AE4736">
        <v>-15.6567799999999</v>
      </c>
      <c r="AF4736">
        <v>-1.84990739410931</v>
      </c>
      <c r="AG4736">
        <v>-1.111240852129</v>
      </c>
      <c r="AH4736">
        <v>15.505906804767699</v>
      </c>
      <c r="AI4736">
        <v>94.070364101981696</v>
      </c>
      <c r="AJ4736">
        <v>96.803424485433197</v>
      </c>
      <c r="AK4736">
        <v>15.6553556151358</v>
      </c>
      <c r="AL4736">
        <v>81.053960466003304</v>
      </c>
      <c r="AM4736">
        <v>92.328593178261002</v>
      </c>
      <c r="AN4736">
        <v>0.99999998087007902</v>
      </c>
    </row>
    <row r="4737" spans="1:40" x14ac:dyDescent="0.25">
      <c r="A4737" t="str">
        <f>"20190312172506828"</f>
        <v>20190312172506828</v>
      </c>
      <c r="B4737" t="str">
        <f>"1552382706825591"</f>
        <v>1552382706825591</v>
      </c>
      <c r="C4737" t="s">
        <v>40</v>
      </c>
      <c r="D4737">
        <v>4.007409</v>
      </c>
      <c r="E4737">
        <v>0.4728406</v>
      </c>
      <c r="F4737" t="s">
        <v>43</v>
      </c>
      <c r="G4737">
        <v>-421.03629999999998</v>
      </c>
      <c r="H4737" s="1">
        <v>-2.930172E-6</v>
      </c>
      <c r="I4737">
        <v>85.776690000000002</v>
      </c>
      <c r="J4737">
        <v>-422.10039999999998</v>
      </c>
      <c r="K4737">
        <v>1.1112379999999999</v>
      </c>
      <c r="L4737">
        <v>100.9379</v>
      </c>
      <c r="M4737">
        <v>-4.8536509999999998E-2</v>
      </c>
      <c r="N4737">
        <v>0</v>
      </c>
      <c r="O4737">
        <v>-0.9987277</v>
      </c>
      <c r="P4737">
        <v>-7.3419150000000001E-3</v>
      </c>
      <c r="Q4737">
        <v>0.141759</v>
      </c>
      <c r="R4737">
        <v>-0.98987420000000004</v>
      </c>
      <c r="S4737">
        <v>0.20739750000000001</v>
      </c>
      <c r="T4737">
        <v>-0.21975520000000001</v>
      </c>
      <c r="U4737">
        <v>-3.0643919999999998</v>
      </c>
      <c r="V4737">
        <v>-4.1058259999999999E-2</v>
      </c>
      <c r="W4737">
        <v>0.1551979</v>
      </c>
      <c r="X4737">
        <v>0.98702979999999996</v>
      </c>
      <c r="Y4737">
        <v>-0.1157046</v>
      </c>
      <c r="Z4737">
        <v>7.1081119999999998E-2</v>
      </c>
      <c r="AA4737">
        <v>0.99073710000000004</v>
      </c>
      <c r="AB4737">
        <v>31</v>
      </c>
      <c r="AC4737">
        <v>1.0640999999999901</v>
      </c>
      <c r="AD4737">
        <v>-1.1112409301720001</v>
      </c>
      <c r="AE4737">
        <v>-15.161209999999899</v>
      </c>
      <c r="AF4737">
        <v>-1.78922186553649</v>
      </c>
      <c r="AG4737">
        <v>-1.1112409301720001</v>
      </c>
      <c r="AH4737">
        <v>15.0114367578011</v>
      </c>
      <c r="AI4737">
        <v>94.204022874597698</v>
      </c>
      <c r="AJ4737">
        <v>96.797051078028304</v>
      </c>
      <c r="AK4737">
        <v>15.158476335782099</v>
      </c>
      <c r="AL4737">
        <v>81.071725996901606</v>
      </c>
      <c r="AM4737">
        <v>92.382004612170903</v>
      </c>
      <c r="AN4737">
        <v>0.99999999748333801</v>
      </c>
    </row>
    <row r="4738" spans="1:40" x14ac:dyDescent="0.25">
      <c r="A4738" t="str">
        <f>"20190312172506850"</f>
        <v>20190312172506850</v>
      </c>
      <c r="B4738" t="str">
        <f>"1552382706845111"</f>
        <v>1552382706845111</v>
      </c>
      <c r="C4738" t="s">
        <v>40</v>
      </c>
      <c r="D4738">
        <v>4.0499299999999998</v>
      </c>
      <c r="E4738">
        <v>0.473026</v>
      </c>
      <c r="F4738" t="s">
        <v>43</v>
      </c>
      <c r="G4738">
        <v>-421.0213</v>
      </c>
      <c r="H4738" s="1">
        <v>-2.5161689999999999E-6</v>
      </c>
      <c r="I4738">
        <v>84.820920000000001</v>
      </c>
      <c r="J4738">
        <v>-422.11410000000001</v>
      </c>
      <c r="K4738">
        <v>1.1112359999999999</v>
      </c>
      <c r="L4738">
        <v>100.6318</v>
      </c>
      <c r="M4738">
        <v>-4.7483520000000001E-2</v>
      </c>
      <c r="N4738">
        <v>0</v>
      </c>
      <c r="O4738">
        <v>-0.99877819999999995</v>
      </c>
      <c r="P4738">
        <v>-6.1363299999999997E-3</v>
      </c>
      <c r="Q4738">
        <v>0.14218529999999999</v>
      </c>
      <c r="R4738">
        <v>-0.98982110000000001</v>
      </c>
      <c r="S4738">
        <v>0.2050476</v>
      </c>
      <c r="T4738">
        <v>-0.21115039999999999</v>
      </c>
      <c r="U4738">
        <v>-3.0624389999999999</v>
      </c>
      <c r="V4738">
        <v>-4.1217860000000002E-2</v>
      </c>
      <c r="W4738">
        <v>0.15562190000000001</v>
      </c>
      <c r="X4738">
        <v>0.98695639999999996</v>
      </c>
      <c r="Y4738">
        <v>-0.11395569999999999</v>
      </c>
      <c r="Z4738">
        <v>6.8368419999999999E-2</v>
      </c>
      <c r="AA4738">
        <v>0.99113059999999997</v>
      </c>
      <c r="AB4738">
        <v>31</v>
      </c>
      <c r="AC4738">
        <v>1.09280000000001</v>
      </c>
      <c r="AD4738">
        <v>-1.1112385161689999</v>
      </c>
      <c r="AE4738">
        <v>-15.8108799999999</v>
      </c>
      <c r="AF4738">
        <v>-1.8333803839012</v>
      </c>
      <c r="AG4738">
        <v>-1.1112385161689999</v>
      </c>
      <c r="AH4738">
        <v>15.664138862625601</v>
      </c>
      <c r="AI4738">
        <v>94.030432863451594</v>
      </c>
      <c r="AJ4738">
        <v>96.675706195241602</v>
      </c>
      <c r="AK4738">
        <v>15.8101670130175</v>
      </c>
      <c r="AL4738">
        <v>81.047133920211294</v>
      </c>
      <c r="AM4738">
        <v>92.391430747385201</v>
      </c>
      <c r="AN4738">
        <v>1.00000001162177</v>
      </c>
    </row>
    <row r="4739" spans="1:40" x14ac:dyDescent="0.25">
      <c r="A4739" t="str">
        <f>"20190312172506872"</f>
        <v>20190312172506872</v>
      </c>
      <c r="B4739" t="str">
        <f>"1552382706865610"</f>
        <v>1552382706865610</v>
      </c>
      <c r="C4739" t="s">
        <v>40</v>
      </c>
      <c r="D4739">
        <v>4.0247799999999998</v>
      </c>
      <c r="E4739">
        <v>0.47337960000000001</v>
      </c>
      <c r="F4739" t="s">
        <v>43</v>
      </c>
      <c r="G4739">
        <v>-421.01209999999998</v>
      </c>
      <c r="H4739" s="1">
        <v>-2.345814E-6</v>
      </c>
      <c r="I4739">
        <v>84.429500000000004</v>
      </c>
      <c r="J4739">
        <v>-422.12779999999998</v>
      </c>
      <c r="K4739">
        <v>1.111235</v>
      </c>
      <c r="L4739">
        <v>100.3199</v>
      </c>
      <c r="M4739">
        <v>-4.6409970000000002E-2</v>
      </c>
      <c r="N4739">
        <v>0</v>
      </c>
      <c r="O4739">
        <v>-0.99882859999999996</v>
      </c>
      <c r="P4739">
        <v>-4.4514200000000002E-3</v>
      </c>
      <c r="Q4739">
        <v>0.14283779999999999</v>
      </c>
      <c r="R4739">
        <v>-0.98973599999999995</v>
      </c>
      <c r="S4739">
        <v>0.20828250000000001</v>
      </c>
      <c r="T4739">
        <v>-0.2100291</v>
      </c>
      <c r="U4739">
        <v>-3.0623170000000002</v>
      </c>
      <c r="V4739">
        <v>-4.1834730000000001E-2</v>
      </c>
      <c r="W4739">
        <v>0.15626950000000001</v>
      </c>
      <c r="X4739">
        <v>0.98682809999999999</v>
      </c>
      <c r="Y4739">
        <v>-0.11393440000000001</v>
      </c>
      <c r="Z4739">
        <v>6.8012610000000001E-2</v>
      </c>
      <c r="AA4739">
        <v>0.99115750000000002</v>
      </c>
      <c r="AB4739">
        <v>31</v>
      </c>
      <c r="AC4739">
        <v>1.1156999999999999</v>
      </c>
      <c r="AD4739">
        <v>-1.1112373458139999</v>
      </c>
      <c r="AE4739">
        <v>-15.8904</v>
      </c>
      <c r="AF4739">
        <v>-1.84307060364308</v>
      </c>
      <c r="AG4739">
        <v>-1.1112373458139999</v>
      </c>
      <c r="AH4739">
        <v>15.7448691349071</v>
      </c>
      <c r="AI4739">
        <v>94.009823517535807</v>
      </c>
      <c r="AJ4739">
        <v>96.676572396508107</v>
      </c>
      <c r="AK4739">
        <v>15.8912762786409</v>
      </c>
      <c r="AL4739">
        <v>81.009569492898095</v>
      </c>
      <c r="AM4739">
        <v>92.427493801252993</v>
      </c>
      <c r="AN4739">
        <v>1.00000000010701</v>
      </c>
    </row>
    <row r="4740" spans="1:40" x14ac:dyDescent="0.25">
      <c r="A4740" t="str">
        <f>"20190312172506894"</f>
        <v>20190312172506894</v>
      </c>
      <c r="B4740" t="str">
        <f>"1552382706885127"</f>
        <v>1552382706885127</v>
      </c>
      <c r="C4740" t="s">
        <v>40</v>
      </c>
      <c r="D4740">
        <v>4.0448459999999997</v>
      </c>
      <c r="E4740">
        <v>0.4736842</v>
      </c>
      <c r="F4740" t="s">
        <v>43</v>
      </c>
      <c r="G4740">
        <v>-420.99110000000002</v>
      </c>
      <c r="H4740" s="1">
        <v>-2.1092040000000002E-6</v>
      </c>
      <c r="I4740">
        <v>83.891000000000005</v>
      </c>
      <c r="J4740">
        <v>-422.14109999999999</v>
      </c>
      <c r="K4740">
        <v>1.1112359999999999</v>
      </c>
      <c r="L4740">
        <v>100.0116</v>
      </c>
      <c r="M4740">
        <v>-4.5348350000000003E-2</v>
      </c>
      <c r="N4740">
        <v>0</v>
      </c>
      <c r="O4740">
        <v>-0.99887740000000003</v>
      </c>
      <c r="P4740">
        <v>-2.520085E-3</v>
      </c>
      <c r="Q4740">
        <v>0.1435187</v>
      </c>
      <c r="R4740">
        <v>-0.98964419999999997</v>
      </c>
      <c r="S4740">
        <v>0.21185300000000001</v>
      </c>
      <c r="T4740">
        <v>-0.20710729999999999</v>
      </c>
      <c r="U4740">
        <v>-3.0619510000000001</v>
      </c>
      <c r="V4740">
        <v>-4.2709560000000001E-2</v>
      </c>
      <c r="W4740">
        <v>0.156944899999999</v>
      </c>
      <c r="X4740">
        <v>0.98668339999999999</v>
      </c>
      <c r="Y4740">
        <v>-0.1140413</v>
      </c>
      <c r="Z4740">
        <v>6.7080589999999995E-2</v>
      </c>
      <c r="AA4740">
        <v>0.99120870000000005</v>
      </c>
      <c r="AB4740">
        <v>31</v>
      </c>
      <c r="AC4740">
        <v>1.1499999999999699</v>
      </c>
      <c r="AD4740">
        <v>-1.111238109204</v>
      </c>
      <c r="AE4740">
        <v>-16.1205999999999</v>
      </c>
      <c r="AF4740">
        <v>-1.87108197978142</v>
      </c>
      <c r="AG4740">
        <v>-1.111238109204</v>
      </c>
      <c r="AH4740">
        <v>15.976326250479</v>
      </c>
      <c r="AI4740">
        <v>93.951893173212497</v>
      </c>
      <c r="AJ4740">
        <v>96.679817809791004</v>
      </c>
      <c r="AK4740">
        <v>16.123858048623301</v>
      </c>
      <c r="AL4740">
        <v>80.970388192428302</v>
      </c>
      <c r="AM4740">
        <v>92.478556855273496</v>
      </c>
      <c r="AN4740">
        <v>0.99999996999348095</v>
      </c>
    </row>
    <row r="4741" spans="1:40" x14ac:dyDescent="0.25">
      <c r="A4741" t="str">
        <f>"20190312172506907"</f>
        <v>20190312172506907</v>
      </c>
      <c r="B4741" t="str">
        <f>"1552382706895863"</f>
        <v>1552382706895863</v>
      </c>
      <c r="C4741" t="s">
        <v>40</v>
      </c>
      <c r="D4741">
        <v>4.0229949999999999</v>
      </c>
      <c r="E4741">
        <v>0.47383530000000001</v>
      </c>
      <c r="F4741" t="s">
        <v>43</v>
      </c>
      <c r="G4741">
        <v>-420.96940000000001</v>
      </c>
      <c r="H4741" s="1">
        <v>-1.9046510000000001E-6</v>
      </c>
      <c r="I4741">
        <v>83.42765</v>
      </c>
      <c r="J4741">
        <v>-422.14859999999999</v>
      </c>
      <c r="K4741">
        <v>1.1112359999999999</v>
      </c>
      <c r="L4741">
        <v>99.830020000000005</v>
      </c>
      <c r="M4741">
        <v>-4.472313E-2</v>
      </c>
      <c r="N4741">
        <v>0</v>
      </c>
      <c r="O4741">
        <v>-0.99890579999999995</v>
      </c>
      <c r="P4741">
        <v>-1.208541E-3</v>
      </c>
      <c r="Q4741">
        <v>0.14340139999999901</v>
      </c>
      <c r="R4741">
        <v>-0.98966419999999999</v>
      </c>
      <c r="S4741">
        <v>0.21630859999999999</v>
      </c>
      <c r="T4741">
        <v>-0.20515320000000001</v>
      </c>
      <c r="U4741">
        <v>-3.0616759999999998</v>
      </c>
      <c r="V4741">
        <v>-4.3401519999999999E-2</v>
      </c>
      <c r="W4741">
        <v>0.15682470000000001</v>
      </c>
      <c r="X4741">
        <v>0.98667229999999995</v>
      </c>
      <c r="Y4741">
        <v>-0.11486399999999999</v>
      </c>
      <c r="Z4741">
        <v>6.6452739999999996E-2</v>
      </c>
      <c r="AA4741">
        <v>0.99115600000000004</v>
      </c>
      <c r="AB4741">
        <v>31</v>
      </c>
      <c r="AC4741">
        <v>1.17919999999998</v>
      </c>
      <c r="AD4741">
        <v>-1.1112379046509999</v>
      </c>
      <c r="AE4741">
        <v>-16.402369999999902</v>
      </c>
      <c r="AF4741">
        <v>-1.9029643775940199</v>
      </c>
      <c r="AG4741">
        <v>-1.1112379046509999</v>
      </c>
      <c r="AH4741">
        <v>16.258969680004999</v>
      </c>
      <c r="AI4741">
        <v>93.883438953293606</v>
      </c>
      <c r="AJ4741">
        <v>96.675577961866395</v>
      </c>
      <c r="AK4741">
        <v>16.407626828961199</v>
      </c>
      <c r="AL4741">
        <v>80.977361342045</v>
      </c>
      <c r="AM4741">
        <v>92.518690253717196</v>
      </c>
      <c r="AN4741">
        <v>0.99999995302784395</v>
      </c>
    </row>
    <row r="4742" spans="1:40" x14ac:dyDescent="0.25">
      <c r="A4742" t="str">
        <f>"20190312172506928"</f>
        <v>20190312172506928</v>
      </c>
      <c r="B4742" t="str">
        <f>"1552382706915384"</f>
        <v>1552382706915384</v>
      </c>
      <c r="C4742" t="s">
        <v>40</v>
      </c>
      <c r="D4742">
        <v>4.0447419999999896</v>
      </c>
      <c r="E4742">
        <v>0.47395910000000002</v>
      </c>
      <c r="F4742" t="s">
        <v>43</v>
      </c>
      <c r="G4742">
        <v>-420.96190000000001</v>
      </c>
      <c r="H4742" s="1">
        <v>-1.8445009999999999E-6</v>
      </c>
      <c r="I4742">
        <v>83.292059999999907</v>
      </c>
      <c r="J4742">
        <v>-422.16</v>
      </c>
      <c r="K4742">
        <v>1.111235</v>
      </c>
      <c r="L4742">
        <v>99.553100000000001</v>
      </c>
      <c r="M4742">
        <v>-4.3769500000000003E-2</v>
      </c>
      <c r="N4742">
        <v>0</v>
      </c>
      <c r="O4742">
        <v>-0.99894819999999995</v>
      </c>
      <c r="P4742">
        <v>1.201726E-3</v>
      </c>
      <c r="Q4742">
        <v>0.14366799999999999</v>
      </c>
      <c r="R4742">
        <v>-0.98962550000000005</v>
      </c>
      <c r="S4742">
        <v>0.21966550000000001</v>
      </c>
      <c r="T4742">
        <v>-0.20570530000000001</v>
      </c>
      <c r="U4742">
        <v>-3.061401</v>
      </c>
      <c r="V4742">
        <v>-4.4863729999999997E-2</v>
      </c>
      <c r="W4742">
        <v>0.15708569999999999</v>
      </c>
      <c r="X4742">
        <v>0.98656540000000004</v>
      </c>
      <c r="Y4742">
        <v>-0.1150024</v>
      </c>
      <c r="Z4742">
        <v>6.6637840000000004E-2</v>
      </c>
      <c r="AA4742">
        <v>0.9911276</v>
      </c>
      <c r="AB4742">
        <v>31</v>
      </c>
      <c r="AC4742">
        <v>1.1981000000000099</v>
      </c>
      <c r="AD4742">
        <v>-1.1112368445009999</v>
      </c>
      <c r="AE4742">
        <v>-16.261040000000001</v>
      </c>
      <c r="AF4742">
        <v>-1.8999308770758001</v>
      </c>
      <c r="AG4742">
        <v>-1.1112368445009999</v>
      </c>
      <c r="AH4742">
        <v>16.118143018024298</v>
      </c>
      <c r="AI4742">
        <v>93.916882745845498</v>
      </c>
      <c r="AJ4742">
        <v>96.722734959390294</v>
      </c>
      <c r="AK4742">
        <v>16.267732448369301</v>
      </c>
      <c r="AL4742">
        <v>80.962219715595097</v>
      </c>
      <c r="AM4742">
        <v>92.603712527897301</v>
      </c>
      <c r="AN4742">
        <v>0.99999997994558099</v>
      </c>
    </row>
    <row r="4743" spans="1:40" x14ac:dyDescent="0.25">
      <c r="A4743" t="str">
        <f>"20190312172506950"</f>
        <v>20190312172506950</v>
      </c>
      <c r="B4743" t="str">
        <f>"1552382706945639"</f>
        <v>1552382706945639</v>
      </c>
      <c r="C4743" t="s">
        <v>40</v>
      </c>
      <c r="D4743">
        <v>4.0377330000000002</v>
      </c>
      <c r="E4743">
        <v>0.47426689999999999</v>
      </c>
      <c r="F4743" t="s">
        <v>43</v>
      </c>
      <c r="G4743">
        <v>-420.92750000000001</v>
      </c>
      <c r="H4743" s="1">
        <v>-1.7078519999999999E-6</v>
      </c>
      <c r="I4743">
        <v>82.994889999999998</v>
      </c>
      <c r="J4743">
        <v>-422.173</v>
      </c>
      <c r="K4743">
        <v>1.111229</v>
      </c>
      <c r="L4743">
        <v>99.227779999999996</v>
      </c>
      <c r="M4743">
        <v>-4.2648680000000001E-2</v>
      </c>
      <c r="N4743">
        <v>0</v>
      </c>
      <c r="O4743">
        <v>-0.99899660000000001</v>
      </c>
      <c r="P4743">
        <v>3.07384E-3</v>
      </c>
      <c r="Q4743">
        <v>0.14296929999999999</v>
      </c>
      <c r="R4743">
        <v>-0.98972280000000001</v>
      </c>
      <c r="S4743">
        <v>0.2278442</v>
      </c>
      <c r="T4743">
        <v>-0.20542679999999999</v>
      </c>
      <c r="U4743">
        <v>-3.0610050000000002</v>
      </c>
      <c r="V4743">
        <v>-4.5626729999999997E-2</v>
      </c>
      <c r="W4743">
        <v>0.15638440000000001</v>
      </c>
      <c r="X4743">
        <v>0.98664180000000001</v>
      </c>
      <c r="Y4743">
        <v>-0.1165315</v>
      </c>
      <c r="Z4743">
        <v>6.6549040000000004E-2</v>
      </c>
      <c r="AA4743">
        <v>0.99095489999999997</v>
      </c>
      <c r="AB4743">
        <v>31</v>
      </c>
      <c r="AC4743">
        <v>1.2454999999999901</v>
      </c>
      <c r="AD4743">
        <v>-1.1112307078520001</v>
      </c>
      <c r="AE4743">
        <v>-16.232890000000001</v>
      </c>
      <c r="AF4743">
        <v>-1.92776165556604</v>
      </c>
      <c r="AG4743">
        <v>-1.1112307078520001</v>
      </c>
      <c r="AH4743">
        <v>16.090034410135001</v>
      </c>
      <c r="AI4743">
        <v>93.922795287806593</v>
      </c>
      <c r="AJ4743">
        <v>96.832092878939207</v>
      </c>
      <c r="AK4743">
        <v>16.243161822935601</v>
      </c>
      <c r="AL4743">
        <v>81.002903899929706</v>
      </c>
      <c r="AM4743">
        <v>92.647726766027205</v>
      </c>
      <c r="AN4743">
        <v>0.99999996028054505</v>
      </c>
    </row>
    <row r="4744" spans="1:40" x14ac:dyDescent="0.25">
      <c r="A4744" t="str">
        <f>"20190312172506972"</f>
        <v>20190312172506972</v>
      </c>
      <c r="B4744" t="str">
        <f>"1552382706965159"</f>
        <v>1552382706965159</v>
      </c>
      <c r="C4744" t="s">
        <v>40</v>
      </c>
      <c r="D4744">
        <v>4.052206</v>
      </c>
      <c r="E4744">
        <v>0.47451779999999999</v>
      </c>
      <c r="F4744" t="s">
        <v>43</v>
      </c>
      <c r="G4744">
        <v>-420.9366</v>
      </c>
      <c r="H4744" s="1">
        <v>-1.680444E-6</v>
      </c>
      <c r="I4744">
        <v>82.925349999999995</v>
      </c>
      <c r="J4744">
        <v>-422.18520000000001</v>
      </c>
      <c r="K4744">
        <v>1.111219</v>
      </c>
      <c r="L4744">
        <v>98.91534</v>
      </c>
      <c r="M4744">
        <v>-4.1572060000000001E-2</v>
      </c>
      <c r="N4744">
        <v>0</v>
      </c>
      <c r="O4744">
        <v>-0.99904210000000004</v>
      </c>
      <c r="P4744">
        <v>5.0491499999999996E-3</v>
      </c>
      <c r="Q4744">
        <v>0.14261360000000001</v>
      </c>
      <c r="R4744">
        <v>-0.98976609999999998</v>
      </c>
      <c r="S4744">
        <v>0.23211670000000001</v>
      </c>
      <c r="T4744">
        <v>-0.20861959999999999</v>
      </c>
      <c r="U4744">
        <v>-3.0605769999999999</v>
      </c>
      <c r="V4744">
        <v>-4.6535510000000002E-2</v>
      </c>
      <c r="W4744">
        <v>0.15602559999999999</v>
      </c>
      <c r="X4744">
        <v>0.98665619999999998</v>
      </c>
      <c r="Y4744">
        <v>-0.11684170000000001</v>
      </c>
      <c r="Z4744">
        <v>6.7587880000000003E-2</v>
      </c>
      <c r="AA4744">
        <v>0.99084810000000001</v>
      </c>
      <c r="AB4744">
        <v>31</v>
      </c>
      <c r="AC4744">
        <v>1.2486000000000099</v>
      </c>
      <c r="AD4744">
        <v>-1.1112206804439999</v>
      </c>
      <c r="AE4744">
        <v>-15.989990000000001</v>
      </c>
      <c r="AF4744">
        <v>-1.9031834981654201</v>
      </c>
      <c r="AG4744">
        <v>-1.1112206804439999</v>
      </c>
      <c r="AH4744">
        <v>15.848177214482201</v>
      </c>
      <c r="AI4744">
        <v>93.982303312098495</v>
      </c>
      <c r="AJ4744">
        <v>96.847770874999597</v>
      </c>
      <c r="AK4744">
        <v>16.000676231021298</v>
      </c>
      <c r="AL4744">
        <v>81.023717468837404</v>
      </c>
      <c r="AM4744">
        <v>92.700346767474699</v>
      </c>
      <c r="AN4744">
        <v>0.99999999927238004</v>
      </c>
    </row>
    <row r="4745" spans="1:40" x14ac:dyDescent="0.25">
      <c r="A4745" t="str">
        <f>"20190312172506996"</f>
        <v>20190312172506996</v>
      </c>
      <c r="B4745" t="str">
        <f>"1552382706985655"</f>
        <v>1552382706985655</v>
      </c>
      <c r="C4745" t="s">
        <v>40</v>
      </c>
      <c r="D4745">
        <v>4.1318820000000001</v>
      </c>
      <c r="E4745">
        <v>0.47478429999999999</v>
      </c>
      <c r="F4745" t="s">
        <v>43</v>
      </c>
      <c r="G4745">
        <v>-420.93729999999999</v>
      </c>
      <c r="H4745" s="1">
        <v>-1.616986E-6</v>
      </c>
      <c r="I4745">
        <v>82.777010000000004</v>
      </c>
      <c r="J4745">
        <v>-422.19720000000001</v>
      </c>
      <c r="K4745">
        <v>1.111219</v>
      </c>
      <c r="L4745">
        <v>98.599119999999999</v>
      </c>
      <c r="M4745">
        <v>-4.0482299999999999E-2</v>
      </c>
      <c r="N4745">
        <v>0</v>
      </c>
      <c r="O4745">
        <v>-0.9990869</v>
      </c>
      <c r="P4745">
        <v>6.9596839999999998E-3</v>
      </c>
      <c r="Q4745">
        <v>0.1421491</v>
      </c>
      <c r="R4745">
        <v>-0.98982110000000001</v>
      </c>
      <c r="S4745">
        <v>0.23663329999999999</v>
      </c>
      <c r="T4745">
        <v>-0.2107116</v>
      </c>
      <c r="U4745">
        <v>-3.060181</v>
      </c>
      <c r="V4745">
        <v>-4.736659E-2</v>
      </c>
      <c r="W4745">
        <v>0.1555578</v>
      </c>
      <c r="X4745">
        <v>0.98669050000000003</v>
      </c>
      <c r="Y4745">
        <v>-0.1172184</v>
      </c>
      <c r="Z4745">
        <v>6.8270490000000003E-2</v>
      </c>
      <c r="AA4745">
        <v>0.99075679999999999</v>
      </c>
      <c r="AB4745">
        <v>31</v>
      </c>
      <c r="AC4745">
        <v>1.25990000000001</v>
      </c>
      <c r="AD4745">
        <v>-1.1112206169859999</v>
      </c>
      <c r="AE4745">
        <v>-15.822109999999901</v>
      </c>
      <c r="AF4745">
        <v>-1.8901775113689301</v>
      </c>
      <c r="AG4745">
        <v>-1.1112206169859999</v>
      </c>
      <c r="AH4745">
        <v>15.6812677601168</v>
      </c>
      <c r="AI4745">
        <v>94.024338160494196</v>
      </c>
      <c r="AJ4745">
        <v>96.873118897664796</v>
      </c>
      <c r="AK4745">
        <v>15.8338163703063</v>
      </c>
      <c r="AL4745">
        <v>81.050851598387894</v>
      </c>
      <c r="AM4745">
        <v>92.748403694859903</v>
      </c>
      <c r="AN4745">
        <v>0.99999998288965897</v>
      </c>
    </row>
    <row r="4746" spans="1:40" x14ac:dyDescent="0.25">
      <c r="A4746" t="str">
        <f>"20190312172507018"</f>
        <v>20190312172507018</v>
      </c>
      <c r="B4746" t="str">
        <f>"1552382707005175"</f>
        <v>1552382707005175</v>
      </c>
      <c r="C4746" t="s">
        <v>40</v>
      </c>
      <c r="D4746">
        <v>4.1356570000000001</v>
      </c>
      <c r="E4746">
        <v>0.47506880000000001</v>
      </c>
      <c r="F4746" t="s">
        <v>43</v>
      </c>
      <c r="G4746">
        <v>-420.93770000000001</v>
      </c>
      <c r="H4746" s="1">
        <v>-1.5672889999999999E-6</v>
      </c>
      <c r="I4746">
        <v>82.660889999999995</v>
      </c>
      <c r="J4746">
        <v>-422.20859999999999</v>
      </c>
      <c r="K4746">
        <v>1.111218</v>
      </c>
      <c r="L4746">
        <v>98.288910000000001</v>
      </c>
      <c r="M4746">
        <v>-3.941302E-2</v>
      </c>
      <c r="N4746">
        <v>0</v>
      </c>
      <c r="O4746">
        <v>-0.9991295</v>
      </c>
      <c r="P4746">
        <v>8.6942430000000008E-3</v>
      </c>
      <c r="Q4746">
        <v>0.1412495</v>
      </c>
      <c r="R4746">
        <v>-0.98993620000000004</v>
      </c>
      <c r="S4746">
        <v>0.2417908</v>
      </c>
      <c r="T4746">
        <v>-0.21332960000000001</v>
      </c>
      <c r="U4746">
        <v>-3.0597840000000001</v>
      </c>
      <c r="V4746">
        <v>-4.80439E-2</v>
      </c>
      <c r="W4746">
        <v>0.15465719999999999</v>
      </c>
      <c r="X4746">
        <v>0.98679939999999999</v>
      </c>
      <c r="Y4746">
        <v>-0.1178207</v>
      </c>
      <c r="Z4746">
        <v>6.9121020000000005E-2</v>
      </c>
      <c r="AA4746">
        <v>0.99062629999999996</v>
      </c>
      <c r="AB4746">
        <v>31</v>
      </c>
      <c r="AC4746">
        <v>1.2708999999999799</v>
      </c>
      <c r="AD4746">
        <v>-1.111219567289</v>
      </c>
      <c r="AE4746">
        <v>-15.6280199999999</v>
      </c>
      <c r="AF4746">
        <v>-1.876492467874</v>
      </c>
      <c r="AG4746">
        <v>-1.111219567289</v>
      </c>
      <c r="AH4746">
        <v>15.4879900617402</v>
      </c>
      <c r="AI4746">
        <v>94.074086585213195</v>
      </c>
      <c r="AJ4746">
        <v>96.908165861436203</v>
      </c>
      <c r="AK4746">
        <v>15.6407758458868</v>
      </c>
      <c r="AL4746">
        <v>81.103085020817204</v>
      </c>
      <c r="AM4746">
        <v>92.787335292100295</v>
      </c>
      <c r="AN4746">
        <v>1.0000000608396999</v>
      </c>
    </row>
    <row r="4747" spans="1:40" x14ac:dyDescent="0.25">
      <c r="A4747" t="str">
        <f>"20190312172507041"</f>
        <v>20190312172507041</v>
      </c>
      <c r="B4747" t="str">
        <f>"1552382707035432"</f>
        <v>1552382707035432</v>
      </c>
      <c r="C4747" t="s">
        <v>40</v>
      </c>
      <c r="D4747">
        <v>4.0539059999999996</v>
      </c>
      <c r="E4747">
        <v>0.47567809999999999</v>
      </c>
      <c r="F4747" t="s">
        <v>43</v>
      </c>
      <c r="G4747">
        <v>-420.95569999999998</v>
      </c>
      <c r="H4747" s="1">
        <v>-1.5685910000000001E-6</v>
      </c>
      <c r="I4747">
        <v>82.652799999999999</v>
      </c>
      <c r="J4747">
        <v>-422.21980000000002</v>
      </c>
      <c r="K4747">
        <v>1.1112150000000001</v>
      </c>
      <c r="L4747">
        <v>97.974490000000003</v>
      </c>
      <c r="M4747">
        <v>-3.8329139999999998E-2</v>
      </c>
      <c r="N4747">
        <v>0</v>
      </c>
      <c r="O4747">
        <v>-0.9991717</v>
      </c>
      <c r="P4747">
        <v>1.0656189999999999E-2</v>
      </c>
      <c r="Q4747">
        <v>0.1412281</v>
      </c>
      <c r="R4747">
        <v>-0.98992009999999997</v>
      </c>
      <c r="S4747">
        <v>0.2451477</v>
      </c>
      <c r="T4747">
        <v>-0.21742110000000001</v>
      </c>
      <c r="U4747">
        <v>-3.0593569999999999</v>
      </c>
      <c r="V4747">
        <v>-4.8930120000000001E-2</v>
      </c>
      <c r="W4747">
        <v>0.1546312</v>
      </c>
      <c r="X4747">
        <v>0.98675979999999996</v>
      </c>
      <c r="Y4747">
        <v>-0.1178271</v>
      </c>
      <c r="Z4747">
        <v>7.045129E-2</v>
      </c>
      <c r="AA4747">
        <v>0.99053190000000002</v>
      </c>
      <c r="AB4747">
        <v>31</v>
      </c>
      <c r="AC4747">
        <v>1.26410000000004</v>
      </c>
      <c r="AD4747">
        <v>-1.111216568591</v>
      </c>
      <c r="AE4747">
        <v>-15.32169</v>
      </c>
      <c r="AF4747">
        <v>-1.8408754803603</v>
      </c>
      <c r="AG4747">
        <v>-1.111216568591</v>
      </c>
      <c r="AH4747">
        <v>15.182652127907399</v>
      </c>
      <c r="AI4747">
        <v>94.155680154318205</v>
      </c>
      <c r="AJ4747">
        <v>96.913287542774199</v>
      </c>
      <c r="AK4747">
        <v>15.334162854018301</v>
      </c>
      <c r="AL4747">
        <v>81.104591710380902</v>
      </c>
      <c r="AM4747">
        <v>92.838781005234907</v>
      </c>
      <c r="AN4747">
        <v>0.999999933776344</v>
      </c>
    </row>
    <row r="4748" spans="1:40" x14ac:dyDescent="0.25">
      <c r="A4748" t="str">
        <f>"20190312172507062"</f>
        <v>20190312172507062</v>
      </c>
      <c r="B4748" t="str">
        <f>"1552382707054955"</f>
        <v>1552382707054955</v>
      </c>
      <c r="C4748" t="s">
        <v>40</v>
      </c>
      <c r="D4748">
        <v>3.609782</v>
      </c>
      <c r="E4748">
        <v>0.4790334</v>
      </c>
      <c r="F4748" t="s">
        <v>43</v>
      </c>
      <c r="G4748">
        <v>-420.97489999999999</v>
      </c>
      <c r="H4748" s="1">
        <v>-1.5017660000000001E-6</v>
      </c>
      <c r="I4748">
        <v>82.48509</v>
      </c>
      <c r="J4748">
        <v>-422.23039999999997</v>
      </c>
      <c r="K4748">
        <v>1.111205</v>
      </c>
      <c r="L4748">
        <v>97.669799999999995</v>
      </c>
      <c r="M4748">
        <v>-3.7278180000000001E-2</v>
      </c>
      <c r="N4748">
        <v>0</v>
      </c>
      <c r="O4748">
        <v>-0.99921150000000003</v>
      </c>
      <c r="P4748">
        <v>1.206992E-2</v>
      </c>
      <c r="Q4748">
        <v>0.1409144</v>
      </c>
      <c r="R4748">
        <v>-0.98994850000000001</v>
      </c>
      <c r="S4748">
        <v>0.24588009999999999</v>
      </c>
      <c r="T4748">
        <v>-0.21946869999999999</v>
      </c>
      <c r="U4748">
        <v>-3.0592039999999998</v>
      </c>
      <c r="V4748">
        <v>-4.9302400000000003E-2</v>
      </c>
      <c r="W4748">
        <v>0.15431610000000001</v>
      </c>
      <c r="X4748">
        <v>0.98679070000000002</v>
      </c>
      <c r="Y4748">
        <v>-0.11701830000000001</v>
      </c>
      <c r="Z4748">
        <v>7.1121950000000003E-2</v>
      </c>
      <c r="AA4748">
        <v>0.99057980000000001</v>
      </c>
      <c r="AB4748">
        <v>31</v>
      </c>
      <c r="AC4748">
        <v>1.2554999999999801</v>
      </c>
      <c r="AD4748">
        <v>-1.111206501766</v>
      </c>
      <c r="AE4748">
        <v>-15.1847099999999</v>
      </c>
      <c r="AF4748">
        <v>-1.8111053823688199</v>
      </c>
      <c r="AG4748">
        <v>-1.111206501766</v>
      </c>
      <c r="AH4748">
        <v>15.047312037965099</v>
      </c>
      <c r="AI4748">
        <v>94.193328745861905</v>
      </c>
      <c r="AJ4748">
        <v>96.863147153486196</v>
      </c>
      <c r="AK4748">
        <v>15.1965944264991</v>
      </c>
      <c r="AL4748">
        <v>81.122865857325493</v>
      </c>
      <c r="AM4748">
        <v>92.860254438895495</v>
      </c>
      <c r="AN4748">
        <v>1.0000000354857199</v>
      </c>
    </row>
    <row r="4749" spans="1:40" x14ac:dyDescent="0.25">
      <c r="A4749" t="str">
        <f>"20190312172507174"</f>
        <v>20190312172507174</v>
      </c>
      <c r="B4749" t="str">
        <f>"1552382707165239"</f>
        <v>1552382707165239</v>
      </c>
      <c r="C4749" t="s">
        <v>40</v>
      </c>
      <c r="D4749">
        <v>4.3051690000000002</v>
      </c>
      <c r="E4749">
        <v>0.48655130000000002</v>
      </c>
      <c r="F4749" t="s">
        <v>43</v>
      </c>
      <c r="G4749">
        <v>-421.7636</v>
      </c>
      <c r="H4749" s="1">
        <v>-1.28977999999999E-6</v>
      </c>
      <c r="I4749">
        <v>91.501769999999993</v>
      </c>
      <c r="J4749">
        <v>-422.27890000000002</v>
      </c>
      <c r="K4749">
        <v>1.111199</v>
      </c>
      <c r="L4749">
        <v>96.125889999999998</v>
      </c>
      <c r="M4749">
        <v>-3.1951930000000003E-2</v>
      </c>
      <c r="N4749">
        <v>0</v>
      </c>
      <c r="O4749">
        <v>-0.99939630000000002</v>
      </c>
      <c r="P4749">
        <v>1.7821110000000001E-2</v>
      </c>
      <c r="Q4749">
        <v>0.14062079999999999</v>
      </c>
      <c r="R4749">
        <v>-0.98990359999999999</v>
      </c>
      <c r="S4749">
        <v>0.2351685</v>
      </c>
      <c r="T4749">
        <v>-0.55979250000000003</v>
      </c>
      <c r="U4749">
        <v>-3.1072690000000001</v>
      </c>
      <c r="V4749">
        <v>-4.9774840000000001E-2</v>
      </c>
      <c r="W4749">
        <v>0.15401409999999999</v>
      </c>
      <c r="X4749">
        <v>0.98681410000000003</v>
      </c>
      <c r="Y4749">
        <v>-0.10610700000000001</v>
      </c>
      <c r="Z4749">
        <v>0.17641989999999999</v>
      </c>
      <c r="AA4749">
        <v>0.97857919999999998</v>
      </c>
      <c r="AB4749">
        <v>31</v>
      </c>
      <c r="AC4749">
        <v>0.51530000000002396</v>
      </c>
      <c r="AD4749">
        <v>-1.11120028978</v>
      </c>
      <c r="AE4749">
        <v>-4.6241199999999996</v>
      </c>
      <c r="AF4749">
        <v>-0.62703513811642897</v>
      </c>
      <c r="AG4749">
        <v>-1.11120028978</v>
      </c>
      <c r="AH4749">
        <v>4.3567883847440099</v>
      </c>
      <c r="AI4749">
        <v>104.168240684937</v>
      </c>
      <c r="AJ4749">
        <v>98.189852023237705</v>
      </c>
      <c r="AK4749">
        <v>4.5397735822263403</v>
      </c>
      <c r="AL4749">
        <v>81.1403779849893</v>
      </c>
      <c r="AM4749">
        <v>92.887548287049398</v>
      </c>
      <c r="AN4749">
        <v>0.999999972827322</v>
      </c>
    </row>
    <row r="4750" spans="1:40" x14ac:dyDescent="0.25">
      <c r="A4750" t="str">
        <f>"20190312172507195"</f>
        <v>20190312172507195</v>
      </c>
      <c r="B4750" t="str">
        <f>"1552382707185736"</f>
        <v>1552382707185736</v>
      </c>
      <c r="C4750" t="s">
        <v>40</v>
      </c>
      <c r="D4750">
        <v>4.0459680000000002</v>
      </c>
      <c r="E4750">
        <v>0.48735060000000002</v>
      </c>
      <c r="F4750" t="s">
        <v>41</v>
      </c>
      <c r="G4750">
        <v>-422.22750000000002</v>
      </c>
      <c r="H4750">
        <v>0.97896430000000001</v>
      </c>
      <c r="I4750">
        <v>95.316959999999995</v>
      </c>
      <c r="J4750">
        <v>-422.28750000000002</v>
      </c>
      <c r="K4750">
        <v>1.1112</v>
      </c>
      <c r="L4750">
        <v>95.823359999999994</v>
      </c>
      <c r="M4750">
        <v>-3.090791E-2</v>
      </c>
      <c r="N4750">
        <v>0</v>
      </c>
      <c r="O4750">
        <v>-0.99942889999999995</v>
      </c>
      <c r="P4750">
        <v>1.948107E-2</v>
      </c>
      <c r="Q4750">
        <v>0.1403462</v>
      </c>
      <c r="R4750">
        <v>-0.98991110000000004</v>
      </c>
      <c r="S4750">
        <v>0.19726560000000001</v>
      </c>
      <c r="T4750">
        <v>-0.50663320000000001</v>
      </c>
      <c r="U4750">
        <v>-3.0989990000000001</v>
      </c>
      <c r="V4750">
        <v>-5.0400510000000003E-2</v>
      </c>
      <c r="W4750">
        <v>0.1537365</v>
      </c>
      <c r="X4750">
        <v>0.98682559999999997</v>
      </c>
      <c r="Y4750">
        <v>-9.3517000000000003E-2</v>
      </c>
      <c r="Z4750">
        <v>0.16071289999999999</v>
      </c>
      <c r="AA4750">
        <v>0.98256089999999996</v>
      </c>
      <c r="AB4750">
        <v>31</v>
      </c>
      <c r="AC4750">
        <v>6.0000000000002197E-2</v>
      </c>
      <c r="AD4750">
        <v>-0.13223569999999901</v>
      </c>
      <c r="AE4750">
        <v>-0.50639999999999896</v>
      </c>
      <c r="AF4750">
        <v>-7.0859645339935801E-2</v>
      </c>
      <c r="AG4750">
        <v>-0.13223569999999901</v>
      </c>
      <c r="AH4750">
        <v>0.47252850462922202</v>
      </c>
      <c r="AI4750">
        <v>105.469565347348</v>
      </c>
      <c r="AJ4750">
        <v>98.528437721893695</v>
      </c>
      <c r="AK4750">
        <v>0.49577268720586098</v>
      </c>
      <c r="AL4750">
        <v>81.156474746444999</v>
      </c>
      <c r="AM4750">
        <v>92.923748182284697</v>
      </c>
      <c r="AN4750">
        <v>0.999999943827933</v>
      </c>
    </row>
    <row r="4751" spans="1:40" x14ac:dyDescent="0.25">
      <c r="A4751" t="str">
        <f>"20190312172507218"</f>
        <v>20190312172507218</v>
      </c>
      <c r="B4751" t="str">
        <f>"1552382707215015"</f>
        <v>1552382707215015</v>
      </c>
      <c r="C4751" t="s">
        <v>40</v>
      </c>
      <c r="D4751">
        <v>4.9393440000000002</v>
      </c>
      <c r="E4751">
        <v>0.48887570000000002</v>
      </c>
      <c r="F4751" t="s">
        <v>41</v>
      </c>
      <c r="G4751">
        <v>-422.23759999999999</v>
      </c>
      <c r="H4751">
        <v>0.98993129999999996</v>
      </c>
      <c r="I4751">
        <v>95.031750000000002</v>
      </c>
      <c r="J4751">
        <v>-422.29599999999999</v>
      </c>
      <c r="K4751">
        <v>1.1111960000000001</v>
      </c>
      <c r="L4751">
        <v>95.510469999999998</v>
      </c>
      <c r="M4751">
        <v>-2.9827510000000002E-2</v>
      </c>
      <c r="N4751">
        <v>0</v>
      </c>
      <c r="O4751">
        <v>-0.99946179999999996</v>
      </c>
      <c r="P4751">
        <v>2.1048560000000001E-2</v>
      </c>
      <c r="Q4751">
        <v>0.139709</v>
      </c>
      <c r="R4751">
        <v>-0.98996930000000005</v>
      </c>
      <c r="S4751">
        <v>0.19592290000000001</v>
      </c>
      <c r="T4751">
        <v>-0.4740857</v>
      </c>
      <c r="U4751">
        <v>-3.0939329999999998</v>
      </c>
      <c r="V4751">
        <v>-5.0897820000000003E-2</v>
      </c>
      <c r="W4751">
        <v>0.1530976</v>
      </c>
      <c r="X4751">
        <v>0.98689939999999998</v>
      </c>
      <c r="Y4751">
        <v>-9.2216129999999993E-2</v>
      </c>
      <c r="Z4751">
        <v>0.150891</v>
      </c>
      <c r="AA4751">
        <v>0.98423989999999995</v>
      </c>
      <c r="AB4751">
        <v>31</v>
      </c>
      <c r="AC4751">
        <v>5.8400000000005899E-2</v>
      </c>
      <c r="AD4751">
        <v>-0.121264699999999</v>
      </c>
      <c r="AE4751">
        <v>-0.47871999999999498</v>
      </c>
      <c r="AF4751">
        <v>-6.8333941667569301E-2</v>
      </c>
      <c r="AG4751">
        <v>-0.121264699999999</v>
      </c>
      <c r="AH4751">
        <v>0.44841382477473002</v>
      </c>
      <c r="AI4751">
        <v>104.96763807195001</v>
      </c>
      <c r="AJ4751">
        <v>98.664661902776899</v>
      </c>
      <c r="AK4751">
        <v>0.46952062073887602</v>
      </c>
      <c r="AL4751">
        <v>81.193519582531593</v>
      </c>
      <c r="AM4751">
        <v>92.952326082675796</v>
      </c>
      <c r="AN4751">
        <v>0.99999994446343399</v>
      </c>
    </row>
    <row r="4752" spans="1:40" x14ac:dyDescent="0.25">
      <c r="A4752" t="str">
        <f>"20190312172507242"</f>
        <v>20190312172507242</v>
      </c>
      <c r="B4752" t="str">
        <f>"1552382707235511"</f>
        <v>1552382707235511</v>
      </c>
      <c r="C4752" t="s">
        <v>40</v>
      </c>
      <c r="D4752">
        <v>4.1273530000000003</v>
      </c>
      <c r="E4752">
        <v>0.48955539999999997</v>
      </c>
      <c r="F4752" t="s">
        <v>43</v>
      </c>
      <c r="G4752">
        <v>-421.74259999999998</v>
      </c>
      <c r="H4752" s="1">
        <v>-3.3762739999999999E-6</v>
      </c>
      <c r="I4752">
        <v>86.378489999999999</v>
      </c>
      <c r="J4752">
        <v>-422.30430000000001</v>
      </c>
      <c r="K4752">
        <v>1.111186</v>
      </c>
      <c r="L4752">
        <v>95.192139999999995</v>
      </c>
      <c r="M4752">
        <v>-2.8728679999999999E-2</v>
      </c>
      <c r="N4752">
        <v>0</v>
      </c>
      <c r="O4752">
        <v>-0.9994942</v>
      </c>
      <c r="P4752">
        <v>2.2649929999999999E-2</v>
      </c>
      <c r="Q4752">
        <v>0.13915459999999999</v>
      </c>
      <c r="R4752">
        <v>-0.990012</v>
      </c>
      <c r="S4752">
        <v>0.186615</v>
      </c>
      <c r="T4752">
        <v>-0.37469799999999998</v>
      </c>
      <c r="U4752">
        <v>-3.0793149999999998</v>
      </c>
      <c r="V4752">
        <v>-5.1410530000000003E-2</v>
      </c>
      <c r="W4752">
        <v>0.1525416</v>
      </c>
      <c r="X4752">
        <v>0.98695900000000003</v>
      </c>
      <c r="Y4752">
        <v>-8.8705129999999993E-2</v>
      </c>
      <c r="Z4752">
        <v>0.1203694</v>
      </c>
      <c r="AA4752">
        <v>0.98875809999999997</v>
      </c>
      <c r="AB4752">
        <v>31</v>
      </c>
      <c r="AC4752">
        <v>0.56170000000002995</v>
      </c>
      <c r="AD4752">
        <v>-1.1111893762739999</v>
      </c>
      <c r="AE4752">
        <v>-8.8136500000000098</v>
      </c>
      <c r="AF4752">
        <v>-0.80199985726733303</v>
      </c>
      <c r="AG4752">
        <v>-1.1111893762739999</v>
      </c>
      <c r="AH4752">
        <v>8.6568281182751008</v>
      </c>
      <c r="AI4752">
        <v>97.283629078659004</v>
      </c>
      <c r="AJ4752">
        <v>95.292979749361805</v>
      </c>
      <c r="AK4752">
        <v>8.7646231333902502</v>
      </c>
      <c r="AL4752">
        <v>81.225755380487996</v>
      </c>
      <c r="AM4752">
        <v>92.981832645500404</v>
      </c>
      <c r="AN4752">
        <v>1.0000000250032199</v>
      </c>
    </row>
    <row r="4753" spans="1:40" x14ac:dyDescent="0.25">
      <c r="A4753" t="str">
        <f>"20190312172507263"</f>
        <v>20190312172507263</v>
      </c>
      <c r="B4753" t="str">
        <f>"1552382707255032"</f>
        <v>1552382707255032</v>
      </c>
      <c r="C4753" t="s">
        <v>40</v>
      </c>
      <c r="D4753">
        <v>4.1301540000000001</v>
      </c>
      <c r="E4753">
        <v>0.48980020000000002</v>
      </c>
      <c r="F4753" t="s">
        <v>43</v>
      </c>
      <c r="G4753">
        <v>-421.69540000000001</v>
      </c>
      <c r="H4753" s="1">
        <v>-2.8447890000000002E-6</v>
      </c>
      <c r="I4753">
        <v>85.168840000000003</v>
      </c>
      <c r="J4753">
        <v>-422.31180000000001</v>
      </c>
      <c r="K4753">
        <v>1.1111799999999901</v>
      </c>
      <c r="L4753">
        <v>94.890320000000003</v>
      </c>
      <c r="M4753">
        <v>-2.7686550000000001E-2</v>
      </c>
      <c r="N4753">
        <v>0</v>
      </c>
      <c r="O4753">
        <v>-0.99952350000000001</v>
      </c>
      <c r="P4753">
        <v>2.3940050000000001E-2</v>
      </c>
      <c r="Q4753">
        <v>0.13849229999999901</v>
      </c>
      <c r="R4753">
        <v>-0.99007449999999997</v>
      </c>
      <c r="S4753">
        <v>0.18673709999999999</v>
      </c>
      <c r="T4753">
        <v>-0.34077249999999998</v>
      </c>
      <c r="U4753">
        <v>-3.0738829999999999</v>
      </c>
      <c r="V4753">
        <v>-5.1669519999999997E-2</v>
      </c>
      <c r="W4753">
        <v>0.15187800000000001</v>
      </c>
      <c r="X4753">
        <v>0.98704780000000003</v>
      </c>
      <c r="Y4753">
        <v>-8.7885539999999998E-2</v>
      </c>
      <c r="Z4753">
        <v>0.1098089</v>
      </c>
      <c r="AA4753">
        <v>0.99005969999999999</v>
      </c>
      <c r="AB4753">
        <v>31</v>
      </c>
      <c r="AC4753">
        <v>0.61639999999999795</v>
      </c>
      <c r="AD4753">
        <v>-1.11118284478899</v>
      </c>
      <c r="AE4753">
        <v>-9.7214799999999801</v>
      </c>
      <c r="AF4753">
        <v>-0.87397035039395199</v>
      </c>
      <c r="AG4753">
        <v>-1.11118284478899</v>
      </c>
      <c r="AH4753">
        <v>9.5760754828359804</v>
      </c>
      <c r="AI4753">
        <v>96.591698746835704</v>
      </c>
      <c r="AJ4753">
        <v>95.214711476926993</v>
      </c>
      <c r="AK4753">
        <v>9.6798643141778307</v>
      </c>
      <c r="AL4753">
        <v>81.264224993663404</v>
      </c>
      <c r="AM4753">
        <v>92.996557743514103</v>
      </c>
      <c r="AN4753">
        <v>1.0000000128329301</v>
      </c>
    </row>
    <row r="4754" spans="1:40" x14ac:dyDescent="0.25">
      <c r="A4754" t="str">
        <f>"20190312172507285"</f>
        <v>20190312172507285</v>
      </c>
      <c r="B4754" t="str">
        <f>"1552382707275528"</f>
        <v>1552382707275528</v>
      </c>
      <c r="C4754" t="s">
        <v>40</v>
      </c>
      <c r="D4754">
        <v>4.1216210000000002</v>
      </c>
      <c r="E4754">
        <v>0.49036819999999998</v>
      </c>
      <c r="F4754" t="s">
        <v>43</v>
      </c>
      <c r="G4754">
        <v>-421.63569999999999</v>
      </c>
      <c r="H4754" s="1">
        <v>-2.3281440000000002E-6</v>
      </c>
      <c r="I4754">
        <v>84.001559999999998</v>
      </c>
      <c r="J4754">
        <v>-422.31900000000002</v>
      </c>
      <c r="K4754">
        <v>1.11117</v>
      </c>
      <c r="L4754">
        <v>94.592619999999997</v>
      </c>
      <c r="M4754">
        <v>-2.6658620000000001E-2</v>
      </c>
      <c r="N4754">
        <v>0</v>
      </c>
      <c r="O4754">
        <v>-0.99955159999999998</v>
      </c>
      <c r="P4754">
        <v>2.581547E-2</v>
      </c>
      <c r="Q4754">
        <v>0.13679569999999999</v>
      </c>
      <c r="R4754">
        <v>-0.99026340000000002</v>
      </c>
      <c r="S4754">
        <v>0.19058230000000001</v>
      </c>
      <c r="T4754">
        <v>-0.31321500000000002</v>
      </c>
      <c r="U4754">
        <v>-3.0692750000000002</v>
      </c>
      <c r="V4754">
        <v>-5.252764E-2</v>
      </c>
      <c r="W4754">
        <v>0.1501806</v>
      </c>
      <c r="X4754">
        <v>0.98726219999999998</v>
      </c>
      <c r="Y4754">
        <v>-8.8243669999999996E-2</v>
      </c>
      <c r="Z4754">
        <v>0.1011726</v>
      </c>
      <c r="AA4754">
        <v>0.99094760000000004</v>
      </c>
      <c r="AB4754">
        <v>31</v>
      </c>
      <c r="AC4754">
        <v>0.68330000000003099</v>
      </c>
      <c r="AD4754">
        <v>-1.111172328144</v>
      </c>
      <c r="AE4754">
        <v>-10.591060000000001</v>
      </c>
      <c r="AF4754">
        <v>-0.95495838278032297</v>
      </c>
      <c r="AG4754">
        <v>-1.111172328144</v>
      </c>
      <c r="AH4754">
        <v>10.454478253487</v>
      </c>
      <c r="AI4754">
        <v>96.042036329947805</v>
      </c>
      <c r="AJ4754">
        <v>95.219166716239002</v>
      </c>
      <c r="AK4754">
        <v>10.556645537684201</v>
      </c>
      <c r="AL4754">
        <v>81.362607340291007</v>
      </c>
      <c r="AM4754">
        <v>93.045570886139998</v>
      </c>
      <c r="AN4754">
        <v>1.0000000085645799</v>
      </c>
    </row>
    <row r="4755" spans="1:40" x14ac:dyDescent="0.25">
      <c r="A4755" t="str">
        <f>"20190312172507307"</f>
        <v>20190312172507307</v>
      </c>
      <c r="B4755" t="str">
        <f>"1552382707305784"</f>
        <v>1552382707305784</v>
      </c>
      <c r="C4755" t="s">
        <v>40</v>
      </c>
      <c r="D4755">
        <v>4.1301889999999997</v>
      </c>
      <c r="E4755">
        <v>0.4911411</v>
      </c>
      <c r="F4755" t="s">
        <v>43</v>
      </c>
      <c r="G4755">
        <v>-421.59820000000002</v>
      </c>
      <c r="H4755" s="1">
        <v>-1.9779609999999999E-6</v>
      </c>
      <c r="I4755">
        <v>83.208550000000002</v>
      </c>
      <c r="J4755">
        <v>-422.32600000000002</v>
      </c>
      <c r="K4755">
        <v>1.1111690000000001</v>
      </c>
      <c r="L4755">
        <v>94.285129999999995</v>
      </c>
      <c r="M4755">
        <v>-2.5597000000000002E-2</v>
      </c>
      <c r="N4755">
        <v>0</v>
      </c>
      <c r="O4755">
        <v>-0.9995792</v>
      </c>
      <c r="P4755">
        <v>2.8242380000000001E-2</v>
      </c>
      <c r="Q4755">
        <v>0.13471559999999999</v>
      </c>
      <c r="R4755">
        <v>-0.99048199999999997</v>
      </c>
      <c r="S4755">
        <v>0.1941223</v>
      </c>
      <c r="T4755">
        <v>-0.29924200000000001</v>
      </c>
      <c r="U4755">
        <v>-3.0657649999999999</v>
      </c>
      <c r="V4755">
        <v>-5.3903800000000002E-2</v>
      </c>
      <c r="W4755">
        <v>0.14809990000000001</v>
      </c>
      <c r="X4755">
        <v>0.98750230000000006</v>
      </c>
      <c r="Y4755">
        <v>-8.8423160000000001E-2</v>
      </c>
      <c r="Z4755">
        <v>9.6811770000000005E-2</v>
      </c>
      <c r="AA4755">
        <v>0.9913672</v>
      </c>
      <c r="AB4755">
        <v>31</v>
      </c>
      <c r="AC4755">
        <v>0.72779999999994505</v>
      </c>
      <c r="AD4755">
        <v>-1.111170977961</v>
      </c>
      <c r="AE4755">
        <v>-11.07658</v>
      </c>
      <c r="AF4755">
        <v>-1.00108397509141</v>
      </c>
      <c r="AG4755">
        <v>-1.111170977961</v>
      </c>
      <c r="AH4755">
        <v>10.9446504143599</v>
      </c>
      <c r="AI4755">
        <v>95.773234071040605</v>
      </c>
      <c r="AJ4755">
        <v>95.226181155515505</v>
      </c>
      <c r="AK4755">
        <v>11.0463678537335</v>
      </c>
      <c r="AL4755">
        <v>81.483170964094597</v>
      </c>
      <c r="AM4755">
        <v>93.124446617591104</v>
      </c>
      <c r="AN4755">
        <v>0.99999999626987002</v>
      </c>
    </row>
    <row r="4756" spans="1:40" x14ac:dyDescent="0.25">
      <c r="A4756" t="str">
        <f>"20190312172507331"</f>
        <v>20190312172507331</v>
      </c>
      <c r="B4756" t="str">
        <f>"1552382707325303"</f>
        <v>1552382707325303</v>
      </c>
      <c r="C4756" t="s">
        <v>40</v>
      </c>
      <c r="D4756">
        <v>4.1631479999999996</v>
      </c>
      <c r="E4756">
        <v>0.4915581</v>
      </c>
      <c r="F4756" t="s">
        <v>43</v>
      </c>
      <c r="G4756">
        <v>-421.5838</v>
      </c>
      <c r="H4756" s="1">
        <v>-1.756891E-6</v>
      </c>
      <c r="I4756">
        <v>82.702129999999997</v>
      </c>
      <c r="J4756">
        <v>-422.33300000000003</v>
      </c>
      <c r="K4756">
        <v>1.1111610000000001</v>
      </c>
      <c r="L4756">
        <v>93.966859999999997</v>
      </c>
      <c r="M4756">
        <v>-2.449751E-2</v>
      </c>
      <c r="N4756">
        <v>0</v>
      </c>
      <c r="O4756">
        <v>-0.99960660000000001</v>
      </c>
      <c r="P4756">
        <v>3.0491279999999999E-2</v>
      </c>
      <c r="Q4756">
        <v>0.1338645</v>
      </c>
      <c r="R4756">
        <v>-0.99053069999999999</v>
      </c>
      <c r="S4756">
        <v>0.19628909999999999</v>
      </c>
      <c r="T4756">
        <v>-0.29385670000000003</v>
      </c>
      <c r="U4756">
        <v>-3.063202</v>
      </c>
      <c r="V4756">
        <v>-5.5062170000000001E-2</v>
      </c>
      <c r="W4756">
        <v>0.1472453</v>
      </c>
      <c r="X4756">
        <v>0.98756619999999995</v>
      </c>
      <c r="Y4756">
        <v>-8.8088449999999999E-2</v>
      </c>
      <c r="Z4756">
        <v>9.5167409999999994E-2</v>
      </c>
      <c r="AA4756">
        <v>0.9915562</v>
      </c>
      <c r="AB4756">
        <v>31</v>
      </c>
      <c r="AC4756">
        <v>0.74920000000002995</v>
      </c>
      <c r="AD4756">
        <v>-1.1111627568910001</v>
      </c>
      <c r="AE4756">
        <v>-11.264729999999901</v>
      </c>
      <c r="AF4756">
        <v>-1.01512500171661</v>
      </c>
      <c r="AG4756">
        <v>-1.1111627568910001</v>
      </c>
      <c r="AH4756">
        <v>11.1351256093727</v>
      </c>
      <c r="AI4756">
        <v>95.675241839425198</v>
      </c>
      <c r="AJ4756">
        <v>95.2089263765249</v>
      </c>
      <c r="AK4756">
        <v>11.236377698258501</v>
      </c>
      <c r="AL4756">
        <v>81.532678845804199</v>
      </c>
      <c r="AM4756">
        <v>93.191246248148403</v>
      </c>
      <c r="AN4756">
        <v>1.0000000101598101</v>
      </c>
    </row>
    <row r="4757" spans="1:40" x14ac:dyDescent="0.25">
      <c r="A4757" t="str">
        <f>"20190312172507352"</f>
        <v>20190312172507352</v>
      </c>
      <c r="B4757" t="str">
        <f>"1552382707345800"</f>
        <v>1552382707345800</v>
      </c>
      <c r="C4757" t="s">
        <v>40</v>
      </c>
      <c r="D4757">
        <v>4.1207200000000004</v>
      </c>
      <c r="E4757">
        <v>0.49195040000000001</v>
      </c>
      <c r="F4757" t="s">
        <v>43</v>
      </c>
      <c r="G4757">
        <v>-421.5625</v>
      </c>
      <c r="H4757" s="1">
        <v>-1.550022E-6</v>
      </c>
      <c r="I4757">
        <v>82.233159999999998</v>
      </c>
      <c r="J4757">
        <v>-422.33940000000001</v>
      </c>
      <c r="K4757">
        <v>1.111156</v>
      </c>
      <c r="L4757">
        <v>93.661159999999995</v>
      </c>
      <c r="M4757">
        <v>-2.344183E-2</v>
      </c>
      <c r="N4757">
        <v>0</v>
      </c>
      <c r="O4757">
        <v>-0.99963210000000002</v>
      </c>
      <c r="P4757">
        <v>3.2130270000000002E-2</v>
      </c>
      <c r="Q4757">
        <v>0.13297590000000001</v>
      </c>
      <c r="R4757">
        <v>-0.99059839999999999</v>
      </c>
      <c r="S4757">
        <v>0.2010498</v>
      </c>
      <c r="T4757">
        <v>-0.28993580000000002</v>
      </c>
      <c r="U4757">
        <v>-3.0616759999999998</v>
      </c>
      <c r="V4757">
        <v>-5.5655389999999999E-2</v>
      </c>
      <c r="W4757">
        <v>0.14635529999999999</v>
      </c>
      <c r="X4757">
        <v>0.98766520000000002</v>
      </c>
      <c r="Y4757">
        <v>-8.8610960000000003E-2</v>
      </c>
      <c r="Z4757">
        <v>9.3951930000000003E-2</v>
      </c>
      <c r="AA4757">
        <v>0.99162550000000005</v>
      </c>
      <c r="AB4757">
        <v>31</v>
      </c>
      <c r="AC4757">
        <v>0.77690000000001103</v>
      </c>
      <c r="AD4757">
        <v>-1.1111575500219999</v>
      </c>
      <c r="AE4757">
        <v>-11.4279999999999</v>
      </c>
      <c r="AF4757">
        <v>-1.0348661308257501</v>
      </c>
      <c r="AG4757">
        <v>-1.1111575500219999</v>
      </c>
      <c r="AH4757">
        <v>11.3003049296622</v>
      </c>
      <c r="AI4757">
        <v>95.592580542499405</v>
      </c>
      <c r="AJ4757">
        <v>95.232472353987603</v>
      </c>
      <c r="AK4757">
        <v>11.4018643437399</v>
      </c>
      <c r="AL4757">
        <v>81.584230269484195</v>
      </c>
      <c r="AM4757">
        <v>93.225232739477605</v>
      </c>
      <c r="AN4757">
        <v>0.99999997178259004</v>
      </c>
    </row>
    <row r="4758" spans="1:40" x14ac:dyDescent="0.25">
      <c r="A4758" t="str">
        <f>"20190312172507374"</f>
        <v>20190312172507374</v>
      </c>
      <c r="B4758" t="str">
        <f>"1552382707365323"</f>
        <v>1552382707365323</v>
      </c>
      <c r="C4758" t="s">
        <v>40</v>
      </c>
      <c r="D4758">
        <v>4.1315999999999997</v>
      </c>
      <c r="E4758">
        <v>0.49237779999999998</v>
      </c>
      <c r="F4758" t="s">
        <v>43</v>
      </c>
      <c r="G4758">
        <v>-421.54899999999998</v>
      </c>
      <c r="H4758" s="1">
        <v>-1.3668810000000001E-6</v>
      </c>
      <c r="I4758">
        <v>81.814580000000007</v>
      </c>
      <c r="J4758">
        <v>-422.34530000000001</v>
      </c>
      <c r="K4758">
        <v>1.111148</v>
      </c>
      <c r="L4758">
        <v>93.360749999999996</v>
      </c>
      <c r="M4758">
        <v>-2.2405169999999999E-2</v>
      </c>
      <c r="N4758">
        <v>0</v>
      </c>
      <c r="O4758">
        <v>-0.99965590000000004</v>
      </c>
      <c r="P4758">
        <v>3.3478870000000001E-2</v>
      </c>
      <c r="Q4758">
        <v>0.13229560000000001</v>
      </c>
      <c r="R4758">
        <v>-0.99064509999999995</v>
      </c>
      <c r="S4758">
        <v>0.2041626</v>
      </c>
      <c r="T4758">
        <v>-0.28705120000000001</v>
      </c>
      <c r="U4758">
        <v>-3.0603940000000001</v>
      </c>
      <c r="V4758">
        <v>-5.5976150000000002E-2</v>
      </c>
      <c r="W4758">
        <v>0.14567359999999999</v>
      </c>
      <c r="X4758">
        <v>0.98774779999999995</v>
      </c>
      <c r="Y4758">
        <v>-8.8614970000000001E-2</v>
      </c>
      <c r="Z4758">
        <v>9.3064129999999995E-2</v>
      </c>
      <c r="AA4758">
        <v>0.9917089</v>
      </c>
      <c r="AB4758">
        <v>31</v>
      </c>
      <c r="AC4758">
        <v>0.79629999999997303</v>
      </c>
      <c r="AD4758">
        <v>-1.111149366881</v>
      </c>
      <c r="AE4758">
        <v>-11.546169999999901</v>
      </c>
      <c r="AF4758">
        <v>-1.04518416928824</v>
      </c>
      <c r="AG4758">
        <v>-1.111149366881</v>
      </c>
      <c r="AH4758">
        <v>11.420163993012</v>
      </c>
      <c r="AI4758">
        <v>95.534238837211404</v>
      </c>
      <c r="AJ4758">
        <v>95.229196136624395</v>
      </c>
      <c r="AK4758">
        <v>11.521597479973799</v>
      </c>
      <c r="AL4758">
        <v>81.623711528878999</v>
      </c>
      <c r="AM4758">
        <v>93.243510537041601</v>
      </c>
      <c r="AN4758">
        <v>0.99999992175530805</v>
      </c>
    </row>
    <row r="4759" spans="1:40" x14ac:dyDescent="0.25">
      <c r="A4759" t="str">
        <f>"20190312172507396"</f>
        <v>20190312172507396</v>
      </c>
      <c r="B4759" t="str">
        <f>"1552382707384840"</f>
        <v>1552382707384840</v>
      </c>
      <c r="C4759" t="s">
        <v>40</v>
      </c>
      <c r="D4759">
        <v>4.1563780000000001</v>
      </c>
      <c r="E4759">
        <v>0.49282130000000002</v>
      </c>
      <c r="F4759" t="s">
        <v>43</v>
      </c>
      <c r="G4759">
        <v>-421.5419</v>
      </c>
      <c r="H4759" s="1">
        <v>-1.1926429999999999E-6</v>
      </c>
      <c r="I4759">
        <v>81.412869999999998</v>
      </c>
      <c r="J4759">
        <v>-422.351</v>
      </c>
      <c r="K4759">
        <v>1.1111489999999999</v>
      </c>
      <c r="L4759">
        <v>93.055999999999997</v>
      </c>
      <c r="M4759">
        <v>-2.135316E-2</v>
      </c>
      <c r="N4759">
        <v>0</v>
      </c>
      <c r="O4759">
        <v>-0.99967879999999998</v>
      </c>
      <c r="P4759">
        <v>3.509632E-2</v>
      </c>
      <c r="Q4759">
        <v>0.1321717</v>
      </c>
      <c r="R4759">
        <v>-0.99060559999999998</v>
      </c>
      <c r="S4759">
        <v>0.20571900000000001</v>
      </c>
      <c r="T4759">
        <v>-0.2845222</v>
      </c>
      <c r="U4759">
        <v>-3.0593870000000001</v>
      </c>
      <c r="V4759">
        <v>-5.654994E-2</v>
      </c>
      <c r="W4759">
        <v>0.14554719999999999</v>
      </c>
      <c r="X4759">
        <v>0.9877338</v>
      </c>
      <c r="Y4759">
        <v>-8.8095580000000007E-2</v>
      </c>
      <c r="Z4759">
        <v>9.2285039999999999E-2</v>
      </c>
      <c r="AA4759">
        <v>0.99182789999999998</v>
      </c>
      <c r="AB4759">
        <v>31</v>
      </c>
      <c r="AC4759">
        <v>0.80910000000000004</v>
      </c>
      <c r="AD4759">
        <v>-1.1111501926430001</v>
      </c>
      <c r="AE4759">
        <v>-11.643129999999999</v>
      </c>
      <c r="AF4759">
        <v>-1.04805681712614</v>
      </c>
      <c r="AG4759">
        <v>-1.1111501926430001</v>
      </c>
      <c r="AH4759">
        <v>11.5187914947098</v>
      </c>
      <c r="AI4759">
        <v>95.487411132328504</v>
      </c>
      <c r="AJ4759">
        <v>95.198839057854599</v>
      </c>
      <c r="AK4759">
        <v>11.619622857095401</v>
      </c>
      <c r="AL4759">
        <v>81.631032153151907</v>
      </c>
      <c r="AM4759">
        <v>93.276732779322302</v>
      </c>
      <c r="AN4759">
        <v>0.99999997140214103</v>
      </c>
    </row>
    <row r="4760" spans="1:40" x14ac:dyDescent="0.25">
      <c r="A4760" t="str">
        <f>"20190312172507419"</f>
        <v>20190312172507419</v>
      </c>
      <c r="B4760" t="str">
        <f>"1552382707415096"</f>
        <v>1552382707415096</v>
      </c>
      <c r="C4760" t="s">
        <v>40</v>
      </c>
      <c r="D4760">
        <v>4.1015160000000002</v>
      </c>
      <c r="E4760">
        <v>0.49344749999999998</v>
      </c>
      <c r="F4760" t="s">
        <v>43</v>
      </c>
      <c r="G4760">
        <v>-421.53129999999999</v>
      </c>
      <c r="H4760" s="1">
        <v>-1.0037790000000001E-6</v>
      </c>
      <c r="I4760">
        <v>80.979190000000003</v>
      </c>
      <c r="J4760">
        <v>-422.35649999999998</v>
      </c>
      <c r="K4760">
        <v>1.111148</v>
      </c>
      <c r="L4760">
        <v>92.744200000000006</v>
      </c>
      <c r="M4760">
        <v>-2.0276990000000002E-2</v>
      </c>
      <c r="N4760">
        <v>0</v>
      </c>
      <c r="O4760">
        <v>-0.99970139999999996</v>
      </c>
      <c r="P4760">
        <v>3.5622870000000001E-2</v>
      </c>
      <c r="Q4760">
        <v>0.13308619999999999</v>
      </c>
      <c r="R4760">
        <v>-0.99046440000000002</v>
      </c>
      <c r="S4760">
        <v>0.20761109999999999</v>
      </c>
      <c r="T4760">
        <v>-0.28141749999999999</v>
      </c>
      <c r="U4760">
        <v>-3.0586549999999999</v>
      </c>
      <c r="V4760">
        <v>-5.6009620000000003E-2</v>
      </c>
      <c r="W4760">
        <v>0.14645949999999999</v>
      </c>
      <c r="X4760">
        <v>0.9876298</v>
      </c>
      <c r="Y4760">
        <v>-8.7656040000000005E-2</v>
      </c>
      <c r="Z4760">
        <v>9.1311110000000001E-2</v>
      </c>
      <c r="AA4760">
        <v>0.99195699999999998</v>
      </c>
      <c r="AB4760">
        <v>31</v>
      </c>
      <c r="AC4760">
        <v>0.82519999999999505</v>
      </c>
      <c r="AD4760">
        <v>-1.1111490037789999</v>
      </c>
      <c r="AE4760">
        <v>-11.76501</v>
      </c>
      <c r="AF4760">
        <v>-1.05425368099473</v>
      </c>
      <c r="AG4760">
        <v>-1.1111490037789999</v>
      </c>
      <c r="AH4760">
        <v>11.6425148764006</v>
      </c>
      <c r="AI4760">
        <v>95.429652917096504</v>
      </c>
      <c r="AJ4760">
        <v>95.174139446019495</v>
      </c>
      <c r="AK4760">
        <v>11.742838480525</v>
      </c>
      <c r="AL4760">
        <v>81.5781956133401</v>
      </c>
      <c r="AM4760">
        <v>93.245832725490899</v>
      </c>
      <c r="AN4760">
        <v>1.0000000422604101</v>
      </c>
    </row>
    <row r="4761" spans="1:40" x14ac:dyDescent="0.25">
      <c r="A4761" t="str">
        <f>"20190312172507443"</f>
        <v>20190312172507443</v>
      </c>
      <c r="B4761" t="str">
        <f>"1552382707435591"</f>
        <v>1552382707435591</v>
      </c>
      <c r="C4761" t="s">
        <v>40</v>
      </c>
      <c r="D4761">
        <v>4.1466580000000004</v>
      </c>
      <c r="E4761">
        <v>0.49387029999999899</v>
      </c>
      <c r="F4761" t="s">
        <v>43</v>
      </c>
      <c r="G4761">
        <v>-421.52530000000002</v>
      </c>
      <c r="H4761" s="1">
        <v>-7.2656739999999997E-7</v>
      </c>
      <c r="I4761">
        <v>80.336740000000006</v>
      </c>
      <c r="J4761">
        <v>-422.36180000000002</v>
      </c>
      <c r="K4761">
        <v>1.111145</v>
      </c>
      <c r="L4761">
        <v>92.428439999999995</v>
      </c>
      <c r="M4761">
        <v>-1.918715E-2</v>
      </c>
      <c r="N4761">
        <v>0</v>
      </c>
      <c r="O4761">
        <v>-0.99972309999999998</v>
      </c>
      <c r="P4761">
        <v>3.5634220000000001E-2</v>
      </c>
      <c r="Q4761">
        <v>0.1336271</v>
      </c>
      <c r="R4761">
        <v>-0.99039089999999996</v>
      </c>
      <c r="S4761">
        <v>0.20489499999999999</v>
      </c>
      <c r="T4761">
        <v>-0.27389010000000003</v>
      </c>
      <c r="U4761">
        <v>-3.0583499999999999</v>
      </c>
      <c r="V4761">
        <v>-5.494127E-2</v>
      </c>
      <c r="W4761">
        <v>0.14700150000000001</v>
      </c>
      <c r="X4761">
        <v>0.98760930000000002</v>
      </c>
      <c r="Y4761">
        <v>-8.5714250000000006E-2</v>
      </c>
      <c r="Z4761">
        <v>8.8910210000000003E-2</v>
      </c>
      <c r="AA4761">
        <v>0.99234469999999997</v>
      </c>
      <c r="AB4761">
        <v>31</v>
      </c>
      <c r="AC4761">
        <v>0.83650000000000002</v>
      </c>
      <c r="AD4761">
        <v>-1.1111457265673901</v>
      </c>
      <c r="AE4761">
        <v>-12.091699999999999</v>
      </c>
      <c r="AF4761">
        <v>-1.0594688365299401</v>
      </c>
      <c r="AG4761">
        <v>-1.1111457265673901</v>
      </c>
      <c r="AH4761">
        <v>11.9728008633054</v>
      </c>
      <c r="AI4761">
        <v>95.2816736119251</v>
      </c>
      <c r="AJ4761">
        <v>95.056911103892801</v>
      </c>
      <c r="AK4761">
        <v>12.0708359094809</v>
      </c>
      <c r="AL4761">
        <v>81.546801631661197</v>
      </c>
      <c r="AM4761">
        <v>93.184114987008797</v>
      </c>
      <c r="AN4761">
        <v>1.00000005679897</v>
      </c>
    </row>
    <row r="4762" spans="1:40" x14ac:dyDescent="0.25">
      <c r="A4762" t="str">
        <f>"20190312172507464"</f>
        <v>20190312172507464</v>
      </c>
      <c r="B4762" t="str">
        <f>"1552382707455112"</f>
        <v>1552382707455112</v>
      </c>
      <c r="C4762" t="s">
        <v>40</v>
      </c>
      <c r="D4762">
        <v>4.1181939999999999</v>
      </c>
      <c r="E4762">
        <v>0.49422290000000002</v>
      </c>
      <c r="F4762" t="s">
        <v>43</v>
      </c>
      <c r="G4762">
        <v>-421.53039999999999</v>
      </c>
      <c r="H4762" s="1">
        <v>-5.1794909999999997E-7</v>
      </c>
      <c r="I4762">
        <v>79.847259999999906</v>
      </c>
      <c r="J4762">
        <v>-422.3664</v>
      </c>
      <c r="K4762">
        <v>1.1111489999999999</v>
      </c>
      <c r="L4762">
        <v>92.127809999999997</v>
      </c>
      <c r="M4762">
        <v>-1.8149499999999999E-2</v>
      </c>
      <c r="N4762">
        <v>0</v>
      </c>
      <c r="O4762">
        <v>-0.99974229999999997</v>
      </c>
      <c r="P4762">
        <v>3.5297540000000002E-2</v>
      </c>
      <c r="Q4762">
        <v>0.13394239999999999</v>
      </c>
      <c r="R4762">
        <v>-0.99036060000000004</v>
      </c>
      <c r="S4762">
        <v>0.2020874</v>
      </c>
      <c r="T4762">
        <v>-0.270099599999999</v>
      </c>
      <c r="U4762">
        <v>-3.0582579999999999</v>
      </c>
      <c r="V4762">
        <v>-5.3576730000000003E-2</v>
      </c>
      <c r="W4762">
        <v>0.14731839999999999</v>
      </c>
      <c r="X4762">
        <v>0.98763699999999999</v>
      </c>
      <c r="Y4762">
        <v>-8.3782049999999997E-2</v>
      </c>
      <c r="Z4762">
        <v>8.7704329999999997E-2</v>
      </c>
      <c r="AA4762">
        <v>0.99261699999999997</v>
      </c>
      <c r="AB4762">
        <v>31</v>
      </c>
      <c r="AC4762">
        <v>0.83600000000001196</v>
      </c>
      <c r="AD4762">
        <v>-1.1111495179491</v>
      </c>
      <c r="AE4762">
        <v>-12.28055</v>
      </c>
      <c r="AF4762">
        <v>-1.0502107279056301</v>
      </c>
      <c r="AG4762">
        <v>-1.1111495179491</v>
      </c>
      <c r="AH4762">
        <v>12.1642268126826</v>
      </c>
      <c r="AI4762">
        <v>95.199999824701905</v>
      </c>
      <c r="AJ4762">
        <v>94.934452577802602</v>
      </c>
      <c r="AK4762">
        <v>12.2599351456129</v>
      </c>
      <c r="AL4762">
        <v>81.528444347105406</v>
      </c>
      <c r="AM4762">
        <v>93.105103033422594</v>
      </c>
      <c r="AN4762">
        <v>1.00000001037252</v>
      </c>
    </row>
    <row r="4763" spans="1:40" x14ac:dyDescent="0.25">
      <c r="A4763" t="str">
        <f>"20190312172507486"</f>
        <v>20190312172507486</v>
      </c>
      <c r="B4763" t="str">
        <f>"1552382707475608"</f>
        <v>1552382707475608</v>
      </c>
      <c r="C4763" t="s">
        <v>40</v>
      </c>
      <c r="D4763">
        <v>4.1139260000000002</v>
      </c>
      <c r="E4763">
        <v>0.49452960000000001</v>
      </c>
      <c r="F4763" t="s">
        <v>43</v>
      </c>
      <c r="G4763">
        <v>-421.54109999999997</v>
      </c>
      <c r="H4763" s="1">
        <v>-4.5035509999999997E-6</v>
      </c>
      <c r="I4763">
        <v>79.417379999999994</v>
      </c>
      <c r="J4763">
        <v>-422.3707</v>
      </c>
      <c r="K4763">
        <v>1.111148</v>
      </c>
      <c r="L4763">
        <v>91.832089999999994</v>
      </c>
      <c r="M4763">
        <v>-1.7128830000000001E-2</v>
      </c>
      <c r="N4763">
        <v>0</v>
      </c>
      <c r="O4763">
        <v>-0.99976019999999999</v>
      </c>
      <c r="P4763">
        <v>3.5143639999999997E-2</v>
      </c>
      <c r="Q4763">
        <v>0.1340421</v>
      </c>
      <c r="R4763">
        <v>-0.99035249999999997</v>
      </c>
      <c r="S4763">
        <v>0.1985779</v>
      </c>
      <c r="T4763">
        <v>-0.26735750000000003</v>
      </c>
      <c r="U4763">
        <v>-3.0582889999999998</v>
      </c>
      <c r="V4763">
        <v>-5.2412199999999999E-2</v>
      </c>
      <c r="W4763">
        <v>0.14741979999999999</v>
      </c>
      <c r="X4763">
        <v>0.98768440000000002</v>
      </c>
      <c r="Y4763">
        <v>-8.1634650000000003E-2</v>
      </c>
      <c r="Z4763">
        <v>8.6833160000000006E-2</v>
      </c>
      <c r="AA4763">
        <v>0.99287250000000005</v>
      </c>
      <c r="AB4763">
        <v>31</v>
      </c>
      <c r="AC4763">
        <v>0.82960000000002698</v>
      </c>
      <c r="AD4763">
        <v>-1.1111525035509999</v>
      </c>
      <c r="AE4763">
        <v>-12.414709999999999</v>
      </c>
      <c r="AF4763">
        <v>-1.0339019896136401</v>
      </c>
      <c r="AG4763">
        <v>-1.1111525035509999</v>
      </c>
      <c r="AH4763">
        <v>12.300577882835199</v>
      </c>
      <c r="AI4763">
        <v>95.1436704815181</v>
      </c>
      <c r="AJ4763">
        <v>94.804595751973693</v>
      </c>
      <c r="AK4763">
        <v>12.393862572336699</v>
      </c>
      <c r="AL4763">
        <v>81.522570802787399</v>
      </c>
      <c r="AM4763">
        <v>93.037593609532394</v>
      </c>
      <c r="AN4763">
        <v>1.00000005507211</v>
      </c>
    </row>
    <row r="4764" spans="1:40" x14ac:dyDescent="0.25">
      <c r="A4764" t="str">
        <f>"20190312172507508"</f>
        <v>20190312172507508</v>
      </c>
      <c r="B4764" t="str">
        <f>"1552382707504888"</f>
        <v>1552382707504888</v>
      </c>
      <c r="C4764" t="s">
        <v>40</v>
      </c>
      <c r="D4764">
        <v>4.1370870000000002</v>
      </c>
      <c r="E4764">
        <v>0.49493290000000001</v>
      </c>
      <c r="F4764" t="s">
        <v>43</v>
      </c>
      <c r="G4764">
        <v>-421.54820000000001</v>
      </c>
      <c r="H4764" s="1">
        <v>-4.3707639999999996E-6</v>
      </c>
      <c r="I4764">
        <v>79.023499999999999</v>
      </c>
      <c r="J4764">
        <v>-422.37470000000002</v>
      </c>
      <c r="K4764">
        <v>1.1111489999999999</v>
      </c>
      <c r="L4764">
        <v>91.529420000000002</v>
      </c>
      <c r="M4764">
        <v>-1.6084279999999999E-2</v>
      </c>
      <c r="N4764">
        <v>0</v>
      </c>
      <c r="O4764">
        <v>-0.99977760000000004</v>
      </c>
      <c r="P4764">
        <v>3.4803519999999998E-2</v>
      </c>
      <c r="Q4764">
        <v>0.13383599999999901</v>
      </c>
      <c r="R4764">
        <v>-0.99039200000000005</v>
      </c>
      <c r="S4764">
        <v>0.19638059999999999</v>
      </c>
      <c r="T4764">
        <v>-0.26529750000000002</v>
      </c>
      <c r="U4764">
        <v>-3.0581670000000001</v>
      </c>
      <c r="V4764">
        <v>-5.1038029999999998E-2</v>
      </c>
      <c r="W4764">
        <v>0.14721609999999999</v>
      </c>
      <c r="X4764">
        <v>0.98778670000000002</v>
      </c>
      <c r="Y4764">
        <v>-7.988903E-2</v>
      </c>
      <c r="Z4764">
        <v>8.6182880000000003E-2</v>
      </c>
      <c r="AA4764">
        <v>0.99307109999999998</v>
      </c>
      <c r="AB4764">
        <v>31</v>
      </c>
      <c r="AC4764">
        <v>0.82650000000001</v>
      </c>
      <c r="AD4764">
        <v>-1.111153370764</v>
      </c>
      <c r="AE4764">
        <v>-12.50592</v>
      </c>
      <c r="AF4764">
        <v>-1.0195468322427299</v>
      </c>
      <c r="AG4764">
        <v>-1.111153370764</v>
      </c>
      <c r="AH4764">
        <v>12.393593070946</v>
      </c>
      <c r="AI4764">
        <v>95.106025848741993</v>
      </c>
      <c r="AJ4764">
        <v>94.702791921685005</v>
      </c>
      <c r="AK4764">
        <v>12.4850024735559</v>
      </c>
      <c r="AL4764">
        <v>81.534370337132302</v>
      </c>
      <c r="AM4764">
        <v>92.9577899539143</v>
      </c>
      <c r="AN4764">
        <v>1.0000000126511901</v>
      </c>
    </row>
    <row r="4765" spans="1:40" x14ac:dyDescent="0.25">
      <c r="A4765" t="str">
        <f>"20190312172507532"</f>
        <v>20190312172507532</v>
      </c>
      <c r="B4765" t="str">
        <f>"1552382707525387"</f>
        <v>1552382707525387</v>
      </c>
      <c r="C4765" t="s">
        <v>40</v>
      </c>
      <c r="D4765">
        <v>4.1408860000000001</v>
      </c>
      <c r="E4765">
        <v>0.49518780000000001</v>
      </c>
      <c r="F4765" t="s">
        <v>43</v>
      </c>
      <c r="G4765">
        <v>-421.56229999999999</v>
      </c>
      <c r="H4765" s="1">
        <v>-4.2428749999999996E-6</v>
      </c>
      <c r="I4765">
        <v>78.640339999999995</v>
      </c>
      <c r="J4765">
        <v>-422.37860000000001</v>
      </c>
      <c r="K4765">
        <v>1.1111500000000001</v>
      </c>
      <c r="L4765">
        <v>91.213840000000005</v>
      </c>
      <c r="M4765">
        <v>-1.499468E-2</v>
      </c>
      <c r="N4765">
        <v>0</v>
      </c>
      <c r="O4765">
        <v>-0.99979470000000004</v>
      </c>
      <c r="P4765">
        <v>3.470289E-2</v>
      </c>
      <c r="Q4765">
        <v>0.1338239</v>
      </c>
      <c r="R4765">
        <v>-0.99039770000000005</v>
      </c>
      <c r="S4765">
        <v>0.192749</v>
      </c>
      <c r="T4765">
        <v>-0.26362259999999998</v>
      </c>
      <c r="U4765">
        <v>-3.0579529999999999</v>
      </c>
      <c r="V4765">
        <v>-4.9858180000000002E-2</v>
      </c>
      <c r="W4765">
        <v>0.14720569999999999</v>
      </c>
      <c r="X4765">
        <v>0.98784850000000002</v>
      </c>
      <c r="Y4765">
        <v>-7.7635159999999995E-2</v>
      </c>
      <c r="Z4765">
        <v>8.5661749999999995E-2</v>
      </c>
      <c r="AA4765">
        <v>0.99329500000000004</v>
      </c>
      <c r="AB4765">
        <v>31</v>
      </c>
      <c r="AC4765">
        <v>0.81630000000001202</v>
      </c>
      <c r="AD4765">
        <v>-1.1111542428749901</v>
      </c>
      <c r="AE4765">
        <v>-12.5734999999999</v>
      </c>
      <c r="AF4765">
        <v>-0.99700764278309295</v>
      </c>
      <c r="AG4765">
        <v>-1.1111542428749901</v>
      </c>
      <c r="AH4765">
        <v>12.462921252965799</v>
      </c>
      <c r="AI4765">
        <v>95.078697831333201</v>
      </c>
      <c r="AJ4765">
        <v>94.573802227770003</v>
      </c>
      <c r="AK4765">
        <v>12.5520155412927</v>
      </c>
      <c r="AL4765">
        <v>81.534972733567301</v>
      </c>
      <c r="AM4765">
        <v>92.889351280853205</v>
      </c>
      <c r="AN4765">
        <v>1.00000000758882</v>
      </c>
    </row>
    <row r="4766" spans="1:40" x14ac:dyDescent="0.25">
      <c r="A4766" t="str">
        <f>"20190312172507553"</f>
        <v>20190312172507553</v>
      </c>
      <c r="B4766" t="str">
        <f>"1552382707544904"</f>
        <v>1552382707544904</v>
      </c>
      <c r="C4766" t="s">
        <v>40</v>
      </c>
      <c r="D4766">
        <v>4.1199149999999998</v>
      </c>
      <c r="E4766">
        <v>0.49540840000000003</v>
      </c>
      <c r="F4766" t="s">
        <v>43</v>
      </c>
      <c r="G4766">
        <v>-421.56970000000001</v>
      </c>
      <c r="H4766" s="1">
        <v>-4.117309E-6</v>
      </c>
      <c r="I4766">
        <v>78.26746</v>
      </c>
      <c r="J4766">
        <v>-422.38189999999997</v>
      </c>
      <c r="K4766">
        <v>1.111146</v>
      </c>
      <c r="L4766">
        <v>90.912779999999998</v>
      </c>
      <c r="M4766">
        <v>-1.3954940000000001E-2</v>
      </c>
      <c r="N4766">
        <v>0</v>
      </c>
      <c r="O4766">
        <v>-0.99980999999999998</v>
      </c>
      <c r="P4766">
        <v>3.484835E-2</v>
      </c>
      <c r="Q4766">
        <v>0.13367860000000001</v>
      </c>
      <c r="R4766">
        <v>-0.99041219999999996</v>
      </c>
      <c r="S4766">
        <v>0.19103999999999999</v>
      </c>
      <c r="T4766">
        <v>-0.26244830000000002</v>
      </c>
      <c r="U4766">
        <v>-3.0578609999999999</v>
      </c>
      <c r="V4766">
        <v>-4.8973660000000002E-2</v>
      </c>
      <c r="W4766">
        <v>0.1470619</v>
      </c>
      <c r="X4766">
        <v>0.98791410000000002</v>
      </c>
      <c r="Y4766">
        <v>-7.6049179999999994E-2</v>
      </c>
      <c r="Z4766">
        <v>8.5294129999999996E-2</v>
      </c>
      <c r="AA4766">
        <v>0.99344929999999998</v>
      </c>
      <c r="AB4766">
        <v>31</v>
      </c>
      <c r="AC4766">
        <v>0.81219999999996095</v>
      </c>
      <c r="AD4766">
        <v>-1.1111501173089999</v>
      </c>
      <c r="AE4766">
        <v>-12.6453199999999</v>
      </c>
      <c r="AF4766">
        <v>-0.98105808217847001</v>
      </c>
      <c r="AG4766">
        <v>-1.1111501173089999</v>
      </c>
      <c r="AH4766">
        <v>12.5363549326875</v>
      </c>
      <c r="AI4766">
        <v>95.049771791775797</v>
      </c>
      <c r="AJ4766">
        <v>94.474678663610007</v>
      </c>
      <c r="AK4766">
        <v>12.6236811010941</v>
      </c>
      <c r="AL4766">
        <v>81.543301993218805</v>
      </c>
      <c r="AM4766">
        <v>92.837988521227501</v>
      </c>
      <c r="AN4766">
        <v>0.99999994539210602</v>
      </c>
    </row>
    <row r="4767" spans="1:40" x14ac:dyDescent="0.25">
      <c r="A4767" t="str">
        <f>"20190312172507576"</f>
        <v>20190312172507576</v>
      </c>
      <c r="B4767" t="str">
        <f>"1552382707565400"</f>
        <v>1552382707565400</v>
      </c>
      <c r="C4767" t="s">
        <v>40</v>
      </c>
      <c r="D4767">
        <v>4.0461510000000001</v>
      </c>
      <c r="E4767">
        <v>0.49569760000000002</v>
      </c>
      <c r="F4767" t="s">
        <v>43</v>
      </c>
      <c r="G4767">
        <v>-421.57560000000001</v>
      </c>
      <c r="H4767" s="1">
        <v>-4.0051750000000002E-6</v>
      </c>
      <c r="I4767">
        <v>77.948070000000001</v>
      </c>
      <c r="J4767">
        <v>-422.38499999999999</v>
      </c>
      <c r="K4767">
        <v>1.1111420000000001</v>
      </c>
      <c r="L4767">
        <v>90.615110000000001</v>
      </c>
      <c r="M4767">
        <v>-1.2926760000000001E-2</v>
      </c>
      <c r="N4767">
        <v>0</v>
      </c>
      <c r="O4767">
        <v>-0.99982369999999998</v>
      </c>
      <c r="P4767">
        <v>3.5046689999999998E-2</v>
      </c>
      <c r="Q4767">
        <v>0.13291810000000001</v>
      </c>
      <c r="R4767">
        <v>-0.99050769999999999</v>
      </c>
      <c r="S4767">
        <v>0.19018550000000001</v>
      </c>
      <c r="T4767">
        <v>-0.26206580000000002</v>
      </c>
      <c r="U4767">
        <v>-3.0577390000000002</v>
      </c>
      <c r="V4767">
        <v>-4.8153319999999999E-2</v>
      </c>
      <c r="W4767">
        <v>0.14630379999999901</v>
      </c>
      <c r="X4767">
        <v>0.98806700000000003</v>
      </c>
      <c r="Y4767">
        <v>-7.4750259999999999E-2</v>
      </c>
      <c r="Z4767">
        <v>8.5180770000000003E-2</v>
      </c>
      <c r="AA4767">
        <v>0.99355760000000004</v>
      </c>
      <c r="AB4767">
        <v>31</v>
      </c>
      <c r="AC4767">
        <v>0.80939999999998202</v>
      </c>
      <c r="AD4767">
        <v>-1.111146005175</v>
      </c>
      <c r="AE4767">
        <v>-12.66704</v>
      </c>
      <c r="AF4767">
        <v>-0.96569084133501504</v>
      </c>
      <c r="AG4767">
        <v>-1.111146005175</v>
      </c>
      <c r="AH4767">
        <v>12.5592706219087</v>
      </c>
      <c r="AI4767">
        <v>95.041115281484295</v>
      </c>
      <c r="AJ4767">
        <v>94.396859984831707</v>
      </c>
      <c r="AK4767">
        <v>12.645255347370099</v>
      </c>
      <c r="AL4767">
        <v>81.587213097291894</v>
      </c>
      <c r="AM4767">
        <v>92.790095042219306</v>
      </c>
      <c r="AN4767">
        <v>0.99999997030523002</v>
      </c>
    </row>
    <row r="4768" spans="1:40" x14ac:dyDescent="0.25">
      <c r="A4768" t="str">
        <f>"20190312172507598"</f>
        <v>20190312172507598</v>
      </c>
      <c r="B4768" t="str">
        <f>"1552382707595656"</f>
        <v>1552382707595656</v>
      </c>
      <c r="C4768" t="s">
        <v>40</v>
      </c>
      <c r="D4768">
        <v>4.0584280000000001</v>
      </c>
      <c r="E4768">
        <v>0.49592079999999999</v>
      </c>
      <c r="F4768" t="s">
        <v>43</v>
      </c>
      <c r="G4768">
        <v>-421.59789999999998</v>
      </c>
      <c r="H4768" s="1">
        <v>-3.9569439999999997E-6</v>
      </c>
      <c r="I4768">
        <v>77.821749999999994</v>
      </c>
      <c r="J4768">
        <v>-422.38780000000003</v>
      </c>
      <c r="K4768">
        <v>1.111135</v>
      </c>
      <c r="L4768">
        <v>90.314419999999998</v>
      </c>
      <c r="M4768">
        <v>-1.1889759999999999E-2</v>
      </c>
      <c r="N4768">
        <v>0</v>
      </c>
      <c r="O4768">
        <v>-0.99983659999999996</v>
      </c>
      <c r="P4768">
        <v>3.5209329999999997E-2</v>
      </c>
      <c r="Q4768">
        <v>0.13252349999999999</v>
      </c>
      <c r="R4768">
        <v>-0.99055470000000001</v>
      </c>
      <c r="S4768">
        <v>0.18811040000000001</v>
      </c>
      <c r="T4768">
        <v>-0.2655748</v>
      </c>
      <c r="U4768">
        <v>-3.0577390000000002</v>
      </c>
      <c r="V4768">
        <v>-4.7287750000000003E-2</v>
      </c>
      <c r="W4768">
        <v>0.14591089999999901</v>
      </c>
      <c r="X4768">
        <v>0.98816689999999996</v>
      </c>
      <c r="Y4768">
        <v>-7.3038149999999996E-2</v>
      </c>
      <c r="Z4768">
        <v>8.6321819999999994E-2</v>
      </c>
      <c r="AA4768">
        <v>0.99358639999999998</v>
      </c>
      <c r="AB4768">
        <v>31</v>
      </c>
      <c r="AC4768">
        <v>0.78990000000004501</v>
      </c>
      <c r="AD4768">
        <v>-1.111138956944</v>
      </c>
      <c r="AE4768">
        <v>-12.49267</v>
      </c>
      <c r="AF4768">
        <v>-0.93105660300909499</v>
      </c>
      <c r="AG4768">
        <v>-1.111138956944</v>
      </c>
      <c r="AH4768">
        <v>12.3848092679644</v>
      </c>
      <c r="AI4768">
        <v>95.112380811949805</v>
      </c>
      <c r="AJ4768">
        <v>94.299255288350494</v>
      </c>
      <c r="AK4768">
        <v>12.469362324654</v>
      </c>
      <c r="AL4768">
        <v>81.609968822883104</v>
      </c>
      <c r="AM4768">
        <v>92.739742813056594</v>
      </c>
      <c r="AN4768">
        <v>0.99999997214724001</v>
      </c>
    </row>
    <row r="4769" spans="1:40" x14ac:dyDescent="0.25">
      <c r="A4769" t="str">
        <f>"20190312172507612"</f>
        <v>20190312172507612</v>
      </c>
      <c r="B4769" t="str">
        <f>"1552382707605417"</f>
        <v>1552382707605417</v>
      </c>
      <c r="C4769" t="s">
        <v>40</v>
      </c>
      <c r="D4769">
        <v>4.071167</v>
      </c>
      <c r="E4769">
        <v>0.49598690000000001</v>
      </c>
      <c r="F4769" t="s">
        <v>43</v>
      </c>
      <c r="G4769">
        <v>-421.60469999999998</v>
      </c>
      <c r="H4769" s="1">
        <v>-3.8226609999999998E-6</v>
      </c>
      <c r="I4769">
        <v>77.504519999999999</v>
      </c>
      <c r="J4769">
        <v>-422.38929999999999</v>
      </c>
      <c r="K4769">
        <v>1.111132</v>
      </c>
      <c r="L4769">
        <v>90.126069999999999</v>
      </c>
      <c r="M4769">
        <v>-1.124351E-2</v>
      </c>
      <c r="N4769">
        <v>0</v>
      </c>
      <c r="O4769">
        <v>-0.99984430000000002</v>
      </c>
      <c r="P4769">
        <v>3.5794689999999997E-2</v>
      </c>
      <c r="Q4769">
        <v>0.1322567</v>
      </c>
      <c r="R4769">
        <v>-0.99056949999999999</v>
      </c>
      <c r="S4769">
        <v>0.18688959999999999</v>
      </c>
      <c r="T4769">
        <v>-0.26520630000000001</v>
      </c>
      <c r="U4769">
        <v>-3.0574650000000001</v>
      </c>
      <c r="V4769">
        <v>-4.723169E-2</v>
      </c>
      <c r="W4769">
        <v>0.14564389999999999</v>
      </c>
      <c r="X4769">
        <v>0.988209</v>
      </c>
      <c r="Y4769">
        <v>-7.2004319999999997E-2</v>
      </c>
      <c r="Z4769">
        <v>8.621587E-2</v>
      </c>
      <c r="AA4769">
        <v>0.99367110000000003</v>
      </c>
      <c r="AB4769">
        <v>30</v>
      </c>
      <c r="AC4769">
        <v>0.78460000000001096</v>
      </c>
      <c r="AD4769">
        <v>-1.111135822661</v>
      </c>
      <c r="AE4769">
        <v>-12.621549999999999</v>
      </c>
      <c r="AF4769">
        <v>-0.91937618982380998</v>
      </c>
      <c r="AG4769">
        <v>-1.111135822661</v>
      </c>
      <c r="AH4769">
        <v>12.515307697961999</v>
      </c>
      <c r="AI4769">
        <v>95.059976220863206</v>
      </c>
      <c r="AJ4769">
        <v>94.201409045477305</v>
      </c>
      <c r="AK4769">
        <v>12.5981269309958</v>
      </c>
      <c r="AL4769">
        <v>81.625432242515402</v>
      </c>
      <c r="AM4769">
        <v>92.7363833623304</v>
      </c>
      <c r="AN4769">
        <v>1.00000000291423</v>
      </c>
    </row>
    <row r="4770" spans="1:40" x14ac:dyDescent="0.25">
      <c r="A4770" t="str">
        <f>"20190312172507632"</f>
        <v>20190312172507632</v>
      </c>
      <c r="B4770" t="str">
        <f>"1552382707624936"</f>
        <v>1552382707624936</v>
      </c>
      <c r="C4770" t="s">
        <v>40</v>
      </c>
      <c r="D4770">
        <v>4.1003980000000002</v>
      </c>
      <c r="E4770">
        <v>0.49608229999999998</v>
      </c>
      <c r="F4770" t="s">
        <v>43</v>
      </c>
      <c r="G4770">
        <v>-421.6003</v>
      </c>
      <c r="H4770" s="1">
        <v>-3.7457290000000001E-6</v>
      </c>
      <c r="I4770">
        <v>77.327939999999998</v>
      </c>
      <c r="J4770">
        <v>-422.39139999999998</v>
      </c>
      <c r="K4770">
        <v>1.1111249999999999</v>
      </c>
      <c r="L4770">
        <v>89.842500000000001</v>
      </c>
      <c r="M4770">
        <v>-1.02772E-2</v>
      </c>
      <c r="N4770">
        <v>0</v>
      </c>
      <c r="O4770">
        <v>-0.99985440000000003</v>
      </c>
      <c r="P4770">
        <v>3.6509689999999997E-2</v>
      </c>
      <c r="Q4770">
        <v>0.13179449999999901</v>
      </c>
      <c r="R4770">
        <v>-0.99060479999999995</v>
      </c>
      <c r="S4770">
        <v>0.18847659999999999</v>
      </c>
      <c r="T4770">
        <v>-0.26542579999999999</v>
      </c>
      <c r="U4770">
        <v>-3.0571899999999999</v>
      </c>
      <c r="V4770">
        <v>-4.6987040000000001E-2</v>
      </c>
      <c r="W4770">
        <v>0.14518249999999999</v>
      </c>
      <c r="X4770">
        <v>0.98828850000000001</v>
      </c>
      <c r="Y4770">
        <v>-7.1559250000000005E-2</v>
      </c>
      <c r="Z4770">
        <v>8.6295739999999996E-2</v>
      </c>
      <c r="AA4770">
        <v>0.99369629999999998</v>
      </c>
      <c r="AB4770">
        <v>30</v>
      </c>
      <c r="AC4770">
        <v>0.79109999999997105</v>
      </c>
      <c r="AD4770">
        <v>-1.111128745729</v>
      </c>
      <c r="AE4770">
        <v>-12.514559999999999</v>
      </c>
      <c r="AF4770">
        <v>-0.91251991937670196</v>
      </c>
      <c r="AG4770">
        <v>-1.111128745729</v>
      </c>
      <c r="AH4770">
        <v>12.4083409184617</v>
      </c>
      <c r="AI4770">
        <v>95.103304370784898</v>
      </c>
      <c r="AJ4770">
        <v>94.206008752954801</v>
      </c>
      <c r="AK4770">
        <v>12.4913659798124</v>
      </c>
      <c r="AL4770">
        <v>81.652152077779306</v>
      </c>
      <c r="AM4770">
        <v>92.722012208495897</v>
      </c>
      <c r="AN4770">
        <v>0.99999994973322903</v>
      </c>
    </row>
    <row r="4771" spans="1:40" x14ac:dyDescent="0.25">
      <c r="A4771" t="str">
        <f>"20190312172507655"</f>
        <v>20190312172507655</v>
      </c>
      <c r="B4771" t="str">
        <f>"1552382707645432"</f>
        <v>1552382707645432</v>
      </c>
      <c r="C4771" t="s">
        <v>40</v>
      </c>
      <c r="D4771">
        <v>4.0456240000000001</v>
      </c>
      <c r="E4771">
        <v>0.49617270000000002</v>
      </c>
      <c r="F4771" t="s">
        <v>43</v>
      </c>
      <c r="G4771">
        <v>-421.59820000000002</v>
      </c>
      <c r="H4771" s="1">
        <v>-3.6276280000000001E-6</v>
      </c>
      <c r="I4771">
        <v>77.053960000000004</v>
      </c>
      <c r="J4771">
        <v>-422.39339999999999</v>
      </c>
      <c r="K4771">
        <v>1.1111139999999999</v>
      </c>
      <c r="L4771">
        <v>89.53931</v>
      </c>
      <c r="M4771">
        <v>-9.2584690000000001E-3</v>
      </c>
      <c r="N4771">
        <v>0</v>
      </c>
      <c r="O4771">
        <v>-0.99986459999999999</v>
      </c>
      <c r="P4771">
        <v>3.7976349999999999E-2</v>
      </c>
      <c r="Q4771">
        <v>0.13102269999999999</v>
      </c>
      <c r="R4771">
        <v>-0.99065199999999998</v>
      </c>
      <c r="S4771">
        <v>0.18960569999999999</v>
      </c>
      <c r="T4771">
        <v>-0.26558860000000001</v>
      </c>
      <c r="U4771">
        <v>-3.0567929999999999</v>
      </c>
      <c r="V4771">
        <v>-4.7440139999999999E-2</v>
      </c>
      <c r="W4771">
        <v>0.14441010000000001</v>
      </c>
      <c r="X4771">
        <v>0.98838009999999998</v>
      </c>
      <c r="Y4771">
        <v>-7.0916240000000005E-2</v>
      </c>
      <c r="Z4771">
        <v>8.63617E-2</v>
      </c>
      <c r="AA4771">
        <v>0.99373670000000003</v>
      </c>
      <c r="AB4771">
        <v>30</v>
      </c>
      <c r="AC4771">
        <v>0.79519999999996505</v>
      </c>
      <c r="AD4771">
        <v>-1.1111176276279999</v>
      </c>
      <c r="AE4771">
        <v>-12.485349999999899</v>
      </c>
      <c r="AF4771">
        <v>-0.90364399610645496</v>
      </c>
      <c r="AG4771">
        <v>-1.1111176276279999</v>
      </c>
      <c r="AH4771">
        <v>12.379801327006501</v>
      </c>
      <c r="AI4771">
        <v>95.115158930461902</v>
      </c>
      <c r="AJ4771">
        <v>94.174810692798999</v>
      </c>
      <c r="AK4771">
        <v>12.4623687856794</v>
      </c>
      <c r="AL4771">
        <v>81.696879389435097</v>
      </c>
      <c r="AM4771">
        <v>92.747966446568697</v>
      </c>
      <c r="AN4771">
        <v>1.00000003297061</v>
      </c>
    </row>
    <row r="4772" spans="1:40" x14ac:dyDescent="0.25">
      <c r="A4772" t="str">
        <f>"20190312172507676"</f>
        <v>20190312172507676</v>
      </c>
      <c r="B4772" t="str">
        <f>"1552382707664953"</f>
        <v>1552382707664953</v>
      </c>
      <c r="C4772" t="s">
        <v>40</v>
      </c>
      <c r="D4772">
        <v>4.0518390000000002</v>
      </c>
      <c r="E4772">
        <v>0.49625259999999999</v>
      </c>
      <c r="F4772" t="s">
        <v>43</v>
      </c>
      <c r="G4772">
        <v>-421.58920000000001</v>
      </c>
      <c r="H4772" s="1">
        <v>-3.523651E-6</v>
      </c>
      <c r="I4772">
        <v>76.817179999999993</v>
      </c>
      <c r="J4772">
        <v>-422.39510000000001</v>
      </c>
      <c r="K4772">
        <v>1.1110979999999999</v>
      </c>
      <c r="L4772">
        <v>89.246919999999903</v>
      </c>
      <c r="M4772">
        <v>-8.2958730000000005E-3</v>
      </c>
      <c r="N4772">
        <v>0</v>
      </c>
      <c r="O4772">
        <v>-0.9998726</v>
      </c>
      <c r="P4772">
        <v>3.9162490000000001E-2</v>
      </c>
      <c r="Q4772">
        <v>0.1303861</v>
      </c>
      <c r="R4772">
        <v>-0.99068940000000005</v>
      </c>
      <c r="S4772">
        <v>0.19320680000000001</v>
      </c>
      <c r="T4772">
        <v>-0.26692179999999999</v>
      </c>
      <c r="U4772">
        <v>-3.0562130000000001</v>
      </c>
      <c r="V4772">
        <v>-4.7666109999999998E-2</v>
      </c>
      <c r="W4772">
        <v>0.14377409999999999</v>
      </c>
      <c r="X4772">
        <v>0.9884619</v>
      </c>
      <c r="Y4772">
        <v>-7.11315E-2</v>
      </c>
      <c r="Z4772">
        <v>8.6805489999999999E-2</v>
      </c>
      <c r="AA4772">
        <v>0.99368259999999997</v>
      </c>
      <c r="AB4772">
        <v>30</v>
      </c>
      <c r="AC4772">
        <v>0.80590000000000805</v>
      </c>
      <c r="AD4772">
        <v>-1.111101523651</v>
      </c>
      <c r="AE4772">
        <v>-12.429739999999899</v>
      </c>
      <c r="AF4772">
        <v>-0.90182140194226601</v>
      </c>
      <c r="AG4772">
        <v>-1.111101523651</v>
      </c>
      <c r="AH4772">
        <v>12.324556679314799</v>
      </c>
      <c r="AI4772">
        <v>95.137824424231198</v>
      </c>
      <c r="AJ4772">
        <v>94.185029748662998</v>
      </c>
      <c r="AK4772">
        <v>12.4073577275141</v>
      </c>
      <c r="AL4772">
        <v>81.733703426194296</v>
      </c>
      <c r="AM4772">
        <v>92.760807399227005</v>
      </c>
      <c r="AN4772">
        <v>0.99999998881247498</v>
      </c>
    </row>
    <row r="4773" spans="1:40" x14ac:dyDescent="0.25">
      <c r="A4773" t="str">
        <f>"20190312172507699"</f>
        <v>20190312172507699</v>
      </c>
      <c r="B4773" t="str">
        <f>"1552382707695209"</f>
        <v>1552382707695209</v>
      </c>
      <c r="C4773" t="s">
        <v>40</v>
      </c>
      <c r="D4773">
        <v>4.0284959999999996</v>
      </c>
      <c r="E4773">
        <v>0.49635639999999998</v>
      </c>
      <c r="F4773" t="s">
        <v>43</v>
      </c>
      <c r="G4773">
        <v>-421.58359999999999</v>
      </c>
      <c r="H4773" s="1">
        <v>-3.4182639999999998E-6</v>
      </c>
      <c r="I4773">
        <v>76.574969999999993</v>
      </c>
      <c r="J4773">
        <v>-422.3965</v>
      </c>
      <c r="K4773">
        <v>1.1110690000000001</v>
      </c>
      <c r="L4773">
        <v>88.944119999999998</v>
      </c>
      <c r="M4773">
        <v>-7.330568E-3</v>
      </c>
      <c r="N4773">
        <v>0</v>
      </c>
      <c r="O4773">
        <v>-0.9998804</v>
      </c>
      <c r="P4773">
        <v>4.046259E-2</v>
      </c>
      <c r="Q4773">
        <v>0.13041359999999999</v>
      </c>
      <c r="R4773">
        <v>-0.99063380000000001</v>
      </c>
      <c r="S4773">
        <v>0.19567870000000001</v>
      </c>
      <c r="T4773">
        <v>-0.2679319</v>
      </c>
      <c r="U4773">
        <v>-3.0557249999999998</v>
      </c>
      <c r="V4773">
        <v>-4.800103E-2</v>
      </c>
      <c r="W4773">
        <v>0.1438015</v>
      </c>
      <c r="X4773">
        <v>0.98844169999999998</v>
      </c>
      <c r="Y4773">
        <v>-7.0977239999999997E-2</v>
      </c>
      <c r="Z4773">
        <v>8.7144559999999996E-2</v>
      </c>
      <c r="AA4773">
        <v>0.99366399999999999</v>
      </c>
      <c r="AB4773">
        <v>30</v>
      </c>
      <c r="AC4773">
        <v>0.81290000000001295</v>
      </c>
      <c r="AD4773">
        <v>-1.1110724182639999</v>
      </c>
      <c r="AE4773">
        <v>-12.369149999999999</v>
      </c>
      <c r="AF4773">
        <v>-0.89635809285738399</v>
      </c>
      <c r="AG4773">
        <v>-1.1110724182639999</v>
      </c>
      <c r="AH4773">
        <v>12.264326092247201</v>
      </c>
      <c r="AI4773">
        <v>95.1628180984887</v>
      </c>
      <c r="AJ4773">
        <v>94.180122292434504</v>
      </c>
      <c r="AK4773">
        <v>12.3471306078065</v>
      </c>
      <c r="AL4773">
        <v>81.732116982626493</v>
      </c>
      <c r="AM4773">
        <v>92.780232267606294</v>
      </c>
      <c r="AN4773">
        <v>0.99999998229109999</v>
      </c>
    </row>
    <row r="4774" spans="1:40" x14ac:dyDescent="0.25">
      <c r="A4774" t="str">
        <f>"20190312172507722"</f>
        <v>20190312172507722</v>
      </c>
      <c r="B4774" t="str">
        <f>"1552382707715708"</f>
        <v>1552382707715708</v>
      </c>
      <c r="C4774" t="s">
        <v>40</v>
      </c>
      <c r="D4774">
        <v>4.0432009999999998</v>
      </c>
      <c r="E4774">
        <v>0.49643599999999999</v>
      </c>
      <c r="F4774" t="s">
        <v>43</v>
      </c>
      <c r="G4774">
        <v>-421.57130000000001</v>
      </c>
      <c r="H4774" s="1">
        <v>-3.2633449999999999E-6</v>
      </c>
      <c r="I4774">
        <v>76.221469999999997</v>
      </c>
      <c r="J4774">
        <v>-422.39780000000002</v>
      </c>
      <c r="K4774">
        <v>1.111035</v>
      </c>
      <c r="L4774">
        <v>88.636259999999993</v>
      </c>
      <c r="M4774">
        <v>-6.3973659999999998E-3</v>
      </c>
      <c r="N4774">
        <v>0</v>
      </c>
      <c r="O4774">
        <v>-0.99988690000000002</v>
      </c>
      <c r="P4774">
        <v>4.1689240000000002E-2</v>
      </c>
      <c r="Q4774">
        <v>0.13082279999999999</v>
      </c>
      <c r="R4774">
        <v>-0.99052890000000005</v>
      </c>
      <c r="S4774">
        <v>0.1981812</v>
      </c>
      <c r="T4774">
        <v>-0.26682790000000001</v>
      </c>
      <c r="U4774">
        <v>-3.0553889999999999</v>
      </c>
      <c r="V4774">
        <v>-4.8292219999999997E-2</v>
      </c>
      <c r="W4774">
        <v>0.14421149999999999</v>
      </c>
      <c r="X4774">
        <v>0.98836780000000002</v>
      </c>
      <c r="Y4774">
        <v>-7.0865699999999907E-2</v>
      </c>
      <c r="Z4774">
        <v>8.6796570000000003E-2</v>
      </c>
      <c r="AA4774">
        <v>0.99370239999999999</v>
      </c>
      <c r="AB4774">
        <v>30</v>
      </c>
      <c r="AC4774">
        <v>0.82650000000001</v>
      </c>
      <c r="AD4774">
        <v>-1.111038263345</v>
      </c>
      <c r="AE4774">
        <v>-12.414789999999901</v>
      </c>
      <c r="AF4774">
        <v>-0.89874608519667498</v>
      </c>
      <c r="AG4774">
        <v>-1.111038263345</v>
      </c>
      <c r="AH4774">
        <v>12.3110833747405</v>
      </c>
      <c r="AI4774">
        <v>95.143188989235</v>
      </c>
      <c r="AJ4774">
        <v>94.175357172443896</v>
      </c>
      <c r="AK4774">
        <v>12.393745374505899</v>
      </c>
      <c r="AL4774">
        <v>81.708378439510199</v>
      </c>
      <c r="AM4774">
        <v>92.797280169883507</v>
      </c>
      <c r="AN4774">
        <v>1.0000000016607999</v>
      </c>
    </row>
    <row r="4775" spans="1:40" x14ac:dyDescent="0.25">
      <c r="A4775" t="str">
        <f>"20190312172507744"</f>
        <v>20190312172507744</v>
      </c>
      <c r="B4775" t="str">
        <f>"1552382707735224"</f>
        <v>1552382707735224</v>
      </c>
      <c r="C4775" t="s">
        <v>40</v>
      </c>
      <c r="D4775">
        <v>4.0502190000000002</v>
      </c>
      <c r="E4775">
        <v>0.4965097</v>
      </c>
      <c r="F4775" t="s">
        <v>43</v>
      </c>
      <c r="G4775">
        <v>-421.55540000000002</v>
      </c>
      <c r="H4775" s="1">
        <v>-3.0894680000000002E-6</v>
      </c>
      <c r="I4775">
        <v>75.82602</v>
      </c>
      <c r="J4775">
        <v>-422.39870000000002</v>
      </c>
      <c r="K4775">
        <v>1.110995</v>
      </c>
      <c r="L4775">
        <v>88.33578</v>
      </c>
      <c r="M4775">
        <v>-5.5509569999999996E-3</v>
      </c>
      <c r="N4775">
        <v>0</v>
      </c>
      <c r="O4775">
        <v>-0.99989189999999994</v>
      </c>
      <c r="P4775">
        <v>4.2400680000000003E-2</v>
      </c>
      <c r="Q4775">
        <v>0.13116259999999999</v>
      </c>
      <c r="R4775">
        <v>-0.99045399999999995</v>
      </c>
      <c r="S4775">
        <v>0.2008972</v>
      </c>
      <c r="T4775">
        <v>-0.26497949999999998</v>
      </c>
      <c r="U4775">
        <v>-3.0552060000000001</v>
      </c>
      <c r="V4775">
        <v>-4.8150289999999998E-2</v>
      </c>
      <c r="W4775">
        <v>0.14455409999999999</v>
      </c>
      <c r="X4775">
        <v>0.98832469999999994</v>
      </c>
      <c r="Y4775">
        <v>-7.0908219999999994E-2</v>
      </c>
      <c r="Z4775">
        <v>8.6202940000000006E-2</v>
      </c>
      <c r="AA4775">
        <v>0.99375100000000005</v>
      </c>
      <c r="AB4775">
        <v>30</v>
      </c>
      <c r="AC4775">
        <v>0.84329999999999905</v>
      </c>
      <c r="AD4775">
        <v>-1.110998089468</v>
      </c>
      <c r="AE4775">
        <v>-12.50976</v>
      </c>
      <c r="AF4775">
        <v>-0.90562396198852602</v>
      </c>
      <c r="AG4775">
        <v>-1.110998089468</v>
      </c>
      <c r="AH4775">
        <v>12.4074668906637</v>
      </c>
      <c r="AI4775">
        <v>95.103268688755605</v>
      </c>
      <c r="AJ4775">
        <v>94.174629538705304</v>
      </c>
      <c r="AK4775">
        <v>12.489984233706901</v>
      </c>
      <c r="AL4775">
        <v>81.688541246419106</v>
      </c>
      <c r="AM4775">
        <v>92.789193448945099</v>
      </c>
      <c r="AN4775">
        <v>1.0000000254419901</v>
      </c>
    </row>
    <row r="4776" spans="1:40" x14ac:dyDescent="0.25">
      <c r="A4776" t="str">
        <f>"20190312172507765"</f>
        <v>20190312172507765</v>
      </c>
      <c r="B4776" t="str">
        <f>"1552382707755720"</f>
        <v>1552382707755720</v>
      </c>
      <c r="C4776" t="s">
        <v>40</v>
      </c>
      <c r="D4776">
        <v>4.1924289999999997</v>
      </c>
      <c r="E4776">
        <v>0.49658239999999998</v>
      </c>
      <c r="F4776" t="s">
        <v>43</v>
      </c>
      <c r="G4776">
        <v>-421.54579999999999</v>
      </c>
      <c r="H4776" s="1">
        <v>-2.9228869999999999E-6</v>
      </c>
      <c r="I4776">
        <v>75.443680000000001</v>
      </c>
      <c r="J4776">
        <v>-422.39949999999999</v>
      </c>
      <c r="K4776">
        <v>1.1109560000000001</v>
      </c>
      <c r="L4776">
        <v>88.041019999999904</v>
      </c>
      <c r="M4776">
        <v>-4.7722279999999999E-3</v>
      </c>
      <c r="N4776">
        <v>0</v>
      </c>
      <c r="O4776">
        <v>-0.99989620000000001</v>
      </c>
      <c r="P4776">
        <v>4.3513570000000001E-2</v>
      </c>
      <c r="Q4776">
        <v>0.1310143</v>
      </c>
      <c r="R4776">
        <v>-0.99042560000000002</v>
      </c>
      <c r="S4776">
        <v>0.20211789999999999</v>
      </c>
      <c r="T4776">
        <v>-0.26327929999999999</v>
      </c>
      <c r="U4776">
        <v>-3.0551149999999998</v>
      </c>
      <c r="V4776">
        <v>-4.8475560000000001E-2</v>
      </c>
      <c r="W4776">
        <v>0.1444087</v>
      </c>
      <c r="X4776">
        <v>0.98833000000000004</v>
      </c>
      <c r="Y4776">
        <v>-7.0531789999999997E-2</v>
      </c>
      <c r="Z4776">
        <v>8.565702E-2</v>
      </c>
      <c r="AA4776">
        <v>0.99382499999999996</v>
      </c>
      <c r="AB4776">
        <v>30</v>
      </c>
      <c r="AC4776">
        <v>0.85370000000000301</v>
      </c>
      <c r="AD4776">
        <v>-1.110958922887</v>
      </c>
      <c r="AE4776">
        <v>-12.5973399999999</v>
      </c>
      <c r="AF4776">
        <v>-0.90679289894440096</v>
      </c>
      <c r="AG4776">
        <v>-1.110958922887</v>
      </c>
      <c r="AH4776">
        <v>12.496376225977301</v>
      </c>
      <c r="AI4776">
        <v>95.067127267308095</v>
      </c>
      <c r="AJ4776">
        <v>94.150363267644707</v>
      </c>
      <c r="AK4776">
        <v>12.578391068459</v>
      </c>
      <c r="AL4776">
        <v>81.696959932768493</v>
      </c>
      <c r="AM4776">
        <v>92.807990218303303</v>
      </c>
      <c r="AN4776">
        <v>0.99999997072650104</v>
      </c>
    </row>
    <row r="4777" spans="1:40" x14ac:dyDescent="0.25">
      <c r="A4777" t="str">
        <f>"20190312172507788"</f>
        <v>20190312172507788</v>
      </c>
      <c r="B4777" t="str">
        <f>"1552382707785000"</f>
        <v>1552382707785000</v>
      </c>
      <c r="C4777" t="s">
        <v>40</v>
      </c>
      <c r="D4777">
        <v>4.0545140000000002</v>
      </c>
      <c r="E4777">
        <v>0.49670530000000002</v>
      </c>
      <c r="F4777" t="s">
        <v>43</v>
      </c>
      <c r="G4777">
        <v>-421.536</v>
      </c>
      <c r="H4777" s="1">
        <v>-2.7887530000000001E-6</v>
      </c>
      <c r="I4777">
        <v>75.137069999999994</v>
      </c>
      <c r="J4777">
        <v>-422.40010000000001</v>
      </c>
      <c r="K4777">
        <v>1.1109059999999999</v>
      </c>
      <c r="L4777">
        <v>87.734859999999998</v>
      </c>
      <c r="M4777">
        <v>-4.03068E-3</v>
      </c>
      <c r="N4777">
        <v>0</v>
      </c>
      <c r="O4777">
        <v>-0.99989939999999999</v>
      </c>
      <c r="P4777">
        <v>4.4616429999999999E-2</v>
      </c>
      <c r="Q4777">
        <v>0.1307642</v>
      </c>
      <c r="R4777">
        <v>-0.99040930000000005</v>
      </c>
      <c r="S4777">
        <v>0.2044067</v>
      </c>
      <c r="T4777">
        <v>-0.26300240000000003</v>
      </c>
      <c r="U4777">
        <v>-3.0548099999999998</v>
      </c>
      <c r="V4777">
        <v>-4.8825609999999998E-2</v>
      </c>
      <c r="W4777">
        <v>0.1441615</v>
      </c>
      <c r="X4777">
        <v>0.98834889999999997</v>
      </c>
      <c r="Y4777">
        <v>-7.0540409999999998E-2</v>
      </c>
      <c r="Z4777">
        <v>8.5574360000000002E-2</v>
      </c>
      <c r="AA4777">
        <v>0.99383149999999998</v>
      </c>
      <c r="AB4777">
        <v>30</v>
      </c>
      <c r="AC4777">
        <v>0.86410000000000697</v>
      </c>
      <c r="AD4777">
        <v>-1.110908788753</v>
      </c>
      <c r="AE4777">
        <v>-12.59779</v>
      </c>
      <c r="AF4777">
        <v>-0.90784876997525299</v>
      </c>
      <c r="AG4777">
        <v>-1.110908788753</v>
      </c>
      <c r="AH4777">
        <v>12.497476474378001</v>
      </c>
      <c r="AI4777">
        <v>95.066427609332493</v>
      </c>
      <c r="AJ4777">
        <v>94.154814508863396</v>
      </c>
      <c r="AK4777">
        <v>12.579555872673099</v>
      </c>
      <c r="AL4777">
        <v>81.711273576458893</v>
      </c>
      <c r="AM4777">
        <v>92.828180377801303</v>
      </c>
      <c r="AN4777">
        <v>1.0000000132026601</v>
      </c>
    </row>
    <row r="4778" spans="1:40" x14ac:dyDescent="0.25">
      <c r="A4778" t="str">
        <f>"20190312172507810"</f>
        <v>20190312172507810</v>
      </c>
      <c r="B4778" t="str">
        <f>"1552382707805496"</f>
        <v>1552382707805496</v>
      </c>
      <c r="C4778" t="s">
        <v>40</v>
      </c>
      <c r="D4778">
        <v>4.0109019999999997</v>
      </c>
      <c r="E4778">
        <v>0.49675970000000003</v>
      </c>
      <c r="F4778" t="s">
        <v>43</v>
      </c>
      <c r="G4778">
        <v>-421.52670000000001</v>
      </c>
      <c r="H4778" s="1">
        <v>-2.6427640000000002E-6</v>
      </c>
      <c r="I4778">
        <v>74.802520000000001</v>
      </c>
      <c r="J4778">
        <v>-422.40050000000002</v>
      </c>
      <c r="K4778">
        <v>1.1108499999999999</v>
      </c>
      <c r="L4778">
        <v>87.433930000000004</v>
      </c>
      <c r="M4778">
        <v>-3.37952E-3</v>
      </c>
      <c r="N4778">
        <v>0</v>
      </c>
      <c r="O4778">
        <v>-0.99990179999999995</v>
      </c>
      <c r="P4778">
        <v>4.5523859999999999E-2</v>
      </c>
      <c r="Q4778">
        <v>0.1303252</v>
      </c>
      <c r="R4778">
        <v>-0.99042580000000002</v>
      </c>
      <c r="S4778">
        <v>0.20626829999999999</v>
      </c>
      <c r="T4778">
        <v>-0.26237890000000003</v>
      </c>
      <c r="U4778">
        <v>-3.0544129999999998</v>
      </c>
      <c r="V4778">
        <v>-4.906862E-2</v>
      </c>
      <c r="W4778">
        <v>0.14372739999999901</v>
      </c>
      <c r="X4778">
        <v>0.9884001</v>
      </c>
      <c r="Y4778">
        <v>-7.0503490000000002E-2</v>
      </c>
      <c r="Z4778">
        <v>8.5382639999999996E-2</v>
      </c>
      <c r="AA4778">
        <v>0.99385060000000003</v>
      </c>
      <c r="AB4778">
        <v>30</v>
      </c>
      <c r="AC4778">
        <v>0.87380000000001701</v>
      </c>
      <c r="AD4778">
        <v>-1.110852642764</v>
      </c>
      <c r="AE4778">
        <v>-12.631410000000001</v>
      </c>
      <c r="AF4778">
        <v>-0.90948651018391202</v>
      </c>
      <c r="AG4778">
        <v>-1.110852642764</v>
      </c>
      <c r="AH4778">
        <v>12.5319231390647</v>
      </c>
      <c r="AI4778">
        <v>95.052344641720097</v>
      </c>
      <c r="AJ4778">
        <v>94.150882509458697</v>
      </c>
      <c r="AK4778">
        <v>12.613891424519499</v>
      </c>
      <c r="AL4778">
        <v>81.736407533136699</v>
      </c>
      <c r="AM4778">
        <v>92.842086504918001</v>
      </c>
      <c r="AN4778">
        <v>1.00000002632973</v>
      </c>
    </row>
    <row r="4779" spans="1:40" x14ac:dyDescent="0.25">
      <c r="A4779" t="str">
        <f>"20190312172507833"</f>
        <v>20190312172507833</v>
      </c>
      <c r="B4779" t="str">
        <f>"1552382707825016"</f>
        <v>1552382707825016</v>
      </c>
      <c r="C4779" t="s">
        <v>40</v>
      </c>
      <c r="D4779">
        <v>4.0165259999999998</v>
      </c>
      <c r="E4779">
        <v>0.49682969999999999</v>
      </c>
      <c r="F4779" t="s">
        <v>43</v>
      </c>
      <c r="G4779">
        <v>-421.51870000000002</v>
      </c>
      <c r="H4779" s="1">
        <v>-2.5245539999999999E-6</v>
      </c>
      <c r="I4779">
        <v>74.531980000000004</v>
      </c>
      <c r="J4779">
        <v>-422.40089999999998</v>
      </c>
      <c r="K4779">
        <v>1.1107800000000001</v>
      </c>
      <c r="L4779">
        <v>87.121639999999999</v>
      </c>
      <c r="M4779">
        <v>-2.7915570000000001E-3</v>
      </c>
      <c r="N4779">
        <v>0</v>
      </c>
      <c r="O4779">
        <v>-0.99990349999999995</v>
      </c>
      <c r="P4779">
        <v>4.6168899999999999E-2</v>
      </c>
      <c r="Q4779">
        <v>0.12975039999999999</v>
      </c>
      <c r="R4779">
        <v>-0.9904712</v>
      </c>
      <c r="S4779">
        <v>0.20874019999999999</v>
      </c>
      <c r="T4779">
        <v>-0.2629495</v>
      </c>
      <c r="U4779">
        <v>-3.0540159999999998</v>
      </c>
      <c r="V4779">
        <v>-4.9107579999999998E-2</v>
      </c>
      <c r="W4779">
        <v>0.14315919999999999</v>
      </c>
      <c r="X4779">
        <v>0.98848060000000004</v>
      </c>
      <c r="Y4779">
        <v>-7.072523E-2</v>
      </c>
      <c r="Z4779">
        <v>8.5575189999999995E-2</v>
      </c>
      <c r="AA4779">
        <v>0.99381830000000004</v>
      </c>
      <c r="AB4779">
        <v>30</v>
      </c>
      <c r="AC4779">
        <v>0.88219999999995402</v>
      </c>
      <c r="AD4779">
        <v>-1.110782524554</v>
      </c>
      <c r="AE4779">
        <v>-12.589659999999901</v>
      </c>
      <c r="AF4779">
        <v>-0.91029302980148297</v>
      </c>
      <c r="AG4779">
        <v>-1.110782524554</v>
      </c>
      <c r="AH4779">
        <v>12.4903917872116</v>
      </c>
      <c r="AI4779">
        <v>95.068626753176403</v>
      </c>
      <c r="AJ4779">
        <v>94.168316105123694</v>
      </c>
      <c r="AK4779">
        <v>12.572683015768799</v>
      </c>
      <c r="AL4779">
        <v>81.769302996820102</v>
      </c>
      <c r="AM4779">
        <v>92.844108132056405</v>
      </c>
      <c r="AN4779">
        <v>1.0000000037672201</v>
      </c>
    </row>
    <row r="4780" spans="1:40" x14ac:dyDescent="0.25">
      <c r="A4780" t="str">
        <f>"20190312172507856"</f>
        <v>20190312172507856</v>
      </c>
      <c r="B4780" t="str">
        <f>"1552382707845513"</f>
        <v>1552382707845513</v>
      </c>
      <c r="C4780" t="s">
        <v>40</v>
      </c>
      <c r="D4780">
        <v>4.0131639999999997</v>
      </c>
      <c r="E4780">
        <v>0.49687559999999897</v>
      </c>
      <c r="F4780" t="s">
        <v>43</v>
      </c>
      <c r="G4780">
        <v>-421.51710000000003</v>
      </c>
      <c r="H4780" s="1">
        <v>-2.4138760000000001E-6</v>
      </c>
      <c r="I4780">
        <v>74.274990000000003</v>
      </c>
      <c r="J4780">
        <v>-422.40109999999999</v>
      </c>
      <c r="K4780">
        <v>1.1107070000000001</v>
      </c>
      <c r="L4780">
        <v>86.819850000000002</v>
      </c>
      <c r="M4780">
        <v>-2.310276E-3</v>
      </c>
      <c r="N4780">
        <v>0</v>
      </c>
      <c r="O4780">
        <v>-0.99990489999999999</v>
      </c>
      <c r="P4780">
        <v>4.7042439999999998E-2</v>
      </c>
      <c r="Q4780">
        <v>0.12928899999999999</v>
      </c>
      <c r="R4780">
        <v>-0.99049089999999995</v>
      </c>
      <c r="S4780">
        <v>0.21008299999999999</v>
      </c>
      <c r="T4780">
        <v>-0.26403310000000002</v>
      </c>
      <c r="U4780">
        <v>-3.0536500000000002</v>
      </c>
      <c r="V4780">
        <v>-4.9479929999999998E-2</v>
      </c>
      <c r="W4780">
        <v>0.1427042</v>
      </c>
      <c r="X4780">
        <v>0.98852779999999996</v>
      </c>
      <c r="Y4780">
        <v>-7.0686079999999998E-2</v>
      </c>
      <c r="Z4780">
        <v>8.5934449999999996E-2</v>
      </c>
      <c r="AA4780">
        <v>0.99379010000000001</v>
      </c>
      <c r="AB4780">
        <v>30</v>
      </c>
      <c r="AC4780">
        <v>0.88399999999995704</v>
      </c>
      <c r="AD4780">
        <v>-1.1107094138760001</v>
      </c>
      <c r="AE4780">
        <v>-12.54486</v>
      </c>
      <c r="AF4780">
        <v>-0.90591588286489799</v>
      </c>
      <c r="AG4780">
        <v>-1.1107094138760001</v>
      </c>
      <c r="AH4780">
        <v>12.4457023198185</v>
      </c>
      <c r="AI4780">
        <v>95.086431581845801</v>
      </c>
      <c r="AJ4780">
        <v>94.163186286361594</v>
      </c>
      <c r="AK4780">
        <v>12.527963330982301</v>
      </c>
      <c r="AL4780">
        <v>81.795642839709998</v>
      </c>
      <c r="AM4780">
        <v>92.865500695810098</v>
      </c>
      <c r="AN4780">
        <v>0.99999998177164195</v>
      </c>
    </row>
    <row r="4781" spans="1:40" x14ac:dyDescent="0.25">
      <c r="A4781" t="str">
        <f>"20190312172507877"</f>
        <v>20190312172507877</v>
      </c>
      <c r="B4781" t="str">
        <f>"1552382707865032"</f>
        <v>1552382707865032</v>
      </c>
      <c r="C4781" t="s">
        <v>40</v>
      </c>
      <c r="D4781">
        <v>4.0308089999999996</v>
      </c>
      <c r="E4781">
        <v>0.49695539999999999</v>
      </c>
      <c r="F4781" t="s">
        <v>43</v>
      </c>
      <c r="G4781">
        <v>-421.51150000000001</v>
      </c>
      <c r="H4781" s="1">
        <v>-2.296173E-6</v>
      </c>
      <c r="I4781">
        <v>74.004080000000002</v>
      </c>
      <c r="J4781">
        <v>-422.40129999999999</v>
      </c>
      <c r="K4781">
        <v>1.110635</v>
      </c>
      <c r="L4781">
        <v>86.535489999999996</v>
      </c>
      <c r="M4781">
        <v>-1.937886E-3</v>
      </c>
      <c r="N4781">
        <v>0</v>
      </c>
      <c r="O4781">
        <v>-0.9999055</v>
      </c>
      <c r="P4781">
        <v>4.7396389999999997E-2</v>
      </c>
      <c r="Q4781">
        <v>0.12893579999999999</v>
      </c>
      <c r="R4781">
        <v>-0.9905197</v>
      </c>
      <c r="S4781">
        <v>0.21194460000000001</v>
      </c>
      <c r="T4781">
        <v>-0.26461760000000001</v>
      </c>
      <c r="U4781">
        <v>-3.0532530000000002</v>
      </c>
      <c r="V4781">
        <v>-4.9441409999999998E-2</v>
      </c>
      <c r="W4781">
        <v>0.14235780000000001</v>
      </c>
      <c r="X4781">
        <v>0.98857969999999895</v>
      </c>
      <c r="Y4781">
        <v>-7.0925279999999993E-2</v>
      </c>
      <c r="Z4781">
        <v>8.6131920000000001E-2</v>
      </c>
      <c r="AA4781">
        <v>0.99375590000000003</v>
      </c>
      <c r="AB4781">
        <v>30</v>
      </c>
      <c r="AC4781">
        <v>0.88979999999997905</v>
      </c>
      <c r="AD4781">
        <v>-1.110637296173</v>
      </c>
      <c r="AE4781">
        <v>-12.5314099999999</v>
      </c>
      <c r="AF4781">
        <v>-0.90699633152933901</v>
      </c>
      <c r="AG4781">
        <v>-1.110637296173</v>
      </c>
      <c r="AH4781">
        <v>12.432494973575499</v>
      </c>
      <c r="AI4781">
        <v>95.091417470650399</v>
      </c>
      <c r="AJ4781">
        <v>94.172546339474096</v>
      </c>
      <c r="AK4781">
        <v>12.5149146548044</v>
      </c>
      <c r="AL4781">
        <v>81.815695052701003</v>
      </c>
      <c r="AM4781">
        <v>92.863123553934301</v>
      </c>
      <c r="AN4781">
        <v>1.0000000097478501</v>
      </c>
    </row>
    <row r="4782" spans="1:40" x14ac:dyDescent="0.25">
      <c r="A4782" t="str">
        <f>"20190312172507900"</f>
        <v>20190312172507900</v>
      </c>
      <c r="B4782" t="str">
        <f>"1552382707895288"</f>
        <v>1552382707895288</v>
      </c>
      <c r="C4782" t="s">
        <v>40</v>
      </c>
      <c r="D4782">
        <v>3.993646</v>
      </c>
      <c r="E4782">
        <v>0.49710650000000001</v>
      </c>
      <c r="F4782" t="s">
        <v>43</v>
      </c>
      <c r="G4782">
        <v>-421.51029999999997</v>
      </c>
      <c r="H4782" s="1">
        <v>-2.1887989999999999E-6</v>
      </c>
      <c r="I4782">
        <v>73.754490000000004</v>
      </c>
      <c r="J4782">
        <v>-422.4015</v>
      </c>
      <c r="K4782">
        <v>1.1105590000000001</v>
      </c>
      <c r="L4782">
        <v>86.232699999999994</v>
      </c>
      <c r="M4782">
        <v>-1.6229720000000001E-3</v>
      </c>
      <c r="N4782">
        <v>0</v>
      </c>
      <c r="O4782">
        <v>-0.99990630000000003</v>
      </c>
      <c r="P4782">
        <v>4.7422069999999997E-2</v>
      </c>
      <c r="Q4782">
        <v>0.1290559</v>
      </c>
      <c r="R4782">
        <v>-0.99050280000000002</v>
      </c>
      <c r="S4782">
        <v>0.21282960000000001</v>
      </c>
      <c r="T4782">
        <v>-0.26530419999999999</v>
      </c>
      <c r="U4782">
        <v>-3.05307</v>
      </c>
      <c r="V4782">
        <v>-4.913033E-2</v>
      </c>
      <c r="W4782">
        <v>0.14248429999999901</v>
      </c>
      <c r="X4782">
        <v>0.98857689999999998</v>
      </c>
      <c r="Y4782">
        <v>-7.0900560000000001E-2</v>
      </c>
      <c r="Z4782">
        <v>8.6358160000000003E-2</v>
      </c>
      <c r="AA4782">
        <v>0.99373809999999996</v>
      </c>
      <c r="AB4782">
        <v>30</v>
      </c>
      <c r="AC4782">
        <v>0.89120000000002597</v>
      </c>
      <c r="AD4782">
        <v>-1.1105611887989999</v>
      </c>
      <c r="AE4782">
        <v>-12.478209999999899</v>
      </c>
      <c r="AF4782">
        <v>-0.90432566564757</v>
      </c>
      <c r="AG4782">
        <v>-1.1105611887989999</v>
      </c>
      <c r="AH4782">
        <v>12.379189024762001</v>
      </c>
      <c r="AI4782">
        <v>95.112840744658399</v>
      </c>
      <c r="AJ4782">
        <v>94.178154758864295</v>
      </c>
      <c r="AK4782">
        <v>12.461760388259901</v>
      </c>
      <c r="AL4782">
        <v>81.808371802116795</v>
      </c>
      <c r="AM4782">
        <v>92.845146828141196</v>
      </c>
      <c r="AN4782">
        <v>0.99999992614300104</v>
      </c>
    </row>
    <row r="4783" spans="1:40" x14ac:dyDescent="0.25">
      <c r="A4783" t="str">
        <f>"20190312172507923"</f>
        <v>20190312172507923</v>
      </c>
      <c r="B4783" t="str">
        <f>"1552382707915787"</f>
        <v>1552382707915787</v>
      </c>
      <c r="C4783" t="s">
        <v>40</v>
      </c>
      <c r="D4783">
        <v>4.0129580000000002</v>
      </c>
      <c r="E4783">
        <v>0.4972241</v>
      </c>
      <c r="F4783" t="s">
        <v>43</v>
      </c>
      <c r="G4783">
        <v>-421.50810000000001</v>
      </c>
      <c r="H4783" s="1">
        <v>-2.0446509999999998E-6</v>
      </c>
      <c r="I4783">
        <v>73.419899999999998</v>
      </c>
      <c r="J4783">
        <v>-422.40159999999997</v>
      </c>
      <c r="K4783">
        <v>1.1104879999999999</v>
      </c>
      <c r="L4783">
        <v>85.922550000000001</v>
      </c>
      <c r="M4783">
        <v>-1.383125E-3</v>
      </c>
      <c r="N4783">
        <v>0</v>
      </c>
      <c r="O4783">
        <v>-0.99990670000000004</v>
      </c>
      <c r="P4783">
        <v>4.7699100000000001E-2</v>
      </c>
      <c r="Q4783">
        <v>0.128412</v>
      </c>
      <c r="R4783">
        <v>-0.99057320000000004</v>
      </c>
      <c r="S4783">
        <v>0.21289060000000001</v>
      </c>
      <c r="T4783">
        <v>-0.26462770000000002</v>
      </c>
      <c r="U4783">
        <v>-3.05307</v>
      </c>
      <c r="V4783">
        <v>-4.9147129999999997E-2</v>
      </c>
      <c r="W4783">
        <v>0.1418471</v>
      </c>
      <c r="X4783">
        <v>0.98866779999999999</v>
      </c>
      <c r="Y4783">
        <v>-7.0682380000000003E-2</v>
      </c>
      <c r="Z4783">
        <v>8.6140240000000007E-2</v>
      </c>
      <c r="AA4783">
        <v>0.99377260000000001</v>
      </c>
      <c r="AB4783">
        <v>30</v>
      </c>
      <c r="AC4783">
        <v>0.89349999999995999</v>
      </c>
      <c r="AD4783">
        <v>-1.110490044651</v>
      </c>
      <c r="AE4783">
        <v>-12.502649999999999</v>
      </c>
      <c r="AF4783">
        <v>-0.90370035095960799</v>
      </c>
      <c r="AG4783">
        <v>-1.110490044651</v>
      </c>
      <c r="AH4783">
        <v>12.4040431115441</v>
      </c>
      <c r="AI4783">
        <v>95.102397560544205</v>
      </c>
      <c r="AJ4783">
        <v>94.166939370060106</v>
      </c>
      <c r="AK4783">
        <v>12.4863985190542</v>
      </c>
      <c r="AL4783">
        <v>81.845256154943897</v>
      </c>
      <c r="AM4783">
        <v>92.845856872677402</v>
      </c>
      <c r="AN4783">
        <v>1.0000000294612399</v>
      </c>
    </row>
    <row r="4784" spans="1:40" x14ac:dyDescent="0.25">
      <c r="A4784" t="str">
        <f>"20190312172507945"</f>
        <v>20190312172507945</v>
      </c>
      <c r="B4784" t="str">
        <f>"1552382707935307"</f>
        <v>1552382707935307</v>
      </c>
      <c r="C4784" t="s">
        <v>40</v>
      </c>
      <c r="D4784">
        <v>3.9947119999999998</v>
      </c>
      <c r="E4784">
        <v>0.49732720000000002</v>
      </c>
      <c r="F4784" t="s">
        <v>43</v>
      </c>
      <c r="G4784">
        <v>-421.5147</v>
      </c>
      <c r="H4784" s="1">
        <v>-1.9499650000000001E-6</v>
      </c>
      <c r="I4784">
        <v>73.195049999999995</v>
      </c>
      <c r="J4784">
        <v>-422.40179999999998</v>
      </c>
      <c r="K4784">
        <v>1.1104309999999999</v>
      </c>
      <c r="L4784">
        <v>85.624759999999995</v>
      </c>
      <c r="M4784">
        <v>-1.2146870000000001E-3</v>
      </c>
      <c r="N4784">
        <v>0</v>
      </c>
      <c r="O4784">
        <v>-0.99990690000000004</v>
      </c>
      <c r="P4784">
        <v>4.8080629999999999E-2</v>
      </c>
      <c r="Q4784">
        <v>0.12722629999999999</v>
      </c>
      <c r="R4784">
        <v>-0.99070789999999997</v>
      </c>
      <c r="S4784">
        <v>0.21273800000000001</v>
      </c>
      <c r="T4784">
        <v>-0.26636300000000002</v>
      </c>
      <c r="U4784">
        <v>-3.052826</v>
      </c>
      <c r="V4784">
        <v>-4.9343150000000002E-2</v>
      </c>
      <c r="W4784">
        <v>0.1406674</v>
      </c>
      <c r="X4784">
        <v>0.98882650000000005</v>
      </c>
      <c r="Y4784">
        <v>-7.046703E-2</v>
      </c>
      <c r="Z4784">
        <v>8.6708599999999997E-2</v>
      </c>
      <c r="AA4784">
        <v>0.99373840000000002</v>
      </c>
      <c r="AB4784">
        <v>30</v>
      </c>
      <c r="AC4784">
        <v>0.88709999999997502</v>
      </c>
      <c r="AD4784">
        <v>-1.1104329499650001</v>
      </c>
      <c r="AE4784">
        <v>-12.42971</v>
      </c>
      <c r="AF4784">
        <v>-0.89509133798012197</v>
      </c>
      <c r="AG4784">
        <v>-1.1104329499650001</v>
      </c>
      <c r="AH4784">
        <v>12.330709302907501</v>
      </c>
      <c r="AI4784">
        <v>95.132416533450794</v>
      </c>
      <c r="AJ4784">
        <v>94.151842253097996</v>
      </c>
      <c r="AK4784">
        <v>12.4129223695512</v>
      </c>
      <c r="AL4784">
        <v>81.913531999214598</v>
      </c>
      <c r="AM4784">
        <v>92.856730809562407</v>
      </c>
      <c r="AN4784">
        <v>0.99999995548846499</v>
      </c>
    </row>
    <row r="4785" spans="1:40" x14ac:dyDescent="0.25">
      <c r="A4785" t="str">
        <f>"20190312172507978"</f>
        <v>20190312172507978</v>
      </c>
      <c r="B4785" t="str">
        <f>"1552382707965560"</f>
        <v>1552382707965560</v>
      </c>
      <c r="C4785" t="s">
        <v>40</v>
      </c>
      <c r="D4785">
        <v>4.0136370000000001</v>
      </c>
      <c r="E4785">
        <v>0.4974422</v>
      </c>
      <c r="F4785" t="s">
        <v>43</v>
      </c>
      <c r="G4785">
        <v>-421.52269999999999</v>
      </c>
      <c r="H4785" s="1">
        <v>-1.889015E-6</v>
      </c>
      <c r="I4785">
        <v>73.048000000000002</v>
      </c>
      <c r="J4785">
        <v>-422.40210000000002</v>
      </c>
      <c r="K4785">
        <v>1.110379</v>
      </c>
      <c r="L4785">
        <v>85.181240000000003</v>
      </c>
      <c r="M4785">
        <v>-1.028805E-3</v>
      </c>
      <c r="N4785">
        <v>0</v>
      </c>
      <c r="O4785">
        <v>-0.99990730000000005</v>
      </c>
      <c r="P4785">
        <v>4.8002120000000002E-2</v>
      </c>
      <c r="Q4785">
        <v>0.12756919999999999</v>
      </c>
      <c r="R4785">
        <v>-0.99066790000000005</v>
      </c>
      <c r="S4785">
        <v>0.21334839999999999</v>
      </c>
      <c r="T4785">
        <v>-0.26950380000000002</v>
      </c>
      <c r="U4785">
        <v>-3.0523989999999999</v>
      </c>
      <c r="V4785">
        <v>-4.9062040000000001E-2</v>
      </c>
      <c r="W4785">
        <v>0.14101350000000001</v>
      </c>
      <c r="X4785">
        <v>0.98879119999999998</v>
      </c>
      <c r="Y4785">
        <v>-7.0482710000000004E-2</v>
      </c>
      <c r="Z4785">
        <v>8.7734709999999994E-2</v>
      </c>
      <c r="AA4785">
        <v>0.99364719999999995</v>
      </c>
      <c r="AB4785">
        <v>30</v>
      </c>
      <c r="AC4785">
        <v>0.87940000000003204</v>
      </c>
      <c r="AD4785">
        <v>-1.110380889015</v>
      </c>
      <c r="AE4785">
        <v>-12.133239999999899</v>
      </c>
      <c r="AF4785">
        <v>-0.88451423294537701</v>
      </c>
      <c r="AG4785">
        <v>-1.110380889015</v>
      </c>
      <c r="AH4785">
        <v>12.0320853502696</v>
      </c>
      <c r="AI4785">
        <v>95.258496404981699</v>
      </c>
      <c r="AJ4785">
        <v>94.204419565896004</v>
      </c>
      <c r="AK4785">
        <v>12.1155432822117</v>
      </c>
      <c r="AL4785">
        <v>81.8935023488703</v>
      </c>
      <c r="AM4785">
        <v>92.840583863212302</v>
      </c>
      <c r="AN4785">
        <v>0.99999996407432501</v>
      </c>
    </row>
    <row r="4786" spans="1:40" x14ac:dyDescent="0.25">
      <c r="A4786" t="str">
        <f>"20190312172508000"</f>
        <v>20190312172508000</v>
      </c>
      <c r="B4786" t="str">
        <f>"1552382707995817"</f>
        <v>1552382707995817</v>
      </c>
      <c r="C4786" t="s">
        <v>40</v>
      </c>
      <c r="D4786">
        <v>4.0034510000000001</v>
      </c>
      <c r="E4786">
        <v>0.49762400000000001</v>
      </c>
      <c r="F4786" t="s">
        <v>43</v>
      </c>
      <c r="G4786">
        <v>-421.51490000000001</v>
      </c>
      <c r="H4786" s="1">
        <v>-1.649674E-6</v>
      </c>
      <c r="I4786">
        <v>72.494969999999995</v>
      </c>
      <c r="J4786">
        <v>-422.40219999999999</v>
      </c>
      <c r="K4786">
        <v>1.1103590000000001</v>
      </c>
      <c r="L4786">
        <v>84.879269999999906</v>
      </c>
      <c r="M4786">
        <v>-9.2424529999999996E-4</v>
      </c>
      <c r="N4786">
        <v>0</v>
      </c>
      <c r="O4786">
        <v>-0.99990749999999995</v>
      </c>
      <c r="P4786">
        <v>4.8272040000000002E-2</v>
      </c>
      <c r="Q4786">
        <v>0.12837989999999999</v>
      </c>
      <c r="R4786">
        <v>-0.99055009999999999</v>
      </c>
      <c r="S4786">
        <v>0.21347050000000001</v>
      </c>
      <c r="T4786">
        <v>-0.26715929999999999</v>
      </c>
      <c r="U4786">
        <v>-3.0523380000000002</v>
      </c>
      <c r="V4786">
        <v>-4.9220369999999999E-2</v>
      </c>
      <c r="W4786">
        <v>0.141823</v>
      </c>
      <c r="X4786">
        <v>0.98866750000000003</v>
      </c>
      <c r="Y4786">
        <v>-7.0423959999999994E-2</v>
      </c>
      <c r="Z4786">
        <v>8.697908E-2</v>
      </c>
      <c r="AA4786">
        <v>0.99371779999999998</v>
      </c>
      <c r="AB4786">
        <v>30</v>
      </c>
      <c r="AC4786">
        <v>0.88729999999998199</v>
      </c>
      <c r="AD4786">
        <v>-1.1103606496739999</v>
      </c>
      <c r="AE4786">
        <v>-12.3842999999999</v>
      </c>
      <c r="AF4786">
        <v>-0.89161598760904104</v>
      </c>
      <c r="AG4786">
        <v>-1.1103606496739999</v>
      </c>
      <c r="AH4786">
        <v>12.285221842565999</v>
      </c>
      <c r="AI4786">
        <v>95.150989469866403</v>
      </c>
      <c r="AJ4786">
        <v>94.151037804554406</v>
      </c>
      <c r="AK4786">
        <v>12.367479757928299</v>
      </c>
      <c r="AL4786">
        <v>81.846650161135898</v>
      </c>
      <c r="AM4786">
        <v>92.850091699561403</v>
      </c>
      <c r="AN4786">
        <v>0.99999991685408995</v>
      </c>
    </row>
    <row r="4787" spans="1:40" x14ac:dyDescent="0.25">
      <c r="A4787" t="str">
        <f>"20190312172508024"</f>
        <v>20190312172508024</v>
      </c>
      <c r="B4787" t="str">
        <f>"1552382708015336"</f>
        <v>1552382708015336</v>
      </c>
      <c r="C4787" t="s">
        <v>40</v>
      </c>
      <c r="D4787">
        <v>3.97797</v>
      </c>
      <c r="E4787">
        <v>0.49774380000000001</v>
      </c>
      <c r="F4787" t="s">
        <v>43</v>
      </c>
      <c r="G4787">
        <v>-421.50319999999999</v>
      </c>
      <c r="H4787" s="1">
        <v>-1.448269E-6</v>
      </c>
      <c r="I4787">
        <v>72.032749999999993</v>
      </c>
      <c r="J4787">
        <v>-422.40230000000003</v>
      </c>
      <c r="K4787">
        <v>1.110349</v>
      </c>
      <c r="L4787">
        <v>84.576750000000004</v>
      </c>
      <c r="M4787">
        <v>-8.2463519999999995E-4</v>
      </c>
      <c r="N4787">
        <v>0</v>
      </c>
      <c r="O4787">
        <v>-0.99990730000000005</v>
      </c>
      <c r="P4787">
        <v>4.9420360000000003E-2</v>
      </c>
      <c r="Q4787">
        <v>0.1281979</v>
      </c>
      <c r="R4787">
        <v>-0.99051650000000002</v>
      </c>
      <c r="S4787">
        <v>0.21362300000000001</v>
      </c>
      <c r="T4787">
        <v>-0.26382990000000001</v>
      </c>
      <c r="U4787">
        <v>-3.0524290000000001</v>
      </c>
      <c r="V4787">
        <v>-5.0265890000000001E-2</v>
      </c>
      <c r="W4787">
        <v>0.1416404</v>
      </c>
      <c r="X4787">
        <v>0.98864110000000005</v>
      </c>
      <c r="Y4787">
        <v>-7.0378469999999999E-2</v>
      </c>
      <c r="Z4787">
        <v>8.590064E-2</v>
      </c>
      <c r="AA4787">
        <v>0.9938148</v>
      </c>
      <c r="AB4787">
        <v>30</v>
      </c>
      <c r="AC4787">
        <v>0.89910000000003198</v>
      </c>
      <c r="AD4787">
        <v>-1.1103504482690001</v>
      </c>
      <c r="AE4787">
        <v>-12.544</v>
      </c>
      <c r="AF4787">
        <v>-0.90241047872584201</v>
      </c>
      <c r="AG4787">
        <v>-1.1103504482690001</v>
      </c>
      <c r="AH4787">
        <v>12.446234387286299</v>
      </c>
      <c r="AI4787">
        <v>95.084684189480697</v>
      </c>
      <c r="AJ4787">
        <v>94.146956654615195</v>
      </c>
      <c r="AK4787">
        <v>12.528207102908</v>
      </c>
      <c r="AL4787">
        <v>81.857219282633196</v>
      </c>
      <c r="AM4787">
        <v>92.910606813376504</v>
      </c>
      <c r="AN4787">
        <v>0.99999994360942901</v>
      </c>
    </row>
    <row r="4788" spans="1:40" x14ac:dyDescent="0.25">
      <c r="A4788" t="str">
        <f>"20190312172508046"</f>
        <v>20190312172508046</v>
      </c>
      <c r="B4788" t="str">
        <f>"1552382708035832"</f>
        <v>1552382708035832</v>
      </c>
      <c r="C4788" t="s">
        <v>40</v>
      </c>
      <c r="D4788">
        <v>3.9974090000000002</v>
      </c>
      <c r="E4788">
        <v>0.49784990000000001</v>
      </c>
      <c r="F4788" t="s">
        <v>43</v>
      </c>
      <c r="G4788">
        <v>-421.49630000000002</v>
      </c>
      <c r="H4788" s="1">
        <v>-1.320044E-6</v>
      </c>
      <c r="I4788">
        <v>71.738109999999907</v>
      </c>
      <c r="J4788">
        <v>-422.40249999999997</v>
      </c>
      <c r="K4788">
        <v>1.110344</v>
      </c>
      <c r="L4788">
        <v>84.271909999999906</v>
      </c>
      <c r="M4788">
        <v>-7.2192160000000003E-4</v>
      </c>
      <c r="N4788">
        <v>0</v>
      </c>
      <c r="O4788">
        <v>-0.99990769999999995</v>
      </c>
      <c r="P4788">
        <v>5.0417820000000002E-2</v>
      </c>
      <c r="Q4788">
        <v>0.1288666</v>
      </c>
      <c r="R4788">
        <v>-0.99037989999999998</v>
      </c>
      <c r="S4788">
        <v>0.2153931</v>
      </c>
      <c r="T4788">
        <v>-0.26396570000000003</v>
      </c>
      <c r="U4788">
        <v>-3.052155</v>
      </c>
      <c r="V4788">
        <v>-5.1159469999999999E-2</v>
      </c>
      <c r="W4788">
        <v>0.1423054</v>
      </c>
      <c r="X4788">
        <v>0.98849980000000004</v>
      </c>
      <c r="Y4788">
        <v>-7.0855420000000002E-2</v>
      </c>
      <c r="Z4788">
        <v>8.5948999999999998E-2</v>
      </c>
      <c r="AA4788">
        <v>0.99377680000000002</v>
      </c>
      <c r="AB4788">
        <v>30</v>
      </c>
      <c r="AC4788">
        <v>0.90619999999995504</v>
      </c>
      <c r="AD4788">
        <v>-1.1103453200440001</v>
      </c>
      <c r="AE4788">
        <v>-12.533799999999999</v>
      </c>
      <c r="AF4788">
        <v>-0.90815898566106301</v>
      </c>
      <c r="AG4788">
        <v>-1.1103453200440001</v>
      </c>
      <c r="AH4788">
        <v>12.4360537199095</v>
      </c>
      <c r="AI4788">
        <v>95.088610381776107</v>
      </c>
      <c r="AJ4788">
        <v>94.176684762367898</v>
      </c>
      <c r="AK4788">
        <v>12.518508361520301</v>
      </c>
      <c r="AL4788">
        <v>81.818728040062595</v>
      </c>
      <c r="AM4788">
        <v>92.962680189734897</v>
      </c>
      <c r="AN4788">
        <v>0.99999998641994003</v>
      </c>
    </row>
    <row r="4789" spans="1:40" x14ac:dyDescent="0.25">
      <c r="A4789" t="str">
        <f>"20190312172508068"</f>
        <v>20190312172508068</v>
      </c>
      <c r="B4789" t="str">
        <f>"1552382708055352"</f>
        <v>1552382708055352</v>
      </c>
      <c r="C4789" t="s">
        <v>40</v>
      </c>
      <c r="D4789">
        <v>4.0192880000000004</v>
      </c>
      <c r="E4789">
        <v>0.49777519999999997</v>
      </c>
      <c r="F4789" t="s">
        <v>43</v>
      </c>
      <c r="G4789">
        <v>-421.4796</v>
      </c>
      <c r="H4789" s="1">
        <v>-1.131449E-6</v>
      </c>
      <c r="I4789">
        <v>71.308850000000007</v>
      </c>
      <c r="J4789">
        <v>-422.40260000000001</v>
      </c>
      <c r="K4789">
        <v>1.110344</v>
      </c>
      <c r="L4789">
        <v>83.985320000000002</v>
      </c>
      <c r="M4789">
        <v>-6.206753E-4</v>
      </c>
      <c r="N4789">
        <v>0</v>
      </c>
      <c r="O4789">
        <v>-0.99990749999999995</v>
      </c>
      <c r="P4789">
        <v>5.1567710000000003E-2</v>
      </c>
      <c r="Q4789">
        <v>0.1297451</v>
      </c>
      <c r="R4789">
        <v>-0.99020569999999997</v>
      </c>
      <c r="S4789">
        <v>0.21728520000000001</v>
      </c>
      <c r="T4789">
        <v>-0.2614282</v>
      </c>
      <c r="U4789">
        <v>-3.0521240000000001</v>
      </c>
      <c r="V4789">
        <v>-5.2208619999999997E-2</v>
      </c>
      <c r="W4789">
        <v>0.14317949999999999</v>
      </c>
      <c r="X4789">
        <v>0.98831869999999999</v>
      </c>
      <c r="Y4789">
        <v>-7.1373119999999998E-2</v>
      </c>
      <c r="Z4789">
        <v>8.5126240000000006E-2</v>
      </c>
      <c r="AA4789">
        <v>0.99381050000000004</v>
      </c>
      <c r="AB4789">
        <v>30</v>
      </c>
      <c r="AC4789">
        <v>0.92300000000000104</v>
      </c>
      <c r="AD4789">
        <v>-1.110345131449</v>
      </c>
      <c r="AE4789">
        <v>-12.676469999999901</v>
      </c>
      <c r="AF4789">
        <v>-0.923818190161664</v>
      </c>
      <c r="AG4789">
        <v>-1.110345131449</v>
      </c>
      <c r="AH4789">
        <v>12.5798883216868</v>
      </c>
      <c r="AI4789">
        <v>95.030578791199304</v>
      </c>
      <c r="AJ4789">
        <v>94.200040493096495</v>
      </c>
      <c r="AK4789">
        <v>12.662539103415201</v>
      </c>
      <c r="AL4789">
        <v>81.768127596967403</v>
      </c>
      <c r="AM4789">
        <v>93.0238785700476</v>
      </c>
      <c r="AN4789">
        <v>0.99999998099612197</v>
      </c>
    </row>
    <row r="4790" spans="1:40" x14ac:dyDescent="0.25">
      <c r="A4790" t="str">
        <f>"20190312172508090"</f>
        <v>20190312172508090</v>
      </c>
      <c r="B4790" t="str">
        <f>"1552382708085609"</f>
        <v>1552382708085609</v>
      </c>
      <c r="C4790" t="s">
        <v>40</v>
      </c>
      <c r="D4790">
        <v>3.922437</v>
      </c>
      <c r="E4790">
        <v>0.4608331</v>
      </c>
      <c r="F4790" t="s">
        <v>43</v>
      </c>
      <c r="G4790">
        <v>-421.4513</v>
      </c>
      <c r="H4790" s="1">
        <v>-9.3569239999999995E-7</v>
      </c>
      <c r="I4790">
        <v>70.87012</v>
      </c>
      <c r="J4790">
        <v>-422.40260000000001</v>
      </c>
      <c r="K4790">
        <v>1.1103479999999999</v>
      </c>
      <c r="L4790">
        <v>83.687740000000005</v>
      </c>
      <c r="M4790">
        <v>-5.0958860000000004E-4</v>
      </c>
      <c r="N4790">
        <v>0</v>
      </c>
      <c r="O4790">
        <v>-0.99990769999999995</v>
      </c>
      <c r="P4790">
        <v>5.356557E-2</v>
      </c>
      <c r="Q4790">
        <v>0.130189</v>
      </c>
      <c r="R4790">
        <v>-0.99004139999999996</v>
      </c>
      <c r="S4790">
        <v>0.2213745</v>
      </c>
      <c r="T4790">
        <v>-0.25838519999999998</v>
      </c>
      <c r="U4790">
        <v>-3.0520019999999999</v>
      </c>
      <c r="V4790">
        <v>-5.4096239999999997E-2</v>
      </c>
      <c r="W4790">
        <v>0.14361930000000001</v>
      </c>
      <c r="X4790">
        <v>0.98815339999999996</v>
      </c>
      <c r="Y4790">
        <v>-7.2595919999999994E-2</v>
      </c>
      <c r="Z4790">
        <v>8.4138060000000001E-2</v>
      </c>
      <c r="AA4790">
        <v>0.99380610000000003</v>
      </c>
      <c r="AB4790">
        <v>30</v>
      </c>
      <c r="AC4790">
        <v>0.95130000000000303</v>
      </c>
      <c r="AD4790">
        <v>-1.1103489356923999</v>
      </c>
      <c r="AE4790">
        <v>-12.81762</v>
      </c>
      <c r="AF4790">
        <v>-0.95073676044232402</v>
      </c>
      <c r="AG4790">
        <v>-1.1103489356923999</v>
      </c>
      <c r="AH4790">
        <v>12.7221867330293</v>
      </c>
      <c r="AI4790">
        <v>94.974140298774699</v>
      </c>
      <c r="AJ4790">
        <v>94.273804380880193</v>
      </c>
      <c r="AK4790">
        <v>12.8058896768915</v>
      </c>
      <c r="AL4790">
        <v>81.742666121218406</v>
      </c>
      <c r="AM4790">
        <v>93.133516939971102</v>
      </c>
      <c r="AN4790">
        <v>1.00000002422309</v>
      </c>
    </row>
    <row r="4791" spans="1:40" x14ac:dyDescent="0.25">
      <c r="A4791" t="str">
        <f>"20190312172508112"</f>
        <v>20190312172508112</v>
      </c>
      <c r="B4791" t="str">
        <f>"1552382708105128"</f>
        <v>1552382708105128</v>
      </c>
      <c r="C4791" t="s">
        <v>40</v>
      </c>
      <c r="D4791">
        <v>4.062513</v>
      </c>
      <c r="E4791">
        <v>0.45841359999999998</v>
      </c>
      <c r="F4791" t="s">
        <v>43</v>
      </c>
      <c r="G4791">
        <v>-419.70280000000002</v>
      </c>
      <c r="H4791" s="1">
        <v>-3.6153419999999998E-6</v>
      </c>
      <c r="I4791">
        <v>67.93732</v>
      </c>
      <c r="J4791">
        <v>-422.40260000000001</v>
      </c>
      <c r="K4791">
        <v>1.1103529999999999</v>
      </c>
      <c r="L4791">
        <v>83.38382</v>
      </c>
      <c r="M4791">
        <v>-3.9153540000000001E-4</v>
      </c>
      <c r="N4791">
        <v>0</v>
      </c>
      <c r="O4791">
        <v>-0.99990800000000002</v>
      </c>
      <c r="P4791">
        <v>5.5080099999999903E-2</v>
      </c>
      <c r="Q4791">
        <v>0.1302239</v>
      </c>
      <c r="R4791">
        <v>-0.989954</v>
      </c>
      <c r="S4791">
        <v>0.51940920000000002</v>
      </c>
      <c r="T4791">
        <v>-0.21361530000000001</v>
      </c>
      <c r="U4791">
        <v>-3.030151</v>
      </c>
      <c r="V4791">
        <v>-5.5494420000000003E-2</v>
      </c>
      <c r="W4791">
        <v>0.1436509</v>
      </c>
      <c r="X4791">
        <v>0.98807129999999999</v>
      </c>
      <c r="Y4791">
        <v>-0.1689291</v>
      </c>
      <c r="Z4791">
        <v>6.9313730000000004E-2</v>
      </c>
      <c r="AA4791">
        <v>0.98318799999999995</v>
      </c>
      <c r="AB4791">
        <v>30</v>
      </c>
      <c r="AC4791">
        <v>2.6997999999999802</v>
      </c>
      <c r="AD4791">
        <v>-1.1103566153419999</v>
      </c>
      <c r="AE4791">
        <v>-15.4465</v>
      </c>
      <c r="AF4791">
        <v>-2.6923484039384098</v>
      </c>
      <c r="AG4791">
        <v>-1.1103566153419999</v>
      </c>
      <c r="AH4791">
        <v>15.3683825165885</v>
      </c>
      <c r="AI4791">
        <v>94.070626183498504</v>
      </c>
      <c r="AJ4791">
        <v>99.936668515225804</v>
      </c>
      <c r="AK4791">
        <v>15.6418928815412</v>
      </c>
      <c r="AL4791">
        <v>81.740836841542205</v>
      </c>
      <c r="AM4791">
        <v>93.214605146354003</v>
      </c>
      <c r="AN4791">
        <v>1.0000000528028099</v>
      </c>
    </row>
    <row r="4792" spans="1:40" x14ac:dyDescent="0.25">
      <c r="A4792" t="str">
        <f>"20190312172508134"</f>
        <v>20190312172508134</v>
      </c>
      <c r="B4792" t="str">
        <f>"1552382708125624"</f>
        <v>1552382708125624</v>
      </c>
      <c r="C4792" t="s">
        <v>40</v>
      </c>
      <c r="D4792">
        <v>3.911575</v>
      </c>
      <c r="E4792">
        <v>0.4575304</v>
      </c>
      <c r="F4792" t="s">
        <v>43</v>
      </c>
      <c r="G4792">
        <v>-419.49790000000002</v>
      </c>
      <c r="H4792" s="1">
        <v>-3.336455E-6</v>
      </c>
      <c r="I4792">
        <v>67.202500000000001</v>
      </c>
      <c r="J4792">
        <v>-422.40260000000001</v>
      </c>
      <c r="K4792">
        <v>1.1103529999999999</v>
      </c>
      <c r="L4792">
        <v>83.091949999999997</v>
      </c>
      <c r="M4792">
        <v>-2.7614060000000001E-4</v>
      </c>
      <c r="N4792">
        <v>0</v>
      </c>
      <c r="O4792">
        <v>-0.99990800000000002</v>
      </c>
      <c r="P4792">
        <v>5.7483720000000002E-2</v>
      </c>
      <c r="Q4792">
        <v>0.1303861</v>
      </c>
      <c r="R4792">
        <v>-0.98979589999999995</v>
      </c>
      <c r="S4792">
        <v>0.54348750000000001</v>
      </c>
      <c r="T4792">
        <v>-0.20774980000000001</v>
      </c>
      <c r="U4792">
        <v>-3.0275569999999998</v>
      </c>
      <c r="V4792">
        <v>-5.7783660000000001E-2</v>
      </c>
      <c r="W4792">
        <v>0.14380850000000001</v>
      </c>
      <c r="X4792">
        <v>0.98791709999999999</v>
      </c>
      <c r="Y4792">
        <v>-0.17655940000000001</v>
      </c>
      <c r="Z4792">
        <v>6.7384840000000001E-2</v>
      </c>
      <c r="AA4792">
        <v>0.98198070000000004</v>
      </c>
      <c r="AB4792">
        <v>30</v>
      </c>
      <c r="AC4792">
        <v>2.9046999999999898</v>
      </c>
      <c r="AD4792">
        <v>-1.110356336455</v>
      </c>
      <c r="AE4792">
        <v>-15.889449999999901</v>
      </c>
      <c r="AF4792">
        <v>-2.8954063052642298</v>
      </c>
      <c r="AG4792">
        <v>-1.110356336455</v>
      </c>
      <c r="AH4792">
        <v>15.813921438573001</v>
      </c>
      <c r="AI4792">
        <v>93.950902297283704</v>
      </c>
      <c r="AJ4792">
        <v>100.375492827941</v>
      </c>
      <c r="AK4792">
        <v>16.115097893957302</v>
      </c>
      <c r="AL4792">
        <v>81.731711982448701</v>
      </c>
      <c r="AM4792">
        <v>93.347438833493101</v>
      </c>
      <c r="AN4792">
        <v>1.0000000162538201</v>
      </c>
    </row>
    <row r="4793" spans="1:40" x14ac:dyDescent="0.25">
      <c r="A4793" t="str">
        <f>"20190312172508156"</f>
        <v>20190312172508156</v>
      </c>
      <c r="B4793" t="str">
        <f>"1552382708145144"</f>
        <v>1552382708145144</v>
      </c>
      <c r="C4793" t="s">
        <v>40</v>
      </c>
      <c r="D4793">
        <v>4.0326620000000002</v>
      </c>
      <c r="E4793">
        <v>0.45655279999999998</v>
      </c>
      <c r="F4793" t="s">
        <v>43</v>
      </c>
      <c r="G4793">
        <v>-419.4178</v>
      </c>
      <c r="H4793" s="1">
        <v>-3.2222580000000002E-6</v>
      </c>
      <c r="I4793">
        <v>66.903210000000001</v>
      </c>
      <c r="J4793">
        <v>-422.40249999999997</v>
      </c>
      <c r="K4793">
        <v>1.1103540000000001</v>
      </c>
      <c r="L4793">
        <v>82.801059999999893</v>
      </c>
      <c r="M4793">
        <v>-1.6204199999999999E-4</v>
      </c>
      <c r="N4793">
        <v>0</v>
      </c>
      <c r="O4793">
        <v>-0.99990800000000002</v>
      </c>
      <c r="P4793">
        <v>6.0118459999999999E-2</v>
      </c>
      <c r="Q4793">
        <v>0.13062599999999999</v>
      </c>
      <c r="R4793">
        <v>-0.98960760000000003</v>
      </c>
      <c r="S4793">
        <v>0.55789180000000005</v>
      </c>
      <c r="T4793">
        <v>-0.20753959999999999</v>
      </c>
      <c r="U4793">
        <v>-3.0258790000000002</v>
      </c>
      <c r="V4793">
        <v>-6.0305879999999999E-2</v>
      </c>
      <c r="W4793">
        <v>0.14404349999999999</v>
      </c>
      <c r="X4793">
        <v>0.9877321</v>
      </c>
      <c r="Y4793">
        <v>-0.1810658</v>
      </c>
      <c r="Z4793">
        <v>6.7297399999999993E-2</v>
      </c>
      <c r="AA4793">
        <v>0.98116579999999998</v>
      </c>
      <c r="AB4793">
        <v>30</v>
      </c>
      <c r="AC4793">
        <v>2.9846999999999699</v>
      </c>
      <c r="AD4793">
        <v>-1.1103572222579901</v>
      </c>
      <c r="AE4793">
        <v>-15.897849999999901</v>
      </c>
      <c r="AF4793">
        <v>-2.97326630866523</v>
      </c>
      <c r="AG4793">
        <v>-1.1103572222579901</v>
      </c>
      <c r="AH4793">
        <v>15.8228091420079</v>
      </c>
      <c r="AI4793">
        <v>93.945293841452397</v>
      </c>
      <c r="AJ4793">
        <v>100.64235488703601</v>
      </c>
      <c r="AK4793">
        <v>16.137982985728801</v>
      </c>
      <c r="AL4793">
        <v>81.718105804499899</v>
      </c>
      <c r="AM4793">
        <v>93.493850786514301</v>
      </c>
      <c r="AN4793">
        <v>1.0000000152126101</v>
      </c>
    </row>
    <row r="4794" spans="1:40" x14ac:dyDescent="0.25">
      <c r="A4794" t="str">
        <f>"20190312172508180"</f>
        <v>20190312172508180</v>
      </c>
      <c r="B4794" t="str">
        <f>"1552382708175401"</f>
        <v>1552382708175401</v>
      </c>
      <c r="C4794" t="s">
        <v>40</v>
      </c>
      <c r="D4794">
        <v>3.9241039999999998</v>
      </c>
      <c r="E4794">
        <v>0.45550790000000002</v>
      </c>
      <c r="F4794" t="s">
        <v>43</v>
      </c>
      <c r="G4794">
        <v>-419.40010000000001</v>
      </c>
      <c r="H4794" s="1">
        <v>-3.2493770000000002E-6</v>
      </c>
      <c r="I4794">
        <v>66.959109999999995</v>
      </c>
      <c r="J4794">
        <v>-422.4024</v>
      </c>
      <c r="K4794">
        <v>1.110355</v>
      </c>
      <c r="L4794">
        <v>82.492949999999993</v>
      </c>
      <c r="M4794" s="1">
        <v>-4.4768080000000001E-5</v>
      </c>
      <c r="N4794">
        <v>0</v>
      </c>
      <c r="O4794">
        <v>-0.99990800000000002</v>
      </c>
      <c r="P4794">
        <v>6.271127E-2</v>
      </c>
      <c r="Q4794">
        <v>0.1309565</v>
      </c>
      <c r="R4794">
        <v>-0.98940300000000003</v>
      </c>
      <c r="S4794">
        <v>0.57324219999999904</v>
      </c>
      <c r="T4794">
        <v>-0.2119974</v>
      </c>
      <c r="U4794">
        <v>-3.0246580000000001</v>
      </c>
      <c r="V4794">
        <v>-6.2781939999999994E-2</v>
      </c>
      <c r="W4794">
        <v>0.1443691</v>
      </c>
      <c r="X4794">
        <v>0.98753020000000002</v>
      </c>
      <c r="Y4794">
        <v>-0.18581230000000001</v>
      </c>
      <c r="Z4794">
        <v>6.8700869999999997E-2</v>
      </c>
      <c r="AA4794">
        <v>0.98018059999999996</v>
      </c>
      <c r="AB4794">
        <v>30</v>
      </c>
      <c r="AC4794">
        <v>3.0022999999999902</v>
      </c>
      <c r="AD4794">
        <v>-1.1103582493769999</v>
      </c>
      <c r="AE4794">
        <v>-15.5338399999999</v>
      </c>
      <c r="AF4794">
        <v>-2.9882770344322802</v>
      </c>
      <c r="AG4794">
        <v>-1.1103582493769999</v>
      </c>
      <c r="AH4794">
        <v>15.457570912183201</v>
      </c>
      <c r="AI4794">
        <v>94.034209963885502</v>
      </c>
      <c r="AJ4794">
        <v>100.94151839926499</v>
      </c>
      <c r="AK4794">
        <v>15.7828765940067</v>
      </c>
      <c r="AL4794">
        <v>81.699252720763795</v>
      </c>
      <c r="AM4794">
        <v>93.637666647034905</v>
      </c>
      <c r="AN4794">
        <v>0.99999995246850504</v>
      </c>
    </row>
    <row r="4795" spans="1:40" x14ac:dyDescent="0.25">
      <c r="A4795" t="str">
        <f>"20190312172508202"</f>
        <v>20190312172508202</v>
      </c>
      <c r="B4795" t="str">
        <f>"1552382708195897"</f>
        <v>1552382708195897</v>
      </c>
      <c r="C4795" t="s">
        <v>40</v>
      </c>
      <c r="D4795">
        <v>3.8869030000000002</v>
      </c>
      <c r="E4795">
        <v>0.45512770000000002</v>
      </c>
      <c r="F4795" t="s">
        <v>43</v>
      </c>
      <c r="G4795">
        <v>-419.3417</v>
      </c>
      <c r="H4795" s="1">
        <v>-3.1947960000000002E-6</v>
      </c>
      <c r="I4795">
        <v>66.807719999999904</v>
      </c>
      <c r="J4795">
        <v>-422.40230000000003</v>
      </c>
      <c r="K4795">
        <v>1.1103540000000001</v>
      </c>
      <c r="L4795">
        <v>82.198089999999993</v>
      </c>
      <c r="M4795" s="1">
        <v>6.0031229999999997E-5</v>
      </c>
      <c r="N4795">
        <v>0</v>
      </c>
      <c r="O4795">
        <v>-0.99990800000000002</v>
      </c>
      <c r="P4795">
        <v>6.5166989999999994E-2</v>
      </c>
      <c r="Q4795">
        <v>0.13132720000000001</v>
      </c>
      <c r="R4795">
        <v>-0.98919500000000005</v>
      </c>
      <c r="S4795">
        <v>0.58990480000000001</v>
      </c>
      <c r="T4795">
        <v>-0.21400330000000001</v>
      </c>
      <c r="U4795">
        <v>-3.0230709999999998</v>
      </c>
      <c r="V4795">
        <v>-6.5133170000000004E-2</v>
      </c>
      <c r="W4795">
        <v>0.14473569999999999</v>
      </c>
      <c r="X4795">
        <v>0.98732430000000004</v>
      </c>
      <c r="Y4795">
        <v>-0.19100249999999999</v>
      </c>
      <c r="Z4795">
        <v>6.9312899999999997E-2</v>
      </c>
      <c r="AA4795">
        <v>0.97913930000000005</v>
      </c>
      <c r="AB4795">
        <v>30</v>
      </c>
      <c r="AC4795">
        <v>3.06060000000002</v>
      </c>
      <c r="AD4795">
        <v>-1.110357194796</v>
      </c>
      <c r="AE4795">
        <v>-15.390370000000001</v>
      </c>
      <c r="AF4795">
        <v>-3.0444323400509199</v>
      </c>
      <c r="AG4795">
        <v>-1.110357194796</v>
      </c>
      <c r="AH4795">
        <v>15.313876167638201</v>
      </c>
      <c r="AI4795">
        <v>94.067736194421798</v>
      </c>
      <c r="AJ4795">
        <v>101.243928229693</v>
      </c>
      <c r="AK4795">
        <v>15.6529953890921</v>
      </c>
      <c r="AL4795">
        <v>81.678025644210607</v>
      </c>
      <c r="AM4795">
        <v>93.774298082108103</v>
      </c>
      <c r="AN4795">
        <v>1.0000000130296101</v>
      </c>
    </row>
    <row r="4796" spans="1:40" x14ac:dyDescent="0.25">
      <c r="A4796" t="str">
        <f>"20190312172508224"</f>
        <v>20190312172508224</v>
      </c>
      <c r="B4796" t="str">
        <f>"1552382708215419"</f>
        <v>1552382708215419</v>
      </c>
      <c r="C4796" t="s">
        <v>40</v>
      </c>
      <c r="D4796">
        <v>4.0089880000000004</v>
      </c>
      <c r="E4796">
        <v>0.45471329999999999</v>
      </c>
      <c r="F4796" t="s">
        <v>43</v>
      </c>
      <c r="G4796">
        <v>-419.2842</v>
      </c>
      <c r="H4796" s="1">
        <v>-3.0809040000000001E-6</v>
      </c>
      <c r="I4796">
        <v>66.518460000000005</v>
      </c>
      <c r="J4796">
        <v>-422.40219999999999</v>
      </c>
      <c r="K4796">
        <v>1.110347</v>
      </c>
      <c r="L4796">
        <v>81.901489999999995</v>
      </c>
      <c r="M4796">
        <v>1.5387389999999999E-4</v>
      </c>
      <c r="N4796">
        <v>0</v>
      </c>
      <c r="O4796">
        <v>-0.99990800000000002</v>
      </c>
      <c r="P4796">
        <v>6.705113E-2</v>
      </c>
      <c r="Q4796">
        <v>0.13207720000000001</v>
      </c>
      <c r="R4796">
        <v>-0.98896949999999995</v>
      </c>
      <c r="S4796">
        <v>0.60089110000000001</v>
      </c>
      <c r="T4796">
        <v>-0.21397579999999999</v>
      </c>
      <c r="U4796">
        <v>-3.0216059999999998</v>
      </c>
      <c r="V4796">
        <v>-6.6922220000000004E-2</v>
      </c>
      <c r="W4796">
        <v>0.14548159999999999</v>
      </c>
      <c r="X4796">
        <v>0.98709499999999994</v>
      </c>
      <c r="Y4796">
        <v>-0.19442570000000001</v>
      </c>
      <c r="Z4796">
        <v>6.9289310000000007E-2</v>
      </c>
      <c r="AA4796">
        <v>0.97846699999999998</v>
      </c>
      <c r="AB4796">
        <v>30</v>
      </c>
      <c r="AC4796">
        <v>3.1179999999999901</v>
      </c>
      <c r="AD4796">
        <v>-1.1103500809039999</v>
      </c>
      <c r="AE4796">
        <v>-15.3830299999999</v>
      </c>
      <c r="AF4796">
        <v>-3.10011852023879</v>
      </c>
      <c r="AG4796">
        <v>-1.1103500809039999</v>
      </c>
      <c r="AH4796">
        <v>15.306908021188599</v>
      </c>
      <c r="AI4796">
        <v>94.066639717031293</v>
      </c>
      <c r="AJ4796">
        <v>101.449284953214</v>
      </c>
      <c r="AK4796">
        <v>15.657108459444901</v>
      </c>
      <c r="AL4796">
        <v>81.6348315117135</v>
      </c>
      <c r="AM4796">
        <v>93.878554841861302</v>
      </c>
      <c r="AN4796">
        <v>1.0000000092466399</v>
      </c>
    </row>
    <row r="4797" spans="1:40" x14ac:dyDescent="0.25">
      <c r="A4797" t="str">
        <f>"20190312172508246"</f>
        <v>20190312172508246</v>
      </c>
      <c r="B4797" t="str">
        <f>"1552382708235913"</f>
        <v>1552382708235913</v>
      </c>
      <c r="C4797" t="s">
        <v>40</v>
      </c>
      <c r="D4797">
        <v>3.8809529999999999</v>
      </c>
      <c r="E4797">
        <v>0.45445950000000002</v>
      </c>
      <c r="F4797" t="s">
        <v>43</v>
      </c>
      <c r="G4797">
        <v>-419.2407</v>
      </c>
      <c r="H4797" s="1">
        <v>-2.9745769999999999E-6</v>
      </c>
      <c r="I4797">
        <v>66.252619999999993</v>
      </c>
      <c r="J4797">
        <v>-422.40199999999999</v>
      </c>
      <c r="K4797">
        <v>1.110344</v>
      </c>
      <c r="L4797">
        <v>81.602779999999996</v>
      </c>
      <c r="M4797">
        <v>2.3575669999999999E-4</v>
      </c>
      <c r="N4797">
        <v>0</v>
      </c>
      <c r="O4797">
        <v>-0.99990820000000002</v>
      </c>
      <c r="P4797">
        <v>6.8682560000000004E-2</v>
      </c>
      <c r="Q4797">
        <v>0.1322304</v>
      </c>
      <c r="R4797">
        <v>-0.98883719999999997</v>
      </c>
      <c r="S4797">
        <v>0.61026000000000002</v>
      </c>
      <c r="T4797">
        <v>-0.21433250000000001</v>
      </c>
      <c r="U4797">
        <v>-3.020721</v>
      </c>
      <c r="V4797">
        <v>-6.8469139999999998E-2</v>
      </c>
      <c r="W4797">
        <v>0.1456326</v>
      </c>
      <c r="X4797">
        <v>0.98696660000000003</v>
      </c>
      <c r="Y4797">
        <v>-0.19731560000000001</v>
      </c>
      <c r="Z4797">
        <v>6.9383E-2</v>
      </c>
      <c r="AA4797">
        <v>0.97788169999999996</v>
      </c>
      <c r="AB4797">
        <v>30</v>
      </c>
      <c r="AC4797">
        <v>3.1612999999999798</v>
      </c>
      <c r="AD4797">
        <v>-1.110346974577</v>
      </c>
      <c r="AE4797">
        <v>-15.350160000000001</v>
      </c>
      <c r="AF4797">
        <v>-3.1419101831332501</v>
      </c>
      <c r="AG4797">
        <v>-1.110346974577</v>
      </c>
      <c r="AH4797">
        <v>15.2742374813074</v>
      </c>
      <c r="AI4797">
        <v>94.0727757811608</v>
      </c>
      <c r="AJ4797">
        <v>101.62360876289399</v>
      </c>
      <c r="AK4797">
        <v>15.633515300091799</v>
      </c>
      <c r="AL4797">
        <v>81.626086413509398</v>
      </c>
      <c r="AM4797">
        <v>93.968439783938507</v>
      </c>
      <c r="AN4797">
        <v>0.99999997341532898</v>
      </c>
    </row>
    <row r="4798" spans="1:40" x14ac:dyDescent="0.25">
      <c r="A4798" t="str">
        <f>"20190312172508269"</f>
        <v>20190312172508269</v>
      </c>
      <c r="B4798" t="str">
        <f>"1552382708255433"</f>
        <v>1552382708255433</v>
      </c>
      <c r="C4798" t="s">
        <v>40</v>
      </c>
      <c r="D4798">
        <v>3.9315060000000002</v>
      </c>
      <c r="E4798">
        <v>0.45437870000000002</v>
      </c>
      <c r="F4798" t="s">
        <v>43</v>
      </c>
      <c r="G4798">
        <v>-419.21019999999999</v>
      </c>
      <c r="H4798" s="1">
        <v>-2.865049E-6</v>
      </c>
      <c r="I4798">
        <v>65.984700000000004</v>
      </c>
      <c r="J4798">
        <v>-422.40190000000001</v>
      </c>
      <c r="K4798">
        <v>1.11032999999999</v>
      </c>
      <c r="L4798">
        <v>81.307590000000005</v>
      </c>
      <c r="M4798">
        <v>2.9985199999999997E-4</v>
      </c>
      <c r="N4798">
        <v>0</v>
      </c>
      <c r="O4798">
        <v>-0.99990820000000002</v>
      </c>
      <c r="P4798">
        <v>6.975924E-2</v>
      </c>
      <c r="Q4798">
        <v>0.13280510000000001</v>
      </c>
      <c r="R4798">
        <v>-0.98868480000000003</v>
      </c>
      <c r="S4798">
        <v>0.61712650000000002</v>
      </c>
      <c r="T4798">
        <v>-0.2146826</v>
      </c>
      <c r="U4798">
        <v>-3.019714</v>
      </c>
      <c r="V4798">
        <v>-6.9478300000000007E-2</v>
      </c>
      <c r="W4798">
        <v>0.14620569999999999</v>
      </c>
      <c r="X4798">
        <v>0.98681129999999995</v>
      </c>
      <c r="Y4798">
        <v>-0.1994495</v>
      </c>
      <c r="Z4798">
        <v>6.9487720000000003E-2</v>
      </c>
      <c r="AA4798">
        <v>0.97744120000000001</v>
      </c>
      <c r="AB4798">
        <v>30</v>
      </c>
      <c r="AC4798">
        <v>3.19170000000002</v>
      </c>
      <c r="AD4798">
        <v>-1.1103328650490001</v>
      </c>
      <c r="AE4798">
        <v>-15.322889999999999</v>
      </c>
      <c r="AF4798">
        <v>-3.1711462009107398</v>
      </c>
      <c r="AG4798">
        <v>-1.1103328650490001</v>
      </c>
      <c r="AH4798">
        <v>15.2471160868777</v>
      </c>
      <c r="AI4798">
        <v>94.078103041356002</v>
      </c>
      <c r="AJ4798">
        <v>101.749068864601</v>
      </c>
      <c r="AK4798">
        <v>15.612929137912699</v>
      </c>
      <c r="AL4798">
        <v>81.592894664966195</v>
      </c>
      <c r="AM4798">
        <v>94.027370838165496</v>
      </c>
      <c r="AN4798">
        <v>0.99999994134553305</v>
      </c>
    </row>
    <row r="4799" spans="1:40" x14ac:dyDescent="0.25">
      <c r="A4799" t="str">
        <f>"20190312172508290"</f>
        <v>20190312172508290</v>
      </c>
      <c r="B4799" t="str">
        <f>"1552382708285688"</f>
        <v>1552382708285688</v>
      </c>
      <c r="C4799" t="s">
        <v>40</v>
      </c>
      <c r="D4799">
        <v>3.9126020000000001</v>
      </c>
      <c r="E4799">
        <v>0.45429950000000002</v>
      </c>
      <c r="F4799" t="s">
        <v>43</v>
      </c>
      <c r="G4799">
        <v>-419.16669999999999</v>
      </c>
      <c r="H4799" s="1">
        <v>-2.6990439999999999E-6</v>
      </c>
      <c r="I4799">
        <v>65.579750000000004</v>
      </c>
      <c r="J4799">
        <v>-422.40170000000001</v>
      </c>
      <c r="K4799">
        <v>1.1103179999999999</v>
      </c>
      <c r="L4799">
        <v>81.018950000000004</v>
      </c>
      <c r="M4799">
        <v>3.4178380000000002E-4</v>
      </c>
      <c r="N4799">
        <v>0</v>
      </c>
      <c r="O4799">
        <v>-0.99990800000000002</v>
      </c>
      <c r="P4799">
        <v>7.0098359999999998E-2</v>
      </c>
      <c r="Q4799">
        <v>0.13380349999999999</v>
      </c>
      <c r="R4799">
        <v>-0.98852580000000001</v>
      </c>
      <c r="S4799">
        <v>0.62103269999999899</v>
      </c>
      <c r="T4799">
        <v>-0.2131429</v>
      </c>
      <c r="U4799">
        <v>-3.0191650000000001</v>
      </c>
      <c r="V4799">
        <v>-6.9770890000000002E-2</v>
      </c>
      <c r="W4799">
        <v>0.14720239999999901</v>
      </c>
      <c r="X4799">
        <v>0.98664249999999998</v>
      </c>
      <c r="Y4799">
        <v>-0.2006638</v>
      </c>
      <c r="Z4799">
        <v>6.8986549999999994E-2</v>
      </c>
      <c r="AA4799">
        <v>0.97722819999999999</v>
      </c>
      <c r="AB4799">
        <v>30</v>
      </c>
      <c r="AC4799">
        <v>3.2350000000000101</v>
      </c>
      <c r="AD4799">
        <v>-1.110320699044</v>
      </c>
      <c r="AE4799">
        <v>-15.4392</v>
      </c>
      <c r="AF4799">
        <v>-3.2138001571999801</v>
      </c>
      <c r="AG4799">
        <v>-1.110320699044</v>
      </c>
      <c r="AH4799">
        <v>15.3641852742916</v>
      </c>
      <c r="AI4799">
        <v>94.046128423064204</v>
      </c>
      <c r="AJ4799">
        <v>101.814487334487</v>
      </c>
      <c r="AK4799">
        <v>15.7359306254159</v>
      </c>
      <c r="AL4799">
        <v>81.535163599129305</v>
      </c>
      <c r="AM4799">
        <v>94.044964533167303</v>
      </c>
      <c r="AN4799">
        <v>0.99999997323169998</v>
      </c>
    </row>
    <row r="4800" spans="1:40" x14ac:dyDescent="0.25">
      <c r="A4800" t="str">
        <f>"20190312172508324"</f>
        <v>20190312172508324</v>
      </c>
      <c r="B4800" t="str">
        <f>"1552382708315944"</f>
        <v>1552382708315944</v>
      </c>
      <c r="C4800" t="s">
        <v>40</v>
      </c>
      <c r="D4800">
        <v>4.0567260000000003</v>
      </c>
      <c r="E4800">
        <v>0.45455519999999999</v>
      </c>
      <c r="F4800" t="s">
        <v>43</v>
      </c>
      <c r="G4800">
        <v>-419.12439999999998</v>
      </c>
      <c r="H4800" s="1">
        <v>-2.5110479999999998E-6</v>
      </c>
      <c r="I4800">
        <v>65.124020000000002</v>
      </c>
      <c r="J4800">
        <v>-422.4015</v>
      </c>
      <c r="K4800">
        <v>1.1103050000000001</v>
      </c>
      <c r="L4800">
        <v>80.571619999999996</v>
      </c>
      <c r="M4800">
        <v>3.7348839999999997E-4</v>
      </c>
      <c r="N4800">
        <v>0</v>
      </c>
      <c r="O4800">
        <v>-0.99990820000000002</v>
      </c>
      <c r="P4800">
        <v>6.9176580000000001E-2</v>
      </c>
      <c r="Q4800">
        <v>0.1343635</v>
      </c>
      <c r="R4800">
        <v>-0.98851520000000004</v>
      </c>
      <c r="S4800">
        <v>0.62252810000000003</v>
      </c>
      <c r="T4800">
        <v>-0.21090439999999999</v>
      </c>
      <c r="U4800">
        <v>-3.0192260000000002</v>
      </c>
      <c r="V4800">
        <v>-6.8809519999999999E-2</v>
      </c>
      <c r="W4800">
        <v>0.14776320000000001</v>
      </c>
      <c r="X4800">
        <v>0.98662620000000001</v>
      </c>
      <c r="Y4800">
        <v>-0.20110320000000001</v>
      </c>
      <c r="Z4800">
        <v>6.8257680000000001E-2</v>
      </c>
      <c r="AA4800">
        <v>0.97718899999999997</v>
      </c>
      <c r="AB4800">
        <v>30</v>
      </c>
      <c r="AC4800">
        <v>3.2771000000000101</v>
      </c>
      <c r="AD4800">
        <v>-1.1103075110480001</v>
      </c>
      <c r="AE4800">
        <v>-15.4475999999999</v>
      </c>
      <c r="AF4800">
        <v>-3.2552370424405401</v>
      </c>
      <c r="AG4800">
        <v>-1.1103075110480001</v>
      </c>
      <c r="AH4800">
        <v>15.372825372564099</v>
      </c>
      <c r="AI4800">
        <v>94.041720606464096</v>
      </c>
      <c r="AJ4800">
        <v>101.955925034163</v>
      </c>
      <c r="AK4800">
        <v>15.752876274094101</v>
      </c>
      <c r="AL4800">
        <v>81.502676978558696</v>
      </c>
      <c r="AM4800">
        <v>93.989476058977303</v>
      </c>
      <c r="AN4800">
        <v>0.99999998592165495</v>
      </c>
    </row>
    <row r="4801" spans="1:40" x14ac:dyDescent="0.25">
      <c r="A4801" t="str">
        <f>"20190312172508346"</f>
        <v>20190312172508346</v>
      </c>
      <c r="B4801" t="str">
        <f>"1552382708335468"</f>
        <v>1552382708335468</v>
      </c>
      <c r="C4801" t="s">
        <v>40</v>
      </c>
      <c r="D4801">
        <v>3.9024760000000001</v>
      </c>
      <c r="E4801">
        <v>0.4547292</v>
      </c>
      <c r="F4801" t="s">
        <v>43</v>
      </c>
      <c r="G4801">
        <v>-419.10890000000001</v>
      </c>
      <c r="H4801" s="1">
        <v>-2.2342609999999999E-6</v>
      </c>
      <c r="I4801">
        <v>64.472409999999996</v>
      </c>
      <c r="J4801">
        <v>-422.40140000000002</v>
      </c>
      <c r="K4801">
        <v>1.1102989999999999</v>
      </c>
      <c r="L4801">
        <v>80.28604</v>
      </c>
      <c r="M4801">
        <v>3.7831369999999999E-4</v>
      </c>
      <c r="N4801">
        <v>0</v>
      </c>
      <c r="O4801">
        <v>-0.99990820000000002</v>
      </c>
      <c r="P4801">
        <v>6.7805999999999894E-2</v>
      </c>
      <c r="Q4801">
        <v>0.1343365</v>
      </c>
      <c r="R4801">
        <v>-0.98861379999999999</v>
      </c>
      <c r="S4801">
        <v>0.61764529999999995</v>
      </c>
      <c r="T4801">
        <v>-0.20827619999999999</v>
      </c>
      <c r="U4801">
        <v>-3.0199579999999999</v>
      </c>
      <c r="V4801">
        <v>-6.7430329999999997E-2</v>
      </c>
      <c r="W4801">
        <v>0.1477377</v>
      </c>
      <c r="X4801">
        <v>0.98672530000000003</v>
      </c>
      <c r="Y4801">
        <v>-0.1995468</v>
      </c>
      <c r="Z4801">
        <v>6.7416740000000003E-2</v>
      </c>
      <c r="AA4801">
        <v>0.97756639999999995</v>
      </c>
      <c r="AB4801">
        <v>30</v>
      </c>
      <c r="AC4801">
        <v>3.2925000000000102</v>
      </c>
      <c r="AD4801">
        <v>-1.1103012342609999</v>
      </c>
      <c r="AE4801">
        <v>-15.81363</v>
      </c>
      <c r="AF4801">
        <v>-3.27106141101557</v>
      </c>
      <c r="AG4801">
        <v>-1.1103012342609999</v>
      </c>
      <c r="AH4801">
        <v>15.740502982349501</v>
      </c>
      <c r="AI4801">
        <v>93.950708467406699</v>
      </c>
      <c r="AJ4801">
        <v>101.739644336194</v>
      </c>
      <c r="AK4801">
        <v>16.115087518309899</v>
      </c>
      <c r="AL4801">
        <v>81.504154761629593</v>
      </c>
      <c r="AM4801">
        <v>93.909371696103804</v>
      </c>
      <c r="AN4801">
        <v>1.00000004753264</v>
      </c>
    </row>
    <row r="4802" spans="1:40" x14ac:dyDescent="0.25">
      <c r="A4802" t="str">
        <f>"20190312172508368"</f>
        <v>20190312172508368</v>
      </c>
      <c r="B4802" t="str">
        <f>"1552382708365721"</f>
        <v>1552382708365721</v>
      </c>
      <c r="C4802" t="s">
        <v>40</v>
      </c>
      <c r="D4802">
        <v>4.0500020000000001</v>
      </c>
      <c r="E4802">
        <v>0.45488000000000001</v>
      </c>
      <c r="F4802" t="s">
        <v>43</v>
      </c>
      <c r="G4802">
        <v>-419.14389999999997</v>
      </c>
      <c r="H4802" s="1">
        <v>-2.1054260000000001E-6</v>
      </c>
      <c r="I4802">
        <v>64.186589999999995</v>
      </c>
      <c r="J4802">
        <v>-422.40129999999999</v>
      </c>
      <c r="K4802">
        <v>1.1102920000000001</v>
      </c>
      <c r="L4802">
        <v>79.989620000000002</v>
      </c>
      <c r="M4802">
        <v>3.7503610000000001E-4</v>
      </c>
      <c r="N4802">
        <v>0</v>
      </c>
      <c r="O4802">
        <v>-0.99990800000000002</v>
      </c>
      <c r="P4802">
        <v>6.6004899999999894E-2</v>
      </c>
      <c r="Q4802">
        <v>0.1351098</v>
      </c>
      <c r="R4802">
        <v>-0.98862989999999995</v>
      </c>
      <c r="S4802">
        <v>0.61123660000000002</v>
      </c>
      <c r="T4802">
        <v>-0.2083392</v>
      </c>
      <c r="U4802">
        <v>-3.0209350000000001</v>
      </c>
      <c r="V4802">
        <v>-6.5629899999999894E-2</v>
      </c>
      <c r="W4802">
        <v>0.14851110000000001</v>
      </c>
      <c r="X4802">
        <v>0.98673060000000001</v>
      </c>
      <c r="Y4802">
        <v>-0.1974957</v>
      </c>
      <c r="Z4802">
        <v>6.7444000000000004E-2</v>
      </c>
      <c r="AA4802">
        <v>0.97798099999999999</v>
      </c>
      <c r="AB4802">
        <v>30</v>
      </c>
      <c r="AC4802">
        <v>3.2574000000000098</v>
      </c>
      <c r="AD4802">
        <v>-1.110294105426</v>
      </c>
      <c r="AE4802">
        <v>-15.80303</v>
      </c>
      <c r="AF4802">
        <v>-3.2361491944520999</v>
      </c>
      <c r="AG4802">
        <v>-1.110294105426</v>
      </c>
      <c r="AH4802">
        <v>15.7297694154233</v>
      </c>
      <c r="AI4802">
        <v>93.954994412977499</v>
      </c>
      <c r="AJ4802">
        <v>101.62548224868399</v>
      </c>
      <c r="AK4802">
        <v>16.0975482751779</v>
      </c>
      <c r="AL4802">
        <v>81.459347984566094</v>
      </c>
      <c r="AM4802">
        <v>93.8052796292652</v>
      </c>
      <c r="AN4802">
        <v>1.0000000537867799</v>
      </c>
    </row>
    <row r="4803" spans="1:40" x14ac:dyDescent="0.25">
      <c r="A4803" t="str">
        <f>"20190312172508392"</f>
        <v>20190312172508392</v>
      </c>
      <c r="B4803" t="str">
        <f>"1552382708385241"</f>
        <v>1552382708385241</v>
      </c>
      <c r="C4803" t="s">
        <v>40</v>
      </c>
      <c r="D4803">
        <v>4.0068999999999999</v>
      </c>
      <c r="E4803">
        <v>0.4777363</v>
      </c>
      <c r="F4803" t="s">
        <v>43</v>
      </c>
      <c r="G4803">
        <v>-419.15730000000002</v>
      </c>
      <c r="H4803" s="1">
        <v>-1.9287740000000002E-6</v>
      </c>
      <c r="I4803">
        <v>63.780329999999999</v>
      </c>
      <c r="J4803">
        <v>-422.40120000000002</v>
      </c>
      <c r="K4803">
        <v>1.1102810000000001</v>
      </c>
      <c r="L4803">
        <v>79.686070000000001</v>
      </c>
      <c r="M4803">
        <v>3.6440499999999999E-4</v>
      </c>
      <c r="N4803">
        <v>0</v>
      </c>
      <c r="O4803">
        <v>-0.99990820000000002</v>
      </c>
      <c r="P4803">
        <v>6.3455499999999998E-2</v>
      </c>
      <c r="Q4803">
        <v>0.13587839999999901</v>
      </c>
      <c r="R4803">
        <v>-0.98869169999999995</v>
      </c>
      <c r="S4803">
        <v>0.60488889999999995</v>
      </c>
      <c r="T4803">
        <v>-0.2070265</v>
      </c>
      <c r="U4803">
        <v>-3.0224000000000002</v>
      </c>
      <c r="V4803">
        <v>-6.3089080000000006E-2</v>
      </c>
      <c r="W4803">
        <v>0.14927960000000001</v>
      </c>
      <c r="X4803">
        <v>0.98678030000000005</v>
      </c>
      <c r="Y4803">
        <v>-0.19544510000000001</v>
      </c>
      <c r="Z4803">
        <v>6.7016870000000006E-2</v>
      </c>
      <c r="AA4803">
        <v>0.97842220000000002</v>
      </c>
      <c r="AB4803">
        <v>30</v>
      </c>
      <c r="AC4803">
        <v>3.2438999999999898</v>
      </c>
      <c r="AD4803">
        <v>-1.1102829287739999</v>
      </c>
      <c r="AE4803">
        <v>-15.9057399999999</v>
      </c>
      <c r="AF4803">
        <v>-3.2230257716572299</v>
      </c>
      <c r="AG4803">
        <v>-1.1102829287739999</v>
      </c>
      <c r="AH4803">
        <v>15.832854876406801</v>
      </c>
      <c r="AI4803">
        <v>93.930954173368406</v>
      </c>
      <c r="AJ4803">
        <v>101.506237541844</v>
      </c>
      <c r="AK4803">
        <v>16.195675868701802</v>
      </c>
      <c r="AL4803">
        <v>81.414819319806</v>
      </c>
      <c r="AM4803">
        <v>93.658184979130596</v>
      </c>
      <c r="AN4803">
        <v>0.99999999572974796</v>
      </c>
    </row>
    <row r="4804" spans="1:40" x14ac:dyDescent="0.25">
      <c r="A4804" t="str">
        <f>"20190312172508413"</f>
        <v>20190312172508413</v>
      </c>
      <c r="B4804" t="str">
        <f>"1552382708405736"</f>
        <v>1552382708405736</v>
      </c>
      <c r="C4804" t="s">
        <v>40</v>
      </c>
      <c r="D4804">
        <v>4.0231120000000002</v>
      </c>
      <c r="E4804">
        <v>0.52194700000000005</v>
      </c>
      <c r="F4804" t="s">
        <v>43</v>
      </c>
      <c r="G4804">
        <v>-418.97899999999998</v>
      </c>
      <c r="H4804" s="1">
        <v>-2.2284569999999998E-6</v>
      </c>
      <c r="I4804">
        <v>54.405169999999998</v>
      </c>
      <c r="J4804">
        <v>-422.40109999999999</v>
      </c>
      <c r="K4804">
        <v>1.1102749999999999</v>
      </c>
      <c r="L4804">
        <v>79.393889999999999</v>
      </c>
      <c r="M4804">
        <v>3.4633249999999998E-4</v>
      </c>
      <c r="N4804">
        <v>0</v>
      </c>
      <c r="O4804">
        <v>-0.99990800000000002</v>
      </c>
      <c r="P4804">
        <v>6.0948620000000002E-2</v>
      </c>
      <c r="Q4804">
        <v>0.13555639999999999</v>
      </c>
      <c r="R4804">
        <v>-0.98889340000000003</v>
      </c>
      <c r="S4804">
        <v>0.40966799999999998</v>
      </c>
      <c r="T4804">
        <v>-0.1329089</v>
      </c>
      <c r="U4804">
        <v>-3.0263059999999999</v>
      </c>
      <c r="V4804">
        <v>-6.0597529999999997E-2</v>
      </c>
      <c r="W4804">
        <v>0.14895990000000001</v>
      </c>
      <c r="X4804">
        <v>0.98698470000000005</v>
      </c>
      <c r="Y4804">
        <v>-0.1336754</v>
      </c>
      <c r="Z4804">
        <v>4.3480779999999997E-2</v>
      </c>
      <c r="AA4804">
        <v>0.99007089999999998</v>
      </c>
      <c r="AB4804">
        <v>29</v>
      </c>
      <c r="AC4804">
        <v>3.42209999999994</v>
      </c>
      <c r="AD4804">
        <v>-1.1102772284569999</v>
      </c>
      <c r="AE4804">
        <v>-24.988720000000001</v>
      </c>
      <c r="AF4804">
        <v>-3.4068428661747201</v>
      </c>
      <c r="AG4804">
        <v>-1.1102772284569999</v>
      </c>
      <c r="AH4804">
        <v>24.941572404833401</v>
      </c>
      <c r="AI4804">
        <v>92.525426535928005</v>
      </c>
      <c r="AJ4804">
        <v>97.778064276673007</v>
      </c>
      <c r="AK4804">
        <v>25.197645284120899</v>
      </c>
      <c r="AL4804">
        <v>81.433343551902794</v>
      </c>
      <c r="AM4804">
        <v>93.513357359391705</v>
      </c>
      <c r="AN4804">
        <v>0.99999995524209895</v>
      </c>
    </row>
    <row r="4805" spans="1:40" x14ac:dyDescent="0.25">
      <c r="A4805" t="str">
        <f>"20190312172508435"</f>
        <v>20190312172508435</v>
      </c>
      <c r="B4805" t="str">
        <f>"1552382708425257"</f>
        <v>1552382708425257</v>
      </c>
      <c r="C4805" t="s">
        <v>40</v>
      </c>
      <c r="D4805">
        <v>3.96895</v>
      </c>
      <c r="E4805">
        <v>0.52305900000000005</v>
      </c>
      <c r="F4805" t="s">
        <v>43</v>
      </c>
      <c r="G4805">
        <v>-422.10379999999998</v>
      </c>
      <c r="H4805" s="1">
        <v>-1.9433589999999998E-6</v>
      </c>
      <c r="I4805">
        <v>62.814309999999999</v>
      </c>
      <c r="J4805">
        <v>-422.40100000000001</v>
      </c>
      <c r="K4805">
        <v>1.1102700000000001</v>
      </c>
      <c r="L4805">
        <v>79.106380000000001</v>
      </c>
      <c r="M4805">
        <v>3.208765E-4</v>
      </c>
      <c r="N4805">
        <v>0</v>
      </c>
      <c r="O4805">
        <v>-0.99990820000000002</v>
      </c>
      <c r="P4805">
        <v>5.875491E-2</v>
      </c>
      <c r="Q4805">
        <v>0.13567889999999999</v>
      </c>
      <c r="R4805">
        <v>-0.98900949999999999</v>
      </c>
      <c r="S4805">
        <v>5.4840090000000001E-2</v>
      </c>
      <c r="T4805">
        <v>-0.20480909999999999</v>
      </c>
      <c r="U4805">
        <v>-3.0583800000000001</v>
      </c>
      <c r="V4805">
        <v>-5.8426209999999999E-2</v>
      </c>
      <c r="W4805">
        <v>0.14908350000000001</v>
      </c>
      <c r="X4805">
        <v>0.987097</v>
      </c>
      <c r="Y4805">
        <v>-1.7567300000000001E-2</v>
      </c>
      <c r="Z4805">
        <v>6.680635E-2</v>
      </c>
      <c r="AA4805">
        <v>0.99761129999999998</v>
      </c>
      <c r="AB4805">
        <v>29</v>
      </c>
      <c r="AC4805">
        <v>0.29720000000003199</v>
      </c>
      <c r="AD4805">
        <v>-1.110271943359</v>
      </c>
      <c r="AE4805">
        <v>-16.292069999999999</v>
      </c>
      <c r="AF4805">
        <v>-0.29062251717480198</v>
      </c>
      <c r="AG4805">
        <v>-1.110271943359</v>
      </c>
      <c r="AH4805">
        <v>16.216875990940601</v>
      </c>
      <c r="AI4805">
        <v>93.915958732216495</v>
      </c>
      <c r="AJ4805">
        <v>91.026687348091102</v>
      </c>
      <c r="AK4805">
        <v>16.257436210585201</v>
      </c>
      <c r="AL4805">
        <v>81.426182208879098</v>
      </c>
      <c r="AM4805">
        <v>93.387381473568794</v>
      </c>
      <c r="AN4805">
        <v>0.99999999969810704</v>
      </c>
    </row>
    <row r="4806" spans="1:40" x14ac:dyDescent="0.25">
      <c r="A4806" t="str">
        <f>"20190312172508459"</f>
        <v>20190312172508459</v>
      </c>
      <c r="B4806" t="str">
        <f>"1552382708455514"</f>
        <v>1552382708455514</v>
      </c>
      <c r="C4806" t="s">
        <v>40</v>
      </c>
      <c r="D4806">
        <v>3.9830730000000001</v>
      </c>
      <c r="E4806">
        <v>0.5240648</v>
      </c>
      <c r="F4806" t="s">
        <v>43</v>
      </c>
      <c r="G4806">
        <v>-422.1859</v>
      </c>
      <c r="H4806" s="1">
        <v>-1.8661030000000001E-6</v>
      </c>
      <c r="I4806">
        <v>62.583269999999999</v>
      </c>
      <c r="J4806">
        <v>-422.40100000000001</v>
      </c>
      <c r="K4806">
        <v>1.110263</v>
      </c>
      <c r="L4806">
        <v>78.804410000000004</v>
      </c>
      <c r="M4806">
        <v>2.8720580000000001E-4</v>
      </c>
      <c r="N4806">
        <v>0</v>
      </c>
      <c r="O4806">
        <v>-0.99990820000000002</v>
      </c>
      <c r="P4806">
        <v>5.6504209999999999E-2</v>
      </c>
      <c r="Q4806">
        <v>0.13600909999999999</v>
      </c>
      <c r="R4806">
        <v>-0.9890951</v>
      </c>
      <c r="S4806">
        <v>3.9825439999999997E-2</v>
      </c>
      <c r="T4806">
        <v>-0.20556140000000001</v>
      </c>
      <c r="U4806">
        <v>-3.0591740000000001</v>
      </c>
      <c r="V4806">
        <v>-5.6205350000000001E-2</v>
      </c>
      <c r="W4806">
        <v>0.14941450000000001</v>
      </c>
      <c r="X4806">
        <v>0.9871759</v>
      </c>
      <c r="Y4806">
        <v>-1.270077E-2</v>
      </c>
      <c r="Z4806">
        <v>6.7038340000000002E-2</v>
      </c>
      <c r="AA4806">
        <v>0.99766960000000005</v>
      </c>
      <c r="AB4806">
        <v>29</v>
      </c>
      <c r="AC4806">
        <v>0.21510000000000601</v>
      </c>
      <c r="AD4806">
        <v>-1.1102648661029999</v>
      </c>
      <c r="AE4806">
        <v>-16.221139999999998</v>
      </c>
      <c r="AF4806">
        <v>-0.20945965540439901</v>
      </c>
      <c r="AG4806">
        <v>-1.1102648661029999</v>
      </c>
      <c r="AH4806">
        <v>16.1455757249167</v>
      </c>
      <c r="AI4806">
        <v>93.933472398079203</v>
      </c>
      <c r="AJ4806">
        <v>90.743267457647306</v>
      </c>
      <c r="AK4806">
        <v>16.185060299830901</v>
      </c>
      <c r="AL4806">
        <v>81.407002452804505</v>
      </c>
      <c r="AM4806">
        <v>93.258645562329605</v>
      </c>
      <c r="AN4806">
        <v>0.99999999585984101</v>
      </c>
    </row>
    <row r="4807" spans="1:40" x14ac:dyDescent="0.25">
      <c r="A4807" t="str">
        <f>"20190312172508482"</f>
        <v>20190312172508482</v>
      </c>
      <c r="B4807" t="str">
        <f>"1552382708475033"</f>
        <v>1552382708475033</v>
      </c>
      <c r="C4807" t="s">
        <v>40</v>
      </c>
      <c r="D4807">
        <v>3.9904649999999999</v>
      </c>
      <c r="E4807">
        <v>0.52420619999999996</v>
      </c>
      <c r="F4807" t="s">
        <v>43</v>
      </c>
      <c r="G4807">
        <v>-422.26900000000001</v>
      </c>
      <c r="H4807" s="1">
        <v>-1.681542E-6</v>
      </c>
      <c r="I4807">
        <v>62.101509999999998</v>
      </c>
      <c r="J4807">
        <v>-422.40089999999998</v>
      </c>
      <c r="K4807">
        <v>1.110258</v>
      </c>
      <c r="L4807">
        <v>78.493290000000002</v>
      </c>
      <c r="M4807">
        <v>2.4553269999999999E-4</v>
      </c>
      <c r="N4807">
        <v>0</v>
      </c>
      <c r="O4807">
        <v>-0.99990820000000002</v>
      </c>
      <c r="P4807">
        <v>5.366199E-2</v>
      </c>
      <c r="Q4807">
        <v>0.1369031</v>
      </c>
      <c r="R4807">
        <v>-0.98913010000000001</v>
      </c>
      <c r="S4807">
        <v>2.4169920000000001E-2</v>
      </c>
      <c r="T4807">
        <v>-0.2033799</v>
      </c>
      <c r="U4807">
        <v>-3.0596619999999999</v>
      </c>
      <c r="V4807">
        <v>-5.3401270000000001E-2</v>
      </c>
      <c r="W4807">
        <v>0.15030789999999999</v>
      </c>
      <c r="X4807">
        <v>0.98719599999999996</v>
      </c>
      <c r="Y4807">
        <v>-7.6363539999999997E-3</v>
      </c>
      <c r="Z4807">
        <v>6.6322989999999998E-2</v>
      </c>
      <c r="AA4807">
        <v>0.99776900000000002</v>
      </c>
      <c r="AB4807">
        <v>29</v>
      </c>
      <c r="AC4807">
        <v>0.13189999999997301</v>
      </c>
      <c r="AD4807">
        <v>-1.1102596815420001</v>
      </c>
      <c r="AE4807">
        <v>-16.391780000000001</v>
      </c>
      <c r="AF4807">
        <v>-0.12729097111527099</v>
      </c>
      <c r="AG4807">
        <v>-1.1102596815420001</v>
      </c>
      <c r="AH4807">
        <v>16.3169591015062</v>
      </c>
      <c r="AI4807">
        <v>93.892475591572804</v>
      </c>
      <c r="AJ4807">
        <v>90.446963642232603</v>
      </c>
      <c r="AK4807">
        <v>16.355183700344401</v>
      </c>
      <c r="AL4807">
        <v>81.355230218379404</v>
      </c>
      <c r="AM4807">
        <v>93.096333730089896</v>
      </c>
      <c r="AN4807">
        <v>1.0000000514280101</v>
      </c>
    </row>
    <row r="4808" spans="1:40" x14ac:dyDescent="0.25">
      <c r="A4808" t="str">
        <f>"20190312172508503"</f>
        <v>20190312172508503</v>
      </c>
      <c r="B4808" t="str">
        <f>"1552382708495532"</f>
        <v>1552382708495532</v>
      </c>
      <c r="C4808" t="s">
        <v>40</v>
      </c>
      <c r="D4808">
        <v>3.9830830000000002</v>
      </c>
      <c r="E4808">
        <v>0.52424179999999998</v>
      </c>
      <c r="F4808" t="s">
        <v>43</v>
      </c>
      <c r="G4808">
        <v>-422.3218</v>
      </c>
      <c r="H4808" s="1">
        <v>-1.557005E-6</v>
      </c>
      <c r="I4808">
        <v>61.778500000000001</v>
      </c>
      <c r="J4808">
        <v>-422.40089999999998</v>
      </c>
      <c r="K4808">
        <v>1.1102540000000001</v>
      </c>
      <c r="L4808">
        <v>78.2196</v>
      </c>
      <c r="M4808">
        <v>2.0348849999999999E-4</v>
      </c>
      <c r="N4808">
        <v>0</v>
      </c>
      <c r="O4808">
        <v>-0.99990840000000003</v>
      </c>
      <c r="P4808">
        <v>5.1447560000000003E-2</v>
      </c>
      <c r="Q4808">
        <v>0.13727899999999901</v>
      </c>
      <c r="R4808">
        <v>-0.98919559999999995</v>
      </c>
      <c r="S4808">
        <v>1.4495849999999999E-2</v>
      </c>
      <c r="T4808">
        <v>-0.20327690000000001</v>
      </c>
      <c r="U4808">
        <v>-3.0603030000000002</v>
      </c>
      <c r="V4808">
        <v>-5.1227149999999999E-2</v>
      </c>
      <c r="W4808">
        <v>0.1506836</v>
      </c>
      <c r="X4808">
        <v>0.98725390000000002</v>
      </c>
      <c r="Y4808">
        <v>-4.5227660000000001E-3</v>
      </c>
      <c r="Z4808">
        <v>6.6277030000000001E-2</v>
      </c>
      <c r="AA4808">
        <v>0.99779099999999998</v>
      </c>
      <c r="AB4808">
        <v>29</v>
      </c>
      <c r="AC4808">
        <v>7.9099999999982601E-2</v>
      </c>
      <c r="AD4808">
        <v>-1.1102555570049999</v>
      </c>
      <c r="AE4808">
        <v>-16.441099999999999</v>
      </c>
      <c r="AF4808">
        <v>-7.5410239137355603E-2</v>
      </c>
      <c r="AG4808">
        <v>-1.1102555570049999</v>
      </c>
      <c r="AH4808">
        <v>16.3664830007178</v>
      </c>
      <c r="AI4808">
        <v>93.880795543301105</v>
      </c>
      <c r="AJ4808">
        <v>90.263994277742896</v>
      </c>
      <c r="AK4808">
        <v>16.404271392500501</v>
      </c>
      <c r="AL4808">
        <v>81.333455890679204</v>
      </c>
      <c r="AM4808">
        <v>92.970329685186897</v>
      </c>
      <c r="AN4808">
        <v>1.0000000156356399</v>
      </c>
    </row>
    <row r="4809" spans="1:40" x14ac:dyDescent="0.25">
      <c r="A4809" t="str">
        <f>"20190312172508524"</f>
        <v>20190312172508524</v>
      </c>
      <c r="B4809" t="str">
        <f>"1552382708515049"</f>
        <v>1552382708515049</v>
      </c>
      <c r="C4809" t="s">
        <v>40</v>
      </c>
      <c r="D4809">
        <v>4.2400859999999998</v>
      </c>
      <c r="E4809">
        <v>0.52430310000000002</v>
      </c>
      <c r="F4809" t="s">
        <v>43</v>
      </c>
      <c r="G4809">
        <v>-422.36020000000002</v>
      </c>
      <c r="H4809" s="1">
        <v>-1.496755E-6</v>
      </c>
      <c r="I4809">
        <v>61.614229999999999</v>
      </c>
      <c r="J4809">
        <v>-422.40089999999998</v>
      </c>
      <c r="K4809">
        <v>1.1102540000000001</v>
      </c>
      <c r="L4809">
        <v>77.932680000000005</v>
      </c>
      <c r="M4809">
        <v>1.558357E-4</v>
      </c>
      <c r="N4809">
        <v>0</v>
      </c>
      <c r="O4809">
        <v>-0.99990840000000003</v>
      </c>
      <c r="P4809">
        <v>4.7830600000000001E-2</v>
      </c>
      <c r="Q4809">
        <v>0.13826179999999999</v>
      </c>
      <c r="R4809">
        <v>-0.98924049999999997</v>
      </c>
      <c r="S4809">
        <v>7.5073240000000001E-3</v>
      </c>
      <c r="T4809">
        <v>-0.2046462</v>
      </c>
      <c r="U4809">
        <v>-3.0607600000000001</v>
      </c>
      <c r="V4809">
        <v>-4.7655950000000002E-2</v>
      </c>
      <c r="W4809">
        <v>0.15166499999999999</v>
      </c>
      <c r="X4809">
        <v>0.98728249999999995</v>
      </c>
      <c r="Y4809">
        <v>-2.2914440000000001E-3</v>
      </c>
      <c r="Z4809">
        <v>6.6712110000000005E-2</v>
      </c>
      <c r="AA4809">
        <v>0.99776969999999998</v>
      </c>
      <c r="AB4809">
        <v>29</v>
      </c>
      <c r="AC4809">
        <v>4.0699999999958401E-2</v>
      </c>
      <c r="AD4809">
        <v>-1.110255496755</v>
      </c>
      <c r="AE4809">
        <v>-16.318449999999999</v>
      </c>
      <c r="AF4809">
        <v>-3.7980956391152898E-2</v>
      </c>
      <c r="AG4809">
        <v>-1.110255496755</v>
      </c>
      <c r="AH4809">
        <v>16.243266381421201</v>
      </c>
      <c r="AI4809">
        <v>93.910173644201606</v>
      </c>
      <c r="AJ4809">
        <v>90.133972101792807</v>
      </c>
      <c r="AK4809">
        <v>16.281210414429601</v>
      </c>
      <c r="AL4809">
        <v>81.2765723392735</v>
      </c>
      <c r="AM4809">
        <v>92.763512073823605</v>
      </c>
      <c r="AN4809">
        <v>1.00000004830082</v>
      </c>
    </row>
    <row r="4810" spans="1:40" x14ac:dyDescent="0.25">
      <c r="A4810" t="str">
        <f>"20190312172508547"</f>
        <v>20190312172508547</v>
      </c>
      <c r="B4810" t="str">
        <f>"1552382708535558"</f>
        <v>1552382708535558</v>
      </c>
      <c r="C4810" t="s">
        <v>40</v>
      </c>
      <c r="D4810">
        <v>3.9835090000000002</v>
      </c>
      <c r="E4810">
        <v>0.52426649999999997</v>
      </c>
      <c r="F4810" t="s">
        <v>43</v>
      </c>
      <c r="G4810">
        <v>-422.4298</v>
      </c>
      <c r="H4810" s="1">
        <v>-1.3351609999999999E-6</v>
      </c>
      <c r="I4810">
        <v>61.194389999999999</v>
      </c>
      <c r="J4810">
        <v>-422.40089999999998</v>
      </c>
      <c r="K4810">
        <v>1.11026</v>
      </c>
      <c r="L4810">
        <v>77.643590000000003</v>
      </c>
      <c r="M4810">
        <v>1.064533E-4</v>
      </c>
      <c r="N4810">
        <v>0</v>
      </c>
      <c r="O4810">
        <v>-0.99990820000000002</v>
      </c>
      <c r="P4810">
        <v>4.3862600000000002E-2</v>
      </c>
      <c r="Q4810">
        <v>0.13959540000000001</v>
      </c>
      <c r="R4810">
        <v>-0.98923669999999997</v>
      </c>
      <c r="S4810">
        <v>-5.2795409999999996E-3</v>
      </c>
      <c r="T4810">
        <v>-0.2030555</v>
      </c>
      <c r="U4810">
        <v>-3.0612789999999999</v>
      </c>
      <c r="V4810">
        <v>-4.3736259999999999E-2</v>
      </c>
      <c r="W4810">
        <v>0.1529963</v>
      </c>
      <c r="X4810">
        <v>0.98725839999999998</v>
      </c>
      <c r="Y4810">
        <v>1.827298E-3</v>
      </c>
      <c r="Z4810">
        <v>6.6184740000000006E-2</v>
      </c>
      <c r="AA4810">
        <v>0.99780570000000002</v>
      </c>
      <c r="AB4810">
        <v>29</v>
      </c>
      <c r="AC4810">
        <v>-2.8900000000021402E-2</v>
      </c>
      <c r="AD4810">
        <v>-1.110261335161</v>
      </c>
      <c r="AE4810">
        <v>-16.449199999999902</v>
      </c>
      <c r="AF4810">
        <v>3.05122262506912E-2</v>
      </c>
      <c r="AG4810">
        <v>-1.110261335161</v>
      </c>
      <c r="AH4810">
        <v>16.3745983147017</v>
      </c>
      <c r="AI4810">
        <v>93.8789325391284</v>
      </c>
      <c r="AJ4810">
        <v>89.893235868708402</v>
      </c>
      <c r="AK4810">
        <v>16.4122235299224</v>
      </c>
      <c r="AL4810">
        <v>81.199392784066802</v>
      </c>
      <c r="AM4810">
        <v>92.536585876575103</v>
      </c>
      <c r="AN4810">
        <v>0.99999993831151601</v>
      </c>
    </row>
    <row r="4811" spans="1:40" x14ac:dyDescent="0.25">
      <c r="A4811" t="str">
        <f>"20190312172508569"</f>
        <v>20190312172508569</v>
      </c>
      <c r="B4811" t="str">
        <f>"1552382708565800"</f>
        <v>1552382708565800</v>
      </c>
      <c r="C4811" t="s">
        <v>40</v>
      </c>
      <c r="D4811">
        <v>3.978005</v>
      </c>
      <c r="E4811">
        <v>0.52409929999999905</v>
      </c>
      <c r="F4811" t="s">
        <v>43</v>
      </c>
      <c r="G4811">
        <v>-422.4948</v>
      </c>
      <c r="H4811" s="1">
        <v>-1.0999940000000001E-6</v>
      </c>
      <c r="I4811">
        <v>60.605840000000001</v>
      </c>
      <c r="J4811">
        <v>-422.40100000000001</v>
      </c>
      <c r="K4811">
        <v>1.110266</v>
      </c>
      <c r="L4811">
        <v>77.34863</v>
      </c>
      <c r="M4811" s="1">
        <v>5.5804599999999998E-5</v>
      </c>
      <c r="N4811">
        <v>0</v>
      </c>
      <c r="O4811">
        <v>-0.99990820000000002</v>
      </c>
      <c r="P4811">
        <v>3.964078E-2</v>
      </c>
      <c r="Q4811">
        <v>0.14078640000000001</v>
      </c>
      <c r="R4811">
        <v>-0.98924619999999996</v>
      </c>
      <c r="S4811">
        <v>-1.6876220000000001E-2</v>
      </c>
      <c r="T4811">
        <v>-0.1995034</v>
      </c>
      <c r="U4811">
        <v>-3.0615230000000002</v>
      </c>
      <c r="V4811">
        <v>-3.9564589999999997E-2</v>
      </c>
      <c r="W4811">
        <v>0.15418509999999999</v>
      </c>
      <c r="X4811">
        <v>0.9872495</v>
      </c>
      <c r="Y4811">
        <v>5.5564189999999999E-3</v>
      </c>
      <c r="Z4811">
        <v>6.5025840000000001E-2</v>
      </c>
      <c r="AA4811">
        <v>0.99786810000000004</v>
      </c>
      <c r="AB4811">
        <v>29</v>
      </c>
      <c r="AC4811">
        <v>-9.3799999999987393E-2</v>
      </c>
      <c r="AD4811">
        <v>-1.1102670999940001</v>
      </c>
      <c r="AE4811">
        <v>-16.742789999999999</v>
      </c>
      <c r="AF4811">
        <v>9.4319658919298499E-2</v>
      </c>
      <c r="AG4811">
        <v>-1.1102670999940001</v>
      </c>
      <c r="AH4811">
        <v>16.669484091741101</v>
      </c>
      <c r="AI4811">
        <v>93.810483092458398</v>
      </c>
      <c r="AJ4811">
        <v>89.675811160037895</v>
      </c>
      <c r="AK4811">
        <v>16.7066839652936</v>
      </c>
      <c r="AL4811">
        <v>81.130462103234194</v>
      </c>
      <c r="AM4811">
        <v>92.294933160963893</v>
      </c>
      <c r="AN4811">
        <v>0.99999998854706396</v>
      </c>
    </row>
    <row r="4812" spans="1:40" x14ac:dyDescent="0.25">
      <c r="A4812" t="str">
        <f>"20190312172508593"</f>
        <v>20190312172508593</v>
      </c>
      <c r="B4812" t="str">
        <f>"1552382708585324"</f>
        <v>1552382708585324</v>
      </c>
      <c r="C4812" t="s">
        <v>40</v>
      </c>
      <c r="D4812">
        <v>3.9723000000000002</v>
      </c>
      <c r="E4812">
        <v>0.54761610000000005</v>
      </c>
      <c r="F4812" t="s">
        <v>43</v>
      </c>
      <c r="G4812">
        <v>-422.56389999999999</v>
      </c>
      <c r="H4812" s="1">
        <v>-9.2814999999999996E-7</v>
      </c>
      <c r="I4812">
        <v>60.162460000000003</v>
      </c>
      <c r="J4812">
        <v>-422.40100000000001</v>
      </c>
      <c r="K4812">
        <v>1.110271</v>
      </c>
      <c r="L4812">
        <v>77.047609999999906</v>
      </c>
      <c r="M4812" s="1">
        <v>5.8372270000000003E-6</v>
      </c>
      <c r="N4812">
        <v>0</v>
      </c>
      <c r="O4812">
        <v>-0.99990840000000003</v>
      </c>
      <c r="P4812">
        <v>3.5326759999999999E-2</v>
      </c>
      <c r="Q4812">
        <v>0.1415582</v>
      </c>
      <c r="R4812">
        <v>-0.9892995</v>
      </c>
      <c r="S4812">
        <v>-2.9022220000000001E-2</v>
      </c>
      <c r="T4812">
        <v>-0.19780919999999999</v>
      </c>
      <c r="U4812">
        <v>-3.0619510000000001</v>
      </c>
      <c r="V4812">
        <v>-3.5300049999999999E-2</v>
      </c>
      <c r="W4812">
        <v>0.15495539999999999</v>
      </c>
      <c r="X4812">
        <v>0.98729060000000002</v>
      </c>
      <c r="Y4812">
        <v>9.4640390000000005E-3</v>
      </c>
      <c r="Z4812">
        <v>6.4465079999999994E-2</v>
      </c>
      <c r="AA4812">
        <v>0.99787510000000001</v>
      </c>
      <c r="AB4812">
        <v>29</v>
      </c>
      <c r="AC4812">
        <v>-0.16289999999997901</v>
      </c>
      <c r="AD4812">
        <v>-1.11027192815</v>
      </c>
      <c r="AE4812">
        <v>-16.8851499999999</v>
      </c>
      <c r="AF4812">
        <v>0.16229692436729001</v>
      </c>
      <c r="AG4812">
        <v>-1.11027192815</v>
      </c>
      <c r="AH4812">
        <v>16.812464877540599</v>
      </c>
      <c r="AI4812">
        <v>93.778072451053006</v>
      </c>
      <c r="AJ4812">
        <v>89.446919887713605</v>
      </c>
      <c r="AK4812">
        <v>16.849867041155999</v>
      </c>
      <c r="AL4812">
        <v>81.085790383350499</v>
      </c>
      <c r="AM4812">
        <v>92.047707818609595</v>
      </c>
      <c r="AN4812">
        <v>0.99999999918376103</v>
      </c>
    </row>
    <row r="4813" spans="1:40" x14ac:dyDescent="0.25">
      <c r="A4813" t="str">
        <f>"20190312172508614"</f>
        <v>20190312172508614</v>
      </c>
      <c r="B4813" t="str">
        <f>"1552382708605820"</f>
        <v>1552382708605820</v>
      </c>
      <c r="C4813" t="s">
        <v>40</v>
      </c>
      <c r="D4813">
        <v>3.959244</v>
      </c>
      <c r="E4813">
        <v>0.55180680000000004</v>
      </c>
      <c r="F4813" t="s">
        <v>43</v>
      </c>
      <c r="G4813">
        <v>-423.69819999999999</v>
      </c>
      <c r="H4813" s="1">
        <v>-1.082897E-6</v>
      </c>
      <c r="I4813">
        <v>59.819659999999999</v>
      </c>
      <c r="J4813">
        <v>-422.40109999999999</v>
      </c>
      <c r="K4813">
        <v>1.1102749999999999</v>
      </c>
      <c r="L4813">
        <v>76.765839999999997</v>
      </c>
      <c r="M4813" s="1">
        <v>-4.071017E-5</v>
      </c>
      <c r="N4813">
        <v>0</v>
      </c>
      <c r="O4813">
        <v>-0.99990840000000003</v>
      </c>
      <c r="P4813">
        <v>3.0970569999999999E-2</v>
      </c>
      <c r="Q4813">
        <v>0.14249410000000001</v>
      </c>
      <c r="R4813">
        <v>-0.98931139999999995</v>
      </c>
      <c r="S4813">
        <v>-0.23107910000000001</v>
      </c>
      <c r="T4813">
        <v>-0.19778470000000001</v>
      </c>
      <c r="U4813">
        <v>-3.069</v>
      </c>
      <c r="V4813">
        <v>-3.09894E-2</v>
      </c>
      <c r="W4813">
        <v>0.15588940000000001</v>
      </c>
      <c r="X4813">
        <v>0.98728830000000001</v>
      </c>
      <c r="Y4813">
        <v>7.4886899999999895E-2</v>
      </c>
      <c r="Z4813">
        <v>6.4131850000000004E-2</v>
      </c>
      <c r="AA4813">
        <v>0.99512769999999995</v>
      </c>
      <c r="AB4813">
        <v>29</v>
      </c>
      <c r="AC4813">
        <v>-1.2970999999999999</v>
      </c>
      <c r="AD4813">
        <v>-1.110276082897</v>
      </c>
      <c r="AE4813">
        <v>-16.946179999999998</v>
      </c>
      <c r="AF4813">
        <v>1.2909010344898799</v>
      </c>
      <c r="AG4813">
        <v>-1.110276082897</v>
      </c>
      <c r="AH4813">
        <v>16.874220762099</v>
      </c>
      <c r="AI4813">
        <v>93.753538104003198</v>
      </c>
      <c r="AJ4813">
        <v>85.625315219303005</v>
      </c>
      <c r="AK4813">
        <v>16.959907570183098</v>
      </c>
      <c r="AL4813">
        <v>81.031617990621797</v>
      </c>
      <c r="AM4813">
        <v>91.797832569133405</v>
      </c>
      <c r="AN4813">
        <v>1.0000000176307999</v>
      </c>
    </row>
    <row r="4814" spans="1:40" x14ac:dyDescent="0.25">
      <c r="A4814" t="str">
        <f>"20190312172508636"</f>
        <v>20190312172508636</v>
      </c>
      <c r="B4814" t="str">
        <f>"1552382708625337"</f>
        <v>1552382708625337</v>
      </c>
      <c r="C4814" t="s">
        <v>40</v>
      </c>
      <c r="D4814">
        <v>3.9556480000000001</v>
      </c>
      <c r="E4814">
        <v>0.55330800000000002</v>
      </c>
      <c r="F4814" t="s">
        <v>43</v>
      </c>
      <c r="G4814">
        <v>-424.01499999999999</v>
      </c>
      <c r="H4814" s="1">
        <v>-4.7997970000000003E-6</v>
      </c>
      <c r="I4814">
        <v>58.998390000000001</v>
      </c>
      <c r="J4814">
        <v>-422.40120000000002</v>
      </c>
      <c r="K4814">
        <v>1.1102780000000001</v>
      </c>
      <c r="L4814">
        <v>76.476590000000002</v>
      </c>
      <c r="M4814" s="1">
        <v>-9.0547280000000005E-5</v>
      </c>
      <c r="N4814">
        <v>0</v>
      </c>
      <c r="O4814">
        <v>-0.99990820000000002</v>
      </c>
      <c r="P4814">
        <v>2.6516080000000001E-2</v>
      </c>
      <c r="Q4814">
        <v>0.14355319999999999</v>
      </c>
      <c r="R4814">
        <v>-0.98928740000000004</v>
      </c>
      <c r="S4814">
        <v>-0.27874759999999998</v>
      </c>
      <c r="T4814">
        <v>-0.1917652</v>
      </c>
      <c r="U4814">
        <v>-3.068756</v>
      </c>
      <c r="V4814">
        <v>-2.6583320000000001E-2</v>
      </c>
      <c r="W4814">
        <v>0.1569458</v>
      </c>
      <c r="X4814">
        <v>0.98724940000000005</v>
      </c>
      <c r="Y4814">
        <v>9.0196769999999996E-2</v>
      </c>
      <c r="Z4814">
        <v>6.2113429999999997E-2</v>
      </c>
      <c r="AA4814">
        <v>0.99398509999999995</v>
      </c>
      <c r="AB4814">
        <v>29</v>
      </c>
      <c r="AC4814">
        <v>-1.6137999999999599</v>
      </c>
      <c r="AD4814">
        <v>-1.110282799797</v>
      </c>
      <c r="AE4814">
        <v>-17.478200000000001</v>
      </c>
      <c r="AF4814">
        <v>1.6057921964080499</v>
      </c>
      <c r="AG4814">
        <v>-1.110282799797</v>
      </c>
      <c r="AH4814">
        <v>17.408690927987699</v>
      </c>
      <c r="AI4814">
        <v>93.633854384131396</v>
      </c>
      <c r="AJ4814">
        <v>84.729902314204907</v>
      </c>
      <c r="AK4814">
        <v>17.5178142557732</v>
      </c>
      <c r="AL4814">
        <v>80.970336410988807</v>
      </c>
      <c r="AM4814">
        <v>91.542410756067</v>
      </c>
      <c r="AN4814">
        <v>1.00000001742011</v>
      </c>
    </row>
    <row r="4815" spans="1:40" x14ac:dyDescent="0.25">
      <c r="A4815" t="str">
        <f>"20190312172508660"</f>
        <v>20190312172508660</v>
      </c>
      <c r="B4815" t="str">
        <f>"1552382708655593"</f>
        <v>1552382708655593</v>
      </c>
      <c r="C4815" t="s">
        <v>40</v>
      </c>
      <c r="D4815">
        <v>3.9293209999999998</v>
      </c>
      <c r="E4815">
        <v>0.55377860000000001</v>
      </c>
      <c r="F4815" t="s">
        <v>43</v>
      </c>
      <c r="G4815">
        <v>-424.17419999999998</v>
      </c>
      <c r="H4815" s="1">
        <v>-4.6989939999999997E-6</v>
      </c>
      <c r="I4815">
        <v>58.61918</v>
      </c>
      <c r="J4815">
        <v>-422.40129999999999</v>
      </c>
      <c r="K4815">
        <v>1.110279</v>
      </c>
      <c r="L4815">
        <v>76.174260000000004</v>
      </c>
      <c r="M4815">
        <v>-1.476777E-4</v>
      </c>
      <c r="N4815">
        <v>0</v>
      </c>
      <c r="O4815">
        <v>-0.99990820000000002</v>
      </c>
      <c r="P4815">
        <v>2.16492E-2</v>
      </c>
      <c r="Q4815">
        <v>0.14425009999999999</v>
      </c>
      <c r="R4815">
        <v>-0.98930439999999997</v>
      </c>
      <c r="S4815">
        <v>-0.30465700000000001</v>
      </c>
      <c r="T4815">
        <v>-0.190773</v>
      </c>
      <c r="U4815">
        <v>-3.0683289999999999</v>
      </c>
      <c r="V4815">
        <v>-2.1771800000000001E-2</v>
      </c>
      <c r="W4815">
        <v>0.1576409</v>
      </c>
      <c r="X4815">
        <v>0.98725649999999998</v>
      </c>
      <c r="Y4815">
        <v>9.8469470000000003E-2</v>
      </c>
      <c r="Z4815">
        <v>6.175303E-2</v>
      </c>
      <c r="AA4815">
        <v>0.99322220000000006</v>
      </c>
      <c r="AB4815">
        <v>29</v>
      </c>
      <c r="AC4815">
        <v>-1.7728999999999899</v>
      </c>
      <c r="AD4815">
        <v>-1.1102836989939999</v>
      </c>
      <c r="AE4815">
        <v>-17.555079999999901</v>
      </c>
      <c r="AF4815">
        <v>1.76332512240519</v>
      </c>
      <c r="AG4815">
        <v>-1.1102836989939999</v>
      </c>
      <c r="AH4815">
        <v>17.486103039316099</v>
      </c>
      <c r="AI4815">
        <v>93.614845784600107</v>
      </c>
      <c r="AJ4815">
        <v>84.2416729700075</v>
      </c>
      <c r="AK4815">
        <v>17.6098223977739</v>
      </c>
      <c r="AL4815">
        <v>80.930008226200002</v>
      </c>
      <c r="AM4815">
        <v>91.263329328559195</v>
      </c>
      <c r="AN4815">
        <v>1.00000003071014</v>
      </c>
    </row>
    <row r="4816" spans="1:40" x14ac:dyDescent="0.25">
      <c r="A4816" t="str">
        <f>"20190312172508684"</f>
        <v>20190312172508684</v>
      </c>
      <c r="B4816" t="str">
        <f>"1552382708675112"</f>
        <v>1552382708675112</v>
      </c>
      <c r="C4816" t="s">
        <v>40</v>
      </c>
      <c r="D4816">
        <v>3.905008</v>
      </c>
      <c r="E4816">
        <v>0.55370649999999999</v>
      </c>
      <c r="F4816" t="s">
        <v>43</v>
      </c>
      <c r="G4816">
        <v>-424.30459999999999</v>
      </c>
      <c r="H4816" s="1">
        <v>-4.5740949999999996E-6</v>
      </c>
      <c r="I4816">
        <v>58.184220000000003</v>
      </c>
      <c r="J4816">
        <v>-422.40140000000002</v>
      </c>
      <c r="K4816">
        <v>1.1102730000000001</v>
      </c>
      <c r="L4816">
        <v>75.86063</v>
      </c>
      <c r="M4816">
        <v>-2.1879049999999999E-4</v>
      </c>
      <c r="N4816">
        <v>0</v>
      </c>
      <c r="O4816">
        <v>-0.99990840000000003</v>
      </c>
      <c r="P4816">
        <v>1.63704E-2</v>
      </c>
      <c r="Q4816">
        <v>0.1446741</v>
      </c>
      <c r="R4816">
        <v>-0.98934420000000001</v>
      </c>
      <c r="S4816">
        <v>-0.32449339999999999</v>
      </c>
      <c r="T4816">
        <v>-0.1892933</v>
      </c>
      <c r="U4816">
        <v>-3.0671390000000001</v>
      </c>
      <c r="V4816">
        <v>-1.6560950000000001E-2</v>
      </c>
      <c r="W4816">
        <v>0.15806319999999999</v>
      </c>
      <c r="X4816">
        <v>0.98729009999999995</v>
      </c>
      <c r="Y4816">
        <v>0.1047944</v>
      </c>
      <c r="Z4816">
        <v>6.1259479999999998E-2</v>
      </c>
      <c r="AA4816">
        <v>0.99260539999999997</v>
      </c>
      <c r="AB4816">
        <v>29</v>
      </c>
      <c r="AC4816">
        <v>-1.90319999999996</v>
      </c>
      <c r="AD4816">
        <v>-1.1102775740949999</v>
      </c>
      <c r="AE4816">
        <v>-17.676410000000001</v>
      </c>
      <c r="AF4816">
        <v>1.89195347036262</v>
      </c>
      <c r="AG4816">
        <v>-1.1102775740949999</v>
      </c>
      <c r="AH4816">
        <v>17.608153466883099</v>
      </c>
      <c r="AI4816">
        <v>93.587399562123494</v>
      </c>
      <c r="AJ4816">
        <v>83.8672358345584</v>
      </c>
      <c r="AK4816">
        <v>17.744274364956802</v>
      </c>
      <c r="AL4816">
        <v>80.905504651758505</v>
      </c>
      <c r="AM4816">
        <v>90.960997744584205</v>
      </c>
      <c r="AN4816">
        <v>0.99999999090857605</v>
      </c>
    </row>
    <row r="4817" spans="1:40" x14ac:dyDescent="0.25">
      <c r="A4817" t="str">
        <f>"20190312172508704"</f>
        <v>20190312172508704</v>
      </c>
      <c r="B4817" t="str">
        <f>"1552382708695609"</f>
        <v>1552382708695609</v>
      </c>
      <c r="C4817" t="s">
        <v>40</v>
      </c>
      <c r="D4817">
        <v>3.9017870000000001</v>
      </c>
      <c r="E4817">
        <v>0.55344059999999995</v>
      </c>
      <c r="F4817" t="s">
        <v>41</v>
      </c>
      <c r="G4817">
        <v>-422.5093</v>
      </c>
      <c r="H4817">
        <v>1.0502499999999999</v>
      </c>
      <c r="I4817">
        <v>74.890469999999993</v>
      </c>
      <c r="J4817">
        <v>-422.4015</v>
      </c>
      <c r="K4817">
        <v>1.1102669999999999</v>
      </c>
      <c r="L4817">
        <v>75.593350000000001</v>
      </c>
      <c r="M4817">
        <v>-2.9378130000000001E-4</v>
      </c>
      <c r="N4817">
        <v>0</v>
      </c>
      <c r="O4817">
        <v>-0.99990820000000002</v>
      </c>
      <c r="P4817">
        <v>1.137406E-2</v>
      </c>
      <c r="Q4817">
        <v>0.1452119</v>
      </c>
      <c r="R4817">
        <v>-0.98933510000000002</v>
      </c>
      <c r="S4817">
        <v>-0.34106449999999999</v>
      </c>
      <c r="T4817">
        <v>-0.1896737</v>
      </c>
      <c r="U4817">
        <v>-3.0657040000000002</v>
      </c>
      <c r="V4817">
        <v>-1.163496E-2</v>
      </c>
      <c r="W4817">
        <v>0.15859860000000001</v>
      </c>
      <c r="X4817">
        <v>0.9872746</v>
      </c>
      <c r="Y4817">
        <v>0.110069</v>
      </c>
      <c r="Z4817">
        <v>6.1375230000000003E-2</v>
      </c>
      <c r="AA4817">
        <v>0.9920272</v>
      </c>
      <c r="AB4817">
        <v>29</v>
      </c>
      <c r="AC4817">
        <v>-0.107799999999997</v>
      </c>
      <c r="AD4817">
        <v>-6.0017000000000202E-2</v>
      </c>
      <c r="AE4817">
        <v>-0.70288000000000705</v>
      </c>
      <c r="AF4817">
        <v>0.106832470072821</v>
      </c>
      <c r="AG4817">
        <v>-6.0017000000000202E-2</v>
      </c>
      <c r="AH4817">
        <v>0.69793991798301103</v>
      </c>
      <c r="AI4817">
        <v>94.858554976656706</v>
      </c>
      <c r="AJ4817">
        <v>81.2973806291415</v>
      </c>
      <c r="AK4817">
        <v>0.70861509020411995</v>
      </c>
      <c r="AL4817">
        <v>80.874436795898802</v>
      </c>
      <c r="AM4817">
        <v>90.675195374877902</v>
      </c>
      <c r="AN4817">
        <v>1.00000001201066</v>
      </c>
    </row>
    <row r="4818" spans="1:40" x14ac:dyDescent="0.25">
      <c r="A4818" t="str">
        <f>"20190312172508725"</f>
        <v>20190312172508725</v>
      </c>
      <c r="B4818" t="str">
        <f>"1552382708715129"</f>
        <v>1552382708715129</v>
      </c>
      <c r="C4818" t="s">
        <v>40</v>
      </c>
      <c r="D4818">
        <v>3.8895439999999999</v>
      </c>
      <c r="E4818">
        <v>0.55310859999999995</v>
      </c>
      <c r="F4818" t="s">
        <v>43</v>
      </c>
      <c r="G4818">
        <v>-424.5009</v>
      </c>
      <c r="H4818" s="1">
        <v>-4.3676770000000001E-6</v>
      </c>
      <c r="I4818">
        <v>57.475279999999998</v>
      </c>
      <c r="J4818">
        <v>-422.40170000000001</v>
      </c>
      <c r="K4818">
        <v>1.1102559999999999</v>
      </c>
      <c r="L4818">
        <v>75.311709999999906</v>
      </c>
      <c r="M4818">
        <v>-3.8769169999999998E-4</v>
      </c>
      <c r="N4818">
        <v>0</v>
      </c>
      <c r="O4818">
        <v>-0.99990820000000002</v>
      </c>
      <c r="P4818">
        <v>6.3700240000000002E-3</v>
      </c>
      <c r="Q4818">
        <v>0.145509</v>
      </c>
      <c r="R4818">
        <v>-0.98933629999999995</v>
      </c>
      <c r="S4818">
        <v>-0.35504150000000001</v>
      </c>
      <c r="T4818">
        <v>-0.18776090000000001</v>
      </c>
      <c r="U4818">
        <v>-3.0639949999999998</v>
      </c>
      <c r="V4818">
        <v>-6.7196790000000001E-3</v>
      </c>
      <c r="W4818">
        <v>0.15889329999999999</v>
      </c>
      <c r="X4818">
        <v>0.98727290000000001</v>
      </c>
      <c r="Y4818">
        <v>0.11450730000000001</v>
      </c>
      <c r="Z4818">
        <v>6.0761349999999999E-2</v>
      </c>
      <c r="AA4818">
        <v>0.99156250000000001</v>
      </c>
      <c r="AB4818">
        <v>29</v>
      </c>
      <c r="AC4818">
        <v>-2.09919999999999</v>
      </c>
      <c r="AD4818">
        <v>-1.110260367677</v>
      </c>
      <c r="AE4818">
        <v>-17.836429999999901</v>
      </c>
      <c r="AF4818">
        <v>2.0843184782315798</v>
      </c>
      <c r="AG4818">
        <v>-1.110260367677</v>
      </c>
      <c r="AH4818">
        <v>17.769333057199098</v>
      </c>
      <c r="AI4818">
        <v>93.551014348341099</v>
      </c>
      <c r="AJ4818">
        <v>83.309854775740007</v>
      </c>
      <c r="AK4818">
        <v>17.925575552835198</v>
      </c>
      <c r="AL4818">
        <v>80.857334821745098</v>
      </c>
      <c r="AM4818">
        <v>90.389966443183994</v>
      </c>
      <c r="AN4818">
        <v>1.0000000069725801</v>
      </c>
    </row>
    <row r="4819" spans="1:40" x14ac:dyDescent="0.25">
      <c r="A4819" t="str">
        <f>"20190312172508748"</f>
        <v>20190312172508748</v>
      </c>
      <c r="B4819" t="str">
        <f>"1552382708745385"</f>
        <v>1552382708745385</v>
      </c>
      <c r="C4819" t="s">
        <v>40</v>
      </c>
      <c r="D4819">
        <v>3.876906</v>
      </c>
      <c r="E4819">
        <v>0.55249019999999904</v>
      </c>
      <c r="F4819" t="s">
        <v>43</v>
      </c>
      <c r="G4819">
        <v>-424.58359999999999</v>
      </c>
      <c r="H4819" s="1">
        <v>-4.2869740000000003E-6</v>
      </c>
      <c r="I4819">
        <v>57.195059999999998</v>
      </c>
      <c r="J4819">
        <v>-422.40199999999999</v>
      </c>
      <c r="K4819">
        <v>1.110242</v>
      </c>
      <c r="L4819">
        <v>75.019499999999994</v>
      </c>
      <c r="M4819">
        <v>-5.0744780000000001E-4</v>
      </c>
      <c r="N4819">
        <v>0</v>
      </c>
      <c r="O4819">
        <v>-0.99990849999999998</v>
      </c>
      <c r="P4819">
        <v>2.2164509999999999E-3</v>
      </c>
      <c r="Q4819">
        <v>0.14576989999999901</v>
      </c>
      <c r="R4819">
        <v>-0.98931639999999998</v>
      </c>
      <c r="S4819">
        <v>-0.36880489999999999</v>
      </c>
      <c r="T4819">
        <v>-0.18767110000000001</v>
      </c>
      <c r="U4819">
        <v>-3.0623170000000002</v>
      </c>
      <c r="V4819">
        <v>-2.6789169999999998E-3</v>
      </c>
      <c r="W4819">
        <v>0.15915170000000001</v>
      </c>
      <c r="X4819">
        <v>0.98725050000000003</v>
      </c>
      <c r="Y4819">
        <v>0.118844699999999</v>
      </c>
      <c r="Z4819">
        <v>6.0733879999999997E-2</v>
      </c>
      <c r="AA4819">
        <v>0.99105359999999998</v>
      </c>
      <c r="AB4819">
        <v>29</v>
      </c>
      <c r="AC4819">
        <v>-2.1816</v>
      </c>
      <c r="AD4819">
        <v>-1.110246286974</v>
      </c>
      <c r="AE4819">
        <v>-17.8244399999999</v>
      </c>
      <c r="AF4819">
        <v>2.1642809216867498</v>
      </c>
      <c r="AG4819">
        <v>-1.110246286974</v>
      </c>
      <c r="AH4819">
        <v>17.7576658957381</v>
      </c>
      <c r="AI4819">
        <v>93.551383175992797</v>
      </c>
      <c r="AJ4819">
        <v>83.051137734762193</v>
      </c>
      <c r="AK4819">
        <v>17.9234889681216</v>
      </c>
      <c r="AL4819">
        <v>80.842338656194499</v>
      </c>
      <c r="AM4819">
        <v>90.155472457134707</v>
      </c>
      <c r="AN4819">
        <v>0.99999999497971603</v>
      </c>
    </row>
    <row r="4820" spans="1:40" x14ac:dyDescent="0.25">
      <c r="A4820" t="str">
        <f>"20190312172508771"</f>
        <v>20190312172508771</v>
      </c>
      <c r="B4820" t="str">
        <f>"1552382708765570"</f>
        <v>1552382708765570</v>
      </c>
      <c r="C4820" t="s">
        <v>40</v>
      </c>
      <c r="D4820">
        <v>3.944804</v>
      </c>
      <c r="E4820">
        <v>0.55204589999999998</v>
      </c>
      <c r="F4820" t="s">
        <v>43</v>
      </c>
      <c r="G4820">
        <v>-424.63240000000002</v>
      </c>
      <c r="H4820" s="1">
        <v>-4.1966779999999998E-6</v>
      </c>
      <c r="I4820">
        <v>56.904299999999999</v>
      </c>
      <c r="J4820">
        <v>-422.40230000000003</v>
      </c>
      <c r="K4820">
        <v>1.110223</v>
      </c>
      <c r="L4820">
        <v>74.723969999999994</v>
      </c>
      <c r="M4820">
        <v>-6.5867759999999997E-4</v>
      </c>
      <c r="N4820">
        <v>0</v>
      </c>
      <c r="O4820">
        <v>-0.99990829999999997</v>
      </c>
      <c r="P4820">
        <v>-9.6707650000000004E-4</v>
      </c>
      <c r="Q4820">
        <v>0.1459442</v>
      </c>
      <c r="R4820">
        <v>-0.98929219999999896</v>
      </c>
      <c r="S4820">
        <v>-0.37686160000000002</v>
      </c>
      <c r="T4820">
        <v>-0.1875957</v>
      </c>
      <c r="U4820">
        <v>-3.060883</v>
      </c>
      <c r="V4820">
        <v>3.6296620000000001E-4</v>
      </c>
      <c r="W4820">
        <v>0.1593231</v>
      </c>
      <c r="X4820">
        <v>0.98722639999999995</v>
      </c>
      <c r="Y4820">
        <v>0.121319899999999</v>
      </c>
      <c r="Z4820">
        <v>6.0719000000000002E-2</v>
      </c>
      <c r="AA4820">
        <v>0.99075460000000004</v>
      </c>
      <c r="AB4820">
        <v>29</v>
      </c>
      <c r="AC4820">
        <v>-2.23009999999999</v>
      </c>
      <c r="AD4820">
        <v>-1.110227196678</v>
      </c>
      <c r="AE4820">
        <v>-17.819669999999899</v>
      </c>
      <c r="AF4820">
        <v>2.2099150311956999</v>
      </c>
      <c r="AG4820">
        <v>-1.110227196678</v>
      </c>
      <c r="AH4820">
        <v>17.753284554712099</v>
      </c>
      <c r="AI4820">
        <v>93.551078629142495</v>
      </c>
      <c r="AJ4820">
        <v>82.904364918759796</v>
      </c>
      <c r="AK4820">
        <v>17.924715935097201</v>
      </c>
      <c r="AL4820">
        <v>80.832391034034899</v>
      </c>
      <c r="AM4820">
        <v>89.978934487136002</v>
      </c>
      <c r="AN4820">
        <v>0.99999997339751501</v>
      </c>
    </row>
    <row r="4821" spans="1:40" x14ac:dyDescent="0.25">
      <c r="A4821" t="str">
        <f>"20190312172508793"</f>
        <v>20190312172508793</v>
      </c>
      <c r="B4821" t="str">
        <f>"1552382708785087"</f>
        <v>1552382708785087</v>
      </c>
      <c r="C4821" t="s">
        <v>40</v>
      </c>
      <c r="D4821">
        <v>3.868207</v>
      </c>
      <c r="E4821">
        <v>0.55153169999999996</v>
      </c>
      <c r="F4821" t="s">
        <v>43</v>
      </c>
      <c r="G4821">
        <v>-424.66109999999998</v>
      </c>
      <c r="H4821" s="1">
        <v>-4.1252610000000001E-6</v>
      </c>
      <c r="I4821">
        <v>56.679470000000002</v>
      </c>
      <c r="J4821">
        <v>-422.40269999999998</v>
      </c>
      <c r="K4821">
        <v>1.1102000000000001</v>
      </c>
      <c r="L4821">
        <v>74.437129999999996</v>
      </c>
      <c r="M4821">
        <v>-8.3882759999999998E-4</v>
      </c>
      <c r="N4821">
        <v>0</v>
      </c>
      <c r="O4821">
        <v>-0.99990800000000002</v>
      </c>
      <c r="P4821">
        <v>-2.757074E-3</v>
      </c>
      <c r="Q4821">
        <v>0.14576</v>
      </c>
      <c r="R4821">
        <v>-0.98931619999999998</v>
      </c>
      <c r="S4821">
        <v>-0.38302609999999998</v>
      </c>
      <c r="T4821">
        <v>-0.1882654</v>
      </c>
      <c r="U4821">
        <v>-3.0598749999999999</v>
      </c>
      <c r="V4821">
        <v>1.983814E-3</v>
      </c>
      <c r="W4821">
        <v>0.15913759999999999</v>
      </c>
      <c r="X4821">
        <v>0.98725439999999998</v>
      </c>
      <c r="Y4821">
        <v>0.1231444</v>
      </c>
      <c r="Z4821">
        <v>6.0940389999999997E-2</v>
      </c>
      <c r="AA4821">
        <v>0.9905159</v>
      </c>
      <c r="AB4821">
        <v>29</v>
      </c>
      <c r="AC4821">
        <v>-2.2583999999999902</v>
      </c>
      <c r="AD4821">
        <v>-1.110204125261</v>
      </c>
      <c r="AE4821">
        <v>-17.757660000000001</v>
      </c>
      <c r="AF4821">
        <v>2.2349056565224301</v>
      </c>
      <c r="AG4821">
        <v>-1.110204125261</v>
      </c>
      <c r="AH4821">
        <v>17.691497958056399</v>
      </c>
      <c r="AI4821">
        <v>93.562564297340202</v>
      </c>
      <c r="AJ4821">
        <v>82.800160292924801</v>
      </c>
      <c r="AK4821">
        <v>17.866629690381298</v>
      </c>
      <c r="AL4821">
        <v>80.843156824599205</v>
      </c>
      <c r="AM4821">
        <v>89.884868564216703</v>
      </c>
      <c r="AN4821">
        <v>0.99999998078555297</v>
      </c>
    </row>
    <row r="4822" spans="1:40" x14ac:dyDescent="0.25">
      <c r="A4822" t="str">
        <f>"20190312172508815"</f>
        <v>20190312172508815</v>
      </c>
      <c r="B4822" t="str">
        <f>"1552382708805583"</f>
        <v>1552382708805583</v>
      </c>
      <c r="C4822" t="s">
        <v>40</v>
      </c>
      <c r="D4822">
        <v>3.9083459999999999</v>
      </c>
      <c r="E4822">
        <v>0.55095439999999996</v>
      </c>
      <c r="F4822" t="s">
        <v>43</v>
      </c>
      <c r="G4822">
        <v>-424.65449999999998</v>
      </c>
      <c r="H4822" s="1">
        <v>-4.0708409999999997E-6</v>
      </c>
      <c r="I4822">
        <v>56.522959999999998</v>
      </c>
      <c r="J4822">
        <v>-422.40320000000003</v>
      </c>
      <c r="K4822">
        <v>1.110168</v>
      </c>
      <c r="L4822">
        <v>74.148830000000004</v>
      </c>
      <c r="M4822">
        <v>-1.0565119999999999E-3</v>
      </c>
      <c r="N4822">
        <v>0</v>
      </c>
      <c r="O4822">
        <v>-0.99990800000000002</v>
      </c>
      <c r="P4822">
        <v>-3.0301600000000001E-3</v>
      </c>
      <c r="Q4822">
        <v>0.14586629999999901</v>
      </c>
      <c r="R4822">
        <v>-0.98929979999999995</v>
      </c>
      <c r="S4822">
        <v>-0.384552</v>
      </c>
      <c r="T4822">
        <v>-0.1895934</v>
      </c>
      <c r="U4822">
        <v>-3.0592649999999999</v>
      </c>
      <c r="V4822">
        <v>2.052412E-3</v>
      </c>
      <c r="W4822">
        <v>0.1592421</v>
      </c>
      <c r="X4822">
        <v>0.98723749999999999</v>
      </c>
      <c r="Y4822">
        <v>0.1234358</v>
      </c>
      <c r="Z4822">
        <v>6.1377710000000002E-2</v>
      </c>
      <c r="AA4822">
        <v>0.99045260000000002</v>
      </c>
      <c r="AB4822">
        <v>29</v>
      </c>
      <c r="AC4822">
        <v>-2.2512999999999499</v>
      </c>
      <c r="AD4822">
        <v>-1.1101720708409999</v>
      </c>
      <c r="AE4822">
        <v>-17.625869999999999</v>
      </c>
      <c r="AF4822">
        <v>2.2239937914647099</v>
      </c>
      <c r="AG4822">
        <v>-1.1101720708409999</v>
      </c>
      <c r="AH4822">
        <v>17.5596950613171</v>
      </c>
      <c r="AI4822">
        <v>93.588986227944602</v>
      </c>
      <c r="AJ4822">
        <v>82.781731443156104</v>
      </c>
      <c r="AK4822">
        <v>17.7347546094609</v>
      </c>
      <c r="AL4822">
        <v>80.837092903292799</v>
      </c>
      <c r="AM4822">
        <v>89.880885424219102</v>
      </c>
      <c r="AN4822">
        <v>1.0000000701068299</v>
      </c>
    </row>
    <row r="4823" spans="1:40" x14ac:dyDescent="0.25">
      <c r="A4823" t="str">
        <f>"20190312172508837"</f>
        <v>20190312172508837</v>
      </c>
      <c r="B4823" t="str">
        <f>"1552382708825104"</f>
        <v>1552382708825104</v>
      </c>
      <c r="C4823" t="s">
        <v>40</v>
      </c>
      <c r="D4823">
        <v>3.882657</v>
      </c>
      <c r="E4823">
        <v>0.55068760000000005</v>
      </c>
      <c r="F4823" t="s">
        <v>43</v>
      </c>
      <c r="G4823">
        <v>-424.62020000000001</v>
      </c>
      <c r="H4823" s="1">
        <v>-3.9906969999999999E-6</v>
      </c>
      <c r="I4823">
        <v>56.305340000000001</v>
      </c>
      <c r="J4823">
        <v>-422.40370000000001</v>
      </c>
      <c r="K4823">
        <v>1.110131</v>
      </c>
      <c r="L4823">
        <v>73.863399999999999</v>
      </c>
      <c r="M4823">
        <v>-1.309424E-3</v>
      </c>
      <c r="N4823">
        <v>0</v>
      </c>
      <c r="O4823">
        <v>-0.99990760000000001</v>
      </c>
      <c r="P4823">
        <v>-2.52002E-3</v>
      </c>
      <c r="Q4823">
        <v>0.14573539999999999</v>
      </c>
      <c r="R4823">
        <v>-0.98932039999999999</v>
      </c>
      <c r="S4823">
        <v>-0.38012699999999999</v>
      </c>
      <c r="T4823">
        <v>-0.1903446</v>
      </c>
      <c r="U4823">
        <v>-3.0593569999999999</v>
      </c>
      <c r="V4823">
        <v>1.3035150000000001E-3</v>
      </c>
      <c r="W4823">
        <v>0.15911029999999901</v>
      </c>
      <c r="X4823">
        <v>0.98725989999999997</v>
      </c>
      <c r="Y4823">
        <v>0.1217685</v>
      </c>
      <c r="Z4823">
        <v>6.1629959999999998E-2</v>
      </c>
      <c r="AA4823">
        <v>0.9906433</v>
      </c>
      <c r="AB4823">
        <v>29</v>
      </c>
      <c r="AC4823">
        <v>-2.2164999999999901</v>
      </c>
      <c r="AD4823">
        <v>-1.1101349906969999</v>
      </c>
      <c r="AE4823">
        <v>-17.558059999999902</v>
      </c>
      <c r="AF4823">
        <v>2.1849076873304298</v>
      </c>
      <c r="AG4823">
        <v>-1.1101349906969999</v>
      </c>
      <c r="AH4823">
        <v>17.4921180626989</v>
      </c>
      <c r="AI4823">
        <v>93.603471580462298</v>
      </c>
      <c r="AJ4823">
        <v>82.880166716517493</v>
      </c>
      <c r="AK4823">
        <v>17.662967350338501</v>
      </c>
      <c r="AL4823">
        <v>80.844740887632298</v>
      </c>
      <c r="AM4823">
        <v>89.924350351277894</v>
      </c>
      <c r="AN4823">
        <v>0.99999994843272599</v>
      </c>
    </row>
    <row r="4824" spans="1:40" x14ac:dyDescent="0.25">
      <c r="A4824" t="str">
        <f>"20190312172508862"</f>
        <v>20190312172508862</v>
      </c>
      <c r="B4824" t="str">
        <f>"1552382708855362"</f>
        <v>1552382708855362</v>
      </c>
      <c r="C4824" t="s">
        <v>40</v>
      </c>
      <c r="D4824">
        <v>3.9163920000000001</v>
      </c>
      <c r="E4824">
        <v>0.55003409999999997</v>
      </c>
      <c r="F4824" t="s">
        <v>43</v>
      </c>
      <c r="G4824">
        <v>-424.57909999999998</v>
      </c>
      <c r="H4824" s="1">
        <v>-3.9277109999999998E-6</v>
      </c>
      <c r="I4824">
        <v>56.141710000000003</v>
      </c>
      <c r="J4824">
        <v>-422.40440000000001</v>
      </c>
      <c r="K4824">
        <v>1.1100969999999999</v>
      </c>
      <c r="L4824">
        <v>73.558009999999996</v>
      </c>
      <c r="M4824">
        <v>-1.6205989999999999E-3</v>
      </c>
      <c r="N4824">
        <v>0</v>
      </c>
      <c r="O4824">
        <v>-0.9999072</v>
      </c>
      <c r="P4824">
        <v>-5.1604859999999995E-4</v>
      </c>
      <c r="Q4824">
        <v>0.14554230000000001</v>
      </c>
      <c r="R4824">
        <v>-0.98935200000000001</v>
      </c>
      <c r="S4824">
        <v>-0.37557980000000002</v>
      </c>
      <c r="T4824">
        <v>-0.19166540000000001</v>
      </c>
      <c r="U4824">
        <v>-3.0596619999999999</v>
      </c>
      <c r="V4824">
        <v>-9.9599220000000008E-4</v>
      </c>
      <c r="W4824">
        <v>0.15891729999999901</v>
      </c>
      <c r="X4824">
        <v>0.98729140000000004</v>
      </c>
      <c r="Y4824">
        <v>0.1199939</v>
      </c>
      <c r="Z4824">
        <v>6.2062140000000002E-2</v>
      </c>
      <c r="AA4824">
        <v>0.99083290000000002</v>
      </c>
      <c r="AB4824">
        <v>29</v>
      </c>
      <c r="AC4824">
        <v>-2.1746999999999699</v>
      </c>
      <c r="AD4824">
        <v>-1.1101009277110001</v>
      </c>
      <c r="AE4824">
        <v>-17.4163</v>
      </c>
      <c r="AF4824">
        <v>2.1379173818375699</v>
      </c>
      <c r="AG4824">
        <v>-1.1101009277110001</v>
      </c>
      <c r="AH4824">
        <v>17.350394735295701</v>
      </c>
      <c r="AI4824">
        <v>93.633463475201594</v>
      </c>
      <c r="AJ4824">
        <v>82.975417348501395</v>
      </c>
      <c r="AK4824">
        <v>17.5168265468333</v>
      </c>
      <c r="AL4824">
        <v>80.855942002006501</v>
      </c>
      <c r="AM4824">
        <v>90.057800696054997</v>
      </c>
      <c r="AN4824">
        <v>1.00000000437685</v>
      </c>
    </row>
    <row r="4825" spans="1:40" x14ac:dyDescent="0.25">
      <c r="A4825" t="str">
        <f>"20190312172508883"</f>
        <v>20190312172508883</v>
      </c>
      <c r="B4825" t="str">
        <f>"1552382708875854"</f>
        <v>1552382708875854</v>
      </c>
      <c r="C4825" t="s">
        <v>40</v>
      </c>
      <c r="D4825">
        <v>3.9138920000000001</v>
      </c>
      <c r="E4825">
        <v>0.52638799999999997</v>
      </c>
      <c r="F4825" t="s">
        <v>43</v>
      </c>
      <c r="G4825">
        <v>-424.48649999999998</v>
      </c>
      <c r="H4825" s="1">
        <v>-3.8574149999999999E-6</v>
      </c>
      <c r="I4825">
        <v>55.983409999999999</v>
      </c>
      <c r="J4825">
        <v>-422.40519999999998</v>
      </c>
      <c r="K4825">
        <v>1.1100650000000001</v>
      </c>
      <c r="L4825">
        <v>73.273009999999999</v>
      </c>
      <c r="M4825">
        <v>-1.9496990000000001E-3</v>
      </c>
      <c r="N4825">
        <v>0</v>
      </c>
      <c r="O4825">
        <v>-0.99990650000000003</v>
      </c>
      <c r="P4825">
        <v>1.6227920000000001E-3</v>
      </c>
      <c r="Q4825">
        <v>0.1452253</v>
      </c>
      <c r="R4825">
        <v>-0.98939699999999997</v>
      </c>
      <c r="S4825">
        <v>-0.36257929999999999</v>
      </c>
      <c r="T4825">
        <v>-0.19331960000000001</v>
      </c>
      <c r="U4825">
        <v>-3.0605470000000001</v>
      </c>
      <c r="V4825">
        <v>-3.4507959999999999E-3</v>
      </c>
      <c r="W4825">
        <v>0.1586004</v>
      </c>
      <c r="X4825">
        <v>0.98733680000000001</v>
      </c>
      <c r="Y4825">
        <v>0.11547880000000001</v>
      </c>
      <c r="Z4825">
        <v>6.2610310000000002E-2</v>
      </c>
      <c r="AA4825">
        <v>0.99133470000000001</v>
      </c>
      <c r="AB4825">
        <v>29</v>
      </c>
      <c r="AC4825">
        <v>-2.0813000000000001</v>
      </c>
      <c r="AD4825">
        <v>-1.1100688574149999</v>
      </c>
      <c r="AE4825">
        <v>-17.2896</v>
      </c>
      <c r="AF4825">
        <v>2.0392971093515802</v>
      </c>
      <c r="AG4825">
        <v>-1.1100688574149999</v>
      </c>
      <c r="AH4825">
        <v>17.223640137359201</v>
      </c>
      <c r="AI4825">
        <v>93.662120548078704</v>
      </c>
      <c r="AJ4825">
        <v>83.247556077979993</v>
      </c>
      <c r="AK4825">
        <v>17.379435121708202</v>
      </c>
      <c r="AL4825">
        <v>80.874332007721193</v>
      </c>
      <c r="AM4825">
        <v>90.200251060940801</v>
      </c>
      <c r="AN4825">
        <v>0.99999997575371602</v>
      </c>
    </row>
    <row r="4826" spans="1:40" x14ac:dyDescent="0.25">
      <c r="A4826" t="str">
        <f>"20190312172508905"</f>
        <v>20190312172508905</v>
      </c>
      <c r="B4826" t="str">
        <f>"1552382708895375"</f>
        <v>1552382708895375</v>
      </c>
      <c r="C4826" t="s">
        <v>40</v>
      </c>
      <c r="D4826">
        <v>3.8465120000000002</v>
      </c>
      <c r="E4826">
        <v>0.51404890000000003</v>
      </c>
      <c r="F4826" t="s">
        <v>41</v>
      </c>
      <c r="G4826">
        <v>-422.45710000000003</v>
      </c>
      <c r="H4826">
        <v>1.0389600000000001</v>
      </c>
      <c r="I4826">
        <v>72.312079999999995</v>
      </c>
      <c r="J4826">
        <v>-422.40620000000001</v>
      </c>
      <c r="K4826">
        <v>1.1100479999999999</v>
      </c>
      <c r="L4826">
        <v>72.992519999999999</v>
      </c>
      <c r="M4826">
        <v>-2.3015140000000002E-3</v>
      </c>
      <c r="N4826">
        <v>0</v>
      </c>
      <c r="O4826">
        <v>-0.99990610000000002</v>
      </c>
      <c r="P4826">
        <v>3.2234949999999998E-3</v>
      </c>
      <c r="Q4826">
        <v>0.14502709999999999</v>
      </c>
      <c r="R4826">
        <v>-0.98942269999999999</v>
      </c>
      <c r="S4826">
        <v>-0.16506960000000001</v>
      </c>
      <c r="T4826">
        <v>-0.22684179999999901</v>
      </c>
      <c r="U4826">
        <v>-3.0657040000000002</v>
      </c>
      <c r="V4826">
        <v>-5.3911260000000004E-3</v>
      </c>
      <c r="W4826">
        <v>0.15840270000000001</v>
      </c>
      <c r="X4826">
        <v>0.98735989999999996</v>
      </c>
      <c r="Y4826">
        <v>5.1321350000000002E-2</v>
      </c>
      <c r="Z4826">
        <v>7.3689669999999999E-2</v>
      </c>
      <c r="AA4826">
        <v>0.99595979999999995</v>
      </c>
      <c r="AB4826">
        <v>29</v>
      </c>
      <c r="AC4826">
        <v>-5.0900000000012803E-2</v>
      </c>
      <c r="AD4826">
        <v>-7.1087999999999804E-2</v>
      </c>
      <c r="AE4826">
        <v>-0.68043999999999005</v>
      </c>
      <c r="AF4826">
        <v>4.8803962240556803E-2</v>
      </c>
      <c r="AG4826">
        <v>-7.1087999999999804E-2</v>
      </c>
      <c r="AH4826">
        <v>0.67324792754977503</v>
      </c>
      <c r="AI4826">
        <v>96.011846854419304</v>
      </c>
      <c r="AJ4826">
        <v>85.853862513800706</v>
      </c>
      <c r="AK4826">
        <v>0.67874745113660995</v>
      </c>
      <c r="AL4826">
        <v>80.885804870015804</v>
      </c>
      <c r="AM4826">
        <v>90.312840026243904</v>
      </c>
      <c r="AN4826">
        <v>1.00000002586742</v>
      </c>
    </row>
    <row r="4827" spans="1:40" x14ac:dyDescent="0.25">
      <c r="A4827" t="str">
        <f>"20190312172508927"</f>
        <v>20190312172508927</v>
      </c>
      <c r="B4827" t="str">
        <f>"1552382708915871"</f>
        <v>1552382708915871</v>
      </c>
      <c r="C4827" t="s">
        <v>40</v>
      </c>
      <c r="D4827">
        <v>3.8475130000000002</v>
      </c>
      <c r="E4827">
        <v>0.50878469999999998</v>
      </c>
      <c r="F4827" t="s">
        <v>41</v>
      </c>
      <c r="G4827">
        <v>-422.42559999999997</v>
      </c>
      <c r="H4827">
        <v>1.0413380000000001</v>
      </c>
      <c r="I4827">
        <v>72.050539999999998</v>
      </c>
      <c r="J4827">
        <v>-422.40719999999999</v>
      </c>
      <c r="K4827">
        <v>1.110033</v>
      </c>
      <c r="L4827">
        <v>72.708370000000002</v>
      </c>
      <c r="M4827">
        <v>-2.6775219999999999E-3</v>
      </c>
      <c r="N4827">
        <v>0</v>
      </c>
      <c r="O4827">
        <v>-0.99990509999999999</v>
      </c>
      <c r="P4827">
        <v>4.4497709999999999E-3</v>
      </c>
      <c r="Q4827">
        <v>0.14506959999999999</v>
      </c>
      <c r="R4827">
        <v>-0.9894115</v>
      </c>
      <c r="S4827">
        <v>-6.1614990000000001E-2</v>
      </c>
      <c r="T4827">
        <v>-0.2235819</v>
      </c>
      <c r="U4827">
        <v>-3.0650330000000001</v>
      </c>
      <c r="V4827">
        <v>-6.9828779999999997E-3</v>
      </c>
      <c r="W4827">
        <v>0.15844549999999999</v>
      </c>
      <c r="X4827">
        <v>0.98734299999999997</v>
      </c>
      <c r="Y4827">
        <v>1.7367960000000002E-2</v>
      </c>
      <c r="Z4827">
        <v>7.2739509999999993E-2</v>
      </c>
      <c r="AA4827">
        <v>0.99719970000000002</v>
      </c>
      <c r="AB4827">
        <v>29</v>
      </c>
      <c r="AC4827">
        <v>-1.8399999999985501E-2</v>
      </c>
      <c r="AD4827">
        <v>-6.8695000000000103E-2</v>
      </c>
      <c r="AE4827">
        <v>-0.65783000000000402</v>
      </c>
      <c r="AF4827">
        <v>1.6459074133636901E-2</v>
      </c>
      <c r="AG4827">
        <v>-6.8695000000000103E-2</v>
      </c>
      <c r="AH4827">
        <v>0.65078568760671995</v>
      </c>
      <c r="AI4827">
        <v>96.023746144333401</v>
      </c>
      <c r="AJ4827">
        <v>88.551236589452998</v>
      </c>
      <c r="AK4827">
        <v>0.65460821514863998</v>
      </c>
      <c r="AL4827">
        <v>80.883320716597694</v>
      </c>
      <c r="AM4827">
        <v>90.405211530134395</v>
      </c>
      <c r="AN4827">
        <v>0.99999996835220595</v>
      </c>
    </row>
    <row r="4828" spans="1:40" x14ac:dyDescent="0.25">
      <c r="A4828" t="str">
        <f>"20190312172508950"</f>
        <v>20190312172508950</v>
      </c>
      <c r="B4828" t="str">
        <f>"1552382708945151"</f>
        <v>1552382708945151</v>
      </c>
      <c r="C4828" t="s">
        <v>40</v>
      </c>
      <c r="D4828">
        <v>3.8402189999999998</v>
      </c>
      <c r="E4828">
        <v>0.50461520000000004</v>
      </c>
      <c r="F4828" t="s">
        <v>41</v>
      </c>
      <c r="G4828">
        <v>-422.41219999999998</v>
      </c>
      <c r="H4828">
        <v>1.042532</v>
      </c>
      <c r="I4828">
        <v>71.780330000000006</v>
      </c>
      <c r="J4828">
        <v>-422.40839999999997</v>
      </c>
      <c r="K4828">
        <v>1.1100179999999999</v>
      </c>
      <c r="L4828">
        <v>72.420900000000003</v>
      </c>
      <c r="M4828">
        <v>-3.0730570000000001E-3</v>
      </c>
      <c r="N4828">
        <v>0</v>
      </c>
      <c r="O4828">
        <v>-0.99990420000000002</v>
      </c>
      <c r="P4828">
        <v>5.7037449999999996E-3</v>
      </c>
      <c r="Q4828">
        <v>0.1449655</v>
      </c>
      <c r="R4828">
        <v>-0.98942070000000004</v>
      </c>
      <c r="S4828">
        <v>-1.5625E-2</v>
      </c>
      <c r="T4828">
        <v>-0.222916</v>
      </c>
      <c r="U4828">
        <v>-3.0648499999999999</v>
      </c>
      <c r="V4828">
        <v>-8.6228160000000002E-3</v>
      </c>
      <c r="W4828">
        <v>0.15834100000000001</v>
      </c>
      <c r="X4828">
        <v>0.98734679999999997</v>
      </c>
      <c r="Y4828">
        <v>2.011311E-3</v>
      </c>
      <c r="Z4828">
        <v>7.2540419999999994E-2</v>
      </c>
      <c r="AA4828">
        <v>0.99736340000000001</v>
      </c>
      <c r="AB4828">
        <v>29</v>
      </c>
      <c r="AC4828">
        <v>-3.8000000000124601E-3</v>
      </c>
      <c r="AD4828">
        <v>-6.7485999999999893E-2</v>
      </c>
      <c r="AE4828">
        <v>-0.64056999999999598</v>
      </c>
      <c r="AF4828">
        <v>1.8111924319798901E-3</v>
      </c>
      <c r="AG4828">
        <v>-6.7485999999999893E-2</v>
      </c>
      <c r="AH4828">
        <v>0.63354699549619398</v>
      </c>
      <c r="AI4828">
        <v>96.0802458524484</v>
      </c>
      <c r="AJ4828">
        <v>89.836202522827804</v>
      </c>
      <c r="AK4828">
        <v>0.63713376626598595</v>
      </c>
      <c r="AL4828">
        <v>80.889384639789597</v>
      </c>
      <c r="AM4828">
        <v>90.500369681984395</v>
      </c>
      <c r="AN4828">
        <v>0.99999996435350402</v>
      </c>
    </row>
    <row r="4829" spans="1:40" x14ac:dyDescent="0.25">
      <c r="A4829" t="str">
        <f>"20190312172508972"</f>
        <v>20190312172508972</v>
      </c>
      <c r="B4829" t="str">
        <f>"1552382708965647"</f>
        <v>1552382708965647</v>
      </c>
      <c r="C4829" t="s">
        <v>40</v>
      </c>
      <c r="D4829">
        <v>3.8996209999999998</v>
      </c>
      <c r="E4829">
        <v>0.5030462</v>
      </c>
      <c r="F4829" t="s">
        <v>43</v>
      </c>
      <c r="G4829">
        <v>-422.30079999999998</v>
      </c>
      <c r="H4829" s="1">
        <v>-3.9413489999999997E-6</v>
      </c>
      <c r="I4829">
        <v>57.369329999999998</v>
      </c>
      <c r="J4829">
        <v>-422.40980000000002</v>
      </c>
      <c r="K4829">
        <v>1.110007</v>
      </c>
      <c r="L4829">
        <v>72.128630000000001</v>
      </c>
      <c r="M4829">
        <v>-3.4875190000000001E-3</v>
      </c>
      <c r="N4829">
        <v>0</v>
      </c>
      <c r="O4829">
        <v>-0.99990279999999998</v>
      </c>
      <c r="P4829">
        <v>6.6538020000000003E-3</v>
      </c>
      <c r="Q4829">
        <v>0.14476169999999999</v>
      </c>
      <c r="R4829">
        <v>-0.98944460000000001</v>
      </c>
      <c r="S4829">
        <v>2.191162E-2</v>
      </c>
      <c r="T4829">
        <v>-0.2260422</v>
      </c>
      <c r="U4829">
        <v>-3.0650629999999999</v>
      </c>
      <c r="V4829">
        <v>-9.9795219999999994E-3</v>
      </c>
      <c r="W4829">
        <v>0.15813720000000001</v>
      </c>
      <c r="X4829">
        <v>0.98736670000000004</v>
      </c>
      <c r="Y4829">
        <v>-1.061699E-2</v>
      </c>
      <c r="Z4829">
        <v>7.354455E-2</v>
      </c>
      <c r="AA4829">
        <v>0.99723539999999999</v>
      </c>
      <c r="AB4829">
        <v>29</v>
      </c>
      <c r="AC4829">
        <v>0.109000000000037</v>
      </c>
      <c r="AD4829">
        <v>-1.110010941349</v>
      </c>
      <c r="AE4829">
        <v>-14.7592999999999</v>
      </c>
      <c r="AF4829">
        <v>-0.159574832471817</v>
      </c>
      <c r="AG4829">
        <v>-1.110010941349</v>
      </c>
      <c r="AH4829">
        <v>14.6758255111069</v>
      </c>
      <c r="AI4829">
        <v>94.3250951631871</v>
      </c>
      <c r="AJ4829">
        <v>90.6229703477225</v>
      </c>
      <c r="AK4829">
        <v>14.718608726694599</v>
      </c>
      <c r="AL4829">
        <v>80.901210683615503</v>
      </c>
      <c r="AM4829">
        <v>90.5790807235106</v>
      </c>
      <c r="AN4829">
        <v>0.99999998257603895</v>
      </c>
    </row>
    <row r="4830" spans="1:40" x14ac:dyDescent="0.25">
      <c r="A4830" t="str">
        <f>"20190312172508994"</f>
        <v>20190312172508994</v>
      </c>
      <c r="B4830" t="str">
        <f>"1552382708985167"</f>
        <v>1552382708985167</v>
      </c>
      <c r="C4830" t="s">
        <v>40</v>
      </c>
      <c r="D4830">
        <v>3.8422830000000001</v>
      </c>
      <c r="E4830">
        <v>0.50211839999999996</v>
      </c>
      <c r="F4830" t="s">
        <v>43</v>
      </c>
      <c r="G4830">
        <v>-422.22879999999998</v>
      </c>
      <c r="H4830" s="1">
        <v>-3.9064170000000002E-6</v>
      </c>
      <c r="I4830">
        <v>57.312690000000003</v>
      </c>
      <c r="J4830">
        <v>-422.41120000000001</v>
      </c>
      <c r="K4830">
        <v>1.110001</v>
      </c>
      <c r="L4830">
        <v>71.835139999999996</v>
      </c>
      <c r="M4830">
        <v>-3.9127520000000002E-3</v>
      </c>
      <c r="N4830">
        <v>0</v>
      </c>
      <c r="O4830">
        <v>-0.99990089999999998</v>
      </c>
      <c r="P4830">
        <v>7.4633700000000004E-3</v>
      </c>
      <c r="Q4830">
        <v>0.1445592</v>
      </c>
      <c r="R4830">
        <v>-0.98946820000000002</v>
      </c>
      <c r="S4830">
        <v>3.7445069999999997E-2</v>
      </c>
      <c r="T4830">
        <v>-0.22965540000000001</v>
      </c>
      <c r="U4830">
        <v>-3.0653380000000001</v>
      </c>
      <c r="V4830">
        <v>-1.1206819999999999E-2</v>
      </c>
      <c r="W4830">
        <v>0.15793470000000001</v>
      </c>
      <c r="X4830">
        <v>0.98738599999999999</v>
      </c>
      <c r="Y4830">
        <v>-1.6093320000000001E-2</v>
      </c>
      <c r="Z4830">
        <v>7.4702240000000003E-2</v>
      </c>
      <c r="AA4830">
        <v>0.99707599999999996</v>
      </c>
      <c r="AB4830">
        <v>29</v>
      </c>
      <c r="AC4830">
        <v>0.18240000000002901</v>
      </c>
      <c r="AD4830">
        <v>-1.1100049064169999</v>
      </c>
      <c r="AE4830">
        <v>-14.5224499999999</v>
      </c>
      <c r="AF4830">
        <v>-0.237837291998232</v>
      </c>
      <c r="AG4830">
        <v>-1.1100049064169999</v>
      </c>
      <c r="AH4830">
        <v>14.4372940488844</v>
      </c>
      <c r="AI4830">
        <v>94.395916984091997</v>
      </c>
      <c r="AJ4830">
        <v>90.943794623989206</v>
      </c>
      <c r="AK4830">
        <v>14.481855437881199</v>
      </c>
      <c r="AL4830">
        <v>80.912961242491505</v>
      </c>
      <c r="AM4830">
        <v>90.650278530877998</v>
      </c>
      <c r="AN4830">
        <v>1.0000000376372999</v>
      </c>
    </row>
    <row r="4831" spans="1:40" x14ac:dyDescent="0.25">
      <c r="A4831" t="str">
        <f>"20190312172509017"</f>
        <v>20190312172509017</v>
      </c>
      <c r="B4831" t="str">
        <f>"1552382709005663"</f>
        <v>1552382709005663</v>
      </c>
      <c r="C4831" t="s">
        <v>40</v>
      </c>
      <c r="D4831">
        <v>3.8562850000000002</v>
      </c>
      <c r="E4831">
        <v>0.50140419999999997</v>
      </c>
      <c r="F4831" t="s">
        <v>43</v>
      </c>
      <c r="G4831">
        <v>-422.18419999999998</v>
      </c>
      <c r="H4831" s="1">
        <v>-3.841201E-6</v>
      </c>
      <c r="I4831">
        <v>57.188339999999997</v>
      </c>
      <c r="J4831">
        <v>-422.4128</v>
      </c>
      <c r="K4831">
        <v>1.1099969999999999</v>
      </c>
      <c r="L4831">
        <v>71.550290000000004</v>
      </c>
      <c r="M4831">
        <v>-4.3337740000000003E-3</v>
      </c>
      <c r="N4831">
        <v>0</v>
      </c>
      <c r="O4831">
        <v>-0.99989919999999999</v>
      </c>
      <c r="P4831">
        <v>8.5465139999999998E-3</v>
      </c>
      <c r="Q4831">
        <v>0.144824799999999</v>
      </c>
      <c r="R4831">
        <v>-0.98942050000000004</v>
      </c>
      <c r="S4831">
        <v>4.7515870000000002E-2</v>
      </c>
      <c r="T4831">
        <v>-0.23231979999999999</v>
      </c>
      <c r="U4831">
        <v>-3.0655209999999999</v>
      </c>
      <c r="V4831">
        <v>-1.2703010000000001E-2</v>
      </c>
      <c r="W4831">
        <v>0.158199799999999</v>
      </c>
      <c r="X4831">
        <v>0.98732540000000002</v>
      </c>
      <c r="Y4831">
        <v>-1.978744E-2</v>
      </c>
      <c r="Z4831">
        <v>7.5555120000000003E-2</v>
      </c>
      <c r="AA4831">
        <v>0.99694530000000003</v>
      </c>
      <c r="AB4831">
        <v>29</v>
      </c>
      <c r="AC4831">
        <v>0.228600000000028</v>
      </c>
      <c r="AD4831">
        <v>-1.1100008412009901</v>
      </c>
      <c r="AE4831">
        <v>-14.36195</v>
      </c>
      <c r="AF4831">
        <v>-0.28911841293815899</v>
      </c>
      <c r="AG4831">
        <v>-1.1100008412009901</v>
      </c>
      <c r="AH4831">
        <v>14.2755725608068</v>
      </c>
      <c r="AI4831">
        <v>94.445194476745598</v>
      </c>
      <c r="AJ4831">
        <v>91.160233711573895</v>
      </c>
      <c r="AK4831">
        <v>14.321580333993399</v>
      </c>
      <c r="AL4831">
        <v>80.897578351021195</v>
      </c>
      <c r="AM4831">
        <v>90.737131551012396</v>
      </c>
      <c r="AN4831">
        <v>0.99999999433413</v>
      </c>
    </row>
    <row r="4832" spans="1:40" x14ac:dyDescent="0.25">
      <c r="A4832" t="str">
        <f>"20190312172509050"</f>
        <v>20190312172509050</v>
      </c>
      <c r="B4832" t="str">
        <f>"1552382709045679"</f>
        <v>1552382709045679</v>
      </c>
      <c r="C4832" t="s">
        <v>40</v>
      </c>
      <c r="D4832">
        <v>3.8663430000000001</v>
      </c>
      <c r="E4832">
        <v>0.50058820000000004</v>
      </c>
      <c r="F4832" t="s">
        <v>43</v>
      </c>
      <c r="G4832">
        <v>-422.1431</v>
      </c>
      <c r="H4832" s="1">
        <v>-3.715391E-6</v>
      </c>
      <c r="I4832">
        <v>56.920589999999997</v>
      </c>
      <c r="J4832">
        <v>-422.41539999999998</v>
      </c>
      <c r="K4832">
        <v>1.1099939999999999</v>
      </c>
      <c r="L4832">
        <v>71.125339999999994</v>
      </c>
      <c r="M4832">
        <v>-4.9838060000000003E-3</v>
      </c>
      <c r="N4832">
        <v>0</v>
      </c>
      <c r="O4832">
        <v>-0.99989620000000001</v>
      </c>
      <c r="P4832">
        <v>1.031142E-2</v>
      </c>
      <c r="Q4832">
        <v>0.14524889999999999</v>
      </c>
      <c r="R4832">
        <v>-0.98934160000000004</v>
      </c>
      <c r="S4832">
        <v>5.6518550000000001E-2</v>
      </c>
      <c r="T4832">
        <v>-0.23259750000000001</v>
      </c>
      <c r="U4832">
        <v>-3.0656129999999999</v>
      </c>
      <c r="V4832">
        <v>-1.5104859999999999E-2</v>
      </c>
      <c r="W4832">
        <v>0.1586225</v>
      </c>
      <c r="X4832">
        <v>0.98722370000000004</v>
      </c>
      <c r="Y4832">
        <v>-2.336355E-2</v>
      </c>
      <c r="Z4832">
        <v>7.5637499999999996E-2</v>
      </c>
      <c r="AA4832">
        <v>0.99686160000000001</v>
      </c>
      <c r="AB4832">
        <v>29</v>
      </c>
      <c r="AC4832">
        <v>0.27229999999997201</v>
      </c>
      <c r="AD4832">
        <v>-1.1099977153909999</v>
      </c>
      <c r="AE4832">
        <v>-14.204750000000001</v>
      </c>
      <c r="AF4832">
        <v>-0.34101523474032902</v>
      </c>
      <c r="AG4832">
        <v>-1.1099977153909999</v>
      </c>
      <c r="AH4832">
        <v>14.117045322633199</v>
      </c>
      <c r="AI4832">
        <v>94.494507911000497</v>
      </c>
      <c r="AJ4832">
        <v>91.383783513700294</v>
      </c>
      <c r="AK4832">
        <v>14.164722198468199</v>
      </c>
      <c r="AL4832">
        <v>80.873049244628206</v>
      </c>
      <c r="AM4832">
        <v>90.876576609689494</v>
      </c>
      <c r="AN4832">
        <v>0.99999994407177795</v>
      </c>
    </row>
    <row r="4833" spans="1:40" x14ac:dyDescent="0.25">
      <c r="A4833" t="str">
        <f>"20190312172509073"</f>
        <v>20190312172509073</v>
      </c>
      <c r="B4833" t="str">
        <f>"1552382709065706"</f>
        <v>1552382709065706</v>
      </c>
      <c r="C4833" t="s">
        <v>40</v>
      </c>
      <c r="D4833">
        <v>3.8726120000000002</v>
      </c>
      <c r="E4833">
        <v>0.50035839999999998</v>
      </c>
      <c r="F4833" t="s">
        <v>43</v>
      </c>
      <c r="G4833">
        <v>-422.09309999999999</v>
      </c>
      <c r="H4833" s="1">
        <v>-3.5679810000000001E-6</v>
      </c>
      <c r="I4833">
        <v>56.607930000000003</v>
      </c>
      <c r="J4833">
        <v>-422.41739999999999</v>
      </c>
      <c r="K4833">
        <v>1.1099870000000001</v>
      </c>
      <c r="L4833">
        <v>70.827609999999893</v>
      </c>
      <c r="M4833">
        <v>-5.4571029999999996E-3</v>
      </c>
      <c r="N4833">
        <v>0</v>
      </c>
      <c r="O4833">
        <v>-0.99989399999999995</v>
      </c>
      <c r="P4833">
        <v>1.124557E-2</v>
      </c>
      <c r="Q4833">
        <v>0.1456259</v>
      </c>
      <c r="R4833">
        <v>-0.98927619999999905</v>
      </c>
      <c r="S4833">
        <v>6.8054199999999995E-2</v>
      </c>
      <c r="T4833">
        <v>-0.2344289</v>
      </c>
      <c r="U4833">
        <v>-3.0660400000000001</v>
      </c>
      <c r="V4833">
        <v>-1.6502889999999999E-2</v>
      </c>
      <c r="W4833">
        <v>0.15899869999999999</v>
      </c>
      <c r="X4833">
        <v>0.98714080000000004</v>
      </c>
      <c r="Y4833">
        <v>-2.7582039999999999E-2</v>
      </c>
      <c r="Z4833">
        <v>7.6211760000000003E-2</v>
      </c>
      <c r="AA4833">
        <v>0.99671010000000004</v>
      </c>
      <c r="AB4833">
        <v>29</v>
      </c>
      <c r="AC4833">
        <v>0.32429999999999298</v>
      </c>
      <c r="AD4833">
        <v>-1.109990567981</v>
      </c>
      <c r="AE4833">
        <v>-14.219679999999901</v>
      </c>
      <c r="AF4833">
        <v>-0.39946765261226502</v>
      </c>
      <c r="AG4833">
        <v>-1.109990567981</v>
      </c>
      <c r="AH4833">
        <v>14.131633548705301</v>
      </c>
      <c r="AI4833">
        <v>94.489376855054303</v>
      </c>
      <c r="AJ4833">
        <v>91.619184162733902</v>
      </c>
      <c r="AK4833">
        <v>14.180787009943501</v>
      </c>
      <c r="AL4833">
        <v>80.851217519059404</v>
      </c>
      <c r="AM4833">
        <v>90.957774080690101</v>
      </c>
      <c r="AN4833">
        <v>0.99999994550233895</v>
      </c>
    </row>
    <row r="4834" spans="1:40" x14ac:dyDescent="0.25">
      <c r="A4834" t="str">
        <f>"20190312172509095"</f>
        <v>20190312172509095</v>
      </c>
      <c r="B4834" t="str">
        <f>"1552382709085227"</f>
        <v>1552382709085227</v>
      </c>
      <c r="C4834" t="s">
        <v>40</v>
      </c>
      <c r="D4834">
        <v>3.9037639999999998</v>
      </c>
      <c r="E4834">
        <v>0.50031570000000003</v>
      </c>
      <c r="F4834" t="s">
        <v>43</v>
      </c>
      <c r="G4834">
        <v>-422.0727</v>
      </c>
      <c r="H4834" s="1">
        <v>-3.426181E-6</v>
      </c>
      <c r="I4834">
        <v>56.290069999999901</v>
      </c>
      <c r="J4834">
        <v>-422.4194</v>
      </c>
      <c r="K4834">
        <v>1.1099699999999999</v>
      </c>
      <c r="L4834">
        <v>70.545929999999998</v>
      </c>
      <c r="M4834">
        <v>-5.9215319999999898E-3</v>
      </c>
      <c r="N4834">
        <v>0</v>
      </c>
      <c r="O4834">
        <v>-0.99989099999999997</v>
      </c>
      <c r="P4834">
        <v>1.2447649999999999E-2</v>
      </c>
      <c r="Q4834">
        <v>0.14570640000000001</v>
      </c>
      <c r="R4834">
        <v>-0.9892495</v>
      </c>
      <c r="S4834">
        <v>7.2692870000000007E-2</v>
      </c>
      <c r="T4834">
        <v>-0.2341096</v>
      </c>
      <c r="U4834">
        <v>-3.0661320000000001</v>
      </c>
      <c r="V4834">
        <v>-1.8159040000000001E-2</v>
      </c>
      <c r="W4834">
        <v>0.1590792</v>
      </c>
      <c r="X4834">
        <v>0.98709880000000005</v>
      </c>
      <c r="Y4834">
        <v>-2.9552930000000002E-2</v>
      </c>
      <c r="Z4834">
        <v>7.6102550000000005E-2</v>
      </c>
      <c r="AA4834">
        <v>0.99666200000000005</v>
      </c>
      <c r="AB4834">
        <v>29</v>
      </c>
      <c r="AC4834">
        <v>0.34669999999999801</v>
      </c>
      <c r="AD4834">
        <v>-1.1099734261809999</v>
      </c>
      <c r="AE4834">
        <v>-14.25586</v>
      </c>
      <c r="AF4834">
        <v>-0.42852187558809002</v>
      </c>
      <c r="AG4834">
        <v>-1.1099734261809999</v>
      </c>
      <c r="AH4834">
        <v>14.167718464245301</v>
      </c>
      <c r="AI4834">
        <v>94.477662235176794</v>
      </c>
      <c r="AJ4834">
        <v>91.732460441695196</v>
      </c>
      <c r="AK4834">
        <v>14.217591866656001</v>
      </c>
      <c r="AL4834">
        <v>80.846546174964999</v>
      </c>
      <c r="AM4834">
        <v>91.0539157836904</v>
      </c>
      <c r="AN4834">
        <v>0.99999999178390098</v>
      </c>
    </row>
    <row r="4835" spans="1:40" x14ac:dyDescent="0.25">
      <c r="A4835" t="str">
        <f>"20190312172509117"</f>
        <v>20190312172509117</v>
      </c>
      <c r="B4835" t="str">
        <f>"1552382709105722"</f>
        <v>1552382709105722</v>
      </c>
      <c r="C4835" t="s">
        <v>40</v>
      </c>
      <c r="D4835">
        <v>3.909405</v>
      </c>
      <c r="E4835">
        <v>0.5003727</v>
      </c>
      <c r="F4835" t="s">
        <v>43</v>
      </c>
      <c r="G4835">
        <v>-422.05889999999999</v>
      </c>
      <c r="H4835" s="1">
        <v>-3.3563590000000001E-6</v>
      </c>
      <c r="I4835">
        <v>56.13588</v>
      </c>
      <c r="J4835">
        <v>-422.42160000000001</v>
      </c>
      <c r="K4835">
        <v>1.109952</v>
      </c>
      <c r="L4835">
        <v>70.266819999999996</v>
      </c>
      <c r="M4835">
        <v>-6.4054539999999997E-3</v>
      </c>
      <c r="N4835">
        <v>0</v>
      </c>
      <c r="O4835">
        <v>-0.99988840000000001</v>
      </c>
      <c r="P4835">
        <v>1.3520229999999999E-2</v>
      </c>
      <c r="Q4835">
        <v>0.14538570000000001</v>
      </c>
      <c r="R4835">
        <v>-0.98928320000000003</v>
      </c>
      <c r="S4835">
        <v>7.6721189999999995E-2</v>
      </c>
      <c r="T4835">
        <v>-0.23620070000000001</v>
      </c>
      <c r="U4835">
        <v>-3.0664370000000001</v>
      </c>
      <c r="V4835">
        <v>-1.9705299999999999E-2</v>
      </c>
      <c r="W4835">
        <v>0.1587596</v>
      </c>
      <c r="X4835">
        <v>0.98712060000000001</v>
      </c>
      <c r="Y4835">
        <v>-3.1341540000000001E-2</v>
      </c>
      <c r="Z4835">
        <v>7.6767080000000001E-2</v>
      </c>
      <c r="AA4835">
        <v>0.99655629999999995</v>
      </c>
      <c r="AB4835">
        <v>29</v>
      </c>
      <c r="AC4835">
        <v>0.36270000000001701</v>
      </c>
      <c r="AD4835">
        <v>-1.1099553563589999</v>
      </c>
      <c r="AE4835">
        <v>-14.130939999999899</v>
      </c>
      <c r="AF4835">
        <v>-0.450438616453888</v>
      </c>
      <c r="AG4835">
        <v>-1.1099553563589999</v>
      </c>
      <c r="AH4835">
        <v>14.0417492642902</v>
      </c>
      <c r="AI4835">
        <v>94.517336160027696</v>
      </c>
      <c r="AJ4835">
        <v>91.837334090748001</v>
      </c>
      <c r="AK4835">
        <v>14.0927505562788</v>
      </c>
      <c r="AL4835">
        <v>80.865093637561699</v>
      </c>
      <c r="AM4835">
        <v>91.143609593311595</v>
      </c>
      <c r="AN4835">
        <v>0.99999999419230501</v>
      </c>
    </row>
    <row r="4836" spans="1:40" x14ac:dyDescent="0.25">
      <c r="A4836" t="str">
        <f>"20190312172509139"</f>
        <v>20190312172509139</v>
      </c>
      <c r="B4836" t="str">
        <f>"1552382709135002"</f>
        <v>1552382709135002</v>
      </c>
      <c r="C4836" t="s">
        <v>40</v>
      </c>
      <c r="D4836">
        <v>3.9274230000000001</v>
      </c>
      <c r="E4836">
        <v>0.50048249999999905</v>
      </c>
      <c r="F4836" t="s">
        <v>43</v>
      </c>
      <c r="G4836">
        <v>-422.05529999999999</v>
      </c>
      <c r="H4836" s="1">
        <v>-3.3091659999999999E-6</v>
      </c>
      <c r="I4836">
        <v>56.028100000000002</v>
      </c>
      <c r="J4836">
        <v>-422.42399999999998</v>
      </c>
      <c r="K4836">
        <v>1.1099319999999999</v>
      </c>
      <c r="L4836">
        <v>69.984279999999998</v>
      </c>
      <c r="M4836">
        <v>-6.9249530000000002E-3</v>
      </c>
      <c r="N4836">
        <v>0</v>
      </c>
      <c r="O4836">
        <v>-0.99988480000000002</v>
      </c>
      <c r="P4836">
        <v>1.4595459999999999E-2</v>
      </c>
      <c r="Q4836">
        <v>0.14542820000000001</v>
      </c>
      <c r="R4836">
        <v>-0.98926170000000002</v>
      </c>
      <c r="S4836">
        <v>7.8887940000000004E-2</v>
      </c>
      <c r="T4836">
        <v>-0.2390485</v>
      </c>
      <c r="U4836">
        <v>-3.0665589999999998</v>
      </c>
      <c r="V4836">
        <v>-2.1286670000000001E-2</v>
      </c>
      <c r="W4836">
        <v>0.1588029</v>
      </c>
      <c r="X4836">
        <v>0.98708079999999998</v>
      </c>
      <c r="Y4836">
        <v>-3.2561689999999997E-2</v>
      </c>
      <c r="Z4836">
        <v>7.7681379999999994E-2</v>
      </c>
      <c r="AA4836">
        <v>0.99644639999999995</v>
      </c>
      <c r="AB4836">
        <v>29</v>
      </c>
      <c r="AC4836">
        <v>0.36870000000004599</v>
      </c>
      <c r="AD4836">
        <v>-1.109935309166</v>
      </c>
      <c r="AE4836">
        <v>-13.9561799999999</v>
      </c>
      <c r="AF4836">
        <v>-0.46242306787844201</v>
      </c>
      <c r="AG4836">
        <v>-1.109935309166</v>
      </c>
      <c r="AH4836">
        <v>13.8656524131796</v>
      </c>
      <c r="AI4836">
        <v>94.574193784930102</v>
      </c>
      <c r="AJ4836">
        <v>91.910120996174896</v>
      </c>
      <c r="AK4836">
        <v>13.917690481087501</v>
      </c>
      <c r="AL4836">
        <v>80.862580855850396</v>
      </c>
      <c r="AM4836">
        <v>91.235407815792897</v>
      </c>
      <c r="AN4836">
        <v>0.99999999454836896</v>
      </c>
    </row>
    <row r="4837" spans="1:40" x14ac:dyDescent="0.25">
      <c r="A4837" t="str">
        <f>"20190312172509162"</f>
        <v>20190312172509162</v>
      </c>
      <c r="B4837" t="str">
        <f>"1552382709155502"</f>
        <v>1552382709155502</v>
      </c>
      <c r="C4837" t="s">
        <v>40</v>
      </c>
      <c r="D4837">
        <v>3.943333</v>
      </c>
      <c r="E4837">
        <v>0.50057839999999998</v>
      </c>
      <c r="F4837" t="s">
        <v>43</v>
      </c>
      <c r="G4837">
        <v>-422.0532</v>
      </c>
      <c r="H4837" s="1">
        <v>-3.2553610000000002E-6</v>
      </c>
      <c r="I4837">
        <v>55.90401</v>
      </c>
      <c r="J4837">
        <v>-422.42660000000001</v>
      </c>
      <c r="K4837">
        <v>1.109909</v>
      </c>
      <c r="L4837">
        <v>69.69171</v>
      </c>
      <c r="M4837">
        <v>-7.4968300000000003E-3</v>
      </c>
      <c r="N4837">
        <v>0</v>
      </c>
      <c r="O4837">
        <v>-0.99988060000000001</v>
      </c>
      <c r="P4837">
        <v>1.507724E-2</v>
      </c>
      <c r="Q4837">
        <v>0.14492940000000001</v>
      </c>
      <c r="R4837">
        <v>-0.98932710000000001</v>
      </c>
      <c r="S4837">
        <v>8.0780030000000003E-2</v>
      </c>
      <c r="T4837">
        <v>-0.24176300000000001</v>
      </c>
      <c r="U4837">
        <v>-3.0669249999999999</v>
      </c>
      <c r="V4837">
        <v>-2.2325359999999999E-2</v>
      </c>
      <c r="W4837">
        <v>0.15830620000000001</v>
      </c>
      <c r="X4837">
        <v>0.98713770000000001</v>
      </c>
      <c r="Y4837">
        <v>-3.374278E-2</v>
      </c>
      <c r="Z4837">
        <v>7.8546110000000002E-2</v>
      </c>
      <c r="AA4837">
        <v>0.99633930000000004</v>
      </c>
      <c r="AB4837">
        <v>29</v>
      </c>
      <c r="AC4837">
        <v>0.37340000000000301</v>
      </c>
      <c r="AD4837">
        <v>-1.1099122553609999</v>
      </c>
      <c r="AE4837">
        <v>-13.787699999999999</v>
      </c>
      <c r="AF4837">
        <v>-0.47369555633689597</v>
      </c>
      <c r="AG4837">
        <v>-1.1099122553609999</v>
      </c>
      <c r="AH4837">
        <v>13.6958251918467</v>
      </c>
      <c r="AI4837">
        <v>94.630379080835993</v>
      </c>
      <c r="AJ4837">
        <v>91.980891340993793</v>
      </c>
      <c r="AK4837">
        <v>13.748887968862</v>
      </c>
      <c r="AL4837">
        <v>80.891404851043106</v>
      </c>
      <c r="AM4837">
        <v>91.295595212527601</v>
      </c>
      <c r="AN4837">
        <v>1.00000005670942</v>
      </c>
    </row>
    <row r="4838" spans="1:40" x14ac:dyDescent="0.25">
      <c r="A4838" t="str">
        <f>"20190312172509184"</f>
        <v>20190312172509184</v>
      </c>
      <c r="B4838" t="str">
        <f>"1552382709175525"</f>
        <v>1552382709175525</v>
      </c>
      <c r="C4838" t="s">
        <v>40</v>
      </c>
      <c r="D4838">
        <v>3.9491000000000001</v>
      </c>
      <c r="E4838">
        <v>0.50071639999999995</v>
      </c>
      <c r="F4838" t="s">
        <v>43</v>
      </c>
      <c r="G4838">
        <v>-422.05579999999998</v>
      </c>
      <c r="H4838" s="1">
        <v>-3.2178790000000002E-6</v>
      </c>
      <c r="I4838">
        <v>55.815019999999997</v>
      </c>
      <c r="J4838">
        <v>-422.42939999999999</v>
      </c>
      <c r="K4838">
        <v>1.1098840000000001</v>
      </c>
      <c r="L4838">
        <v>69.410060000000001</v>
      </c>
      <c r="M4838">
        <v>-8.0843359999999993E-3</v>
      </c>
      <c r="N4838">
        <v>0</v>
      </c>
      <c r="O4838">
        <v>-0.99987610000000005</v>
      </c>
      <c r="P4838">
        <v>1.4888230000000001E-2</v>
      </c>
      <c r="Q4838">
        <v>0.14457909999999999</v>
      </c>
      <c r="R4838">
        <v>-0.98938139999999997</v>
      </c>
      <c r="S4838">
        <v>8.1970210000000002E-2</v>
      </c>
      <c r="T4838">
        <v>-0.24531439999999999</v>
      </c>
      <c r="U4838">
        <v>-3.0670470000000001</v>
      </c>
      <c r="V4838">
        <v>-2.270838E-2</v>
      </c>
      <c r="W4838">
        <v>0.15795680000000001</v>
      </c>
      <c r="X4838">
        <v>0.98718490000000003</v>
      </c>
      <c r="Y4838">
        <v>-3.471291E-2</v>
      </c>
      <c r="Z4838">
        <v>7.9687190000000005E-2</v>
      </c>
      <c r="AA4838">
        <v>0.99621530000000003</v>
      </c>
      <c r="AB4838">
        <v>29</v>
      </c>
      <c r="AC4838">
        <v>0.37360000000000998</v>
      </c>
      <c r="AD4838">
        <v>-1.109887217879</v>
      </c>
      <c r="AE4838">
        <v>-13.595039999999999</v>
      </c>
      <c r="AF4838">
        <v>-0.48030588894019799</v>
      </c>
      <c r="AG4838">
        <v>-1.109887217879</v>
      </c>
      <c r="AH4838">
        <v>13.501655152114401</v>
      </c>
      <c r="AI4838">
        <v>94.696406537297804</v>
      </c>
      <c r="AJ4838">
        <v>92.037372468404598</v>
      </c>
      <c r="AK4838">
        <v>13.5557085845772</v>
      </c>
      <c r="AL4838">
        <v>80.911678784605996</v>
      </c>
      <c r="AM4838">
        <v>91.317752041088397</v>
      </c>
      <c r="AN4838">
        <v>1.0000000239882301</v>
      </c>
    </row>
    <row r="4839" spans="1:40" x14ac:dyDescent="0.25">
      <c r="A4839" t="str">
        <f>"20190312172509205"</f>
        <v>20190312172509205</v>
      </c>
      <c r="B4839" t="str">
        <f>"1552382709195045"</f>
        <v>1552382709195045</v>
      </c>
      <c r="C4839" t="s">
        <v>40</v>
      </c>
      <c r="D4839">
        <v>3.9553129999999999</v>
      </c>
      <c r="E4839">
        <v>0.50088359999999998</v>
      </c>
      <c r="F4839" t="s">
        <v>43</v>
      </c>
      <c r="G4839">
        <v>-422.06819999999999</v>
      </c>
      <c r="H4839" s="1">
        <v>-3.1590749999999999E-6</v>
      </c>
      <c r="I4839">
        <v>55.670209999999997</v>
      </c>
      <c r="J4839">
        <v>-422.4323</v>
      </c>
      <c r="K4839">
        <v>1.109861</v>
      </c>
      <c r="L4839">
        <v>69.131129999999999</v>
      </c>
      <c r="M4839">
        <v>-8.6950929999999992E-3</v>
      </c>
      <c r="N4839">
        <v>0</v>
      </c>
      <c r="O4839">
        <v>-0.99987099999999995</v>
      </c>
      <c r="P4839">
        <v>1.4038989999999999E-2</v>
      </c>
      <c r="Q4839">
        <v>0.144736</v>
      </c>
      <c r="R4839">
        <v>-0.98937090000000005</v>
      </c>
      <c r="S4839">
        <v>8.0627439999999995E-2</v>
      </c>
      <c r="T4839">
        <v>-0.24776429999999999</v>
      </c>
      <c r="U4839">
        <v>-3.0672000000000001</v>
      </c>
      <c r="V4839">
        <v>-2.2454559999999998E-2</v>
      </c>
      <c r="W4839">
        <v>0.15811359999999999</v>
      </c>
      <c r="X4839">
        <v>0.98716559999999998</v>
      </c>
      <c r="Y4839">
        <v>-3.4884560000000002E-2</v>
      </c>
      <c r="Z4839">
        <v>8.0473530000000001E-2</v>
      </c>
      <c r="AA4839">
        <v>0.99614610000000003</v>
      </c>
      <c r="AB4839">
        <v>29</v>
      </c>
      <c r="AC4839">
        <v>0.36410000000000697</v>
      </c>
      <c r="AD4839">
        <v>-1.109864159075</v>
      </c>
      <c r="AE4839">
        <v>-13.46092</v>
      </c>
      <c r="AF4839">
        <v>-0.477894440685107</v>
      </c>
      <c r="AG4839">
        <v>-1.109864159075</v>
      </c>
      <c r="AH4839">
        <v>13.3664443307872</v>
      </c>
      <c r="AI4839">
        <v>94.743569926019902</v>
      </c>
      <c r="AJ4839">
        <v>92.047640763468706</v>
      </c>
      <c r="AK4839">
        <v>13.4209543474401</v>
      </c>
      <c r="AL4839">
        <v>80.902580434001905</v>
      </c>
      <c r="AM4839">
        <v>91.303053610332697</v>
      </c>
      <c r="AN4839">
        <v>1.00000001979655</v>
      </c>
    </row>
    <row r="4840" spans="1:40" x14ac:dyDescent="0.25">
      <c r="A4840" t="str">
        <f>"20190312172509229"</f>
        <v>20190312172509229</v>
      </c>
      <c r="B4840" t="str">
        <f>"1552382709225301"</f>
        <v>1552382709225301</v>
      </c>
      <c r="C4840" t="s">
        <v>40</v>
      </c>
      <c r="D4840">
        <v>3.9384860000000002</v>
      </c>
      <c r="E4840">
        <v>0.50112879999999904</v>
      </c>
      <c r="F4840" t="s">
        <v>43</v>
      </c>
      <c r="G4840">
        <v>-422.08909999999997</v>
      </c>
      <c r="H4840" s="1">
        <v>-3.069332E-6</v>
      </c>
      <c r="I4840">
        <v>55.448059999999998</v>
      </c>
      <c r="J4840">
        <v>-422.43549999999999</v>
      </c>
      <c r="K4840">
        <v>1.109839</v>
      </c>
      <c r="L4840">
        <v>68.842959999999906</v>
      </c>
      <c r="M4840">
        <v>-9.3569169999999993E-3</v>
      </c>
      <c r="N4840">
        <v>0</v>
      </c>
      <c r="O4840">
        <v>-0.99986529999999996</v>
      </c>
      <c r="P4840">
        <v>1.209535E-2</v>
      </c>
      <c r="Q4840">
        <v>0.1447165</v>
      </c>
      <c r="R4840">
        <v>-0.98939940000000004</v>
      </c>
      <c r="S4840">
        <v>7.6934810000000006E-2</v>
      </c>
      <c r="T4840">
        <v>-0.24881449999999999</v>
      </c>
      <c r="U4840">
        <v>-3.0675349999999999</v>
      </c>
      <c r="V4840">
        <v>-2.115732E-2</v>
      </c>
      <c r="W4840">
        <v>0.15809239999999999</v>
      </c>
      <c r="X4840">
        <v>0.98719760000000001</v>
      </c>
      <c r="Y4840">
        <v>-3.4344180000000002E-2</v>
      </c>
      <c r="Z4840">
        <v>8.0804860000000006E-2</v>
      </c>
      <c r="AA4840">
        <v>0.99613810000000003</v>
      </c>
      <c r="AB4840">
        <v>29</v>
      </c>
      <c r="AC4840">
        <v>0.34640000000001597</v>
      </c>
      <c r="AD4840">
        <v>-1.1098420693319999</v>
      </c>
      <c r="AE4840">
        <v>-13.3948999999999</v>
      </c>
      <c r="AF4840">
        <v>-0.46851695623105799</v>
      </c>
      <c r="AG4840">
        <v>-1.1098420693319999</v>
      </c>
      <c r="AH4840">
        <v>13.2998290652916</v>
      </c>
      <c r="AI4840">
        <v>94.767213986508196</v>
      </c>
      <c r="AJ4840">
        <v>92.017540842389494</v>
      </c>
      <c r="AK4840">
        <v>13.354276870093299</v>
      </c>
      <c r="AL4840">
        <v>80.903810122290807</v>
      </c>
      <c r="AM4840">
        <v>91.227757841127101</v>
      </c>
      <c r="AN4840">
        <v>0.99999997028654997</v>
      </c>
    </row>
    <row r="4841" spans="1:40" x14ac:dyDescent="0.25">
      <c r="A4841" t="str">
        <f>"20190312172509251"</f>
        <v>20190312172509251</v>
      </c>
      <c r="B4841" t="str">
        <f>"1552382709245797"</f>
        <v>1552382709245797</v>
      </c>
      <c r="C4841" t="s">
        <v>40</v>
      </c>
      <c r="D4841">
        <v>4.0531509999999997</v>
      </c>
      <c r="E4841">
        <v>0.53236059999999996</v>
      </c>
      <c r="F4841" t="s">
        <v>43</v>
      </c>
      <c r="G4841">
        <v>-422.1259</v>
      </c>
      <c r="H4841" s="1">
        <v>-2.9994079999999998E-6</v>
      </c>
      <c r="I4841">
        <v>55.262250000000002</v>
      </c>
      <c r="J4841">
        <v>-422.43900000000002</v>
      </c>
      <c r="K4841">
        <v>1.1098159999999999</v>
      </c>
      <c r="L4841">
        <v>68.555449999999993</v>
      </c>
      <c r="M4841">
        <v>-1.0043379999999999E-2</v>
      </c>
      <c r="N4841">
        <v>0</v>
      </c>
      <c r="O4841">
        <v>-0.99985840000000004</v>
      </c>
      <c r="P4841">
        <v>9.0030600000000002E-3</v>
      </c>
      <c r="Q4841">
        <v>0.1441162</v>
      </c>
      <c r="R4841">
        <v>-0.98951999999999996</v>
      </c>
      <c r="S4841">
        <v>6.9946289999999994E-2</v>
      </c>
      <c r="T4841">
        <v>-0.2507199</v>
      </c>
      <c r="U4841">
        <v>-3.0679630000000002</v>
      </c>
      <c r="V4841">
        <v>-1.8739039999999998E-2</v>
      </c>
      <c r="W4841">
        <v>0.15749070000000001</v>
      </c>
      <c r="X4841">
        <v>0.98734270000000002</v>
      </c>
      <c r="Y4841">
        <v>-3.2757880000000003E-2</v>
      </c>
      <c r="Z4841">
        <v>8.1411899999999995E-2</v>
      </c>
      <c r="AA4841">
        <v>0.99614210000000003</v>
      </c>
      <c r="AB4841">
        <v>28</v>
      </c>
      <c r="AC4841">
        <v>0.31310000000001897</v>
      </c>
      <c r="AD4841">
        <v>-1.1098189994080001</v>
      </c>
      <c r="AE4841">
        <v>-13.293199999999899</v>
      </c>
      <c r="AF4841">
        <v>-0.44351535962301802</v>
      </c>
      <c r="AG4841">
        <v>-1.1098189994080001</v>
      </c>
      <c r="AH4841">
        <v>13.1974467147695</v>
      </c>
      <c r="AI4841">
        <v>94.804191441408605</v>
      </c>
      <c r="AJ4841">
        <v>91.9247661236152</v>
      </c>
      <c r="AK4841">
        <v>13.2514528967525</v>
      </c>
      <c r="AL4841">
        <v>80.938722993970302</v>
      </c>
      <c r="AM4841">
        <v>91.087301314695296</v>
      </c>
      <c r="AN4841">
        <v>1.00000003972495</v>
      </c>
    </row>
    <row r="4842" spans="1:40" x14ac:dyDescent="0.25">
      <c r="A4842" t="str">
        <f>"20190312172509274"</f>
        <v>20190312172509274</v>
      </c>
      <c r="B4842" t="str">
        <f>"1552382709265828"</f>
        <v>1552382709265828</v>
      </c>
      <c r="C4842" t="s">
        <v>40</v>
      </c>
      <c r="D4842">
        <v>3.9862730000000002</v>
      </c>
      <c r="E4842">
        <v>0.54980069999999903</v>
      </c>
      <c r="F4842" t="s">
        <v>41</v>
      </c>
      <c r="G4842">
        <v>-422.48739999999998</v>
      </c>
      <c r="H4842">
        <v>1.0012829999999999</v>
      </c>
      <c r="I4842">
        <v>67.718859999999907</v>
      </c>
      <c r="J4842">
        <v>-422.4427</v>
      </c>
      <c r="K4842">
        <v>1.109799</v>
      </c>
      <c r="L4842">
        <v>68.263819999999996</v>
      </c>
      <c r="M4842">
        <v>-1.0757559999999999E-2</v>
      </c>
      <c r="N4842">
        <v>0</v>
      </c>
      <c r="O4842">
        <v>-0.99985100000000005</v>
      </c>
      <c r="P4842">
        <v>5.6239469999999998E-3</v>
      </c>
      <c r="Q4842">
        <v>0.14399670000000001</v>
      </c>
      <c r="R4842">
        <v>-0.98956259999999996</v>
      </c>
      <c r="S4842">
        <v>-0.1791382</v>
      </c>
      <c r="T4842">
        <v>-0.40111550000000001</v>
      </c>
      <c r="U4842">
        <v>-3.0918269999999999</v>
      </c>
      <c r="V4842">
        <v>-1.6062320000000001E-2</v>
      </c>
      <c r="W4842">
        <v>0.15736820000000001</v>
      </c>
      <c r="X4842">
        <v>0.98740939999999999</v>
      </c>
      <c r="Y4842">
        <v>4.6619090000000002E-2</v>
      </c>
      <c r="Z4842">
        <v>0.1284691</v>
      </c>
      <c r="AA4842">
        <v>0.99061719999999998</v>
      </c>
      <c r="AB4842">
        <v>28</v>
      </c>
      <c r="AC4842">
        <v>-4.4699999999977501E-2</v>
      </c>
      <c r="AD4842">
        <v>-0.108516</v>
      </c>
      <c r="AE4842">
        <v>-0.544960000000003</v>
      </c>
      <c r="AF4842">
        <v>3.7362851056364103E-2</v>
      </c>
      <c r="AG4842">
        <v>-0.108516</v>
      </c>
      <c r="AH4842">
        <v>0.52474168762110796</v>
      </c>
      <c r="AI4842">
        <v>101.65530605681199</v>
      </c>
      <c r="AJ4842">
        <v>85.927278105902204</v>
      </c>
      <c r="AK4842">
        <v>0.53714573778678398</v>
      </c>
      <c r="AL4842">
        <v>80.945830318410501</v>
      </c>
      <c r="AM4842">
        <v>90.931955864831806</v>
      </c>
      <c r="AN4842">
        <v>1.0000000358516901</v>
      </c>
    </row>
    <row r="4843" spans="1:40" x14ac:dyDescent="0.25">
      <c r="A4843" t="str">
        <f>"20190312172509296"</f>
        <v>20190312172509296</v>
      </c>
      <c r="B4843" t="str">
        <f>"1552382709285344"</f>
        <v>1552382709285344</v>
      </c>
      <c r="C4843" t="s">
        <v>40</v>
      </c>
      <c r="D4843">
        <v>3.9236939999999998</v>
      </c>
      <c r="E4843">
        <v>0.55613699999999999</v>
      </c>
      <c r="F4843" t="s">
        <v>41</v>
      </c>
      <c r="G4843">
        <v>-422.52390000000003</v>
      </c>
      <c r="H4843">
        <v>0.97493399999999997</v>
      </c>
      <c r="I4843">
        <v>67.47824</v>
      </c>
      <c r="J4843">
        <v>-422.44639999999998</v>
      </c>
      <c r="K4843">
        <v>1.1097889999999999</v>
      </c>
      <c r="L4843">
        <v>67.992000000000004</v>
      </c>
      <c r="M4843">
        <v>-1.1432070000000001E-2</v>
      </c>
      <c r="N4843">
        <v>0</v>
      </c>
      <c r="O4843">
        <v>-0.9998437</v>
      </c>
      <c r="P4843">
        <v>2.9516199999999999E-3</v>
      </c>
      <c r="Q4843">
        <v>0.1431346</v>
      </c>
      <c r="R4843">
        <v>-0.98969890000000005</v>
      </c>
      <c r="S4843">
        <v>-0.32043460000000001</v>
      </c>
      <c r="T4843">
        <v>-0.53407729999999998</v>
      </c>
      <c r="U4843">
        <v>-3.1111759999999999</v>
      </c>
      <c r="V4843">
        <v>-1.405707E-2</v>
      </c>
      <c r="W4843">
        <v>0.15650449999999999</v>
      </c>
      <c r="X4843">
        <v>0.98757720000000004</v>
      </c>
      <c r="Y4843">
        <v>8.9610170000000003E-2</v>
      </c>
      <c r="Z4843">
        <v>0.16840060000000001</v>
      </c>
      <c r="AA4843">
        <v>0.98163710000000004</v>
      </c>
      <c r="AB4843">
        <v>28</v>
      </c>
      <c r="AC4843">
        <v>-7.7500000000043201E-2</v>
      </c>
      <c r="AD4843">
        <v>-0.134854999999999</v>
      </c>
      <c r="AE4843">
        <v>-0.51376000000000399</v>
      </c>
      <c r="AF4843">
        <v>6.71007409230511E-2</v>
      </c>
      <c r="AG4843">
        <v>-0.134854999999999</v>
      </c>
      <c r="AH4843">
        <v>0.48213303585488998</v>
      </c>
      <c r="AI4843">
        <v>105.484583170509</v>
      </c>
      <c r="AJ4843">
        <v>82.076769698774498</v>
      </c>
      <c r="AK4843">
        <v>0.50511448674540604</v>
      </c>
      <c r="AL4843">
        <v>80.995937185736693</v>
      </c>
      <c r="AM4843">
        <v>90.815487029111495</v>
      </c>
      <c r="AN4843">
        <v>0.99999999284853702</v>
      </c>
    </row>
    <row r="4844" spans="1:40" x14ac:dyDescent="0.25">
      <c r="A4844" t="str">
        <f>"20190312172509317"</f>
        <v>20190312172509317</v>
      </c>
      <c r="B4844" t="str">
        <f>"1552382709305841"</f>
        <v>1552382709305841</v>
      </c>
      <c r="C4844" t="s">
        <v>40</v>
      </c>
      <c r="D4844">
        <v>3.8935200000000001</v>
      </c>
      <c r="E4844">
        <v>0.55971090000000001</v>
      </c>
      <c r="F4844" t="s">
        <v>41</v>
      </c>
      <c r="G4844">
        <v>-422.53930000000003</v>
      </c>
      <c r="H4844">
        <v>0.96846069999999995</v>
      </c>
      <c r="I4844">
        <v>67.227519999999998</v>
      </c>
      <c r="J4844">
        <v>-422.4504</v>
      </c>
      <c r="K4844">
        <v>1.109785</v>
      </c>
      <c r="L4844">
        <v>67.711359999999999</v>
      </c>
      <c r="M4844">
        <v>-1.2132499999999999E-2</v>
      </c>
      <c r="N4844">
        <v>0</v>
      </c>
      <c r="O4844">
        <v>-0.99983540000000004</v>
      </c>
      <c r="P4844">
        <v>6.6133589999999996E-4</v>
      </c>
      <c r="Q4844">
        <v>0.14271539999999999</v>
      </c>
      <c r="R4844">
        <v>-0.98976359999999997</v>
      </c>
      <c r="S4844">
        <v>-0.37695309999999999</v>
      </c>
      <c r="T4844">
        <v>-0.57590959999999902</v>
      </c>
      <c r="U4844">
        <v>-3.115631</v>
      </c>
      <c r="V4844">
        <v>-1.246009E-2</v>
      </c>
      <c r="W4844">
        <v>0.156083</v>
      </c>
      <c r="X4844">
        <v>0.98766540000000003</v>
      </c>
      <c r="Y4844">
        <v>0.1060827</v>
      </c>
      <c r="Z4844">
        <v>0.1805976</v>
      </c>
      <c r="AA4844">
        <v>0.97781949999999995</v>
      </c>
      <c r="AB4844">
        <v>28</v>
      </c>
      <c r="AC4844">
        <v>-8.8900000000023696E-2</v>
      </c>
      <c r="AD4844">
        <v>-0.14132430000000001</v>
      </c>
      <c r="AE4844">
        <v>-0.48383999999999999</v>
      </c>
      <c r="AF4844">
        <v>7.6693257647846499E-2</v>
      </c>
      <c r="AG4844">
        <v>-0.14132430000000001</v>
      </c>
      <c r="AH4844">
        <v>0.44791661549206802</v>
      </c>
      <c r="AI4844">
        <v>107.275121459221</v>
      </c>
      <c r="AJ4844">
        <v>80.283909814781595</v>
      </c>
      <c r="AK4844">
        <v>0.47590304471919298</v>
      </c>
      <c r="AL4844">
        <v>81.020388353945705</v>
      </c>
      <c r="AM4844">
        <v>90.722787999473596</v>
      </c>
      <c r="AN4844">
        <v>1.0000000495444801</v>
      </c>
    </row>
    <row r="4845" spans="1:40" x14ac:dyDescent="0.25">
      <c r="A4845" t="str">
        <f>"20190312172509340"</f>
        <v>20190312172509340</v>
      </c>
      <c r="B4845" t="str">
        <f>"1552382709335120"</f>
        <v>1552382709335120</v>
      </c>
      <c r="C4845" t="s">
        <v>40</v>
      </c>
      <c r="D4845">
        <v>3.9299499999999998</v>
      </c>
      <c r="E4845">
        <v>0.56281789999999998</v>
      </c>
      <c r="F4845" t="s">
        <v>41</v>
      </c>
      <c r="G4845">
        <v>-422.54820000000001</v>
      </c>
      <c r="H4845">
        <v>0.96814409999999895</v>
      </c>
      <c r="I4845">
        <v>66.973929999999996</v>
      </c>
      <c r="J4845">
        <v>-422.45490000000001</v>
      </c>
      <c r="K4845">
        <v>1.109788</v>
      </c>
      <c r="L4845">
        <v>67.415009999999995</v>
      </c>
      <c r="M4845">
        <v>-1.2873010000000001E-2</v>
      </c>
      <c r="N4845">
        <v>0</v>
      </c>
      <c r="O4845">
        <v>-0.99982610000000005</v>
      </c>
      <c r="P4845">
        <v>-1.333868E-3</v>
      </c>
      <c r="Q4845">
        <v>0.14371819999999999</v>
      </c>
      <c r="R4845">
        <v>-0.98961809999999995</v>
      </c>
      <c r="S4845">
        <v>-0.41192630000000002</v>
      </c>
      <c r="T4845">
        <v>-0.59876229999999997</v>
      </c>
      <c r="U4845">
        <v>-3.117645</v>
      </c>
      <c r="V4845">
        <v>-1.1194239999999999E-2</v>
      </c>
      <c r="W4845">
        <v>0.15708050000000001</v>
      </c>
      <c r="X4845">
        <v>0.98752240000000002</v>
      </c>
      <c r="Y4845">
        <v>0.1159007</v>
      </c>
      <c r="Z4845">
        <v>0.1871671</v>
      </c>
      <c r="AA4845">
        <v>0.97546679999999997</v>
      </c>
      <c r="AB4845">
        <v>28</v>
      </c>
      <c r="AC4845">
        <v>-9.3299999999999203E-2</v>
      </c>
      <c r="AD4845">
        <v>-0.14164389999999999</v>
      </c>
      <c r="AE4845">
        <v>-0.44107999999998498</v>
      </c>
      <c r="AF4845">
        <v>7.9742516425031704E-2</v>
      </c>
      <c r="AG4845">
        <v>-0.14164389999999999</v>
      </c>
      <c r="AH4845">
        <v>0.40251340053517598</v>
      </c>
      <c r="AI4845">
        <v>109.04414972948</v>
      </c>
      <c r="AJ4845">
        <v>78.794148978585298</v>
      </c>
      <c r="AK4845">
        <v>0.43409549749265702</v>
      </c>
      <c r="AL4845">
        <v>80.962521968965802</v>
      </c>
      <c r="AM4845">
        <v>90.649458925599305</v>
      </c>
      <c r="AN4845">
        <v>1.0000000424955899</v>
      </c>
    </row>
    <row r="4846" spans="1:40" x14ac:dyDescent="0.25">
      <c r="A4846" t="str">
        <f>"20190312172509363"</f>
        <v>20190312172509363</v>
      </c>
      <c r="B4846" t="str">
        <f>"1552382709355617"</f>
        <v>1552382709355617</v>
      </c>
      <c r="C4846" t="s">
        <v>40</v>
      </c>
      <c r="D4846">
        <v>3.9040689999999998</v>
      </c>
      <c r="E4846">
        <v>0.56414430000000004</v>
      </c>
      <c r="F4846" t="s">
        <v>41</v>
      </c>
      <c r="G4846">
        <v>-422.55329999999998</v>
      </c>
      <c r="H4846">
        <v>0.97249580000000002</v>
      </c>
      <c r="I4846">
        <v>66.718249999999998</v>
      </c>
      <c r="J4846">
        <v>-422.45940000000002</v>
      </c>
      <c r="K4846">
        <v>1.1097919999999999</v>
      </c>
      <c r="L4846">
        <v>67.130129999999994</v>
      </c>
      <c r="M4846">
        <v>-1.3583430000000001E-2</v>
      </c>
      <c r="N4846">
        <v>0</v>
      </c>
      <c r="O4846">
        <v>-0.99981699999999996</v>
      </c>
      <c r="P4846">
        <v>-2.5899429999999999E-3</v>
      </c>
      <c r="Q4846">
        <v>0.1437601</v>
      </c>
      <c r="R4846">
        <v>-0.98960970000000004</v>
      </c>
      <c r="S4846">
        <v>-0.44015500000000002</v>
      </c>
      <c r="T4846">
        <v>-0.61477819999999905</v>
      </c>
      <c r="U4846">
        <v>-3.1201780000000001</v>
      </c>
      <c r="V4846">
        <v>-1.0641350000000001E-2</v>
      </c>
      <c r="W4846">
        <v>0.1571206</v>
      </c>
      <c r="X4846">
        <v>0.98752209999999996</v>
      </c>
      <c r="Y4846">
        <v>0.1236318</v>
      </c>
      <c r="Z4846">
        <v>0.19163649999999999</v>
      </c>
      <c r="AA4846">
        <v>0.97364810000000002</v>
      </c>
      <c r="AB4846">
        <v>28</v>
      </c>
      <c r="AC4846">
        <v>-9.3899999999962305E-2</v>
      </c>
      <c r="AD4846">
        <v>-0.13729620000000001</v>
      </c>
      <c r="AE4846">
        <v>-0.41188000000001002</v>
      </c>
      <c r="AF4846">
        <v>7.9860723351067503E-2</v>
      </c>
      <c r="AG4846">
        <v>-0.13729620000000001</v>
      </c>
      <c r="AH4846">
        <v>0.37365042878286497</v>
      </c>
      <c r="AI4846">
        <v>109.764883072404</v>
      </c>
      <c r="AJ4846">
        <v>77.935627432285997</v>
      </c>
      <c r="AK4846">
        <v>0.40600815829021802</v>
      </c>
      <c r="AL4846">
        <v>80.960195220311604</v>
      </c>
      <c r="AM4846">
        <v>90.617384507882093</v>
      </c>
      <c r="AN4846">
        <v>1.00000000963129</v>
      </c>
    </row>
    <row r="4847" spans="1:40" x14ac:dyDescent="0.25">
      <c r="A4847" t="str">
        <f>"20190312172509385"</f>
        <v>20190312172509385</v>
      </c>
      <c r="B4847" t="str">
        <f>"1552382709375644"</f>
        <v>1552382709375644</v>
      </c>
      <c r="C4847" t="s">
        <v>40</v>
      </c>
      <c r="D4847">
        <v>3.8994689999999999</v>
      </c>
      <c r="E4847">
        <v>0.56496789999999997</v>
      </c>
      <c r="F4847" t="s">
        <v>41</v>
      </c>
      <c r="G4847">
        <v>-422.5899</v>
      </c>
      <c r="H4847">
        <v>0.93050069999999996</v>
      </c>
      <c r="I4847">
        <v>66.231740000000002</v>
      </c>
      <c r="J4847">
        <v>-422.46390000000002</v>
      </c>
      <c r="K4847">
        <v>1.1097889999999999</v>
      </c>
      <c r="L4847">
        <v>66.856750000000005</v>
      </c>
      <c r="M4847">
        <v>-1.426231E-2</v>
      </c>
      <c r="N4847">
        <v>0</v>
      </c>
      <c r="O4847">
        <v>-0.99980740000000001</v>
      </c>
      <c r="P4847">
        <v>-2.5009120000000001E-3</v>
      </c>
      <c r="Q4847">
        <v>0.14312149999999901</v>
      </c>
      <c r="R4847">
        <v>-0.98970219999999998</v>
      </c>
      <c r="S4847">
        <v>-0.45269779999999998</v>
      </c>
      <c r="T4847">
        <v>-0.62278269999999902</v>
      </c>
      <c r="U4847">
        <v>-3.1207889999999998</v>
      </c>
      <c r="V4847">
        <v>-1.140441E-2</v>
      </c>
      <c r="W4847">
        <v>0.15648239999999999</v>
      </c>
      <c r="X4847">
        <v>0.98761489999999996</v>
      </c>
      <c r="Y4847">
        <v>0.12670190000000001</v>
      </c>
      <c r="Z4847">
        <v>0.19390830000000001</v>
      </c>
      <c r="AA4847">
        <v>0.97280330000000004</v>
      </c>
      <c r="AB4847">
        <v>28</v>
      </c>
      <c r="AC4847">
        <v>-0.12599999999997599</v>
      </c>
      <c r="AD4847">
        <v>-0.17928829999999901</v>
      </c>
      <c r="AE4847">
        <v>-0.62501000000000295</v>
      </c>
      <c r="AF4847">
        <v>0.10849337477851199</v>
      </c>
      <c r="AG4847">
        <v>-0.17928829999999901</v>
      </c>
      <c r="AH4847">
        <v>0.58081664245443299</v>
      </c>
      <c r="AI4847">
        <v>106.879621455475</v>
      </c>
      <c r="AJ4847">
        <v>79.419397102221595</v>
      </c>
      <c r="AK4847">
        <v>0.61746504276741199</v>
      </c>
      <c r="AL4847">
        <v>80.997219250546706</v>
      </c>
      <c r="AM4847">
        <v>90.661589370464796</v>
      </c>
      <c r="AN4847">
        <v>0.99999999638960901</v>
      </c>
    </row>
    <row r="4848" spans="1:40" x14ac:dyDescent="0.25">
      <c r="A4848" t="str">
        <f>"20190312172509406"</f>
        <v>20190312172509406</v>
      </c>
      <c r="B4848" t="str">
        <f>"1552382709395164"</f>
        <v>1552382709395164</v>
      </c>
      <c r="C4848" t="s">
        <v>40</v>
      </c>
      <c r="D4848">
        <v>3.905189</v>
      </c>
      <c r="E4848">
        <v>0.56562939999999995</v>
      </c>
      <c r="F4848" t="s">
        <v>41</v>
      </c>
      <c r="G4848">
        <v>-422.59339999999997</v>
      </c>
      <c r="H4848">
        <v>0.93223599999999995</v>
      </c>
      <c r="I4848">
        <v>65.978080000000006</v>
      </c>
      <c r="J4848">
        <v>-422.46850000000001</v>
      </c>
      <c r="K4848">
        <v>1.109793</v>
      </c>
      <c r="L4848">
        <v>66.581540000000004</v>
      </c>
      <c r="M4848">
        <v>-1.4943059999999999E-2</v>
      </c>
      <c r="N4848">
        <v>0</v>
      </c>
      <c r="O4848">
        <v>-0.99979739999999995</v>
      </c>
      <c r="P4848">
        <v>-1.51686299999999E-3</v>
      </c>
      <c r="Q4848">
        <v>0.14218649999999999</v>
      </c>
      <c r="R4848">
        <v>-0.98983889999999997</v>
      </c>
      <c r="S4848">
        <v>-0.4587097</v>
      </c>
      <c r="T4848">
        <v>-0.63064030000000004</v>
      </c>
      <c r="U4848">
        <v>-3.1212460000000002</v>
      </c>
      <c r="V4848">
        <v>-1.3066380000000001E-2</v>
      </c>
      <c r="W4848">
        <v>0.15554979999999999</v>
      </c>
      <c r="X4848">
        <v>0.9877416</v>
      </c>
      <c r="Y4848">
        <v>0.1277751</v>
      </c>
      <c r="Z4848">
        <v>0.19619049999999999</v>
      </c>
      <c r="AA4848">
        <v>0.97220510000000004</v>
      </c>
      <c r="AB4848">
        <v>28</v>
      </c>
      <c r="AC4848">
        <v>-0.12489999999996799</v>
      </c>
      <c r="AD4848">
        <v>-0.17755699999999899</v>
      </c>
      <c r="AE4848">
        <v>-0.603459999999998</v>
      </c>
      <c r="AF4848">
        <v>0.106986131682239</v>
      </c>
      <c r="AG4848">
        <v>-0.17755699999999899</v>
      </c>
      <c r="AH4848">
        <v>0.55886447182272303</v>
      </c>
      <c r="AI4848">
        <v>107.330217273028</v>
      </c>
      <c r="AJ4848">
        <v>79.162707852022095</v>
      </c>
      <c r="AK4848">
        <v>0.596072158792055</v>
      </c>
      <c r="AL4848">
        <v>81.051315491796402</v>
      </c>
      <c r="AM4848">
        <v>90.7578953466831</v>
      </c>
      <c r="AN4848">
        <v>0.99999996946845104</v>
      </c>
    </row>
    <row r="4849" spans="1:40" x14ac:dyDescent="0.25">
      <c r="A4849" t="str">
        <f>"20190312172509430"</f>
        <v>20190312172509430</v>
      </c>
      <c r="B4849" t="str">
        <f>"1552382709425420"</f>
        <v>1552382709425420</v>
      </c>
      <c r="C4849" t="s">
        <v>40</v>
      </c>
      <c r="D4849">
        <v>3.9189609999999999</v>
      </c>
      <c r="E4849">
        <v>0.56650849999999997</v>
      </c>
      <c r="F4849" t="s">
        <v>41</v>
      </c>
      <c r="G4849">
        <v>-422.59539999999998</v>
      </c>
      <c r="H4849">
        <v>0.93445909999999999</v>
      </c>
      <c r="I4849">
        <v>65.724429999999998</v>
      </c>
      <c r="J4849">
        <v>-422.47370000000001</v>
      </c>
      <c r="K4849">
        <v>1.109785</v>
      </c>
      <c r="L4849">
        <v>66.294370000000001</v>
      </c>
      <c r="M4849">
        <v>-1.5651160000000001E-2</v>
      </c>
      <c r="N4849">
        <v>0</v>
      </c>
      <c r="O4849">
        <v>-0.99978639999999996</v>
      </c>
      <c r="P4849">
        <v>-1.7393720000000001E-3</v>
      </c>
      <c r="Q4849">
        <v>0.1421905</v>
      </c>
      <c r="R4849">
        <v>-0.98983770000000004</v>
      </c>
      <c r="S4849">
        <v>-0.4615784</v>
      </c>
      <c r="T4849">
        <v>-0.63859140000000003</v>
      </c>
      <c r="U4849">
        <v>-3.121826</v>
      </c>
      <c r="V4849">
        <v>-1.3545369999999999E-2</v>
      </c>
      <c r="W4849">
        <v>0.15555269999999999</v>
      </c>
      <c r="X4849">
        <v>0.98773469999999997</v>
      </c>
      <c r="Y4849">
        <v>0.12785299999999999</v>
      </c>
      <c r="Z4849">
        <v>0.19851450000000001</v>
      </c>
      <c r="AA4849">
        <v>0.971723</v>
      </c>
      <c r="AB4849">
        <v>28</v>
      </c>
      <c r="AC4849">
        <v>-0.12169999999997499</v>
      </c>
      <c r="AD4849">
        <v>-0.17532590000000001</v>
      </c>
      <c r="AE4849">
        <v>-0.569940000000002</v>
      </c>
      <c r="AF4849">
        <v>0.103405402399576</v>
      </c>
      <c r="AG4849">
        <v>-0.17532590000000001</v>
      </c>
      <c r="AH4849">
        <v>0.52432163389137199</v>
      </c>
      <c r="AI4849">
        <v>108.162955477268</v>
      </c>
      <c r="AJ4849">
        <v>78.843442926981595</v>
      </c>
      <c r="AK4849">
        <v>0.562445574453872</v>
      </c>
      <c r="AL4849">
        <v>81.051147368588403</v>
      </c>
      <c r="AM4849">
        <v>90.785680494218298</v>
      </c>
      <c r="AN4849">
        <v>0.99999997855490796</v>
      </c>
    </row>
    <row r="4850" spans="1:40" x14ac:dyDescent="0.25">
      <c r="A4850" t="str">
        <f>"20190312172509452"</f>
        <v>20190312172509452</v>
      </c>
      <c r="B4850" t="str">
        <f>"1552382709445919"</f>
        <v>1552382709445919</v>
      </c>
      <c r="C4850" t="s">
        <v>40</v>
      </c>
      <c r="D4850">
        <v>3.9195769999999999</v>
      </c>
      <c r="E4850">
        <v>0.59341189999999999</v>
      </c>
      <c r="F4850" t="s">
        <v>41</v>
      </c>
      <c r="G4850">
        <v>-422.59719999999999</v>
      </c>
      <c r="H4850">
        <v>0.93829560000000001</v>
      </c>
      <c r="I4850">
        <v>65.470249999999993</v>
      </c>
      <c r="J4850">
        <v>-422.47890000000001</v>
      </c>
      <c r="K4850">
        <v>1.1097900000000001</v>
      </c>
      <c r="L4850">
        <v>66.011930000000007</v>
      </c>
      <c r="M4850">
        <v>-1.634524E-2</v>
      </c>
      <c r="N4850">
        <v>0</v>
      </c>
      <c r="O4850">
        <v>-0.99977550000000004</v>
      </c>
      <c r="P4850">
        <v>-2.9951660000000001E-3</v>
      </c>
      <c r="Q4850">
        <v>0.14302049999999999</v>
      </c>
      <c r="R4850">
        <v>-0.98971520000000002</v>
      </c>
      <c r="S4850">
        <v>-0.467804</v>
      </c>
      <c r="T4850">
        <v>-0.64992559999999999</v>
      </c>
      <c r="U4850">
        <v>-3.1233520000000001</v>
      </c>
      <c r="V4850">
        <v>-1.29747E-2</v>
      </c>
      <c r="W4850">
        <v>0.15637879999999901</v>
      </c>
      <c r="X4850">
        <v>0.98761189999999999</v>
      </c>
      <c r="Y4850">
        <v>0.12889289999999901</v>
      </c>
      <c r="Z4850">
        <v>0.20175570000000001</v>
      </c>
      <c r="AA4850">
        <v>0.97091780000000005</v>
      </c>
      <c r="AB4850">
        <v>28</v>
      </c>
      <c r="AC4850">
        <v>-0.11829999999997599</v>
      </c>
      <c r="AD4850">
        <v>-0.17149439999999999</v>
      </c>
      <c r="AE4850">
        <v>-0.54168000000001304</v>
      </c>
      <c r="AF4850">
        <v>9.9874441827154298E-2</v>
      </c>
      <c r="AG4850">
        <v>-0.17149439999999999</v>
      </c>
      <c r="AH4850">
        <v>0.49608102565763801</v>
      </c>
      <c r="AI4850">
        <v>108.72143674265</v>
      </c>
      <c r="AJ4850">
        <v>78.616985979770604</v>
      </c>
      <c r="AK4850">
        <v>0.53430479819966104</v>
      </c>
      <c r="AL4850">
        <v>81.003228827410496</v>
      </c>
      <c r="AM4850">
        <v>90.752677024953996</v>
      </c>
      <c r="AN4850">
        <v>0.99999996847556905</v>
      </c>
    </row>
    <row r="4851" spans="1:40" x14ac:dyDescent="0.25">
      <c r="A4851" t="str">
        <f>"20190312172509474"</f>
        <v>20190312172509474</v>
      </c>
      <c r="B4851" t="str">
        <f>"1552382709465942"</f>
        <v>1552382709465942</v>
      </c>
      <c r="C4851" t="s">
        <v>40</v>
      </c>
      <c r="D4851">
        <v>3.8906209999999999</v>
      </c>
      <c r="E4851">
        <v>0.59423019999999904</v>
      </c>
      <c r="F4851" t="s">
        <v>41</v>
      </c>
      <c r="G4851">
        <v>-422.649</v>
      </c>
      <c r="H4851">
        <v>0.92151519999999998</v>
      </c>
      <c r="I4851">
        <v>65.224500000000006</v>
      </c>
      <c r="J4851">
        <v>-422.48439999999999</v>
      </c>
      <c r="K4851">
        <v>1.109799</v>
      </c>
      <c r="L4851">
        <v>65.723879999999994</v>
      </c>
      <c r="M4851">
        <v>-1.70481E-2</v>
      </c>
      <c r="N4851">
        <v>0</v>
      </c>
      <c r="O4851">
        <v>-0.99976350000000003</v>
      </c>
      <c r="P4851">
        <v>-3.9760969999999996E-3</v>
      </c>
      <c r="Q4851">
        <v>0.14370720000000001</v>
      </c>
      <c r="R4851">
        <v>-0.98961220000000005</v>
      </c>
      <c r="S4851">
        <v>-0.67703250000000004</v>
      </c>
      <c r="T4851">
        <v>-0.75014789999999998</v>
      </c>
      <c r="U4851">
        <v>-3.1375120000000001</v>
      </c>
      <c r="V4851">
        <v>-1.268886E-2</v>
      </c>
      <c r="W4851">
        <v>0.15706210000000001</v>
      </c>
      <c r="X4851">
        <v>0.98750720000000003</v>
      </c>
      <c r="Y4851">
        <v>0.1886864</v>
      </c>
      <c r="Z4851">
        <v>0.2279204</v>
      </c>
      <c r="AA4851">
        <v>0.95522240000000003</v>
      </c>
      <c r="AB4851">
        <v>28</v>
      </c>
      <c r="AC4851">
        <v>-0.16460000000000699</v>
      </c>
      <c r="AD4851">
        <v>-0.1882838</v>
      </c>
      <c r="AE4851">
        <v>-0.49938000000000199</v>
      </c>
      <c r="AF4851">
        <v>0.138325097879367</v>
      </c>
      <c r="AG4851">
        <v>-0.1882838</v>
      </c>
      <c r="AH4851">
        <v>0.44504760572111102</v>
      </c>
      <c r="AI4851">
        <v>111.998730008057</v>
      </c>
      <c r="AJ4851">
        <v>72.734250297112993</v>
      </c>
      <c r="AK4851">
        <v>0.502644997392663</v>
      </c>
      <c r="AL4851">
        <v>80.963588985593603</v>
      </c>
      <c r="AM4851">
        <v>90.736175004034095</v>
      </c>
      <c r="AN4851">
        <v>0.99999999023817399</v>
      </c>
    </row>
    <row r="4852" spans="1:40" x14ac:dyDescent="0.25">
      <c r="A4852" t="str">
        <f>"20190312172509497"</f>
        <v>20190312172509497</v>
      </c>
      <c r="B4852" t="str">
        <f>"1552382709485463"</f>
        <v>1552382709485463</v>
      </c>
      <c r="C4852" t="s">
        <v>40</v>
      </c>
      <c r="D4852">
        <v>3.8759830000000002</v>
      </c>
      <c r="E4852">
        <v>0.59471490000000005</v>
      </c>
      <c r="F4852" t="s">
        <v>41</v>
      </c>
      <c r="G4852">
        <v>-422.64980000000003</v>
      </c>
      <c r="H4852">
        <v>0.92987690000000001</v>
      </c>
      <c r="I4852">
        <v>64.969070000000002</v>
      </c>
      <c r="J4852">
        <v>-422.49</v>
      </c>
      <c r="K4852">
        <v>1.1098110000000001</v>
      </c>
      <c r="L4852">
        <v>65.443150000000003</v>
      </c>
      <c r="M4852">
        <v>-1.7721669999999998E-2</v>
      </c>
      <c r="N4852">
        <v>0</v>
      </c>
      <c r="O4852">
        <v>-0.99975199999999997</v>
      </c>
      <c r="P4852">
        <v>-3.5994500000000001E-3</v>
      </c>
      <c r="Q4852">
        <v>0.14253629999999901</v>
      </c>
      <c r="R4852">
        <v>-0.98978330000000003</v>
      </c>
      <c r="S4852">
        <v>-0.68707280000000004</v>
      </c>
      <c r="T4852">
        <v>-0.7478243</v>
      </c>
      <c r="U4852">
        <v>-3.1373289999999998</v>
      </c>
      <c r="V4852">
        <v>-1.3739609999999999E-2</v>
      </c>
      <c r="W4852">
        <v>0.1558927</v>
      </c>
      <c r="X4852">
        <v>0.98767839999999996</v>
      </c>
      <c r="Y4852">
        <v>0.19099479999999999</v>
      </c>
      <c r="Z4852">
        <v>0.22713659999999999</v>
      </c>
      <c r="AA4852">
        <v>0.95495019999999997</v>
      </c>
      <c r="AB4852">
        <v>28</v>
      </c>
      <c r="AC4852">
        <v>-0.15980000000001801</v>
      </c>
      <c r="AD4852">
        <v>-0.17993410000000001</v>
      </c>
      <c r="AE4852">
        <v>-0.47408</v>
      </c>
      <c r="AF4852">
        <v>0.13403446310631201</v>
      </c>
      <c r="AG4852">
        <v>-0.17993410000000001</v>
      </c>
      <c r="AH4852">
        <v>0.42222084842964702</v>
      </c>
      <c r="AI4852">
        <v>112.10627944581</v>
      </c>
      <c r="AJ4852">
        <v>72.387903120383797</v>
      </c>
      <c r="AK4852">
        <v>0.47813383324301401</v>
      </c>
      <c r="AL4852">
        <v>81.031426110288194</v>
      </c>
      <c r="AM4852">
        <v>90.796991096453198</v>
      </c>
      <c r="AN4852">
        <v>0.99999996631139998</v>
      </c>
    </row>
    <row r="4853" spans="1:40" x14ac:dyDescent="0.25">
      <c r="A4853" t="str">
        <f>"20190312172509519"</f>
        <v>20190312172509519</v>
      </c>
      <c r="B4853" t="str">
        <f>"1552382709515719"</f>
        <v>1552382709515719</v>
      </c>
      <c r="C4853" t="s">
        <v>40</v>
      </c>
      <c r="D4853">
        <v>3.8299219999999998</v>
      </c>
      <c r="E4853">
        <v>0.59488759999999996</v>
      </c>
      <c r="F4853" t="s">
        <v>41</v>
      </c>
      <c r="G4853">
        <v>-422.65010000000001</v>
      </c>
      <c r="H4853">
        <v>0.934948</v>
      </c>
      <c r="I4853">
        <v>64.715100000000007</v>
      </c>
      <c r="J4853">
        <v>-422.49560000000002</v>
      </c>
      <c r="K4853">
        <v>1.1098220000000001</v>
      </c>
      <c r="L4853">
        <v>65.167450000000002</v>
      </c>
      <c r="M4853">
        <v>-1.836461E-2</v>
      </c>
      <c r="N4853">
        <v>0</v>
      </c>
      <c r="O4853">
        <v>-0.99974050000000003</v>
      </c>
      <c r="P4853">
        <v>-3.145981E-3</v>
      </c>
      <c r="Q4853">
        <v>0.1415595</v>
      </c>
      <c r="R4853">
        <v>-0.98992500000000005</v>
      </c>
      <c r="S4853">
        <v>-0.69009399999999999</v>
      </c>
      <c r="T4853">
        <v>-0.75341780000000003</v>
      </c>
      <c r="U4853">
        <v>-3.1369630000000002</v>
      </c>
      <c r="V4853">
        <v>-1.4838779999999999E-2</v>
      </c>
      <c r="W4853">
        <v>0.1549172</v>
      </c>
      <c r="X4853">
        <v>0.98781600000000003</v>
      </c>
      <c r="Y4853">
        <v>0.19118450000000001</v>
      </c>
      <c r="Z4853">
        <v>0.2287399</v>
      </c>
      <c r="AA4853">
        <v>0.95452950000000003</v>
      </c>
      <c r="AB4853">
        <v>28</v>
      </c>
      <c r="AC4853">
        <v>-0.15449999999998401</v>
      </c>
      <c r="AD4853">
        <v>-0.174873999999999</v>
      </c>
      <c r="AE4853">
        <v>-0.45234999999999498</v>
      </c>
      <c r="AF4853">
        <v>0.12891247168478201</v>
      </c>
      <c r="AG4853">
        <v>-0.174873999999999</v>
      </c>
      <c r="AH4853">
        <v>0.40138978875007097</v>
      </c>
      <c r="AI4853">
        <v>112.528835001416</v>
      </c>
      <c r="AJ4853">
        <v>72.194783984006605</v>
      </c>
      <c r="AK4853">
        <v>0.456413303645617</v>
      </c>
      <c r="AL4853">
        <v>81.088005743868095</v>
      </c>
      <c r="AM4853">
        <v>90.860621335647096</v>
      </c>
      <c r="AN4853">
        <v>0.99999998905186405</v>
      </c>
    </row>
    <row r="4854" spans="1:40" x14ac:dyDescent="0.25">
      <c r="A4854" t="str">
        <f>"20190312172509543"</f>
        <v>20190312172509543</v>
      </c>
      <c r="B4854" t="str">
        <f>"1552382709535238"</f>
        <v>1552382709535238</v>
      </c>
      <c r="C4854" t="s">
        <v>40</v>
      </c>
      <c r="D4854">
        <v>3.8702239999999999</v>
      </c>
      <c r="E4854">
        <v>0.59507580000000004</v>
      </c>
      <c r="F4854" t="s">
        <v>41</v>
      </c>
      <c r="G4854">
        <v>-422.65129999999999</v>
      </c>
      <c r="H4854">
        <v>0.93877710000000003</v>
      </c>
      <c r="I4854">
        <v>64.461839999999995</v>
      </c>
      <c r="J4854">
        <v>-422.5016</v>
      </c>
      <c r="K4854">
        <v>1.1098460000000001</v>
      </c>
      <c r="L4854">
        <v>64.878540000000001</v>
      </c>
      <c r="M4854">
        <v>-1.9008529999999999E-2</v>
      </c>
      <c r="N4854">
        <v>0</v>
      </c>
      <c r="O4854">
        <v>-0.99972859999999997</v>
      </c>
      <c r="P4854">
        <v>-2.9537809999999999E-3</v>
      </c>
      <c r="Q4854">
        <v>0.1415467</v>
      </c>
      <c r="R4854">
        <v>-0.98992729999999995</v>
      </c>
      <c r="S4854">
        <v>-0.69003300000000001</v>
      </c>
      <c r="T4854">
        <v>-0.76036409999999999</v>
      </c>
      <c r="U4854">
        <v>-3.1370849999999999</v>
      </c>
      <c r="V4854">
        <v>-1.5676760000000001E-2</v>
      </c>
      <c r="W4854">
        <v>0.1549026</v>
      </c>
      <c r="X4854">
        <v>0.98780539999999994</v>
      </c>
      <c r="Y4854">
        <v>0.19042619999999999</v>
      </c>
      <c r="Z4854">
        <v>0.23074040000000001</v>
      </c>
      <c r="AA4854">
        <v>0.95419960000000004</v>
      </c>
      <c r="AB4854">
        <v>28</v>
      </c>
      <c r="AC4854">
        <v>-0.149699999999995</v>
      </c>
      <c r="AD4854">
        <v>-0.171068899999999</v>
      </c>
      <c r="AE4854">
        <v>-0.41669999999999102</v>
      </c>
      <c r="AF4854">
        <v>0.123340174498352</v>
      </c>
      <c r="AG4854">
        <v>-0.171068899999999</v>
      </c>
      <c r="AH4854">
        <v>0.364988127026519</v>
      </c>
      <c r="AI4854">
        <v>113.942616554076</v>
      </c>
      <c r="AJ4854">
        <v>71.328383393728998</v>
      </c>
      <c r="AK4854">
        <v>0.42153730565967701</v>
      </c>
      <c r="AL4854">
        <v>81.088852961776198</v>
      </c>
      <c r="AM4854">
        <v>90.909224414121397</v>
      </c>
      <c r="AN4854">
        <v>1.0000000422799999</v>
      </c>
    </row>
    <row r="4855" spans="1:40" x14ac:dyDescent="0.25">
      <c r="A4855" t="str">
        <f>"20190312172509564"</f>
        <v>20190312172509564</v>
      </c>
      <c r="B4855" t="str">
        <f>"1552382709555738"</f>
        <v>1552382709555738</v>
      </c>
      <c r="C4855" t="s">
        <v>40</v>
      </c>
      <c r="D4855">
        <v>3.8782049999999999</v>
      </c>
      <c r="E4855">
        <v>0.59506619999999999</v>
      </c>
      <c r="F4855" t="s">
        <v>41</v>
      </c>
      <c r="G4855">
        <v>-422.6995</v>
      </c>
      <c r="H4855">
        <v>0.89095290000000005</v>
      </c>
      <c r="I4855">
        <v>63.979149999999997</v>
      </c>
      <c r="J4855">
        <v>-422.50749999999999</v>
      </c>
      <c r="K4855">
        <v>1.109869</v>
      </c>
      <c r="L4855">
        <v>64.603449999999995</v>
      </c>
      <c r="M4855">
        <v>-1.9582220000000001E-2</v>
      </c>
      <c r="N4855">
        <v>0</v>
      </c>
      <c r="O4855">
        <v>-0.99971750000000004</v>
      </c>
      <c r="P4855">
        <v>-2.8394840000000002E-3</v>
      </c>
      <c r="Q4855">
        <v>0.14218549999999999</v>
      </c>
      <c r="R4855">
        <v>-0.98983600000000005</v>
      </c>
      <c r="S4855">
        <v>-0.68884279999999998</v>
      </c>
      <c r="T4855">
        <v>-0.76359080000000001</v>
      </c>
      <c r="U4855">
        <v>-3.1376650000000001</v>
      </c>
      <c r="V4855">
        <v>-1.636657E-2</v>
      </c>
      <c r="W4855">
        <v>0.15553810000000001</v>
      </c>
      <c r="X4855">
        <v>0.98769430000000003</v>
      </c>
      <c r="Y4855">
        <v>0.18943460000000001</v>
      </c>
      <c r="Z4855">
        <v>0.2316542</v>
      </c>
      <c r="AA4855">
        <v>0.95417549999999995</v>
      </c>
      <c r="AB4855">
        <v>28</v>
      </c>
      <c r="AC4855">
        <v>-0.192000000000007</v>
      </c>
      <c r="AD4855">
        <v>-0.218916099999999</v>
      </c>
      <c r="AE4855">
        <v>-0.62429999999999797</v>
      </c>
      <c r="AF4855">
        <v>0.16158503602178301</v>
      </c>
      <c r="AG4855">
        <v>-0.218916099999999</v>
      </c>
      <c r="AH4855">
        <v>0.564523914002801</v>
      </c>
      <c r="AI4855">
        <v>110.44632209906101</v>
      </c>
      <c r="AJ4855">
        <v>74.027162411681701</v>
      </c>
      <c r="AK4855">
        <v>0.62667474194067596</v>
      </c>
      <c r="AL4855">
        <v>81.051994366711597</v>
      </c>
      <c r="AM4855">
        <v>90.949331764071104</v>
      </c>
      <c r="AN4855">
        <v>0.99999999770883197</v>
      </c>
    </row>
    <row r="4856" spans="1:40" x14ac:dyDescent="0.25">
      <c r="A4856" t="str">
        <f>"20190312172509585"</f>
        <v>20190312172509585</v>
      </c>
      <c r="B4856" t="str">
        <f>"1552382709575255"</f>
        <v>1552382709575255</v>
      </c>
      <c r="C4856" t="s">
        <v>40</v>
      </c>
      <c r="D4856">
        <v>3.842133</v>
      </c>
      <c r="E4856">
        <v>0.59514529999999999</v>
      </c>
      <c r="F4856" t="s">
        <v>41</v>
      </c>
      <c r="G4856">
        <v>-422.69929999999999</v>
      </c>
      <c r="H4856">
        <v>0.89648839999999996</v>
      </c>
      <c r="I4856">
        <v>63.726100000000002</v>
      </c>
      <c r="J4856">
        <v>-422.51350000000002</v>
      </c>
      <c r="K4856">
        <v>1.1098980000000001</v>
      </c>
      <c r="L4856">
        <v>64.329350000000005</v>
      </c>
      <c r="M4856">
        <v>-2.01187E-2</v>
      </c>
      <c r="N4856">
        <v>0</v>
      </c>
      <c r="O4856">
        <v>-0.99970689999999995</v>
      </c>
      <c r="P4856">
        <v>-1.108815E-3</v>
      </c>
      <c r="Q4856">
        <v>0.14228399999999999</v>
      </c>
      <c r="R4856">
        <v>-0.98982570000000003</v>
      </c>
      <c r="S4856">
        <v>-0.68560790000000005</v>
      </c>
      <c r="T4856">
        <v>-0.76329720000000001</v>
      </c>
      <c r="U4856">
        <v>-3.1384889999999999</v>
      </c>
      <c r="V4856">
        <v>-1.8639139999999998E-2</v>
      </c>
      <c r="W4856">
        <v>0.15563560000000001</v>
      </c>
      <c r="X4856">
        <v>0.98763869999999998</v>
      </c>
      <c r="Y4856">
        <v>0.18792149999999999</v>
      </c>
      <c r="Z4856">
        <v>0.2315682</v>
      </c>
      <c r="AA4856">
        <v>0.95449550000000005</v>
      </c>
      <c r="AB4856">
        <v>28</v>
      </c>
      <c r="AC4856">
        <v>-0.18579999999997199</v>
      </c>
      <c r="AD4856">
        <v>-0.2134096</v>
      </c>
      <c r="AE4856">
        <v>-0.60325000000000195</v>
      </c>
      <c r="AF4856">
        <v>0.15581402083448501</v>
      </c>
      <c r="AG4856">
        <v>-0.2134096</v>
      </c>
      <c r="AH4856">
        <v>0.54461309153035098</v>
      </c>
      <c r="AI4856">
        <v>110.64339554359201</v>
      </c>
      <c r="AJ4856">
        <v>74.034153348856904</v>
      </c>
      <c r="AK4856">
        <v>0.60533055922117096</v>
      </c>
      <c r="AL4856">
        <v>81.046339448499793</v>
      </c>
      <c r="AM4856">
        <v>91.081182109902301</v>
      </c>
      <c r="AN4856">
        <v>1.00000002963249</v>
      </c>
    </row>
    <row r="4857" spans="1:40" x14ac:dyDescent="0.25">
      <c r="A4857" t="str">
        <f>"20190312172509608"</f>
        <v>20190312172509608</v>
      </c>
      <c r="B4857" t="str">
        <f>"1552382709605510"</f>
        <v>1552382709605510</v>
      </c>
      <c r="C4857" t="s">
        <v>40</v>
      </c>
      <c r="D4857">
        <v>3.8374670000000002</v>
      </c>
      <c r="E4857">
        <v>0.59542669999999998</v>
      </c>
      <c r="F4857" t="s">
        <v>41</v>
      </c>
      <c r="G4857">
        <v>-422.69900000000001</v>
      </c>
      <c r="H4857">
        <v>0.90174580000000004</v>
      </c>
      <c r="I4857">
        <v>63.473390000000002</v>
      </c>
      <c r="J4857">
        <v>-422.5197</v>
      </c>
      <c r="K4857">
        <v>1.1099330000000001</v>
      </c>
      <c r="L4857">
        <v>64.050569999999993</v>
      </c>
      <c r="M4857">
        <v>-2.061646E-2</v>
      </c>
      <c r="N4857">
        <v>0</v>
      </c>
      <c r="O4857">
        <v>-0.9996969</v>
      </c>
      <c r="P4857">
        <v>9.6780200000000003E-4</v>
      </c>
      <c r="Q4857">
        <v>0.1418944</v>
      </c>
      <c r="R4857">
        <v>-0.98988180000000003</v>
      </c>
      <c r="S4857">
        <v>-0.67907709999999999</v>
      </c>
      <c r="T4857">
        <v>-0.76350779999999996</v>
      </c>
      <c r="U4857">
        <v>-3.1398320000000002</v>
      </c>
      <c r="V4857">
        <v>-2.1222089999999999E-2</v>
      </c>
      <c r="W4857">
        <v>0.15524549999999901</v>
      </c>
      <c r="X4857">
        <v>0.98764799999999997</v>
      </c>
      <c r="Y4857">
        <v>0.1854479</v>
      </c>
      <c r="Z4857">
        <v>0.23163639999999999</v>
      </c>
      <c r="AA4857">
        <v>0.95496259999999999</v>
      </c>
      <c r="AB4857">
        <v>28</v>
      </c>
      <c r="AC4857">
        <v>-0.17930000000001201</v>
      </c>
      <c r="AD4857">
        <v>-0.20818719999999999</v>
      </c>
      <c r="AE4857">
        <v>-0.57717999999999103</v>
      </c>
      <c r="AF4857">
        <v>0.149609854921886</v>
      </c>
      <c r="AG4857">
        <v>-0.20818719999999999</v>
      </c>
      <c r="AH4857">
        <v>0.519155239652342</v>
      </c>
      <c r="AI4857">
        <v>111.073180883343</v>
      </c>
      <c r="AJ4857">
        <v>73.924107362323298</v>
      </c>
      <c r="AK4857">
        <v>0.57900533831051104</v>
      </c>
      <c r="AL4857">
        <v>81.068965793826194</v>
      </c>
      <c r="AM4857">
        <v>91.230953845397593</v>
      </c>
      <c r="AN4857">
        <v>1.0000000571390999</v>
      </c>
    </row>
    <row r="4858" spans="1:40" x14ac:dyDescent="0.25">
      <c r="A4858" t="str">
        <f>"20190312172509623"</f>
        <v>20190312172509623</v>
      </c>
      <c r="B4858" t="str">
        <f>"1552382709615271"</f>
        <v>1552382709615271</v>
      </c>
      <c r="C4858" t="s">
        <v>40</v>
      </c>
      <c r="D4858">
        <v>3.8354059999999999</v>
      </c>
      <c r="E4858">
        <v>0.59548330000000005</v>
      </c>
      <c r="F4858" t="s">
        <v>41</v>
      </c>
      <c r="G4858">
        <v>-422.69830000000002</v>
      </c>
      <c r="H4858">
        <v>0.90796069999999995</v>
      </c>
      <c r="I4858">
        <v>63.220500000000001</v>
      </c>
      <c r="J4858">
        <v>-422.52370000000002</v>
      </c>
      <c r="K4858">
        <v>1.1099570000000001</v>
      </c>
      <c r="L4858">
        <v>63.869869999999999</v>
      </c>
      <c r="M4858">
        <v>-2.0912719999999999E-2</v>
      </c>
      <c r="N4858">
        <v>0</v>
      </c>
      <c r="O4858">
        <v>-0.99969059999999998</v>
      </c>
      <c r="P4858">
        <v>2.3279300000000002E-3</v>
      </c>
      <c r="Q4858">
        <v>0.14188729999999999</v>
      </c>
      <c r="R4858">
        <v>-0.98988039999999999</v>
      </c>
      <c r="S4858">
        <v>-0.67486569999999901</v>
      </c>
      <c r="T4858">
        <v>-0.76422519999999905</v>
      </c>
      <c r="U4858">
        <v>-3.1408689999999999</v>
      </c>
      <c r="V4858">
        <v>-2.2884539999999998E-2</v>
      </c>
      <c r="W4858">
        <v>0.15523700000000001</v>
      </c>
      <c r="X4858">
        <v>0.98761209999999999</v>
      </c>
      <c r="Y4858">
        <v>0.1838581</v>
      </c>
      <c r="Z4858">
        <v>0.23183490000000001</v>
      </c>
      <c r="AA4858">
        <v>0.95522180000000001</v>
      </c>
      <c r="AB4858">
        <v>28</v>
      </c>
      <c r="AC4858">
        <v>-0.17459999999999801</v>
      </c>
      <c r="AD4858">
        <v>-0.20199629999999899</v>
      </c>
      <c r="AE4858">
        <v>-0.64936999999999701</v>
      </c>
      <c r="AF4858">
        <v>0.14765630731486201</v>
      </c>
      <c r="AG4858">
        <v>-0.20199629999999899</v>
      </c>
      <c r="AH4858">
        <v>0.59884152414176095</v>
      </c>
      <c r="AI4858">
        <v>108.133782112612</v>
      </c>
      <c r="AJ4858">
        <v>76.148873808754104</v>
      </c>
      <c r="AK4858">
        <v>0.64901160339394404</v>
      </c>
      <c r="AL4858">
        <v>81.0694577678276</v>
      </c>
      <c r="AM4858">
        <v>91.327396621595</v>
      </c>
      <c r="AN4858">
        <v>0.99999994420320903</v>
      </c>
    </row>
    <row r="4859" spans="1:40" x14ac:dyDescent="0.25">
      <c r="A4859" t="str">
        <f>"20190312172509641"</f>
        <v>20190312172509641</v>
      </c>
      <c r="B4859" t="str">
        <f>"1552382709635770"</f>
        <v>1552382709635770</v>
      </c>
      <c r="C4859" t="s">
        <v>40</v>
      </c>
      <c r="D4859">
        <v>3.956375</v>
      </c>
      <c r="E4859">
        <v>0.59544280000000005</v>
      </c>
      <c r="F4859" t="s">
        <v>41</v>
      </c>
      <c r="G4859">
        <v>-422.71499999999997</v>
      </c>
      <c r="H4859">
        <v>0.89264249999999901</v>
      </c>
      <c r="I4859">
        <v>62.976570000000002</v>
      </c>
      <c r="J4859">
        <v>-422.5292</v>
      </c>
      <c r="K4859">
        <v>1.109996</v>
      </c>
      <c r="L4859">
        <v>63.627470000000002</v>
      </c>
      <c r="M4859">
        <v>-2.1260299999999999E-2</v>
      </c>
      <c r="N4859">
        <v>0</v>
      </c>
      <c r="O4859">
        <v>-0.9996834</v>
      </c>
      <c r="P4859">
        <v>4.6769659999999899E-3</v>
      </c>
      <c r="Q4859">
        <v>0.14240929999999999</v>
      </c>
      <c r="R4859">
        <v>-0.98979709999999999</v>
      </c>
      <c r="S4859">
        <v>-0.67144780000000004</v>
      </c>
      <c r="T4859">
        <v>-0.76429150000000001</v>
      </c>
      <c r="U4859">
        <v>-3.1418149999999998</v>
      </c>
      <c r="V4859">
        <v>-2.558972E-2</v>
      </c>
      <c r="W4859">
        <v>0.15575520000000001</v>
      </c>
      <c r="X4859">
        <v>0.98746420000000001</v>
      </c>
      <c r="Y4859">
        <v>0.1824635</v>
      </c>
      <c r="Z4859">
        <v>0.23184199999999999</v>
      </c>
      <c r="AA4859">
        <v>0.95548750000000005</v>
      </c>
      <c r="AB4859">
        <v>28</v>
      </c>
      <c r="AC4859">
        <v>-0.18579999999997199</v>
      </c>
      <c r="AD4859">
        <v>-0.21735350000000001</v>
      </c>
      <c r="AE4859">
        <v>-0.65090000000000003</v>
      </c>
      <c r="AF4859">
        <v>0.15584935826906199</v>
      </c>
      <c r="AG4859">
        <v>-0.21735350000000001</v>
      </c>
      <c r="AH4859">
        <v>0.59350885247736096</v>
      </c>
      <c r="AI4859">
        <v>109.50462277245499</v>
      </c>
      <c r="AJ4859">
        <v>75.286883862487997</v>
      </c>
      <c r="AK4859">
        <v>0.65098719219668399</v>
      </c>
      <c r="AL4859">
        <v>81.039402289499705</v>
      </c>
      <c r="AM4859">
        <v>91.484463816004194</v>
      </c>
      <c r="AN4859">
        <v>1.0000000311891699</v>
      </c>
    </row>
    <row r="4860" spans="1:40" x14ac:dyDescent="0.25">
      <c r="A4860" t="str">
        <f>"20190312172509664"</f>
        <v>20190312172509664</v>
      </c>
      <c r="B4860" t="str">
        <f>"1552382709655290"</f>
        <v>1552382709655290</v>
      </c>
      <c r="C4860" t="s">
        <v>40</v>
      </c>
      <c r="D4860">
        <v>3.9984570000000001</v>
      </c>
      <c r="E4860">
        <v>0.59178450000000005</v>
      </c>
      <c r="F4860" t="s">
        <v>41</v>
      </c>
      <c r="G4860">
        <v>-422.71929999999998</v>
      </c>
      <c r="H4860">
        <v>0.89158890000000002</v>
      </c>
      <c r="I4860">
        <v>62.7271199999999</v>
      </c>
      <c r="J4860">
        <v>-422.53570000000002</v>
      </c>
      <c r="K4860">
        <v>1.110053</v>
      </c>
      <c r="L4860">
        <v>63.346620000000001</v>
      </c>
      <c r="M4860">
        <v>-2.1588380000000001E-2</v>
      </c>
      <c r="N4860">
        <v>0</v>
      </c>
      <c r="O4860">
        <v>-0.99967640000000002</v>
      </c>
      <c r="P4860">
        <v>7.1638140000000001E-3</v>
      </c>
      <c r="Q4860">
        <v>0.1426992</v>
      </c>
      <c r="R4860">
        <v>-0.98974059999999997</v>
      </c>
      <c r="S4860">
        <v>-0.66281129999999999</v>
      </c>
      <c r="T4860">
        <v>-0.76258409999999999</v>
      </c>
      <c r="U4860">
        <v>-3.1437680000000001</v>
      </c>
      <c r="V4860">
        <v>-2.842006E-2</v>
      </c>
      <c r="W4860">
        <v>0.1560406</v>
      </c>
      <c r="X4860">
        <v>0.98734169999999999</v>
      </c>
      <c r="Y4860">
        <v>0.17953160000000001</v>
      </c>
      <c r="Z4860">
        <v>0.23134160000000001</v>
      </c>
      <c r="AA4860">
        <v>0.95616389999999996</v>
      </c>
      <c r="AB4860">
        <v>28</v>
      </c>
      <c r="AC4860">
        <v>-0.18359999999995499</v>
      </c>
      <c r="AD4860">
        <v>-0.218464099999999</v>
      </c>
      <c r="AE4860">
        <v>-0.61950000000000205</v>
      </c>
      <c r="AF4860">
        <v>0.15272299239642301</v>
      </c>
      <c r="AG4860">
        <v>-0.218464099999999</v>
      </c>
      <c r="AH4860">
        <v>0.55937312215897494</v>
      </c>
      <c r="AI4860">
        <v>110.64448225121301</v>
      </c>
      <c r="AJ4860">
        <v>74.728991064898906</v>
      </c>
      <c r="AK4860">
        <v>0.61963631687402498</v>
      </c>
      <c r="AL4860">
        <v>81.022847387181898</v>
      </c>
      <c r="AM4860">
        <v>91.648770629037898</v>
      </c>
      <c r="AN4860">
        <v>1.0000000006088201</v>
      </c>
    </row>
    <row r="4861" spans="1:40" x14ac:dyDescent="0.25">
      <c r="A4861" t="str">
        <f>"20190312172509687"</f>
        <v>20190312172509687</v>
      </c>
      <c r="B4861" t="str">
        <f>"1552382709675782"</f>
        <v>1552382709675782</v>
      </c>
      <c r="C4861" t="s">
        <v>40</v>
      </c>
      <c r="D4861">
        <v>3.8562189999999998</v>
      </c>
      <c r="E4861">
        <v>0.51512009999999997</v>
      </c>
      <c r="F4861" t="s">
        <v>41</v>
      </c>
      <c r="G4861">
        <v>-422.70949999999999</v>
      </c>
      <c r="H4861">
        <v>0.90115880000000004</v>
      </c>
      <c r="I4861">
        <v>62.473739999999999</v>
      </c>
      <c r="J4861">
        <v>-422.5421</v>
      </c>
      <c r="K4861">
        <v>1.1101160000000001</v>
      </c>
      <c r="L4861">
        <v>63.061160000000001</v>
      </c>
      <c r="M4861">
        <v>-2.18456E-2</v>
      </c>
      <c r="N4861">
        <v>0</v>
      </c>
      <c r="O4861">
        <v>-0.99967059999999996</v>
      </c>
      <c r="P4861">
        <v>1.0187450000000001E-2</v>
      </c>
      <c r="Q4861">
        <v>0.142417299999999</v>
      </c>
      <c r="R4861">
        <v>-0.98975440000000003</v>
      </c>
      <c r="S4861">
        <v>-0.62567139999999999</v>
      </c>
      <c r="T4861">
        <v>-0.75242830000000005</v>
      </c>
      <c r="U4861">
        <v>-3.144104</v>
      </c>
      <c r="V4861">
        <v>-3.1720720000000001E-2</v>
      </c>
      <c r="W4861">
        <v>0.155753799999999</v>
      </c>
      <c r="X4861">
        <v>0.98728640000000001</v>
      </c>
      <c r="Y4861">
        <v>0.16851969999999999</v>
      </c>
      <c r="Z4861">
        <v>0.22887859999999999</v>
      </c>
      <c r="AA4861">
        <v>0.95875730000000003</v>
      </c>
      <c r="AB4861">
        <v>28</v>
      </c>
      <c r="AC4861">
        <v>-0.167399999999986</v>
      </c>
      <c r="AD4861">
        <v>-0.20895719999999901</v>
      </c>
      <c r="AE4861">
        <v>-0.58742000000000105</v>
      </c>
      <c r="AF4861">
        <v>0.13833646061520999</v>
      </c>
      <c r="AG4861">
        <v>-0.20895719999999901</v>
      </c>
      <c r="AH4861">
        <v>0.52902401690300904</v>
      </c>
      <c r="AI4861">
        <v>110.913715174801</v>
      </c>
      <c r="AJ4861">
        <v>75.345648038718593</v>
      </c>
      <c r="AK4861">
        <v>0.58537722728816399</v>
      </c>
      <c r="AL4861">
        <v>81.039482697529493</v>
      </c>
      <c r="AM4861">
        <v>91.840234389838997</v>
      </c>
      <c r="AN4861">
        <v>0.99999994295835704</v>
      </c>
    </row>
    <row r="4862" spans="1:40" x14ac:dyDescent="0.25">
      <c r="A4862" t="str">
        <f>"20190312172509709"</f>
        <v>20190312172509709</v>
      </c>
      <c r="B4862" t="str">
        <f>"1552382709706039"</f>
        <v>1552382709706039</v>
      </c>
      <c r="C4862" t="s">
        <v>40</v>
      </c>
      <c r="D4862">
        <v>3.86849</v>
      </c>
      <c r="E4862">
        <v>0.50180619999999998</v>
      </c>
      <c r="F4862" t="s">
        <v>41</v>
      </c>
      <c r="G4862">
        <v>-422.55169999999998</v>
      </c>
      <c r="H4862">
        <v>1.00387</v>
      </c>
      <c r="I4862">
        <v>62.173389999999998</v>
      </c>
      <c r="J4862">
        <v>-422.54849999999999</v>
      </c>
      <c r="K4862">
        <v>1.1101810000000001</v>
      </c>
      <c r="L4862">
        <v>62.780760000000001</v>
      </c>
      <c r="M4862">
        <v>-2.202115E-2</v>
      </c>
      <c r="N4862">
        <v>0</v>
      </c>
      <c r="O4862">
        <v>-0.99966679999999997</v>
      </c>
      <c r="P4862">
        <v>1.3129109999999999E-2</v>
      </c>
      <c r="Q4862">
        <v>0.14198039999999901</v>
      </c>
      <c r="R4862">
        <v>-0.98978239999999995</v>
      </c>
      <c r="S4862">
        <v>-3.2745360000000001E-2</v>
      </c>
      <c r="T4862">
        <v>-0.36915979999999998</v>
      </c>
      <c r="U4862">
        <v>-3.0845030000000002</v>
      </c>
      <c r="V4862">
        <v>-3.4858840000000002E-2</v>
      </c>
      <c r="W4862">
        <v>0.15531149999999999</v>
      </c>
      <c r="X4862">
        <v>0.98725030000000003</v>
      </c>
      <c r="Y4862">
        <v>-1.148416E-2</v>
      </c>
      <c r="Z4862">
        <v>0.11878370000000001</v>
      </c>
      <c r="AA4862">
        <v>0.99285380000000001</v>
      </c>
      <c r="AB4862">
        <v>28</v>
      </c>
      <c r="AC4862">
        <v>-3.19999999999254E-3</v>
      </c>
      <c r="AD4862">
        <v>-0.106310999999999</v>
      </c>
      <c r="AE4862">
        <v>-0.60736999999999597</v>
      </c>
      <c r="AF4862">
        <v>-9.8744572112556203E-3</v>
      </c>
      <c r="AG4862">
        <v>-0.106310999999999</v>
      </c>
      <c r="AH4862">
        <v>0.58924094416943795</v>
      </c>
      <c r="AI4862">
        <v>100.22588959049401</v>
      </c>
      <c r="AJ4862">
        <v>90.960068672792104</v>
      </c>
      <c r="AK4862">
        <v>0.59883589063441001</v>
      </c>
      <c r="AL4862">
        <v>81.065137127709605</v>
      </c>
      <c r="AM4862">
        <v>92.022217685484705</v>
      </c>
      <c r="AN4862">
        <v>0.99999997780424199</v>
      </c>
    </row>
    <row r="4863" spans="1:40" x14ac:dyDescent="0.25">
      <c r="A4863" t="str">
        <f>"20190312172509732"</f>
        <v>20190312172509732</v>
      </c>
      <c r="B4863" t="str">
        <f>"1552382709725559"</f>
        <v>1552382709725559</v>
      </c>
      <c r="C4863" t="s">
        <v>40</v>
      </c>
      <c r="D4863">
        <v>3.8617490000000001</v>
      </c>
      <c r="E4863">
        <v>0.50006229999999996</v>
      </c>
      <c r="F4863" t="s">
        <v>43</v>
      </c>
      <c r="G4863">
        <v>-422.26900000000001</v>
      </c>
      <c r="H4863" s="1">
        <v>-1.4808779999999999E-6</v>
      </c>
      <c r="I4863">
        <v>51.633809999999997</v>
      </c>
      <c r="J4863">
        <v>-422.5548</v>
      </c>
      <c r="K4863">
        <v>1.1102399999999999</v>
      </c>
      <c r="L4863">
        <v>62.501159999999999</v>
      </c>
      <c r="M4863">
        <v>-2.2122329999999999E-2</v>
      </c>
      <c r="N4863">
        <v>0</v>
      </c>
      <c r="O4863">
        <v>-0.99966449999999996</v>
      </c>
      <c r="P4863">
        <v>1.630216E-2</v>
      </c>
      <c r="Q4863">
        <v>0.14249389999999901</v>
      </c>
      <c r="R4863">
        <v>-0.98966149999999997</v>
      </c>
      <c r="S4863">
        <v>7.7087399999999903E-2</v>
      </c>
      <c r="T4863">
        <v>-0.30614079999999999</v>
      </c>
      <c r="U4863">
        <v>-3.0738530000000002</v>
      </c>
      <c r="V4863">
        <v>-3.8149929999999999E-2</v>
      </c>
      <c r="W4863">
        <v>0.15581639999999999</v>
      </c>
      <c r="X4863">
        <v>0.98704899999999995</v>
      </c>
      <c r="Y4863">
        <v>-4.7058559999999999E-2</v>
      </c>
      <c r="Z4863">
        <v>9.8998149999999993E-2</v>
      </c>
      <c r="AA4863">
        <v>0.99397429999999998</v>
      </c>
      <c r="AB4863">
        <v>28</v>
      </c>
      <c r="AC4863">
        <v>0.285799999999994</v>
      </c>
      <c r="AD4863">
        <v>-1.1102414808779999</v>
      </c>
      <c r="AE4863">
        <v>-10.86735</v>
      </c>
      <c r="AF4863">
        <v>-0.520731696575221</v>
      </c>
      <c r="AG4863">
        <v>-1.1102414808779999</v>
      </c>
      <c r="AH4863">
        <v>10.7462823271026</v>
      </c>
      <c r="AI4863">
        <v>95.8916651300718</v>
      </c>
      <c r="AJ4863">
        <v>92.774206768118304</v>
      </c>
      <c r="AK4863">
        <v>10.816024292663</v>
      </c>
      <c r="AL4863">
        <v>81.035851695835007</v>
      </c>
      <c r="AM4863">
        <v>92.213408362226204</v>
      </c>
      <c r="AN4863">
        <v>0.999999948034481</v>
      </c>
    </row>
    <row r="4864" spans="1:40" x14ac:dyDescent="0.25">
      <c r="A4864" t="str">
        <f>"20190312172509788"</f>
        <v>20190312172509788</v>
      </c>
      <c r="B4864" t="str">
        <f>"1552382709775336"</f>
        <v>1552382709775336</v>
      </c>
      <c r="C4864" t="s">
        <v>40</v>
      </c>
      <c r="D4864">
        <v>3.9739909999999998</v>
      </c>
      <c r="E4864">
        <v>0.49808859999999999</v>
      </c>
      <c r="F4864" t="s">
        <v>43</v>
      </c>
      <c r="G4864">
        <v>-422.17860000000002</v>
      </c>
      <c r="H4864" s="1">
        <v>-1.0996119999999999E-6</v>
      </c>
      <c r="I4864">
        <v>50.801070000000003</v>
      </c>
      <c r="J4864">
        <v>-422.5702</v>
      </c>
      <c r="K4864">
        <v>1.110336</v>
      </c>
      <c r="L4864">
        <v>61.812989999999999</v>
      </c>
      <c r="M4864">
        <v>-2.215806E-2</v>
      </c>
      <c r="N4864">
        <v>0</v>
      </c>
      <c r="O4864">
        <v>-0.99966379999999999</v>
      </c>
      <c r="P4864">
        <v>2.260243E-2</v>
      </c>
      <c r="Q4864">
        <v>0.1443005</v>
      </c>
      <c r="R4864">
        <v>-0.98927600000000004</v>
      </c>
      <c r="S4864">
        <v>9.8754880000000003E-2</v>
      </c>
      <c r="T4864">
        <v>-0.29147729999999999</v>
      </c>
      <c r="U4864">
        <v>-3.0716860000000001</v>
      </c>
      <c r="V4864">
        <v>-4.4512370000000002E-2</v>
      </c>
      <c r="W4864">
        <v>0.15760270000000001</v>
      </c>
      <c r="X4864">
        <v>0.98649889999999996</v>
      </c>
      <c r="Y4864">
        <v>-5.4130780000000003E-2</v>
      </c>
      <c r="Z4864">
        <v>9.4339080000000006E-2</v>
      </c>
      <c r="AA4864">
        <v>0.99406740000000005</v>
      </c>
      <c r="AB4864">
        <v>28</v>
      </c>
      <c r="AC4864">
        <v>0.39159999999998202</v>
      </c>
      <c r="AD4864">
        <v>-1.1103370996119999</v>
      </c>
      <c r="AE4864">
        <v>-11.0119199999999</v>
      </c>
      <c r="AF4864">
        <v>-0.62914048689968205</v>
      </c>
      <c r="AG4864">
        <v>-1.1103370996119999</v>
      </c>
      <c r="AH4864">
        <v>10.889961923793599</v>
      </c>
      <c r="AI4864">
        <v>95.812116622735502</v>
      </c>
      <c r="AJ4864">
        <v>93.306445939579504</v>
      </c>
      <c r="AK4864">
        <v>10.9644852559847</v>
      </c>
      <c r="AL4864">
        <v>80.9322245413953</v>
      </c>
      <c r="AM4864">
        <v>92.583522632086996</v>
      </c>
      <c r="AN4864">
        <v>1.00000002091575</v>
      </c>
    </row>
    <row r="4865" spans="1:40" x14ac:dyDescent="0.25">
      <c r="A4865" t="str">
        <f>"20190312172509810"</f>
        <v>20190312172509810</v>
      </c>
      <c r="B4865" t="str">
        <f>"1552382709805591"</f>
        <v>1552382709805591</v>
      </c>
      <c r="C4865" t="s">
        <v>40</v>
      </c>
      <c r="D4865">
        <v>3.9631780000000001</v>
      </c>
      <c r="E4865">
        <v>0.49758229999999998</v>
      </c>
      <c r="F4865" t="s">
        <v>43</v>
      </c>
      <c r="G4865">
        <v>-422.0455</v>
      </c>
      <c r="H4865" s="1">
        <v>-5.6196359999999997E-7</v>
      </c>
      <c r="I4865">
        <v>49.630360000000003</v>
      </c>
      <c r="J4865">
        <v>-422.57639999999998</v>
      </c>
      <c r="K4865">
        <v>1.110355</v>
      </c>
      <c r="L4865">
        <v>61.532229999999998</v>
      </c>
      <c r="M4865">
        <v>-2.213153E-2</v>
      </c>
      <c r="N4865">
        <v>0</v>
      </c>
      <c r="O4865">
        <v>-0.99966449999999996</v>
      </c>
      <c r="P4865">
        <v>2.5158719999999999E-2</v>
      </c>
      <c r="Q4865">
        <v>0.14425439999999901</v>
      </c>
      <c r="R4865">
        <v>-0.98922109999999996</v>
      </c>
      <c r="S4865">
        <v>0.13223270000000001</v>
      </c>
      <c r="T4865">
        <v>-0.27983130000000001</v>
      </c>
      <c r="U4865">
        <v>-3.0703130000000001</v>
      </c>
      <c r="V4865">
        <v>-4.7047119999999998E-2</v>
      </c>
      <c r="W4865">
        <v>0.15755189999999999</v>
      </c>
      <c r="X4865">
        <v>0.98638930000000002</v>
      </c>
      <c r="Y4865">
        <v>-6.4953659999999996E-2</v>
      </c>
      <c r="Z4865">
        <v>9.0593889999999996E-2</v>
      </c>
      <c r="AA4865">
        <v>0.99376739999999997</v>
      </c>
      <c r="AB4865">
        <v>28</v>
      </c>
      <c r="AC4865">
        <v>0.53089999999997395</v>
      </c>
      <c r="AD4865">
        <v>-1.1103555619636001</v>
      </c>
      <c r="AE4865">
        <v>-11.901870000000001</v>
      </c>
      <c r="AF4865">
        <v>-0.78736120030015</v>
      </c>
      <c r="AG4865">
        <v>-1.1103555619636001</v>
      </c>
      <c r="AH4865">
        <v>11.7848380146394</v>
      </c>
      <c r="AI4865">
        <v>95.370558189463495</v>
      </c>
      <c r="AJ4865">
        <v>93.822329092090897</v>
      </c>
      <c r="AK4865">
        <v>11.863188195633199</v>
      </c>
      <c r="AL4865">
        <v>80.935171268349094</v>
      </c>
      <c r="AM4865">
        <v>92.730727200729504</v>
      </c>
      <c r="AN4865">
        <v>0.99999994192419495</v>
      </c>
    </row>
    <row r="4866" spans="1:40" x14ac:dyDescent="0.25">
      <c r="A4866" t="str">
        <f>"20190312172509832"</f>
        <v>20190312172509832</v>
      </c>
      <c r="B4866" t="str">
        <f>"1552382709825111"</f>
        <v>1552382709825111</v>
      </c>
      <c r="C4866" t="s">
        <v>40</v>
      </c>
      <c r="D4866">
        <v>3.8690289999999998</v>
      </c>
      <c r="E4866">
        <v>0.49732759999999998</v>
      </c>
      <c r="F4866" t="s">
        <v>43</v>
      </c>
      <c r="G4866">
        <v>-422.00459999999998</v>
      </c>
      <c r="H4866" s="1">
        <v>-4.5325149999999996E-6</v>
      </c>
      <c r="I4866">
        <v>49.26088</v>
      </c>
      <c r="J4866">
        <v>-422.58260000000001</v>
      </c>
      <c r="K4866">
        <v>1.1103719999999999</v>
      </c>
      <c r="L4866">
        <v>61.255310000000001</v>
      </c>
      <c r="M4866">
        <v>-2.210119E-2</v>
      </c>
      <c r="N4866">
        <v>0</v>
      </c>
      <c r="O4866">
        <v>-0.99966529999999998</v>
      </c>
      <c r="P4866">
        <v>2.724203E-2</v>
      </c>
      <c r="Q4866">
        <v>0.14446400000000001</v>
      </c>
      <c r="R4866">
        <v>-0.9891356</v>
      </c>
      <c r="S4866">
        <v>0.14303589999999999</v>
      </c>
      <c r="T4866">
        <v>-0.27774480000000001</v>
      </c>
      <c r="U4866">
        <v>-3.06955</v>
      </c>
      <c r="V4866">
        <v>-4.9100339999999999E-2</v>
      </c>
      <c r="W4866">
        <v>0.1577567</v>
      </c>
      <c r="X4866">
        <v>0.98625649999999998</v>
      </c>
      <c r="Y4866">
        <v>-6.8426940000000006E-2</v>
      </c>
      <c r="Z4866">
        <v>8.9928670000000002E-2</v>
      </c>
      <c r="AA4866">
        <v>0.9935948</v>
      </c>
      <c r="AB4866">
        <v>28</v>
      </c>
      <c r="AC4866">
        <v>0.57800000000003104</v>
      </c>
      <c r="AD4866">
        <v>-1.1103765325149999</v>
      </c>
      <c r="AE4866">
        <v>-11.9944299999999</v>
      </c>
      <c r="AF4866">
        <v>-0.83582748436680598</v>
      </c>
      <c r="AG4866">
        <v>-1.1103765325149999</v>
      </c>
      <c r="AH4866">
        <v>11.877172391347401</v>
      </c>
      <c r="AI4866">
        <v>95.327860234288195</v>
      </c>
      <c r="AJ4866">
        <v>94.025416614868902</v>
      </c>
      <c r="AK4866">
        <v>11.9582092154874</v>
      </c>
      <c r="AL4866">
        <v>80.923288580587098</v>
      </c>
      <c r="AM4866">
        <v>92.850091731919406</v>
      </c>
      <c r="AN4866">
        <v>0.99999995178762602</v>
      </c>
    </row>
    <row r="4867" spans="1:40" x14ac:dyDescent="0.25">
      <c r="A4867" t="str">
        <f>"20190312172509854"</f>
        <v>20190312172509854</v>
      </c>
      <c r="B4867" t="str">
        <f>"1552382709845607"</f>
        <v>1552382709845607</v>
      </c>
      <c r="C4867" t="s">
        <v>40</v>
      </c>
      <c r="D4867">
        <v>3.9096549999999999</v>
      </c>
      <c r="E4867">
        <v>0.49730869999999999</v>
      </c>
      <c r="F4867" t="s">
        <v>43</v>
      </c>
      <c r="G4867">
        <v>-421.97239999999999</v>
      </c>
      <c r="H4867" s="1">
        <v>-4.3856169999999998E-6</v>
      </c>
      <c r="I4867">
        <v>48.846020000000003</v>
      </c>
      <c r="J4867">
        <v>-422.58859999999999</v>
      </c>
      <c r="K4867">
        <v>1.1103730000000001</v>
      </c>
      <c r="L4867">
        <v>60.983980000000003</v>
      </c>
      <c r="M4867">
        <v>-2.2075330000000001E-2</v>
      </c>
      <c r="N4867">
        <v>0</v>
      </c>
      <c r="O4867">
        <v>-0.99966569999999999</v>
      </c>
      <c r="P4867">
        <v>2.916521E-2</v>
      </c>
      <c r="Q4867">
        <v>0.14515020000000001</v>
      </c>
      <c r="R4867">
        <v>-0.98897999999999997</v>
      </c>
      <c r="S4867">
        <v>0.1509094</v>
      </c>
      <c r="T4867">
        <v>-0.27460420000000002</v>
      </c>
      <c r="U4867">
        <v>-3.0689090000000001</v>
      </c>
      <c r="V4867">
        <v>-5.0994079999999997E-2</v>
      </c>
      <c r="W4867">
        <v>0.158439</v>
      </c>
      <c r="X4867">
        <v>0.98605109999999996</v>
      </c>
      <c r="Y4867">
        <v>-7.0958289999999993E-2</v>
      </c>
      <c r="Z4867">
        <v>8.8925100000000007E-2</v>
      </c>
      <c r="AA4867">
        <v>0.99350760000000005</v>
      </c>
      <c r="AB4867">
        <v>28</v>
      </c>
      <c r="AC4867">
        <v>0.61619999999999198</v>
      </c>
      <c r="AD4867">
        <v>-1.1103773856170001</v>
      </c>
      <c r="AE4867">
        <v>-12.13796</v>
      </c>
      <c r="AF4867">
        <v>-0.876705670303767</v>
      </c>
      <c r="AG4867">
        <v>-1.1103773856170001</v>
      </c>
      <c r="AH4867">
        <v>12.021057388705</v>
      </c>
      <c r="AI4867">
        <v>95.263498788971106</v>
      </c>
      <c r="AJ4867">
        <v>94.171243624617304</v>
      </c>
      <c r="AK4867">
        <v>12.1040229474903</v>
      </c>
      <c r="AL4867">
        <v>80.8836985841738</v>
      </c>
      <c r="AM4867">
        <v>92.960439891337501</v>
      </c>
      <c r="AN4867">
        <v>1.0000000423636199</v>
      </c>
    </row>
    <row r="4868" spans="1:40" x14ac:dyDescent="0.25">
      <c r="A4868" t="str">
        <f>"20190312172509877"</f>
        <v>20190312172509877</v>
      </c>
      <c r="B4868" t="str">
        <f>"1552382709865127"</f>
        <v>1552382709865127</v>
      </c>
      <c r="C4868" t="s">
        <v>40</v>
      </c>
      <c r="D4868">
        <v>3.907699</v>
      </c>
      <c r="E4868">
        <v>0.49718430000000002</v>
      </c>
      <c r="F4868" t="s">
        <v>43</v>
      </c>
      <c r="G4868">
        <v>-421.94619999999998</v>
      </c>
      <c r="H4868" s="1">
        <v>-4.2423370000000004E-6</v>
      </c>
      <c r="I4868">
        <v>48.438650000000003</v>
      </c>
      <c r="J4868">
        <v>-422.59480000000002</v>
      </c>
      <c r="K4868">
        <v>1.1103719999999999</v>
      </c>
      <c r="L4868">
        <v>60.701169999999998</v>
      </c>
      <c r="M4868">
        <v>-2.2056760000000002E-2</v>
      </c>
      <c r="N4868">
        <v>0</v>
      </c>
      <c r="O4868">
        <v>-0.99966619999999995</v>
      </c>
      <c r="P4868">
        <v>3.02382E-2</v>
      </c>
      <c r="Q4868">
        <v>0.14459830000000001</v>
      </c>
      <c r="R4868">
        <v>-0.98902869999999998</v>
      </c>
      <c r="S4868">
        <v>0.157135</v>
      </c>
      <c r="T4868">
        <v>-0.27160240000000002</v>
      </c>
      <c r="U4868">
        <v>-3.0686339999999999</v>
      </c>
      <c r="V4868">
        <v>-5.2049119999999997E-2</v>
      </c>
      <c r="W4868">
        <v>0.15788569999999999</v>
      </c>
      <c r="X4868">
        <v>0.98608470000000004</v>
      </c>
      <c r="Y4868">
        <v>-7.2958919999999997E-2</v>
      </c>
      <c r="Z4868">
        <v>8.7957670000000002E-2</v>
      </c>
      <c r="AA4868">
        <v>0.99344869999999996</v>
      </c>
      <c r="AB4868">
        <v>28</v>
      </c>
      <c r="AC4868">
        <v>0.64860000000004403</v>
      </c>
      <c r="AD4868">
        <v>-1.1103762423369901</v>
      </c>
      <c r="AE4868">
        <v>-12.262519999999901</v>
      </c>
      <c r="AF4868">
        <v>-0.91148535809518005</v>
      </c>
      <c r="AG4868">
        <v>-1.1103762423369901</v>
      </c>
      <c r="AH4868">
        <v>12.145917802893701</v>
      </c>
      <c r="AI4868">
        <v>95.208877999909902</v>
      </c>
      <c r="AJ4868">
        <v>94.291693550381595</v>
      </c>
      <c r="AK4868">
        <v>12.230578900126501</v>
      </c>
      <c r="AL4868">
        <v>80.915804249187602</v>
      </c>
      <c r="AM4868">
        <v>93.021474675660798</v>
      </c>
      <c r="AN4868">
        <v>1.00000002036567</v>
      </c>
    </row>
    <row r="4869" spans="1:40" x14ac:dyDescent="0.25">
      <c r="A4869" t="str">
        <f>"20190312172509900"</f>
        <v>20190312172509900</v>
      </c>
      <c r="B4869" t="str">
        <f>"1552382709895384"</f>
        <v>1552382709895384</v>
      </c>
      <c r="C4869" t="s">
        <v>40</v>
      </c>
      <c r="D4869">
        <v>3.9127360000000002</v>
      </c>
      <c r="E4869">
        <v>0.49734230000000001</v>
      </c>
      <c r="F4869" t="s">
        <v>43</v>
      </c>
      <c r="G4869">
        <v>-421.93630000000002</v>
      </c>
      <c r="H4869" s="1">
        <v>-4.1507860000000002E-6</v>
      </c>
      <c r="I4869">
        <v>48.174779999999998</v>
      </c>
      <c r="J4869">
        <v>-422.60090000000002</v>
      </c>
      <c r="K4869">
        <v>1.1103689999999999</v>
      </c>
      <c r="L4869">
        <v>60.42239</v>
      </c>
      <c r="M4869">
        <v>-2.204718E-2</v>
      </c>
      <c r="N4869">
        <v>0</v>
      </c>
      <c r="O4869">
        <v>-0.99966650000000001</v>
      </c>
      <c r="P4869">
        <v>3.165254E-2</v>
      </c>
      <c r="Q4869">
        <v>0.14410580000000001</v>
      </c>
      <c r="R4869">
        <v>-0.98905650000000001</v>
      </c>
      <c r="S4869">
        <v>0.1612854</v>
      </c>
      <c r="T4869">
        <v>-0.271966599999999</v>
      </c>
      <c r="U4869">
        <v>-3.0681150000000001</v>
      </c>
      <c r="V4869">
        <v>-5.3452659999999999E-2</v>
      </c>
      <c r="W4869">
        <v>0.1573918</v>
      </c>
      <c r="X4869">
        <v>0.98608859999999998</v>
      </c>
      <c r="Y4869">
        <v>-7.4297550000000004E-2</v>
      </c>
      <c r="Z4869">
        <v>8.8082049999999995E-2</v>
      </c>
      <c r="AA4869">
        <v>0.99333850000000001</v>
      </c>
      <c r="AB4869">
        <v>28</v>
      </c>
      <c r="AC4869">
        <v>0.66460000000000696</v>
      </c>
      <c r="AD4869">
        <v>-1.110373150786</v>
      </c>
      <c r="AE4869">
        <v>-12.24761</v>
      </c>
      <c r="AF4869">
        <v>-0.926892061053191</v>
      </c>
      <c r="AG4869">
        <v>-1.110373150786</v>
      </c>
      <c r="AH4869">
        <v>12.130566443983801</v>
      </c>
      <c r="AI4869">
        <v>95.214886054619498</v>
      </c>
      <c r="AJ4869">
        <v>94.369458763400004</v>
      </c>
      <c r="AK4869">
        <v>12.2164929369576</v>
      </c>
      <c r="AL4869">
        <v>80.944461170205201</v>
      </c>
      <c r="AM4869">
        <v>93.102781435320594</v>
      </c>
      <c r="AN4869">
        <v>1.0000000463091301</v>
      </c>
    </row>
    <row r="4870" spans="1:40" x14ac:dyDescent="0.25">
      <c r="A4870" t="str">
        <f>"20190312172509922"</f>
        <v>20190312172509922</v>
      </c>
      <c r="B4870" t="str">
        <f>"1552382709915878"</f>
        <v>1552382709915878</v>
      </c>
      <c r="C4870" t="s">
        <v>40</v>
      </c>
      <c r="D4870">
        <v>3.9178130000000002</v>
      </c>
      <c r="E4870">
        <v>0.49745149999999999</v>
      </c>
      <c r="F4870" t="s">
        <v>43</v>
      </c>
      <c r="G4870">
        <v>-421.9325</v>
      </c>
      <c r="H4870" s="1">
        <v>-4.0742400000000001E-6</v>
      </c>
      <c r="I4870">
        <v>47.951810000000002</v>
      </c>
      <c r="J4870">
        <v>-422.6071</v>
      </c>
      <c r="K4870">
        <v>1.110365</v>
      </c>
      <c r="L4870">
        <v>60.142330000000001</v>
      </c>
      <c r="M4870">
        <v>-2.204418E-2</v>
      </c>
      <c r="N4870">
        <v>0</v>
      </c>
      <c r="O4870">
        <v>-0.99966650000000001</v>
      </c>
      <c r="P4870">
        <v>3.3220649999999997E-2</v>
      </c>
      <c r="Q4870">
        <v>0.1434281</v>
      </c>
      <c r="R4870">
        <v>-0.98910330000000002</v>
      </c>
      <c r="S4870">
        <v>0.16442870000000001</v>
      </c>
      <c r="T4870">
        <v>-0.27315040000000002</v>
      </c>
      <c r="U4870">
        <v>-3.0677490000000001</v>
      </c>
      <c r="V4870">
        <v>-5.5016849999999999E-2</v>
      </c>
      <c r="W4870">
        <v>0.1567132</v>
      </c>
      <c r="X4870">
        <v>0.98611059999999995</v>
      </c>
      <c r="Y4870">
        <v>-7.5313850000000002E-2</v>
      </c>
      <c r="Z4870">
        <v>8.8467169999999998E-2</v>
      </c>
      <c r="AA4870">
        <v>0.99322779999999999</v>
      </c>
      <c r="AB4870">
        <v>28</v>
      </c>
      <c r="AC4870">
        <v>0.67459999999999798</v>
      </c>
      <c r="AD4870">
        <v>-1.1103690742399901</v>
      </c>
      <c r="AE4870">
        <v>-12.190519999999999</v>
      </c>
      <c r="AF4870">
        <v>-0.93545316362117104</v>
      </c>
      <c r="AG4870">
        <v>-1.1103690742399901</v>
      </c>
      <c r="AH4870">
        <v>12.0728294221504</v>
      </c>
      <c r="AI4870">
        <v>95.239239809232203</v>
      </c>
      <c r="AJ4870">
        <v>94.430663120762205</v>
      </c>
      <c r="AK4870">
        <v>12.159819174588799</v>
      </c>
      <c r="AL4870">
        <v>80.983830212394906</v>
      </c>
      <c r="AM4870">
        <v>93.193322055113299</v>
      </c>
      <c r="AN4870">
        <v>0.99999999813526097</v>
      </c>
    </row>
    <row r="4871" spans="1:40" x14ac:dyDescent="0.25">
      <c r="A4871" t="str">
        <f>"20190312172509944"</f>
        <v>20190312172509944</v>
      </c>
      <c r="B4871" t="str">
        <f>"1552382709935399"</f>
        <v>1552382709935399</v>
      </c>
      <c r="C4871" t="s">
        <v>40</v>
      </c>
      <c r="D4871">
        <v>3.9106049999999999</v>
      </c>
      <c r="E4871">
        <v>0.49746849999999998</v>
      </c>
      <c r="F4871" t="s">
        <v>43</v>
      </c>
      <c r="G4871">
        <v>-421.92899999999997</v>
      </c>
      <c r="H4871" s="1">
        <v>-4.0122980000000001E-6</v>
      </c>
      <c r="I4871">
        <v>47.771610000000003</v>
      </c>
      <c r="J4871">
        <v>-422.613</v>
      </c>
      <c r="K4871">
        <v>1.1103670000000001</v>
      </c>
      <c r="L4871">
        <v>59.873660000000001</v>
      </c>
      <c r="M4871">
        <v>-2.2044270000000001E-2</v>
      </c>
      <c r="N4871">
        <v>0</v>
      </c>
      <c r="O4871">
        <v>-0.99966670000000002</v>
      </c>
      <c r="P4871">
        <v>3.4415000000000001E-2</v>
      </c>
      <c r="Q4871">
        <v>0.1435217</v>
      </c>
      <c r="R4871">
        <v>-0.98904910000000001</v>
      </c>
      <c r="S4871">
        <v>0.1681213</v>
      </c>
      <c r="T4871">
        <v>-0.27531609999999901</v>
      </c>
      <c r="U4871">
        <v>-3.0673219999999999</v>
      </c>
      <c r="V4871">
        <v>-5.6208920000000002E-2</v>
      </c>
      <c r="W4871">
        <v>0.156805</v>
      </c>
      <c r="X4871">
        <v>0.98602880000000004</v>
      </c>
      <c r="Y4871">
        <v>-7.6510060000000005E-2</v>
      </c>
      <c r="Z4871">
        <v>8.9168360000000002E-2</v>
      </c>
      <c r="AA4871">
        <v>0.9930736</v>
      </c>
      <c r="AB4871">
        <v>28</v>
      </c>
      <c r="AC4871">
        <v>0.68400000000002503</v>
      </c>
      <c r="AD4871">
        <v>-1.1103710122979999</v>
      </c>
      <c r="AE4871">
        <v>-12.10205</v>
      </c>
      <c r="AF4871">
        <v>-0.94272791287440805</v>
      </c>
      <c r="AG4871">
        <v>-1.1103710122979999</v>
      </c>
      <c r="AH4871">
        <v>11.9834711515247</v>
      </c>
      <c r="AI4871">
        <v>95.277614510798799</v>
      </c>
      <c r="AJ4871">
        <v>94.498138617486404</v>
      </c>
      <c r="AK4871">
        <v>12.071670992124</v>
      </c>
      <c r="AL4871">
        <v>80.978504841098101</v>
      </c>
      <c r="AM4871">
        <v>93.262635107241607</v>
      </c>
      <c r="AN4871">
        <v>1.000000022571</v>
      </c>
    </row>
    <row r="4872" spans="1:40" x14ac:dyDescent="0.25">
      <c r="A4872" t="str">
        <f>"20190312172509966"</f>
        <v>20190312172509966</v>
      </c>
      <c r="B4872" t="str">
        <f>"1552382709955895"</f>
        <v>1552382709955895</v>
      </c>
      <c r="C4872" t="s">
        <v>40</v>
      </c>
      <c r="D4872">
        <v>3.8387639999999998</v>
      </c>
      <c r="E4872">
        <v>0.4973012</v>
      </c>
      <c r="F4872" t="s">
        <v>43</v>
      </c>
      <c r="G4872">
        <v>-421.91559999999998</v>
      </c>
      <c r="H4872" s="1">
        <v>-3.8795800000000004E-6</v>
      </c>
      <c r="I4872">
        <v>47.444409999999998</v>
      </c>
      <c r="J4872">
        <v>-422.6189</v>
      </c>
      <c r="K4872">
        <v>1.110366</v>
      </c>
      <c r="L4872">
        <v>59.603819999999899</v>
      </c>
      <c r="M4872">
        <v>-2.204592E-2</v>
      </c>
      <c r="N4872">
        <v>0</v>
      </c>
      <c r="O4872">
        <v>-0.99966650000000001</v>
      </c>
      <c r="P4872">
        <v>3.531215E-2</v>
      </c>
      <c r="Q4872">
        <v>0.1437649</v>
      </c>
      <c r="R4872">
        <v>-0.98898180000000002</v>
      </c>
      <c r="S4872">
        <v>0.17208860000000001</v>
      </c>
      <c r="T4872">
        <v>-0.27399030000000002</v>
      </c>
      <c r="U4872">
        <v>-3.066986</v>
      </c>
      <c r="V4872">
        <v>-5.7104710000000003E-2</v>
      </c>
      <c r="W4872">
        <v>0.15704609999999999</v>
      </c>
      <c r="X4872">
        <v>0.98593889999999995</v>
      </c>
      <c r="Y4872">
        <v>-7.7800339999999996E-2</v>
      </c>
      <c r="Z4872">
        <v>8.8744379999999998E-2</v>
      </c>
      <c r="AA4872">
        <v>0.99301139999999999</v>
      </c>
      <c r="AB4872">
        <v>28</v>
      </c>
      <c r="AC4872">
        <v>0.70330000000001203</v>
      </c>
      <c r="AD4872">
        <v>-1.1103698795800001</v>
      </c>
      <c r="AE4872">
        <v>-12.1594099999999</v>
      </c>
      <c r="AF4872">
        <v>-0.96321327725749295</v>
      </c>
      <c r="AG4872">
        <v>-1.1103698795800001</v>
      </c>
      <c r="AH4872">
        <v>12.0408747116358</v>
      </c>
      <c r="AI4872">
        <v>95.252043697630995</v>
      </c>
      <c r="AJ4872">
        <v>94.573653173560302</v>
      </c>
      <c r="AK4872">
        <v>12.130266481338101</v>
      </c>
      <c r="AL4872">
        <v>80.964517053119494</v>
      </c>
      <c r="AM4872">
        <v>93.314817582374204</v>
      </c>
      <c r="AN4872">
        <v>0.99999996998130103</v>
      </c>
    </row>
    <row r="4873" spans="1:40" x14ac:dyDescent="0.25">
      <c r="A4873" t="str">
        <f>"20190312172509990"</f>
        <v>20190312172509990</v>
      </c>
      <c r="B4873" t="str">
        <f>"1552382709985175"</f>
        <v>1552382709985175</v>
      </c>
      <c r="C4873" t="s">
        <v>40</v>
      </c>
      <c r="D4873">
        <v>3.8615300000000001</v>
      </c>
      <c r="E4873">
        <v>0.48874210000000001</v>
      </c>
      <c r="F4873" t="s">
        <v>43</v>
      </c>
      <c r="G4873">
        <v>-421.90039999999999</v>
      </c>
      <c r="H4873" s="1">
        <v>-3.7266309999999998E-6</v>
      </c>
      <c r="I4873">
        <v>47.097290000000001</v>
      </c>
      <c r="J4873">
        <v>-422.62520000000001</v>
      </c>
      <c r="K4873">
        <v>1.1103670000000001</v>
      </c>
      <c r="L4873">
        <v>59.320469999999901</v>
      </c>
      <c r="M4873">
        <v>-2.2047939999999999E-2</v>
      </c>
      <c r="N4873">
        <v>0</v>
      </c>
      <c r="O4873">
        <v>-0.99966670000000002</v>
      </c>
      <c r="P4873">
        <v>3.6371109999999998E-2</v>
      </c>
      <c r="Q4873">
        <v>0.14346900000000001</v>
      </c>
      <c r="R4873">
        <v>-0.98898680000000005</v>
      </c>
      <c r="S4873">
        <v>0.176178</v>
      </c>
      <c r="T4873">
        <v>-0.27227230000000002</v>
      </c>
      <c r="U4873">
        <v>-3.0667110000000002</v>
      </c>
      <c r="V4873">
        <v>-5.8164309999999997E-2</v>
      </c>
      <c r="W4873">
        <v>0.156749</v>
      </c>
      <c r="X4873">
        <v>0.98592429999999998</v>
      </c>
      <c r="Y4873">
        <v>-7.9129969999999994E-2</v>
      </c>
      <c r="Z4873">
        <v>8.8192190000000004E-2</v>
      </c>
      <c r="AA4873">
        <v>0.99295549999999999</v>
      </c>
      <c r="AB4873">
        <v>28</v>
      </c>
      <c r="AC4873">
        <v>0.72480000000001599</v>
      </c>
      <c r="AD4873">
        <v>-1.1103707266309999</v>
      </c>
      <c r="AE4873">
        <v>-12.2231799999999</v>
      </c>
      <c r="AF4873">
        <v>-0.98603561558364505</v>
      </c>
      <c r="AG4873">
        <v>-1.1103707266309999</v>
      </c>
      <c r="AH4873">
        <v>12.1046865968463</v>
      </c>
      <c r="AI4873">
        <v>95.223904346492404</v>
      </c>
      <c r="AJ4873">
        <v>94.6569742742128</v>
      </c>
      <c r="AK4873">
        <v>12.1954346783389</v>
      </c>
      <c r="AL4873">
        <v>80.981753651891395</v>
      </c>
      <c r="AM4873">
        <v>93.376234197474105</v>
      </c>
      <c r="AN4873">
        <v>1.0000000306446299</v>
      </c>
    </row>
    <row r="4874" spans="1:40" x14ac:dyDescent="0.25">
      <c r="A4874" t="str">
        <f>"20190312172510013"</f>
        <v>20190312172510013</v>
      </c>
      <c r="B4874" t="str">
        <f>"1552382710005670"</f>
        <v>1552382710005670</v>
      </c>
      <c r="C4874" t="s">
        <v>40</v>
      </c>
      <c r="D4874">
        <v>3.8394620000000002</v>
      </c>
      <c r="E4874">
        <v>0.48900959999999899</v>
      </c>
      <c r="F4874" t="s">
        <v>43</v>
      </c>
      <c r="G4874">
        <v>-421.28919999999999</v>
      </c>
      <c r="H4874" s="1">
        <v>-1.6248249999999999E-6</v>
      </c>
      <c r="I4874">
        <v>42.576979999999999</v>
      </c>
      <c r="J4874">
        <v>-422.6318</v>
      </c>
      <c r="K4874">
        <v>1.110366</v>
      </c>
      <c r="L4874">
        <v>59.019260000000003</v>
      </c>
      <c r="M4874">
        <v>-2.204942E-2</v>
      </c>
      <c r="N4874">
        <v>0</v>
      </c>
      <c r="O4874">
        <v>-0.99966650000000001</v>
      </c>
      <c r="P4874">
        <v>3.7364979999999999E-2</v>
      </c>
      <c r="Q4874">
        <v>0.14321629999999999</v>
      </c>
      <c r="R4874">
        <v>-0.98898609999999998</v>
      </c>
      <c r="S4874">
        <v>0.24365229999999999</v>
      </c>
      <c r="T4874">
        <v>-0.20251930000000001</v>
      </c>
      <c r="U4874">
        <v>-3.053833</v>
      </c>
      <c r="V4874">
        <v>-5.9159139999999999E-2</v>
      </c>
      <c r="W4874">
        <v>0.15649469999999999</v>
      </c>
      <c r="X4874">
        <v>0.98590549999999999</v>
      </c>
      <c r="Y4874">
        <v>-0.1013223</v>
      </c>
      <c r="Z4874">
        <v>6.5872420000000001E-2</v>
      </c>
      <c r="AA4874">
        <v>0.99267039999999995</v>
      </c>
      <c r="AB4874">
        <v>28</v>
      </c>
      <c r="AC4874">
        <v>1.3426</v>
      </c>
      <c r="AD4874">
        <v>-1.1103676248250001</v>
      </c>
      <c r="AE4874">
        <v>-16.442279999999901</v>
      </c>
      <c r="AF4874">
        <v>-1.69716044741387</v>
      </c>
      <c r="AG4874">
        <v>-1.1103676248250001</v>
      </c>
      <c r="AH4874">
        <v>16.334675261859399</v>
      </c>
      <c r="AI4874">
        <v>93.868003807810197</v>
      </c>
      <c r="AJ4874">
        <v>95.931705045659299</v>
      </c>
      <c r="AK4874">
        <v>16.460099810053599</v>
      </c>
      <c r="AL4874">
        <v>80.996505980916197</v>
      </c>
      <c r="AM4874">
        <v>93.433908892233006</v>
      </c>
      <c r="AN4874">
        <v>1.0000000249519301</v>
      </c>
    </row>
    <row r="4875" spans="1:40" x14ac:dyDescent="0.25">
      <c r="A4875" t="str">
        <f>"20190312172510035"</f>
        <v>20190312172510035</v>
      </c>
      <c r="B4875" t="str">
        <f>"1552382710025191"</f>
        <v>1552382710025191</v>
      </c>
      <c r="C4875" t="s">
        <v>40</v>
      </c>
      <c r="D4875">
        <v>3.8123239999999998</v>
      </c>
      <c r="E4875">
        <v>0.48929529999999899</v>
      </c>
      <c r="F4875" t="s">
        <v>43</v>
      </c>
      <c r="G4875">
        <v>-421.29309999999998</v>
      </c>
      <c r="H4875" s="1">
        <v>-1.498494E-6</v>
      </c>
      <c r="I4875">
        <v>42.280119999999997</v>
      </c>
      <c r="J4875">
        <v>-422.63749999999999</v>
      </c>
      <c r="K4875">
        <v>1.1103609999999999</v>
      </c>
      <c r="L4875">
        <v>58.761319999999998</v>
      </c>
      <c r="M4875">
        <v>-2.204683E-2</v>
      </c>
      <c r="N4875">
        <v>0</v>
      </c>
      <c r="O4875">
        <v>-0.99966670000000002</v>
      </c>
      <c r="P4875">
        <v>3.8956440000000002E-2</v>
      </c>
      <c r="Q4875">
        <v>0.14333979999999999</v>
      </c>
      <c r="R4875">
        <v>-0.98890690000000003</v>
      </c>
      <c r="S4875">
        <v>0.24420169999999999</v>
      </c>
      <c r="T4875">
        <v>-0.2025516</v>
      </c>
      <c r="U4875">
        <v>-3.053528</v>
      </c>
      <c r="V4875">
        <v>-6.0745929999999997E-2</v>
      </c>
      <c r="W4875">
        <v>0.1566157</v>
      </c>
      <c r="X4875">
        <v>0.98578980000000005</v>
      </c>
      <c r="Y4875">
        <v>-0.101505</v>
      </c>
      <c r="Z4875">
        <v>6.5888340000000004E-2</v>
      </c>
      <c r="AA4875">
        <v>0.9926507</v>
      </c>
      <c r="AB4875">
        <v>28</v>
      </c>
      <c r="AC4875">
        <v>1.3444</v>
      </c>
      <c r="AD4875">
        <v>-1.1103624984939999</v>
      </c>
      <c r="AE4875">
        <v>-16.481199999999902</v>
      </c>
      <c r="AF4875">
        <v>-1.6997999212499799</v>
      </c>
      <c r="AG4875">
        <v>-1.1103624984939999</v>
      </c>
      <c r="AH4875">
        <v>16.373723240282299</v>
      </c>
      <c r="AI4875">
        <v>93.858823773150505</v>
      </c>
      <c r="AJ4875">
        <v>95.926797503514805</v>
      </c>
      <c r="AK4875">
        <v>16.499122322102501</v>
      </c>
      <c r="AL4875">
        <v>80.989486753011803</v>
      </c>
      <c r="AM4875">
        <v>93.526198011061993</v>
      </c>
      <c r="AN4875">
        <v>1.0000000376410401</v>
      </c>
    </row>
    <row r="4876" spans="1:40" x14ac:dyDescent="0.25">
      <c r="A4876" t="str">
        <f>"20190312172510056"</f>
        <v>20190312172510056</v>
      </c>
      <c r="B4876" t="str">
        <f>"1552382710045687"</f>
        <v>1552382710045687</v>
      </c>
      <c r="C4876" t="s">
        <v>40</v>
      </c>
      <c r="D4876">
        <v>3.827502</v>
      </c>
      <c r="E4876">
        <v>0.48950320000000003</v>
      </c>
      <c r="F4876" t="s">
        <v>43</v>
      </c>
      <c r="G4876">
        <v>-421.28230000000002</v>
      </c>
      <c r="H4876" s="1">
        <v>-1.348227E-6</v>
      </c>
      <c r="I4876">
        <v>41.936509999999998</v>
      </c>
      <c r="J4876">
        <v>-422.64319999999998</v>
      </c>
      <c r="K4876">
        <v>1.1103670000000001</v>
      </c>
      <c r="L4876">
        <v>58.498750000000001</v>
      </c>
      <c r="M4876">
        <v>-2.2034890000000001E-2</v>
      </c>
      <c r="N4876">
        <v>0</v>
      </c>
      <c r="O4876">
        <v>-0.99966670000000002</v>
      </c>
      <c r="P4876">
        <v>3.981382E-2</v>
      </c>
      <c r="Q4876">
        <v>0.14345859999999999</v>
      </c>
      <c r="R4876">
        <v>-0.9888555</v>
      </c>
      <c r="S4876">
        <v>0.24591060000000001</v>
      </c>
      <c r="T4876">
        <v>-0.20149700000000001</v>
      </c>
      <c r="U4876">
        <v>-3.0531920000000001</v>
      </c>
      <c r="V4876">
        <v>-6.159183E-2</v>
      </c>
      <c r="W4876">
        <v>0.15673110000000001</v>
      </c>
      <c r="X4876">
        <v>0.98571889999999995</v>
      </c>
      <c r="Y4876">
        <v>-0.1020556</v>
      </c>
      <c r="Z4876">
        <v>6.5550620000000004E-2</v>
      </c>
      <c r="AA4876">
        <v>0.99261670000000002</v>
      </c>
      <c r="AB4876">
        <v>28</v>
      </c>
      <c r="AC4876">
        <v>1.36089999999995</v>
      </c>
      <c r="AD4876">
        <v>-1.1103683482269999</v>
      </c>
      <c r="AE4876">
        <v>-16.562239999999999</v>
      </c>
      <c r="AF4876">
        <v>-1.71788018684115</v>
      </c>
      <c r="AG4876">
        <v>-1.1103683482269999</v>
      </c>
      <c r="AH4876">
        <v>16.454765568606</v>
      </c>
      <c r="AI4876">
        <v>93.839663986088496</v>
      </c>
      <c r="AJ4876">
        <v>95.960097412399406</v>
      </c>
      <c r="AK4876">
        <v>16.581415504198301</v>
      </c>
      <c r="AL4876">
        <v>80.982791534768594</v>
      </c>
      <c r="AM4876">
        <v>93.575431066252193</v>
      </c>
      <c r="AN4876">
        <v>0.99999997052358303</v>
      </c>
    </row>
    <row r="4877" spans="1:40" x14ac:dyDescent="0.25">
      <c r="A4877" t="str">
        <f>"20190312172510078"</f>
        <v>20190312172510078</v>
      </c>
      <c r="B4877" t="str">
        <f>"1552382710075944"</f>
        <v>1552382710075944</v>
      </c>
      <c r="C4877" t="s">
        <v>40</v>
      </c>
      <c r="D4877">
        <v>3.813755</v>
      </c>
      <c r="E4877">
        <v>0.48967539999999998</v>
      </c>
      <c r="F4877" t="s">
        <v>43</v>
      </c>
      <c r="G4877">
        <v>-421.28410000000002</v>
      </c>
      <c r="H4877" s="1">
        <v>-1.2460499999999999E-6</v>
      </c>
      <c r="I4877">
        <v>41.697240000000001</v>
      </c>
      <c r="J4877">
        <v>-422.64940000000001</v>
      </c>
      <c r="K4877">
        <v>1.1103799999999999</v>
      </c>
      <c r="L4877">
        <v>58.219850000000001</v>
      </c>
      <c r="M4877">
        <v>-2.2004510000000001E-2</v>
      </c>
      <c r="N4877">
        <v>0</v>
      </c>
      <c r="O4877">
        <v>-0.99966739999999998</v>
      </c>
      <c r="P4877">
        <v>4.0923380000000002E-2</v>
      </c>
      <c r="Q4877">
        <v>0.14368739999999999</v>
      </c>
      <c r="R4877">
        <v>-0.98877660000000001</v>
      </c>
      <c r="S4877">
        <v>0.2469788</v>
      </c>
      <c r="T4877">
        <v>-0.20177349999999999</v>
      </c>
      <c r="U4877">
        <v>-3.053131</v>
      </c>
      <c r="V4877">
        <v>-6.2673870000000007E-2</v>
      </c>
      <c r="W4877">
        <v>0.15695519999999999</v>
      </c>
      <c r="X4877">
        <v>0.98561509999999997</v>
      </c>
      <c r="Y4877">
        <v>-0.1023715</v>
      </c>
      <c r="Z4877">
        <v>6.5639589999999998E-2</v>
      </c>
      <c r="AA4877">
        <v>0.99257819999999997</v>
      </c>
      <c r="AB4877">
        <v>28</v>
      </c>
      <c r="AC4877">
        <v>1.36529999999999</v>
      </c>
      <c r="AD4877">
        <v>-1.11038124605</v>
      </c>
      <c r="AE4877">
        <v>-16.52261</v>
      </c>
      <c r="AF4877">
        <v>-1.72085492337733</v>
      </c>
      <c r="AG4877">
        <v>-1.11038124605</v>
      </c>
      <c r="AH4877">
        <v>16.414930516665301</v>
      </c>
      <c r="AI4877">
        <v>93.848825946201103</v>
      </c>
      <c r="AJ4877">
        <v>95.984727171228599</v>
      </c>
      <c r="AK4877">
        <v>16.542195502587902</v>
      </c>
      <c r="AL4877">
        <v>80.969791250903597</v>
      </c>
      <c r="AM4877">
        <v>93.638458801786697</v>
      </c>
      <c r="AN4877">
        <v>1.0000000370679101</v>
      </c>
    </row>
    <row r="4878" spans="1:40" x14ac:dyDescent="0.25">
      <c r="A4878" t="str">
        <f>"20190312172510101"</f>
        <v>20190312172510101</v>
      </c>
      <c r="B4878" t="str">
        <f>"1552382710095463"</f>
        <v>1552382710095463</v>
      </c>
      <c r="C4878" t="s">
        <v>40</v>
      </c>
      <c r="D4878">
        <v>3.7970969999999999</v>
      </c>
      <c r="E4878">
        <v>0.48984299999999997</v>
      </c>
      <c r="F4878" t="s">
        <v>43</v>
      </c>
      <c r="G4878">
        <v>-421.27710000000002</v>
      </c>
      <c r="H4878" s="1">
        <v>-1.1049870000000001E-6</v>
      </c>
      <c r="I4878">
        <v>41.372779999999999</v>
      </c>
      <c r="J4878">
        <v>-422.65530000000001</v>
      </c>
      <c r="K4878">
        <v>1.110398</v>
      </c>
      <c r="L4878">
        <v>57.946620000000003</v>
      </c>
      <c r="M4878">
        <v>-2.194811E-2</v>
      </c>
      <c r="N4878">
        <v>0</v>
      </c>
      <c r="O4878">
        <v>-0.99966880000000002</v>
      </c>
      <c r="P4878">
        <v>4.2640699999999997E-2</v>
      </c>
      <c r="Q4878">
        <v>0.14376169999999999</v>
      </c>
      <c r="R4878">
        <v>-0.98869370000000001</v>
      </c>
      <c r="S4878">
        <v>0.24868770000000001</v>
      </c>
      <c r="T4878">
        <v>-0.20122029999999999</v>
      </c>
      <c r="U4878">
        <v>-3.0529790000000001</v>
      </c>
      <c r="V4878">
        <v>-6.4340560000000005E-2</v>
      </c>
      <c r="W4878">
        <v>0.15702349999999901</v>
      </c>
      <c r="X4878">
        <v>0.98549679999999995</v>
      </c>
      <c r="Y4878">
        <v>-0.1028723</v>
      </c>
      <c r="Z4878">
        <v>6.5460580000000004E-2</v>
      </c>
      <c r="AA4878">
        <v>0.99253829999999998</v>
      </c>
      <c r="AB4878">
        <v>27</v>
      </c>
      <c r="AC4878">
        <v>1.3781999999999901</v>
      </c>
      <c r="AD4878">
        <v>-1.1103991049869999</v>
      </c>
      <c r="AE4878">
        <v>-16.573839999999901</v>
      </c>
      <c r="AF4878">
        <v>-1.7339357432903399</v>
      </c>
      <c r="AG4878">
        <v>-1.1103991049869999</v>
      </c>
      <c r="AH4878">
        <v>16.466192449395301</v>
      </c>
      <c r="AI4878">
        <v>93.836755234160904</v>
      </c>
      <c r="AJ4878">
        <v>96.011250912917106</v>
      </c>
      <c r="AK4878">
        <v>16.594427170431</v>
      </c>
      <c r="AL4878">
        <v>80.965828615366604</v>
      </c>
      <c r="AM4878">
        <v>93.735393291998705</v>
      </c>
      <c r="AN4878">
        <v>1.0000000150118</v>
      </c>
    </row>
    <row r="4879" spans="1:40" x14ac:dyDescent="0.25">
      <c r="A4879" t="str">
        <f>"20190312172510123"</f>
        <v>20190312172510123</v>
      </c>
      <c r="B4879" t="str">
        <f>"1552382710114983"</f>
        <v>1552382710114983</v>
      </c>
      <c r="C4879" t="s">
        <v>40</v>
      </c>
      <c r="D4879">
        <v>3.8169580000000001</v>
      </c>
      <c r="E4879">
        <v>0.48991620000000002</v>
      </c>
      <c r="F4879" t="s">
        <v>43</v>
      </c>
      <c r="G4879">
        <v>-421.26179999999999</v>
      </c>
      <c r="H4879" s="1">
        <v>-9.7840119999999993E-7</v>
      </c>
      <c r="I4879">
        <v>41.08717</v>
      </c>
      <c r="J4879">
        <v>-422.66140000000001</v>
      </c>
      <c r="K4879">
        <v>1.1104259999999999</v>
      </c>
      <c r="L4879">
        <v>57.668399999999998</v>
      </c>
      <c r="M4879">
        <v>-2.184726E-2</v>
      </c>
      <c r="N4879">
        <v>0</v>
      </c>
      <c r="O4879">
        <v>-0.99967130000000004</v>
      </c>
      <c r="P4879">
        <v>4.3698510000000003E-2</v>
      </c>
      <c r="Q4879">
        <v>0.1438354</v>
      </c>
      <c r="R4879">
        <v>-0.98863679999999998</v>
      </c>
      <c r="S4879">
        <v>0.25231930000000002</v>
      </c>
      <c r="T4879">
        <v>-0.2010555</v>
      </c>
      <c r="U4879">
        <v>-3.052673</v>
      </c>
      <c r="V4879">
        <v>-6.5307390000000007E-2</v>
      </c>
      <c r="W4879">
        <v>0.15709039999999999</v>
      </c>
      <c r="X4879">
        <v>0.98542260000000004</v>
      </c>
      <c r="Y4879">
        <v>-0.10395310000000001</v>
      </c>
      <c r="Z4879">
        <v>6.5407080000000006E-2</v>
      </c>
      <c r="AA4879">
        <v>0.99242920000000001</v>
      </c>
      <c r="AB4879">
        <v>27</v>
      </c>
      <c r="AC4879">
        <v>1.3996000000000199</v>
      </c>
      <c r="AD4879">
        <v>-1.1104269784012</v>
      </c>
      <c r="AE4879">
        <v>-16.581229999999898</v>
      </c>
      <c r="AF4879">
        <v>-1.7537433235076101</v>
      </c>
      <c r="AG4879">
        <v>-1.1104269784012</v>
      </c>
      <c r="AH4879">
        <v>16.473333970486099</v>
      </c>
      <c r="AI4879">
        <v>93.834729764674407</v>
      </c>
      <c r="AJ4879">
        <v>96.076793118589507</v>
      </c>
      <c r="AK4879">
        <v>16.603595870240799</v>
      </c>
      <c r="AL4879">
        <v>80.961947904310705</v>
      </c>
      <c r="AM4879">
        <v>93.791646285725903</v>
      </c>
      <c r="AN4879">
        <v>1.00000007477576</v>
      </c>
    </row>
    <row r="4880" spans="1:40" x14ac:dyDescent="0.25">
      <c r="A4880" t="str">
        <f>"20190312172510145"</f>
        <v>20190312172510145</v>
      </c>
      <c r="B4880" t="str">
        <f>"1552382710135479"</f>
        <v>1552382710135479</v>
      </c>
      <c r="C4880" t="s">
        <v>40</v>
      </c>
      <c r="D4880">
        <v>3.8233079999999999</v>
      </c>
      <c r="E4880">
        <v>0.48999769999999998</v>
      </c>
      <c r="F4880" t="s">
        <v>43</v>
      </c>
      <c r="G4880">
        <v>-421.25569999999999</v>
      </c>
      <c r="H4880" s="1">
        <v>-8.7414569999999999E-7</v>
      </c>
      <c r="I4880">
        <v>40.847929999999998</v>
      </c>
      <c r="J4880">
        <v>-422.66699999999997</v>
      </c>
      <c r="K4880">
        <v>1.1104639999999999</v>
      </c>
      <c r="L4880">
        <v>57.404789999999998</v>
      </c>
      <c r="M4880">
        <v>-2.1703610000000002E-2</v>
      </c>
      <c r="N4880">
        <v>0</v>
      </c>
      <c r="O4880">
        <v>-0.99967410000000001</v>
      </c>
      <c r="P4880">
        <v>4.4646829999999998E-2</v>
      </c>
      <c r="Q4880">
        <v>0.14389489999999999</v>
      </c>
      <c r="R4880">
        <v>-0.98858539999999995</v>
      </c>
      <c r="S4880">
        <v>0.2550964</v>
      </c>
      <c r="T4880">
        <v>-0.20151649999999999</v>
      </c>
      <c r="U4880">
        <v>-3.052521</v>
      </c>
      <c r="V4880">
        <v>-6.6125840000000005E-2</v>
      </c>
      <c r="W4880">
        <v>0.15714220000000001</v>
      </c>
      <c r="X4880">
        <v>0.98535969999999995</v>
      </c>
      <c r="Y4880">
        <v>-0.1047101</v>
      </c>
      <c r="Z4880">
        <v>6.5554890000000005E-2</v>
      </c>
      <c r="AA4880">
        <v>0.99233979999999999</v>
      </c>
      <c r="AB4880">
        <v>27</v>
      </c>
      <c r="AC4880">
        <v>1.41129999999998</v>
      </c>
      <c r="AD4880">
        <v>-1.1104648741456999</v>
      </c>
      <c r="AE4880">
        <v>-16.55686</v>
      </c>
      <c r="AF4880">
        <v>-1.7624725630685201</v>
      </c>
      <c r="AG4880">
        <v>-1.1104648741456999</v>
      </c>
      <c r="AH4880">
        <v>16.4488671363804</v>
      </c>
      <c r="AI4880">
        <v>93.840268738268705</v>
      </c>
      <c r="AJ4880">
        <v>96.115827074922805</v>
      </c>
      <c r="AK4880">
        <v>16.580249450553399</v>
      </c>
      <c r="AL4880">
        <v>80.958942141260096</v>
      </c>
      <c r="AM4880">
        <v>93.839267341438301</v>
      </c>
      <c r="AN4880">
        <v>1.0000000180603099</v>
      </c>
    </row>
    <row r="4881" spans="1:40" x14ac:dyDescent="0.25">
      <c r="A4881" t="str">
        <f>"20190312172510166"</f>
        <v>20190312172510166</v>
      </c>
      <c r="B4881" t="str">
        <f>"1552382710154999"</f>
        <v>1552382710154999</v>
      </c>
      <c r="C4881" t="s">
        <v>40</v>
      </c>
      <c r="D4881">
        <v>3.790295</v>
      </c>
      <c r="E4881">
        <v>0.4900582</v>
      </c>
      <c r="F4881" t="s">
        <v>43</v>
      </c>
      <c r="G4881">
        <v>-421.24619999999999</v>
      </c>
      <c r="H4881" s="1">
        <v>-7.4472719999999897E-7</v>
      </c>
      <c r="I4881">
        <v>40.552160000000001</v>
      </c>
      <c r="J4881">
        <v>-422.67259999999999</v>
      </c>
      <c r="K4881">
        <v>1.110501</v>
      </c>
      <c r="L4881">
        <v>57.136569999999899</v>
      </c>
      <c r="M4881">
        <v>-2.1511240000000001E-2</v>
      </c>
      <c r="N4881">
        <v>0</v>
      </c>
      <c r="O4881">
        <v>-0.99967850000000003</v>
      </c>
      <c r="P4881">
        <v>4.5443650000000002E-2</v>
      </c>
      <c r="Q4881">
        <v>0.1446115</v>
      </c>
      <c r="R4881">
        <v>-0.98844469999999995</v>
      </c>
      <c r="S4881">
        <v>0.2573242</v>
      </c>
      <c r="T4881">
        <v>-0.20112279999999999</v>
      </c>
      <c r="U4881">
        <v>-3.0522770000000001</v>
      </c>
      <c r="V4881">
        <v>-6.6743109999999994E-2</v>
      </c>
      <c r="W4881">
        <v>0.157849499999999</v>
      </c>
      <c r="X4881">
        <v>0.985205</v>
      </c>
      <c r="Y4881">
        <v>-0.1052452</v>
      </c>
      <c r="Z4881">
        <v>6.5429130000000002E-2</v>
      </c>
      <c r="AA4881">
        <v>0.99229149999999999</v>
      </c>
      <c r="AB4881">
        <v>27</v>
      </c>
      <c r="AC4881">
        <v>1.4263999999999999</v>
      </c>
      <c r="AD4881">
        <v>-1.1105017447272001</v>
      </c>
      <c r="AE4881">
        <v>-16.584409999999899</v>
      </c>
      <c r="AF4881">
        <v>-1.77495329250422</v>
      </c>
      <c r="AG4881">
        <v>-1.1105017447272001</v>
      </c>
      <c r="AH4881">
        <v>16.476551633762401</v>
      </c>
      <c r="AI4881">
        <v>93.833727918836004</v>
      </c>
      <c r="AJ4881">
        <v>96.148534949150203</v>
      </c>
      <c r="AK4881">
        <v>16.609046542642101</v>
      </c>
      <c r="AL4881">
        <v>80.917904506111995</v>
      </c>
      <c r="AM4881">
        <v>93.875603975677606</v>
      </c>
      <c r="AN4881">
        <v>0.999999999703861</v>
      </c>
    </row>
    <row r="4882" spans="1:40" x14ac:dyDescent="0.25">
      <c r="A4882" t="str">
        <f>"20190312172510191"</f>
        <v>20190312172510191</v>
      </c>
      <c r="B4882" t="str">
        <f>"1552382710185255"</f>
        <v>1552382710185255</v>
      </c>
      <c r="C4882" t="s">
        <v>40</v>
      </c>
      <c r="D4882">
        <v>3.8140800000000001</v>
      </c>
      <c r="E4882">
        <v>0.49019800000000002</v>
      </c>
      <c r="F4882" t="s">
        <v>43</v>
      </c>
      <c r="G4882">
        <v>-421.22019999999998</v>
      </c>
      <c r="H4882" s="1">
        <v>-5.3468429999999995E-7</v>
      </c>
      <c r="I4882">
        <v>40.078679999999999</v>
      </c>
      <c r="J4882">
        <v>-422.67849999999999</v>
      </c>
      <c r="K4882">
        <v>1.110544</v>
      </c>
      <c r="L4882">
        <v>56.848880000000001</v>
      </c>
      <c r="M4882">
        <v>-2.1238509999999999E-2</v>
      </c>
      <c r="N4882">
        <v>0</v>
      </c>
      <c r="O4882">
        <v>-0.99968420000000002</v>
      </c>
      <c r="P4882">
        <v>4.6578550000000003E-2</v>
      </c>
      <c r="Q4882">
        <v>0.14443420000000001</v>
      </c>
      <c r="R4882">
        <v>-0.98841789999999996</v>
      </c>
      <c r="S4882">
        <v>0.2598877</v>
      </c>
      <c r="T4882">
        <v>-0.1987051</v>
      </c>
      <c r="U4882">
        <v>-3.052216</v>
      </c>
      <c r="V4882">
        <v>-6.7625489999999996E-2</v>
      </c>
      <c r="W4882">
        <v>0.157663</v>
      </c>
      <c r="X4882">
        <v>0.98517469999999996</v>
      </c>
      <c r="Y4882">
        <v>-0.10580730000000001</v>
      </c>
      <c r="Z4882">
        <v>6.4643560000000003E-2</v>
      </c>
      <c r="AA4882">
        <v>0.99228320000000003</v>
      </c>
      <c r="AB4882">
        <v>27</v>
      </c>
      <c r="AC4882">
        <v>1.4582999999999999</v>
      </c>
      <c r="AD4882">
        <v>-1.1105445346842999</v>
      </c>
      <c r="AE4882">
        <v>-16.770199999999999</v>
      </c>
      <c r="AF4882">
        <v>-1.80631548129268</v>
      </c>
      <c r="AG4882">
        <v>-1.1105445346842999</v>
      </c>
      <c r="AH4882">
        <v>16.6629188145758</v>
      </c>
      <c r="AI4882">
        <v>93.790847334987404</v>
      </c>
      <c r="AJ4882">
        <v>96.186892749067994</v>
      </c>
      <c r="AK4882">
        <v>16.797289906488501</v>
      </c>
      <c r="AL4882">
        <v>80.928725755709607</v>
      </c>
      <c r="AM4882">
        <v>93.926802701266098</v>
      </c>
      <c r="AN4882">
        <v>1.00000000899341</v>
      </c>
    </row>
    <row r="4883" spans="1:40" x14ac:dyDescent="0.25">
      <c r="A4883" t="str">
        <f>"20190312172510212"</f>
        <v>20190312172510212</v>
      </c>
      <c r="B4883" t="str">
        <f>"1552382710205751"</f>
        <v>1552382710205751</v>
      </c>
      <c r="C4883" t="s">
        <v>40</v>
      </c>
      <c r="D4883">
        <v>3.8169369999999998</v>
      </c>
      <c r="E4883">
        <v>0.49030069999999998</v>
      </c>
      <c r="F4883" t="s">
        <v>43</v>
      </c>
      <c r="G4883">
        <v>-421.2174</v>
      </c>
      <c r="H4883" s="1">
        <v>-4.4276589999999999E-7</v>
      </c>
      <c r="I4883">
        <v>39.866140000000001</v>
      </c>
      <c r="J4883">
        <v>-422.68380000000002</v>
      </c>
      <c r="K4883">
        <v>1.1105969999999901</v>
      </c>
      <c r="L4883">
        <v>56.584110000000003</v>
      </c>
      <c r="M4883">
        <v>-2.091324E-2</v>
      </c>
      <c r="N4883">
        <v>0</v>
      </c>
      <c r="O4883">
        <v>-0.9996912</v>
      </c>
      <c r="P4883">
        <v>4.7958460000000001E-2</v>
      </c>
      <c r="Q4883">
        <v>0.14415999999999901</v>
      </c>
      <c r="R4883">
        <v>-0.98839189999999999</v>
      </c>
      <c r="S4883">
        <v>0.26257320000000001</v>
      </c>
      <c r="T4883">
        <v>-0.19957420000000001</v>
      </c>
      <c r="U4883">
        <v>-3.0519409999999998</v>
      </c>
      <c r="V4883">
        <v>-6.8702020000000003E-2</v>
      </c>
      <c r="W4883">
        <v>0.15737809999999999</v>
      </c>
      <c r="X4883">
        <v>0.98514570000000001</v>
      </c>
      <c r="Y4883">
        <v>-0.10635650000000001</v>
      </c>
      <c r="Z4883">
        <v>6.4927260000000001E-2</v>
      </c>
      <c r="AA4883">
        <v>0.99220600000000003</v>
      </c>
      <c r="AB4883">
        <v>27</v>
      </c>
      <c r="AC4883">
        <v>1.4664000000000199</v>
      </c>
      <c r="AD4883">
        <v>-1.11059744276589</v>
      </c>
      <c r="AE4883">
        <v>-16.717969999999902</v>
      </c>
      <c r="AF4883">
        <v>-1.80782042153107</v>
      </c>
      <c r="AG4883">
        <v>-1.11059744276589</v>
      </c>
      <c r="AH4883">
        <v>16.610896810695699</v>
      </c>
      <c r="AI4883">
        <v>93.802690299837806</v>
      </c>
      <c r="AJ4883">
        <v>96.211248149731006</v>
      </c>
      <c r="AK4883">
        <v>16.745851253727398</v>
      </c>
      <c r="AL4883">
        <v>80.945255076608106</v>
      </c>
      <c r="AM4883">
        <v>93.989230272513893</v>
      </c>
      <c r="AN4883">
        <v>0.99999994207008802</v>
      </c>
    </row>
    <row r="4884" spans="1:40" x14ac:dyDescent="0.25">
      <c r="A4884" t="str">
        <f>"20190312172510234"</f>
        <v>20190312172510234</v>
      </c>
      <c r="B4884" t="str">
        <f>"1552382710225272"</f>
        <v>1552382710225272</v>
      </c>
      <c r="C4884" t="s">
        <v>40</v>
      </c>
      <c r="D4884">
        <v>3.814165</v>
      </c>
      <c r="E4884">
        <v>0.4904153</v>
      </c>
      <c r="F4884" t="s">
        <v>43</v>
      </c>
      <c r="G4884">
        <v>-421.22120000000001</v>
      </c>
      <c r="H4884" s="1">
        <v>-3.9196189999999998E-7</v>
      </c>
      <c r="I4884">
        <v>39.74539</v>
      </c>
      <c r="J4884">
        <v>-422.68900000000002</v>
      </c>
      <c r="K4884">
        <v>1.11066</v>
      </c>
      <c r="L4884">
        <v>56.314639999999997</v>
      </c>
      <c r="M4884">
        <v>-2.0497830000000002E-2</v>
      </c>
      <c r="N4884">
        <v>0</v>
      </c>
      <c r="O4884">
        <v>-0.99969969999999997</v>
      </c>
      <c r="P4884">
        <v>4.9102890000000003E-2</v>
      </c>
      <c r="Q4884">
        <v>0.14391880000000001</v>
      </c>
      <c r="R4884">
        <v>-0.98837050000000004</v>
      </c>
      <c r="S4884">
        <v>0.26507570000000003</v>
      </c>
      <c r="T4884">
        <v>-0.2012765</v>
      </c>
      <c r="U4884">
        <v>-3.0517270000000001</v>
      </c>
      <c r="V4884">
        <v>-6.9458790000000006E-2</v>
      </c>
      <c r="W4884">
        <v>0.15712519999999999</v>
      </c>
      <c r="X4884">
        <v>0.98513309999999998</v>
      </c>
      <c r="Y4884">
        <v>-0.1067538</v>
      </c>
      <c r="Z4884">
        <v>6.5480399999999994E-2</v>
      </c>
      <c r="AA4884">
        <v>0.99212699999999998</v>
      </c>
      <c r="AB4884">
        <v>27</v>
      </c>
      <c r="AC4884">
        <v>1.46780000000001</v>
      </c>
      <c r="AD4884">
        <v>-1.11066039196189</v>
      </c>
      <c r="AE4884">
        <v>-16.56925</v>
      </c>
      <c r="AF4884">
        <v>-1.7991349060913999</v>
      </c>
      <c r="AG4884">
        <v>-1.11066039196189</v>
      </c>
      <c r="AH4884">
        <v>16.462286111148401</v>
      </c>
      <c r="AI4884">
        <v>93.836945681933898</v>
      </c>
      <c r="AJ4884">
        <v>96.237004252801199</v>
      </c>
      <c r="AK4884">
        <v>16.597509358994198</v>
      </c>
      <c r="AL4884">
        <v>80.959928606674296</v>
      </c>
      <c r="AM4884">
        <v>94.033079840470407</v>
      </c>
      <c r="AN4884">
        <v>1.0000000383494501</v>
      </c>
    </row>
    <row r="4885" spans="1:40" x14ac:dyDescent="0.25">
      <c r="A4885" t="str">
        <f>"20190312172510256"</f>
        <v>20190312172510256</v>
      </c>
      <c r="B4885" t="str">
        <f>"1552382710245767"</f>
        <v>1552382710245767</v>
      </c>
      <c r="C4885" t="s">
        <v>40</v>
      </c>
      <c r="D4885">
        <v>3.8151290000000002</v>
      </c>
      <c r="E4885">
        <v>0.4905234</v>
      </c>
      <c r="F4885" t="s">
        <v>50</v>
      </c>
      <c r="G4885">
        <v>-421.22410000000002</v>
      </c>
      <c r="H4885" s="1">
        <v>-3.4148190000000002E-7</v>
      </c>
      <c r="I4885">
        <v>39.600279999999998</v>
      </c>
      <c r="J4885">
        <v>-422.69400000000002</v>
      </c>
      <c r="K4885">
        <v>1.1107419999999999</v>
      </c>
      <c r="L4885">
        <v>56.048029999999997</v>
      </c>
      <c r="M4885">
        <v>-1.9995969999999998E-2</v>
      </c>
      <c r="N4885">
        <v>0</v>
      </c>
      <c r="O4885">
        <v>-0.99970979999999998</v>
      </c>
      <c r="P4885">
        <v>5.0813120000000003E-2</v>
      </c>
      <c r="Q4885">
        <v>0.14375309999999999</v>
      </c>
      <c r="R4885">
        <v>-0.98830830000000003</v>
      </c>
      <c r="S4885">
        <v>0.26745609999999997</v>
      </c>
      <c r="T4885">
        <v>-0.20277149999999999</v>
      </c>
      <c r="U4885">
        <v>-3.0515140000000001</v>
      </c>
      <c r="V4885">
        <v>-7.0698570000000002E-2</v>
      </c>
      <c r="W4885">
        <v>0.156944899999999</v>
      </c>
      <c r="X4885">
        <v>0.98507359999999999</v>
      </c>
      <c r="Y4885">
        <v>-0.10702589999999999</v>
      </c>
      <c r="Z4885">
        <v>6.5967040000000005E-2</v>
      </c>
      <c r="AA4885">
        <v>0.99206539999999999</v>
      </c>
      <c r="AB4885">
        <v>27</v>
      </c>
      <c r="AC4885">
        <v>1.46989999999999</v>
      </c>
      <c r="AD4885">
        <v>-1.1107423414819</v>
      </c>
      <c r="AE4885">
        <v>-16.447749999999999</v>
      </c>
      <c r="AF4885">
        <v>-1.79042389921992</v>
      </c>
      <c r="AG4885">
        <v>-1.1107423414819</v>
      </c>
      <c r="AH4885">
        <v>16.3411326602291</v>
      </c>
      <c r="AI4885">
        <v>93.865475771545704</v>
      </c>
      <c r="AJ4885">
        <v>96.252698308909899</v>
      </c>
      <c r="AK4885">
        <v>16.476406856692599</v>
      </c>
      <c r="AL4885">
        <v>80.970388405788796</v>
      </c>
      <c r="AM4885">
        <v>94.105070031514103</v>
      </c>
      <c r="AN4885">
        <v>0.99999999342650703</v>
      </c>
    </row>
    <row r="4886" spans="1:40" x14ac:dyDescent="0.25">
      <c r="A4886" t="str">
        <f>"20190312172510278"</f>
        <v>20190312172510278</v>
      </c>
      <c r="B4886" t="str">
        <f>"1552382710265287"</f>
        <v>1552382710265287</v>
      </c>
      <c r="C4886" t="s">
        <v>40</v>
      </c>
      <c r="D4886">
        <v>3.808805</v>
      </c>
      <c r="E4886">
        <v>0.49249910000000002</v>
      </c>
      <c r="F4886" t="s">
        <v>50</v>
      </c>
      <c r="G4886">
        <v>-421.21550000000002</v>
      </c>
      <c r="H4886" s="1">
        <v>-4.0025829999999999E-7</v>
      </c>
      <c r="I4886">
        <v>39.440399999999997</v>
      </c>
      <c r="J4886">
        <v>-422.69880000000001</v>
      </c>
      <c r="K4886">
        <v>1.1108370000000001</v>
      </c>
      <c r="L4886">
        <v>55.774540000000002</v>
      </c>
      <c r="M4886">
        <v>-1.9379360000000002E-2</v>
      </c>
      <c r="N4886">
        <v>0</v>
      </c>
      <c r="O4886">
        <v>-0.99972190000000005</v>
      </c>
      <c r="P4886">
        <v>5.2477999999999997E-2</v>
      </c>
      <c r="Q4886">
        <v>0.1454906</v>
      </c>
      <c r="R4886">
        <v>-0.98796700000000004</v>
      </c>
      <c r="S4886">
        <v>0.27163700000000002</v>
      </c>
      <c r="T4886">
        <v>-0.2040691</v>
      </c>
      <c r="U4886">
        <v>-3.0512079999999999</v>
      </c>
      <c r="V4886">
        <v>-7.1780090000000005E-2</v>
      </c>
      <c r="W4886">
        <v>0.1586621</v>
      </c>
      <c r="X4886">
        <v>0.98472020000000005</v>
      </c>
      <c r="Y4886">
        <v>-0.10776760000000001</v>
      </c>
      <c r="Z4886">
        <v>6.6388440000000007E-2</v>
      </c>
      <c r="AA4886">
        <v>0.99195699999999998</v>
      </c>
      <c r="AB4886">
        <v>27</v>
      </c>
      <c r="AC4886">
        <v>1.4832999999999801</v>
      </c>
      <c r="AD4886">
        <v>-1.1108374002582999</v>
      </c>
      <c r="AE4886">
        <v>-16.334140000000001</v>
      </c>
      <c r="AF4886">
        <v>-1.7913778547703101</v>
      </c>
      <c r="AG4886">
        <v>-1.1108374002582999</v>
      </c>
      <c r="AH4886">
        <v>16.2278844004124</v>
      </c>
      <c r="AI4886">
        <v>93.892353712340693</v>
      </c>
      <c r="AJ4886">
        <v>96.299311911862901</v>
      </c>
      <c r="AK4886">
        <v>16.364205647128799</v>
      </c>
      <c r="AL4886">
        <v>80.870751356183803</v>
      </c>
      <c r="AM4886">
        <v>94.169138652649906</v>
      </c>
      <c r="AN4886">
        <v>0.99999995779242801</v>
      </c>
    </row>
    <row r="4887" spans="1:40" x14ac:dyDescent="0.25">
      <c r="A4887" t="str">
        <f>"20190312172510302"</f>
        <v>20190312172510302</v>
      </c>
      <c r="B4887" t="str">
        <f>"1552382710295543"</f>
        <v>1552382710295543</v>
      </c>
      <c r="C4887" t="s">
        <v>40</v>
      </c>
      <c r="D4887">
        <v>3.830746</v>
      </c>
      <c r="E4887">
        <v>0.49249349999999997</v>
      </c>
      <c r="F4887" t="s">
        <v>43</v>
      </c>
      <c r="G4887">
        <v>-421.3605</v>
      </c>
      <c r="H4887" s="1">
        <v>-6.156836E-7</v>
      </c>
      <c r="I4887">
        <v>40.180459999999997</v>
      </c>
      <c r="J4887">
        <v>-422.70339999999999</v>
      </c>
      <c r="K4887">
        <v>1.110935</v>
      </c>
      <c r="L4887">
        <v>55.494169999999997</v>
      </c>
      <c r="M4887">
        <v>-1.862861E-2</v>
      </c>
      <c r="N4887">
        <v>0</v>
      </c>
      <c r="O4887">
        <v>-0.99973630000000002</v>
      </c>
      <c r="P4887">
        <v>5.4714989999999998E-2</v>
      </c>
      <c r="Q4887">
        <v>0.1469249</v>
      </c>
      <c r="R4887">
        <v>-0.98763350000000005</v>
      </c>
      <c r="S4887">
        <v>0.26214599999999999</v>
      </c>
      <c r="T4887">
        <v>-0.21759719999999999</v>
      </c>
      <c r="U4887">
        <v>-3.0546570000000002</v>
      </c>
      <c r="V4887">
        <v>-7.3303190000000004E-2</v>
      </c>
      <c r="W4887">
        <v>0.1600743</v>
      </c>
      <c r="X4887">
        <v>0.98437940000000002</v>
      </c>
      <c r="Y4887">
        <v>-0.1038372</v>
      </c>
      <c r="Z4887">
        <v>7.0714639999999995E-2</v>
      </c>
      <c r="AA4887">
        <v>0.99207719999999999</v>
      </c>
      <c r="AB4887">
        <v>27</v>
      </c>
      <c r="AC4887">
        <v>1.34289999999998</v>
      </c>
      <c r="AD4887">
        <v>-1.1109356156836001</v>
      </c>
      <c r="AE4887">
        <v>-15.31371</v>
      </c>
      <c r="AF4887">
        <v>-1.6195076769252801</v>
      </c>
      <c r="AG4887">
        <v>-1.1109356156836001</v>
      </c>
      <c r="AH4887">
        <v>15.2066148958623</v>
      </c>
      <c r="AI4887">
        <v>94.154967767874894</v>
      </c>
      <c r="AJ4887">
        <v>96.0790980056819</v>
      </c>
      <c r="AK4887">
        <v>15.3329096928429</v>
      </c>
      <c r="AL4887">
        <v>80.788790848373793</v>
      </c>
      <c r="AM4887">
        <v>94.258750096328896</v>
      </c>
      <c r="AN4887">
        <v>0.999999971164512</v>
      </c>
    </row>
    <row r="4888" spans="1:40" x14ac:dyDescent="0.25">
      <c r="A4888" t="str">
        <f>"20190312172510323"</f>
        <v>20190312172510323</v>
      </c>
      <c r="B4888" t="str">
        <f>"1552382710316040"</f>
        <v>1552382710316040</v>
      </c>
      <c r="C4888" t="s">
        <v>40</v>
      </c>
      <c r="D4888">
        <v>3.878682</v>
      </c>
      <c r="E4888">
        <v>0.49251020000000001</v>
      </c>
      <c r="F4888" t="s">
        <v>50</v>
      </c>
      <c r="G4888">
        <v>-421.29849999999999</v>
      </c>
      <c r="H4888" s="1">
        <v>-3.9165889999999998E-7</v>
      </c>
      <c r="I4888">
        <v>39.52073</v>
      </c>
      <c r="J4888">
        <v>-422.70749999999998</v>
      </c>
      <c r="K4888">
        <v>1.1110199999999999</v>
      </c>
      <c r="L4888">
        <v>55.225920000000002</v>
      </c>
      <c r="M4888">
        <v>-1.7783319999999998E-2</v>
      </c>
      <c r="N4888">
        <v>0</v>
      </c>
      <c r="O4888">
        <v>-0.99975179999999997</v>
      </c>
      <c r="P4888">
        <v>5.7367229999999998E-2</v>
      </c>
      <c r="Q4888">
        <v>0.1477348</v>
      </c>
      <c r="R4888">
        <v>-0.98736230000000003</v>
      </c>
      <c r="S4888">
        <v>0.2686462</v>
      </c>
      <c r="T4888">
        <v>-0.21242259999999999</v>
      </c>
      <c r="U4888">
        <v>-3.0542910000000001</v>
      </c>
      <c r="V4888">
        <v>-7.5149709999999995E-2</v>
      </c>
      <c r="W4888">
        <v>0.1608636</v>
      </c>
      <c r="X4888">
        <v>0.98411150000000003</v>
      </c>
      <c r="Y4888">
        <v>-0.1051122</v>
      </c>
      <c r="Z4888">
        <v>6.9039989999999996E-2</v>
      </c>
      <c r="AA4888">
        <v>0.99206099999999997</v>
      </c>
      <c r="AB4888">
        <v>27</v>
      </c>
      <c r="AC4888">
        <v>1.40899999999999</v>
      </c>
      <c r="AD4888">
        <v>-1.1110203916588901</v>
      </c>
      <c r="AE4888">
        <v>-15.705189999999901</v>
      </c>
      <c r="AF4888">
        <v>-1.6797535709994</v>
      </c>
      <c r="AG4888">
        <v>-1.1110203916588901</v>
      </c>
      <c r="AH4888">
        <v>15.600199754305899</v>
      </c>
      <c r="AI4888">
        <v>94.050299399458297</v>
      </c>
      <c r="AJ4888">
        <v>96.145652857229706</v>
      </c>
      <c r="AK4888">
        <v>15.7296589519358</v>
      </c>
      <c r="AL4888">
        <v>80.742973903341607</v>
      </c>
      <c r="AM4888">
        <v>94.366802917057598</v>
      </c>
      <c r="AN4888">
        <v>1.0000000105751401</v>
      </c>
    </row>
    <row r="4889" spans="1:40" x14ac:dyDescent="0.25">
      <c r="A4889" t="str">
        <f>"20190312172510346"</f>
        <v>20190312172510346</v>
      </c>
      <c r="B4889" t="str">
        <f>"1552382710335559"</f>
        <v>1552382710335559</v>
      </c>
      <c r="C4889" t="s">
        <v>40</v>
      </c>
      <c r="D4889">
        <v>3.8476180000000002</v>
      </c>
      <c r="E4889">
        <v>0.4925273</v>
      </c>
      <c r="F4889" t="s">
        <v>50</v>
      </c>
      <c r="G4889">
        <v>-421.25740000000002</v>
      </c>
      <c r="H4889" s="1">
        <v>-5.1976779999999996E-7</v>
      </c>
      <c r="I4889">
        <v>39.156700000000001</v>
      </c>
      <c r="J4889">
        <v>-422.71129999999999</v>
      </c>
      <c r="K4889">
        <v>1.111102</v>
      </c>
      <c r="L4889">
        <v>54.9574</v>
      </c>
      <c r="M4889">
        <v>-1.6840339999999999E-2</v>
      </c>
      <c r="N4889">
        <v>0</v>
      </c>
      <c r="O4889">
        <v>-0.99976810000000005</v>
      </c>
      <c r="P4889">
        <v>5.9800249999999999E-2</v>
      </c>
      <c r="Q4889">
        <v>0.1492011</v>
      </c>
      <c r="R4889">
        <v>-0.98699689999999995</v>
      </c>
      <c r="S4889">
        <v>0.27560420000000002</v>
      </c>
      <c r="T4889">
        <v>-0.21115149999999999</v>
      </c>
      <c r="U4889">
        <v>-3.0539860000000001</v>
      </c>
      <c r="V4889">
        <v>-7.6676980000000006E-2</v>
      </c>
      <c r="W4889">
        <v>0.16230829999999999</v>
      </c>
      <c r="X4889">
        <v>0.98375639999999998</v>
      </c>
      <c r="Y4889">
        <v>-0.1064278</v>
      </c>
      <c r="Z4889">
        <v>6.8625610000000004E-2</v>
      </c>
      <c r="AA4889">
        <v>0.99194939999999998</v>
      </c>
      <c r="AB4889">
        <v>27</v>
      </c>
      <c r="AC4889">
        <v>1.45389999999997</v>
      </c>
      <c r="AD4889">
        <v>-1.1111025197677999</v>
      </c>
      <c r="AE4889">
        <v>-15.800700000000001</v>
      </c>
      <c r="AF4889">
        <v>-1.71141522890919</v>
      </c>
      <c r="AG4889">
        <v>-1.1111025197677999</v>
      </c>
      <c r="AH4889">
        <v>15.69700443754</v>
      </c>
      <c r="AI4889">
        <v>94.025118468802802</v>
      </c>
      <c r="AJ4889">
        <v>96.2222750468719</v>
      </c>
      <c r="AK4889">
        <v>15.8290694359247</v>
      </c>
      <c r="AL4889">
        <v>80.659096310766003</v>
      </c>
      <c r="AM4889">
        <v>94.456797522501802</v>
      </c>
      <c r="AN4889">
        <v>0.99999999902588499</v>
      </c>
    </row>
    <row r="4890" spans="1:40" x14ac:dyDescent="0.25">
      <c r="A4890" t="str">
        <f>"20190312172510368"</f>
        <v>20190312172510368</v>
      </c>
      <c r="B4890" t="str">
        <f>"1552382710356056"</f>
        <v>1552382710356056</v>
      </c>
      <c r="C4890" t="s">
        <v>40</v>
      </c>
      <c r="D4890">
        <v>3.7841830000000001</v>
      </c>
      <c r="E4890">
        <v>0.49264530000000001</v>
      </c>
      <c r="F4890" t="s">
        <v>50</v>
      </c>
      <c r="G4890">
        <v>-421.19380000000001</v>
      </c>
      <c r="H4890" s="1">
        <v>-8.5239689999999996E-7</v>
      </c>
      <c r="I4890">
        <v>38.543570000000003</v>
      </c>
      <c r="J4890">
        <v>-422.71469999999999</v>
      </c>
      <c r="K4890">
        <v>1.1111979999999999</v>
      </c>
      <c r="L4890">
        <v>54.687809999999999</v>
      </c>
      <c r="M4890">
        <v>-1.5788139999999999E-2</v>
      </c>
      <c r="N4890">
        <v>0</v>
      </c>
      <c r="O4890">
        <v>-0.99978529999999999</v>
      </c>
      <c r="P4890">
        <v>6.1534640000000002E-2</v>
      </c>
      <c r="Q4890">
        <v>0.15121270000000001</v>
      </c>
      <c r="R4890">
        <v>-0.98658429999999997</v>
      </c>
      <c r="S4890">
        <v>0.28231810000000002</v>
      </c>
      <c r="T4890">
        <v>-0.20671310000000001</v>
      </c>
      <c r="U4890">
        <v>-3.0536799999999999</v>
      </c>
      <c r="V4890">
        <v>-7.7399309999999999E-2</v>
      </c>
      <c r="W4890">
        <v>0.1643001</v>
      </c>
      <c r="X4890">
        <v>0.9833691</v>
      </c>
      <c r="Y4890">
        <v>-0.10756209999999999</v>
      </c>
      <c r="Z4890">
        <v>6.7187319999999995E-2</v>
      </c>
      <c r="AA4890">
        <v>0.99192550000000002</v>
      </c>
      <c r="AB4890">
        <v>27</v>
      </c>
      <c r="AC4890">
        <v>1.5208999999999799</v>
      </c>
      <c r="AD4890">
        <v>-1.1111988523969001</v>
      </c>
      <c r="AE4890">
        <v>-16.1442399999999</v>
      </c>
      <c r="AF4890">
        <v>-1.76732185853236</v>
      </c>
      <c r="AG4890">
        <v>-1.1111988523969001</v>
      </c>
      <c r="AH4890">
        <v>16.0428786705784</v>
      </c>
      <c r="AI4890">
        <v>93.938473718467193</v>
      </c>
      <c r="AJ4890">
        <v>96.286491359294502</v>
      </c>
      <c r="AK4890">
        <v>16.1781378866702</v>
      </c>
      <c r="AL4890">
        <v>80.543421545138301</v>
      </c>
      <c r="AM4890">
        <v>94.500375427763998</v>
      </c>
      <c r="AN4890">
        <v>0.99999998144164703</v>
      </c>
    </row>
    <row r="4891" spans="1:40" x14ac:dyDescent="0.25">
      <c r="A4891" t="str">
        <f>"20190312172510391"</f>
        <v>20190312172510391</v>
      </c>
      <c r="B4891" t="str">
        <f>"1552382710385336"</f>
        <v>1552382710385336</v>
      </c>
      <c r="C4891" t="s">
        <v>40</v>
      </c>
      <c r="D4891">
        <v>3.8490069999999998</v>
      </c>
      <c r="E4891">
        <v>0.49258109999999999</v>
      </c>
      <c r="F4891" t="s">
        <v>50</v>
      </c>
      <c r="G4891">
        <v>-421.12900000000002</v>
      </c>
      <c r="H4891" s="1">
        <v>-1.267264E-6</v>
      </c>
      <c r="I4891">
        <v>37.876669999999997</v>
      </c>
      <c r="J4891">
        <v>-422.71769999999998</v>
      </c>
      <c r="K4891">
        <v>1.111299</v>
      </c>
      <c r="L4891">
        <v>54.418210000000002</v>
      </c>
      <c r="M4891">
        <v>-1.46178E-2</v>
      </c>
      <c r="N4891">
        <v>0</v>
      </c>
      <c r="O4891">
        <v>-0.99980309999999994</v>
      </c>
      <c r="P4891">
        <v>6.3367409999999999E-2</v>
      </c>
      <c r="Q4891">
        <v>0.1528089</v>
      </c>
      <c r="R4891">
        <v>-0.98622220000000005</v>
      </c>
      <c r="S4891">
        <v>0.28805540000000002</v>
      </c>
      <c r="T4891">
        <v>-0.20185139999999999</v>
      </c>
      <c r="U4891">
        <v>-3.0537719999999999</v>
      </c>
      <c r="V4891">
        <v>-7.8107510000000005E-2</v>
      </c>
      <c r="W4891">
        <v>0.165876</v>
      </c>
      <c r="X4891">
        <v>0.98304849999999999</v>
      </c>
      <c r="Y4891">
        <v>-0.1082529</v>
      </c>
      <c r="Z4891">
        <v>6.5605709999999998E-2</v>
      </c>
      <c r="AA4891">
        <v>0.99195619999999995</v>
      </c>
      <c r="AB4891">
        <v>27</v>
      </c>
      <c r="AC4891">
        <v>1.58869999999996</v>
      </c>
      <c r="AD4891">
        <v>-1.111300267264</v>
      </c>
      <c r="AE4891">
        <v>-16.541539999999902</v>
      </c>
      <c r="AF4891">
        <v>-1.8222036242016399</v>
      </c>
      <c r="AG4891">
        <v>-1.111300267264</v>
      </c>
      <c r="AH4891">
        <v>16.443010120240299</v>
      </c>
      <c r="AI4891">
        <v>93.842998806882903</v>
      </c>
      <c r="AJ4891">
        <v>96.323678160452801</v>
      </c>
      <c r="AK4891">
        <v>16.580952811777699</v>
      </c>
      <c r="AL4891">
        <v>80.451873061637698</v>
      </c>
      <c r="AM4891">
        <v>94.542857048531602</v>
      </c>
      <c r="AN4891">
        <v>0.999999991923325</v>
      </c>
    </row>
    <row r="4892" spans="1:40" x14ac:dyDescent="0.25">
      <c r="A4892" t="str">
        <f>"20190312172510413"</f>
        <v>20190312172510413</v>
      </c>
      <c r="B4892" t="str">
        <f>"1552382710405835"</f>
        <v>1552382710405835</v>
      </c>
      <c r="C4892" t="s">
        <v>40</v>
      </c>
      <c r="D4892">
        <v>3.8627470000000002</v>
      </c>
      <c r="E4892">
        <v>0.49255989999999999</v>
      </c>
      <c r="F4892" t="s">
        <v>50</v>
      </c>
      <c r="G4892">
        <v>-421.06200000000001</v>
      </c>
      <c r="H4892" s="1">
        <v>-1.6663569999999999E-6</v>
      </c>
      <c r="I4892">
        <v>37.234139999999996</v>
      </c>
      <c r="J4892">
        <v>-422.72030000000001</v>
      </c>
      <c r="K4892">
        <v>1.1114029999999999</v>
      </c>
      <c r="L4892">
        <v>54.144620000000003</v>
      </c>
      <c r="M4892">
        <v>-1.329432E-2</v>
      </c>
      <c r="N4892">
        <v>0</v>
      </c>
      <c r="O4892">
        <v>-0.99982170000000004</v>
      </c>
      <c r="P4892">
        <v>6.5897510000000006E-2</v>
      </c>
      <c r="Q4892">
        <v>0.152137299999999</v>
      </c>
      <c r="R4892">
        <v>-0.98616079999999995</v>
      </c>
      <c r="S4892">
        <v>0.29421999999999998</v>
      </c>
      <c r="T4892">
        <v>-0.19747670000000001</v>
      </c>
      <c r="U4892">
        <v>-3.0535890000000001</v>
      </c>
      <c r="V4892">
        <v>-7.9368380000000002E-2</v>
      </c>
      <c r="W4892">
        <v>0.16518429999999901</v>
      </c>
      <c r="X4892">
        <v>0.98306400000000005</v>
      </c>
      <c r="Y4892">
        <v>-0.1089359</v>
      </c>
      <c r="Z4892">
        <v>6.4186939999999998E-2</v>
      </c>
      <c r="AA4892">
        <v>0.99197429999999998</v>
      </c>
      <c r="AB4892">
        <v>27</v>
      </c>
      <c r="AC4892">
        <v>1.6583000000000501</v>
      </c>
      <c r="AD4892">
        <v>-1.1114046663570001</v>
      </c>
      <c r="AE4892">
        <v>-16.9104799999999</v>
      </c>
      <c r="AF4892">
        <v>-1.87496521883294</v>
      </c>
      <c r="AG4892">
        <v>-1.1114046663570001</v>
      </c>
      <c r="AH4892">
        <v>16.814996926391501</v>
      </c>
      <c r="AI4892">
        <v>93.758298802303401</v>
      </c>
      <c r="AJ4892">
        <v>96.362513975331694</v>
      </c>
      <c r="AK4892">
        <v>16.955672694965202</v>
      </c>
      <c r="AL4892">
        <v>80.492059105756098</v>
      </c>
      <c r="AM4892">
        <v>94.615804395060294</v>
      </c>
      <c r="AN4892">
        <v>1.0000000104031499</v>
      </c>
    </row>
    <row r="4893" spans="1:40" x14ac:dyDescent="0.25">
      <c r="A4893" t="str">
        <f>"20190312172510435"</f>
        <v>20190312172510435</v>
      </c>
      <c r="B4893" t="str">
        <f>"1552382710425351"</f>
        <v>1552382710425351</v>
      </c>
      <c r="C4893" t="s">
        <v>40</v>
      </c>
      <c r="D4893">
        <v>3.866155</v>
      </c>
      <c r="E4893">
        <v>0.49255909999999897</v>
      </c>
      <c r="F4893" t="s">
        <v>50</v>
      </c>
      <c r="G4893">
        <v>-421.05160000000001</v>
      </c>
      <c r="H4893" s="1">
        <v>-1.6888339999999999E-6</v>
      </c>
      <c r="I4893">
        <v>37.196489999999997</v>
      </c>
      <c r="J4893">
        <v>-422.72239999999999</v>
      </c>
      <c r="K4893">
        <v>1.1115120000000001</v>
      </c>
      <c r="L4893">
        <v>53.88391</v>
      </c>
      <c r="M4893">
        <v>-1.188693E-2</v>
      </c>
      <c r="N4893">
        <v>0</v>
      </c>
      <c r="O4893">
        <v>-0.99983949999999999</v>
      </c>
      <c r="P4893">
        <v>6.8656640000000005E-2</v>
      </c>
      <c r="Q4893">
        <v>0.15051049999999999</v>
      </c>
      <c r="R4893">
        <v>-0.98622169999999998</v>
      </c>
      <c r="S4893">
        <v>0.30059809999999998</v>
      </c>
      <c r="T4893">
        <v>-0.2001985</v>
      </c>
      <c r="U4893">
        <v>-3.0528870000000001</v>
      </c>
      <c r="V4893">
        <v>-8.0780190000000002E-2</v>
      </c>
      <c r="W4893">
        <v>0.16353619999999999</v>
      </c>
      <c r="X4893">
        <v>0.98322449999999995</v>
      </c>
      <c r="Y4893">
        <v>-0.1096058</v>
      </c>
      <c r="Z4893">
        <v>6.5075480000000005E-2</v>
      </c>
      <c r="AA4893">
        <v>0.99184260000000002</v>
      </c>
      <c r="AB4893">
        <v>27</v>
      </c>
      <c r="AC4893">
        <v>1.6707999999999801</v>
      </c>
      <c r="AD4893">
        <v>-1.111513688834</v>
      </c>
      <c r="AE4893">
        <v>-16.6874199999999</v>
      </c>
      <c r="AF4893">
        <v>-1.8608878588097599</v>
      </c>
      <c r="AG4893">
        <v>-1.111513688834</v>
      </c>
      <c r="AH4893">
        <v>16.5934901594423</v>
      </c>
      <c r="AI4893">
        <v>93.808425736944898</v>
      </c>
      <c r="AJ4893">
        <v>96.398737333807603</v>
      </c>
      <c r="AK4893">
        <v>16.734463898644599</v>
      </c>
      <c r="AL4893">
        <v>80.5877898383863</v>
      </c>
      <c r="AM4893">
        <v>94.696782979012198</v>
      </c>
      <c r="AN4893">
        <v>0.99999997260356199</v>
      </c>
    </row>
    <row r="4894" spans="1:40" x14ac:dyDescent="0.25">
      <c r="A4894" t="str">
        <f>"20190312172510457"</f>
        <v>20190312172510457</v>
      </c>
      <c r="B4894" t="str">
        <f>"1552382710445848"</f>
        <v>1552382710445848</v>
      </c>
      <c r="C4894" t="s">
        <v>40</v>
      </c>
      <c r="D4894">
        <v>3.9070550000000002</v>
      </c>
      <c r="E4894">
        <v>0.49354439999999999</v>
      </c>
      <c r="F4894" t="s">
        <v>50</v>
      </c>
      <c r="G4894">
        <v>-421.06119999999999</v>
      </c>
      <c r="H4894" s="1">
        <v>-1.5695110000000001E-6</v>
      </c>
      <c r="I4894">
        <v>37.386310000000002</v>
      </c>
      <c r="J4894">
        <v>-422.72379999999998</v>
      </c>
      <c r="K4894">
        <v>1.11164</v>
      </c>
      <c r="L4894">
        <v>53.617980000000003</v>
      </c>
      <c r="M4894">
        <v>-1.0281210000000001E-2</v>
      </c>
      <c r="N4894">
        <v>0</v>
      </c>
      <c r="O4894">
        <v>-0.99985690000000005</v>
      </c>
      <c r="P4894">
        <v>7.0913439999999994E-2</v>
      </c>
      <c r="Q4894">
        <v>0.1504315</v>
      </c>
      <c r="R4894">
        <v>-0.98607409999999995</v>
      </c>
      <c r="S4894">
        <v>0.30731199999999997</v>
      </c>
      <c r="T4894">
        <v>-0.20562030000000001</v>
      </c>
      <c r="U4894">
        <v>-3.0519099999999999</v>
      </c>
      <c r="V4894">
        <v>-8.1503149999999996E-2</v>
      </c>
      <c r="W4894">
        <v>0.16343179999999999</v>
      </c>
      <c r="X4894">
        <v>0.98318229999999995</v>
      </c>
      <c r="Y4894">
        <v>-0.1101893</v>
      </c>
      <c r="Z4894">
        <v>6.6843609999999998E-2</v>
      </c>
      <c r="AA4894">
        <v>0.9916604</v>
      </c>
      <c r="AB4894">
        <v>27</v>
      </c>
      <c r="AC4894">
        <v>1.6625999999999901</v>
      </c>
      <c r="AD4894">
        <v>-1.111641569511</v>
      </c>
      <c r="AE4894">
        <v>-16.231670000000001</v>
      </c>
      <c r="AF4894">
        <v>-1.8209561778771901</v>
      </c>
      <c r="AG4894">
        <v>-1.111641569511</v>
      </c>
      <c r="AH4894">
        <v>16.138806527833399</v>
      </c>
      <c r="AI4894">
        <v>93.915544461499096</v>
      </c>
      <c r="AJ4894">
        <v>96.437508655770401</v>
      </c>
      <c r="AK4894">
        <v>16.279210807765001</v>
      </c>
      <c r="AL4894">
        <v>80.593854073236102</v>
      </c>
      <c r="AM4894">
        <v>94.738829755341399</v>
      </c>
      <c r="AN4894">
        <v>1.0000000758722201</v>
      </c>
    </row>
    <row r="4895" spans="1:40" x14ac:dyDescent="0.25">
      <c r="A4895" t="str">
        <f>"20190312172510480"</f>
        <v>20190312172510480</v>
      </c>
      <c r="B4895" t="str">
        <f>"1552382710475497"</f>
        <v>1552382710475497</v>
      </c>
      <c r="C4895" t="s">
        <v>40</v>
      </c>
      <c r="D4895">
        <v>3.8858869999999999</v>
      </c>
      <c r="E4895">
        <v>0.4933979</v>
      </c>
      <c r="F4895" t="s">
        <v>50</v>
      </c>
      <c r="G4895">
        <v>-421.23649999999998</v>
      </c>
      <c r="H4895" s="1">
        <v>-6.3127519999999897E-7</v>
      </c>
      <c r="I4895">
        <v>38.900799999999997</v>
      </c>
      <c r="J4895">
        <v>-422.72469999999998</v>
      </c>
      <c r="K4895">
        <v>1.111788</v>
      </c>
      <c r="L4895">
        <v>53.342529999999996</v>
      </c>
      <c r="M4895">
        <v>-8.4188579999999996E-3</v>
      </c>
      <c r="N4895">
        <v>0</v>
      </c>
      <c r="O4895">
        <v>-0.99987440000000005</v>
      </c>
      <c r="P4895">
        <v>7.3791629999999997E-2</v>
      </c>
      <c r="Q4895">
        <v>0.15080669999999999</v>
      </c>
      <c r="R4895">
        <v>-0.98580579999999995</v>
      </c>
      <c r="S4895">
        <v>0.30877690000000002</v>
      </c>
      <c r="T4895">
        <v>-0.23078199999999999</v>
      </c>
      <c r="U4895">
        <v>-3.0553590000000002</v>
      </c>
      <c r="V4895">
        <v>-8.2602389999999998E-2</v>
      </c>
      <c r="W4895">
        <v>0.16377520000000001</v>
      </c>
      <c r="X4895">
        <v>0.98303339999999995</v>
      </c>
      <c r="Y4895">
        <v>-0.1086394</v>
      </c>
      <c r="Z4895">
        <v>7.4902350000000006E-2</v>
      </c>
      <c r="AA4895">
        <v>0.99125529999999995</v>
      </c>
      <c r="AB4895">
        <v>27</v>
      </c>
      <c r="AC4895">
        <v>1.4882</v>
      </c>
      <c r="AD4895">
        <v>-1.1117886312751999</v>
      </c>
      <c r="AE4895">
        <v>-14.44173</v>
      </c>
      <c r="AF4895">
        <v>-1.6003560672775501</v>
      </c>
      <c r="AG4895">
        <v>-1.1117886312751999</v>
      </c>
      <c r="AH4895">
        <v>14.344566728045001</v>
      </c>
      <c r="AI4895">
        <v>94.404682219082204</v>
      </c>
      <c r="AJ4895">
        <v>96.365896912165397</v>
      </c>
      <c r="AK4895">
        <v>14.476318873181899</v>
      </c>
      <c r="AL4895">
        <v>80.573909908196697</v>
      </c>
      <c r="AM4895">
        <v>94.803169829065894</v>
      </c>
      <c r="AN4895">
        <v>1.0000000682421499</v>
      </c>
    </row>
    <row r="4896" spans="1:40" x14ac:dyDescent="0.25">
      <c r="A4896" t="str">
        <f>"20190312172510503"</f>
        <v>20190312172510503</v>
      </c>
      <c r="B4896" t="str">
        <f>"1552382710495994"</f>
        <v>1552382710495994</v>
      </c>
      <c r="C4896" t="s">
        <v>40</v>
      </c>
      <c r="D4896">
        <v>3.886698</v>
      </c>
      <c r="E4896">
        <v>0.49340430000000002</v>
      </c>
      <c r="F4896" t="s">
        <v>50</v>
      </c>
      <c r="G4896">
        <v>-421.1755</v>
      </c>
      <c r="H4896" s="1">
        <v>-8.6253389999999899E-7</v>
      </c>
      <c r="I4896">
        <v>38.523609999999998</v>
      </c>
      <c r="J4896">
        <v>-422.72480000000002</v>
      </c>
      <c r="K4896">
        <v>1.1119460000000001</v>
      </c>
      <c r="L4896">
        <v>53.067169999999997</v>
      </c>
      <c r="M4896">
        <v>-6.3280139999999999E-3</v>
      </c>
      <c r="N4896">
        <v>0</v>
      </c>
      <c r="O4896">
        <v>-0.99988969999999999</v>
      </c>
      <c r="P4896">
        <v>7.790039E-2</v>
      </c>
      <c r="Q4896">
        <v>0.14983859999999999</v>
      </c>
      <c r="R4896">
        <v>-0.98563699999999999</v>
      </c>
      <c r="S4896">
        <v>0.31930540000000002</v>
      </c>
      <c r="T4896">
        <v>-0.22915269999999999</v>
      </c>
      <c r="U4896">
        <v>-3.0543520000000002</v>
      </c>
      <c r="V4896">
        <v>-8.4707069999999995E-2</v>
      </c>
      <c r="W4896">
        <v>0.16277220000000001</v>
      </c>
      <c r="X4896">
        <v>0.98302080000000003</v>
      </c>
      <c r="Y4896">
        <v>-0.1099786</v>
      </c>
      <c r="Z4896">
        <v>7.4383969999999994E-2</v>
      </c>
      <c r="AA4896">
        <v>0.99114669999999905</v>
      </c>
      <c r="AB4896">
        <v>27</v>
      </c>
      <c r="AC4896">
        <v>1.5493000000000099</v>
      </c>
      <c r="AD4896">
        <v>-1.11194686253389</v>
      </c>
      <c r="AE4896">
        <v>-14.543559999999999</v>
      </c>
      <c r="AF4896">
        <v>-1.63187692842515</v>
      </c>
      <c r="AG4896">
        <v>-1.11194686253389</v>
      </c>
      <c r="AH4896">
        <v>14.4499435808559</v>
      </c>
      <c r="AI4896">
        <v>94.372645355993996</v>
      </c>
      <c r="AJ4896">
        <v>96.4432902343368</v>
      </c>
      <c r="AK4896">
        <v>14.584248956478501</v>
      </c>
      <c r="AL4896">
        <v>80.632158445655506</v>
      </c>
      <c r="AM4896">
        <v>94.925021219364794</v>
      </c>
      <c r="AN4896">
        <v>0.99999998501673204</v>
      </c>
    </row>
    <row r="4897" spans="1:40" x14ac:dyDescent="0.25">
      <c r="A4897" t="str">
        <f>"20190312172510524"</f>
        <v>20190312172510524</v>
      </c>
      <c r="B4897" t="str">
        <f>"1552382710515513"</f>
        <v>1552382710515513</v>
      </c>
      <c r="C4897" t="s">
        <v>40</v>
      </c>
      <c r="D4897">
        <v>3.8563399999999999</v>
      </c>
      <c r="E4897">
        <v>0.49365589999999998</v>
      </c>
      <c r="F4897" t="s">
        <v>50</v>
      </c>
      <c r="G4897">
        <v>-421.14949999999999</v>
      </c>
      <c r="H4897" s="1">
        <v>-8.718867E-7</v>
      </c>
      <c r="I4897">
        <v>38.503189999999996</v>
      </c>
      <c r="J4897">
        <v>-422.72399999999999</v>
      </c>
      <c r="K4897">
        <v>1.1121110000000001</v>
      </c>
      <c r="L4897">
        <v>52.802309999999999</v>
      </c>
      <c r="M4897">
        <v>-4.1017429999999997E-3</v>
      </c>
      <c r="N4897">
        <v>0</v>
      </c>
      <c r="O4897">
        <v>-0.9999015</v>
      </c>
      <c r="P4897">
        <v>8.2499970000000006E-2</v>
      </c>
      <c r="Q4897">
        <v>0.14873800000000001</v>
      </c>
      <c r="R4897">
        <v>-0.98542980000000002</v>
      </c>
      <c r="S4897">
        <v>0.33023069999999999</v>
      </c>
      <c r="T4897">
        <v>-0.23309930000000001</v>
      </c>
      <c r="U4897">
        <v>-3.05307</v>
      </c>
      <c r="V4897">
        <v>-8.7165909999999999E-2</v>
      </c>
      <c r="W4897">
        <v>0.16163540000000001</v>
      </c>
      <c r="X4897">
        <v>0.98299340000000002</v>
      </c>
      <c r="Y4897">
        <v>-0.1113053</v>
      </c>
      <c r="Z4897">
        <v>7.5670699999999994E-2</v>
      </c>
      <c r="AA4897">
        <v>0.99090109999999998</v>
      </c>
      <c r="AB4897">
        <v>27</v>
      </c>
      <c r="AC4897">
        <v>1.5745</v>
      </c>
      <c r="AD4897">
        <v>-1.1121118718867</v>
      </c>
      <c r="AE4897">
        <v>-14.299119999999901</v>
      </c>
      <c r="AF4897">
        <v>-1.62344091484746</v>
      </c>
      <c r="AG4897">
        <v>-1.1121118718867</v>
      </c>
      <c r="AH4897">
        <v>14.207629518750201</v>
      </c>
      <c r="AI4897">
        <v>94.446920493066401</v>
      </c>
      <c r="AJ4897">
        <v>96.518654603235504</v>
      </c>
      <c r="AK4897">
        <v>14.343259384172599</v>
      </c>
      <c r="AL4897">
        <v>80.698166196446905</v>
      </c>
      <c r="AM4897">
        <v>95.067389217707202</v>
      </c>
      <c r="AN4897">
        <v>0.999999961421423</v>
      </c>
    </row>
    <row r="4898" spans="1:40" x14ac:dyDescent="0.25">
      <c r="A4898" t="str">
        <f>"20190312172510546"</f>
        <v>20190312172510546</v>
      </c>
      <c r="B4898" t="str">
        <f>"1552382710536009"</f>
        <v>1552382710536009</v>
      </c>
      <c r="C4898" t="s">
        <v>40</v>
      </c>
      <c r="D4898">
        <v>3.9473020000000001</v>
      </c>
      <c r="E4898">
        <v>0.49360809999999999</v>
      </c>
      <c r="F4898" t="s">
        <v>50</v>
      </c>
      <c r="G4898">
        <v>-421.12169999999998</v>
      </c>
      <c r="H4898" s="1">
        <v>-9.0362079999999998E-7</v>
      </c>
      <c r="I4898">
        <v>38.447189999999999</v>
      </c>
      <c r="J4898">
        <v>-422.7226</v>
      </c>
      <c r="K4898">
        <v>1.1122540000000001</v>
      </c>
      <c r="L4898">
        <v>52.540860000000002</v>
      </c>
      <c r="M4898">
        <v>-1.7425590000000001E-3</v>
      </c>
      <c r="N4898">
        <v>0</v>
      </c>
      <c r="O4898">
        <v>-0.99990829999999997</v>
      </c>
      <c r="P4898">
        <v>8.7603410000000007E-2</v>
      </c>
      <c r="Q4898">
        <v>0.15014330000000001</v>
      </c>
      <c r="R4898">
        <v>-0.98477599999999998</v>
      </c>
      <c r="S4898">
        <v>0.34060669999999998</v>
      </c>
      <c r="T4898">
        <v>-0.23640530000000001</v>
      </c>
      <c r="U4898">
        <v>-3.0515140000000001</v>
      </c>
      <c r="V4898">
        <v>-8.9998679999999998E-2</v>
      </c>
      <c r="W4898">
        <v>0.1629999</v>
      </c>
      <c r="X4898">
        <v>0.98251270000000002</v>
      </c>
      <c r="Y4898">
        <v>-0.1123345</v>
      </c>
      <c r="Z4898">
        <v>7.6758469999999995E-2</v>
      </c>
      <c r="AA4898">
        <v>0.99070130000000001</v>
      </c>
      <c r="AB4898">
        <v>27</v>
      </c>
      <c r="AC4898">
        <v>1.60090000000002</v>
      </c>
      <c r="AD4898">
        <v>-1.1122549036208</v>
      </c>
      <c r="AE4898">
        <v>-14.0936699999999</v>
      </c>
      <c r="AF4898">
        <v>-1.6155252396465201</v>
      </c>
      <c r="AG4898">
        <v>-1.1122549036208</v>
      </c>
      <c r="AH4898">
        <v>14.004745832824099</v>
      </c>
      <c r="AI4898">
        <v>94.5111008429121</v>
      </c>
      <c r="AJ4898">
        <v>96.580301535053295</v>
      </c>
      <c r="AK4898">
        <v>14.141426328789001</v>
      </c>
      <c r="AL4898">
        <v>80.618935440275195</v>
      </c>
      <c r="AM4898">
        <v>95.233718033799605</v>
      </c>
      <c r="AN4898">
        <v>0.99999996773152</v>
      </c>
    </row>
    <row r="4899" spans="1:40" x14ac:dyDescent="0.25">
      <c r="A4899" t="str">
        <f>"20190312172510568"</f>
        <v>20190312172510568</v>
      </c>
      <c r="B4899" t="str">
        <f>"1552382710565290"</f>
        <v>1552382710565290</v>
      </c>
      <c r="C4899" t="s">
        <v>40</v>
      </c>
      <c r="D4899">
        <v>3.8691939999999998</v>
      </c>
      <c r="E4899">
        <v>0.49427559999999898</v>
      </c>
      <c r="F4899" t="s">
        <v>50</v>
      </c>
      <c r="G4899">
        <v>-421.03109999999998</v>
      </c>
      <c r="H4899" s="1">
        <v>-1.165266E-6</v>
      </c>
      <c r="I4899">
        <v>38.015709999999999</v>
      </c>
      <c r="J4899">
        <v>-422.72030000000001</v>
      </c>
      <c r="K4899">
        <v>1.112374</v>
      </c>
      <c r="L4899">
        <v>52.279879999999999</v>
      </c>
      <c r="M4899">
        <v>7.5834669999999896E-4</v>
      </c>
      <c r="N4899">
        <v>0</v>
      </c>
      <c r="O4899">
        <v>-0.99990939999999995</v>
      </c>
      <c r="P4899">
        <v>9.2496480000000006E-2</v>
      </c>
      <c r="Q4899">
        <v>0.15291540000000001</v>
      </c>
      <c r="R4899">
        <v>-0.98390140000000004</v>
      </c>
      <c r="S4899">
        <v>0.355224599999999</v>
      </c>
      <c r="T4899">
        <v>-0.23358139999999999</v>
      </c>
      <c r="U4899">
        <v>-3.0503849999999999</v>
      </c>
      <c r="V4899">
        <v>-9.2483709999999997E-2</v>
      </c>
      <c r="W4899">
        <v>0.1657322</v>
      </c>
      <c r="X4899">
        <v>0.98182460000000005</v>
      </c>
      <c r="Y4899">
        <v>-0.114584199999999</v>
      </c>
      <c r="Z4899">
        <v>7.584465E-2</v>
      </c>
      <c r="AA4899">
        <v>0.99051400000000001</v>
      </c>
      <c r="AB4899">
        <v>27</v>
      </c>
      <c r="AC4899">
        <v>1.68920000000002</v>
      </c>
      <c r="AD4899">
        <v>-1.1123751652660001</v>
      </c>
      <c r="AE4899">
        <v>-14.26417</v>
      </c>
      <c r="AF4899">
        <v>-1.6683754739838901</v>
      </c>
      <c r="AG4899">
        <v>-1.1123751652660001</v>
      </c>
      <c r="AH4899">
        <v>14.180401794914101</v>
      </c>
      <c r="AI4899">
        <v>94.454754847846303</v>
      </c>
      <c r="AJ4899">
        <v>96.710207084018407</v>
      </c>
      <c r="AK4899">
        <v>14.321475143842299</v>
      </c>
      <c r="AL4899">
        <v>80.460227643327798</v>
      </c>
      <c r="AM4899">
        <v>95.381141387160199</v>
      </c>
      <c r="AN4899">
        <v>0.99999997194868095</v>
      </c>
    </row>
    <row r="4900" spans="1:40" x14ac:dyDescent="0.25">
      <c r="A4900" t="str">
        <f>"20190312172510591"</f>
        <v>20190312172510591</v>
      </c>
      <c r="B4900" t="str">
        <f>"1552382710585789"</f>
        <v>1552382710585789</v>
      </c>
      <c r="C4900" t="s">
        <v>40</v>
      </c>
      <c r="D4900">
        <v>3.9112969999999998</v>
      </c>
      <c r="E4900">
        <v>0.49444510000000003</v>
      </c>
      <c r="F4900" t="s">
        <v>50</v>
      </c>
      <c r="G4900">
        <v>-420.92399999999998</v>
      </c>
      <c r="H4900" s="1">
        <v>-1.626989E-6</v>
      </c>
      <c r="I4900">
        <v>37.265830000000001</v>
      </c>
      <c r="J4900">
        <v>-422.71710000000002</v>
      </c>
      <c r="K4900">
        <v>1.1124889999999901</v>
      </c>
      <c r="L4900">
        <v>52.00217</v>
      </c>
      <c r="M4900">
        <v>3.5678279999999999E-3</v>
      </c>
      <c r="N4900">
        <v>0</v>
      </c>
      <c r="O4900">
        <v>-0.99990319999999999</v>
      </c>
      <c r="P4900">
        <v>9.8024349999999996E-2</v>
      </c>
      <c r="Q4900">
        <v>0.15494249999999901</v>
      </c>
      <c r="R4900">
        <v>-0.9830487</v>
      </c>
      <c r="S4900">
        <v>0.36489870000000002</v>
      </c>
      <c r="T4900">
        <v>-0.22596379999999999</v>
      </c>
      <c r="U4900">
        <v>-3.0498959999999999</v>
      </c>
      <c r="V4900">
        <v>-9.5298709999999995E-2</v>
      </c>
      <c r="W4900">
        <v>0.1677196</v>
      </c>
      <c r="X4900">
        <v>0.98121769999999997</v>
      </c>
      <c r="Y4900">
        <v>-0.1149319</v>
      </c>
      <c r="Z4900">
        <v>7.3380790000000001E-2</v>
      </c>
      <c r="AA4900">
        <v>0.99065939999999997</v>
      </c>
      <c r="AB4900">
        <v>27</v>
      </c>
      <c r="AC4900">
        <v>1.7930999999999799</v>
      </c>
      <c r="AD4900">
        <v>-1.11249062698899</v>
      </c>
      <c r="AE4900">
        <v>-14.736339999999901</v>
      </c>
      <c r="AF4900">
        <v>-1.7307869271843399</v>
      </c>
      <c r="AG4900">
        <v>-1.11249062698899</v>
      </c>
      <c r="AH4900">
        <v>14.6603112798983</v>
      </c>
      <c r="AI4900">
        <v>94.309728901114497</v>
      </c>
      <c r="AJ4900">
        <v>96.733136155264006</v>
      </c>
      <c r="AK4900">
        <v>14.803985463582601</v>
      </c>
      <c r="AL4900">
        <v>80.344741264808903</v>
      </c>
      <c r="AM4900">
        <v>95.547333604709095</v>
      </c>
      <c r="AN4900">
        <v>0.99999994157255501</v>
      </c>
    </row>
    <row r="4901" spans="1:40" x14ac:dyDescent="0.25">
      <c r="A4901" t="str">
        <f>"20190312172510614"</f>
        <v>20190312172510614</v>
      </c>
      <c r="B4901" t="str">
        <f>"1552382710605308"</f>
        <v>1552382710605308</v>
      </c>
      <c r="C4901" t="s">
        <v>40</v>
      </c>
      <c r="D4901">
        <v>3.9099460000000001</v>
      </c>
      <c r="E4901">
        <v>0.494286</v>
      </c>
      <c r="F4901" t="s">
        <v>50</v>
      </c>
      <c r="G4901">
        <v>-420.79309999999998</v>
      </c>
      <c r="H4901" s="1">
        <v>-2.0377969999999999E-6</v>
      </c>
      <c r="I4901">
        <v>36.590850000000003</v>
      </c>
      <c r="J4901">
        <v>-422.7131</v>
      </c>
      <c r="K4901">
        <v>1.1125769999999999</v>
      </c>
      <c r="L4901">
        <v>51.735840000000003</v>
      </c>
      <c r="M4901">
        <v>6.3873760000000002E-3</v>
      </c>
      <c r="N4901">
        <v>0</v>
      </c>
      <c r="O4901">
        <v>-0.99988909999999998</v>
      </c>
      <c r="P4901">
        <v>0.1035674</v>
      </c>
      <c r="Q4901">
        <v>0.15520929999999999</v>
      </c>
      <c r="R4901">
        <v>-0.98243800000000003</v>
      </c>
      <c r="S4901">
        <v>0.3805847</v>
      </c>
      <c r="T4901">
        <v>-0.22005830000000001</v>
      </c>
      <c r="U4901">
        <v>-3.0484619999999998</v>
      </c>
      <c r="V4901">
        <v>-9.8109169999999996E-2</v>
      </c>
      <c r="W4901">
        <v>0.16795079999999901</v>
      </c>
      <c r="X4901">
        <v>0.98090120000000003</v>
      </c>
      <c r="Y4901">
        <v>-0.1172251</v>
      </c>
      <c r="Z4901">
        <v>7.1472969999999997E-2</v>
      </c>
      <c r="AA4901">
        <v>0.99053009999999997</v>
      </c>
      <c r="AB4901">
        <v>27</v>
      </c>
      <c r="AC4901">
        <v>1.9200000000000099</v>
      </c>
      <c r="AD4901">
        <v>-1.112579037797</v>
      </c>
      <c r="AE4901">
        <v>-15.14499</v>
      </c>
      <c r="AF4901">
        <v>-1.8135828746806499</v>
      </c>
      <c r="AG4901">
        <v>-1.112579037797</v>
      </c>
      <c r="AH4901">
        <v>15.0768683650991</v>
      </c>
      <c r="AI4901">
        <v>94.190323937301301</v>
      </c>
      <c r="AJ4901">
        <v>96.859101731039502</v>
      </c>
      <c r="AK4901">
        <v>15.2262560945627</v>
      </c>
      <c r="AL4901">
        <v>80.331304659345605</v>
      </c>
      <c r="AM4901">
        <v>95.711694854719795</v>
      </c>
      <c r="AN4901">
        <v>1.00000002231008</v>
      </c>
    </row>
    <row r="4902" spans="1:40" x14ac:dyDescent="0.25">
      <c r="A4902" t="str">
        <f>"20190312172510635"</f>
        <v>20190312172510635</v>
      </c>
      <c r="B4902" t="str">
        <f>"1552382710625801"</f>
        <v>1552382710625801</v>
      </c>
      <c r="C4902" t="s">
        <v>40</v>
      </c>
      <c r="D4902">
        <v>4.001563</v>
      </c>
      <c r="E4902">
        <v>0.46879179999999998</v>
      </c>
      <c r="F4902" t="s">
        <v>50</v>
      </c>
      <c r="G4902">
        <v>-420.68579999999997</v>
      </c>
      <c r="H4902" s="1">
        <v>-2.246484E-6</v>
      </c>
      <c r="I4902">
        <v>36.239049999999999</v>
      </c>
      <c r="J4902">
        <v>-422.70830000000001</v>
      </c>
      <c r="K4902">
        <v>1.1126579999999999</v>
      </c>
      <c r="L4902">
        <v>51.475709999999999</v>
      </c>
      <c r="M4902">
        <v>9.2473699999999995E-3</v>
      </c>
      <c r="N4902">
        <v>0</v>
      </c>
      <c r="O4902">
        <v>-0.9998669</v>
      </c>
      <c r="P4902">
        <v>0.1096845</v>
      </c>
      <c r="Q4902">
        <v>0.15344949999999999</v>
      </c>
      <c r="R4902">
        <v>-0.9820506</v>
      </c>
      <c r="S4902">
        <v>0.39849849999999998</v>
      </c>
      <c r="T4902">
        <v>-0.21869739999999999</v>
      </c>
      <c r="U4902">
        <v>-3.046173</v>
      </c>
      <c r="V4902">
        <v>-0.101442</v>
      </c>
      <c r="W4902">
        <v>0.16615769999999999</v>
      </c>
      <c r="X4902">
        <v>0.98086759999999995</v>
      </c>
      <c r="Y4902">
        <v>-0.1202109</v>
      </c>
      <c r="Z4902">
        <v>7.1044540000000003E-2</v>
      </c>
      <c r="AA4902">
        <v>0.99020300000000006</v>
      </c>
      <c r="AB4902">
        <v>27</v>
      </c>
      <c r="AC4902">
        <v>2.0225000000000302</v>
      </c>
      <c r="AD4902">
        <v>-1.1126602464840001</v>
      </c>
      <c r="AE4902">
        <v>-15.236660000000001</v>
      </c>
      <c r="AF4902">
        <v>-1.87169342006081</v>
      </c>
      <c r="AG4902">
        <v>-1.1126602464840001</v>
      </c>
      <c r="AH4902">
        <v>15.1751896214613</v>
      </c>
      <c r="AI4902">
        <v>94.162054460860304</v>
      </c>
      <c r="AJ4902">
        <v>97.031295740956395</v>
      </c>
      <c r="AK4902">
        <v>15.330610853130199</v>
      </c>
      <c r="AL4902">
        <v>80.435506315120406</v>
      </c>
      <c r="AM4902">
        <v>95.904577060516601</v>
      </c>
      <c r="AN4902">
        <v>1.00000005468152</v>
      </c>
    </row>
    <row r="4903" spans="1:40" x14ac:dyDescent="0.25">
      <c r="A4903" t="str">
        <f>"20190312172510658"</f>
        <v>20190312172510658</v>
      </c>
      <c r="B4903" t="str">
        <f>"1552382710656058"</f>
        <v>1552382710656058</v>
      </c>
      <c r="C4903" t="s">
        <v>40</v>
      </c>
      <c r="D4903">
        <v>3.9714670000000001</v>
      </c>
      <c r="E4903">
        <v>0.46598499999999998</v>
      </c>
      <c r="F4903" t="s">
        <v>50</v>
      </c>
      <c r="G4903">
        <v>-419.8143</v>
      </c>
      <c r="H4903" s="1">
        <v>-1.4756380000000001E-6</v>
      </c>
      <c r="I4903">
        <v>37.352339999999998</v>
      </c>
      <c r="J4903">
        <v>-422.70249999999999</v>
      </c>
      <c r="K4903">
        <v>1.112744</v>
      </c>
      <c r="L4903">
        <v>51.204529999999998</v>
      </c>
      <c r="M4903">
        <v>1.2328530000000001E-2</v>
      </c>
      <c r="N4903">
        <v>0</v>
      </c>
      <c r="O4903">
        <v>-0.99983350000000004</v>
      </c>
      <c r="P4903">
        <v>0.11580260000000001</v>
      </c>
      <c r="Q4903">
        <v>0.15189549999999999</v>
      </c>
      <c r="R4903">
        <v>-0.98158979999999996</v>
      </c>
      <c r="S4903">
        <v>0.6194153</v>
      </c>
      <c r="T4903">
        <v>-0.2381452</v>
      </c>
      <c r="U4903">
        <v>-3.0228579999999998</v>
      </c>
      <c r="V4903">
        <v>-0.1045599</v>
      </c>
      <c r="W4903">
        <v>0.16456960000000001</v>
      </c>
      <c r="X4903">
        <v>0.98080780000000001</v>
      </c>
      <c r="Y4903">
        <v>-0.1880493</v>
      </c>
      <c r="Z4903">
        <v>7.7033359999999995E-2</v>
      </c>
      <c r="AA4903">
        <v>0.97913399999999995</v>
      </c>
      <c r="AB4903">
        <v>27</v>
      </c>
      <c r="AC4903">
        <v>2.8881999999999799</v>
      </c>
      <c r="AD4903">
        <v>-1.112745475638</v>
      </c>
      <c r="AE4903">
        <v>-13.852189999999901</v>
      </c>
      <c r="AF4903">
        <v>-2.7004878858684802</v>
      </c>
      <c r="AG4903">
        <v>-1.112745475638</v>
      </c>
      <c r="AH4903">
        <v>13.8013988648273</v>
      </c>
      <c r="AI4903">
        <v>94.524108416823495</v>
      </c>
      <c r="AJ4903">
        <v>101.071059010235</v>
      </c>
      <c r="AK4903">
        <v>14.1070708490931</v>
      </c>
      <c r="AL4903">
        <v>80.527766784219097</v>
      </c>
      <c r="AM4903">
        <v>96.085085727974501</v>
      </c>
      <c r="AN4903">
        <v>0.99999993323650205</v>
      </c>
    </row>
    <row r="4904" spans="1:40" x14ac:dyDescent="0.25">
      <c r="A4904" t="str">
        <f>"20190312172510681"</f>
        <v>20190312172510681</v>
      </c>
      <c r="B4904" t="str">
        <f>"1552382710675577"</f>
        <v>1552382710675577</v>
      </c>
      <c r="C4904" t="s">
        <v>40</v>
      </c>
      <c r="D4904">
        <v>3.9530729999999998</v>
      </c>
      <c r="E4904">
        <v>0.46472289999999999</v>
      </c>
      <c r="F4904" t="s">
        <v>50</v>
      </c>
      <c r="G4904">
        <v>-419.73390000000001</v>
      </c>
      <c r="H4904" s="1">
        <v>-1.31491899999999E-6</v>
      </c>
      <c r="I4904">
        <v>37.63888</v>
      </c>
      <c r="J4904">
        <v>-422.69580000000002</v>
      </c>
      <c r="K4904">
        <v>1.1128260000000001</v>
      </c>
      <c r="L4904">
        <v>50.93741</v>
      </c>
      <c r="M4904">
        <v>1.54571E-2</v>
      </c>
      <c r="N4904">
        <v>0</v>
      </c>
      <c r="O4904">
        <v>-0.99978990000000001</v>
      </c>
      <c r="P4904">
        <v>0.12176819999999999</v>
      </c>
      <c r="Q4904">
        <v>0.1503775</v>
      </c>
      <c r="R4904">
        <v>-0.98110129999999995</v>
      </c>
      <c r="S4904">
        <v>0.66015630000000003</v>
      </c>
      <c r="T4904">
        <v>-0.24744679999999999</v>
      </c>
      <c r="U4904">
        <v>-3.0166629999999999</v>
      </c>
      <c r="V4904">
        <v>-0.1074769</v>
      </c>
      <c r="W4904">
        <v>0.16301959999999999</v>
      </c>
      <c r="X4904">
        <v>0.98075140000000005</v>
      </c>
      <c r="Y4904">
        <v>-0.19796639999999999</v>
      </c>
      <c r="Z4904">
        <v>7.9988509999999999E-2</v>
      </c>
      <c r="AA4904">
        <v>0.97693969999999997</v>
      </c>
      <c r="AB4904">
        <v>27</v>
      </c>
      <c r="AC4904">
        <v>2.9619000000000102</v>
      </c>
      <c r="AD4904">
        <v>-1.112827314919</v>
      </c>
      <c r="AE4904">
        <v>-13.29853</v>
      </c>
      <c r="AF4904">
        <v>-2.7377062011739399</v>
      </c>
      <c r="AG4904">
        <v>-1.112827314919</v>
      </c>
      <c r="AH4904">
        <v>13.2543017233964</v>
      </c>
      <c r="AI4904">
        <v>94.700515950121996</v>
      </c>
      <c r="AJ4904">
        <v>101.670452108164</v>
      </c>
      <c r="AK4904">
        <v>13.579761929121</v>
      </c>
      <c r="AL4904">
        <v>80.617791634590603</v>
      </c>
      <c r="AM4904">
        <v>96.253876564654803</v>
      </c>
      <c r="AN4904">
        <v>0.99999999130986506</v>
      </c>
    </row>
    <row r="4905" spans="1:40" x14ac:dyDescent="0.25">
      <c r="A4905" t="str">
        <f>"20190312172510704"</f>
        <v>20190312172510704</v>
      </c>
      <c r="B4905" t="str">
        <f>"1552382710695097"</f>
        <v>1552382710695097</v>
      </c>
      <c r="C4905" t="s">
        <v>40</v>
      </c>
      <c r="D4905">
        <v>3.6777869999999999</v>
      </c>
      <c r="E4905">
        <v>0.46368720000000002</v>
      </c>
      <c r="F4905" t="s">
        <v>50</v>
      </c>
      <c r="G4905">
        <v>-419.6721</v>
      </c>
      <c r="H4905" s="1">
        <v>-1.2838089999999999E-6</v>
      </c>
      <c r="I4905">
        <v>37.713679999999997</v>
      </c>
      <c r="J4905">
        <v>-422.68790000000001</v>
      </c>
      <c r="K4905">
        <v>1.1128979999999999</v>
      </c>
      <c r="L4905">
        <v>50.662289999999999</v>
      </c>
      <c r="M4905">
        <v>1.8781949999999999E-2</v>
      </c>
      <c r="N4905">
        <v>0</v>
      </c>
      <c r="O4905">
        <v>-0.99973270000000003</v>
      </c>
      <c r="P4905">
        <v>0.12721569999999999</v>
      </c>
      <c r="Q4905">
        <v>0.14985290000000001</v>
      </c>
      <c r="R4905">
        <v>-0.98048959999999996</v>
      </c>
      <c r="S4905">
        <v>0.68853759999999997</v>
      </c>
      <c r="T4905">
        <v>-0.2534015</v>
      </c>
      <c r="U4905">
        <v>-3.0111690000000002</v>
      </c>
      <c r="V4905">
        <v>-0.10968990000000001</v>
      </c>
      <c r="W4905">
        <v>0.16246640000000001</v>
      </c>
      <c r="X4905">
        <v>0.98059819999999998</v>
      </c>
      <c r="Y4905">
        <v>-0.20380909999999999</v>
      </c>
      <c r="Z4905">
        <v>8.1905900000000004E-2</v>
      </c>
      <c r="AA4905">
        <v>0.97557839999999996</v>
      </c>
      <c r="AB4905">
        <v>27</v>
      </c>
      <c r="AC4905">
        <v>3.0158000000000098</v>
      </c>
      <c r="AD4905">
        <v>-1.1128992838089999</v>
      </c>
      <c r="AE4905">
        <v>-12.94861</v>
      </c>
      <c r="AF4905">
        <v>-2.7527574679545701</v>
      </c>
      <c r="AG4905">
        <v>-1.1128992838089999</v>
      </c>
      <c r="AH4905">
        <v>12.9124970901641</v>
      </c>
      <c r="AI4905">
        <v>94.818274820465206</v>
      </c>
      <c r="AJ4905">
        <v>102.034474737753</v>
      </c>
      <c r="AK4905">
        <v>13.249482993565399</v>
      </c>
      <c r="AL4905">
        <v>80.649916173457697</v>
      </c>
      <c r="AM4905">
        <v>96.382583852834003</v>
      </c>
      <c r="AN4905">
        <v>1.0000000175671</v>
      </c>
    </row>
    <row r="4906" spans="1:40" x14ac:dyDescent="0.25">
      <c r="A4906" t="str">
        <f>"20190312172510725"</f>
        <v>20190312172510725</v>
      </c>
      <c r="B4906" t="str">
        <f>"1552382710715593"</f>
        <v>1552382710715593</v>
      </c>
      <c r="C4906" t="s">
        <v>40</v>
      </c>
      <c r="D4906">
        <v>3.829313</v>
      </c>
      <c r="E4906">
        <v>0.46353640000000002</v>
      </c>
      <c r="F4906" t="s">
        <v>50</v>
      </c>
      <c r="G4906">
        <v>-419.64080000000001</v>
      </c>
      <c r="H4906" s="1">
        <v>-1.221046E-6</v>
      </c>
      <c r="I4906">
        <v>37.825530000000001</v>
      </c>
      <c r="J4906">
        <v>-422.67970000000003</v>
      </c>
      <c r="K4906">
        <v>1.1129610000000001</v>
      </c>
      <c r="L4906">
        <v>50.408290000000001</v>
      </c>
      <c r="M4906">
        <v>2.193231E-2</v>
      </c>
      <c r="N4906">
        <v>0</v>
      </c>
      <c r="O4906">
        <v>-0.99966880000000002</v>
      </c>
      <c r="P4906">
        <v>0.1325993</v>
      </c>
      <c r="Q4906">
        <v>0.14953649999999999</v>
      </c>
      <c r="R4906">
        <v>-0.9798249</v>
      </c>
      <c r="S4906">
        <v>0.71377559999999995</v>
      </c>
      <c r="T4906">
        <v>-0.26068910000000001</v>
      </c>
      <c r="U4906">
        <v>-3.0069270000000001</v>
      </c>
      <c r="V4906">
        <v>-0.1120092</v>
      </c>
      <c r="W4906">
        <v>0.16212199999999999</v>
      </c>
      <c r="X4906">
        <v>0.98039299999999996</v>
      </c>
      <c r="Y4906">
        <v>-0.20874229999999999</v>
      </c>
      <c r="Z4906">
        <v>8.4228490000000003E-2</v>
      </c>
      <c r="AA4906">
        <v>0.9743368</v>
      </c>
      <c r="AB4906">
        <v>27</v>
      </c>
      <c r="AC4906">
        <v>3.0389000000000101</v>
      </c>
      <c r="AD4906">
        <v>-1.112962221046</v>
      </c>
      <c r="AE4906">
        <v>-12.58276</v>
      </c>
      <c r="AF4906">
        <v>-2.7419054714551501</v>
      </c>
      <c r="AG4906">
        <v>-1.112962221046</v>
      </c>
      <c r="AH4906">
        <v>12.553587115655599</v>
      </c>
      <c r="AI4906">
        <v>94.950317455722399</v>
      </c>
      <c r="AJ4906">
        <v>102.320828297849</v>
      </c>
      <c r="AK4906">
        <v>12.897646296523501</v>
      </c>
      <c r="AL4906">
        <v>80.669913976578599</v>
      </c>
      <c r="AM4906">
        <v>96.517741451521303</v>
      </c>
      <c r="AN4906">
        <v>1.0000000191088101</v>
      </c>
    </row>
    <row r="4907" spans="1:40" x14ac:dyDescent="0.25">
      <c r="A4907" t="str">
        <f>"20190312172510747"</f>
        <v>20190312172510747</v>
      </c>
      <c r="B4907" t="str">
        <f>"1552382710735113"</f>
        <v>1552382710735113</v>
      </c>
      <c r="C4907" t="s">
        <v>40</v>
      </c>
      <c r="D4907">
        <v>3.8178969999999999</v>
      </c>
      <c r="E4907">
        <v>0.4635649</v>
      </c>
      <c r="F4907" t="s">
        <v>50</v>
      </c>
      <c r="G4907">
        <v>-419.58350000000002</v>
      </c>
      <c r="H4907" s="1">
        <v>-1.32431E-6</v>
      </c>
      <c r="I4907">
        <v>37.687049999999999</v>
      </c>
      <c r="J4907">
        <v>-422.6703</v>
      </c>
      <c r="K4907">
        <v>1.113011</v>
      </c>
      <c r="L4907">
        <v>50.146909999999998</v>
      </c>
      <c r="M4907">
        <v>2.5242319999999999E-2</v>
      </c>
      <c r="N4907">
        <v>0</v>
      </c>
      <c r="O4907">
        <v>-0.9995906</v>
      </c>
      <c r="P4907">
        <v>0.13831689999999999</v>
      </c>
      <c r="Q4907">
        <v>0.15066170000000001</v>
      </c>
      <c r="R4907">
        <v>-0.9788616</v>
      </c>
      <c r="S4907">
        <v>0.73089599999999999</v>
      </c>
      <c r="T4907">
        <v>-0.26272440000000002</v>
      </c>
      <c r="U4907">
        <v>-3.0029599999999999</v>
      </c>
      <c r="V4907">
        <v>-0.1145207</v>
      </c>
      <c r="W4907">
        <v>0.1632168</v>
      </c>
      <c r="X4907">
        <v>0.97992100000000004</v>
      </c>
      <c r="Y4907">
        <v>-0.21103089999999999</v>
      </c>
      <c r="Z4907">
        <v>8.4903069999999997E-2</v>
      </c>
      <c r="AA4907">
        <v>0.97378509999999996</v>
      </c>
      <c r="AB4907">
        <v>27</v>
      </c>
      <c r="AC4907">
        <v>3.0867999999999798</v>
      </c>
      <c r="AD4907">
        <v>-1.1130123243100001</v>
      </c>
      <c r="AE4907">
        <v>-12.459860000000001</v>
      </c>
      <c r="AF4907">
        <v>-2.7505928605593599</v>
      </c>
      <c r="AG4907">
        <v>-1.1130123243100001</v>
      </c>
      <c r="AH4907">
        <v>12.4402875376227</v>
      </c>
      <c r="AI4907">
        <v>94.992599574261504</v>
      </c>
      <c r="AJ4907">
        <v>102.467719238096</v>
      </c>
      <c r="AK4907">
        <v>12.7892654807599</v>
      </c>
      <c r="AL4907">
        <v>80.606339040589901</v>
      </c>
      <c r="AM4907">
        <v>96.665764623316306</v>
      </c>
      <c r="AN4907">
        <v>0.99999994038586304</v>
      </c>
    </row>
    <row r="4908" spans="1:40" x14ac:dyDescent="0.25">
      <c r="A4908" t="str">
        <f>"20190312172510770"</f>
        <v>20190312172510770</v>
      </c>
      <c r="B4908" t="str">
        <f>"1552382710765369"</f>
        <v>1552382710765369</v>
      </c>
      <c r="C4908" t="s">
        <v>40</v>
      </c>
      <c r="D4908">
        <v>4.014189</v>
      </c>
      <c r="E4908">
        <v>0.46340579999999998</v>
      </c>
      <c r="F4908" t="s">
        <v>50</v>
      </c>
      <c r="G4908">
        <v>-419.51440000000002</v>
      </c>
      <c r="H4908" s="1">
        <v>-1.4587129999999901E-6</v>
      </c>
      <c r="I4908">
        <v>37.504530000000003</v>
      </c>
      <c r="J4908">
        <v>-422.65980000000002</v>
      </c>
      <c r="K4908">
        <v>1.1130519999999999</v>
      </c>
      <c r="L4908">
        <v>49.880279999999999</v>
      </c>
      <c r="M4908">
        <v>2.8691169999999998E-2</v>
      </c>
      <c r="N4908">
        <v>0</v>
      </c>
      <c r="O4908">
        <v>-0.99949739999999998</v>
      </c>
      <c r="P4908">
        <v>0.1436549</v>
      </c>
      <c r="Q4908">
        <v>0.15204309999999999</v>
      </c>
      <c r="R4908">
        <v>-0.97787840000000004</v>
      </c>
      <c r="S4908">
        <v>0.74880979999999997</v>
      </c>
      <c r="T4908">
        <v>-0.26408239999999999</v>
      </c>
      <c r="U4908">
        <v>-2.9996339999999999</v>
      </c>
      <c r="V4908">
        <v>-0.11652179999999999</v>
      </c>
      <c r="W4908">
        <v>0.1645701</v>
      </c>
      <c r="X4908">
        <v>0.97945870000000002</v>
      </c>
      <c r="Y4908">
        <v>-0.21337929999999999</v>
      </c>
      <c r="Z4908">
        <v>8.5336250000000002E-2</v>
      </c>
      <c r="AA4908">
        <v>0.97323530000000003</v>
      </c>
      <c r="AB4908">
        <v>27</v>
      </c>
      <c r="AC4908">
        <v>3.1453999999999902</v>
      </c>
      <c r="AD4908">
        <v>-1.1130534587129901</v>
      </c>
      <c r="AE4908">
        <v>-12.37575</v>
      </c>
      <c r="AF4908">
        <v>-2.7679666190143699</v>
      </c>
      <c r="AG4908">
        <v>-1.1130534587129901</v>
      </c>
      <c r="AH4908">
        <v>12.366942634974601</v>
      </c>
      <c r="AI4908">
        <v>95.019367031227603</v>
      </c>
      <c r="AJ4908">
        <v>102.616005065935</v>
      </c>
      <c r="AK4908">
        <v>12.7217057560173</v>
      </c>
      <c r="AL4908">
        <v>80.5277383436365</v>
      </c>
      <c r="AM4908">
        <v>96.784335552486297</v>
      </c>
      <c r="AN4908">
        <v>0.99999999634746894</v>
      </c>
    </row>
    <row r="4909" spans="1:40" x14ac:dyDescent="0.25">
      <c r="A4909" t="str">
        <f>"20190312172510792"</f>
        <v>20190312172510792</v>
      </c>
      <c r="B4909" t="str">
        <f>"1552382710785868"</f>
        <v>1552382710785868</v>
      </c>
      <c r="C4909" t="s">
        <v>40</v>
      </c>
      <c r="D4909">
        <v>3.839677</v>
      </c>
      <c r="E4909">
        <v>0.46348610000000001</v>
      </c>
      <c r="F4909" t="s">
        <v>50</v>
      </c>
      <c r="G4909">
        <v>-419.45859999999999</v>
      </c>
      <c r="H4909" s="1">
        <v>-1.5427540000000001E-6</v>
      </c>
      <c r="I4909">
        <v>37.395659999999999</v>
      </c>
      <c r="J4909">
        <v>-422.6481</v>
      </c>
      <c r="K4909">
        <v>1.1130930000000001</v>
      </c>
      <c r="L4909">
        <v>49.611969999999999</v>
      </c>
      <c r="M4909">
        <v>3.2244389999999998E-2</v>
      </c>
      <c r="N4909">
        <v>0</v>
      </c>
      <c r="O4909">
        <v>-0.99938899999999997</v>
      </c>
      <c r="P4909">
        <v>0.14867649999999999</v>
      </c>
      <c r="Q4909">
        <v>0.15277460000000001</v>
      </c>
      <c r="R4909">
        <v>-0.97701360000000004</v>
      </c>
      <c r="S4909">
        <v>0.7683411</v>
      </c>
      <c r="T4909">
        <v>-0.26715450000000002</v>
      </c>
      <c r="U4909">
        <v>-2.9965519999999999</v>
      </c>
      <c r="V4909">
        <v>-0.118102399999999</v>
      </c>
      <c r="W4909">
        <v>0.16527749999999999</v>
      </c>
      <c r="X4909">
        <v>0.97915019999999997</v>
      </c>
      <c r="Y4909">
        <v>-0.216082</v>
      </c>
      <c r="Z4909">
        <v>8.629937E-2</v>
      </c>
      <c r="AA4909">
        <v>0.97255380000000002</v>
      </c>
      <c r="AB4909">
        <v>27</v>
      </c>
      <c r="AC4909">
        <v>3.1894999999999998</v>
      </c>
      <c r="AD4909">
        <v>-1.113094542754</v>
      </c>
      <c r="AE4909">
        <v>-12.21631</v>
      </c>
      <c r="AF4909">
        <v>-2.7723505683103</v>
      </c>
      <c r="AG4909">
        <v>-1.113094542754</v>
      </c>
      <c r="AH4909">
        <v>12.2178494860444</v>
      </c>
      <c r="AI4909">
        <v>95.077137487369697</v>
      </c>
      <c r="AJ4909">
        <v>102.784495141317</v>
      </c>
      <c r="AK4909">
        <v>12.577788088465899</v>
      </c>
      <c r="AL4909">
        <v>80.486644344629596</v>
      </c>
      <c r="AM4909">
        <v>96.877634386971295</v>
      </c>
      <c r="AN4909">
        <v>0.99999997152602405</v>
      </c>
    </row>
    <row r="4910" spans="1:40" x14ac:dyDescent="0.25">
      <c r="A4910" t="str">
        <f>"20190312172510814"</f>
        <v>20190312172510814</v>
      </c>
      <c r="B4910" t="str">
        <f>"1552382710805386"</f>
        <v>1552382710805386</v>
      </c>
      <c r="C4910" t="s">
        <v>40</v>
      </c>
      <c r="D4910">
        <v>3.8584200000000002</v>
      </c>
      <c r="E4910">
        <v>0.46370810000000001</v>
      </c>
      <c r="F4910" t="s">
        <v>50</v>
      </c>
      <c r="G4910">
        <v>-419.3288</v>
      </c>
      <c r="H4910" s="1">
        <v>-1.8717739999999999E-6</v>
      </c>
      <c r="I4910">
        <v>36.932369999999999</v>
      </c>
      <c r="J4910">
        <v>-422.63580000000002</v>
      </c>
      <c r="K4910">
        <v>1.1131420000000001</v>
      </c>
      <c r="L4910">
        <v>49.350430000000003</v>
      </c>
      <c r="M4910">
        <v>3.5801220000000002E-2</v>
      </c>
      <c r="N4910">
        <v>0</v>
      </c>
      <c r="O4910">
        <v>-0.99926800000000005</v>
      </c>
      <c r="P4910">
        <v>0.15311669999999999</v>
      </c>
      <c r="Q4910">
        <v>0.1530388</v>
      </c>
      <c r="R4910">
        <v>-0.97628590000000004</v>
      </c>
      <c r="S4910">
        <v>0.78338619999999903</v>
      </c>
      <c r="T4910">
        <v>-0.26269710000000002</v>
      </c>
      <c r="U4910">
        <v>-2.9924620000000002</v>
      </c>
      <c r="V4910">
        <v>-0.1190975</v>
      </c>
      <c r="W4910">
        <v>0.16552059999999999</v>
      </c>
      <c r="X4910">
        <v>0.97898859999999999</v>
      </c>
      <c r="Y4910">
        <v>-0.21753929999999999</v>
      </c>
      <c r="Z4910">
        <v>8.4899989999999995E-2</v>
      </c>
      <c r="AA4910">
        <v>0.97235210000000005</v>
      </c>
      <c r="AB4910">
        <v>27</v>
      </c>
      <c r="AC4910">
        <v>3.3070000000000102</v>
      </c>
      <c r="AD4910">
        <v>-1.1131438717739901</v>
      </c>
      <c r="AE4910">
        <v>-12.418059999999899</v>
      </c>
      <c r="AF4910">
        <v>-2.8389566269540101</v>
      </c>
      <c r="AG4910">
        <v>-1.1131438717739901</v>
      </c>
      <c r="AH4910">
        <v>12.435201017277601</v>
      </c>
      <c r="AI4910">
        <v>94.987574319507004</v>
      </c>
      <c r="AJ4910">
        <v>102.860222161114</v>
      </c>
      <c r="AK4910">
        <v>12.803631842141399</v>
      </c>
      <c r="AL4910">
        <v>80.472521311810894</v>
      </c>
      <c r="AM4910">
        <v>96.936155131628794</v>
      </c>
      <c r="AN4910">
        <v>0.999999981230284</v>
      </c>
    </row>
    <row r="4911" spans="1:40" x14ac:dyDescent="0.25">
      <c r="A4911" t="str">
        <f>"20190312172510836"</f>
        <v>20190312172510836</v>
      </c>
      <c r="B4911" t="str">
        <f>"1552382710825882"</f>
        <v>1552382710825882</v>
      </c>
      <c r="C4911" t="s">
        <v>40</v>
      </c>
      <c r="D4911">
        <v>3.8465319999999998</v>
      </c>
      <c r="E4911">
        <v>0.46396799999999999</v>
      </c>
      <c r="F4911" t="s">
        <v>50</v>
      </c>
      <c r="G4911">
        <v>-419.24020000000002</v>
      </c>
      <c r="H4911" s="1">
        <v>-2.105847E-6</v>
      </c>
      <c r="I4911">
        <v>36.601170000000003</v>
      </c>
      <c r="J4911">
        <v>-422.6225</v>
      </c>
      <c r="K4911">
        <v>1.113199</v>
      </c>
      <c r="L4911">
        <v>49.08954</v>
      </c>
      <c r="M4911">
        <v>3.945369E-2</v>
      </c>
      <c r="N4911">
        <v>0</v>
      </c>
      <c r="O4911">
        <v>-0.99913039999999997</v>
      </c>
      <c r="P4911">
        <v>0.15705450000000001</v>
      </c>
      <c r="Q4911">
        <v>0.1523861</v>
      </c>
      <c r="R4911">
        <v>-0.97576280000000004</v>
      </c>
      <c r="S4911">
        <v>0.79605099999999995</v>
      </c>
      <c r="T4911">
        <v>-0.26096429999999998</v>
      </c>
      <c r="U4911">
        <v>-2.9889220000000001</v>
      </c>
      <c r="V4911">
        <v>-0.1194902</v>
      </c>
      <c r="W4911">
        <v>0.16484939999999901</v>
      </c>
      <c r="X4911">
        <v>0.97905399999999998</v>
      </c>
      <c r="Y4911">
        <v>-0.21811710000000001</v>
      </c>
      <c r="Z4911">
        <v>8.43724E-2</v>
      </c>
      <c r="AA4911">
        <v>0.97226860000000004</v>
      </c>
      <c r="AB4911">
        <v>27</v>
      </c>
      <c r="AC4911">
        <v>3.3822999999999799</v>
      </c>
      <c r="AD4911">
        <v>-1.1132011058469999</v>
      </c>
      <c r="AE4911">
        <v>-12.4883699999999</v>
      </c>
      <c r="AF4911">
        <v>-2.8656949331305399</v>
      </c>
      <c r="AG4911">
        <v>-1.1132011058469999</v>
      </c>
      <c r="AH4911">
        <v>12.5194228863067</v>
      </c>
      <c r="AI4911">
        <v>94.953799994323006</v>
      </c>
      <c r="AJ4911">
        <v>102.892887123854</v>
      </c>
      <c r="AK4911">
        <v>12.8913681802208</v>
      </c>
      <c r="AL4911">
        <v>80.511513921411407</v>
      </c>
      <c r="AM4911">
        <v>96.958341535189504</v>
      </c>
      <c r="AN4911">
        <v>0.99999998374619903</v>
      </c>
    </row>
    <row r="4912" spans="1:40" x14ac:dyDescent="0.25">
      <c r="A4912" t="str">
        <f>"20190312172510860"</f>
        <v>20190312172510860</v>
      </c>
      <c r="B4912" t="str">
        <f>"1552382710855161"</f>
        <v>1552382710855161</v>
      </c>
      <c r="C4912" t="s">
        <v>40</v>
      </c>
      <c r="D4912">
        <v>3.8853300000000002</v>
      </c>
      <c r="E4912">
        <v>0.46433049999999998</v>
      </c>
      <c r="F4912" t="s">
        <v>50</v>
      </c>
      <c r="G4912">
        <v>-419.2011</v>
      </c>
      <c r="H4912" s="1">
        <v>-2.226547E-6</v>
      </c>
      <c r="I4912">
        <v>36.427680000000002</v>
      </c>
      <c r="J4912">
        <v>-422.6078</v>
      </c>
      <c r="K4912">
        <v>1.1132770000000001</v>
      </c>
      <c r="L4912">
        <v>48.824739999999998</v>
      </c>
      <c r="M4912">
        <v>4.3281310000000003E-2</v>
      </c>
      <c r="N4912">
        <v>0</v>
      </c>
      <c r="O4912">
        <v>-0.99897179999999997</v>
      </c>
      <c r="P4912">
        <v>0.161514299999999</v>
      </c>
      <c r="Q4912">
        <v>0.1523196</v>
      </c>
      <c r="R4912">
        <v>-0.97504469999999999</v>
      </c>
      <c r="S4912">
        <v>0.80676269999999894</v>
      </c>
      <c r="T4912">
        <v>-0.2624919</v>
      </c>
      <c r="U4912">
        <v>-2.9856569999999998</v>
      </c>
      <c r="V4912">
        <v>-0.1202497</v>
      </c>
      <c r="W4912">
        <v>0.16475819999999999</v>
      </c>
      <c r="X4912">
        <v>0.97897639999999997</v>
      </c>
      <c r="Y4912">
        <v>-0.21788550000000001</v>
      </c>
      <c r="Z4912">
        <v>8.4895100000000001E-2</v>
      </c>
      <c r="AA4912">
        <v>0.972275</v>
      </c>
      <c r="AB4912">
        <v>27</v>
      </c>
      <c r="AC4912">
        <v>3.4066999999999998</v>
      </c>
      <c r="AD4912">
        <v>-1.113279226547</v>
      </c>
      <c r="AE4912">
        <v>-12.39706</v>
      </c>
      <c r="AF4912">
        <v>-2.84556077383517</v>
      </c>
      <c r="AG4912">
        <v>-1.113279226547</v>
      </c>
      <c r="AH4912">
        <v>12.4396264993636</v>
      </c>
      <c r="AI4912">
        <v>94.985927598853195</v>
      </c>
      <c r="AJ4912">
        <v>102.88470799479801</v>
      </c>
      <c r="AK4912">
        <v>12.809407253948899</v>
      </c>
      <c r="AL4912">
        <v>80.516812115399901</v>
      </c>
      <c r="AM4912">
        <v>97.002681759776607</v>
      </c>
      <c r="AN4912">
        <v>1.00000002328714</v>
      </c>
    </row>
    <row r="4913" spans="1:40" x14ac:dyDescent="0.25">
      <c r="A4913" t="str">
        <f>"20190312172510882"</f>
        <v>20190312172510882</v>
      </c>
      <c r="B4913" t="str">
        <f>"1552382710875657"</f>
        <v>1552382710875657</v>
      </c>
      <c r="C4913" t="s">
        <v>40</v>
      </c>
      <c r="D4913">
        <v>3.9030710000000002</v>
      </c>
      <c r="E4913">
        <v>0.46450590000000003</v>
      </c>
      <c r="F4913" t="s">
        <v>50</v>
      </c>
      <c r="G4913">
        <v>-419.1431</v>
      </c>
      <c r="H4913" s="1">
        <v>-2.3946220000000001E-6</v>
      </c>
      <c r="I4913">
        <v>36.187530000000002</v>
      </c>
      <c r="J4913">
        <v>-422.59179999999998</v>
      </c>
      <c r="K4913">
        <v>1.113367</v>
      </c>
      <c r="L4913">
        <v>48.556240000000003</v>
      </c>
      <c r="M4913">
        <v>4.7304680000000002E-2</v>
      </c>
      <c r="N4913">
        <v>0</v>
      </c>
      <c r="O4913">
        <v>-0.99878909999999999</v>
      </c>
      <c r="P4913">
        <v>0.1660305</v>
      </c>
      <c r="Q4913">
        <v>0.15259249999999999</v>
      </c>
      <c r="R4913">
        <v>-0.97424270000000002</v>
      </c>
      <c r="S4913">
        <v>0.81768799999999997</v>
      </c>
      <c r="T4913">
        <v>-0.26273489999999999</v>
      </c>
      <c r="U4913">
        <v>-2.9823909999999998</v>
      </c>
      <c r="V4913">
        <v>-0.1208856</v>
      </c>
      <c r="W4913">
        <v>0.1650037</v>
      </c>
      <c r="X4913">
        <v>0.97885670000000002</v>
      </c>
      <c r="Y4913">
        <v>-0.2175366</v>
      </c>
      <c r="Z4913">
        <v>8.5002300000000003E-2</v>
      </c>
      <c r="AA4913">
        <v>0.97234379999999998</v>
      </c>
      <c r="AB4913">
        <v>27</v>
      </c>
      <c r="AC4913">
        <v>3.4486999999999699</v>
      </c>
      <c r="AD4913">
        <v>-1.113369394622</v>
      </c>
      <c r="AE4913">
        <v>-12.36871</v>
      </c>
      <c r="AF4913">
        <v>-2.83834790636045</v>
      </c>
      <c r="AG4913">
        <v>-1.113369394622</v>
      </c>
      <c r="AH4913">
        <v>12.424604539878199</v>
      </c>
      <c r="AI4913">
        <v>94.992655666894294</v>
      </c>
      <c r="AJ4913">
        <v>102.868157189889</v>
      </c>
      <c r="AK4913">
        <v>12.7932250906011</v>
      </c>
      <c r="AL4913">
        <v>80.502550535541204</v>
      </c>
      <c r="AM4913">
        <v>97.040194692010402</v>
      </c>
      <c r="AN4913">
        <v>0.99999999421796903</v>
      </c>
    </row>
    <row r="4914" spans="1:40" x14ac:dyDescent="0.25">
      <c r="A4914" t="str">
        <f>"20190312172510904"</f>
        <v>20190312172510904</v>
      </c>
      <c r="B4914" t="str">
        <f>"1552382710895177"</f>
        <v>1552382710895177</v>
      </c>
      <c r="C4914" t="s">
        <v>40</v>
      </c>
      <c r="D4914">
        <v>3.8721299999999998</v>
      </c>
      <c r="E4914">
        <v>0.46470359999999999</v>
      </c>
      <c r="F4914" t="s">
        <v>50</v>
      </c>
      <c r="G4914">
        <v>-419.05090000000001</v>
      </c>
      <c r="H4914" s="1">
        <v>-2.621248E-6</v>
      </c>
      <c r="I4914">
        <v>35.869579999999999</v>
      </c>
      <c r="J4914">
        <v>-422.57459999999998</v>
      </c>
      <c r="K4914">
        <v>1.11348</v>
      </c>
      <c r="L4914">
        <v>48.291020000000003</v>
      </c>
      <c r="M4914">
        <v>5.1439369999999998E-2</v>
      </c>
      <c r="N4914">
        <v>0</v>
      </c>
      <c r="O4914">
        <v>-0.99858469999999999</v>
      </c>
      <c r="P4914">
        <v>0.16998150000000001</v>
      </c>
      <c r="Q4914">
        <v>0.15264510000000001</v>
      </c>
      <c r="R4914">
        <v>-0.97355309999999995</v>
      </c>
      <c r="S4914">
        <v>0.83132929999999905</v>
      </c>
      <c r="T4914">
        <v>-0.26139709999999999</v>
      </c>
      <c r="U4914">
        <v>-2.978577</v>
      </c>
      <c r="V4914">
        <v>-0.1208439</v>
      </c>
      <c r="W4914">
        <v>0.16503380000000001</v>
      </c>
      <c r="X4914">
        <v>0.97885679999999997</v>
      </c>
      <c r="Y4914">
        <v>-0.2179595</v>
      </c>
      <c r="Z4914">
        <v>8.4595840000000005E-2</v>
      </c>
      <c r="AA4914">
        <v>0.9722845</v>
      </c>
      <c r="AB4914">
        <v>27</v>
      </c>
      <c r="AC4914">
        <v>3.5236999999999599</v>
      </c>
      <c r="AD4914">
        <v>-1.113482621248</v>
      </c>
      <c r="AE4914">
        <v>-12.42144</v>
      </c>
      <c r="AF4914">
        <v>-2.8587636361566302</v>
      </c>
      <c r="AG4914">
        <v>-1.113482621248</v>
      </c>
      <c r="AH4914">
        <v>12.4933505436786</v>
      </c>
      <c r="AI4914">
        <v>94.965418394410804</v>
      </c>
      <c r="AJ4914">
        <v>102.888689035008</v>
      </c>
      <c r="AK4914">
        <v>12.864531895194199</v>
      </c>
      <c r="AL4914">
        <v>80.500802198978704</v>
      </c>
      <c r="AM4914">
        <v>97.037789793459197</v>
      </c>
      <c r="AN4914">
        <v>1.0000000191079399</v>
      </c>
    </row>
    <row r="4915" spans="1:40" x14ac:dyDescent="0.25">
      <c r="A4915" t="str">
        <f>"20190312172510926"</f>
        <v>20190312172510926</v>
      </c>
      <c r="B4915" t="str">
        <f>"1552382710915674"</f>
        <v>1552382710915674</v>
      </c>
      <c r="C4915" t="s">
        <v>40</v>
      </c>
      <c r="D4915">
        <v>3.8717890000000001</v>
      </c>
      <c r="E4915">
        <v>0.46497929999999998</v>
      </c>
      <c r="F4915" t="s">
        <v>50</v>
      </c>
      <c r="G4915">
        <v>-418.99310000000003</v>
      </c>
      <c r="H4915" s="1">
        <v>-2.7814729999999999E-6</v>
      </c>
      <c r="I4915">
        <v>35.641689999999997</v>
      </c>
      <c r="J4915">
        <v>-422.55709999999999</v>
      </c>
      <c r="K4915">
        <v>1.1135790000000001</v>
      </c>
      <c r="L4915">
        <v>48.0379</v>
      </c>
      <c r="M4915">
        <v>5.5504270000000001E-2</v>
      </c>
      <c r="N4915">
        <v>0</v>
      </c>
      <c r="O4915">
        <v>-0.998367</v>
      </c>
      <c r="P4915">
        <v>0.17485249999999999</v>
      </c>
      <c r="Q4915">
        <v>0.15264169999999999</v>
      </c>
      <c r="R4915">
        <v>-0.97269059999999896</v>
      </c>
      <c r="S4915">
        <v>0.84246829999999995</v>
      </c>
      <c r="T4915">
        <v>-0.26192120000000002</v>
      </c>
      <c r="U4915">
        <v>-2.9754640000000001</v>
      </c>
      <c r="V4915">
        <v>-0.12179479999999999</v>
      </c>
      <c r="W4915">
        <v>0.1650037</v>
      </c>
      <c r="X4915">
        <v>0.97874399999999995</v>
      </c>
      <c r="Y4915">
        <v>-0.21761920000000001</v>
      </c>
      <c r="Z4915">
        <v>8.4782540000000003E-2</v>
      </c>
      <c r="AA4915">
        <v>0.97234449999999994</v>
      </c>
      <c r="AB4915">
        <v>26</v>
      </c>
      <c r="AC4915">
        <v>3.5639999999999601</v>
      </c>
      <c r="AD4915">
        <v>-1.113581781473</v>
      </c>
      <c r="AE4915">
        <v>-12.3962099999999</v>
      </c>
      <c r="AF4915">
        <v>-2.8491625822835398</v>
      </c>
      <c r="AG4915">
        <v>-1.113581781473</v>
      </c>
      <c r="AH4915">
        <v>12.4818956285925</v>
      </c>
      <c r="AI4915">
        <v>94.970993540154296</v>
      </c>
      <c r="AJ4915">
        <v>102.858239527861</v>
      </c>
      <c r="AK4915">
        <v>12.8512843827918</v>
      </c>
      <c r="AL4915">
        <v>80.502550647790102</v>
      </c>
      <c r="AM4915">
        <v>97.093416204747896</v>
      </c>
      <c r="AN4915">
        <v>1.00000000592836</v>
      </c>
    </row>
    <row r="4916" spans="1:40" x14ac:dyDescent="0.25">
      <c r="A4916" t="str">
        <f>"20190312172510948"</f>
        <v>20190312172510948</v>
      </c>
      <c r="B4916" t="str">
        <f>"1552382710945930"</f>
        <v>1552382710945930</v>
      </c>
      <c r="C4916" t="s">
        <v>40</v>
      </c>
      <c r="D4916">
        <v>3.986675</v>
      </c>
      <c r="E4916">
        <v>0.46527000000000002</v>
      </c>
      <c r="F4916" t="s">
        <v>50</v>
      </c>
      <c r="G4916">
        <v>-418.91969999999998</v>
      </c>
      <c r="H4916" s="1">
        <v>-2.956746E-6</v>
      </c>
      <c r="I4916">
        <v>35.396659999999997</v>
      </c>
      <c r="J4916">
        <v>-422.5378</v>
      </c>
      <c r="K4916">
        <v>1.1136779999999999</v>
      </c>
      <c r="L4916">
        <v>47.776060000000001</v>
      </c>
      <c r="M4916">
        <v>5.9839290000000003E-2</v>
      </c>
      <c r="N4916">
        <v>0</v>
      </c>
      <c r="O4916">
        <v>-0.99811649999999996</v>
      </c>
      <c r="P4916">
        <v>0.18025730000000001</v>
      </c>
      <c r="Q4916">
        <v>0.15331829999999999</v>
      </c>
      <c r="R4916">
        <v>-0.97159700000000004</v>
      </c>
      <c r="S4916">
        <v>0.85504150000000001</v>
      </c>
      <c r="T4916">
        <v>-0.26177060000000002</v>
      </c>
      <c r="U4916">
        <v>-2.9715880000000001</v>
      </c>
      <c r="V4916">
        <v>-0.1230329</v>
      </c>
      <c r="W4916">
        <v>0.1656484</v>
      </c>
      <c r="X4916">
        <v>0.97848020000000002</v>
      </c>
      <c r="Y4916">
        <v>-0.21751819999999999</v>
      </c>
      <c r="Z4916">
        <v>8.476069E-2</v>
      </c>
      <c r="AA4916">
        <v>0.97236900000000004</v>
      </c>
      <c r="AB4916">
        <v>26</v>
      </c>
      <c r="AC4916">
        <v>3.6181000000000201</v>
      </c>
      <c r="AD4916">
        <v>-1.113680956746</v>
      </c>
      <c r="AE4916">
        <v>-12.3794</v>
      </c>
      <c r="AF4916">
        <v>-2.8495261048873299</v>
      </c>
      <c r="AG4916">
        <v>-1.113680956746</v>
      </c>
      <c r="AH4916">
        <v>12.480676784850401</v>
      </c>
      <c r="AI4916">
        <v>94.971861913176795</v>
      </c>
      <c r="AJ4916">
        <v>102.86103967055701</v>
      </c>
      <c r="AK4916">
        <v>12.850189776954901</v>
      </c>
      <c r="AL4916">
        <v>80.465096541087902</v>
      </c>
      <c r="AM4916">
        <v>97.166689932668504</v>
      </c>
      <c r="AN4916">
        <v>0.99999999434850495</v>
      </c>
    </row>
    <row r="4917" spans="1:40" x14ac:dyDescent="0.25">
      <c r="A4917" t="str">
        <f>"20190312172510963"</f>
        <v>20190312172510963</v>
      </c>
      <c r="B4917" t="str">
        <f>"1552382710955690"</f>
        <v>1552382710955690</v>
      </c>
      <c r="C4917" t="s">
        <v>40</v>
      </c>
      <c r="D4917">
        <v>3.820532</v>
      </c>
      <c r="E4917">
        <v>0.46539629999999998</v>
      </c>
      <c r="F4917" t="s">
        <v>50</v>
      </c>
      <c r="G4917">
        <v>-418.82650000000001</v>
      </c>
      <c r="H4917" s="1">
        <v>-3.1611920000000001E-6</v>
      </c>
      <c r="I4917">
        <v>35.103050000000003</v>
      </c>
      <c r="J4917">
        <v>-422.52449999999999</v>
      </c>
      <c r="K4917">
        <v>1.113737</v>
      </c>
      <c r="L4917">
        <v>47.604489999999998</v>
      </c>
      <c r="M4917">
        <v>6.2745049999999997E-2</v>
      </c>
      <c r="N4917">
        <v>0</v>
      </c>
      <c r="O4917">
        <v>-0.99793790000000004</v>
      </c>
      <c r="P4917">
        <v>0.18352160000000001</v>
      </c>
      <c r="Q4917">
        <v>0.15411129999999901</v>
      </c>
      <c r="R4917">
        <v>-0.97085999999999995</v>
      </c>
      <c r="S4917">
        <v>0.86907959999999995</v>
      </c>
      <c r="T4917">
        <v>-0.2607893</v>
      </c>
      <c r="U4917">
        <v>-2.9676209999999998</v>
      </c>
      <c r="V4917">
        <v>-0.1235092</v>
      </c>
      <c r="W4917">
        <v>0.1664234</v>
      </c>
      <c r="X4917">
        <v>0.97828870000000001</v>
      </c>
      <c r="Y4917">
        <v>-0.21927099999999999</v>
      </c>
      <c r="Z4917">
        <v>8.4459149999999997E-2</v>
      </c>
      <c r="AA4917">
        <v>0.97200149999999996</v>
      </c>
      <c r="AB4917">
        <v>26</v>
      </c>
      <c r="AC4917">
        <v>3.6979999999999702</v>
      </c>
      <c r="AD4917">
        <v>-1.1137401611919999</v>
      </c>
      <c r="AE4917">
        <v>-12.501440000000001</v>
      </c>
      <c r="AF4917">
        <v>-2.8851800907119798</v>
      </c>
      <c r="AG4917">
        <v>-1.1137401611919999</v>
      </c>
      <c r="AH4917">
        <v>12.616774718978901</v>
      </c>
      <c r="AI4917">
        <v>94.918368939106699</v>
      </c>
      <c r="AJ4917">
        <v>102.88080987586601</v>
      </c>
      <c r="AK4917">
        <v>12.9902919756238</v>
      </c>
      <c r="AL4917">
        <v>80.4200675930892</v>
      </c>
      <c r="AM4917">
        <v>97.195537854353802</v>
      </c>
      <c r="AN4917">
        <v>1.0000000255499399</v>
      </c>
    </row>
    <row r="4918" spans="1:40" x14ac:dyDescent="0.25">
      <c r="A4918" t="str">
        <f>"20190312172510984"</f>
        <v>20190312172510984</v>
      </c>
      <c r="B4918" t="str">
        <f>"1552382710975210"</f>
        <v>1552382710975210</v>
      </c>
      <c r="C4918" t="s">
        <v>40</v>
      </c>
      <c r="D4918">
        <v>3.8171360000000001</v>
      </c>
      <c r="E4918">
        <v>0.46572720000000001</v>
      </c>
      <c r="F4918" t="s">
        <v>50</v>
      </c>
      <c r="G4918">
        <v>-418.7371</v>
      </c>
      <c r="H4918" s="1">
        <v>-3.3351079999999998E-6</v>
      </c>
      <c r="I4918">
        <v>34.82132</v>
      </c>
      <c r="J4918">
        <v>-422.50409999999999</v>
      </c>
      <c r="K4918">
        <v>1.1138220000000001</v>
      </c>
      <c r="L4918">
        <v>47.355319999999999</v>
      </c>
      <c r="M4918">
        <v>6.7092159999999998E-2</v>
      </c>
      <c r="N4918">
        <v>0</v>
      </c>
      <c r="O4918">
        <v>-0.99765510000000002</v>
      </c>
      <c r="P4918">
        <v>0.1889275</v>
      </c>
      <c r="Q4918">
        <v>0.1563792</v>
      </c>
      <c r="R4918">
        <v>-0.96945979999999998</v>
      </c>
      <c r="S4918">
        <v>0.87847900000000001</v>
      </c>
      <c r="T4918">
        <v>-0.25832660000000002</v>
      </c>
      <c r="U4918">
        <v>-2.9649960000000002</v>
      </c>
      <c r="V4918">
        <v>-0.1247761</v>
      </c>
      <c r="W4918">
        <v>0.16865539999999901</v>
      </c>
      <c r="X4918">
        <v>0.97774550000000005</v>
      </c>
      <c r="Y4918">
        <v>-0.218107</v>
      </c>
      <c r="Z4918">
        <v>8.3676810000000004E-2</v>
      </c>
      <c r="AA4918">
        <v>0.97233099999999995</v>
      </c>
      <c r="AB4918">
        <v>26</v>
      </c>
      <c r="AC4918">
        <v>3.7669999999999901</v>
      </c>
      <c r="AD4918">
        <v>-1.1138253351080001</v>
      </c>
      <c r="AE4918">
        <v>-12.534000000000001</v>
      </c>
      <c r="AF4918">
        <v>-2.89652196562449</v>
      </c>
      <c r="AG4918">
        <v>-1.1138253351080001</v>
      </c>
      <c r="AH4918">
        <v>12.666771083492799</v>
      </c>
      <c r="AI4918">
        <v>94.899431025997004</v>
      </c>
      <c r="AJ4918">
        <v>102.880417854622</v>
      </c>
      <c r="AK4918">
        <v>13.0413778434674</v>
      </c>
      <c r="AL4918">
        <v>80.290349536946906</v>
      </c>
      <c r="AM4918">
        <v>97.272555858017597</v>
      </c>
      <c r="AN4918">
        <v>0.99999999092531</v>
      </c>
    </row>
    <row r="4919" spans="1:40" x14ac:dyDescent="0.25">
      <c r="A4919" t="str">
        <f>"20190312172511005"</f>
        <v>20190312172511005</v>
      </c>
      <c r="B4919" t="str">
        <f>"1552382710995705"</f>
        <v>1552382710995705</v>
      </c>
      <c r="C4919" t="s">
        <v>40</v>
      </c>
      <c r="D4919">
        <v>3.798146</v>
      </c>
      <c r="E4919">
        <v>0.46604580000000001</v>
      </c>
      <c r="F4919" t="s">
        <v>50</v>
      </c>
      <c r="G4919">
        <v>-418.54149999999998</v>
      </c>
      <c r="H4919" s="1">
        <v>-3.7005509999999999E-6</v>
      </c>
      <c r="I4919">
        <v>34.204239999999999</v>
      </c>
      <c r="J4919">
        <v>-422.48340000000002</v>
      </c>
      <c r="K4919">
        <v>1.113901</v>
      </c>
      <c r="L4919">
        <v>47.116520000000001</v>
      </c>
      <c r="M4919">
        <v>7.1385889999999994E-2</v>
      </c>
      <c r="N4919">
        <v>0</v>
      </c>
      <c r="O4919">
        <v>-0.99735700000000005</v>
      </c>
      <c r="P4919">
        <v>0.19451470000000001</v>
      </c>
      <c r="Q4919">
        <v>0.158029</v>
      </c>
      <c r="R4919">
        <v>-0.96808640000000001</v>
      </c>
      <c r="S4919">
        <v>0.89221189999999995</v>
      </c>
      <c r="T4919">
        <v>-0.25078850000000003</v>
      </c>
      <c r="U4919">
        <v>-2.96109</v>
      </c>
      <c r="V4919">
        <v>-0.126278</v>
      </c>
      <c r="W4919">
        <v>0.17026729999999901</v>
      </c>
      <c r="X4919">
        <v>0.97727319999999995</v>
      </c>
      <c r="Y4919">
        <v>-0.21845339999999999</v>
      </c>
      <c r="Z4919">
        <v>8.1261609999999998E-2</v>
      </c>
      <c r="AA4919">
        <v>0.97245809999999999</v>
      </c>
      <c r="AB4919">
        <v>26</v>
      </c>
      <c r="AC4919">
        <v>3.9419000000000302</v>
      </c>
      <c r="AD4919">
        <v>-1.1139047005509899</v>
      </c>
      <c r="AE4919">
        <v>-12.9122799999999</v>
      </c>
      <c r="AF4919">
        <v>-2.98965026688527</v>
      </c>
      <c r="AG4919">
        <v>-1.1139047005509899</v>
      </c>
      <c r="AH4919">
        <v>13.071766766204499</v>
      </c>
      <c r="AI4919">
        <v>94.748635744948999</v>
      </c>
      <c r="AJ4919">
        <v>102.882573716181</v>
      </c>
      <c r="AK4919">
        <v>13.4554776500221</v>
      </c>
      <c r="AL4919">
        <v>80.196639169370201</v>
      </c>
      <c r="AM4919">
        <v>97.362657433397302</v>
      </c>
      <c r="AN4919">
        <v>0.99999999708576404</v>
      </c>
    </row>
    <row r="4920" spans="1:40" x14ac:dyDescent="0.25">
      <c r="A4920" t="str">
        <f>"20190312172511027"</f>
        <v>20190312172511027</v>
      </c>
      <c r="B4920" t="str">
        <f>"1552382711015226"</f>
        <v>1552382711015226</v>
      </c>
      <c r="C4920" t="s">
        <v>40</v>
      </c>
      <c r="D4920">
        <v>3.80084</v>
      </c>
      <c r="E4920">
        <v>0.47309879999999999</v>
      </c>
      <c r="F4920" t="s">
        <v>50</v>
      </c>
      <c r="G4920">
        <v>-418.37400000000002</v>
      </c>
      <c r="H4920" s="1">
        <v>-3.9853130000000003E-6</v>
      </c>
      <c r="I4920">
        <v>33.71828</v>
      </c>
      <c r="J4920">
        <v>-422.4597</v>
      </c>
      <c r="K4920">
        <v>1.113993</v>
      </c>
      <c r="L4920">
        <v>46.859070000000003</v>
      </c>
      <c r="M4920">
        <v>7.6163809999999998E-2</v>
      </c>
      <c r="N4920">
        <v>0</v>
      </c>
      <c r="O4920">
        <v>-0.99700330000000004</v>
      </c>
      <c r="P4920">
        <v>0.2007478</v>
      </c>
      <c r="Q4920">
        <v>0.15820780000000001</v>
      </c>
      <c r="R4920">
        <v>-0.96678379999999997</v>
      </c>
      <c r="S4920">
        <v>0.90689090000000006</v>
      </c>
      <c r="T4920">
        <v>-0.2458246</v>
      </c>
      <c r="U4920">
        <v>-2.9568180000000002</v>
      </c>
      <c r="V4920">
        <v>-0.127944</v>
      </c>
      <c r="W4920">
        <v>0.17040449999999999</v>
      </c>
      <c r="X4920">
        <v>0.97703249999999997</v>
      </c>
      <c r="Y4920">
        <v>-0.21862300000000001</v>
      </c>
      <c r="Z4920">
        <v>7.9673220000000003E-2</v>
      </c>
      <c r="AA4920">
        <v>0.97255130000000001</v>
      </c>
      <c r="AB4920">
        <v>26</v>
      </c>
      <c r="AC4920">
        <v>4.0856999999999699</v>
      </c>
      <c r="AD4920">
        <v>-1.1139969853129901</v>
      </c>
      <c r="AE4920">
        <v>-13.140790000000001</v>
      </c>
      <c r="AF4920">
        <v>-3.0528797504620302</v>
      </c>
      <c r="AG4920">
        <v>-1.1139969853129901</v>
      </c>
      <c r="AH4920">
        <v>13.3264938621775</v>
      </c>
      <c r="AI4920">
        <v>94.658280004643004</v>
      </c>
      <c r="AJ4920">
        <v>102.902880820113</v>
      </c>
      <c r="AK4920">
        <v>13.717015080283399</v>
      </c>
      <c r="AL4920">
        <v>80.188660973753997</v>
      </c>
      <c r="AM4920">
        <v>97.460523915218999</v>
      </c>
      <c r="AN4920">
        <v>0.99999993340624704</v>
      </c>
    </row>
    <row r="4921" spans="1:40" x14ac:dyDescent="0.25">
      <c r="A4921" t="str">
        <f>"20190312172511049"</f>
        <v>20190312172511049</v>
      </c>
      <c r="B4921" t="str">
        <f>"1552382711045481"</f>
        <v>1552382711045481</v>
      </c>
      <c r="C4921" t="s">
        <v>40</v>
      </c>
      <c r="D4921">
        <v>3.6219570000000001</v>
      </c>
      <c r="E4921">
        <v>0.4485073</v>
      </c>
      <c r="F4921" t="s">
        <v>50</v>
      </c>
      <c r="G4921">
        <v>-418.40940000000001</v>
      </c>
      <c r="H4921" s="1">
        <v>-4.3109620000000001E-6</v>
      </c>
      <c r="I4921">
        <v>33.063749999999999</v>
      </c>
      <c r="J4921">
        <v>-422.4348</v>
      </c>
      <c r="K4921">
        <v>1.1140939999999999</v>
      </c>
      <c r="L4921">
        <v>46.603090000000002</v>
      </c>
      <c r="M4921">
        <v>8.1081360000000005E-2</v>
      </c>
      <c r="N4921">
        <v>0</v>
      </c>
      <c r="O4921">
        <v>-0.99661520000000003</v>
      </c>
      <c r="P4921">
        <v>0.20739850000000001</v>
      </c>
      <c r="Q4921">
        <v>0.15834599999999999</v>
      </c>
      <c r="R4921">
        <v>-0.96535629999999994</v>
      </c>
      <c r="S4921">
        <v>0.86953740000000002</v>
      </c>
      <c r="T4921">
        <v>-0.23916029999999999</v>
      </c>
      <c r="U4921">
        <v>-2.9616699999999998</v>
      </c>
      <c r="V4921">
        <v>-0.12990539999999901</v>
      </c>
      <c r="W4921">
        <v>0.17049610000000001</v>
      </c>
      <c r="X4921">
        <v>0.97675769999999995</v>
      </c>
      <c r="Y4921">
        <v>-0.20212340000000001</v>
      </c>
      <c r="Z4921">
        <v>7.7636960000000005E-2</v>
      </c>
      <c r="AA4921">
        <v>0.97627790000000003</v>
      </c>
      <c r="AB4921">
        <v>26</v>
      </c>
      <c r="AC4921">
        <v>4.0253999999999897</v>
      </c>
      <c r="AD4921">
        <v>-1.114098310962</v>
      </c>
      <c r="AE4921">
        <v>-13.539339999999999</v>
      </c>
      <c r="AF4921">
        <v>-2.8962370590228699</v>
      </c>
      <c r="AG4921">
        <v>-1.114098310962</v>
      </c>
      <c r="AH4921">
        <v>13.735717237686099</v>
      </c>
      <c r="AI4921">
        <v>94.537740216288796</v>
      </c>
      <c r="AJ4921">
        <v>101.906659468041</v>
      </c>
      <c r="AK4921">
        <v>14.0818795685169</v>
      </c>
      <c r="AL4921">
        <v>80.183335088065505</v>
      </c>
      <c r="AM4921">
        <v>97.575683074753996</v>
      </c>
      <c r="AN4921">
        <v>0.99999996878682895</v>
      </c>
    </row>
    <row r="4922" spans="1:40" x14ac:dyDescent="0.25">
      <c r="A4922" t="str">
        <f>"20190312172511065"</f>
        <v>20190312172511065</v>
      </c>
      <c r="B4922" t="str">
        <f>"1552382711055243"</f>
        <v>1552382711055243</v>
      </c>
      <c r="C4922" t="s">
        <v>40</v>
      </c>
      <c r="D4922">
        <v>3.6136050000000002</v>
      </c>
      <c r="E4922">
        <v>0.4450905</v>
      </c>
      <c r="F4922" t="s">
        <v>50</v>
      </c>
      <c r="G4922">
        <v>-417.3177</v>
      </c>
      <c r="H4922" s="1">
        <v>-4.680718E-6</v>
      </c>
      <c r="I4922">
        <v>32.813160000000003</v>
      </c>
      <c r="J4922">
        <v>-422.41640000000001</v>
      </c>
      <c r="K4922">
        <v>1.114182</v>
      </c>
      <c r="L4922">
        <v>46.422879999999999</v>
      </c>
      <c r="M4922">
        <v>8.4645369999999998E-2</v>
      </c>
      <c r="N4922">
        <v>0</v>
      </c>
      <c r="O4922">
        <v>-0.99631879999999995</v>
      </c>
      <c r="P4922">
        <v>0.2118526</v>
      </c>
      <c r="Q4922">
        <v>0.15852339999999901</v>
      </c>
      <c r="R4922">
        <v>-0.96435950000000004</v>
      </c>
      <c r="S4922">
        <v>1.081299</v>
      </c>
      <c r="T4922">
        <v>-0.23542199999999999</v>
      </c>
      <c r="U4922">
        <v>-2.9139710000000001</v>
      </c>
      <c r="V4922">
        <v>-0.13096340000000001</v>
      </c>
      <c r="W4922">
        <v>0.170641299999999</v>
      </c>
      <c r="X4922">
        <v>0.97659110000000005</v>
      </c>
      <c r="Y4922">
        <v>-0.2662716</v>
      </c>
      <c r="Z4922">
        <v>7.6125650000000003E-2</v>
      </c>
      <c r="AA4922">
        <v>0.9608873</v>
      </c>
      <c r="AB4922">
        <v>26</v>
      </c>
      <c r="AC4922">
        <v>5.0987</v>
      </c>
      <c r="AD4922">
        <v>-1.1141866807179901</v>
      </c>
      <c r="AE4922">
        <v>-13.609719999999999</v>
      </c>
      <c r="AF4922">
        <v>-3.90533944102937</v>
      </c>
      <c r="AG4922">
        <v>-1.1141866807179901</v>
      </c>
      <c r="AH4922">
        <v>13.910731048426999</v>
      </c>
      <c r="AI4922">
        <v>94.409589727173497</v>
      </c>
      <c r="AJ4922">
        <v>105.681711159692</v>
      </c>
      <c r="AK4922">
        <v>14.4914294122706</v>
      </c>
      <c r="AL4922">
        <v>80.1748925321032</v>
      </c>
      <c r="AM4922">
        <v>97.637944522612102</v>
      </c>
      <c r="AN4922">
        <v>1.00000002100223</v>
      </c>
    </row>
    <row r="4923" spans="1:40" x14ac:dyDescent="0.25">
      <c r="A4923" t="str">
        <f>"20190312172511083"</f>
        <v>20190312172511083</v>
      </c>
      <c r="B4923" t="str">
        <f>"1552382711075269"</f>
        <v>1552382711075269</v>
      </c>
      <c r="C4923" t="s">
        <v>40</v>
      </c>
      <c r="D4923">
        <v>3.6150449999999998</v>
      </c>
      <c r="E4923">
        <v>0.44184180000000001</v>
      </c>
      <c r="F4923" t="s">
        <v>50</v>
      </c>
      <c r="G4923">
        <v>-416.98680000000002</v>
      </c>
      <c r="H4923" s="1">
        <v>-4.9856250000000002E-6</v>
      </c>
      <c r="I4923">
        <v>32.358750000000001</v>
      </c>
      <c r="J4923">
        <v>-422.39370000000002</v>
      </c>
      <c r="K4923">
        <v>1.114296</v>
      </c>
      <c r="L4923">
        <v>46.21078</v>
      </c>
      <c r="M4923">
        <v>8.8973540000000004E-2</v>
      </c>
      <c r="N4923">
        <v>0</v>
      </c>
      <c r="O4923">
        <v>-0.99594170000000004</v>
      </c>
      <c r="P4923">
        <v>0.21815080000000001</v>
      </c>
      <c r="Q4923">
        <v>0.15996759999999999</v>
      </c>
      <c r="R4923">
        <v>-0.9627154</v>
      </c>
      <c r="S4923">
        <v>1.120544</v>
      </c>
      <c r="T4923">
        <v>-0.2299436</v>
      </c>
      <c r="U4923">
        <v>-2.9025270000000001</v>
      </c>
      <c r="V4923">
        <v>-0.1331879</v>
      </c>
      <c r="W4923">
        <v>0.172032399999999</v>
      </c>
      <c r="X4923">
        <v>0.97604599999999997</v>
      </c>
      <c r="Y4923">
        <v>-0.27471659999999998</v>
      </c>
      <c r="Z4923">
        <v>7.433294E-2</v>
      </c>
      <c r="AA4923">
        <v>0.95864769999999999</v>
      </c>
      <c r="AB4923">
        <v>26</v>
      </c>
      <c r="AC4923">
        <v>5.4069000000000003</v>
      </c>
      <c r="AD4923">
        <v>-1.1143009856249999</v>
      </c>
      <c r="AE4923">
        <v>-13.852029999999999</v>
      </c>
      <c r="AF4923">
        <v>-4.1296844457775599</v>
      </c>
      <c r="AG4923">
        <v>-1.1143009856249999</v>
      </c>
      <c r="AH4923">
        <v>14.198466044955</v>
      </c>
      <c r="AI4923">
        <v>94.309527037536995</v>
      </c>
      <c r="AJ4923">
        <v>106.217297608557</v>
      </c>
      <c r="AK4923">
        <v>14.8287692792761</v>
      </c>
      <c r="AL4923">
        <v>80.093991629532795</v>
      </c>
      <c r="AM4923">
        <v>97.770394068290301</v>
      </c>
      <c r="AN4923">
        <v>0.99999997873608404</v>
      </c>
    </row>
    <row r="4924" spans="1:40" x14ac:dyDescent="0.25">
      <c r="A4924" t="str">
        <f>"20190312172511106"</f>
        <v>20190312172511106</v>
      </c>
      <c r="B4924" t="str">
        <f>"1552382711095765"</f>
        <v>1552382711095765</v>
      </c>
      <c r="C4924" t="s">
        <v>40</v>
      </c>
      <c r="D4924">
        <v>3.6085859999999998</v>
      </c>
      <c r="E4924">
        <v>0.44085269999999999</v>
      </c>
      <c r="F4924" t="s">
        <v>50</v>
      </c>
      <c r="G4924">
        <v>-416.49829999999997</v>
      </c>
      <c r="H4924" s="1">
        <v>-5.4884449999999996E-6</v>
      </c>
      <c r="I4924">
        <v>31.584499999999998</v>
      </c>
      <c r="J4924">
        <v>-422.36399999999998</v>
      </c>
      <c r="K4924">
        <v>1.114455</v>
      </c>
      <c r="L4924">
        <v>45.947420000000001</v>
      </c>
      <c r="M4924">
        <v>9.4571630000000004E-2</v>
      </c>
      <c r="N4924">
        <v>0</v>
      </c>
      <c r="O4924">
        <v>-0.99542540000000002</v>
      </c>
      <c r="P4924">
        <v>0.22559270000000001</v>
      </c>
      <c r="Q4924">
        <v>0.16210289999999999</v>
      </c>
      <c r="R4924">
        <v>-0.96064079999999996</v>
      </c>
      <c r="S4924">
        <v>1.1644289999999999</v>
      </c>
      <c r="T4924">
        <v>-0.22008929999999999</v>
      </c>
      <c r="U4924">
        <v>-2.8888850000000001</v>
      </c>
      <c r="V4924">
        <v>-0.13537249999999901</v>
      </c>
      <c r="W4924">
        <v>0.17410439999999999</v>
      </c>
      <c r="X4924">
        <v>0.97537790000000002</v>
      </c>
      <c r="Y4924">
        <v>-0.2835008</v>
      </c>
      <c r="Z4924">
        <v>7.1135950000000003E-2</v>
      </c>
      <c r="AA4924">
        <v>0.95632989999999996</v>
      </c>
      <c r="AB4924">
        <v>26</v>
      </c>
      <c r="AC4924">
        <v>5.8657000000000599</v>
      </c>
      <c r="AD4924">
        <v>-1.114460488445</v>
      </c>
      <c r="AE4924">
        <v>-14.362920000000001</v>
      </c>
      <c r="AF4924">
        <v>-4.4579521244770799</v>
      </c>
      <c r="AG4924">
        <v>-1.114460488445</v>
      </c>
      <c r="AH4924">
        <v>14.7770640232541</v>
      </c>
      <c r="AI4924">
        <v>94.129823975035706</v>
      </c>
      <c r="AJ4924">
        <v>106.787538917924</v>
      </c>
      <c r="AK4924">
        <v>15.475043795472301</v>
      </c>
      <c r="AL4924">
        <v>79.973456580060201</v>
      </c>
      <c r="AM4924">
        <v>97.901592486041594</v>
      </c>
      <c r="AN4924">
        <v>1.000000051832</v>
      </c>
    </row>
    <row r="4925" spans="1:40" x14ac:dyDescent="0.25">
      <c r="A4925" t="str">
        <f>"20190312172511127"</f>
        <v>20190312172511127</v>
      </c>
      <c r="B4925" t="str">
        <f>"1552382711115285"</f>
        <v>1552382711115285</v>
      </c>
      <c r="C4925" t="s">
        <v>40</v>
      </c>
      <c r="D4925">
        <v>3.5836519999999998</v>
      </c>
      <c r="E4925">
        <v>0.44018429999999997</v>
      </c>
      <c r="F4925" t="s">
        <v>50</v>
      </c>
      <c r="G4925">
        <v>-416.17599999999999</v>
      </c>
      <c r="H4925" s="1">
        <v>-5.7764040000000004E-6</v>
      </c>
      <c r="I4925">
        <v>31.039210000000001</v>
      </c>
      <c r="J4925">
        <v>-422.33359999999999</v>
      </c>
      <c r="K4925">
        <v>1.1146119999999999</v>
      </c>
      <c r="L4925">
        <v>45.692500000000003</v>
      </c>
      <c r="M4925">
        <v>0.1002017</v>
      </c>
      <c r="N4925">
        <v>0</v>
      </c>
      <c r="O4925">
        <v>-0.99487440000000005</v>
      </c>
      <c r="P4925">
        <v>0.23290230000000001</v>
      </c>
      <c r="Q4925">
        <v>0.16452259999999999</v>
      </c>
      <c r="R4925">
        <v>-0.95848299999999997</v>
      </c>
      <c r="S4925">
        <v>1.194855</v>
      </c>
      <c r="T4925">
        <v>-0.21519389999999999</v>
      </c>
      <c r="U4925">
        <v>-2.8786619999999998</v>
      </c>
      <c r="V4925">
        <v>-0.13741439999999999</v>
      </c>
      <c r="W4925">
        <v>0.17646149999999999</v>
      </c>
      <c r="X4925">
        <v>0.97466839999999999</v>
      </c>
      <c r="Y4925">
        <v>-0.28794839999999999</v>
      </c>
      <c r="Z4925">
        <v>6.9550210000000001E-2</v>
      </c>
      <c r="AA4925">
        <v>0.95511699999999999</v>
      </c>
      <c r="AB4925">
        <v>26</v>
      </c>
      <c r="AC4925">
        <v>6.1576000000000004</v>
      </c>
      <c r="AD4925">
        <v>-1.1146177764039999</v>
      </c>
      <c r="AE4925">
        <v>-14.65329</v>
      </c>
      <c r="AF4925">
        <v>-4.6353886192898601</v>
      </c>
      <c r="AG4925">
        <v>-1.1146177764039999</v>
      </c>
      <c r="AH4925">
        <v>15.1222214510243</v>
      </c>
      <c r="AI4925">
        <v>94.031020280805905</v>
      </c>
      <c r="AJ4925">
        <v>107.041783601502</v>
      </c>
      <c r="AK4925">
        <v>15.8559383845024</v>
      </c>
      <c r="AL4925">
        <v>79.836279721295796</v>
      </c>
      <c r="AM4925">
        <v>98.024999052669401</v>
      </c>
      <c r="AN4925">
        <v>0.99999993413408195</v>
      </c>
    </row>
    <row r="4926" spans="1:40" x14ac:dyDescent="0.25">
      <c r="A4926" t="str">
        <f>"20190312172511150"</f>
        <v>20190312172511150</v>
      </c>
      <c r="B4926" t="str">
        <f>"1552382711145544"</f>
        <v>1552382711145544</v>
      </c>
      <c r="C4926" t="s">
        <v>40</v>
      </c>
      <c r="D4926">
        <v>3.6325229999999999</v>
      </c>
      <c r="E4926">
        <v>0.44001810000000002</v>
      </c>
      <c r="F4926" t="s">
        <v>50</v>
      </c>
      <c r="G4926">
        <v>-415.7835</v>
      </c>
      <c r="H4926" s="1">
        <v>-6.1098859999999998E-6</v>
      </c>
      <c r="I4926">
        <v>30.320039999999999</v>
      </c>
      <c r="J4926">
        <v>-422.30090000000001</v>
      </c>
      <c r="K4926">
        <v>1.114771</v>
      </c>
      <c r="L4926">
        <v>45.433199999999999</v>
      </c>
      <c r="M4926">
        <v>0.1061547</v>
      </c>
      <c r="N4926">
        <v>0</v>
      </c>
      <c r="O4926">
        <v>-0.99425640000000004</v>
      </c>
      <c r="P4926">
        <v>0.24061869999999999</v>
      </c>
      <c r="Q4926">
        <v>0.1662158</v>
      </c>
      <c r="R4926">
        <v>-0.95628170000000001</v>
      </c>
      <c r="S4926">
        <v>1.222321</v>
      </c>
      <c r="T4926">
        <v>-0.20799860000000001</v>
      </c>
      <c r="U4926">
        <v>-2.868652</v>
      </c>
      <c r="V4926">
        <v>-0.1395517</v>
      </c>
      <c r="W4926">
        <v>0.17809040000000001</v>
      </c>
      <c r="X4926">
        <v>0.9740683</v>
      </c>
      <c r="Y4926">
        <v>-0.29122399999999998</v>
      </c>
      <c r="Z4926">
        <v>6.7234290000000002E-2</v>
      </c>
      <c r="AA4926">
        <v>0.95428930000000001</v>
      </c>
      <c r="AB4926">
        <v>26</v>
      </c>
      <c r="AC4926">
        <v>6.5174000000000003</v>
      </c>
      <c r="AD4926">
        <v>-1.114777109886</v>
      </c>
      <c r="AE4926">
        <v>-15.113159999999899</v>
      </c>
      <c r="AF4926">
        <v>-4.85381797202428</v>
      </c>
      <c r="AG4926">
        <v>-1.114777109886</v>
      </c>
      <c r="AH4926">
        <v>15.647878536687999</v>
      </c>
      <c r="AI4926">
        <v>93.892582772207405</v>
      </c>
      <c r="AJ4926">
        <v>107.23337586011</v>
      </c>
      <c r="AK4926">
        <v>16.4212782574686</v>
      </c>
      <c r="AL4926">
        <v>79.741448866707103</v>
      </c>
      <c r="AM4926">
        <v>98.1531062051954</v>
      </c>
      <c r="AN4926">
        <v>0.99999996030496896</v>
      </c>
    </row>
    <row r="4927" spans="1:40" x14ac:dyDescent="0.25">
      <c r="A4927" t="str">
        <f>"20190312172511173"</f>
        <v>20190312172511173</v>
      </c>
      <c r="B4927" t="str">
        <f>"1552382711166037"</f>
        <v>1552382711166037</v>
      </c>
      <c r="C4927" t="s">
        <v>40</v>
      </c>
      <c r="D4927">
        <v>3.6110329999999999</v>
      </c>
      <c r="E4927">
        <v>0.44029269999999998</v>
      </c>
      <c r="F4927" t="s">
        <v>50</v>
      </c>
      <c r="G4927">
        <v>-415.4615</v>
      </c>
      <c r="H4927" s="1">
        <v>-6.3773400000000002E-6</v>
      </c>
      <c r="I4927">
        <v>29.746220000000001</v>
      </c>
      <c r="J4927">
        <v>-422.26639999999998</v>
      </c>
      <c r="K4927">
        <v>1.114933</v>
      </c>
      <c r="L4927">
        <v>45.173520000000003</v>
      </c>
      <c r="M4927">
        <v>0.1123537</v>
      </c>
      <c r="N4927">
        <v>0</v>
      </c>
      <c r="O4927">
        <v>-0.99357470000000003</v>
      </c>
      <c r="P4927">
        <v>0.24806710000000001</v>
      </c>
      <c r="Q4927">
        <v>0.16723460000000001</v>
      </c>
      <c r="R4927">
        <v>-0.95419900000000002</v>
      </c>
      <c r="S4927">
        <v>1.246429</v>
      </c>
      <c r="T4927">
        <v>-0.20315929999999999</v>
      </c>
      <c r="U4927">
        <v>-2.8588260000000001</v>
      </c>
      <c r="V4927">
        <v>-0.14117160000000001</v>
      </c>
      <c r="W4927">
        <v>0.1790513</v>
      </c>
      <c r="X4927">
        <v>0.97365869999999999</v>
      </c>
      <c r="Y4927">
        <v>-0.29326469999999999</v>
      </c>
      <c r="Z4927">
        <v>6.5689540000000005E-2</v>
      </c>
      <c r="AA4927">
        <v>0.95377179999999995</v>
      </c>
      <c r="AB4927">
        <v>26</v>
      </c>
      <c r="AC4927">
        <v>6.8048999999999698</v>
      </c>
      <c r="AD4927">
        <v>-1.11493937734</v>
      </c>
      <c r="AE4927">
        <v>-15.427300000000001</v>
      </c>
      <c r="AF4927">
        <v>-5.0064399864137901</v>
      </c>
      <c r="AG4927">
        <v>-1.11493937734</v>
      </c>
      <c r="AH4927">
        <v>16.024164233804999</v>
      </c>
      <c r="AI4927">
        <v>93.799588864942194</v>
      </c>
      <c r="AJ4927">
        <v>107.350404415105</v>
      </c>
      <c r="AK4927">
        <v>16.8250221558446</v>
      </c>
      <c r="AL4927">
        <v>79.685494676888496</v>
      </c>
      <c r="AM4927">
        <v>98.249873621965307</v>
      </c>
      <c r="AN4927">
        <v>1.0000000263819599</v>
      </c>
    </row>
    <row r="4928" spans="1:40" x14ac:dyDescent="0.25">
      <c r="A4928" t="str">
        <f>"20190312172511194"</f>
        <v>20190312172511194</v>
      </c>
      <c r="B4928" t="str">
        <f>"1552382711185557"</f>
        <v>1552382711185557</v>
      </c>
      <c r="C4928" t="s">
        <v>40</v>
      </c>
      <c r="D4928">
        <v>3.6221429999999999</v>
      </c>
      <c r="E4928">
        <v>0.44060919999999998</v>
      </c>
      <c r="F4928" t="s">
        <v>50</v>
      </c>
      <c r="G4928">
        <v>-415.22370000000001</v>
      </c>
      <c r="H4928" s="1">
        <v>-8.9167950000000004E-6</v>
      </c>
      <c r="I4928">
        <v>29.333320000000001</v>
      </c>
      <c r="J4928">
        <v>-422.23169999999999</v>
      </c>
      <c r="K4928">
        <v>1.1150899999999999</v>
      </c>
      <c r="L4928">
        <v>44.925899999999999</v>
      </c>
      <c r="M4928">
        <v>0.1184974</v>
      </c>
      <c r="N4928">
        <v>0</v>
      </c>
      <c r="O4928">
        <v>-0.99286050000000003</v>
      </c>
      <c r="P4928">
        <v>0.2554825</v>
      </c>
      <c r="Q4928">
        <v>0.16743930000000001</v>
      </c>
      <c r="R4928">
        <v>-0.9522043</v>
      </c>
      <c r="S4928">
        <v>1.267029</v>
      </c>
      <c r="T4928">
        <v>-0.20058580000000001</v>
      </c>
      <c r="U4928">
        <v>-2.8497620000000001</v>
      </c>
      <c r="V4928">
        <v>-0.14279939999999999</v>
      </c>
      <c r="W4928">
        <v>0.1792009</v>
      </c>
      <c r="X4928">
        <v>0.97339370000000003</v>
      </c>
      <c r="Y4928">
        <v>-0.29425639999999997</v>
      </c>
      <c r="Z4928">
        <v>6.487822E-2</v>
      </c>
      <c r="AA4928">
        <v>0.95352179999999997</v>
      </c>
      <c r="AB4928">
        <v>26</v>
      </c>
      <c r="AC4928">
        <v>7.0079999999999796</v>
      </c>
      <c r="AD4928">
        <v>-1.1150989167949901</v>
      </c>
      <c r="AE4928">
        <v>-15.5925799999999</v>
      </c>
      <c r="AF4928">
        <v>-5.0891090306487996</v>
      </c>
      <c r="AG4928">
        <v>-1.1150989167949901</v>
      </c>
      <c r="AH4928">
        <v>16.244090484504301</v>
      </c>
      <c r="AI4928">
        <v>93.747914110636003</v>
      </c>
      <c r="AJ4928">
        <v>107.395245333994</v>
      </c>
      <c r="AK4928">
        <v>17.0591017345238</v>
      </c>
      <c r="AL4928">
        <v>79.676781656454494</v>
      </c>
      <c r="AM4928">
        <v>98.345907818255</v>
      </c>
      <c r="AN4928">
        <v>0.99999996320042905</v>
      </c>
    </row>
    <row r="4929" spans="1:40" x14ac:dyDescent="0.25">
      <c r="A4929" t="str">
        <f>"20190312172511216"</f>
        <v>20190312172511216</v>
      </c>
      <c r="B4929" t="str">
        <f>"1552382711206053"</f>
        <v>1552382711206053</v>
      </c>
      <c r="C4929" t="s">
        <v>40</v>
      </c>
      <c r="D4929">
        <v>3.6597840000000001</v>
      </c>
      <c r="E4929">
        <v>0.44105319999999998</v>
      </c>
      <c r="F4929" t="s">
        <v>50</v>
      </c>
      <c r="G4929">
        <v>-415.03429999999997</v>
      </c>
      <c r="H4929" s="1">
        <v>-8.9515920000000006E-6</v>
      </c>
      <c r="I4929">
        <v>29.05172</v>
      </c>
      <c r="J4929">
        <v>-422.19400000000002</v>
      </c>
      <c r="K4929">
        <v>1.1152580000000001</v>
      </c>
      <c r="L4929">
        <v>44.670499999999997</v>
      </c>
      <c r="M4929">
        <v>0.12507750000000001</v>
      </c>
      <c r="N4929">
        <v>0</v>
      </c>
      <c r="O4929">
        <v>-0.99205290000000002</v>
      </c>
      <c r="P4929">
        <v>0.26268900000000001</v>
      </c>
      <c r="Q4929">
        <v>0.16746720000000001</v>
      </c>
      <c r="R4929">
        <v>-0.95023659999999999</v>
      </c>
      <c r="S4929">
        <v>1.28772</v>
      </c>
      <c r="T4929">
        <v>-0.1995093</v>
      </c>
      <c r="U4929">
        <v>-2.8401489999999998</v>
      </c>
      <c r="V4929">
        <v>-0.14379549999999999</v>
      </c>
      <c r="W4929">
        <v>0.17917839999999999</v>
      </c>
      <c r="X4929">
        <v>0.97325119999999998</v>
      </c>
      <c r="Y4929">
        <v>-0.29490519999999998</v>
      </c>
      <c r="Z4929">
        <v>6.4552100000000001E-2</v>
      </c>
      <c r="AA4929">
        <v>0.95334359999999996</v>
      </c>
      <c r="AB4929">
        <v>26</v>
      </c>
      <c r="AC4929">
        <v>7.1597000000000399</v>
      </c>
      <c r="AD4929">
        <v>-1.115266951592</v>
      </c>
      <c r="AE4929">
        <v>-15.6187799999999</v>
      </c>
      <c r="AF4929">
        <v>-5.1281171634406801</v>
      </c>
      <c r="AG4929">
        <v>-1.115266951592</v>
      </c>
      <c r="AH4929">
        <v>16.322928676399599</v>
      </c>
      <c r="AI4929">
        <v>93.729492478419601</v>
      </c>
      <c r="AJ4929">
        <v>107.440971101879</v>
      </c>
      <c r="AK4929">
        <v>17.1458276729389</v>
      </c>
      <c r="AL4929">
        <v>79.678092107751695</v>
      </c>
      <c r="AM4929">
        <v>98.404509209446005</v>
      </c>
      <c r="AN4929">
        <v>0.99999997157412401</v>
      </c>
    </row>
    <row r="4930" spans="1:40" x14ac:dyDescent="0.25">
      <c r="A4930" t="str">
        <f>"20190312172511239"</f>
        <v>20190312172511239</v>
      </c>
      <c r="B4930" t="str">
        <f>"1552382711225573"</f>
        <v>1552382711225573</v>
      </c>
      <c r="C4930" t="s">
        <v>40</v>
      </c>
      <c r="D4930">
        <v>3.596012</v>
      </c>
      <c r="E4930">
        <v>0.44147760000000003</v>
      </c>
      <c r="F4930" t="s">
        <v>50</v>
      </c>
      <c r="G4930">
        <v>-414.87119999999999</v>
      </c>
      <c r="H4930" s="1">
        <v>-8.9815920000000003E-6</v>
      </c>
      <c r="I4930">
        <v>28.809339999999999</v>
      </c>
      <c r="J4930">
        <v>-422.1549</v>
      </c>
      <c r="K4930">
        <v>1.1154219999999999</v>
      </c>
      <c r="L4930">
        <v>44.41827</v>
      </c>
      <c r="M4930">
        <v>0.13182650000000001</v>
      </c>
      <c r="N4930">
        <v>0</v>
      </c>
      <c r="O4930">
        <v>-0.99117829999999996</v>
      </c>
      <c r="P4930">
        <v>0.27006239999999998</v>
      </c>
      <c r="Q4930">
        <v>0.16768620000000001</v>
      </c>
      <c r="R4930">
        <v>-0.94812890000000005</v>
      </c>
      <c r="S4930">
        <v>1.3069759999999999</v>
      </c>
      <c r="T4930">
        <v>-0.1990529</v>
      </c>
      <c r="U4930">
        <v>-2.830902</v>
      </c>
      <c r="V4930">
        <v>-0.14481520000000001</v>
      </c>
      <c r="W4930">
        <v>0.17934539999999999</v>
      </c>
      <c r="X4930">
        <v>0.97306930000000003</v>
      </c>
      <c r="Y4930">
        <v>-0.29493639999999999</v>
      </c>
      <c r="Z4930">
        <v>6.4422670000000001E-2</v>
      </c>
      <c r="AA4930">
        <v>0.95334269999999999</v>
      </c>
      <c r="AB4930">
        <v>26</v>
      </c>
      <c r="AC4930">
        <v>7.2836999999999996</v>
      </c>
      <c r="AD4930">
        <v>-1.1154309815919901</v>
      </c>
      <c r="AE4930">
        <v>-15.6089299999999</v>
      </c>
      <c r="AF4930">
        <v>-5.1407006269995001</v>
      </c>
      <c r="AG4930">
        <v>-1.1154309815919901</v>
      </c>
      <c r="AH4930">
        <v>16.364332297103001</v>
      </c>
      <c r="AI4930">
        <v>93.720656068210104</v>
      </c>
      <c r="AJ4930">
        <v>107.439619388574</v>
      </c>
      <c r="AK4930">
        <v>17.189018609017101</v>
      </c>
      <c r="AL4930">
        <v>79.668366865892494</v>
      </c>
      <c r="AM4930">
        <v>98.464807259924299</v>
      </c>
      <c r="AN4930">
        <v>1.00000003862734</v>
      </c>
    </row>
    <row r="4931" spans="1:40" x14ac:dyDescent="0.25">
      <c r="A4931" t="str">
        <f>"20190312172511252"</f>
        <v>20190312172511252</v>
      </c>
      <c r="B4931" t="str">
        <f>"1552382711246070"</f>
        <v>1552382711246070</v>
      </c>
      <c r="C4931" t="s">
        <v>40</v>
      </c>
      <c r="D4931">
        <v>3.599799</v>
      </c>
      <c r="E4931">
        <v>0.44190940000000001</v>
      </c>
      <c r="F4931" t="s">
        <v>50</v>
      </c>
      <c r="G4931">
        <v>-414.69549999999998</v>
      </c>
      <c r="H4931" s="1">
        <v>-9.013892E-6</v>
      </c>
      <c r="I4931">
        <v>28.54815</v>
      </c>
      <c r="J4931">
        <v>-422.12920000000003</v>
      </c>
      <c r="K4931">
        <v>1.1155250000000001</v>
      </c>
      <c r="L4931">
        <v>44.261020000000002</v>
      </c>
      <c r="M4931">
        <v>0.13618459999999999</v>
      </c>
      <c r="N4931">
        <v>0</v>
      </c>
      <c r="O4931">
        <v>-0.99058869999999999</v>
      </c>
      <c r="P4931">
        <v>0.27477430000000003</v>
      </c>
      <c r="Q4931">
        <v>0.16761400000000001</v>
      </c>
      <c r="R4931">
        <v>-0.94678680000000004</v>
      </c>
      <c r="S4931">
        <v>1.3261719999999999</v>
      </c>
      <c r="T4931">
        <v>-0.19830700000000001</v>
      </c>
      <c r="U4931">
        <v>-2.821472</v>
      </c>
      <c r="V4931">
        <v>-0.14542160000000001</v>
      </c>
      <c r="W4931">
        <v>0.17924129999999899</v>
      </c>
      <c r="X4931">
        <v>0.97299800000000003</v>
      </c>
      <c r="Y4931">
        <v>-0.29727799999999999</v>
      </c>
      <c r="Z4931">
        <v>6.4206589999999994E-2</v>
      </c>
      <c r="AA4931">
        <v>0.95262970000000002</v>
      </c>
      <c r="AB4931">
        <v>26</v>
      </c>
      <c r="AC4931">
        <v>7.4337000000000399</v>
      </c>
      <c r="AD4931">
        <v>-1.115534013892</v>
      </c>
      <c r="AE4931">
        <v>-15.712870000000001</v>
      </c>
      <c r="AF4931">
        <v>-5.20295059769966</v>
      </c>
      <c r="AG4931">
        <v>-1.115534013892</v>
      </c>
      <c r="AH4931">
        <v>16.510903774346399</v>
      </c>
      <c r="AI4931">
        <v>93.687024754968306</v>
      </c>
      <c r="AJ4931">
        <v>107.49079118690899</v>
      </c>
      <c r="AK4931">
        <v>17.347191545145801</v>
      </c>
      <c r="AL4931">
        <v>79.674429161114304</v>
      </c>
      <c r="AM4931">
        <v>98.500349891767698</v>
      </c>
      <c r="AN4931">
        <v>0.999999996688125</v>
      </c>
    </row>
    <row r="4932" spans="1:40" x14ac:dyDescent="0.25">
      <c r="A4932" t="str">
        <f>"20190312172511266"</f>
        <v>20190312172511266</v>
      </c>
      <c r="B4932" t="str">
        <f>"1552382711255830"</f>
        <v>1552382711255830</v>
      </c>
      <c r="C4932" t="s">
        <v>40</v>
      </c>
      <c r="D4932">
        <v>3.617432</v>
      </c>
      <c r="E4932">
        <v>0.4421447</v>
      </c>
      <c r="F4932" t="s">
        <v>50</v>
      </c>
      <c r="G4932">
        <v>-414.6542</v>
      </c>
      <c r="H4932" s="1">
        <v>-9.0247979999999999E-6</v>
      </c>
      <c r="I4932">
        <v>28.516259999999999</v>
      </c>
      <c r="J4932">
        <v>-422.10300000000001</v>
      </c>
      <c r="K4932">
        <v>1.115629</v>
      </c>
      <c r="L4932">
        <v>44.104100000000003</v>
      </c>
      <c r="M4932">
        <v>0.1406144</v>
      </c>
      <c r="N4932">
        <v>0</v>
      </c>
      <c r="O4932">
        <v>-0.9899694</v>
      </c>
      <c r="P4932">
        <v>0.27933019999999997</v>
      </c>
      <c r="Q4932">
        <v>0.16739000000000001</v>
      </c>
      <c r="R4932">
        <v>-0.94549240000000001</v>
      </c>
      <c r="S4932">
        <v>1.3369139999999999</v>
      </c>
      <c r="T4932">
        <v>-0.1995132</v>
      </c>
      <c r="U4932">
        <v>-2.8159480000000001</v>
      </c>
      <c r="V4932">
        <v>-0.14579400000000001</v>
      </c>
      <c r="W4932">
        <v>0.17898839999999999</v>
      </c>
      <c r="X4932">
        <v>0.97298879999999999</v>
      </c>
      <c r="Y4932">
        <v>-0.2966858</v>
      </c>
      <c r="Z4932">
        <v>6.4604700000000001E-2</v>
      </c>
      <c r="AA4932">
        <v>0.9527873</v>
      </c>
      <c r="AB4932">
        <v>26</v>
      </c>
      <c r="AC4932">
        <v>7.4488000000000003</v>
      </c>
      <c r="AD4932">
        <v>-1.115638024798</v>
      </c>
      <c r="AE4932">
        <v>-15.58784</v>
      </c>
      <c r="AF4932">
        <v>-5.1611740359584797</v>
      </c>
      <c r="AG4932">
        <v>-1.115638024798</v>
      </c>
      <c r="AH4932">
        <v>16.4120031832142</v>
      </c>
      <c r="AI4932">
        <v>93.710211274779894</v>
      </c>
      <c r="AJ4932">
        <v>107.457087871068</v>
      </c>
      <c r="AK4932">
        <v>17.240539844148199</v>
      </c>
      <c r="AL4932">
        <v>79.689157183031099</v>
      </c>
      <c r="AM4932">
        <v>98.521878024471306</v>
      </c>
      <c r="AN4932">
        <v>0.99999997134799901</v>
      </c>
    </row>
    <row r="4933" spans="1:40" x14ac:dyDescent="0.25">
      <c r="A4933" t="str">
        <f>"20190312172511284"</f>
        <v>20190312172511284</v>
      </c>
      <c r="B4933" t="str">
        <f>"1552382711275350"</f>
        <v>1552382711275350</v>
      </c>
      <c r="C4933" t="s">
        <v>40</v>
      </c>
      <c r="D4933">
        <v>3.7616260000000001</v>
      </c>
      <c r="E4933">
        <v>0.44243890000000002</v>
      </c>
      <c r="F4933" t="s">
        <v>50</v>
      </c>
      <c r="G4933">
        <v>-414.60680000000002</v>
      </c>
      <c r="H4933" s="1">
        <v>-9.0379709999999995E-6</v>
      </c>
      <c r="I4933">
        <v>28.485659999999999</v>
      </c>
      <c r="J4933">
        <v>-422.06849999999997</v>
      </c>
      <c r="K4933">
        <v>1.1157549999999901</v>
      </c>
      <c r="L4933">
        <v>43.904110000000003</v>
      </c>
      <c r="M4933">
        <v>0.1464049</v>
      </c>
      <c r="N4933">
        <v>0</v>
      </c>
      <c r="O4933">
        <v>-0.98912940000000005</v>
      </c>
      <c r="P4933">
        <v>0.28581240000000002</v>
      </c>
      <c r="Q4933">
        <v>0.16667170000000001</v>
      </c>
      <c r="R4933">
        <v>-0.94368039999999997</v>
      </c>
      <c r="S4933">
        <v>1.3486940000000001</v>
      </c>
      <c r="T4933">
        <v>-0.2007227</v>
      </c>
      <c r="U4933">
        <v>-2.810028</v>
      </c>
      <c r="V4933">
        <v>-0.146814</v>
      </c>
      <c r="W4933">
        <v>0.17822689999999999</v>
      </c>
      <c r="X4933">
        <v>0.97297529999999999</v>
      </c>
      <c r="Y4933">
        <v>-0.2951164</v>
      </c>
      <c r="Z4933">
        <v>6.4995109999999995E-2</v>
      </c>
      <c r="AA4933">
        <v>0.95324810000000004</v>
      </c>
      <c r="AB4933">
        <v>26</v>
      </c>
      <c r="AC4933">
        <v>7.4616999999999498</v>
      </c>
      <c r="AD4933">
        <v>-1.1157640379710001</v>
      </c>
      <c r="AE4933">
        <v>-15.418449999999901</v>
      </c>
      <c r="AF4933">
        <v>-5.1020851811236803</v>
      </c>
      <c r="AG4933">
        <v>-1.1157640379710001</v>
      </c>
      <c r="AH4933">
        <v>16.2757547588356</v>
      </c>
      <c r="AI4933">
        <v>93.742668176516901</v>
      </c>
      <c r="AJ4933">
        <v>107.40504152789499</v>
      </c>
      <c r="AK4933">
        <v>17.093168095868901</v>
      </c>
      <c r="AL4933">
        <v>79.733501835856501</v>
      </c>
      <c r="AM4933">
        <v>98.580731390521393</v>
      </c>
      <c r="AN4933">
        <v>1.0000000564448399</v>
      </c>
    </row>
    <row r="4934" spans="1:40" x14ac:dyDescent="0.25">
      <c r="A4934" t="str">
        <f>"20190312172511307"</f>
        <v>20190312172511307</v>
      </c>
      <c r="B4934" t="str">
        <f>"1552382711295846"</f>
        <v>1552382711295846</v>
      </c>
      <c r="C4934" t="s">
        <v>40</v>
      </c>
      <c r="D4934">
        <v>3.554325</v>
      </c>
      <c r="E4934">
        <v>0.44320019999999999</v>
      </c>
      <c r="F4934" t="s">
        <v>50</v>
      </c>
      <c r="G4934">
        <v>-414.5795</v>
      </c>
      <c r="H4934" s="1">
        <v>-9.0537829999999998E-6</v>
      </c>
      <c r="I4934">
        <v>28.541029999999999</v>
      </c>
      <c r="J4934">
        <v>-422.0222</v>
      </c>
      <c r="K4934">
        <v>1.1159159999999999</v>
      </c>
      <c r="L4934">
        <v>43.64893</v>
      </c>
      <c r="M4934">
        <v>0.15403499999999901</v>
      </c>
      <c r="N4934">
        <v>0</v>
      </c>
      <c r="O4934">
        <v>-0.98796949999999994</v>
      </c>
      <c r="P4934">
        <v>0.29405609999999999</v>
      </c>
      <c r="Q4934">
        <v>0.16585250000000001</v>
      </c>
      <c r="R4934">
        <v>-0.94128869999999998</v>
      </c>
      <c r="S4934">
        <v>1.36557</v>
      </c>
      <c r="T4934">
        <v>-0.20345469999999999</v>
      </c>
      <c r="U4934">
        <v>-2.8013919999999999</v>
      </c>
      <c r="V4934">
        <v>-0.14785770000000001</v>
      </c>
      <c r="W4934">
        <v>0.17735979999999901</v>
      </c>
      <c r="X4934">
        <v>0.9729757</v>
      </c>
      <c r="Y4934">
        <v>-0.293514</v>
      </c>
      <c r="Z4934">
        <v>6.5876210000000004E-2</v>
      </c>
      <c r="AA4934">
        <v>0.95368229999999998</v>
      </c>
      <c r="AB4934">
        <v>26</v>
      </c>
      <c r="AC4934">
        <v>7.4427000000000003</v>
      </c>
      <c r="AD4934">
        <v>-1.1159250537830001</v>
      </c>
      <c r="AE4934">
        <v>-15.107900000000001</v>
      </c>
      <c r="AF4934">
        <v>-5.0045198883905098</v>
      </c>
      <c r="AG4934">
        <v>-1.1159250537830001</v>
      </c>
      <c r="AH4934">
        <v>16.003841263790001</v>
      </c>
      <c r="AI4934">
        <v>93.807453970370503</v>
      </c>
      <c r="AJ4934">
        <v>107.364850890193</v>
      </c>
      <c r="AK4934">
        <v>16.805161208258198</v>
      </c>
      <c r="AL4934">
        <v>79.783987337824598</v>
      </c>
      <c r="AM4934">
        <v>98.640810716502401</v>
      </c>
      <c r="AN4934">
        <v>1.0000000554479</v>
      </c>
    </row>
    <row r="4935" spans="1:40" x14ac:dyDescent="0.25">
      <c r="A4935" t="str">
        <f>"20190312172511329"</f>
        <v>20190312172511329</v>
      </c>
      <c r="B4935" t="str">
        <f>"1552382711315365"</f>
        <v>1552382711315365</v>
      </c>
      <c r="C4935" t="s">
        <v>40</v>
      </c>
      <c r="D4935">
        <v>3.588009</v>
      </c>
      <c r="E4935">
        <v>0.44366489999999997</v>
      </c>
      <c r="F4935" t="s">
        <v>50</v>
      </c>
      <c r="G4935">
        <v>-414.58080000000001</v>
      </c>
      <c r="H4935" s="1">
        <v>-9.0650009999999998E-6</v>
      </c>
      <c r="I4935">
        <v>28.644590000000001</v>
      </c>
      <c r="J4935">
        <v>-421.9753</v>
      </c>
      <c r="K4935">
        <v>1.116055</v>
      </c>
      <c r="L4935">
        <v>43.402439999999999</v>
      </c>
      <c r="M4935">
        <v>0.1616215</v>
      </c>
      <c r="N4935">
        <v>0</v>
      </c>
      <c r="O4935">
        <v>-0.98675659999999998</v>
      </c>
      <c r="P4935">
        <v>0.30170580000000002</v>
      </c>
      <c r="Q4935">
        <v>0.16538829999999999</v>
      </c>
      <c r="R4935">
        <v>-0.93894650000000002</v>
      </c>
      <c r="S4935">
        <v>1.3843080000000001</v>
      </c>
      <c r="T4935">
        <v>-0.20759340000000001</v>
      </c>
      <c r="U4935">
        <v>-2.791229</v>
      </c>
      <c r="V4935">
        <v>-0.148344899999999</v>
      </c>
      <c r="W4935">
        <v>0.1768605</v>
      </c>
      <c r="X4935">
        <v>0.97299239999999998</v>
      </c>
      <c r="Y4935">
        <v>-0.29264879999999999</v>
      </c>
      <c r="Z4935">
        <v>6.7219210000000001E-2</v>
      </c>
      <c r="AA4935">
        <v>0.95385439999999999</v>
      </c>
      <c r="AB4935">
        <v>26</v>
      </c>
      <c r="AC4935">
        <v>7.3944999999999901</v>
      </c>
      <c r="AD4935">
        <v>-1.1160640650010001</v>
      </c>
      <c r="AE4935">
        <v>-14.757849999999999</v>
      </c>
      <c r="AF4935">
        <v>-4.88950006952349</v>
      </c>
      <c r="AG4935">
        <v>-1.1160640650010001</v>
      </c>
      <c r="AH4935">
        <v>15.687298589729901</v>
      </c>
      <c r="AI4935">
        <v>93.885657551627403</v>
      </c>
      <c r="AJ4935">
        <v>107.31148784041601</v>
      </c>
      <c r="AK4935">
        <v>16.469491399870201</v>
      </c>
      <c r="AL4935">
        <v>79.8130543620439</v>
      </c>
      <c r="AM4935">
        <v>98.668704342251601</v>
      </c>
      <c r="AN4935">
        <v>1.0000000281370001</v>
      </c>
    </row>
    <row r="4936" spans="1:40" x14ac:dyDescent="0.25">
      <c r="A4936" t="str">
        <f>"20190312172511352"</f>
        <v>20190312172511352</v>
      </c>
      <c r="B4936" t="str">
        <f>"1552382711345625"</f>
        <v>1552382711345625</v>
      </c>
      <c r="C4936" t="s">
        <v>40</v>
      </c>
      <c r="D4936">
        <v>3.5415410000000001</v>
      </c>
      <c r="E4936">
        <v>0.44406659999999998</v>
      </c>
      <c r="F4936" t="s">
        <v>50</v>
      </c>
      <c r="G4936">
        <v>-414.51760000000002</v>
      </c>
      <c r="H4936" s="1">
        <v>-9.0843530000000004E-6</v>
      </c>
      <c r="I4936">
        <v>28.61947</v>
      </c>
      <c r="J4936">
        <v>-421.92419999999998</v>
      </c>
      <c r="K4936">
        <v>1.116196</v>
      </c>
      <c r="L4936">
        <v>43.146389999999997</v>
      </c>
      <c r="M4936">
        <v>0.16972579999999901</v>
      </c>
      <c r="N4936">
        <v>0</v>
      </c>
      <c r="O4936">
        <v>-0.98539460000000001</v>
      </c>
      <c r="P4936">
        <v>0.30981809999999999</v>
      </c>
      <c r="Q4936">
        <v>0.1662226</v>
      </c>
      <c r="R4936">
        <v>-0.93615349999999997</v>
      </c>
      <c r="S4936">
        <v>1.403076</v>
      </c>
      <c r="T4936">
        <v>-0.20997499999999999</v>
      </c>
      <c r="U4936">
        <v>-2.78125</v>
      </c>
      <c r="V4936">
        <v>-0.14886460000000001</v>
      </c>
      <c r="W4936">
        <v>0.1776578</v>
      </c>
      <c r="X4936">
        <v>0.97276770000000001</v>
      </c>
      <c r="Y4936">
        <v>-0.29127380000000003</v>
      </c>
      <c r="Z4936">
        <v>6.7980360000000004E-2</v>
      </c>
      <c r="AA4936">
        <v>0.95422119999999999</v>
      </c>
      <c r="AB4936">
        <v>26</v>
      </c>
      <c r="AC4936">
        <v>7.4065999999999601</v>
      </c>
      <c r="AD4936">
        <v>-1.116205084353</v>
      </c>
      <c r="AE4936">
        <v>-14.52692</v>
      </c>
      <c r="AF4936">
        <v>-4.8107488481064102</v>
      </c>
      <c r="AG4936">
        <v>-1.116205084353</v>
      </c>
      <c r="AH4936">
        <v>15.500690366988801</v>
      </c>
      <c r="AI4936">
        <v>93.934262219690197</v>
      </c>
      <c r="AJ4936">
        <v>107.24209922177199</v>
      </c>
      <c r="AK4936">
        <v>16.268393286466601</v>
      </c>
      <c r="AL4936">
        <v>79.766636895852301</v>
      </c>
      <c r="AM4936">
        <v>98.700588440594402</v>
      </c>
      <c r="AN4936">
        <v>0.99999998059864403</v>
      </c>
    </row>
    <row r="4937" spans="1:40" x14ac:dyDescent="0.25">
      <c r="A4937" t="str">
        <f>"20190312172511373"</f>
        <v>20190312172511373</v>
      </c>
      <c r="B4937" t="str">
        <f>"1552382711365141"</f>
        <v>1552382711365141</v>
      </c>
      <c r="C4937" t="s">
        <v>40</v>
      </c>
      <c r="D4937">
        <v>3.589537</v>
      </c>
      <c r="E4937">
        <v>0.4525112</v>
      </c>
      <c r="F4937" t="s">
        <v>50</v>
      </c>
      <c r="G4937">
        <v>-414.29570000000001</v>
      </c>
      <c r="H4937" s="1">
        <v>-9.1271630000000001E-6</v>
      </c>
      <c r="I4937">
        <v>28.3078</v>
      </c>
      <c r="J4937">
        <v>-421.8723</v>
      </c>
      <c r="K4937">
        <v>1.1163430000000001</v>
      </c>
      <c r="L4937">
        <v>42.897219999999997</v>
      </c>
      <c r="M4937">
        <v>0.17783499999999999</v>
      </c>
      <c r="N4937">
        <v>0</v>
      </c>
      <c r="O4937">
        <v>-0.98396300000000003</v>
      </c>
      <c r="P4937">
        <v>0.31841740000000002</v>
      </c>
      <c r="Q4937">
        <v>0.1668086</v>
      </c>
      <c r="R4937">
        <v>-0.93315910000000002</v>
      </c>
      <c r="S4937">
        <v>1.424194</v>
      </c>
      <c r="T4937">
        <v>-0.20839009999999999</v>
      </c>
      <c r="U4937">
        <v>-2.7702939999999998</v>
      </c>
      <c r="V4937">
        <v>-0.14989129999999901</v>
      </c>
      <c r="W4937">
        <v>0.1782021</v>
      </c>
      <c r="X4937">
        <v>0.97251050000000006</v>
      </c>
      <c r="Y4937">
        <v>-0.29070089999999998</v>
      </c>
      <c r="Z4937">
        <v>6.7455050000000003E-2</v>
      </c>
      <c r="AA4937">
        <v>0.95443319999999998</v>
      </c>
      <c r="AB4937">
        <v>26</v>
      </c>
      <c r="AC4937">
        <v>7.5765999999999796</v>
      </c>
      <c r="AD4937">
        <v>-1.1163521271629999</v>
      </c>
      <c r="AE4937">
        <v>-14.58942</v>
      </c>
      <c r="AF4937">
        <v>-4.8387370406153298</v>
      </c>
      <c r="AG4937">
        <v>-1.1163521271629999</v>
      </c>
      <c r="AH4937">
        <v>15.632252503762601</v>
      </c>
      <c r="AI4937">
        <v>93.902669993370296</v>
      </c>
      <c r="AJ4937">
        <v>107.199152290334</v>
      </c>
      <c r="AK4937">
        <v>16.4020406218688</v>
      </c>
      <c r="AL4937">
        <v>79.734945628471095</v>
      </c>
      <c r="AM4937">
        <v>98.761948416087805</v>
      </c>
      <c r="AN4937">
        <v>1.00000003143517</v>
      </c>
    </row>
    <row r="4938" spans="1:40" x14ac:dyDescent="0.25">
      <c r="A4938" t="str">
        <f>"20190312172511387"</f>
        <v>20190312172511387</v>
      </c>
      <c r="B4938" t="str">
        <f>"1552382711375877"</f>
        <v>1552382711375877</v>
      </c>
      <c r="C4938" t="s">
        <v>40</v>
      </c>
      <c r="D4938">
        <v>3.5253070000000002</v>
      </c>
      <c r="E4938">
        <v>0.45278119999999999</v>
      </c>
      <c r="F4938" t="s">
        <v>50</v>
      </c>
      <c r="G4938">
        <v>-414.99869999999999</v>
      </c>
      <c r="H4938" s="1">
        <v>-8.9713910000000006E-6</v>
      </c>
      <c r="I4938">
        <v>29.116510000000002</v>
      </c>
      <c r="J4938">
        <v>-421.84019999999998</v>
      </c>
      <c r="K4938">
        <v>1.116428</v>
      </c>
      <c r="L4938">
        <v>42.748989999999999</v>
      </c>
      <c r="M4938">
        <v>0.18276290000000001</v>
      </c>
      <c r="N4938">
        <v>0</v>
      </c>
      <c r="O4938">
        <v>-0.98305949999999998</v>
      </c>
      <c r="P4938">
        <v>0.32303989999999999</v>
      </c>
      <c r="Q4938">
        <v>0.1665296</v>
      </c>
      <c r="R4938">
        <v>-0.93161870000000002</v>
      </c>
      <c r="S4938">
        <v>1.3874820000000001</v>
      </c>
      <c r="T4938">
        <v>-0.22534409999999999</v>
      </c>
      <c r="U4938">
        <v>-2.7817379999999998</v>
      </c>
      <c r="V4938">
        <v>-0.149862299999999</v>
      </c>
      <c r="W4938">
        <v>0.17790929999999999</v>
      </c>
      <c r="X4938">
        <v>0.97256860000000001</v>
      </c>
      <c r="Y4938">
        <v>-0.2740592</v>
      </c>
      <c r="Z4938">
        <v>7.2935780000000006E-2</v>
      </c>
      <c r="AA4938">
        <v>0.95894310000000005</v>
      </c>
      <c r="AB4938">
        <v>26</v>
      </c>
      <c r="AC4938">
        <v>6.8414999999999901</v>
      </c>
      <c r="AD4938">
        <v>-1.1164369713910001</v>
      </c>
      <c r="AE4938">
        <v>-13.632479999999999</v>
      </c>
      <c r="AF4938">
        <v>-4.2119304533631503</v>
      </c>
      <c r="AG4938">
        <v>-1.1164369713910001</v>
      </c>
      <c r="AH4938">
        <v>14.575229097466201</v>
      </c>
      <c r="AI4938">
        <v>94.208653536024499</v>
      </c>
      <c r="AJ4938">
        <v>106.11816644429101</v>
      </c>
      <c r="AK4938">
        <v>15.2126293880671</v>
      </c>
      <c r="AL4938">
        <v>79.751994504927694</v>
      </c>
      <c r="AM4938">
        <v>98.759764298800704</v>
      </c>
      <c r="AN4938">
        <v>1.0000000548468599</v>
      </c>
    </row>
    <row r="4939" spans="1:40" x14ac:dyDescent="0.25">
      <c r="A4939" t="str">
        <f>"20190312172511406"</f>
        <v>20190312172511406</v>
      </c>
      <c r="B4939" t="str">
        <f>"1552382711395398"</f>
        <v>1552382711395398</v>
      </c>
      <c r="C4939" t="s">
        <v>40</v>
      </c>
      <c r="D4939">
        <v>3.7338049999999998</v>
      </c>
      <c r="E4939">
        <v>0.45225300000000002</v>
      </c>
      <c r="F4939" t="s">
        <v>50</v>
      </c>
      <c r="G4939">
        <v>-414.87209999999999</v>
      </c>
      <c r="H4939" s="1">
        <v>-8.9937729999999997E-6</v>
      </c>
      <c r="I4939">
        <v>28.920590000000001</v>
      </c>
      <c r="J4939">
        <v>-421.79230000000001</v>
      </c>
      <c r="K4939">
        <v>1.116547</v>
      </c>
      <c r="L4939">
        <v>42.534329999999997</v>
      </c>
      <c r="M4939">
        <v>0.1900434</v>
      </c>
      <c r="N4939">
        <v>0</v>
      </c>
      <c r="O4939">
        <v>-0.98167769999999999</v>
      </c>
      <c r="P4939">
        <v>0.33120949999999999</v>
      </c>
      <c r="Q4939">
        <v>0.1661493</v>
      </c>
      <c r="R4939">
        <v>-0.92881369999999996</v>
      </c>
      <c r="S4939">
        <v>1.3984989999999999</v>
      </c>
      <c r="T4939">
        <v>-0.22406899999999999</v>
      </c>
      <c r="U4939">
        <v>-2.77536</v>
      </c>
      <c r="V4939">
        <v>-0.15123499999999901</v>
      </c>
      <c r="W4939">
        <v>0.17748599999999901</v>
      </c>
      <c r="X4939">
        <v>0.9724334</v>
      </c>
      <c r="Y4939">
        <v>-0.2708662</v>
      </c>
      <c r="Z4939">
        <v>7.2493929999999998E-2</v>
      </c>
      <c r="AA4939">
        <v>0.95988340000000005</v>
      </c>
      <c r="AB4939">
        <v>26</v>
      </c>
      <c r="AC4939">
        <v>6.9202000000000199</v>
      </c>
      <c r="AD4939">
        <v>-1.1165559937730001</v>
      </c>
      <c r="AE4939">
        <v>-13.6137399999999</v>
      </c>
      <c r="AF4939">
        <v>-4.1842423508600097</v>
      </c>
      <c r="AG4939">
        <v>-1.1165559937730001</v>
      </c>
      <c r="AH4939">
        <v>14.6027962174074</v>
      </c>
      <c r="AI4939">
        <v>94.2039002615887</v>
      </c>
      <c r="AJ4939">
        <v>105.98897026693901</v>
      </c>
      <c r="AK4939">
        <v>15.231422740672899</v>
      </c>
      <c r="AL4939">
        <v>79.776639588994996</v>
      </c>
      <c r="AM4939">
        <v>98.8399496218384</v>
      </c>
      <c r="AN4939">
        <v>1.0000000114282701</v>
      </c>
    </row>
    <row r="4940" spans="1:40" x14ac:dyDescent="0.25">
      <c r="A4940" t="str">
        <f>"20190312172511429"</f>
        <v>20190312172511429</v>
      </c>
      <c r="B4940" t="str">
        <f>"1552382711425654"</f>
        <v>1552382711425654</v>
      </c>
      <c r="C4940" t="s">
        <v>40</v>
      </c>
      <c r="D4940">
        <v>3.6474009999999999</v>
      </c>
      <c r="E4940">
        <v>0.43781550000000002</v>
      </c>
      <c r="F4940" t="s">
        <v>50</v>
      </c>
      <c r="G4940">
        <v>-414.99619999999999</v>
      </c>
      <c r="H4940" s="1">
        <v>-9.0018659999999996E-6</v>
      </c>
      <c r="I4940">
        <v>29.379899999999999</v>
      </c>
      <c r="J4940">
        <v>-421.73390000000001</v>
      </c>
      <c r="K4940">
        <v>1.116689</v>
      </c>
      <c r="L4940">
        <v>42.283940000000001</v>
      </c>
      <c r="M4940">
        <v>0.19875000000000001</v>
      </c>
      <c r="N4940">
        <v>0</v>
      </c>
      <c r="O4940">
        <v>-0.97995149999999998</v>
      </c>
      <c r="P4940">
        <v>0.3406863</v>
      </c>
      <c r="Q4940">
        <v>0.16545309999999999</v>
      </c>
      <c r="R4940">
        <v>-0.9255044</v>
      </c>
      <c r="S4940">
        <v>1.4273990000000001</v>
      </c>
      <c r="T4940">
        <v>-0.23451459999999999</v>
      </c>
      <c r="U4940">
        <v>-2.7628780000000002</v>
      </c>
      <c r="V4940">
        <v>-0.15257519999999999</v>
      </c>
      <c r="W4940">
        <v>0.17674309999999999</v>
      </c>
      <c r="X4940">
        <v>0.97235930000000004</v>
      </c>
      <c r="Y4940">
        <v>-0.27190910000000001</v>
      </c>
      <c r="Z4940">
        <v>7.5775759999999998E-2</v>
      </c>
      <c r="AA4940">
        <v>0.95933489999999999</v>
      </c>
      <c r="AB4940">
        <v>26</v>
      </c>
      <c r="AC4940">
        <v>6.73770000000001</v>
      </c>
      <c r="AD4940">
        <v>-1.116698001866</v>
      </c>
      <c r="AE4940">
        <v>-12.90404</v>
      </c>
      <c r="AF4940">
        <v>-4.0147069718444603</v>
      </c>
      <c r="AG4940">
        <v>-1.116698001866</v>
      </c>
      <c r="AH4940">
        <v>13.903984746458301</v>
      </c>
      <c r="AI4940">
        <v>94.412352662610502</v>
      </c>
      <c r="AJ4940">
        <v>106.105812162489</v>
      </c>
      <c r="AK4940">
        <v>14.515015615799101</v>
      </c>
      <c r="AL4940">
        <v>79.819887865095396</v>
      </c>
      <c r="AM4940">
        <v>98.917701822034005</v>
      </c>
      <c r="AN4940">
        <v>0.99999996167456895</v>
      </c>
    </row>
    <row r="4941" spans="1:40" x14ac:dyDescent="0.25">
      <c r="A4941" t="str">
        <f>"20190312172511452"</f>
        <v>20190312172511452</v>
      </c>
      <c r="B4941" t="str">
        <f>"1552382711445173"</f>
        <v>1552382711445173</v>
      </c>
      <c r="C4941" t="s">
        <v>40</v>
      </c>
      <c r="D4941">
        <v>3.4309479999999999</v>
      </c>
      <c r="E4941">
        <v>0.4216626</v>
      </c>
      <c r="F4941" t="s">
        <v>50</v>
      </c>
      <c r="G4941">
        <v>-414.62700000000001</v>
      </c>
      <c r="H4941" s="1">
        <v>-6.42193499999999E-6</v>
      </c>
      <c r="I4941">
        <v>29.972799999999999</v>
      </c>
      <c r="J4941">
        <v>-421.67259999999999</v>
      </c>
      <c r="K4941">
        <v>1.1168309999999999</v>
      </c>
      <c r="L4941">
        <v>42.032139999999998</v>
      </c>
      <c r="M4941">
        <v>0.2077233</v>
      </c>
      <c r="N4941">
        <v>0</v>
      </c>
      <c r="O4941">
        <v>-0.97808839999999997</v>
      </c>
      <c r="P4941">
        <v>0.3506283</v>
      </c>
      <c r="Q4941">
        <v>0.1648309</v>
      </c>
      <c r="R4941">
        <v>-0.92189509999999997</v>
      </c>
      <c r="S4941">
        <v>1.564209</v>
      </c>
      <c r="T4941">
        <v>-0.24577959999999999</v>
      </c>
      <c r="U4941">
        <v>-2.709625</v>
      </c>
      <c r="V4941">
        <v>-0.15416289999999999</v>
      </c>
      <c r="W4941">
        <v>0.17607010000000001</v>
      </c>
      <c r="X4941">
        <v>0.97223099999999996</v>
      </c>
      <c r="Y4941">
        <v>-0.30754029999999999</v>
      </c>
      <c r="Z4941">
        <v>7.9180150000000005E-2</v>
      </c>
      <c r="AA4941">
        <v>0.94823489999999999</v>
      </c>
      <c r="AB4941">
        <v>26</v>
      </c>
      <c r="AC4941">
        <v>7.0456000000000296</v>
      </c>
      <c r="AD4941">
        <v>-1.1168374219349999</v>
      </c>
      <c r="AE4941">
        <v>-12.059340000000001</v>
      </c>
      <c r="AF4941">
        <v>-4.3587681969660297</v>
      </c>
      <c r="AG4941">
        <v>-1.1168374219349999</v>
      </c>
      <c r="AH4941">
        <v>13.175673558547899</v>
      </c>
      <c r="AI4941">
        <v>94.601004321000104</v>
      </c>
      <c r="AJ4941">
        <v>108.30521633143999</v>
      </c>
      <c r="AK4941">
        <v>13.92280717899</v>
      </c>
      <c r="AL4941">
        <v>79.859062662928295</v>
      </c>
      <c r="AM4941">
        <v>99.010154604078096</v>
      </c>
      <c r="AN4941">
        <v>0.99999999860570998</v>
      </c>
    </row>
    <row r="4942" spans="1:40" x14ac:dyDescent="0.25">
      <c r="A4942" t="str">
        <f>"20190312172511474"</f>
        <v>20190312172511474</v>
      </c>
      <c r="B4942" t="str">
        <f>"1552382711465673"</f>
        <v>1552382711465673</v>
      </c>
      <c r="C4942" t="s">
        <v>40</v>
      </c>
      <c r="D4942">
        <v>3.5672969999999999</v>
      </c>
      <c r="E4942">
        <v>0.42409269999999999</v>
      </c>
      <c r="F4942" t="s">
        <v>50</v>
      </c>
      <c r="G4942">
        <v>-411.60199999999998</v>
      </c>
      <c r="H4942" s="1">
        <v>-9.8856640000000008E-6</v>
      </c>
      <c r="I4942">
        <v>26.477810000000002</v>
      </c>
      <c r="J4942">
        <v>-421.61</v>
      </c>
      <c r="K4942">
        <v>1.116959</v>
      </c>
      <c r="L4942">
        <v>41.78546</v>
      </c>
      <c r="M4942">
        <v>0.2167279</v>
      </c>
      <c r="N4942">
        <v>0</v>
      </c>
      <c r="O4942">
        <v>-0.97613229999999995</v>
      </c>
      <c r="P4942">
        <v>0.35974309999999998</v>
      </c>
      <c r="Q4942">
        <v>0.16450919999999999</v>
      </c>
      <c r="R4942">
        <v>-0.91843470000000005</v>
      </c>
      <c r="S4942">
        <v>1.708191</v>
      </c>
      <c r="T4942">
        <v>-0.18943940000000001</v>
      </c>
      <c r="U4942">
        <v>-2.6383359999999998</v>
      </c>
      <c r="V4942">
        <v>-0.15487709999999999</v>
      </c>
      <c r="W4942">
        <v>0.17571329999999999</v>
      </c>
      <c r="X4942">
        <v>0.97218199999999999</v>
      </c>
      <c r="Y4942">
        <v>-0.34759210000000001</v>
      </c>
      <c r="Z4942">
        <v>6.1077619999999999E-2</v>
      </c>
      <c r="AA4942">
        <v>0.93565449999999994</v>
      </c>
      <c r="AB4942">
        <v>26</v>
      </c>
      <c r="AC4942">
        <v>10.007999999999999</v>
      </c>
      <c r="AD4942">
        <v>-1.1169688856640001</v>
      </c>
      <c r="AE4942">
        <v>-15.307650000000001</v>
      </c>
      <c r="AF4942">
        <v>-6.4281885150950302</v>
      </c>
      <c r="AG4942">
        <v>-1.1169688856640001</v>
      </c>
      <c r="AH4942">
        <v>17.049377045300801</v>
      </c>
      <c r="AI4942">
        <v>93.507919917894398</v>
      </c>
      <c r="AJ4942">
        <v>110.658129985964</v>
      </c>
      <c r="AK4942">
        <v>18.255149539512701</v>
      </c>
      <c r="AL4942">
        <v>79.879829173512306</v>
      </c>
      <c r="AM4942">
        <v>99.051655698609196</v>
      </c>
      <c r="AN4942">
        <v>0.99999996051264906</v>
      </c>
    </row>
    <row r="4943" spans="1:40" x14ac:dyDescent="0.25">
      <c r="A4943" t="str">
        <f>"20190312172511496"</f>
        <v>20190312172511496</v>
      </c>
      <c r="B4943" t="str">
        <f>"1552382711485189"</f>
        <v>1552382711485189</v>
      </c>
      <c r="C4943" t="s">
        <v>40</v>
      </c>
      <c r="D4943">
        <v>3.5634489999999999</v>
      </c>
      <c r="E4943">
        <v>0.42521569999999997</v>
      </c>
      <c r="F4943" t="s">
        <v>50</v>
      </c>
      <c r="G4943">
        <v>-411.62720000000002</v>
      </c>
      <c r="H4943" s="1">
        <v>-9.8793500000000005E-6</v>
      </c>
      <c r="I4943">
        <v>26.506489999999999</v>
      </c>
      <c r="J4943">
        <v>-421.5455</v>
      </c>
      <c r="K4943">
        <v>1.117084</v>
      </c>
      <c r="L4943">
        <v>41.541719999999998</v>
      </c>
      <c r="M4943">
        <v>0.2258462</v>
      </c>
      <c r="N4943">
        <v>0</v>
      </c>
      <c r="O4943">
        <v>-0.9740626</v>
      </c>
      <c r="P4943">
        <v>0.36875629999999998</v>
      </c>
      <c r="Q4943">
        <v>0.16375629999999999</v>
      </c>
      <c r="R4943">
        <v>-0.91498800000000002</v>
      </c>
      <c r="S4943">
        <v>1.7171940000000001</v>
      </c>
      <c r="T4943">
        <v>-0.19213710000000001</v>
      </c>
      <c r="U4943">
        <v>-2.6282350000000001</v>
      </c>
      <c r="V4943">
        <v>-0.15536169999999999</v>
      </c>
      <c r="W4943">
        <v>0.1749317</v>
      </c>
      <c r="X4943">
        <v>0.97224569999999999</v>
      </c>
      <c r="Y4943">
        <v>-0.34267930000000002</v>
      </c>
      <c r="Z4943">
        <v>6.1950850000000002E-2</v>
      </c>
      <c r="AA4943">
        <v>0.93740760000000001</v>
      </c>
      <c r="AB4943">
        <v>26</v>
      </c>
      <c r="AC4943">
        <v>9.9182999999999808</v>
      </c>
      <c r="AD4943">
        <v>-1.11709387935</v>
      </c>
      <c r="AE4943">
        <v>-15.035229999999901</v>
      </c>
      <c r="AF4943">
        <v>-6.2419988188729496</v>
      </c>
      <c r="AG4943">
        <v>-1.11709387935</v>
      </c>
      <c r="AH4943">
        <v>16.8222113786005</v>
      </c>
      <c r="AI4943">
        <v>93.562528547974395</v>
      </c>
      <c r="AJ4943">
        <v>110.35772307279601</v>
      </c>
      <c r="AK4943">
        <v>17.977687383431999</v>
      </c>
      <c r="AL4943">
        <v>79.925316802897697</v>
      </c>
      <c r="AM4943">
        <v>99.078921697803494</v>
      </c>
      <c r="AN4943">
        <v>1.0000000293301301</v>
      </c>
    </row>
    <row r="4944" spans="1:40" x14ac:dyDescent="0.25">
      <c r="A4944" t="str">
        <f>"20190312172511519"</f>
        <v>20190312172511519</v>
      </c>
      <c r="B4944" t="str">
        <f>"1552382711515446"</f>
        <v>1552382711515446</v>
      </c>
      <c r="C4944" t="s">
        <v>40</v>
      </c>
      <c r="D4944">
        <v>3.5667740000000001</v>
      </c>
      <c r="E4944">
        <v>0.42692760000000002</v>
      </c>
      <c r="F4944" t="s">
        <v>50</v>
      </c>
      <c r="G4944">
        <v>-411.71559999999999</v>
      </c>
      <c r="H4944" s="1">
        <v>-9.8690800000000004E-6</v>
      </c>
      <c r="I4944">
        <v>26.72532</v>
      </c>
      <c r="J4944">
        <v>-421.47820000000002</v>
      </c>
      <c r="K4944">
        <v>1.11721</v>
      </c>
      <c r="L4944">
        <v>41.297699999999999</v>
      </c>
      <c r="M4944">
        <v>0.2351992</v>
      </c>
      <c r="N4944">
        <v>0</v>
      </c>
      <c r="O4944">
        <v>-0.97184610000000005</v>
      </c>
      <c r="P4944">
        <v>0.37806580000000001</v>
      </c>
      <c r="Q4944">
        <v>0.16304730000000001</v>
      </c>
      <c r="R4944">
        <v>-0.91130789999999995</v>
      </c>
      <c r="S4944">
        <v>1.734802</v>
      </c>
      <c r="T4944">
        <v>-0.19714770000000001</v>
      </c>
      <c r="U4944">
        <v>-2.6148380000000002</v>
      </c>
      <c r="V4944">
        <v>-0.15594669999999999</v>
      </c>
      <c r="W4944">
        <v>0.17419270000000001</v>
      </c>
      <c r="X4944">
        <v>0.9722847</v>
      </c>
      <c r="Y4944">
        <v>-0.34018559999999998</v>
      </c>
      <c r="Z4944">
        <v>6.3535739999999993E-2</v>
      </c>
      <c r="AA4944">
        <v>0.93820939999999997</v>
      </c>
      <c r="AB4944">
        <v>26</v>
      </c>
      <c r="AC4944">
        <v>9.7626000000000097</v>
      </c>
      <c r="AD4944">
        <v>-1.1172198690799999</v>
      </c>
      <c r="AE4944">
        <v>-14.572380000000001</v>
      </c>
      <c r="AF4944">
        <v>-6.03643842247011</v>
      </c>
      <c r="AG4944">
        <v>-1.1172198690799999</v>
      </c>
      <c r="AH4944">
        <v>16.393376042780002</v>
      </c>
      <c r="AI4944">
        <v>93.659242912211496</v>
      </c>
      <c r="AJ4944">
        <v>110.214929910736</v>
      </c>
      <c r="AK4944">
        <v>17.505129166736701</v>
      </c>
      <c r="AL4944">
        <v>79.968318369776298</v>
      </c>
      <c r="AM4944">
        <v>99.112175615755007</v>
      </c>
      <c r="AN4944">
        <v>1.0000000039141299</v>
      </c>
    </row>
    <row r="4945" spans="1:40" x14ac:dyDescent="0.25">
      <c r="A4945" t="str">
        <f>"20190312172511541"</f>
        <v>20190312172511541</v>
      </c>
      <c r="B4945" t="str">
        <f>"1552382711535942"</f>
        <v>1552382711535942</v>
      </c>
      <c r="C4945" t="s">
        <v>40</v>
      </c>
      <c r="D4945">
        <v>3.5602779999999998</v>
      </c>
      <c r="E4945">
        <v>0.427815</v>
      </c>
      <c r="F4945" t="s">
        <v>50</v>
      </c>
      <c r="G4945">
        <v>-412.00170000000003</v>
      </c>
      <c r="H4945" s="1">
        <v>-9.8117839999999994E-6</v>
      </c>
      <c r="I4945">
        <v>27.193169999999999</v>
      </c>
      <c r="J4945">
        <v>-421.40870000000001</v>
      </c>
      <c r="K4945">
        <v>1.1173390000000001</v>
      </c>
      <c r="L4945">
        <v>41.055329999999998</v>
      </c>
      <c r="M4945">
        <v>0.24471029999999999</v>
      </c>
      <c r="N4945">
        <v>0</v>
      </c>
      <c r="O4945">
        <v>-0.96949430000000003</v>
      </c>
      <c r="P4945">
        <v>0.38734160000000001</v>
      </c>
      <c r="Q4945">
        <v>0.1625837</v>
      </c>
      <c r="R4945">
        <v>-0.90748720000000005</v>
      </c>
      <c r="S4945">
        <v>1.7490540000000001</v>
      </c>
      <c r="T4945">
        <v>-0.20620269999999999</v>
      </c>
      <c r="U4945">
        <v>-2.6032410000000001</v>
      </c>
      <c r="V4945">
        <v>-0.15636889999999901</v>
      </c>
      <c r="W4945">
        <v>0.17370150000000001</v>
      </c>
      <c r="X4945">
        <v>0.97230479999999997</v>
      </c>
      <c r="Y4945">
        <v>-0.33633489999999999</v>
      </c>
      <c r="Z4945">
        <v>6.6400539999999994E-2</v>
      </c>
      <c r="AA4945">
        <v>0.93939859999999997</v>
      </c>
      <c r="AB4945">
        <v>26</v>
      </c>
      <c r="AC4945">
        <v>9.4069999999999805</v>
      </c>
      <c r="AD4945">
        <v>-1.11734881178399</v>
      </c>
      <c r="AE4945">
        <v>-13.8621599999999</v>
      </c>
      <c r="AF4945">
        <v>-5.7030160440230304</v>
      </c>
      <c r="AG4945">
        <v>-1.11734881178399</v>
      </c>
      <c r="AH4945">
        <v>15.673109556869299</v>
      </c>
      <c r="AI4945">
        <v>93.832720988417407</v>
      </c>
      <c r="AJ4945">
        <v>109.995063159287</v>
      </c>
      <c r="AK4945">
        <v>16.715837506604501</v>
      </c>
      <c r="AL4945">
        <v>79.996898054091005</v>
      </c>
      <c r="AM4945">
        <v>99.136244113938801</v>
      </c>
      <c r="AN4945">
        <v>1.00000003404624</v>
      </c>
    </row>
    <row r="4946" spans="1:40" x14ac:dyDescent="0.25">
      <c r="A4946" t="str">
        <f>"20190312172511564"</f>
        <v>20190312172511564</v>
      </c>
      <c r="B4946" t="str">
        <f>"1552382711555465"</f>
        <v>1552382711555465</v>
      </c>
      <c r="C4946" t="s">
        <v>40</v>
      </c>
      <c r="D4946">
        <v>3.5786899999999999</v>
      </c>
      <c r="E4946">
        <v>0.4281431</v>
      </c>
      <c r="F4946" t="s">
        <v>50</v>
      </c>
      <c r="G4946">
        <v>-411.91500000000002</v>
      </c>
      <c r="H4946" s="1">
        <v>-9.8407970000000008E-6</v>
      </c>
      <c r="I4946">
        <v>27.168009999999999</v>
      </c>
      <c r="J4946">
        <v>-421.33589999999998</v>
      </c>
      <c r="K4946">
        <v>1.117483</v>
      </c>
      <c r="L4946">
        <v>40.81241</v>
      </c>
      <c r="M4946">
        <v>0.25448939999999998</v>
      </c>
      <c r="N4946">
        <v>0</v>
      </c>
      <c r="O4946">
        <v>-0.96697310000000003</v>
      </c>
      <c r="P4946">
        <v>0.39670470000000002</v>
      </c>
      <c r="Q4946">
        <v>0.16309670000000001</v>
      </c>
      <c r="R4946">
        <v>-0.90334119999999996</v>
      </c>
      <c r="S4946">
        <v>1.769196</v>
      </c>
      <c r="T4946">
        <v>-0.2082243</v>
      </c>
      <c r="U4946">
        <v>-2.5879819999999998</v>
      </c>
      <c r="V4946">
        <v>-0.15669549999999999</v>
      </c>
      <c r="W4946">
        <v>0.17418699999999901</v>
      </c>
      <c r="X4946">
        <v>0.97216530000000001</v>
      </c>
      <c r="Y4946">
        <v>-0.33436100000000002</v>
      </c>
      <c r="Z4946">
        <v>6.7004640000000004E-2</v>
      </c>
      <c r="AA4946">
        <v>0.94006009999999995</v>
      </c>
      <c r="AB4946">
        <v>26</v>
      </c>
      <c r="AC4946">
        <v>9.4208999999999605</v>
      </c>
      <c r="AD4946">
        <v>-1.117492840797</v>
      </c>
      <c r="AE4946">
        <v>-13.644399999999999</v>
      </c>
      <c r="AF4946">
        <v>-5.6124667110321997</v>
      </c>
      <c r="AG4946">
        <v>-1.117492840797</v>
      </c>
      <c r="AH4946">
        <v>15.522324563315101</v>
      </c>
      <c r="AI4946">
        <v>93.873181393278898</v>
      </c>
      <c r="AJ4946">
        <v>109.878665580624</v>
      </c>
      <c r="AK4946">
        <v>16.5436130479581</v>
      </c>
      <c r="AL4946">
        <v>79.968649789826202</v>
      </c>
      <c r="AM4946">
        <v>99.156295157844298</v>
      </c>
      <c r="AN4946">
        <v>0.99999998060666895</v>
      </c>
    </row>
    <row r="4947" spans="1:40" x14ac:dyDescent="0.25">
      <c r="A4947" t="str">
        <f>"20190312172511584"</f>
        <v>20190312172511584</v>
      </c>
      <c r="B4947" t="str">
        <f>"1552382711575958"</f>
        <v>1552382711575958</v>
      </c>
      <c r="C4947" t="s">
        <v>40</v>
      </c>
      <c r="D4947">
        <v>3.5803370000000001</v>
      </c>
      <c r="E4947">
        <v>0.43479630000000002</v>
      </c>
      <c r="F4947" t="s">
        <v>50</v>
      </c>
      <c r="G4947">
        <v>-411.61369999999999</v>
      </c>
      <c r="H4947" s="1">
        <v>-9.9218830000000008E-6</v>
      </c>
      <c r="I4947">
        <v>26.88308</v>
      </c>
      <c r="J4947">
        <v>-421.26339999999999</v>
      </c>
      <c r="K4947">
        <v>1.1176200000000001</v>
      </c>
      <c r="L4947">
        <v>40.579560000000001</v>
      </c>
      <c r="M4947">
        <v>0.26406570000000001</v>
      </c>
      <c r="N4947">
        <v>0</v>
      </c>
      <c r="O4947">
        <v>-0.96440159999999997</v>
      </c>
      <c r="P4947">
        <v>0.40584769999999998</v>
      </c>
      <c r="Q4947">
        <v>0.163378</v>
      </c>
      <c r="R4947">
        <v>-0.89921969999999996</v>
      </c>
      <c r="S4947">
        <v>1.7940370000000001</v>
      </c>
      <c r="T4947">
        <v>-0.20621039999999999</v>
      </c>
      <c r="U4947">
        <v>-2.5703740000000002</v>
      </c>
      <c r="V4947">
        <v>-0.15699189999999999</v>
      </c>
      <c r="W4947">
        <v>0.17444390000000001</v>
      </c>
      <c r="X4947">
        <v>0.97207140000000003</v>
      </c>
      <c r="Y4947">
        <v>-0.334175099999999</v>
      </c>
      <c r="Z4947">
        <v>6.6305160000000002E-2</v>
      </c>
      <c r="AA4947">
        <v>0.94017589999999995</v>
      </c>
      <c r="AB4947">
        <v>26</v>
      </c>
      <c r="AC4947">
        <v>9.6496999999999904</v>
      </c>
      <c r="AD4947">
        <v>-1.1176299218829999</v>
      </c>
      <c r="AE4947">
        <v>-13.696479999999999</v>
      </c>
      <c r="AF4947">
        <v>-5.6647743709349596</v>
      </c>
      <c r="AG4947">
        <v>-1.1176299218829999</v>
      </c>
      <c r="AH4947">
        <v>15.6888173143656</v>
      </c>
      <c r="AI4947">
        <v>93.833284629482904</v>
      </c>
      <c r="AJ4947">
        <v>109.853172908666</v>
      </c>
      <c r="AK4947">
        <v>16.717588164547799</v>
      </c>
      <c r="AL4947">
        <v>79.953701525785206</v>
      </c>
      <c r="AM4947">
        <v>99.174191763852903</v>
      </c>
      <c r="AN4947">
        <v>0.99999996880538899</v>
      </c>
    </row>
    <row r="4948" spans="1:40" x14ac:dyDescent="0.25">
      <c r="A4948" t="str">
        <f>"20190312172511608"</f>
        <v>20190312172511608</v>
      </c>
      <c r="B4948" t="str">
        <f>"1552382711595481"</f>
        <v>1552382711595481</v>
      </c>
      <c r="C4948" t="s">
        <v>40</v>
      </c>
      <c r="D4948">
        <v>3.60669</v>
      </c>
      <c r="E4948">
        <v>0.43562830000000002</v>
      </c>
      <c r="F4948" t="s">
        <v>50</v>
      </c>
      <c r="G4948">
        <v>-411.90179999999998</v>
      </c>
      <c r="H4948" s="1">
        <v>-9.8269319999999999E-6</v>
      </c>
      <c r="I4948">
        <v>26.981079999999999</v>
      </c>
      <c r="J4948">
        <v>-421.18549999999999</v>
      </c>
      <c r="K4948">
        <v>1.117742</v>
      </c>
      <c r="L4948">
        <v>40.338560000000001</v>
      </c>
      <c r="M4948">
        <v>0.27416230000000003</v>
      </c>
      <c r="N4948">
        <v>0</v>
      </c>
      <c r="O4948">
        <v>-0.96157950000000003</v>
      </c>
      <c r="P4948">
        <v>0.41536450000000003</v>
      </c>
      <c r="Q4948">
        <v>0.16382669999999999</v>
      </c>
      <c r="R4948">
        <v>-0.89478150000000001</v>
      </c>
      <c r="S4948">
        <v>1.772491</v>
      </c>
      <c r="T4948">
        <v>-0.21160699999999999</v>
      </c>
      <c r="U4948">
        <v>-2.5746769999999999</v>
      </c>
      <c r="V4948">
        <v>-0.15719530000000001</v>
      </c>
      <c r="W4948">
        <v>0.17487349999999999</v>
      </c>
      <c r="X4948">
        <v>0.97196139999999998</v>
      </c>
      <c r="Y4948">
        <v>-0.318125299999999</v>
      </c>
      <c r="Z4948">
        <v>6.7987839999999994E-2</v>
      </c>
      <c r="AA4948">
        <v>0.94560770000000005</v>
      </c>
      <c r="AB4948">
        <v>26</v>
      </c>
      <c r="AC4948">
        <v>9.2837000000000103</v>
      </c>
      <c r="AD4948">
        <v>-1.1177518269319999</v>
      </c>
      <c r="AE4948">
        <v>-13.357480000000001</v>
      </c>
      <c r="AF4948">
        <v>-5.2406802764250102</v>
      </c>
      <c r="AG4948">
        <v>-1.1177518269319999</v>
      </c>
      <c r="AH4948">
        <v>15.3187295735873</v>
      </c>
      <c r="AI4948">
        <v>93.949322312239801</v>
      </c>
      <c r="AJ4948">
        <v>108.88629585337399</v>
      </c>
      <c r="AK4948">
        <v>16.228911690406701</v>
      </c>
      <c r="AL4948">
        <v>79.928703662036199</v>
      </c>
      <c r="AM4948">
        <v>99.186897284651707</v>
      </c>
      <c r="AN4948">
        <v>1.0000000332171399</v>
      </c>
    </row>
    <row r="4949" spans="1:40" x14ac:dyDescent="0.25">
      <c r="A4949" t="str">
        <f>"20190312172511630"</f>
        <v>20190312172511630</v>
      </c>
      <c r="B4949" t="str">
        <f>"1552382711625734"</f>
        <v>1552382711625734</v>
      </c>
      <c r="C4949" t="s">
        <v>40</v>
      </c>
      <c r="D4949">
        <v>3.610109</v>
      </c>
      <c r="E4949">
        <v>0.43978440000000002</v>
      </c>
      <c r="F4949" t="s">
        <v>50</v>
      </c>
      <c r="G4949">
        <v>-411.82029999999997</v>
      </c>
      <c r="H4949" s="1">
        <v>-9.856254E-6</v>
      </c>
      <c r="I4949">
        <v>26.978069999999999</v>
      </c>
      <c r="J4949">
        <v>-421.10300000000001</v>
      </c>
      <c r="K4949">
        <v>1.117858</v>
      </c>
      <c r="L4949">
        <v>40.092860000000002</v>
      </c>
      <c r="M4949">
        <v>0.28463909999999998</v>
      </c>
      <c r="N4949">
        <v>0</v>
      </c>
      <c r="O4949">
        <v>-0.95853010000000005</v>
      </c>
      <c r="P4949">
        <v>0.42519210000000002</v>
      </c>
      <c r="Q4949">
        <v>0.16457260000000001</v>
      </c>
      <c r="R4949">
        <v>-0.89001580000000002</v>
      </c>
      <c r="S4949">
        <v>1.7939149999999999</v>
      </c>
      <c r="T4949">
        <v>-0.2141081</v>
      </c>
      <c r="U4949">
        <v>-2.5592350000000001</v>
      </c>
      <c r="V4949">
        <v>-0.15739049999999999</v>
      </c>
      <c r="W4949">
        <v>0.17560300000000001</v>
      </c>
      <c r="X4949">
        <v>0.97179819999999995</v>
      </c>
      <c r="Y4949">
        <v>-0.31573990000000002</v>
      </c>
      <c r="Z4949">
        <v>6.8682019999999996E-2</v>
      </c>
      <c r="AA4949">
        <v>0.9463568</v>
      </c>
      <c r="AB4949">
        <v>26</v>
      </c>
      <c r="AC4949">
        <v>9.2827000000000304</v>
      </c>
      <c r="AD4949">
        <v>-1.1178678562540001</v>
      </c>
      <c r="AE4949">
        <v>-13.1147899999999</v>
      </c>
      <c r="AF4949">
        <v>-5.1404019035490496</v>
      </c>
      <c r="AG4949">
        <v>-1.1178678562540001</v>
      </c>
      <c r="AH4949">
        <v>15.1413763219835</v>
      </c>
      <c r="AI4949">
        <v>93.999027974450399</v>
      </c>
      <c r="AJ4949">
        <v>108.752026406829</v>
      </c>
      <c r="AK4949">
        <v>16.0291808024609</v>
      </c>
      <c r="AL4949">
        <v>79.886248732630307</v>
      </c>
      <c r="AM4949">
        <v>99.199628678105597</v>
      </c>
      <c r="AN4949">
        <v>0.999999962311244</v>
      </c>
    </row>
    <row r="4950" spans="1:40" x14ac:dyDescent="0.25">
      <c r="A4950" t="str">
        <f>"20190312172511653"</f>
        <v>20190312172511653</v>
      </c>
      <c r="B4950" t="str">
        <f>"1552382711645253"</f>
        <v>1552382711645253</v>
      </c>
      <c r="C4950" t="s">
        <v>40</v>
      </c>
      <c r="D4950">
        <v>3.6155390000000001</v>
      </c>
      <c r="E4950">
        <v>0.4403494</v>
      </c>
      <c r="F4950" t="s">
        <v>50</v>
      </c>
      <c r="G4950">
        <v>-411.82780000000002</v>
      </c>
      <c r="H4950" s="1">
        <v>-9.8429489999999993E-6</v>
      </c>
      <c r="I4950">
        <v>26.872150000000001</v>
      </c>
      <c r="J4950">
        <v>-421.02170000000001</v>
      </c>
      <c r="K4950">
        <v>1.1179559999999999</v>
      </c>
      <c r="L4950">
        <v>39.859560000000002</v>
      </c>
      <c r="M4950">
        <v>0.2947592</v>
      </c>
      <c r="N4950">
        <v>0</v>
      </c>
      <c r="O4950">
        <v>-0.95546589999999998</v>
      </c>
      <c r="P4950">
        <v>0.4347202</v>
      </c>
      <c r="Q4950">
        <v>0.16527159999999999</v>
      </c>
      <c r="R4950">
        <v>-0.88527040000000001</v>
      </c>
      <c r="S4950">
        <v>1.7921450000000001</v>
      </c>
      <c r="T4950">
        <v>-0.2159944</v>
      </c>
      <c r="U4950">
        <v>-2.5545040000000001</v>
      </c>
      <c r="V4950">
        <v>-0.15763640000000001</v>
      </c>
      <c r="W4950">
        <v>0.176287</v>
      </c>
      <c r="X4950">
        <v>0.97163460000000001</v>
      </c>
      <c r="Y4950">
        <v>-0.30605290000000002</v>
      </c>
      <c r="Z4950">
        <v>6.9188219999999995E-2</v>
      </c>
      <c r="AA4950">
        <v>0.94949700000000004</v>
      </c>
      <c r="AB4950">
        <v>26</v>
      </c>
      <c r="AC4950">
        <v>9.1938999999999798</v>
      </c>
      <c r="AD4950">
        <v>-1.117965842949</v>
      </c>
      <c r="AE4950">
        <v>-12.987409999999899</v>
      </c>
      <c r="AF4950">
        <v>-4.9324522932311803</v>
      </c>
      <c r="AG4950">
        <v>-1.117965842949</v>
      </c>
      <c r="AH4950">
        <v>15.0462693797511</v>
      </c>
      <c r="AI4950">
        <v>94.038658872137702</v>
      </c>
      <c r="AJ4950">
        <v>108.150124392305</v>
      </c>
      <c r="AK4950">
        <v>15.8735363261952</v>
      </c>
      <c r="AL4950">
        <v>79.8464384486401</v>
      </c>
      <c r="AM4950">
        <v>99.215280208661596</v>
      </c>
      <c r="AN4950">
        <v>1.0000000684455499</v>
      </c>
    </row>
    <row r="4951" spans="1:40" x14ac:dyDescent="0.25">
      <c r="A4951" t="str">
        <f>"20190312172511675"</f>
        <v>20190312172511675</v>
      </c>
      <c r="B4951" t="str">
        <f>"1552382711665750"</f>
        <v>1552382711665750</v>
      </c>
      <c r="C4951" t="s">
        <v>40</v>
      </c>
      <c r="D4951">
        <v>3.5200830000000001</v>
      </c>
      <c r="E4951">
        <v>0.44015179999999998</v>
      </c>
      <c r="F4951" t="s">
        <v>50</v>
      </c>
      <c r="G4951">
        <v>-411.6825</v>
      </c>
      <c r="H4951" s="1">
        <v>-9.8889529999999994E-6</v>
      </c>
      <c r="I4951">
        <v>26.803650000000001</v>
      </c>
      <c r="J4951">
        <v>-420.93729999999999</v>
      </c>
      <c r="K4951">
        <v>1.11805</v>
      </c>
      <c r="L4951">
        <v>39.626069999999999</v>
      </c>
      <c r="M4951">
        <v>0.30504880000000001</v>
      </c>
      <c r="N4951">
        <v>0</v>
      </c>
      <c r="O4951">
        <v>-0.95223029999999997</v>
      </c>
      <c r="P4951">
        <v>0.44488529999999998</v>
      </c>
      <c r="Q4951">
        <v>0.16561689999999901</v>
      </c>
      <c r="R4951">
        <v>-0.8801409</v>
      </c>
      <c r="S4951">
        <v>1.815399</v>
      </c>
      <c r="T4951">
        <v>-0.2173156</v>
      </c>
      <c r="U4951">
        <v>-2.5378720000000001</v>
      </c>
      <c r="V4951">
        <v>-0.15841050000000001</v>
      </c>
      <c r="W4951">
        <v>0.17660979999999901</v>
      </c>
      <c r="X4951">
        <v>0.97145000000000004</v>
      </c>
      <c r="Y4951">
        <v>-0.30447049999999998</v>
      </c>
      <c r="Z4951">
        <v>6.9482299999999997E-2</v>
      </c>
      <c r="AA4951">
        <v>0.94998419999999895</v>
      </c>
      <c r="AB4951">
        <v>26</v>
      </c>
      <c r="AC4951">
        <v>9.2547999999999799</v>
      </c>
      <c r="AD4951">
        <v>-1.118059888953</v>
      </c>
      <c r="AE4951">
        <v>-12.8224199999999</v>
      </c>
      <c r="AF4951">
        <v>-4.8773524493106999</v>
      </c>
      <c r="AG4951">
        <v>-1.118059888953</v>
      </c>
      <c r="AH4951">
        <v>14.9598033937799</v>
      </c>
      <c r="AI4951">
        <v>94.064403683493097</v>
      </c>
      <c r="AJ4951">
        <v>108.05754899612199</v>
      </c>
      <c r="AK4951">
        <v>15.774483903146599</v>
      </c>
      <c r="AL4951">
        <v>79.827647906922195</v>
      </c>
      <c r="AM4951">
        <v>99.261480483199406</v>
      </c>
      <c r="AN4951">
        <v>1.0000000052331399</v>
      </c>
    </row>
    <row r="4952" spans="1:40" x14ac:dyDescent="0.25">
      <c r="A4952" t="str">
        <f>"20190312172511697"</f>
        <v>20190312172511697</v>
      </c>
      <c r="B4952" t="str">
        <f>"1552382711696007"</f>
        <v>1552382711696007</v>
      </c>
      <c r="C4952" t="s">
        <v>40</v>
      </c>
      <c r="D4952">
        <v>3.531158</v>
      </c>
      <c r="E4952">
        <v>0.44091639999999999</v>
      </c>
      <c r="F4952" t="s">
        <v>50</v>
      </c>
      <c r="G4952">
        <v>-411.45179999999999</v>
      </c>
      <c r="H4952" s="1">
        <v>-9.9618330000000003E-6</v>
      </c>
      <c r="I4952">
        <v>26.693739999999998</v>
      </c>
      <c r="J4952">
        <v>-420.84879999999998</v>
      </c>
      <c r="K4952">
        <v>1.1181430000000001</v>
      </c>
      <c r="L4952">
        <v>39.389400000000002</v>
      </c>
      <c r="M4952">
        <v>0.31563289999999999</v>
      </c>
      <c r="N4952">
        <v>0</v>
      </c>
      <c r="O4952">
        <v>-0.94877440000000002</v>
      </c>
      <c r="P4952">
        <v>0.45554</v>
      </c>
      <c r="Q4952">
        <v>0.16603809999999999</v>
      </c>
      <c r="R4952">
        <v>-0.87459439999999999</v>
      </c>
      <c r="S4952">
        <v>1.8457950000000001</v>
      </c>
      <c r="T4952">
        <v>-0.21756400000000001</v>
      </c>
      <c r="U4952">
        <v>-2.5165099999999998</v>
      </c>
      <c r="V4952">
        <v>-0.15946389999999999</v>
      </c>
      <c r="W4952">
        <v>0.17700270000000001</v>
      </c>
      <c r="X4952">
        <v>0.97120609999999996</v>
      </c>
      <c r="Y4952">
        <v>-0.30517549999999999</v>
      </c>
      <c r="Z4952">
        <v>6.9433079999999994E-2</v>
      </c>
      <c r="AA4952">
        <v>0.94976159999999998</v>
      </c>
      <c r="AB4952">
        <v>25</v>
      </c>
      <c r="AC4952">
        <v>9.3969999999999896</v>
      </c>
      <c r="AD4952">
        <v>-1.1181529618329999</v>
      </c>
      <c r="AE4952">
        <v>-12.69566</v>
      </c>
      <c r="AF4952">
        <v>-4.88448515769855</v>
      </c>
      <c r="AG4952">
        <v>-1.1181529618329999</v>
      </c>
      <c r="AH4952">
        <v>14.937983012977901</v>
      </c>
      <c r="AI4952">
        <v>94.069516962897694</v>
      </c>
      <c r="AJ4952">
        <v>108.106929452749</v>
      </c>
      <c r="AK4952">
        <v>15.7560083078757</v>
      </c>
      <c r="AL4952">
        <v>79.804775907143295</v>
      </c>
      <c r="AM4952">
        <v>99.324289874440097</v>
      </c>
      <c r="AN4952">
        <v>0.99999998994385497</v>
      </c>
    </row>
    <row r="4953" spans="1:40" x14ac:dyDescent="0.25">
      <c r="A4953" t="str">
        <f>"20190312172511721"</f>
        <v>20190312172511721</v>
      </c>
      <c r="B4953" t="str">
        <f>"1552382711715525"</f>
        <v>1552382711715525</v>
      </c>
      <c r="C4953" t="s">
        <v>40</v>
      </c>
      <c r="D4953">
        <v>3.1807850000000002</v>
      </c>
      <c r="E4953">
        <v>0.44133939999999999</v>
      </c>
      <c r="F4953" t="s">
        <v>50</v>
      </c>
      <c r="G4953">
        <v>-411.36509999999998</v>
      </c>
      <c r="H4953" s="1">
        <v>-9.9969379999999997E-6</v>
      </c>
      <c r="I4953">
        <v>26.729320000000001</v>
      </c>
      <c r="J4953">
        <v>-420.75639999999999</v>
      </c>
      <c r="K4953">
        <v>1.1182319999999999</v>
      </c>
      <c r="L4953">
        <v>39.150970000000001</v>
      </c>
      <c r="M4953">
        <v>0.3264474</v>
      </c>
      <c r="N4953">
        <v>0</v>
      </c>
      <c r="O4953">
        <v>-0.94510720000000004</v>
      </c>
      <c r="P4953">
        <v>0.46652650000000001</v>
      </c>
      <c r="Q4953">
        <v>0.16574449999999999</v>
      </c>
      <c r="R4953">
        <v>-0.86883940000000004</v>
      </c>
      <c r="S4953">
        <v>1.870941</v>
      </c>
      <c r="T4953">
        <v>-0.22058710000000001</v>
      </c>
      <c r="U4953">
        <v>-2.4975589999999999</v>
      </c>
      <c r="V4953">
        <v>-0.1606311</v>
      </c>
      <c r="W4953">
        <v>0.17667929999999901</v>
      </c>
      <c r="X4953">
        <v>0.97107270000000001</v>
      </c>
      <c r="Y4953">
        <v>-0.30384689999999998</v>
      </c>
      <c r="Z4953">
        <v>7.0244039999999994E-2</v>
      </c>
      <c r="AA4953">
        <v>0.95012779999999997</v>
      </c>
      <c r="AB4953">
        <v>25</v>
      </c>
      <c r="AC4953">
        <v>9.3912999999999993</v>
      </c>
      <c r="AD4953">
        <v>-1.118241996938</v>
      </c>
      <c r="AE4953">
        <v>-12.42165</v>
      </c>
      <c r="AF4953">
        <v>-4.7965286446226498</v>
      </c>
      <c r="AG4953">
        <v>-1.118241996938</v>
      </c>
      <c r="AH4953">
        <v>14.731106532240499</v>
      </c>
      <c r="AI4953">
        <v>94.128471166941296</v>
      </c>
      <c r="AJ4953">
        <v>108.03553195127699</v>
      </c>
      <c r="AK4953">
        <v>15.532631839666401</v>
      </c>
      <c r="AL4953">
        <v>79.823602763351502</v>
      </c>
      <c r="AM4953">
        <v>99.392594818620793</v>
      </c>
      <c r="AN4953">
        <v>1.0000000570104901</v>
      </c>
    </row>
    <row r="4954" spans="1:40" x14ac:dyDescent="0.25">
      <c r="A4954" t="str">
        <f>"20190312172511786"</f>
        <v>20190312172511786</v>
      </c>
      <c r="B4954" t="str">
        <f>"1552382711776038"</f>
        <v>1552382711776038</v>
      </c>
      <c r="C4954" t="s">
        <v>40</v>
      </c>
      <c r="D4954">
        <v>3.371899</v>
      </c>
      <c r="E4954">
        <v>0.4346545</v>
      </c>
      <c r="F4954" t="s">
        <v>50</v>
      </c>
      <c r="G4954">
        <v>-411.17540000000002</v>
      </c>
      <c r="H4954" s="1">
        <v>-1.00593E-5</v>
      </c>
      <c r="I4954">
        <v>26.663530000000002</v>
      </c>
      <c r="J4954">
        <v>-420.47329999999999</v>
      </c>
      <c r="K4954">
        <v>1.1184259999999999</v>
      </c>
      <c r="L4954">
        <v>38.470089999999999</v>
      </c>
      <c r="M4954">
        <v>0.3581239</v>
      </c>
      <c r="N4954">
        <v>0</v>
      </c>
      <c r="O4954">
        <v>-0.93356360000000005</v>
      </c>
      <c r="P4954">
        <v>0.4973978</v>
      </c>
      <c r="Q4954">
        <v>0.16433490000000001</v>
      </c>
      <c r="R4954">
        <v>-0.85181559999999901</v>
      </c>
      <c r="S4954">
        <v>1.8992309999999999</v>
      </c>
      <c r="T4954">
        <v>-0.2216679</v>
      </c>
      <c r="U4954">
        <v>-2.4753720000000001</v>
      </c>
      <c r="V4954">
        <v>-0.16270470000000001</v>
      </c>
      <c r="W4954">
        <v>0.17522089999999901</v>
      </c>
      <c r="X4954">
        <v>0.97099170000000001</v>
      </c>
      <c r="Y4954">
        <v>-0.2826089</v>
      </c>
      <c r="Z4954">
        <v>6.9844589999999998E-2</v>
      </c>
      <c r="AA4954">
        <v>0.95668909999999996</v>
      </c>
      <c r="AB4954">
        <v>25</v>
      </c>
      <c r="AC4954">
        <v>9.2978999999999701</v>
      </c>
      <c r="AD4954">
        <v>-1.1184360593</v>
      </c>
      <c r="AE4954">
        <v>-11.806559999999999</v>
      </c>
      <c r="AF4954">
        <v>-4.4279039540001799</v>
      </c>
      <c r="AG4954">
        <v>-1.1184360593</v>
      </c>
      <c r="AH4954">
        <v>14.2743933083634</v>
      </c>
      <c r="AI4954">
        <v>94.279744322303301</v>
      </c>
      <c r="AJ4954">
        <v>107.233843028107</v>
      </c>
      <c r="AK4954">
        <v>14.9871790863538</v>
      </c>
      <c r="AL4954">
        <v>79.908486954839802</v>
      </c>
      <c r="AM4954">
        <v>99.512421817698296</v>
      </c>
      <c r="AN4954">
        <v>1.00000003233389</v>
      </c>
    </row>
    <row r="4955" spans="1:40" x14ac:dyDescent="0.25">
      <c r="A4955" t="str">
        <f>"20190312172511809"</f>
        <v>20190312172511809</v>
      </c>
      <c r="B4955" t="str">
        <f>"1552382711805318"</f>
        <v>1552382711805318</v>
      </c>
      <c r="C4955" t="s">
        <v>40</v>
      </c>
      <c r="D4955">
        <v>3.3460130000000001</v>
      </c>
      <c r="E4955">
        <v>0.42942409999999998</v>
      </c>
      <c r="F4955" t="s">
        <v>50</v>
      </c>
      <c r="G4955">
        <v>-411.97390000000001</v>
      </c>
      <c r="H4955" s="1">
        <v>-9.9671180000000007E-6</v>
      </c>
      <c r="I4955">
        <v>28.529890000000002</v>
      </c>
      <c r="J4955">
        <v>-420.37400000000002</v>
      </c>
      <c r="K4955">
        <v>1.1184730000000001</v>
      </c>
      <c r="L4955">
        <v>38.246119999999998</v>
      </c>
      <c r="M4955">
        <v>0.36874800000000002</v>
      </c>
      <c r="N4955">
        <v>0</v>
      </c>
      <c r="O4955">
        <v>-0.92941799999999997</v>
      </c>
      <c r="P4955">
        <v>0.50682590000000005</v>
      </c>
      <c r="Q4955">
        <v>0.16440529999999901</v>
      </c>
      <c r="R4955">
        <v>-0.84622609999999998</v>
      </c>
      <c r="S4955">
        <v>2.0380549999999999</v>
      </c>
      <c r="T4955">
        <v>-0.26818789999999998</v>
      </c>
      <c r="U4955">
        <v>-2.3835449999999998</v>
      </c>
      <c r="V4955">
        <v>-0.1624371</v>
      </c>
      <c r="W4955">
        <v>0.17530019999999999</v>
      </c>
      <c r="X4955">
        <v>0.9710221</v>
      </c>
      <c r="Y4955">
        <v>-0.32131680000000001</v>
      </c>
      <c r="Z4955">
        <v>8.4418270000000004E-2</v>
      </c>
      <c r="AA4955">
        <v>0.94320150000000003</v>
      </c>
      <c r="AB4955">
        <v>25</v>
      </c>
      <c r="AC4955">
        <v>8.4001000000000001</v>
      </c>
      <c r="AD4955">
        <v>-1.1184829671179899</v>
      </c>
      <c r="AE4955">
        <v>-9.7162299999999906</v>
      </c>
      <c r="AF4955">
        <v>-4.19300415198959</v>
      </c>
      <c r="AG4955">
        <v>-1.1184829671179899</v>
      </c>
      <c r="AH4955">
        <v>12.037927094047999</v>
      </c>
      <c r="AI4955">
        <v>95.0144568429223</v>
      </c>
      <c r="AJ4955">
        <v>109.204051225726</v>
      </c>
      <c r="AK4955">
        <v>12.796248539628699</v>
      </c>
      <c r="AL4955">
        <v>79.903871079705993</v>
      </c>
      <c r="AM4955">
        <v>99.496770071140602</v>
      </c>
      <c r="AN4955">
        <v>0.99999994513242796</v>
      </c>
    </row>
    <row r="4956" spans="1:40" x14ac:dyDescent="0.25">
      <c r="A4956" t="str">
        <f>"20190312172511831"</f>
        <v>20190312172511831</v>
      </c>
      <c r="B4956" t="str">
        <f>"1552382711825814"</f>
        <v>1552382711825814</v>
      </c>
      <c r="C4956" t="s">
        <v>40</v>
      </c>
      <c r="D4956">
        <v>3.6243750000000001</v>
      </c>
      <c r="E4956">
        <v>0.42759819999999998</v>
      </c>
      <c r="F4956" t="s">
        <v>50</v>
      </c>
      <c r="G4956">
        <v>-411.42700000000002</v>
      </c>
      <c r="H4956" s="1">
        <v>-1.013105E-5</v>
      </c>
      <c r="I4956">
        <v>28.280519999999999</v>
      </c>
      <c r="J4956">
        <v>-420.26799999999997</v>
      </c>
      <c r="K4956">
        <v>1.118511</v>
      </c>
      <c r="L4956">
        <v>38.014620000000001</v>
      </c>
      <c r="M4956">
        <v>0.37981789999999999</v>
      </c>
      <c r="N4956">
        <v>0</v>
      </c>
      <c r="O4956">
        <v>-0.92494900000000002</v>
      </c>
      <c r="P4956">
        <v>0.51663919999999997</v>
      </c>
      <c r="Q4956">
        <v>0.16502139999999901</v>
      </c>
      <c r="R4956">
        <v>-0.84015010000000001</v>
      </c>
      <c r="S4956">
        <v>2.0995789999999999</v>
      </c>
      <c r="T4956">
        <v>-0.26247379999999998</v>
      </c>
      <c r="U4956">
        <v>-2.3386230000000001</v>
      </c>
      <c r="V4956">
        <v>-0.16221679999999999</v>
      </c>
      <c r="W4956">
        <v>0.17592459999999999</v>
      </c>
      <c r="X4956">
        <v>0.97094610000000003</v>
      </c>
      <c r="Y4956">
        <v>-0.33290389999999997</v>
      </c>
      <c r="Z4956">
        <v>8.243586E-2</v>
      </c>
      <c r="AA4956">
        <v>0.93935049999999998</v>
      </c>
      <c r="AB4956">
        <v>25</v>
      </c>
      <c r="AC4956">
        <v>8.8410000000000597</v>
      </c>
      <c r="AD4956">
        <v>-1.1185211310500001</v>
      </c>
      <c r="AE4956">
        <v>-9.7340999999999909</v>
      </c>
      <c r="AF4956">
        <v>-4.4485675853031497</v>
      </c>
      <c r="AG4956">
        <v>-1.1185211310500001</v>
      </c>
      <c r="AH4956">
        <v>12.273994761387099</v>
      </c>
      <c r="AI4956">
        <v>94.896896379792395</v>
      </c>
      <c r="AJ4956">
        <v>109.922463418592</v>
      </c>
      <c r="AK4956">
        <v>13.103121402329</v>
      </c>
      <c r="AL4956">
        <v>79.867531835597902</v>
      </c>
      <c r="AM4956">
        <v>99.484853398221006</v>
      </c>
      <c r="AN4956">
        <v>1.0000000420963</v>
      </c>
    </row>
    <row r="4957" spans="1:40" x14ac:dyDescent="0.25">
      <c r="A4957" t="str">
        <f>"20190312172511854"</f>
        <v>20190312172511854</v>
      </c>
      <c r="B4957" t="str">
        <f>"1552382711845337"</f>
        <v>1552382711845337</v>
      </c>
      <c r="C4957" t="s">
        <v>40</v>
      </c>
      <c r="D4957">
        <v>3.5787550000000001</v>
      </c>
      <c r="E4957">
        <v>0.42688229999999999</v>
      </c>
      <c r="F4957" t="s">
        <v>50</v>
      </c>
      <c r="G4957">
        <v>-410.6893</v>
      </c>
      <c r="H4957" s="1">
        <v>-1.033791E-5</v>
      </c>
      <c r="I4957">
        <v>27.6831</v>
      </c>
      <c r="J4957">
        <v>-420.16359999999997</v>
      </c>
      <c r="K4957">
        <v>1.1185430000000001</v>
      </c>
      <c r="L4957">
        <v>37.793819999999997</v>
      </c>
      <c r="M4957">
        <v>0.39045479999999999</v>
      </c>
      <c r="N4957">
        <v>0</v>
      </c>
      <c r="O4957">
        <v>-0.92050909999999997</v>
      </c>
      <c r="P4957">
        <v>0.52545920000000002</v>
      </c>
      <c r="Q4957">
        <v>0.1648598</v>
      </c>
      <c r="R4957">
        <v>-0.834694099999999</v>
      </c>
      <c r="S4957">
        <v>2.137451</v>
      </c>
      <c r="T4957">
        <v>-0.24959490000000001</v>
      </c>
      <c r="U4957">
        <v>-2.30545</v>
      </c>
      <c r="V4957">
        <v>-0.1612461</v>
      </c>
      <c r="W4957">
        <v>0.1757908</v>
      </c>
      <c r="X4957">
        <v>0.971132</v>
      </c>
      <c r="Y4957">
        <v>-0.33731830000000002</v>
      </c>
      <c r="Z4957">
        <v>7.8257579999999993E-2</v>
      </c>
      <c r="AA4957">
        <v>0.93813219999999997</v>
      </c>
      <c r="AB4957">
        <v>25</v>
      </c>
      <c r="AC4957">
        <v>9.4742999999999693</v>
      </c>
      <c r="AD4957">
        <v>-1.1185533379099999</v>
      </c>
      <c r="AE4957">
        <v>-10.110720000000001</v>
      </c>
      <c r="AF4957">
        <v>-4.7429875443079803</v>
      </c>
      <c r="AG4957">
        <v>-1.1185533379099999</v>
      </c>
      <c r="AH4957">
        <v>12.923428935635799</v>
      </c>
      <c r="AI4957">
        <v>94.645250710758802</v>
      </c>
      <c r="AJ4957">
        <v>110.15348503900201</v>
      </c>
      <c r="AK4957">
        <v>13.811665644289199</v>
      </c>
      <c r="AL4957">
        <v>79.875319310055204</v>
      </c>
      <c r="AM4957">
        <v>99.427345983272403</v>
      </c>
      <c r="AN4957">
        <v>1.0000000357769201</v>
      </c>
    </row>
    <row r="4958" spans="1:40" x14ac:dyDescent="0.25">
      <c r="A4958" t="str">
        <f>"20190312172511875"</f>
        <v>20190312172511875</v>
      </c>
      <c r="B4958" t="str">
        <f>"1552382711865830"</f>
        <v>1552382711865830</v>
      </c>
      <c r="C4958" t="s">
        <v>40</v>
      </c>
      <c r="D4958">
        <v>3.604867</v>
      </c>
      <c r="E4958">
        <v>0.42669760000000001</v>
      </c>
      <c r="F4958" t="s">
        <v>50</v>
      </c>
      <c r="G4958">
        <v>-410.25450000000001</v>
      </c>
      <c r="H4958" s="1">
        <v>-1.046473E-5</v>
      </c>
      <c r="I4958">
        <v>27.369949999999999</v>
      </c>
      <c r="J4958">
        <v>-420.05869999999999</v>
      </c>
      <c r="K4958">
        <v>1.1185659999999999</v>
      </c>
      <c r="L4958">
        <v>37.578519999999997</v>
      </c>
      <c r="M4958">
        <v>0.40089770000000002</v>
      </c>
      <c r="N4958">
        <v>0</v>
      </c>
      <c r="O4958">
        <v>-0.91600910000000002</v>
      </c>
      <c r="P4958">
        <v>0.53449199999999997</v>
      </c>
      <c r="Q4958">
        <v>0.1647874</v>
      </c>
      <c r="R4958">
        <v>-0.82895350000000001</v>
      </c>
      <c r="S4958">
        <v>2.166229</v>
      </c>
      <c r="T4958">
        <v>-0.2445252</v>
      </c>
      <c r="U4958">
        <v>-2.2787480000000002</v>
      </c>
      <c r="V4958">
        <v>-0.16075130000000001</v>
      </c>
      <c r="W4958">
        <v>0.17573449999999999</v>
      </c>
      <c r="X4958">
        <v>0.97122419999999998</v>
      </c>
      <c r="Y4958">
        <v>-0.33842810000000001</v>
      </c>
      <c r="Z4958">
        <v>7.6482809999999998E-2</v>
      </c>
      <c r="AA4958">
        <v>0.93787889999999996</v>
      </c>
      <c r="AB4958">
        <v>25</v>
      </c>
      <c r="AC4958">
        <v>9.8041999999999803</v>
      </c>
      <c r="AD4958">
        <v>-1.1185764647299901</v>
      </c>
      <c r="AE4958">
        <v>-10.20857</v>
      </c>
      <c r="AF4958">
        <v>-4.8583107667519601</v>
      </c>
      <c r="AG4958">
        <v>-1.1185764647299901</v>
      </c>
      <c r="AH4958">
        <v>13.200563576770101</v>
      </c>
      <c r="AI4958">
        <v>94.546722725990904</v>
      </c>
      <c r="AJ4958">
        <v>110.205539387253</v>
      </c>
      <c r="AK4958">
        <v>14.110608617566299</v>
      </c>
      <c r="AL4958">
        <v>79.878595919946903</v>
      </c>
      <c r="AM4958">
        <v>99.398057844191797</v>
      </c>
      <c r="AN4958">
        <v>1.00000002080378</v>
      </c>
    </row>
    <row r="4959" spans="1:40" x14ac:dyDescent="0.25">
      <c r="A4959" t="str">
        <f>"20190312172511899"</f>
        <v>20190312172511899</v>
      </c>
      <c r="B4959" t="str">
        <f>"1552382711895110"</f>
        <v>1552382711895110</v>
      </c>
      <c r="C4959" t="s">
        <v>40</v>
      </c>
      <c r="D4959">
        <v>3.6592129999999998</v>
      </c>
      <c r="E4959">
        <v>0.4266375</v>
      </c>
      <c r="F4959" t="s">
        <v>50</v>
      </c>
      <c r="G4959">
        <v>-409.9563</v>
      </c>
      <c r="H4959" s="1">
        <v>-2.558455E-6</v>
      </c>
      <c r="I4959">
        <v>27.191269999999999</v>
      </c>
      <c r="J4959">
        <v>-419.94400000000002</v>
      </c>
      <c r="K4959">
        <v>1.1186</v>
      </c>
      <c r="L4959">
        <v>37.349519999999998</v>
      </c>
      <c r="M4959">
        <v>0.41207250000000001</v>
      </c>
      <c r="N4959">
        <v>0</v>
      </c>
      <c r="O4959">
        <v>-0.91103619999999996</v>
      </c>
      <c r="P4959">
        <v>0.54410230000000004</v>
      </c>
      <c r="Q4959">
        <v>0.16439529999999999</v>
      </c>
      <c r="R4959">
        <v>-0.82275580000000004</v>
      </c>
      <c r="S4959">
        <v>2.192078</v>
      </c>
      <c r="T4959">
        <v>-0.24271229999999999</v>
      </c>
      <c r="U4959">
        <v>-2.253876</v>
      </c>
      <c r="V4959">
        <v>-0.1601447</v>
      </c>
      <c r="W4959">
        <v>0.17536170000000001</v>
      </c>
      <c r="X4959">
        <v>0.97139169999999997</v>
      </c>
      <c r="Y4959">
        <v>-0.33766289999999999</v>
      </c>
      <c r="Z4959">
        <v>7.5674130000000006E-2</v>
      </c>
      <c r="AA4959">
        <v>0.93822030000000001</v>
      </c>
      <c r="AB4959">
        <v>25</v>
      </c>
      <c r="AC4959">
        <v>9.9877000000000091</v>
      </c>
      <c r="AD4959">
        <v>-1.1186025584549999</v>
      </c>
      <c r="AE4959">
        <v>-10.158249999999899</v>
      </c>
      <c r="AF4959">
        <v>-4.8836245729865198</v>
      </c>
      <c r="AG4959">
        <v>-1.1186025584549999</v>
      </c>
      <c r="AH4959">
        <v>13.2896507744681</v>
      </c>
      <c r="AI4959">
        <v>94.517294666211498</v>
      </c>
      <c r="AJ4959">
        <v>110.177156676455</v>
      </c>
      <c r="AK4959">
        <v>14.2026715219701</v>
      </c>
      <c r="AL4959">
        <v>79.900291922856795</v>
      </c>
      <c r="AM4959">
        <v>99.361637223713899</v>
      </c>
      <c r="AN4959">
        <v>0.99999994279693305</v>
      </c>
    </row>
    <row r="4960" spans="1:40" x14ac:dyDescent="0.25">
      <c r="A4960" t="str">
        <f>"20190312172511912"</f>
        <v>20190312172511912</v>
      </c>
      <c r="B4960" t="str">
        <f>"1552382711905846"</f>
        <v>1552382711905846</v>
      </c>
      <c r="C4960" t="s">
        <v>40</v>
      </c>
      <c r="D4960">
        <v>3.809653</v>
      </c>
      <c r="E4960">
        <v>0.4269037</v>
      </c>
      <c r="F4960" t="s">
        <v>50</v>
      </c>
      <c r="G4960">
        <v>-409.63909999999998</v>
      </c>
      <c r="H4960" s="1">
        <v>-2.7039940000000001E-6</v>
      </c>
      <c r="I4960">
        <v>27.0014</v>
      </c>
      <c r="J4960">
        <v>-419.87580000000003</v>
      </c>
      <c r="K4960">
        <v>1.1186149999999999</v>
      </c>
      <c r="L4960">
        <v>37.217440000000003</v>
      </c>
      <c r="M4960">
        <v>0.41856270000000001</v>
      </c>
      <c r="N4960">
        <v>0</v>
      </c>
      <c r="O4960">
        <v>-0.90807280000000001</v>
      </c>
      <c r="P4960">
        <v>0.54968450000000002</v>
      </c>
      <c r="Q4960">
        <v>0.1640366</v>
      </c>
      <c r="R4960">
        <v>-0.81910869999999902</v>
      </c>
      <c r="S4960">
        <v>2.2181700000000002</v>
      </c>
      <c r="T4960">
        <v>-0.240784</v>
      </c>
      <c r="U4960">
        <v>-2.2274780000000001</v>
      </c>
      <c r="V4960">
        <v>-0.15978800000000001</v>
      </c>
      <c r="W4960">
        <v>0.1750139</v>
      </c>
      <c r="X4960">
        <v>0.97151319999999997</v>
      </c>
      <c r="Y4960">
        <v>-0.34205659999999999</v>
      </c>
      <c r="Z4960">
        <v>7.5025949999999994E-2</v>
      </c>
      <c r="AA4960">
        <v>0.9366795</v>
      </c>
      <c r="AB4960">
        <v>25</v>
      </c>
      <c r="AC4960">
        <v>10.236700000000001</v>
      </c>
      <c r="AD4960">
        <v>-1.118617703994</v>
      </c>
      <c r="AE4960">
        <v>-10.21604</v>
      </c>
      <c r="AF4960">
        <v>-4.9902854394254303</v>
      </c>
      <c r="AG4960">
        <v>-1.118617703994</v>
      </c>
      <c r="AH4960">
        <v>13.4823670264319</v>
      </c>
      <c r="AI4960">
        <v>94.449220152903294</v>
      </c>
      <c r="AJ4960">
        <v>110.31123776838101</v>
      </c>
      <c r="AK4960">
        <v>14.4197252043875</v>
      </c>
      <c r="AL4960">
        <v>79.920532833956102</v>
      </c>
      <c r="AM4960">
        <v>99.340005772725604</v>
      </c>
      <c r="AN4960">
        <v>0.99999998395572398</v>
      </c>
    </row>
    <row r="4961" spans="1:40" x14ac:dyDescent="0.25">
      <c r="A4961" t="str">
        <f>"20190312172511926"</f>
        <v>20190312172511926</v>
      </c>
      <c r="B4961" t="str">
        <f>"1552382711915606"</f>
        <v>1552382711915606</v>
      </c>
      <c r="C4961" t="s">
        <v>40</v>
      </c>
      <c r="D4961">
        <v>3.779182</v>
      </c>
      <c r="E4961">
        <v>0.42697180000000001</v>
      </c>
      <c r="F4961" t="s">
        <v>50</v>
      </c>
      <c r="G4961">
        <v>-409.51920000000001</v>
      </c>
      <c r="H4961" s="1">
        <v>-2.7632519999999998E-6</v>
      </c>
      <c r="I4961">
        <v>26.948799999999999</v>
      </c>
      <c r="J4961">
        <v>-419.80459999999999</v>
      </c>
      <c r="K4961">
        <v>1.11863</v>
      </c>
      <c r="L4961">
        <v>37.081449999999997</v>
      </c>
      <c r="M4961">
        <v>0.42525809999999997</v>
      </c>
      <c r="N4961">
        <v>0</v>
      </c>
      <c r="O4961">
        <v>-0.90495639999999999</v>
      </c>
      <c r="P4961">
        <v>0.55549799999999905</v>
      </c>
      <c r="Q4961">
        <v>0.16388420000000001</v>
      </c>
      <c r="R4961">
        <v>-0.81520809999999999</v>
      </c>
      <c r="S4961">
        <v>2.2319339999999999</v>
      </c>
      <c r="T4961">
        <v>-0.24107190000000001</v>
      </c>
      <c r="U4961">
        <v>-2.2129819999999998</v>
      </c>
      <c r="V4961">
        <v>-0.15951460000000001</v>
      </c>
      <c r="W4961">
        <v>0.17487069999999999</v>
      </c>
      <c r="X4961">
        <v>0.971584</v>
      </c>
      <c r="Y4961">
        <v>-0.34107349999999997</v>
      </c>
      <c r="Z4961">
        <v>7.4962100000000004E-2</v>
      </c>
      <c r="AA4961">
        <v>0.93704299999999996</v>
      </c>
      <c r="AB4961">
        <v>25</v>
      </c>
      <c r="AC4961">
        <v>10.2853999999999</v>
      </c>
      <c r="AD4961">
        <v>-1.1186327632519999</v>
      </c>
      <c r="AE4961">
        <v>-10.1326499999999</v>
      </c>
      <c r="AF4961">
        <v>-4.9695396473426499</v>
      </c>
      <c r="AG4961">
        <v>-1.1186327632519999</v>
      </c>
      <c r="AH4961">
        <v>13.4641524751733</v>
      </c>
      <c r="AI4961">
        <v>94.456775733604204</v>
      </c>
      <c r="AJ4961">
        <v>110.258807592785</v>
      </c>
      <c r="AK4961">
        <v>14.395522409424601</v>
      </c>
      <c r="AL4961">
        <v>79.928866967016802</v>
      </c>
      <c r="AM4961">
        <v>99.323638231310994</v>
      </c>
      <c r="AN4961">
        <v>1.00000006919382</v>
      </c>
    </row>
    <row r="4962" spans="1:40" x14ac:dyDescent="0.25">
      <c r="A4962" t="str">
        <f>"20190312172511940"</f>
        <v>20190312172511940</v>
      </c>
      <c r="B4962" t="str">
        <f>"1552382711935126"</f>
        <v>1552382711935126</v>
      </c>
      <c r="C4962" t="s">
        <v>40</v>
      </c>
      <c r="D4962">
        <v>3.747347</v>
      </c>
      <c r="E4962">
        <v>0.42757440000000002</v>
      </c>
      <c r="F4962" t="s">
        <v>50</v>
      </c>
      <c r="G4962">
        <v>-409.35980000000001</v>
      </c>
      <c r="H4962" s="1">
        <v>-2.8397309999999999E-6</v>
      </c>
      <c r="I4962">
        <v>26.86843</v>
      </c>
      <c r="J4962">
        <v>-419.73140000000001</v>
      </c>
      <c r="K4962">
        <v>1.1186469999999999</v>
      </c>
      <c r="L4962">
        <v>36.94388</v>
      </c>
      <c r="M4962">
        <v>0.43205470000000001</v>
      </c>
      <c r="N4962">
        <v>0</v>
      </c>
      <c r="O4962">
        <v>-0.90173110000000001</v>
      </c>
      <c r="P4962">
        <v>0.56142599999999998</v>
      </c>
      <c r="Q4962">
        <v>0.16379769999999999</v>
      </c>
      <c r="R4962">
        <v>-0.81115459999999995</v>
      </c>
      <c r="S4962">
        <v>2.2470699999999999</v>
      </c>
      <c r="T4962">
        <v>-0.24065980000000001</v>
      </c>
      <c r="U4962">
        <v>-2.1972049999999999</v>
      </c>
      <c r="V4962">
        <v>-0.1592847</v>
      </c>
      <c r="W4962">
        <v>0.17479229999999901</v>
      </c>
      <c r="X4962">
        <v>0.97163580000000005</v>
      </c>
      <c r="Y4962">
        <v>-0.34053450000000002</v>
      </c>
      <c r="Z4962">
        <v>7.4677250000000001E-2</v>
      </c>
      <c r="AA4962">
        <v>0.93726180000000003</v>
      </c>
      <c r="AB4962">
        <v>25</v>
      </c>
      <c r="AC4962">
        <v>10.371600000000001</v>
      </c>
      <c r="AD4962">
        <v>-1.1186498397310001</v>
      </c>
      <c r="AE4962">
        <v>-10.07545</v>
      </c>
      <c r="AF4962">
        <v>-4.9700274177316697</v>
      </c>
      <c r="AG4962">
        <v>-1.1186498397310001</v>
      </c>
      <c r="AH4962">
        <v>13.4871473042574</v>
      </c>
      <c r="AI4962">
        <v>94.450128719688095</v>
      </c>
      <c r="AJ4962">
        <v>110.228893087378</v>
      </c>
      <c r="AK4962">
        <v>14.417201268057299</v>
      </c>
      <c r="AL4962">
        <v>79.933428984211702</v>
      </c>
      <c r="AM4962">
        <v>99.309948365123006</v>
      </c>
      <c r="AN4962">
        <v>1.0000000458175</v>
      </c>
    </row>
    <row r="4963" spans="1:40" x14ac:dyDescent="0.25">
      <c r="A4963" t="str">
        <f>"20190312172511954"</f>
        <v>20190312172511954</v>
      </c>
      <c r="B4963" t="str">
        <f>"1552382711945862"</f>
        <v>1552382711945862</v>
      </c>
      <c r="C4963" t="s">
        <v>40</v>
      </c>
      <c r="D4963">
        <v>3.7407149999999998</v>
      </c>
      <c r="E4963">
        <v>0.42788480000000001</v>
      </c>
      <c r="F4963" t="s">
        <v>50</v>
      </c>
      <c r="G4963">
        <v>-409.21839999999997</v>
      </c>
      <c r="H4963" s="1">
        <v>-2.904665E-6</v>
      </c>
      <c r="I4963">
        <v>26.783950000000001</v>
      </c>
      <c r="J4963">
        <v>-419.65269999999998</v>
      </c>
      <c r="K4963">
        <v>1.11866</v>
      </c>
      <c r="L4963">
        <v>36.799770000000002</v>
      </c>
      <c r="M4963">
        <v>0.43921250000000001</v>
      </c>
      <c r="N4963">
        <v>0</v>
      </c>
      <c r="O4963">
        <v>-0.89826620000000001</v>
      </c>
      <c r="P4963">
        <v>0.56770900000000002</v>
      </c>
      <c r="Q4963">
        <v>0.1636464</v>
      </c>
      <c r="R4963">
        <v>-0.80680030000000003</v>
      </c>
      <c r="S4963">
        <v>2.2591860000000001</v>
      </c>
      <c r="T4963">
        <v>-0.2403922</v>
      </c>
      <c r="U4963">
        <v>-2.183319</v>
      </c>
      <c r="V4963">
        <v>-0.15909239999999999</v>
      </c>
      <c r="W4963">
        <v>0.17464859999999999</v>
      </c>
      <c r="X4963">
        <v>0.97169309999999998</v>
      </c>
      <c r="Y4963">
        <v>-0.33855839999999998</v>
      </c>
      <c r="Z4963">
        <v>7.4413939999999998E-2</v>
      </c>
      <c r="AA4963">
        <v>0.93799829999999995</v>
      </c>
      <c r="AB4963">
        <v>25</v>
      </c>
      <c r="AC4963">
        <v>10.4343</v>
      </c>
      <c r="AD4963">
        <v>-1.1186629046650001</v>
      </c>
      <c r="AE4963">
        <v>-10.01582</v>
      </c>
      <c r="AF4963">
        <v>-4.9446490514878496</v>
      </c>
      <c r="AG4963">
        <v>-1.1186629046650001</v>
      </c>
      <c r="AH4963">
        <v>13.5004140498088</v>
      </c>
      <c r="AI4963">
        <v>94.449039416738501</v>
      </c>
      <c r="AJ4963">
        <v>110.115714648032</v>
      </c>
      <c r="AK4963">
        <v>14.4208924984873</v>
      </c>
      <c r="AL4963">
        <v>79.941790575249996</v>
      </c>
      <c r="AM4963">
        <v>99.298366398523996</v>
      </c>
      <c r="AN4963">
        <v>1.00000000290366</v>
      </c>
    </row>
    <row r="4964" spans="1:40" x14ac:dyDescent="0.25">
      <c r="A4964" t="str">
        <f>"20190312172511977"</f>
        <v>20190312172511977</v>
      </c>
      <c r="B4964" t="str">
        <f>"1552382711965382"</f>
        <v>1552382711965382</v>
      </c>
      <c r="C4964" t="s">
        <v>40</v>
      </c>
      <c r="D4964">
        <v>3.7326489999999999</v>
      </c>
      <c r="E4964">
        <v>0.42837769999999997</v>
      </c>
      <c r="F4964" t="s">
        <v>50</v>
      </c>
      <c r="G4964">
        <v>-409.08359999999999</v>
      </c>
      <c r="H4964" s="1">
        <v>-2.972428E-6</v>
      </c>
      <c r="I4964">
        <v>26.729800000000001</v>
      </c>
      <c r="J4964">
        <v>-419.53539999999998</v>
      </c>
      <c r="K4964">
        <v>1.1186670000000001</v>
      </c>
      <c r="L4964">
        <v>36.589019999999998</v>
      </c>
      <c r="M4964">
        <v>0.44971549999999999</v>
      </c>
      <c r="N4964">
        <v>0</v>
      </c>
      <c r="O4964">
        <v>-0.89305389999999996</v>
      </c>
      <c r="P4964">
        <v>0.57693419999999995</v>
      </c>
      <c r="Q4964">
        <v>0.1631446</v>
      </c>
      <c r="R4964">
        <v>-0.80033169999999898</v>
      </c>
      <c r="S4964">
        <v>2.2743229999999999</v>
      </c>
      <c r="T4964">
        <v>-0.24071880000000001</v>
      </c>
      <c r="U4964">
        <v>-2.1669010000000002</v>
      </c>
      <c r="V4964">
        <v>-0.15880469999999999</v>
      </c>
      <c r="W4964">
        <v>0.17415929999999999</v>
      </c>
      <c r="X4964">
        <v>0.97182800000000003</v>
      </c>
      <c r="Y4964">
        <v>-0.33419749999999998</v>
      </c>
      <c r="Z4964">
        <v>7.418574E-2</v>
      </c>
      <c r="AA4964">
        <v>0.93957889999999999</v>
      </c>
      <c r="AB4964">
        <v>25</v>
      </c>
      <c r="AC4964">
        <v>10.451799999999899</v>
      </c>
      <c r="AD4964">
        <v>-1.118669972428</v>
      </c>
      <c r="AE4964">
        <v>-9.8592199999999899</v>
      </c>
      <c r="AF4964">
        <v>-4.8711650316065596</v>
      </c>
      <c r="AG4964">
        <v>-1.118669972428</v>
      </c>
      <c r="AH4964">
        <v>13.4251936113728</v>
      </c>
      <c r="AI4964">
        <v>94.478802618397197</v>
      </c>
      <c r="AJ4964">
        <v>109.94267528851501</v>
      </c>
      <c r="AK4964">
        <v>14.3253444906293</v>
      </c>
      <c r="AL4964">
        <v>79.970261998928393</v>
      </c>
      <c r="AM4964">
        <v>99.280578299699897</v>
      </c>
      <c r="AN4964">
        <v>1.00000002805128</v>
      </c>
    </row>
    <row r="4965" spans="1:40" x14ac:dyDescent="0.25">
      <c r="A4965" t="str">
        <f>"20190312172511994"</f>
        <v>20190312172511994</v>
      </c>
      <c r="B4965" t="str">
        <f>"1552382711985879"</f>
        <v>1552382711985879</v>
      </c>
      <c r="C4965" t="s">
        <v>40</v>
      </c>
      <c r="D4965">
        <v>3.7476250000000002</v>
      </c>
      <c r="E4965">
        <v>0.42876599999999998</v>
      </c>
      <c r="F4965" t="s">
        <v>50</v>
      </c>
      <c r="G4965">
        <v>-408.89249999999998</v>
      </c>
      <c r="H4965" s="1">
        <v>-3.0690059999999999E-6</v>
      </c>
      <c r="I4965">
        <v>26.655519999999999</v>
      </c>
      <c r="J4965">
        <v>-419.44130000000001</v>
      </c>
      <c r="K4965">
        <v>1.1186750000000001</v>
      </c>
      <c r="L4965">
        <v>36.424469999999999</v>
      </c>
      <c r="M4965">
        <v>0.45795560000000002</v>
      </c>
      <c r="N4965">
        <v>0</v>
      </c>
      <c r="O4965">
        <v>-0.88885650000000005</v>
      </c>
      <c r="P4965">
        <v>0.58416579999999996</v>
      </c>
      <c r="Q4965">
        <v>0.16311400000000001</v>
      </c>
      <c r="R4965">
        <v>-0.79507510000000003</v>
      </c>
      <c r="S4965">
        <v>2.295715</v>
      </c>
      <c r="T4965">
        <v>-0.24130209999999999</v>
      </c>
      <c r="U4965">
        <v>-2.1427</v>
      </c>
      <c r="V4965">
        <v>-0.1586274</v>
      </c>
      <c r="W4965">
        <v>0.17413629999999999</v>
      </c>
      <c r="X4965">
        <v>0.97186110000000003</v>
      </c>
      <c r="Y4965">
        <v>-0.33513579999999998</v>
      </c>
      <c r="Z4965">
        <v>7.4195059999999993E-2</v>
      </c>
      <c r="AA4965">
        <v>0.93924390000000002</v>
      </c>
      <c r="AB4965">
        <v>25</v>
      </c>
      <c r="AC4965">
        <v>10.5488</v>
      </c>
      <c r="AD4965">
        <v>-1.1186780690060001</v>
      </c>
      <c r="AE4965">
        <v>-9.7689499999999896</v>
      </c>
      <c r="AF4965">
        <v>-4.8736354026186497</v>
      </c>
      <c r="AG4965">
        <v>-1.1186780690060001</v>
      </c>
      <c r="AH4965">
        <v>13.434169464898201</v>
      </c>
      <c r="AI4965">
        <v>94.475938255452604</v>
      </c>
      <c r="AJ4965">
        <v>109.939711451637</v>
      </c>
      <c r="AK4965">
        <v>14.334597025076601</v>
      </c>
      <c r="AL4965">
        <v>79.971600476885598</v>
      </c>
      <c r="AM4965">
        <v>99.270086586651601</v>
      </c>
      <c r="AN4965">
        <v>1.00000005035082</v>
      </c>
    </row>
    <row r="4966" spans="1:40" x14ac:dyDescent="0.25">
      <c r="A4966" t="str">
        <f>"20190312172512011"</f>
        <v>20190312172512011</v>
      </c>
      <c r="B4966" t="str">
        <f>"1552382712005397"</f>
        <v>1552382712005397</v>
      </c>
      <c r="C4966" t="s">
        <v>40</v>
      </c>
      <c r="D4966">
        <v>3.5586289999999998</v>
      </c>
      <c r="E4966">
        <v>0.42904239999999999</v>
      </c>
      <c r="F4966" t="s">
        <v>50</v>
      </c>
      <c r="G4966">
        <v>-408.67579999999998</v>
      </c>
      <c r="H4966" s="1">
        <v>-3.1715500000000002E-6</v>
      </c>
      <c r="I4966">
        <v>26.53969</v>
      </c>
      <c r="J4966">
        <v>-419.34800000000001</v>
      </c>
      <c r="K4966">
        <v>1.118684</v>
      </c>
      <c r="L4966">
        <v>36.264650000000003</v>
      </c>
      <c r="M4966">
        <v>0.46598600000000001</v>
      </c>
      <c r="N4966">
        <v>0</v>
      </c>
      <c r="O4966">
        <v>-0.88467289999999998</v>
      </c>
      <c r="P4966">
        <v>0.59138740000000001</v>
      </c>
      <c r="Q4966">
        <v>0.16300000000000001</v>
      </c>
      <c r="R4966">
        <v>-0.78974180000000005</v>
      </c>
      <c r="S4966">
        <v>2.3126220000000002</v>
      </c>
      <c r="T4966">
        <v>-0.24031040000000001</v>
      </c>
      <c r="U4966">
        <v>-2.1234130000000002</v>
      </c>
      <c r="V4966">
        <v>-0.1586736</v>
      </c>
      <c r="W4966">
        <v>0.17402690000000001</v>
      </c>
      <c r="X4966">
        <v>0.97187310000000005</v>
      </c>
      <c r="Y4966">
        <v>-0.33430179999999998</v>
      </c>
      <c r="Z4966">
        <v>7.3679019999999998E-2</v>
      </c>
      <c r="AA4966">
        <v>0.93958169999999996</v>
      </c>
      <c r="AB4966">
        <v>25</v>
      </c>
      <c r="AC4966">
        <v>10.6722</v>
      </c>
      <c r="AD4966">
        <v>-1.11868717155</v>
      </c>
      <c r="AE4966">
        <v>-9.7249599999999994</v>
      </c>
      <c r="AF4966">
        <v>-4.8809282641880101</v>
      </c>
      <c r="AG4966">
        <v>-1.11868717155</v>
      </c>
      <c r="AH4966">
        <v>13.4969135679875</v>
      </c>
      <c r="AI4966">
        <v>94.456879457680898</v>
      </c>
      <c r="AJ4966">
        <v>109.88165848443499</v>
      </c>
      <c r="AK4966">
        <v>14.395888217462099</v>
      </c>
      <c r="AL4966">
        <v>79.977965294615501</v>
      </c>
      <c r="AM4966">
        <v>99.272627090335902</v>
      </c>
      <c r="AN4966">
        <v>0.99999999788209004</v>
      </c>
    </row>
    <row r="4967" spans="1:40" x14ac:dyDescent="0.25">
      <c r="A4967" t="str">
        <f>"20190312172512023"</f>
        <v>20190312172512023</v>
      </c>
      <c r="B4967" t="str">
        <f>"1552382712015158"</f>
        <v>1552382712015158</v>
      </c>
      <c r="C4967" t="s">
        <v>40</v>
      </c>
      <c r="D4967">
        <v>3.5516260000000002</v>
      </c>
      <c r="E4967">
        <v>0.42914409999999997</v>
      </c>
      <c r="F4967" t="s">
        <v>50</v>
      </c>
      <c r="G4967">
        <v>-408.476</v>
      </c>
      <c r="H4967" s="1">
        <v>-3.2697350000000001E-6</v>
      </c>
      <c r="I4967">
        <v>26.449619999999999</v>
      </c>
      <c r="J4967">
        <v>-419.27589999999998</v>
      </c>
      <c r="K4967">
        <v>1.1186860000000001</v>
      </c>
      <c r="L4967">
        <v>36.143160000000002</v>
      </c>
      <c r="M4967">
        <v>0.47209879999999999</v>
      </c>
      <c r="N4967">
        <v>0</v>
      </c>
      <c r="O4967">
        <v>-0.88142600000000004</v>
      </c>
      <c r="P4967">
        <v>0.59651350000000003</v>
      </c>
      <c r="Q4967">
        <v>0.16316729999999999</v>
      </c>
      <c r="R4967">
        <v>-0.7858425</v>
      </c>
      <c r="S4967">
        <v>2.3299259999999999</v>
      </c>
      <c r="T4967">
        <v>-0.23974190000000001</v>
      </c>
      <c r="U4967">
        <v>-2.103424</v>
      </c>
      <c r="V4967">
        <v>-0.15828989999999901</v>
      </c>
      <c r="W4967">
        <v>0.17420579999999999</v>
      </c>
      <c r="X4967">
        <v>0.97190359999999998</v>
      </c>
      <c r="Y4967">
        <v>-0.33570430000000001</v>
      </c>
      <c r="Z4967">
        <v>7.3382130000000004E-2</v>
      </c>
      <c r="AA4967">
        <v>0.93910470000000001</v>
      </c>
      <c r="AB4967">
        <v>25</v>
      </c>
      <c r="AC4967">
        <v>10.7998999999999</v>
      </c>
      <c r="AD4967">
        <v>-1.1186892697349999</v>
      </c>
      <c r="AE4967">
        <v>-9.6935399999999898</v>
      </c>
      <c r="AF4967">
        <v>-4.9143230202104498</v>
      </c>
      <c r="AG4967">
        <v>-1.1186892697349999</v>
      </c>
      <c r="AH4967">
        <v>13.563597972612801</v>
      </c>
      <c r="AI4967">
        <v>94.434096368339993</v>
      </c>
      <c r="AJ4967">
        <v>109.916316110379</v>
      </c>
      <c r="AK4967">
        <v>14.4697348417951</v>
      </c>
      <c r="AL4967">
        <v>79.967555903016404</v>
      </c>
      <c r="AM4967">
        <v>99.250307101772194</v>
      </c>
      <c r="AN4967">
        <v>0.99999998044430405</v>
      </c>
    </row>
    <row r="4968" spans="1:40" x14ac:dyDescent="0.25">
      <c r="A4968" t="str">
        <f>"20190312172512036"</f>
        <v>20190312172512036</v>
      </c>
      <c r="B4968" t="str">
        <f>"1552382712025895"</f>
        <v>1552382712025895</v>
      </c>
      <c r="C4968" t="s">
        <v>40</v>
      </c>
      <c r="D4968">
        <v>3.5656759999999998</v>
      </c>
      <c r="E4968">
        <v>0.42929349999999999</v>
      </c>
      <c r="F4968" t="s">
        <v>50</v>
      </c>
      <c r="G4968">
        <v>-408.30130000000003</v>
      </c>
      <c r="H4968" s="1">
        <v>-3.3507969999999999E-6</v>
      </c>
      <c r="I4968">
        <v>26.360510000000001</v>
      </c>
      <c r="J4968">
        <v>-419.20119999999997</v>
      </c>
      <c r="K4968">
        <v>1.11869</v>
      </c>
      <c r="L4968">
        <v>36.019680000000001</v>
      </c>
      <c r="M4968">
        <v>0.4783365</v>
      </c>
      <c r="N4968">
        <v>0</v>
      </c>
      <c r="O4968">
        <v>-0.87805619999999995</v>
      </c>
      <c r="P4968">
        <v>0.60196810000000001</v>
      </c>
      <c r="Q4968">
        <v>0.16286719999999999</v>
      </c>
      <c r="R4968">
        <v>-0.78173440000000005</v>
      </c>
      <c r="S4968">
        <v>2.3430789999999999</v>
      </c>
      <c r="T4968">
        <v>-0.23883960000000001</v>
      </c>
      <c r="U4968">
        <v>-2.0885929999999999</v>
      </c>
      <c r="V4968">
        <v>-0.1581272</v>
      </c>
      <c r="W4968">
        <v>0.17391419999999999</v>
      </c>
      <c r="X4968">
        <v>0.97198229999999997</v>
      </c>
      <c r="Y4968">
        <v>-0.334982</v>
      </c>
      <c r="Z4968">
        <v>7.292237E-2</v>
      </c>
      <c r="AA4968">
        <v>0.93939839999999997</v>
      </c>
      <c r="AB4968">
        <v>25</v>
      </c>
      <c r="AC4968">
        <v>10.899899999999899</v>
      </c>
      <c r="AD4968">
        <v>-1.1186933507969901</v>
      </c>
      <c r="AE4968">
        <v>-9.6591699999999996</v>
      </c>
      <c r="AF4968">
        <v>-4.9218747783898804</v>
      </c>
      <c r="AG4968">
        <v>-1.1186933507969901</v>
      </c>
      <c r="AH4968">
        <v>13.6162242557208</v>
      </c>
      <c r="AI4968">
        <v>94.418233501784599</v>
      </c>
      <c r="AJ4968">
        <v>109.87347073032301</v>
      </c>
      <c r="AK4968">
        <v>14.521635208520699</v>
      </c>
      <c r="AL4968">
        <v>79.984522298923196</v>
      </c>
      <c r="AM4968">
        <v>99.240227866289004</v>
      </c>
      <c r="AN4968">
        <v>0.99999997592738399</v>
      </c>
    </row>
    <row r="4969" spans="1:40" x14ac:dyDescent="0.25">
      <c r="A4969" t="str">
        <f>"20190312172512049"</f>
        <v>20190312172512049</v>
      </c>
      <c r="B4969" t="str">
        <f>"1552382712045414"</f>
        <v>1552382712045414</v>
      </c>
      <c r="C4969" t="s">
        <v>40</v>
      </c>
      <c r="D4969">
        <v>3.7646060000000001</v>
      </c>
      <c r="E4969">
        <v>0.42991269999999998</v>
      </c>
      <c r="F4969" t="s">
        <v>50</v>
      </c>
      <c r="G4969">
        <v>-408.17110000000002</v>
      </c>
      <c r="H4969" s="1">
        <v>-3.4091059999999998E-6</v>
      </c>
      <c r="I4969">
        <v>26.319990000000001</v>
      </c>
      <c r="J4969">
        <v>-419.13049999999998</v>
      </c>
      <c r="K4969">
        <v>1.1186860000000001</v>
      </c>
      <c r="L4969">
        <v>35.90466</v>
      </c>
      <c r="M4969">
        <v>0.48415639999999999</v>
      </c>
      <c r="N4969">
        <v>0</v>
      </c>
      <c r="O4969">
        <v>-0.87486059999999999</v>
      </c>
      <c r="P4969">
        <v>0.60686149999999905</v>
      </c>
      <c r="Q4969">
        <v>0.1628947</v>
      </c>
      <c r="R4969">
        <v>-0.77793619999999997</v>
      </c>
      <c r="S4969">
        <v>2.3568419999999999</v>
      </c>
      <c r="T4969">
        <v>-0.23903540000000001</v>
      </c>
      <c r="U4969">
        <v>-2.0725709999999999</v>
      </c>
      <c r="V4969">
        <v>-0.1577752</v>
      </c>
      <c r="W4969">
        <v>0.17395369999999999</v>
      </c>
      <c r="X4969">
        <v>0.97203249999999997</v>
      </c>
      <c r="Y4969">
        <v>-0.33505030000000002</v>
      </c>
      <c r="Z4969">
        <v>7.2824689999999997E-2</v>
      </c>
      <c r="AA4969">
        <v>0.93938160000000004</v>
      </c>
      <c r="AB4969">
        <v>25</v>
      </c>
      <c r="AC4969">
        <v>10.959399999999899</v>
      </c>
      <c r="AD4969">
        <v>-1.118689409106</v>
      </c>
      <c r="AE4969">
        <v>-9.5846699999999991</v>
      </c>
      <c r="AF4969">
        <v>-4.9189504674124498</v>
      </c>
      <c r="AG4969">
        <v>-1.118689409106</v>
      </c>
      <c r="AH4969">
        <v>13.6123963320615</v>
      </c>
      <c r="AI4969">
        <v>94.419614774590798</v>
      </c>
      <c r="AJ4969">
        <v>109.86773526772799</v>
      </c>
      <c r="AK4969">
        <v>14.5170545771525</v>
      </c>
      <c r="AL4969">
        <v>79.9822247560693</v>
      </c>
      <c r="AM4969">
        <v>99.219544261458296</v>
      </c>
      <c r="AN4969">
        <v>1.00000004226748</v>
      </c>
    </row>
    <row r="4970" spans="1:40" x14ac:dyDescent="0.25">
      <c r="A4970" t="str">
        <f>"20190312172512065"</f>
        <v>20190312172512065</v>
      </c>
      <c r="B4970" t="str">
        <f>"1552382712055174"</f>
        <v>1552382712055174</v>
      </c>
      <c r="C4970" t="s">
        <v>40</v>
      </c>
      <c r="D4970">
        <v>3.7672859999999999</v>
      </c>
      <c r="E4970">
        <v>0.4303052</v>
      </c>
      <c r="F4970" t="s">
        <v>50</v>
      </c>
      <c r="G4970">
        <v>-408.01690000000002</v>
      </c>
      <c r="H4970" s="1">
        <v>-3.470277E-6</v>
      </c>
      <c r="I4970">
        <v>26.227650000000001</v>
      </c>
      <c r="J4970">
        <v>-419.03390000000002</v>
      </c>
      <c r="K4970">
        <v>1.1186860000000001</v>
      </c>
      <c r="L4970">
        <v>35.749969999999998</v>
      </c>
      <c r="M4970">
        <v>0.4919924</v>
      </c>
      <c r="N4970">
        <v>0</v>
      </c>
      <c r="O4970">
        <v>-0.87047770000000002</v>
      </c>
      <c r="P4970">
        <v>0.61324140000000005</v>
      </c>
      <c r="Q4970">
        <v>0.16288569999999999</v>
      </c>
      <c r="R4970">
        <v>-0.77291880000000002</v>
      </c>
      <c r="S4970">
        <v>2.366241</v>
      </c>
      <c r="T4970">
        <v>-0.23818400000000001</v>
      </c>
      <c r="U4970">
        <v>-2.0603639999999999</v>
      </c>
      <c r="V4970">
        <v>-0.1570406</v>
      </c>
      <c r="W4970">
        <v>0.17396589999999901</v>
      </c>
      <c r="X4970">
        <v>0.97214929999999999</v>
      </c>
      <c r="Y4970">
        <v>-0.33121970000000001</v>
      </c>
      <c r="Z4970">
        <v>7.228205E-2</v>
      </c>
      <c r="AA4970">
        <v>0.94078099999999998</v>
      </c>
      <c r="AB4970">
        <v>25</v>
      </c>
      <c r="AC4970">
        <v>11.0169999999999</v>
      </c>
      <c r="AD4970">
        <v>-1.1186894702770001</v>
      </c>
      <c r="AE4970">
        <v>-9.5223200000000006</v>
      </c>
      <c r="AF4970">
        <v>-4.8768816155511399</v>
      </c>
      <c r="AG4970">
        <v>-1.1186894702770001</v>
      </c>
      <c r="AH4970">
        <v>13.63025844165</v>
      </c>
      <c r="AI4970">
        <v>94.418832360754905</v>
      </c>
      <c r="AJ4970">
        <v>109.687116774904</v>
      </c>
      <c r="AK4970">
        <v>14.519620711615699</v>
      </c>
      <c r="AL4970">
        <v>79.9815152351877</v>
      </c>
      <c r="AM4970">
        <v>99.1762663900398</v>
      </c>
      <c r="AN4970">
        <v>1.0000000729508201</v>
      </c>
    </row>
    <row r="4971" spans="1:40" x14ac:dyDescent="0.25">
      <c r="A4971" t="str">
        <f>"20190312172512078"</f>
        <v>20190312172512078</v>
      </c>
      <c r="B4971" t="str">
        <f>"1552382712065910"</f>
        <v>1552382712065910</v>
      </c>
      <c r="C4971" t="s">
        <v>40</v>
      </c>
      <c r="D4971">
        <v>3.775318</v>
      </c>
      <c r="E4971">
        <v>0.43070599999999998</v>
      </c>
      <c r="F4971" t="s">
        <v>50</v>
      </c>
      <c r="G4971">
        <v>-407.84769999999997</v>
      </c>
      <c r="H4971" s="1">
        <v>-3.5419770000000001E-6</v>
      </c>
      <c r="I4971">
        <v>26.152239999999999</v>
      </c>
      <c r="J4971">
        <v>-418.96269999999998</v>
      </c>
      <c r="K4971">
        <v>1.118684</v>
      </c>
      <c r="L4971">
        <v>35.637729999999998</v>
      </c>
      <c r="M4971">
        <v>0.4976875</v>
      </c>
      <c r="N4971">
        <v>0</v>
      </c>
      <c r="O4971">
        <v>-0.86723449999999902</v>
      </c>
      <c r="P4971">
        <v>0.6181217</v>
      </c>
      <c r="Q4971">
        <v>0.16291159999999999</v>
      </c>
      <c r="R4971">
        <v>-0.76901619999999904</v>
      </c>
      <c r="S4971">
        <v>2.3807369999999999</v>
      </c>
      <c r="T4971">
        <v>-0.23808850000000001</v>
      </c>
      <c r="U4971">
        <v>-2.0426639999999998</v>
      </c>
      <c r="V4971">
        <v>-0.15682360000000001</v>
      </c>
      <c r="W4971">
        <v>0.17400109999999999</v>
      </c>
      <c r="X4971">
        <v>0.97217799999999999</v>
      </c>
      <c r="Y4971">
        <v>-0.33190180000000002</v>
      </c>
      <c r="Z4971">
        <v>7.2109790000000007E-2</v>
      </c>
      <c r="AA4971">
        <v>0.94055370000000005</v>
      </c>
      <c r="AB4971">
        <v>25</v>
      </c>
      <c r="AC4971">
        <v>11.115</v>
      </c>
      <c r="AD4971">
        <v>-1.1186875419769999</v>
      </c>
      <c r="AE4971">
        <v>-9.4854900000000004</v>
      </c>
      <c r="AF4971">
        <v>-4.89035863631059</v>
      </c>
      <c r="AG4971">
        <v>-1.1186875419769999</v>
      </c>
      <c r="AH4971">
        <v>13.679219592353601</v>
      </c>
      <c r="AI4971">
        <v>94.403481926792097</v>
      </c>
      <c r="AJ4971">
        <v>109.672109749635</v>
      </c>
      <c r="AK4971">
        <v>14.570110434178</v>
      </c>
      <c r="AL4971">
        <v>79.979466895165203</v>
      </c>
      <c r="AM4971">
        <v>99.163535888774206</v>
      </c>
      <c r="AN4971">
        <v>1.0000000440010799</v>
      </c>
    </row>
    <row r="4972" spans="1:40" x14ac:dyDescent="0.25">
      <c r="A4972" t="str">
        <f>"20190312172512089"</f>
        <v>20190312172512089</v>
      </c>
      <c r="B4972" t="str">
        <f>"1552382712085431"</f>
        <v>1552382712085431</v>
      </c>
      <c r="C4972" t="s">
        <v>40</v>
      </c>
      <c r="D4972">
        <v>3.749485</v>
      </c>
      <c r="E4972">
        <v>0.43154979999999998</v>
      </c>
      <c r="F4972" t="s">
        <v>50</v>
      </c>
      <c r="G4972">
        <v>-407.75709999999998</v>
      </c>
      <c r="H4972" s="1">
        <v>-3.5826070000000002E-6</v>
      </c>
      <c r="I4972">
        <v>26.124300000000002</v>
      </c>
      <c r="J4972">
        <v>-418.89710000000002</v>
      </c>
      <c r="K4972">
        <v>1.118681</v>
      </c>
      <c r="L4972">
        <v>35.536189999999998</v>
      </c>
      <c r="M4972">
        <v>0.50284870000000004</v>
      </c>
      <c r="N4972">
        <v>0</v>
      </c>
      <c r="O4972">
        <v>-0.86425219999999903</v>
      </c>
      <c r="P4972">
        <v>0.62235439999999997</v>
      </c>
      <c r="Q4972">
        <v>0.1630442</v>
      </c>
      <c r="R4972">
        <v>-0.76556659999999999</v>
      </c>
      <c r="S4972">
        <v>2.39093</v>
      </c>
      <c r="T4972">
        <v>-0.2386942</v>
      </c>
      <c r="U4972">
        <v>-2.0298769999999999</v>
      </c>
      <c r="V4972">
        <v>-0.15640509999999999</v>
      </c>
      <c r="W4972">
        <v>0.17414669999999999</v>
      </c>
      <c r="X4972">
        <v>0.97221930000000001</v>
      </c>
      <c r="Y4972">
        <v>-0.331175</v>
      </c>
      <c r="Z4972">
        <v>7.213087E-2</v>
      </c>
      <c r="AA4972">
        <v>0.94080830000000004</v>
      </c>
      <c r="AB4972">
        <v>25</v>
      </c>
      <c r="AC4972">
        <v>11.14</v>
      </c>
      <c r="AD4972">
        <v>-1.118684582607</v>
      </c>
      <c r="AE4972">
        <v>-9.4118899999999996</v>
      </c>
      <c r="AF4972">
        <v>-4.8668927348126996</v>
      </c>
      <c r="AG4972">
        <v>-1.118684582607</v>
      </c>
      <c r="AH4972">
        <v>13.657072790289</v>
      </c>
      <c r="AI4972">
        <v>94.412166764997494</v>
      </c>
      <c r="AJ4972">
        <v>109.61425074999499</v>
      </c>
      <c r="AK4972">
        <v>14.541448940418199</v>
      </c>
      <c r="AL4972">
        <v>79.970994823056202</v>
      </c>
      <c r="AM4972">
        <v>99.139113597378994</v>
      </c>
      <c r="AN4972">
        <v>0.99999999785969496</v>
      </c>
    </row>
    <row r="4973" spans="1:40" x14ac:dyDescent="0.25">
      <c r="A4973" t="str">
        <f>"20190312172512112"</f>
        <v>20190312172512112</v>
      </c>
      <c r="B4973" t="str">
        <f>"1552382712105926"</f>
        <v>1552382712105926</v>
      </c>
      <c r="C4973" t="s">
        <v>40</v>
      </c>
      <c r="D4973">
        <v>3.725946</v>
      </c>
      <c r="E4973">
        <v>0.4323632</v>
      </c>
      <c r="F4973" t="s">
        <v>50</v>
      </c>
      <c r="G4973">
        <v>-407.68279999999999</v>
      </c>
      <c r="H4973" s="1">
        <v>-3.612749E-6</v>
      </c>
      <c r="I4973">
        <v>26.083670000000001</v>
      </c>
      <c r="J4973">
        <v>-418.75599999999997</v>
      </c>
      <c r="K4973">
        <v>1.1186769999999999</v>
      </c>
      <c r="L4973">
        <v>35.321750000000002</v>
      </c>
      <c r="M4973">
        <v>0.51375689999999996</v>
      </c>
      <c r="N4973">
        <v>0</v>
      </c>
      <c r="O4973">
        <v>-0.85781249999999998</v>
      </c>
      <c r="P4973">
        <v>0.63170319999999902</v>
      </c>
      <c r="Q4973">
        <v>0.16338429999999901</v>
      </c>
      <c r="R4973">
        <v>-0.75779719999999995</v>
      </c>
      <c r="S4973">
        <v>2.3973390000000001</v>
      </c>
      <c r="T4973">
        <v>-0.23914779999999999</v>
      </c>
      <c r="U4973">
        <v>-2.020721</v>
      </c>
      <c r="V4973">
        <v>-0.156059</v>
      </c>
      <c r="W4973">
        <v>0.17450209999999999</v>
      </c>
      <c r="X4973">
        <v>0.97221120000000005</v>
      </c>
      <c r="Y4973">
        <v>-0.32256210000000002</v>
      </c>
      <c r="Z4973">
        <v>7.1759859999999995E-2</v>
      </c>
      <c r="AA4973">
        <v>0.9438242</v>
      </c>
      <c r="AB4973">
        <v>25</v>
      </c>
      <c r="AC4973">
        <v>11.0731999999999</v>
      </c>
      <c r="AD4973">
        <v>-1.1186806127490001</v>
      </c>
      <c r="AE4973">
        <v>-9.2380800000000001</v>
      </c>
      <c r="AF4973">
        <v>-4.7246727720175796</v>
      </c>
      <c r="AG4973">
        <v>-1.1186806127490001</v>
      </c>
      <c r="AH4973">
        <v>13.533472126035299</v>
      </c>
      <c r="AI4973">
        <v>94.462388218809295</v>
      </c>
      <c r="AJ4973">
        <v>109.24461408690399</v>
      </c>
      <c r="AK4973">
        <v>14.37806826045</v>
      </c>
      <c r="AL4973">
        <v>79.950315344760995</v>
      </c>
      <c r="AM4973">
        <v>99.119305045254805</v>
      </c>
      <c r="AN4973">
        <v>1.0000000058954199</v>
      </c>
    </row>
    <row r="4974" spans="1:40" x14ac:dyDescent="0.25">
      <c r="A4974" t="str">
        <f>"20190312172512135"</f>
        <v>20190312172512135</v>
      </c>
      <c r="B4974" t="str">
        <f>"1552382712125446"</f>
        <v>1552382712125446</v>
      </c>
      <c r="C4974" t="s">
        <v>40</v>
      </c>
      <c r="D4974">
        <v>3.708151</v>
      </c>
      <c r="E4974">
        <v>0.43323400000000001</v>
      </c>
      <c r="F4974" t="s">
        <v>50</v>
      </c>
      <c r="G4974">
        <v>-407.41</v>
      </c>
      <c r="H4974" s="1">
        <v>-3.7272530000000001E-6</v>
      </c>
      <c r="I4974">
        <v>25.955760000000001</v>
      </c>
      <c r="J4974">
        <v>-418.62299999999999</v>
      </c>
      <c r="K4974">
        <v>1.118665</v>
      </c>
      <c r="L4974">
        <v>35.124789999999997</v>
      </c>
      <c r="M4974">
        <v>0.523790799999999</v>
      </c>
      <c r="N4974">
        <v>0</v>
      </c>
      <c r="O4974">
        <v>-0.8517226</v>
      </c>
      <c r="P4974">
        <v>0.64032730000000004</v>
      </c>
      <c r="Q4974">
        <v>0.16371260000000001</v>
      </c>
      <c r="R4974">
        <v>-0.75045309999999998</v>
      </c>
      <c r="S4974">
        <v>2.4171140000000002</v>
      </c>
      <c r="T4974">
        <v>-0.23832</v>
      </c>
      <c r="U4974">
        <v>-1.9953000000000001</v>
      </c>
      <c r="V4974">
        <v>-0.15580089999999999</v>
      </c>
      <c r="W4974">
        <v>0.174843</v>
      </c>
      <c r="X4974">
        <v>0.97219129999999998</v>
      </c>
      <c r="Y4974">
        <v>-0.32117319999999999</v>
      </c>
      <c r="Z4974">
        <v>7.1172979999999997E-2</v>
      </c>
      <c r="AA4974">
        <v>0.94434220000000002</v>
      </c>
      <c r="AB4974">
        <v>25</v>
      </c>
      <c r="AC4974">
        <v>11.212999999999999</v>
      </c>
      <c r="AD4974">
        <v>-1.118668727253</v>
      </c>
      <c r="AE4974">
        <v>-9.1690299999999993</v>
      </c>
      <c r="AF4974">
        <v>-4.7200608508875197</v>
      </c>
      <c r="AG4974">
        <v>-1.118668727253</v>
      </c>
      <c r="AH4974">
        <v>13.6030468172138</v>
      </c>
      <c r="AI4974">
        <v>94.442526670978097</v>
      </c>
      <c r="AJ4974">
        <v>109.13603586513</v>
      </c>
      <c r="AK4974">
        <v>14.4420662257423</v>
      </c>
      <c r="AL4974">
        <v>79.930477776890299</v>
      </c>
      <c r="AM4974">
        <v>99.104659024221206</v>
      </c>
      <c r="AN4974">
        <v>0.999999959442749</v>
      </c>
    </row>
    <row r="4975" spans="1:40" x14ac:dyDescent="0.25">
      <c r="A4975" t="str">
        <f>"20190312172512147"</f>
        <v>20190312172512147</v>
      </c>
      <c r="B4975" t="str">
        <f>"1552382712135206"</f>
        <v>1552382712135206</v>
      </c>
      <c r="C4975" t="s">
        <v>40</v>
      </c>
      <c r="D4975">
        <v>3.6921080000000002</v>
      </c>
      <c r="E4975">
        <v>0.43365150000000002</v>
      </c>
      <c r="F4975" t="s">
        <v>50</v>
      </c>
      <c r="G4975">
        <v>-407.12720000000002</v>
      </c>
      <c r="H4975" s="1">
        <v>-3.84434E-6</v>
      </c>
      <c r="I4975">
        <v>25.813790000000001</v>
      </c>
      <c r="J4975">
        <v>-418.54169999999999</v>
      </c>
      <c r="K4975">
        <v>1.118654</v>
      </c>
      <c r="L4975">
        <v>35.007019999999997</v>
      </c>
      <c r="M4975">
        <v>0.52979409999999905</v>
      </c>
      <c r="N4975">
        <v>0</v>
      </c>
      <c r="O4975">
        <v>-0.84800140000000002</v>
      </c>
      <c r="P4975">
        <v>0.64568570000000003</v>
      </c>
      <c r="Q4975">
        <v>0.1636888</v>
      </c>
      <c r="R4975">
        <v>-0.74585299999999999</v>
      </c>
      <c r="S4975">
        <v>2.4346009999999998</v>
      </c>
      <c r="T4975">
        <v>-0.23691309999999999</v>
      </c>
      <c r="U4975">
        <v>-1.9718929999999999</v>
      </c>
      <c r="V4975">
        <v>-0.1558891</v>
      </c>
      <c r="W4975">
        <v>0.174821799999999</v>
      </c>
      <c r="X4975">
        <v>0.97218099999999996</v>
      </c>
      <c r="Y4975">
        <v>-0.32331120000000002</v>
      </c>
      <c r="Z4975">
        <v>7.0624690000000004E-2</v>
      </c>
      <c r="AA4975">
        <v>0.94365350000000003</v>
      </c>
      <c r="AB4975">
        <v>25</v>
      </c>
      <c r="AC4975">
        <v>11.414499999999901</v>
      </c>
      <c r="AD4975">
        <v>-1.1186578443399999</v>
      </c>
      <c r="AE4975">
        <v>-9.1932299999999998</v>
      </c>
      <c r="AF4975">
        <v>-4.7816460100040601</v>
      </c>
      <c r="AG4975">
        <v>-1.1186578443399999</v>
      </c>
      <c r="AH4975">
        <v>13.764485491724299</v>
      </c>
      <c r="AI4975">
        <v>94.390036139567897</v>
      </c>
      <c r="AJ4975">
        <v>109.156720877846</v>
      </c>
      <c r="AK4975">
        <v>14.614259980908299</v>
      </c>
      <c r="AL4975">
        <v>79.931711708291502</v>
      </c>
      <c r="AM4975">
        <v>99.109821731927994</v>
      </c>
      <c r="AN4975">
        <v>0.99999998500752496</v>
      </c>
    </row>
    <row r="4976" spans="1:40" x14ac:dyDescent="0.25">
      <c r="A4976" t="str">
        <f>"20190312172512159"</f>
        <v>20190312172512159</v>
      </c>
      <c r="B4976" t="str">
        <f>"1552382712155702"</f>
        <v>1552382712155702</v>
      </c>
      <c r="C4976" t="s">
        <v>40</v>
      </c>
      <c r="D4976">
        <v>3.8160699999999999</v>
      </c>
      <c r="E4976">
        <v>0.43443609999999999</v>
      </c>
      <c r="F4976" t="s">
        <v>50</v>
      </c>
      <c r="G4976">
        <v>-407.01819999999998</v>
      </c>
      <c r="H4976" s="1">
        <v>-3.8944310000000002E-6</v>
      </c>
      <c r="I4976">
        <v>25.787050000000001</v>
      </c>
      <c r="J4976">
        <v>-418.46620000000001</v>
      </c>
      <c r="K4976">
        <v>1.1186430000000001</v>
      </c>
      <c r="L4976">
        <v>34.898769999999999</v>
      </c>
      <c r="M4976">
        <v>0.53530990000000001</v>
      </c>
      <c r="N4976">
        <v>0</v>
      </c>
      <c r="O4976">
        <v>-0.84453029999999996</v>
      </c>
      <c r="P4976">
        <v>0.65074180000000004</v>
      </c>
      <c r="Q4976">
        <v>0.16374420000000001</v>
      </c>
      <c r="R4976">
        <v>-0.74143309999999996</v>
      </c>
      <c r="S4976">
        <v>2.4459230000000001</v>
      </c>
      <c r="T4976">
        <v>-0.23743890000000001</v>
      </c>
      <c r="U4976">
        <v>-1.9569700000000001</v>
      </c>
      <c r="V4976">
        <v>-0.15616720000000001</v>
      </c>
      <c r="W4976">
        <v>0.17487539999999999</v>
      </c>
      <c r="X4976">
        <v>0.97212679999999996</v>
      </c>
      <c r="Y4976">
        <v>-0.32278250000000003</v>
      </c>
      <c r="Z4976">
        <v>7.0588659999999998E-2</v>
      </c>
      <c r="AA4976">
        <v>0.94383720000000004</v>
      </c>
      <c r="AB4976">
        <v>25</v>
      </c>
      <c r="AC4976">
        <v>11.448</v>
      </c>
      <c r="AD4976">
        <v>-1.118646894431</v>
      </c>
      <c r="AE4976">
        <v>-9.1117199999999894</v>
      </c>
      <c r="AF4976">
        <v>-4.7632537265676502</v>
      </c>
      <c r="AG4976">
        <v>-1.118646894431</v>
      </c>
      <c r="AH4976">
        <v>13.744474956065</v>
      </c>
      <c r="AI4976">
        <v>94.397488686235107</v>
      </c>
      <c r="AJ4976">
        <v>109.114152989836</v>
      </c>
      <c r="AK4976">
        <v>14.589398505626599</v>
      </c>
      <c r="AL4976">
        <v>79.928593344246195</v>
      </c>
      <c r="AM4976">
        <v>99.126300307447707</v>
      </c>
      <c r="AN4976">
        <v>1.00000005757961</v>
      </c>
    </row>
    <row r="4977" spans="1:40" x14ac:dyDescent="0.25">
      <c r="A4977" t="str">
        <f>"20190312172512178"</f>
        <v>20190312172512178</v>
      </c>
      <c r="B4977" t="str">
        <f>"1552382712165462"</f>
        <v>1552382712165462</v>
      </c>
      <c r="C4977" t="s">
        <v>40</v>
      </c>
      <c r="D4977">
        <v>3.667338</v>
      </c>
      <c r="E4977">
        <v>0.4348708</v>
      </c>
      <c r="F4977" t="s">
        <v>50</v>
      </c>
      <c r="G4977">
        <v>-406.92939999999999</v>
      </c>
      <c r="H4977" s="1">
        <v>-3.9343440000000001E-6</v>
      </c>
      <c r="I4977">
        <v>25.76022</v>
      </c>
      <c r="J4977">
        <v>-418.3526</v>
      </c>
      <c r="K4977">
        <v>1.1186259999999999</v>
      </c>
      <c r="L4977">
        <v>34.739289999999997</v>
      </c>
      <c r="M4977">
        <v>0.5434523</v>
      </c>
      <c r="N4977">
        <v>0</v>
      </c>
      <c r="O4977">
        <v>-0.83931389999999995</v>
      </c>
      <c r="P4977">
        <v>0.65761599999999998</v>
      </c>
      <c r="Q4977">
        <v>0.1635402</v>
      </c>
      <c r="R4977">
        <v>-0.73538840000000005</v>
      </c>
      <c r="S4977">
        <v>2.4546510000000001</v>
      </c>
      <c r="T4977">
        <v>-0.2380091</v>
      </c>
      <c r="U4977">
        <v>-1.944366</v>
      </c>
      <c r="V4977">
        <v>-0.15577939999999901</v>
      </c>
      <c r="W4977">
        <v>0.1746866</v>
      </c>
      <c r="X4977">
        <v>0.9722229</v>
      </c>
      <c r="Y4977">
        <v>-0.31824170000000002</v>
      </c>
      <c r="Z4977">
        <v>7.0386509999999999E-2</v>
      </c>
      <c r="AA4977">
        <v>0.94539300000000004</v>
      </c>
      <c r="AB4977">
        <v>25</v>
      </c>
      <c r="AC4977">
        <v>11.4232</v>
      </c>
      <c r="AD4977">
        <v>-1.118629934344</v>
      </c>
      <c r="AE4977">
        <v>-8.9790700000000001</v>
      </c>
      <c r="AF4977">
        <v>-4.6807088884904697</v>
      </c>
      <c r="AG4977">
        <v>-1.118629934344</v>
      </c>
      <c r="AH4977">
        <v>13.6646833587356</v>
      </c>
      <c r="AI4977">
        <v>94.428452158539699</v>
      </c>
      <c r="AJ4977">
        <v>108.908414183681</v>
      </c>
      <c r="AK4977">
        <v>14.4873717396672</v>
      </c>
      <c r="AL4977">
        <v>79.939579298453694</v>
      </c>
      <c r="AM4977">
        <v>99.1031327189595</v>
      </c>
      <c r="AN4977">
        <v>0.99999999848416499</v>
      </c>
    </row>
    <row r="4978" spans="1:40" x14ac:dyDescent="0.25">
      <c r="A4978" t="str">
        <f>"20190312172512189"</f>
        <v>20190312172512189</v>
      </c>
      <c r="B4978" t="str">
        <f>"1552382712185958"</f>
        <v>1552382712185958</v>
      </c>
      <c r="C4978" t="s">
        <v>40</v>
      </c>
      <c r="D4978">
        <v>3.7950409999999999</v>
      </c>
      <c r="E4978">
        <v>0.45737139999999998</v>
      </c>
      <c r="F4978" t="s">
        <v>50</v>
      </c>
      <c r="G4978">
        <v>-406.74829999999997</v>
      </c>
      <c r="H4978" s="1">
        <v>-4.0157639999999996E-6</v>
      </c>
      <c r="I4978">
        <v>25.7057</v>
      </c>
      <c r="J4978">
        <v>-418.27800000000002</v>
      </c>
      <c r="K4978">
        <v>1.1186160000000001</v>
      </c>
      <c r="L4978">
        <v>34.63635</v>
      </c>
      <c r="M4978">
        <v>0.54871300000000001</v>
      </c>
      <c r="N4978">
        <v>0</v>
      </c>
      <c r="O4978">
        <v>-0.83588430000000002</v>
      </c>
      <c r="P4978">
        <v>0.66227729999999996</v>
      </c>
      <c r="Q4978">
        <v>0.16305320000000001</v>
      </c>
      <c r="R4978">
        <v>-0.73130209999999995</v>
      </c>
      <c r="S4978">
        <v>2.47052</v>
      </c>
      <c r="T4978">
        <v>-0.23815230000000001</v>
      </c>
      <c r="U4978">
        <v>-1.9232180000000001</v>
      </c>
      <c r="V4978">
        <v>-0.1557799</v>
      </c>
      <c r="W4978">
        <v>0.1742049</v>
      </c>
      <c r="X4978">
        <v>0.97230919999999998</v>
      </c>
      <c r="Y4978">
        <v>-0.32027109999999998</v>
      </c>
      <c r="Z4978">
        <v>7.0293140000000004E-2</v>
      </c>
      <c r="AA4978">
        <v>0.94471439999999995</v>
      </c>
      <c r="AB4978">
        <v>25</v>
      </c>
      <c r="AC4978">
        <v>11.5297</v>
      </c>
      <c r="AD4978">
        <v>-1.1186200157640001</v>
      </c>
      <c r="AE4978">
        <v>-8.93065</v>
      </c>
      <c r="AF4978">
        <v>-4.7099228053509501</v>
      </c>
      <c r="AG4978">
        <v>-1.1186200157640001</v>
      </c>
      <c r="AH4978">
        <v>13.712272260011799</v>
      </c>
      <c r="AI4978">
        <v>94.411834705710604</v>
      </c>
      <c r="AJ4978">
        <v>108.95668944699899</v>
      </c>
      <c r="AK4978">
        <v>14.541701898495999</v>
      </c>
      <c r="AL4978">
        <v>79.967607985846499</v>
      </c>
      <c r="AM4978">
        <v>99.102366998282406</v>
      </c>
      <c r="AN4978">
        <v>0.999999952416328</v>
      </c>
    </row>
    <row r="4979" spans="1:40" x14ac:dyDescent="0.25">
      <c r="A4979" t="str">
        <f>"20190312172512200"</f>
        <v>20190312172512200</v>
      </c>
      <c r="B4979" t="str">
        <f>"1552382712195718"</f>
        <v>1552382712195718</v>
      </c>
      <c r="C4979" t="s">
        <v>40</v>
      </c>
      <c r="D4979">
        <v>3.693085</v>
      </c>
      <c r="E4979">
        <v>0.45825460000000001</v>
      </c>
      <c r="F4979" t="s">
        <v>50</v>
      </c>
      <c r="G4979">
        <v>-408.53410000000002</v>
      </c>
      <c r="H4979" s="1">
        <v>-3.1866729999999998E-6</v>
      </c>
      <c r="I4979">
        <v>26.230609999999999</v>
      </c>
      <c r="J4979">
        <v>-418.20569999999998</v>
      </c>
      <c r="K4979">
        <v>1.1186069999999999</v>
      </c>
      <c r="L4979">
        <v>34.537509999999997</v>
      </c>
      <c r="M4979">
        <v>0.55375359999999996</v>
      </c>
      <c r="N4979">
        <v>0</v>
      </c>
      <c r="O4979">
        <v>-0.83255330000000005</v>
      </c>
      <c r="P4979">
        <v>0.66675629999999997</v>
      </c>
      <c r="Q4979">
        <v>0.16271949999999999</v>
      </c>
      <c r="R4979">
        <v>-0.72729540000000004</v>
      </c>
      <c r="S4979">
        <v>2.3539729999999999</v>
      </c>
      <c r="T4979">
        <v>-0.27024169999999997</v>
      </c>
      <c r="U4979">
        <v>-2.0307010000000001</v>
      </c>
      <c r="V4979">
        <v>-0.15582480000000001</v>
      </c>
      <c r="W4979">
        <v>0.17387429999999901</v>
      </c>
      <c r="X4979">
        <v>0.97236120000000004</v>
      </c>
      <c r="Y4979">
        <v>-0.26593909999999998</v>
      </c>
      <c r="Z4979">
        <v>7.8658720000000001E-2</v>
      </c>
      <c r="AA4979">
        <v>0.9607753</v>
      </c>
      <c r="AB4979">
        <v>25</v>
      </c>
      <c r="AC4979">
        <v>9.67159999999995</v>
      </c>
      <c r="AD4979">
        <v>-1.1186101866729901</v>
      </c>
      <c r="AE4979">
        <v>-8.30689999999999</v>
      </c>
      <c r="AF4979">
        <v>-3.4261377555425998</v>
      </c>
      <c r="AG4979">
        <v>-1.1186101866729901</v>
      </c>
      <c r="AH4979">
        <v>12.1791642049155</v>
      </c>
      <c r="AI4979">
        <v>95.052635593407501</v>
      </c>
      <c r="AJ4979">
        <v>105.711897956931</v>
      </c>
      <c r="AK4979">
        <v>12.701249914869701</v>
      </c>
      <c r="AL4979">
        <v>79.986843728801105</v>
      </c>
      <c r="AM4979">
        <v>99.104467848897102</v>
      </c>
      <c r="AN4979">
        <v>0.99999997188048395</v>
      </c>
    </row>
    <row r="4980" spans="1:40" x14ac:dyDescent="0.25">
      <c r="A4980" t="str">
        <f>"20190312172512212"</f>
        <v>20190312172512212</v>
      </c>
      <c r="B4980" t="str">
        <f>"1552382712205479"</f>
        <v>1552382712205479</v>
      </c>
      <c r="C4980" t="s">
        <v>40</v>
      </c>
      <c r="D4980">
        <v>3.6795900000000001</v>
      </c>
      <c r="E4980">
        <v>0.45846900000000002</v>
      </c>
      <c r="F4980" t="s">
        <v>50</v>
      </c>
      <c r="G4980">
        <v>-408.38799999999998</v>
      </c>
      <c r="H4980" s="1">
        <v>-3.2513460000000001E-6</v>
      </c>
      <c r="I4980">
        <v>26.132670000000001</v>
      </c>
      <c r="J4980">
        <v>-418.12959999999998</v>
      </c>
      <c r="K4980">
        <v>1.1185940000000001</v>
      </c>
      <c r="L4980">
        <v>34.435519999999997</v>
      </c>
      <c r="M4980">
        <v>0.55897469999999905</v>
      </c>
      <c r="N4980">
        <v>0</v>
      </c>
      <c r="O4980">
        <v>-0.82905680000000004</v>
      </c>
      <c r="P4980">
        <v>0.67143280000000005</v>
      </c>
      <c r="Q4980">
        <v>0.16252420000000001</v>
      </c>
      <c r="R4980">
        <v>-0.72302449999999996</v>
      </c>
      <c r="S4980">
        <v>2.3606259999999999</v>
      </c>
      <c r="T4980">
        <v>-0.2689646</v>
      </c>
      <c r="U4980">
        <v>-2.020905</v>
      </c>
      <c r="V4980">
        <v>-0.15595220000000001</v>
      </c>
      <c r="W4980">
        <v>0.17368039999999901</v>
      </c>
      <c r="X4980">
        <v>0.97237549999999995</v>
      </c>
      <c r="Y4980">
        <v>-0.26355529999999999</v>
      </c>
      <c r="Z4980">
        <v>7.8022129999999995E-2</v>
      </c>
      <c r="AA4980">
        <v>0.9614838</v>
      </c>
      <c r="AB4980">
        <v>25</v>
      </c>
      <c r="AC4980">
        <v>9.7415999999999396</v>
      </c>
      <c r="AD4980">
        <v>-1.1185972513460001</v>
      </c>
      <c r="AE4980">
        <v>-8.3028499999999994</v>
      </c>
      <c r="AF4980">
        <v>-3.4095811356510399</v>
      </c>
      <c r="AG4980">
        <v>-1.1185972513460001</v>
      </c>
      <c r="AH4980">
        <v>12.236695018735</v>
      </c>
      <c r="AI4980">
        <v>95.032421511128604</v>
      </c>
      <c r="AJ4980">
        <v>105.569739637851</v>
      </c>
      <c r="AK4980">
        <v>12.7519884062384</v>
      </c>
      <c r="AL4980">
        <v>79.998125729726894</v>
      </c>
      <c r="AM4980">
        <v>99.111654950564699</v>
      </c>
      <c r="AN4980">
        <v>1.00000004151462</v>
      </c>
    </row>
    <row r="4981" spans="1:40" x14ac:dyDescent="0.25">
      <c r="A4981" t="str">
        <f>"20190312172512224"</f>
        <v>20190312172512224</v>
      </c>
      <c r="B4981" t="str">
        <f>"1552382712215238"</f>
        <v>1552382712215238</v>
      </c>
      <c r="C4981" t="s">
        <v>40</v>
      </c>
      <c r="D4981">
        <v>3.7028590000000001</v>
      </c>
      <c r="E4981">
        <v>0.45707789999999998</v>
      </c>
      <c r="F4981" t="s">
        <v>50</v>
      </c>
      <c r="G4981">
        <v>-408.04930000000002</v>
      </c>
      <c r="H4981" s="1">
        <v>-3.3968510000000002E-6</v>
      </c>
      <c r="I4981">
        <v>25.906860000000002</v>
      </c>
      <c r="J4981">
        <v>-418.05369999999999</v>
      </c>
      <c r="K4981">
        <v>1.118584</v>
      </c>
      <c r="L4981">
        <v>34.334380000000003</v>
      </c>
      <c r="M4981">
        <v>0.56414169999999997</v>
      </c>
      <c r="N4981">
        <v>0</v>
      </c>
      <c r="O4981">
        <v>-0.82554950000000005</v>
      </c>
      <c r="P4981">
        <v>0.67609010000000003</v>
      </c>
      <c r="Q4981">
        <v>0.162262299999999</v>
      </c>
      <c r="R4981">
        <v>-0.71873030000000004</v>
      </c>
      <c r="S4981">
        <v>2.3713380000000002</v>
      </c>
      <c r="T4981">
        <v>-0.26314369999999998</v>
      </c>
      <c r="U4981">
        <v>-2.0063170000000001</v>
      </c>
      <c r="V4981">
        <v>-0.15611989999999901</v>
      </c>
      <c r="W4981">
        <v>0.1734184</v>
      </c>
      <c r="X4981">
        <v>0.97239529999999996</v>
      </c>
      <c r="Y4981">
        <v>-0.26324379999999997</v>
      </c>
      <c r="Z4981">
        <v>7.6130290000000003E-2</v>
      </c>
      <c r="AA4981">
        <v>0.96172080000000004</v>
      </c>
      <c r="AB4981">
        <v>25</v>
      </c>
      <c r="AC4981">
        <v>10.004399999999899</v>
      </c>
      <c r="AD4981">
        <v>-1.1185873968510001</v>
      </c>
      <c r="AE4981">
        <v>-8.4275199999999906</v>
      </c>
      <c r="AF4981">
        <v>-3.4797384786905101</v>
      </c>
      <c r="AG4981">
        <v>-1.1185873968510001</v>
      </c>
      <c r="AH4981">
        <v>12.5110847196979</v>
      </c>
      <c r="AI4981">
        <v>94.923194074080499</v>
      </c>
      <c r="AJ4981">
        <v>105.542974109296</v>
      </c>
      <c r="AK4981">
        <v>13.0340729823003</v>
      </c>
      <c r="AL4981">
        <v>80.013368031282496</v>
      </c>
      <c r="AM4981">
        <v>99.121105754117295</v>
      </c>
      <c r="AN4981">
        <v>0.99999999204833001</v>
      </c>
    </row>
    <row r="4982" spans="1:40" x14ac:dyDescent="0.25">
      <c r="A4982" t="str">
        <f>"20190312172512234"</f>
        <v>20190312172512234</v>
      </c>
      <c r="B4982" t="str">
        <f>"1552382712225975"</f>
        <v>1552382712225975</v>
      </c>
      <c r="C4982" t="s">
        <v>40</v>
      </c>
      <c r="D4982">
        <v>3.7744680000000002</v>
      </c>
      <c r="E4982">
        <v>0.45707789999999998</v>
      </c>
      <c r="F4982" t="s">
        <v>50</v>
      </c>
      <c r="G4982">
        <v>-407.791</v>
      </c>
      <c r="H4982" s="1">
        <v>-3.511938E-6</v>
      </c>
      <c r="I4982">
        <v>25.8232</v>
      </c>
      <c r="J4982">
        <v>-417.9794</v>
      </c>
      <c r="K4982">
        <v>1.1185719999999999</v>
      </c>
      <c r="L4982">
        <v>34.237090000000002</v>
      </c>
      <c r="M4982">
        <v>0.56912089999999904</v>
      </c>
      <c r="N4982">
        <v>0</v>
      </c>
      <c r="O4982">
        <v>-0.82212510000000005</v>
      </c>
      <c r="P4982">
        <v>0.68053140000000001</v>
      </c>
      <c r="Q4982">
        <v>0.162221799999999</v>
      </c>
      <c r="R4982">
        <v>-0.7145359</v>
      </c>
      <c r="S4982">
        <v>2.3914490000000002</v>
      </c>
      <c r="T4982">
        <v>-0.26065719999999998</v>
      </c>
      <c r="U4982">
        <v>-1.9833069999999999</v>
      </c>
      <c r="V4982">
        <v>-0.15625919999999999</v>
      </c>
      <c r="W4982">
        <v>0.173378</v>
      </c>
      <c r="X4982">
        <v>0.97238020000000003</v>
      </c>
      <c r="Y4982">
        <v>-0.266926</v>
      </c>
      <c r="Z4982">
        <v>7.5262380000000004E-2</v>
      </c>
      <c r="AA4982">
        <v>0.96077369999999995</v>
      </c>
      <c r="AB4982">
        <v>25</v>
      </c>
      <c r="AC4982">
        <v>10.1884</v>
      </c>
      <c r="AD4982">
        <v>-1.1185755119380001</v>
      </c>
      <c r="AE4982">
        <v>-8.4138900000000003</v>
      </c>
      <c r="AF4982">
        <v>-3.5624689194031798</v>
      </c>
      <c r="AG4982">
        <v>-1.1185755119380001</v>
      </c>
      <c r="AH4982">
        <v>12.626562365962499</v>
      </c>
      <c r="AI4982">
        <v>94.873282994343896</v>
      </c>
      <c r="AJ4982">
        <v>105.755926746667</v>
      </c>
      <c r="AK4982">
        <v>13.1670981297764</v>
      </c>
      <c r="AL4982">
        <v>80.015719079000306</v>
      </c>
      <c r="AM4982">
        <v>99.129246573518401</v>
      </c>
      <c r="AN4982">
        <v>1.0000000609103299</v>
      </c>
    </row>
    <row r="4983" spans="1:40" x14ac:dyDescent="0.25">
      <c r="A4983" t="str">
        <f>"20190312172512246"</f>
        <v>20190312172512246</v>
      </c>
      <c r="B4983" t="str">
        <f>"1552382712235735"</f>
        <v>1552382712235735</v>
      </c>
      <c r="C4983" t="s">
        <v>40</v>
      </c>
      <c r="D4983">
        <v>3.5597050000000001</v>
      </c>
      <c r="E4983">
        <v>0.43086869999999999</v>
      </c>
      <c r="F4983" t="s">
        <v>50</v>
      </c>
      <c r="G4983">
        <v>-407.66840000000002</v>
      </c>
      <c r="H4983" s="1">
        <v>-3.5683619999999998E-6</v>
      </c>
      <c r="I4983">
        <v>25.793420000000001</v>
      </c>
      <c r="J4983">
        <v>-417.90660000000003</v>
      </c>
      <c r="K4983">
        <v>1.1185659999999999</v>
      </c>
      <c r="L4983">
        <v>34.14273</v>
      </c>
      <c r="M4983">
        <v>0.57394809999999996</v>
      </c>
      <c r="N4983">
        <v>0</v>
      </c>
      <c r="O4983">
        <v>-0.818762199999999</v>
      </c>
      <c r="P4983">
        <v>0.68491349999999995</v>
      </c>
      <c r="Q4983">
        <v>0.16206589999999901</v>
      </c>
      <c r="R4983">
        <v>-0.71037169999999905</v>
      </c>
      <c r="S4983">
        <v>2.4037480000000002</v>
      </c>
      <c r="T4983">
        <v>-0.26076579999999999</v>
      </c>
      <c r="U4983">
        <v>-1.9684140000000001</v>
      </c>
      <c r="V4983">
        <v>-0.15649270000000001</v>
      </c>
      <c r="W4983">
        <v>0.17322019999999999</v>
      </c>
      <c r="X4983">
        <v>0.97237070000000003</v>
      </c>
      <c r="Y4983">
        <v>-0.26723599999999997</v>
      </c>
      <c r="Z4983">
        <v>7.5075219999999998E-2</v>
      </c>
      <c r="AA4983">
        <v>0.96070219999999995</v>
      </c>
      <c r="AB4983">
        <v>25</v>
      </c>
      <c r="AC4983">
        <v>10.238200000000001</v>
      </c>
      <c r="AD4983">
        <v>-1.1185695683620001</v>
      </c>
      <c r="AE4983">
        <v>-8.3493099999999991</v>
      </c>
      <c r="AF4983">
        <v>-3.56540132262037</v>
      </c>
      <c r="AG4983">
        <v>-1.1185695683620001</v>
      </c>
      <c r="AH4983">
        <v>12.6231489147247</v>
      </c>
      <c r="AI4983">
        <v>94.874177265531401</v>
      </c>
      <c r="AJ4983">
        <v>105.77230306587001</v>
      </c>
      <c r="AK4983">
        <v>13.1646182243894</v>
      </c>
      <c r="AL4983">
        <v>80.024898546255898</v>
      </c>
      <c r="AM4983">
        <v>99.142746103389399</v>
      </c>
      <c r="AN4983">
        <v>0.99999999052990995</v>
      </c>
    </row>
    <row r="4984" spans="1:40" x14ac:dyDescent="0.25">
      <c r="A4984" t="str">
        <f>"20190312172512257"</f>
        <v>20190312172512257</v>
      </c>
      <c r="B4984" t="str">
        <f>"1552382712245495"</f>
        <v>1552382712245495</v>
      </c>
      <c r="C4984" t="s">
        <v>40</v>
      </c>
      <c r="D4984">
        <v>3.5623849999999999</v>
      </c>
      <c r="E4984">
        <v>0.42684060000000001</v>
      </c>
      <c r="F4984" t="s">
        <v>50</v>
      </c>
      <c r="G4984">
        <v>-405.68259999999998</v>
      </c>
      <c r="H4984" s="1">
        <v>-4.5199300000000001E-6</v>
      </c>
      <c r="I4984">
        <v>25.525459999999999</v>
      </c>
      <c r="J4984">
        <v>-417.8304</v>
      </c>
      <c r="K4984">
        <v>1.118557</v>
      </c>
      <c r="L4984">
        <v>34.045169999999999</v>
      </c>
      <c r="M4984">
        <v>0.57894219999999996</v>
      </c>
      <c r="N4984">
        <v>0</v>
      </c>
      <c r="O4984">
        <v>-0.81523849999999998</v>
      </c>
      <c r="P4984">
        <v>0.68932119999999997</v>
      </c>
      <c r="Q4984">
        <v>0.16208639999999999</v>
      </c>
      <c r="R4984">
        <v>-0.70609089999999997</v>
      </c>
      <c r="S4984">
        <v>2.562195</v>
      </c>
      <c r="T4984">
        <v>-0.2344569</v>
      </c>
      <c r="U4984">
        <v>-1.8062130000000001</v>
      </c>
      <c r="V4984">
        <v>-0.15659919999999999</v>
      </c>
      <c r="W4984">
        <v>0.17324129999999999</v>
      </c>
      <c r="X4984">
        <v>0.97234980000000004</v>
      </c>
      <c r="Y4984">
        <v>-0.33050099999999999</v>
      </c>
      <c r="Z4984">
        <v>6.8194279999999996E-2</v>
      </c>
      <c r="AA4984">
        <v>0.94133869999999997</v>
      </c>
      <c r="AB4984">
        <v>25</v>
      </c>
      <c r="AC4984">
        <v>12.1478</v>
      </c>
      <c r="AD4984">
        <v>-1.1185615199299901</v>
      </c>
      <c r="AE4984">
        <v>-8.5197099999999999</v>
      </c>
      <c r="AF4984">
        <v>-4.9433677952645301</v>
      </c>
      <c r="AG4984">
        <v>-1.1185615199299901</v>
      </c>
      <c r="AH4984">
        <v>13.900950686584499</v>
      </c>
      <c r="AI4984">
        <v>94.335606641022295</v>
      </c>
      <c r="AJ4984">
        <v>109.576080711069</v>
      </c>
      <c r="AK4984">
        <v>14.796097290298601</v>
      </c>
      <c r="AL4984">
        <v>80.023671097285401</v>
      </c>
      <c r="AM4984">
        <v>99.149056268224399</v>
      </c>
      <c r="AN4984">
        <v>0.99999999551318497</v>
      </c>
    </row>
    <row r="4985" spans="1:40" x14ac:dyDescent="0.25">
      <c r="A4985" t="str">
        <f>"20190312172512269"</f>
        <v>20190312172512269</v>
      </c>
      <c r="B4985" t="str">
        <f>"1552382712265991"</f>
        <v>1552382712265991</v>
      </c>
      <c r="C4985" t="s">
        <v>40</v>
      </c>
      <c r="D4985">
        <v>3.6206550000000002</v>
      </c>
      <c r="E4985">
        <v>0.42541970000000001</v>
      </c>
      <c r="F4985" t="s">
        <v>50</v>
      </c>
      <c r="G4985">
        <v>-404.63279999999997</v>
      </c>
      <c r="H4985" s="1">
        <v>-4.953121E-6</v>
      </c>
      <c r="I4985">
        <v>25.059560000000001</v>
      </c>
      <c r="J4985">
        <v>-417.75040000000001</v>
      </c>
      <c r="K4985">
        <v>1.1185499999999999</v>
      </c>
      <c r="L4985">
        <v>33.944270000000003</v>
      </c>
      <c r="M4985">
        <v>0.5841151</v>
      </c>
      <c r="N4985">
        <v>0</v>
      </c>
      <c r="O4985">
        <v>-0.81154040000000005</v>
      </c>
      <c r="P4985">
        <v>0.693859</v>
      </c>
      <c r="Q4985">
        <v>0.162324</v>
      </c>
      <c r="R4985">
        <v>-0.70157769999999897</v>
      </c>
      <c r="S4985">
        <v>2.5944210000000001</v>
      </c>
      <c r="T4985">
        <v>-0.21989049999999999</v>
      </c>
      <c r="U4985">
        <v>-1.766418</v>
      </c>
      <c r="V4985">
        <v>-0.15671679999999999</v>
      </c>
      <c r="W4985">
        <v>0.17347839999999901</v>
      </c>
      <c r="X4985">
        <v>0.9722885</v>
      </c>
      <c r="Y4985">
        <v>-0.34008739999999998</v>
      </c>
      <c r="Z4985">
        <v>6.3914199999999893E-2</v>
      </c>
      <c r="AA4985">
        <v>0.93821940000000004</v>
      </c>
      <c r="AB4985">
        <v>25</v>
      </c>
      <c r="AC4985">
        <v>13.117599999999999</v>
      </c>
      <c r="AD4985">
        <v>-1.118554953121</v>
      </c>
      <c r="AE4985">
        <v>-8.8847100000000001</v>
      </c>
      <c r="AF4985">
        <v>-5.4292842976446396</v>
      </c>
      <c r="AG4985">
        <v>-1.118554953121</v>
      </c>
      <c r="AH4985">
        <v>14.800291518840099</v>
      </c>
      <c r="AI4985">
        <v>94.058513953773002</v>
      </c>
      <c r="AJ4985">
        <v>110.144870791557</v>
      </c>
      <c r="AK4985">
        <v>15.804332387369399</v>
      </c>
      <c r="AL4985">
        <v>80.009876638735093</v>
      </c>
      <c r="AM4985">
        <v>99.156378003439997</v>
      </c>
      <c r="AN4985">
        <v>0.99999991895052098</v>
      </c>
    </row>
    <row r="4986" spans="1:40" x14ac:dyDescent="0.25">
      <c r="A4986" t="str">
        <f>"20190312172512280"</f>
        <v>20190312172512280</v>
      </c>
      <c r="B4986" t="str">
        <f>"1552382712275751"</f>
        <v>1552382712275751</v>
      </c>
      <c r="C4986" t="s">
        <v>40</v>
      </c>
      <c r="D4986">
        <v>3.622811</v>
      </c>
      <c r="E4986">
        <v>0.42475239999999997</v>
      </c>
      <c r="F4986" t="s">
        <v>50</v>
      </c>
      <c r="G4986">
        <v>-403.76249999999999</v>
      </c>
      <c r="H4986" s="1">
        <v>-5.2809770000000003E-6</v>
      </c>
      <c r="I4986">
        <v>24.623750000000001</v>
      </c>
      <c r="J4986">
        <v>-417.67669999999998</v>
      </c>
      <c r="K4986">
        <v>1.118541</v>
      </c>
      <c r="L4986">
        <v>33.851959999999998</v>
      </c>
      <c r="M4986">
        <v>0.58883850000000004</v>
      </c>
      <c r="N4986">
        <v>0</v>
      </c>
      <c r="O4986">
        <v>-0.80811980000000005</v>
      </c>
      <c r="P4986">
        <v>0.69794049999999996</v>
      </c>
      <c r="Q4986">
        <v>0.16253960000000001</v>
      </c>
      <c r="R4986">
        <v>-0.69746719999999995</v>
      </c>
      <c r="S4986">
        <v>2.612457</v>
      </c>
      <c r="T4986">
        <v>-0.2089076</v>
      </c>
      <c r="U4986">
        <v>-1.74075299999999</v>
      </c>
      <c r="V4986">
        <v>-0.15674920000000001</v>
      </c>
      <c r="W4986">
        <v>0.1736954</v>
      </c>
      <c r="X4986">
        <v>0.97224460000000001</v>
      </c>
      <c r="Y4986">
        <v>-0.3441768</v>
      </c>
      <c r="Z4986">
        <v>6.0637080000000003E-2</v>
      </c>
      <c r="AA4986">
        <v>0.93694480000000002</v>
      </c>
      <c r="AB4986">
        <v>25</v>
      </c>
      <c r="AC4986">
        <v>13.9141999999999</v>
      </c>
      <c r="AD4986">
        <v>-1.1185462809769999</v>
      </c>
      <c r="AE4986">
        <v>-9.22820999999999</v>
      </c>
      <c r="AF4986">
        <v>-5.7850656579342603</v>
      </c>
      <c r="AG4986">
        <v>-1.1185462809769999</v>
      </c>
      <c r="AH4986">
        <v>15.582435337706899</v>
      </c>
      <c r="AI4986">
        <v>93.849888428840501</v>
      </c>
      <c r="AJ4986">
        <v>110.367723345648</v>
      </c>
      <c r="AK4986">
        <v>16.659244325692399</v>
      </c>
      <c r="AL4986">
        <v>79.997252436891003</v>
      </c>
      <c r="AM4986">
        <v>99.158645454937798</v>
      </c>
      <c r="AN4986">
        <v>0.99999998295547898</v>
      </c>
    </row>
    <row r="4987" spans="1:40" x14ac:dyDescent="0.25">
      <c r="A4987" t="str">
        <f>"20190312172512292"</f>
        <v>20190312172512292</v>
      </c>
      <c r="B4987" t="str">
        <f>"1552382712285511"</f>
        <v>1552382712285511</v>
      </c>
      <c r="C4987" t="s">
        <v>40</v>
      </c>
      <c r="D4987">
        <v>3.6652130000000001</v>
      </c>
      <c r="E4987">
        <v>0.42464940000000001</v>
      </c>
      <c r="F4987" t="s">
        <v>50</v>
      </c>
      <c r="G4987">
        <v>-403.28910000000002</v>
      </c>
      <c r="H4987" s="1">
        <v>-5.4652940000000003E-6</v>
      </c>
      <c r="I4987">
        <v>24.420480000000001</v>
      </c>
      <c r="J4987">
        <v>-417.60050000000001</v>
      </c>
      <c r="K4987">
        <v>1.118533</v>
      </c>
      <c r="L4987">
        <v>33.758479999999999</v>
      </c>
      <c r="M4987">
        <v>0.59363969999999999</v>
      </c>
      <c r="N4987">
        <v>0</v>
      </c>
      <c r="O4987">
        <v>-0.80459959999999997</v>
      </c>
      <c r="P4987">
        <v>0.70209790000000005</v>
      </c>
      <c r="Q4987">
        <v>0.1626225</v>
      </c>
      <c r="R4987">
        <v>-0.6932625</v>
      </c>
      <c r="S4987">
        <v>2.6257929999999998</v>
      </c>
      <c r="T4987">
        <v>-0.20413919999999999</v>
      </c>
      <c r="U4987">
        <v>-1.7212829999999999</v>
      </c>
      <c r="V4987">
        <v>-0.15678210000000001</v>
      </c>
      <c r="W4987">
        <v>0.17377989999999999</v>
      </c>
      <c r="X4987">
        <v>0.97222419999999998</v>
      </c>
      <c r="Y4987">
        <v>-0.34571809999999997</v>
      </c>
      <c r="Z4987">
        <v>5.9110089999999997E-2</v>
      </c>
      <c r="AA4987">
        <v>0.93647480000000005</v>
      </c>
      <c r="AB4987">
        <v>25</v>
      </c>
      <c r="AC4987">
        <v>14.3113999999999</v>
      </c>
      <c r="AD4987">
        <v>-1.118538465294</v>
      </c>
      <c r="AE4987">
        <v>-9.3379999999999992</v>
      </c>
      <c r="AF4987">
        <v>-5.9466920095150098</v>
      </c>
      <c r="AG4987">
        <v>-1.118538465294</v>
      </c>
      <c r="AH4987">
        <v>15.9425531647861</v>
      </c>
      <c r="AI4987">
        <v>93.761003705347704</v>
      </c>
      <c r="AJ4987">
        <v>110.455892968241</v>
      </c>
      <c r="AK4987">
        <v>17.052251334249199</v>
      </c>
      <c r="AL4987">
        <v>79.992336225747906</v>
      </c>
      <c r="AM4987">
        <v>99.160724124293097</v>
      </c>
      <c r="AN4987">
        <v>0.99999998779502897</v>
      </c>
    </row>
    <row r="4988" spans="1:40" x14ac:dyDescent="0.25">
      <c r="A4988" t="str">
        <f>"20190312172512304"</f>
        <v>20190312172512304</v>
      </c>
      <c r="B4988" t="str">
        <f>"1552382712295271"</f>
        <v>1552382712295271</v>
      </c>
      <c r="C4988" t="s">
        <v>40</v>
      </c>
      <c r="D4988">
        <v>3.5596309999999902</v>
      </c>
      <c r="E4988">
        <v>0.42420049999999998</v>
      </c>
      <c r="F4988" t="s">
        <v>50</v>
      </c>
      <c r="G4988">
        <v>-403.06049999999999</v>
      </c>
      <c r="H4988" s="1">
        <v>-5.5602100000000004E-6</v>
      </c>
      <c r="I4988">
        <v>24.355460000000001</v>
      </c>
      <c r="J4988">
        <v>-417.51690000000002</v>
      </c>
      <c r="K4988">
        <v>1.1185160000000001</v>
      </c>
      <c r="L4988">
        <v>33.656559999999999</v>
      </c>
      <c r="M4988">
        <v>0.59886459999999997</v>
      </c>
      <c r="N4988">
        <v>0</v>
      </c>
      <c r="O4988">
        <v>-0.80071809999999999</v>
      </c>
      <c r="P4988">
        <v>0.70654309999999998</v>
      </c>
      <c r="Q4988">
        <v>0.16278809999999999</v>
      </c>
      <c r="R4988">
        <v>-0.68869239999999998</v>
      </c>
      <c r="S4988">
        <v>2.636444</v>
      </c>
      <c r="T4988">
        <v>-0.202817</v>
      </c>
      <c r="U4988">
        <v>-1.70498699999999</v>
      </c>
      <c r="V4988">
        <v>-0.15672949999999999</v>
      </c>
      <c r="W4988">
        <v>0.17394899999999999</v>
      </c>
      <c r="X4988">
        <v>0.97220240000000002</v>
      </c>
      <c r="Y4988">
        <v>-0.34544780000000003</v>
      </c>
      <c r="Z4988">
        <v>5.8532239999999999E-2</v>
      </c>
      <c r="AA4988">
        <v>0.93661079999999997</v>
      </c>
      <c r="AB4988">
        <v>25</v>
      </c>
      <c r="AC4988">
        <v>14.4564</v>
      </c>
      <c r="AD4988">
        <v>-1.11852156021</v>
      </c>
      <c r="AE4988">
        <v>-9.3010999999999893</v>
      </c>
      <c r="AF4988">
        <v>-5.9807160456937503</v>
      </c>
      <c r="AG4988">
        <v>-1.11852156021</v>
      </c>
      <c r="AH4988">
        <v>16.0387848136854</v>
      </c>
      <c r="AI4988">
        <v>93.7385881665151</v>
      </c>
      <c r="AJ4988">
        <v>110.450025000903</v>
      </c>
      <c r="AK4988">
        <v>17.154086195410599</v>
      </c>
      <c r="AL4988">
        <v>79.982497268013006</v>
      </c>
      <c r="AM4988">
        <v>99.157904675303996</v>
      </c>
      <c r="AN4988">
        <v>0.99999994866850295</v>
      </c>
    </row>
    <row r="4989" spans="1:40" x14ac:dyDescent="0.25">
      <c r="A4989" t="str">
        <f>"20190312172512317"</f>
        <v>20190312172512317</v>
      </c>
      <c r="B4989" t="str">
        <f>"1552382712306006"</f>
        <v>1552382712306006</v>
      </c>
      <c r="C4989" t="s">
        <v>40</v>
      </c>
      <c r="D4989">
        <v>3.6118700000000001</v>
      </c>
      <c r="E4989">
        <v>0.42428139999999998</v>
      </c>
      <c r="F4989" t="s">
        <v>50</v>
      </c>
      <c r="G4989">
        <v>-402.4461</v>
      </c>
      <c r="H4989" s="1">
        <v>-5.7957759999999998E-6</v>
      </c>
      <c r="I4989">
        <v>24.07105</v>
      </c>
      <c r="J4989">
        <v>-417.42270000000002</v>
      </c>
      <c r="K4989">
        <v>1.118506</v>
      </c>
      <c r="L4989">
        <v>33.543520000000001</v>
      </c>
      <c r="M4989">
        <v>0.60466929999999997</v>
      </c>
      <c r="N4989">
        <v>0</v>
      </c>
      <c r="O4989">
        <v>-0.79634359999999904</v>
      </c>
      <c r="P4989">
        <v>0.71147989999999905</v>
      </c>
      <c r="Q4989">
        <v>0.16304689999999999</v>
      </c>
      <c r="R4989">
        <v>-0.68352939999999995</v>
      </c>
      <c r="S4989">
        <v>2.6490480000000001</v>
      </c>
      <c r="T4989">
        <v>-0.19660630000000001</v>
      </c>
      <c r="U4989">
        <v>-1.6848749999999999</v>
      </c>
      <c r="V4989">
        <v>-0.1566948</v>
      </c>
      <c r="W4989">
        <v>0.17421049999999999</v>
      </c>
      <c r="X4989">
        <v>0.97216119999999995</v>
      </c>
      <c r="Y4989">
        <v>-0.34582010000000002</v>
      </c>
      <c r="Z4989">
        <v>5.6549019999999998E-2</v>
      </c>
      <c r="AA4989">
        <v>0.93659530000000002</v>
      </c>
      <c r="AB4989">
        <v>25</v>
      </c>
      <c r="AC4989">
        <v>14.976599999999999</v>
      </c>
      <c r="AD4989">
        <v>-1.118511795776</v>
      </c>
      <c r="AE4989">
        <v>-9.4724699999999995</v>
      </c>
      <c r="AF4989">
        <v>-6.1748642242632599</v>
      </c>
      <c r="AG4989">
        <v>-1.118511795776</v>
      </c>
      <c r="AH4989">
        <v>16.535114864874298</v>
      </c>
      <c r="AI4989">
        <v>93.625990624354799</v>
      </c>
      <c r="AJ4989">
        <v>110.477615683959</v>
      </c>
      <c r="AK4989">
        <v>17.685871208961199</v>
      </c>
      <c r="AL4989">
        <v>79.967282413683407</v>
      </c>
      <c r="AM4989">
        <v>99.156292908677102</v>
      </c>
      <c r="AN4989">
        <v>0.99999997872136404</v>
      </c>
    </row>
    <row r="4990" spans="1:40" x14ac:dyDescent="0.25">
      <c r="A4990" t="str">
        <f>"20190312172512331"</f>
        <v>20190312172512331</v>
      </c>
      <c r="B4990" t="str">
        <f>"1552382712325527"</f>
        <v>1552382712325527</v>
      </c>
      <c r="C4990" t="s">
        <v>40</v>
      </c>
      <c r="D4990">
        <v>3.6161020000000001</v>
      </c>
      <c r="E4990">
        <v>0.42465399999999998</v>
      </c>
      <c r="F4990" t="s">
        <v>50</v>
      </c>
      <c r="G4990">
        <v>-402.30059999999997</v>
      </c>
      <c r="H4990" s="1">
        <v>-5.863982E-6</v>
      </c>
      <c r="I4990">
        <v>24.073460000000001</v>
      </c>
      <c r="J4990">
        <v>-417.32679999999999</v>
      </c>
      <c r="K4990">
        <v>1.1184959999999999</v>
      </c>
      <c r="L4990">
        <v>33.430329999999998</v>
      </c>
      <c r="M4990">
        <v>0.61048849999999999</v>
      </c>
      <c r="N4990">
        <v>0</v>
      </c>
      <c r="O4990">
        <v>-0.79189149999999997</v>
      </c>
      <c r="P4990">
        <v>0.71619089999999996</v>
      </c>
      <c r="Q4990">
        <v>0.16333239999999999</v>
      </c>
      <c r="R4990">
        <v>-0.67852290000000004</v>
      </c>
      <c r="S4990">
        <v>2.660828</v>
      </c>
      <c r="T4990">
        <v>-0.19680980000000001</v>
      </c>
      <c r="U4990">
        <v>-1.6663209999999999</v>
      </c>
      <c r="V4990">
        <v>-0.15633749999999999</v>
      </c>
      <c r="W4990">
        <v>0.17450589999999999</v>
      </c>
      <c r="X4990">
        <v>0.97216579999999997</v>
      </c>
      <c r="Y4990">
        <v>-0.3455067</v>
      </c>
      <c r="Z4990">
        <v>5.6386459999999999E-2</v>
      </c>
      <c r="AA4990">
        <v>0.93672069999999996</v>
      </c>
      <c r="AB4990">
        <v>25</v>
      </c>
      <c r="AC4990">
        <v>15.026199999999999</v>
      </c>
      <c r="AD4990">
        <v>-1.1185018639819999</v>
      </c>
      <c r="AE4990">
        <v>-9.35686999999999</v>
      </c>
      <c r="AF4990">
        <v>-6.16290703070562</v>
      </c>
      <c r="AG4990">
        <v>-1.1185018639819999</v>
      </c>
      <c r="AH4990">
        <v>16.518749719846099</v>
      </c>
      <c r="AI4990">
        <v>93.629960865738894</v>
      </c>
      <c r="AJ4990">
        <v>110.459818879537</v>
      </c>
      <c r="AK4990">
        <v>17.666396400957598</v>
      </c>
      <c r="AL4990">
        <v>79.950094501948399</v>
      </c>
      <c r="AM4990">
        <v>99.135724439723404</v>
      </c>
      <c r="AN4990">
        <v>1.00000003286534</v>
      </c>
    </row>
    <row r="4991" spans="1:40" x14ac:dyDescent="0.25">
      <c r="A4991" t="str">
        <f>"20190312172512346"</f>
        <v>20190312172512346</v>
      </c>
      <c r="B4991" t="str">
        <f>"1552382712335286"</f>
        <v>1552382712335286</v>
      </c>
      <c r="C4991" t="s">
        <v>40</v>
      </c>
      <c r="D4991">
        <v>3.6273979999999999</v>
      </c>
      <c r="E4991">
        <v>0.42496440000000002</v>
      </c>
      <c r="F4991" t="s">
        <v>50</v>
      </c>
      <c r="G4991">
        <v>-402.11540000000002</v>
      </c>
      <c r="H4991" s="1">
        <v>-5.9361660000000003E-6</v>
      </c>
      <c r="I4991">
        <v>24.030840000000001</v>
      </c>
      <c r="J4991">
        <v>-417.21800000000002</v>
      </c>
      <c r="K4991">
        <v>1.118493</v>
      </c>
      <c r="L4991">
        <v>33.303649999999998</v>
      </c>
      <c r="M4991">
        <v>0.61700029999999995</v>
      </c>
      <c r="N4991">
        <v>0</v>
      </c>
      <c r="O4991">
        <v>-0.78682830000000004</v>
      </c>
      <c r="P4991">
        <v>0.72130629999999996</v>
      </c>
      <c r="Q4991">
        <v>0.16367039999999999</v>
      </c>
      <c r="R4991">
        <v>-0.67300039999999905</v>
      </c>
      <c r="S4991">
        <v>2.6703190000000001</v>
      </c>
      <c r="T4991">
        <v>-0.19635</v>
      </c>
      <c r="U4991">
        <v>-1.6500549999999901</v>
      </c>
      <c r="V4991">
        <v>-0.15572629999999901</v>
      </c>
      <c r="W4991">
        <v>0.17485889999999901</v>
      </c>
      <c r="X4991">
        <v>0.97220050000000002</v>
      </c>
      <c r="Y4991">
        <v>-0.3434006</v>
      </c>
      <c r="Z4991">
        <v>5.5976690000000003E-2</v>
      </c>
      <c r="AA4991">
        <v>0.9375194</v>
      </c>
      <c r="AB4991">
        <v>25</v>
      </c>
      <c r="AC4991">
        <v>15.102599999999899</v>
      </c>
      <c r="AD4991">
        <v>-1.118498936166</v>
      </c>
      <c r="AE4991">
        <v>-9.2728099999999998</v>
      </c>
      <c r="AF4991">
        <v>-6.1380299116315902</v>
      </c>
      <c r="AG4991">
        <v>-1.118498936166</v>
      </c>
      <c r="AH4991">
        <v>16.5502541311571</v>
      </c>
      <c r="AI4991">
        <v>93.625674257289603</v>
      </c>
      <c r="AJ4991">
        <v>110.34841934101701</v>
      </c>
      <c r="AK4991">
        <v>17.687209018728002</v>
      </c>
      <c r="AL4991">
        <v>79.929553582289799</v>
      </c>
      <c r="AM4991">
        <v>99.100287855876402</v>
      </c>
      <c r="AN4991">
        <v>1.0000000638105699</v>
      </c>
    </row>
    <row r="4992" spans="1:40" x14ac:dyDescent="0.25">
      <c r="A4992" t="str">
        <f>"20190312172512360"</f>
        <v>20190312172512360</v>
      </c>
      <c r="B4992" t="str">
        <f>"1552382712355783"</f>
        <v>1552382712355783</v>
      </c>
      <c r="C4992" t="s">
        <v>40</v>
      </c>
      <c r="D4992">
        <v>3.6359780000000002</v>
      </c>
      <c r="E4992">
        <v>0.42554979999999998</v>
      </c>
      <c r="F4992" t="s">
        <v>50</v>
      </c>
      <c r="G4992">
        <v>-401.87619999999998</v>
      </c>
      <c r="H4992" s="1">
        <v>-6.009023E-6</v>
      </c>
      <c r="I4992">
        <v>23.966909999999999</v>
      </c>
      <c r="J4992">
        <v>-417.12189999999998</v>
      </c>
      <c r="K4992">
        <v>1.1184829999999999</v>
      </c>
      <c r="L4992">
        <v>33.193420000000003</v>
      </c>
      <c r="M4992">
        <v>0.62266669999999902</v>
      </c>
      <c r="N4992">
        <v>0</v>
      </c>
      <c r="O4992">
        <v>-0.78235209999999999</v>
      </c>
      <c r="P4992">
        <v>0.72599599999999997</v>
      </c>
      <c r="Q4992">
        <v>0.1636368</v>
      </c>
      <c r="R4992">
        <v>-0.66794690000000001</v>
      </c>
      <c r="S4992">
        <v>2.6810610000000001</v>
      </c>
      <c r="T4992">
        <v>-0.19546450000000001</v>
      </c>
      <c r="U4992">
        <v>-1.631653</v>
      </c>
      <c r="V4992">
        <v>-0.1554943</v>
      </c>
      <c r="W4992">
        <v>0.17483309999999999</v>
      </c>
      <c r="X4992">
        <v>0.97224219999999895</v>
      </c>
      <c r="Y4992">
        <v>-0.34300439999999999</v>
      </c>
      <c r="Z4992">
        <v>5.5509169999999997E-2</v>
      </c>
      <c r="AA4992">
        <v>0.93769219999999998</v>
      </c>
      <c r="AB4992">
        <v>25</v>
      </c>
      <c r="AC4992">
        <v>15.245699999999999</v>
      </c>
      <c r="AD4992">
        <v>-1.118489009023</v>
      </c>
      <c r="AE4992">
        <v>-9.2265099999999993</v>
      </c>
      <c r="AF4992">
        <v>-6.1588557511917301</v>
      </c>
      <c r="AG4992">
        <v>-1.118489009023</v>
      </c>
      <c r="AH4992">
        <v>16.6475530796912</v>
      </c>
      <c r="AI4992">
        <v>93.605581130986593</v>
      </c>
      <c r="AJ4992">
        <v>110.302236869463</v>
      </c>
      <c r="AK4992">
        <v>17.785486930877902</v>
      </c>
      <c r="AL4992">
        <v>79.931054218331496</v>
      </c>
      <c r="AM4992">
        <v>99.086573431968404</v>
      </c>
      <c r="AN4992">
        <v>0.99999999282446905</v>
      </c>
    </row>
    <row r="4993" spans="1:40" x14ac:dyDescent="0.25">
      <c r="A4993" t="str">
        <f>"20190312172512380"</f>
        <v>20190312172512380</v>
      </c>
      <c r="B4993" t="str">
        <f>"1552382712375303"</f>
        <v>1552382712375303</v>
      </c>
      <c r="C4993" t="s">
        <v>40</v>
      </c>
      <c r="D4993">
        <v>3.6105109999999998</v>
      </c>
      <c r="E4993">
        <v>0.42623060000000002</v>
      </c>
      <c r="F4993" t="s">
        <v>50</v>
      </c>
      <c r="G4993">
        <v>-401.61439999999999</v>
      </c>
      <c r="H4993" s="1">
        <v>-6.0859249999999997E-6</v>
      </c>
      <c r="I4993">
        <v>23.871490000000001</v>
      </c>
      <c r="J4993">
        <v>-416.9871</v>
      </c>
      <c r="K4993">
        <v>1.1184719999999999</v>
      </c>
      <c r="L4993">
        <v>33.041690000000003</v>
      </c>
      <c r="M4993">
        <v>0.63048369999999998</v>
      </c>
      <c r="N4993">
        <v>0</v>
      </c>
      <c r="O4993">
        <v>-0.77606640000000005</v>
      </c>
      <c r="P4993">
        <v>0.73277490000000001</v>
      </c>
      <c r="Q4993">
        <v>0.163494899999999</v>
      </c>
      <c r="R4993">
        <v>-0.66053859999999998</v>
      </c>
      <c r="S4993">
        <v>2.688904</v>
      </c>
      <c r="T4993">
        <v>-0.1939389</v>
      </c>
      <c r="U4993">
        <v>-1.6163639999999999</v>
      </c>
      <c r="V4993">
        <v>-0.15563270000000001</v>
      </c>
      <c r="W4993">
        <v>0.17469129999999899</v>
      </c>
      <c r="X4993">
        <v>0.97224549999999998</v>
      </c>
      <c r="Y4993">
        <v>-0.3387406</v>
      </c>
      <c r="Z4993">
        <v>5.4704929999999999E-2</v>
      </c>
      <c r="AA4993">
        <v>0.93928809999999996</v>
      </c>
      <c r="AB4993">
        <v>25</v>
      </c>
      <c r="AC4993">
        <v>15.3727</v>
      </c>
      <c r="AD4993">
        <v>-1.1184780859250001</v>
      </c>
      <c r="AE4993">
        <v>-9.1701999999999995</v>
      </c>
      <c r="AF4993">
        <v>-6.1253086849866296</v>
      </c>
      <c r="AG4993">
        <v>-1.1184780859250001</v>
      </c>
      <c r="AH4993">
        <v>16.745317474324999</v>
      </c>
      <c r="AI4993">
        <v>93.589376926884199</v>
      </c>
      <c r="AJ4993">
        <v>110.092132038307</v>
      </c>
      <c r="AK4993">
        <v>17.865499070303098</v>
      </c>
      <c r="AL4993">
        <v>79.9393053094376</v>
      </c>
      <c r="AM4993">
        <v>99.094495614008807</v>
      </c>
      <c r="AN4993">
        <v>0.99999994993761299</v>
      </c>
    </row>
    <row r="4994" spans="1:40" x14ac:dyDescent="0.25">
      <c r="A4994" t="str">
        <f>"20190312172512390"</f>
        <v>20190312172512390</v>
      </c>
      <c r="B4994" t="str">
        <f>"1552382712386039"</f>
        <v>1552382712386039</v>
      </c>
      <c r="C4994" t="s">
        <v>40</v>
      </c>
      <c r="D4994">
        <v>3.671027</v>
      </c>
      <c r="E4994">
        <v>0.42653590000000002</v>
      </c>
      <c r="F4994" t="s">
        <v>50</v>
      </c>
      <c r="G4994">
        <v>-401.51609999999999</v>
      </c>
      <c r="H4994" s="1">
        <v>-6.1238079999999999E-6</v>
      </c>
      <c r="I4994">
        <v>23.91564</v>
      </c>
      <c r="J4994">
        <v>-416.90649999999999</v>
      </c>
      <c r="K4994">
        <v>1.1184590000000001</v>
      </c>
      <c r="L4994">
        <v>32.95279</v>
      </c>
      <c r="M4994">
        <v>0.635073</v>
      </c>
      <c r="N4994">
        <v>0</v>
      </c>
      <c r="O4994">
        <v>-0.77231539999999999</v>
      </c>
      <c r="P4994">
        <v>0.7369578</v>
      </c>
      <c r="Q4994">
        <v>0.163473799999999</v>
      </c>
      <c r="R4994">
        <v>-0.65587340000000005</v>
      </c>
      <c r="S4994">
        <v>2.7012939999999999</v>
      </c>
      <c r="T4994">
        <v>-0.19529089999999999</v>
      </c>
      <c r="U4994">
        <v>-1.593445</v>
      </c>
      <c r="V4994">
        <v>-0.1560415</v>
      </c>
      <c r="W4994">
        <v>0.17466319999999999</v>
      </c>
      <c r="X4994">
        <v>0.97218510000000002</v>
      </c>
      <c r="Y4994">
        <v>-0.34093820000000002</v>
      </c>
      <c r="Z4994">
        <v>5.4968690000000001E-2</v>
      </c>
      <c r="AA4994">
        <v>0.93847729999999996</v>
      </c>
      <c r="AB4994">
        <v>25</v>
      </c>
      <c r="AC4994">
        <v>15.3904</v>
      </c>
      <c r="AD4994">
        <v>-1.1184651238079999</v>
      </c>
      <c r="AE4994">
        <v>-9.0371500000000005</v>
      </c>
      <c r="AF4994">
        <v>-6.1235933436549699</v>
      </c>
      <c r="AG4994">
        <v>-1.1184651238079999</v>
      </c>
      <c r="AH4994">
        <v>16.689782207164399</v>
      </c>
      <c r="AI4994">
        <v>93.5999549528145</v>
      </c>
      <c r="AJ4994">
        <v>110.148426813325</v>
      </c>
      <c r="AK4994">
        <v>17.8128658501155</v>
      </c>
      <c r="AL4994">
        <v>79.940941232301398</v>
      </c>
      <c r="AM4994">
        <v>99.118540297190705</v>
      </c>
      <c r="AN4994">
        <v>1.0000000259092401</v>
      </c>
    </row>
    <row r="4995" spans="1:40" x14ac:dyDescent="0.25">
      <c r="A4995" t="str">
        <f>"20190312172512402"</f>
        <v>20190312172512402</v>
      </c>
      <c r="B4995" t="str">
        <f>"1552382712395798"</f>
        <v>1552382712395798</v>
      </c>
      <c r="C4995" t="s">
        <v>40</v>
      </c>
      <c r="D4995">
        <v>3.647354</v>
      </c>
      <c r="E4995">
        <v>0.42700640000000001</v>
      </c>
      <c r="F4995" t="s">
        <v>50</v>
      </c>
      <c r="G4995">
        <v>-401.22390000000001</v>
      </c>
      <c r="H4995" s="1">
        <v>-6.2104899999999901E-6</v>
      </c>
      <c r="I4995">
        <v>23.81673</v>
      </c>
      <c r="J4995">
        <v>-416.82339999999999</v>
      </c>
      <c r="K4995">
        <v>1.1184499999999999</v>
      </c>
      <c r="L4995">
        <v>32.86148</v>
      </c>
      <c r="M4995">
        <v>0.63977220000000001</v>
      </c>
      <c r="N4995">
        <v>0</v>
      </c>
      <c r="O4995">
        <v>-0.76842730000000004</v>
      </c>
      <c r="P4995">
        <v>0.74104840000000005</v>
      </c>
      <c r="Q4995">
        <v>0.16339629999999999</v>
      </c>
      <c r="R4995">
        <v>-0.6512675</v>
      </c>
      <c r="S4995">
        <v>2.7091059999999998</v>
      </c>
      <c r="T4995">
        <v>-0.1932102</v>
      </c>
      <c r="U4995">
        <v>-1.578217</v>
      </c>
      <c r="V4995">
        <v>-0.1561786</v>
      </c>
      <c r="W4995">
        <v>0.1745852</v>
      </c>
      <c r="X4995">
        <v>0.97217710000000002</v>
      </c>
      <c r="Y4995">
        <v>-0.34035989999999999</v>
      </c>
      <c r="Z4995">
        <v>5.4200659999999998E-2</v>
      </c>
      <c r="AA4995">
        <v>0.93873180000000001</v>
      </c>
      <c r="AB4995">
        <v>25</v>
      </c>
      <c r="AC4995">
        <v>15.5994999999999</v>
      </c>
      <c r="AD4995">
        <v>-1.11845621049</v>
      </c>
      <c r="AE4995">
        <v>-9.0447500000000005</v>
      </c>
      <c r="AF4995">
        <v>-6.1773903347069403</v>
      </c>
      <c r="AG4995">
        <v>-1.11845621049</v>
      </c>
      <c r="AH4995">
        <v>16.867253104623298</v>
      </c>
      <c r="AI4995">
        <v>93.562917818675103</v>
      </c>
      <c r="AJ4995">
        <v>110.11453443381301</v>
      </c>
      <c r="AK4995">
        <v>17.9976477056736</v>
      </c>
      <c r="AL4995">
        <v>79.945480087316199</v>
      </c>
      <c r="AM4995">
        <v>99.126491025699195</v>
      </c>
      <c r="AN4995">
        <v>1.0000000304607</v>
      </c>
    </row>
    <row r="4996" spans="1:40" x14ac:dyDescent="0.25">
      <c r="A4996" t="str">
        <f>"20190312172512413"</f>
        <v>20190312172512413</v>
      </c>
      <c r="B4996" t="str">
        <f>"1552382712405559"</f>
        <v>1552382712405559</v>
      </c>
      <c r="C4996" t="s">
        <v>40</v>
      </c>
      <c r="D4996">
        <v>3.6212070000000001</v>
      </c>
      <c r="E4996">
        <v>0.4274637</v>
      </c>
      <c r="F4996" t="s">
        <v>50</v>
      </c>
      <c r="G4996">
        <v>-401.15570000000002</v>
      </c>
      <c r="H4996" s="1">
        <v>-6.2359379999999997E-6</v>
      </c>
      <c r="I4996">
        <v>23.839939999999999</v>
      </c>
      <c r="J4996">
        <v>-416.7353</v>
      </c>
      <c r="K4996">
        <v>1.118441</v>
      </c>
      <c r="L4996">
        <v>32.766629999999999</v>
      </c>
      <c r="M4996">
        <v>0.6446769</v>
      </c>
      <c r="N4996">
        <v>0</v>
      </c>
      <c r="O4996">
        <v>-0.76431709999999997</v>
      </c>
      <c r="P4996">
        <v>0.7452858</v>
      </c>
      <c r="Q4996">
        <v>0.16343079999999999</v>
      </c>
      <c r="R4996">
        <v>-0.64640559999999903</v>
      </c>
      <c r="S4996">
        <v>2.7164609999999998</v>
      </c>
      <c r="T4996">
        <v>-0.19391729999999999</v>
      </c>
      <c r="U4996">
        <v>-1.5641480000000001</v>
      </c>
      <c r="V4996">
        <v>-0.15630839999999999</v>
      </c>
      <c r="W4996">
        <v>0.17461860000000001</v>
      </c>
      <c r="X4996">
        <v>0.97215019999999996</v>
      </c>
      <c r="Y4996">
        <v>-0.33908759999999999</v>
      </c>
      <c r="Z4996">
        <v>5.4182099999999997E-2</v>
      </c>
      <c r="AA4996">
        <v>0.93919319999999895</v>
      </c>
      <c r="AB4996">
        <v>25</v>
      </c>
      <c r="AC4996">
        <v>15.5795999999999</v>
      </c>
      <c r="AD4996">
        <v>-1.118447235938</v>
      </c>
      <c r="AE4996">
        <v>-8.92668999999999</v>
      </c>
      <c r="AF4996">
        <v>-6.1297901912608301</v>
      </c>
      <c r="AG4996">
        <v>-1.118447235938</v>
      </c>
      <c r="AH4996">
        <v>16.8032151622184</v>
      </c>
      <c r="AI4996">
        <v>93.578085748380204</v>
      </c>
      <c r="AJ4996">
        <v>110.04190119666301</v>
      </c>
      <c r="AK4996">
        <v>17.9213083170917</v>
      </c>
      <c r="AL4996">
        <v>79.943536156718693</v>
      </c>
      <c r="AM4996">
        <v>99.134196724910296</v>
      </c>
      <c r="AN4996">
        <v>0.99999999136827999</v>
      </c>
    </row>
    <row r="4997" spans="1:40" x14ac:dyDescent="0.25">
      <c r="A4997" t="str">
        <f>"20190312172512425"</f>
        <v>20190312172512425</v>
      </c>
      <c r="B4997" t="str">
        <f>"1552382712415319"</f>
        <v>1552382712415319</v>
      </c>
      <c r="C4997" t="s">
        <v>40</v>
      </c>
      <c r="D4997">
        <v>3.6218729999999999</v>
      </c>
      <c r="E4997">
        <v>0.42786760000000001</v>
      </c>
      <c r="F4997" t="s">
        <v>50</v>
      </c>
      <c r="G4997">
        <v>-401.09230000000002</v>
      </c>
      <c r="H4997" s="1">
        <v>-6.2607290000000002E-6</v>
      </c>
      <c r="I4997">
        <v>23.87172</v>
      </c>
      <c r="J4997">
        <v>-416.65519999999998</v>
      </c>
      <c r="K4997">
        <v>1.1184339999999999</v>
      </c>
      <c r="L4997">
        <v>32.681089999999998</v>
      </c>
      <c r="M4997">
        <v>0.64909229999999996</v>
      </c>
      <c r="N4997">
        <v>0</v>
      </c>
      <c r="O4997">
        <v>-0.76057079999999999</v>
      </c>
      <c r="P4997">
        <v>0.74902950000000001</v>
      </c>
      <c r="Q4997">
        <v>0.16355790000000001</v>
      </c>
      <c r="R4997">
        <v>-0.64203069999999995</v>
      </c>
      <c r="S4997">
        <v>2.7244259999999998</v>
      </c>
      <c r="T4997">
        <v>-0.19479189999999999</v>
      </c>
      <c r="U4997">
        <v>-1.549164</v>
      </c>
      <c r="V4997">
        <v>-0.15634790000000001</v>
      </c>
      <c r="W4997">
        <v>0.17474579999999901</v>
      </c>
      <c r="X4997">
        <v>0.97212100000000001</v>
      </c>
      <c r="Y4997">
        <v>-0.33871430000000002</v>
      </c>
      <c r="Z4997">
        <v>5.4242400000000003E-2</v>
      </c>
      <c r="AA4997">
        <v>0.93932439999999995</v>
      </c>
      <c r="AB4997">
        <v>25</v>
      </c>
      <c r="AC4997">
        <v>15.5628999999999</v>
      </c>
      <c r="AD4997">
        <v>-1.1184402607289901</v>
      </c>
      <c r="AE4997">
        <v>-8.8093699999999995</v>
      </c>
      <c r="AF4997">
        <v>-6.0953977336698797</v>
      </c>
      <c r="AG4997">
        <v>-1.1184402607289901</v>
      </c>
      <c r="AH4997">
        <v>16.7382128009856</v>
      </c>
      <c r="AI4997">
        <v>93.592657991664296</v>
      </c>
      <c r="AJ4997">
        <v>110.009631023266</v>
      </c>
      <c r="AK4997">
        <v>17.848600783241402</v>
      </c>
      <c r="AL4997">
        <v>79.9361344125778</v>
      </c>
      <c r="AM4997">
        <v>99.136735867812206</v>
      </c>
      <c r="AN4997">
        <v>0.99999999954652397</v>
      </c>
    </row>
    <row r="4998" spans="1:40" x14ac:dyDescent="0.25">
      <c r="A4998" t="str">
        <f>"20190312172512435"</f>
        <v>20190312172512435</v>
      </c>
      <c r="B4998" t="str">
        <f>"1552382712426055"</f>
        <v>1552382712426055</v>
      </c>
      <c r="C4998" t="s">
        <v>40</v>
      </c>
      <c r="D4998">
        <v>3.6479560000000002</v>
      </c>
      <c r="E4998">
        <v>0.42838029999999999</v>
      </c>
      <c r="F4998" t="s">
        <v>50</v>
      </c>
      <c r="G4998">
        <v>-400.89510000000001</v>
      </c>
      <c r="H4998" s="1">
        <v>-6.3208419999999996E-6</v>
      </c>
      <c r="I4998">
        <v>23.81915</v>
      </c>
      <c r="J4998">
        <v>-416.57150000000001</v>
      </c>
      <c r="K4998">
        <v>1.1184289999999999</v>
      </c>
      <c r="L4998">
        <v>32.592709999999997</v>
      </c>
      <c r="M4998">
        <v>0.6536592</v>
      </c>
      <c r="N4998">
        <v>0</v>
      </c>
      <c r="O4998">
        <v>-0.75664960000000003</v>
      </c>
      <c r="P4998">
        <v>0.75314559999999997</v>
      </c>
      <c r="Q4998">
        <v>0.163602</v>
      </c>
      <c r="R4998">
        <v>-0.63718629999999998</v>
      </c>
      <c r="S4998">
        <v>2.7311709999999998</v>
      </c>
      <c r="T4998">
        <v>-0.19382079999999999</v>
      </c>
      <c r="U4998">
        <v>-1.535736</v>
      </c>
      <c r="V4998">
        <v>-0.15675610000000001</v>
      </c>
      <c r="W4998">
        <v>0.174783299999999</v>
      </c>
      <c r="X4998">
        <v>0.97204849999999998</v>
      </c>
      <c r="Y4998">
        <v>-0.33757290000000001</v>
      </c>
      <c r="Z4998">
        <v>5.3767479999999999E-2</v>
      </c>
      <c r="AA4998">
        <v>0.93976249999999995</v>
      </c>
      <c r="AB4998">
        <v>24</v>
      </c>
      <c r="AC4998">
        <v>15.676399999999999</v>
      </c>
      <c r="AD4998">
        <v>-1.1184353208419999</v>
      </c>
      <c r="AE4998">
        <v>-8.7735599999999891</v>
      </c>
      <c r="AF4998">
        <v>-6.1036122381940103</v>
      </c>
      <c r="AG4998">
        <v>-1.1184353208419999</v>
      </c>
      <c r="AH4998">
        <v>16.8221123928558</v>
      </c>
      <c r="AI4998">
        <v>93.576291097358805</v>
      </c>
      <c r="AJ4998">
        <v>109.94242652671799</v>
      </c>
      <c r="AK4998">
        <v>17.930098864172798</v>
      </c>
      <c r="AL4998">
        <v>79.933952055187206</v>
      </c>
      <c r="AM4998">
        <v>99.160858188251197</v>
      </c>
      <c r="AN4998">
        <v>0.99999998159917403</v>
      </c>
    </row>
    <row r="4999" spans="1:40" x14ac:dyDescent="0.25">
      <c r="A4999" t="str">
        <f>"20190312172512447"</f>
        <v>20190312172512447</v>
      </c>
      <c r="B4999" t="str">
        <f>"1552382712435814"</f>
        <v>1552382712435814</v>
      </c>
      <c r="C4999" t="s">
        <v>40</v>
      </c>
      <c r="D4999">
        <v>3.6128089999999999</v>
      </c>
      <c r="E4999">
        <v>0.42887750000000002</v>
      </c>
      <c r="F4999" t="s">
        <v>50</v>
      </c>
      <c r="G4999">
        <v>-400.84300000000002</v>
      </c>
      <c r="H4999" s="1">
        <v>-6.3422169999999999E-6</v>
      </c>
      <c r="I4999">
        <v>23.854389999999999</v>
      </c>
      <c r="J4999">
        <v>-416.49009999999998</v>
      </c>
      <c r="K4999">
        <v>1.1184190000000001</v>
      </c>
      <c r="L4999">
        <v>32.507899999999999</v>
      </c>
      <c r="M4999">
        <v>0.6580435</v>
      </c>
      <c r="N4999">
        <v>0</v>
      </c>
      <c r="O4999">
        <v>-0.75283940000000005</v>
      </c>
      <c r="P4999">
        <v>0.75660499999999997</v>
      </c>
      <c r="Q4999">
        <v>0.16407079999999999</v>
      </c>
      <c r="R4999">
        <v>-0.63295299999999999</v>
      </c>
      <c r="S4999">
        <v>2.738464</v>
      </c>
      <c r="T4999">
        <v>-0.19472999999999999</v>
      </c>
      <c r="U4999">
        <v>-1.521423</v>
      </c>
      <c r="V4999">
        <v>-0.15648819999999999</v>
      </c>
      <c r="W4999">
        <v>0.17525839999999901</v>
      </c>
      <c r="X4999">
        <v>0.97200609999999998</v>
      </c>
      <c r="Y4999">
        <v>-0.33691169999999998</v>
      </c>
      <c r="Z4999">
        <v>5.3825940000000003E-2</v>
      </c>
      <c r="AA4999">
        <v>0.93999639999999995</v>
      </c>
      <c r="AB4999">
        <v>24</v>
      </c>
      <c r="AC4999">
        <v>15.647099999999901</v>
      </c>
      <c r="AD4999">
        <v>-1.1184253422170001</v>
      </c>
      <c r="AE4999">
        <v>-8.6535100000000007</v>
      </c>
      <c r="AF4999">
        <v>-6.0622927329199401</v>
      </c>
      <c r="AG4999">
        <v>-1.1184253422170001</v>
      </c>
      <c r="AH4999">
        <v>16.747430724622699</v>
      </c>
      <c r="AI4999">
        <v>93.593139977726594</v>
      </c>
      <c r="AJ4999">
        <v>109.899417555136</v>
      </c>
      <c r="AK4999">
        <v>17.845971654739401</v>
      </c>
      <c r="AL4999">
        <v>79.906303865054895</v>
      </c>
      <c r="AM4999">
        <v>99.145859045458906</v>
      </c>
      <c r="AN4999">
        <v>0.99999996097350397</v>
      </c>
    </row>
    <row r="5000" spans="1:40" x14ac:dyDescent="0.25">
      <c r="A5000" t="str">
        <f>"20190312172512457"</f>
        <v>20190312172512457</v>
      </c>
      <c r="B5000" t="str">
        <f>"1552382712445574"</f>
        <v>1552382712445574</v>
      </c>
      <c r="C5000" t="s">
        <v>40</v>
      </c>
      <c r="D5000">
        <v>3.6508959999999999</v>
      </c>
      <c r="E5000">
        <v>0.4293961</v>
      </c>
      <c r="F5000" t="s">
        <v>50</v>
      </c>
      <c r="G5000">
        <v>-400.67340000000002</v>
      </c>
      <c r="H5000" s="1">
        <v>-6.3937110000000004E-6</v>
      </c>
      <c r="I5000">
        <v>23.807169999999999</v>
      </c>
      <c r="J5000">
        <v>-416.40800000000002</v>
      </c>
      <c r="K5000">
        <v>1.118412</v>
      </c>
      <c r="L5000">
        <v>32.423220000000001</v>
      </c>
      <c r="M5000">
        <v>0.66241949999999905</v>
      </c>
      <c r="N5000">
        <v>0</v>
      </c>
      <c r="O5000">
        <v>-0.74899209999999905</v>
      </c>
      <c r="P5000">
        <v>0.76025149999999997</v>
      </c>
      <c r="Q5000">
        <v>0.164081</v>
      </c>
      <c r="R5000">
        <v>-0.62856630000000002</v>
      </c>
      <c r="S5000">
        <v>2.7442630000000001</v>
      </c>
      <c r="T5000">
        <v>-0.19405149999999999</v>
      </c>
      <c r="U5000">
        <v>-1.5096130000000001</v>
      </c>
      <c r="V5000">
        <v>-0.15644060000000001</v>
      </c>
      <c r="W5000">
        <v>0.1752716</v>
      </c>
      <c r="X5000">
        <v>0.97201139999999997</v>
      </c>
      <c r="Y5000">
        <v>-0.33538800000000002</v>
      </c>
      <c r="Z5000">
        <v>5.3424869999999999E-2</v>
      </c>
      <c r="AA5000">
        <v>0.94056399999999996</v>
      </c>
      <c r="AB5000">
        <v>24</v>
      </c>
      <c r="AC5000">
        <v>15.7346</v>
      </c>
      <c r="AD5000">
        <v>-1.1184183937109999</v>
      </c>
      <c r="AE5000">
        <v>-8.6160499999999907</v>
      </c>
      <c r="AF5000">
        <v>-6.0547593238068398</v>
      </c>
      <c r="AG5000">
        <v>-1.1184183937109999</v>
      </c>
      <c r="AH5000">
        <v>16.8126926924845</v>
      </c>
      <c r="AI5000">
        <v>93.581320397504797</v>
      </c>
      <c r="AJ5000">
        <v>109.80548295033999</v>
      </c>
      <c r="AK5000">
        <v>17.904681112618</v>
      </c>
      <c r="AL5000">
        <v>79.905535847952095</v>
      </c>
      <c r="AM5000">
        <v>99.143075075472098</v>
      </c>
      <c r="AN5000">
        <v>0.99999997841243904</v>
      </c>
    </row>
    <row r="5001" spans="1:40" x14ac:dyDescent="0.25">
      <c r="A5001" t="str">
        <f>"20190312172512468"</f>
        <v>20190312172512468</v>
      </c>
      <c r="B5001" t="str">
        <f>"1552382712455335"</f>
        <v>1552382712455335</v>
      </c>
      <c r="C5001" t="s">
        <v>40</v>
      </c>
      <c r="D5001">
        <v>3.6317680000000001</v>
      </c>
      <c r="E5001">
        <v>0.42992659999999999</v>
      </c>
      <c r="F5001" t="s">
        <v>50</v>
      </c>
      <c r="G5001">
        <v>-400.52769999999998</v>
      </c>
      <c r="H5001" s="1">
        <v>-6.4395039999999899E-6</v>
      </c>
      <c r="I5001">
        <v>23.780819999999999</v>
      </c>
      <c r="J5001">
        <v>-416.32760000000002</v>
      </c>
      <c r="K5001">
        <v>1.118403</v>
      </c>
      <c r="L5001">
        <v>32.341549999999998</v>
      </c>
      <c r="M5001">
        <v>0.66664639999999997</v>
      </c>
      <c r="N5001">
        <v>0</v>
      </c>
      <c r="O5001">
        <v>-0.74523260000000002</v>
      </c>
      <c r="P5001">
        <v>0.7636984</v>
      </c>
      <c r="Q5001">
        <v>0.1642583</v>
      </c>
      <c r="R5001">
        <v>-0.62432719999999997</v>
      </c>
      <c r="S5001">
        <v>2.7503359999999999</v>
      </c>
      <c r="T5001">
        <v>-0.19370129999999999</v>
      </c>
      <c r="U5001">
        <v>-1.496796</v>
      </c>
      <c r="V5001">
        <v>-0.15631909999999999</v>
      </c>
      <c r="W5001">
        <v>0.17545279999999999</v>
      </c>
      <c r="X5001">
        <v>0.97199829999999998</v>
      </c>
      <c r="Y5001">
        <v>-0.33432399999999901</v>
      </c>
      <c r="Z5001">
        <v>5.3131879999999999E-2</v>
      </c>
      <c r="AA5001">
        <v>0.94095930000000005</v>
      </c>
      <c r="AB5001">
        <v>24</v>
      </c>
      <c r="AC5001">
        <v>15.799899999999999</v>
      </c>
      <c r="AD5001">
        <v>-1.1184094395039901</v>
      </c>
      <c r="AE5001">
        <v>-8.5607299999999906</v>
      </c>
      <c r="AF5001">
        <v>-6.0448461342513902</v>
      </c>
      <c r="AG5001">
        <v>-1.1184094395039901</v>
      </c>
      <c r="AH5001">
        <v>16.849200415878901</v>
      </c>
      <c r="AI5001">
        <v>93.575105408977294</v>
      </c>
      <c r="AJ5001">
        <v>109.736037328976</v>
      </c>
      <c r="AK5001">
        <v>17.935622629716502</v>
      </c>
      <c r="AL5001">
        <v>79.894990871745307</v>
      </c>
      <c r="AM5001">
        <v>99.136214937121906</v>
      </c>
      <c r="AN5001">
        <v>1.0000000206277599</v>
      </c>
    </row>
    <row r="5002" spans="1:40" x14ac:dyDescent="0.25">
      <c r="A5002" t="str">
        <f>"20190312172512480"</f>
        <v>20190312172512480</v>
      </c>
      <c r="B5002" t="str">
        <f>"1552382712475832"</f>
        <v>1552382712475832</v>
      </c>
      <c r="C5002" t="s">
        <v>40</v>
      </c>
      <c r="D5002">
        <v>3.5950169999999999</v>
      </c>
      <c r="E5002">
        <v>0.44316499999999998</v>
      </c>
      <c r="F5002" t="s">
        <v>50</v>
      </c>
      <c r="G5002">
        <v>-400.42790000000002</v>
      </c>
      <c r="H5002" s="1">
        <v>-6.472304E-6</v>
      </c>
      <c r="I5002">
        <v>23.77544</v>
      </c>
      <c r="J5002">
        <v>-416.23540000000003</v>
      </c>
      <c r="K5002">
        <v>1.11839</v>
      </c>
      <c r="L5002">
        <v>32.24841</v>
      </c>
      <c r="M5002">
        <v>0.67145350000000004</v>
      </c>
      <c r="N5002">
        <v>0</v>
      </c>
      <c r="O5002">
        <v>-0.74090440000000002</v>
      </c>
      <c r="P5002">
        <v>0.76749559999999994</v>
      </c>
      <c r="Q5002">
        <v>0.16422779999999901</v>
      </c>
      <c r="R5002">
        <v>-0.61966100000000002</v>
      </c>
      <c r="S5002">
        <v>2.7560730000000002</v>
      </c>
      <c r="T5002">
        <v>-0.19386680000000001</v>
      </c>
      <c r="U5002">
        <v>-1.4848629999999901</v>
      </c>
      <c r="V5002">
        <v>-0.1559526</v>
      </c>
      <c r="W5002">
        <v>0.17543310000000001</v>
      </c>
      <c r="X5002">
        <v>0.9720607</v>
      </c>
      <c r="Y5002">
        <v>-0.33220809999999901</v>
      </c>
      <c r="Z5002">
        <v>5.292376E-2</v>
      </c>
      <c r="AA5002">
        <v>0.94172009999999995</v>
      </c>
      <c r="AB5002">
        <v>24</v>
      </c>
      <c r="AC5002">
        <v>15.807499999999999</v>
      </c>
      <c r="AD5002">
        <v>-1.1183964723039901</v>
      </c>
      <c r="AE5002">
        <v>-8.4729700000000001</v>
      </c>
      <c r="AF5002">
        <v>-5.99994517736127</v>
      </c>
      <c r="AG5002">
        <v>-1.1183964723039901</v>
      </c>
      <c r="AH5002">
        <v>16.828007294061301</v>
      </c>
      <c r="AI5002">
        <v>93.582064847086997</v>
      </c>
      <c r="AJ5002">
        <v>109.623448599919</v>
      </c>
      <c r="AK5002">
        <v>17.900614019903902</v>
      </c>
      <c r="AL5002">
        <v>79.896137122331794</v>
      </c>
      <c r="AM5002">
        <v>99.114579205080005</v>
      </c>
      <c r="AN5002">
        <v>0.99999999525342997</v>
      </c>
    </row>
    <row r="5003" spans="1:40" x14ac:dyDescent="0.25">
      <c r="A5003" t="str">
        <f>"20190312172512493"</f>
        <v>20190312172512493</v>
      </c>
      <c r="B5003" t="str">
        <f>"1552382712485591"</f>
        <v>1552382712485591</v>
      </c>
      <c r="C5003" t="s">
        <v>40</v>
      </c>
      <c r="D5003">
        <v>3.6460599999999999</v>
      </c>
      <c r="E5003">
        <v>0.44383650000000002</v>
      </c>
      <c r="F5003" t="s">
        <v>50</v>
      </c>
      <c r="G5003">
        <v>-401.54340000000002</v>
      </c>
      <c r="H5003" s="1">
        <v>-6.1029079999999998E-6</v>
      </c>
      <c r="I5003">
        <v>23.81099</v>
      </c>
      <c r="J5003">
        <v>-416.1463</v>
      </c>
      <c r="K5003">
        <v>1.1183730000000001</v>
      </c>
      <c r="L5003">
        <v>32.160339999999998</v>
      </c>
      <c r="M5003">
        <v>0.67601259999999996</v>
      </c>
      <c r="N5003">
        <v>0</v>
      </c>
      <c r="O5003">
        <v>-0.73674689999999998</v>
      </c>
      <c r="P5003">
        <v>0.77139880000000005</v>
      </c>
      <c r="Q5003">
        <v>0.16399739999999999</v>
      </c>
      <c r="R5003">
        <v>-0.61485679999999998</v>
      </c>
      <c r="S5003">
        <v>2.7006230000000002</v>
      </c>
      <c r="T5003">
        <v>-0.20557919999999999</v>
      </c>
      <c r="U5003">
        <v>-1.550934</v>
      </c>
      <c r="V5003">
        <v>-0.15604799999999999</v>
      </c>
      <c r="W5003">
        <v>0.17520439999999901</v>
      </c>
      <c r="X5003">
        <v>0.97208660000000002</v>
      </c>
      <c r="Y5003">
        <v>-0.30049609999999999</v>
      </c>
      <c r="Z5003">
        <v>5.5417139999999997E-2</v>
      </c>
      <c r="AA5003">
        <v>0.95217169999999896</v>
      </c>
      <c r="AB5003">
        <v>24</v>
      </c>
      <c r="AC5003">
        <v>14.602899999999901</v>
      </c>
      <c r="AD5003">
        <v>-1.1183791029079999</v>
      </c>
      <c r="AE5003">
        <v>-8.3493499999999994</v>
      </c>
      <c r="AF5003">
        <v>-5.0924047638725902</v>
      </c>
      <c r="AG5003">
        <v>-1.1183791029079999</v>
      </c>
      <c r="AH5003">
        <v>15.954268811848401</v>
      </c>
      <c r="AI5003">
        <v>93.820525812699103</v>
      </c>
      <c r="AJ5003">
        <v>107.702438233652</v>
      </c>
      <c r="AK5003">
        <v>16.784577784908802</v>
      </c>
      <c r="AL5003">
        <v>79.909446441597595</v>
      </c>
      <c r="AM5003">
        <v>99.1198222316863</v>
      </c>
      <c r="AN5003">
        <v>0.99999995899145899</v>
      </c>
    </row>
    <row r="5004" spans="1:40" x14ac:dyDescent="0.25">
      <c r="A5004" t="str">
        <f>"20190312172512505"</f>
        <v>20190312172512505</v>
      </c>
      <c r="B5004" t="str">
        <f>"1552382712495351"</f>
        <v>1552382712495351</v>
      </c>
      <c r="C5004" t="s">
        <v>40</v>
      </c>
      <c r="D5004">
        <v>3.6956329999999999</v>
      </c>
      <c r="E5004">
        <v>0.44428200000000001</v>
      </c>
      <c r="F5004" t="s">
        <v>50</v>
      </c>
      <c r="G5004">
        <v>-401.36419999999998</v>
      </c>
      <c r="H5004" s="1">
        <v>-6.1572920000000001E-6</v>
      </c>
      <c r="I5004">
        <v>23.761379999999999</v>
      </c>
      <c r="J5004">
        <v>-416.05450000000002</v>
      </c>
      <c r="K5004">
        <v>1.1183540000000001</v>
      </c>
      <c r="L5004">
        <v>32.070010000000003</v>
      </c>
      <c r="M5004">
        <v>0.68067080000000002</v>
      </c>
      <c r="N5004">
        <v>0</v>
      </c>
      <c r="O5004">
        <v>-0.73244549999999997</v>
      </c>
      <c r="P5004">
        <v>0.77518920000000002</v>
      </c>
      <c r="Q5004">
        <v>0.16387869999999999</v>
      </c>
      <c r="R5004">
        <v>-0.61010310000000001</v>
      </c>
      <c r="S5004">
        <v>2.706696</v>
      </c>
      <c r="T5004">
        <v>-0.2047822</v>
      </c>
      <c r="U5004">
        <v>-1.537903</v>
      </c>
      <c r="V5004">
        <v>-0.15586710000000001</v>
      </c>
      <c r="W5004">
        <v>0.17509369999999999</v>
      </c>
      <c r="X5004">
        <v>0.97213559999999999</v>
      </c>
      <c r="Y5004">
        <v>-0.29885240000000002</v>
      </c>
      <c r="Z5004">
        <v>5.494947E-2</v>
      </c>
      <c r="AA5004">
        <v>0.95271600000000001</v>
      </c>
      <c r="AB5004">
        <v>24</v>
      </c>
      <c r="AC5004">
        <v>14.690300000000001</v>
      </c>
      <c r="AD5004">
        <v>-1.1183601572919999</v>
      </c>
      <c r="AE5004">
        <v>-8.3086299999999902</v>
      </c>
      <c r="AF5004">
        <v>-5.0826226404537502</v>
      </c>
      <c r="AG5004">
        <v>-1.1183601572919999</v>
      </c>
      <c r="AH5004">
        <v>16.0162453391847</v>
      </c>
      <c r="AI5004">
        <v>93.807745862303605</v>
      </c>
      <c r="AJ5004">
        <v>107.60640395931</v>
      </c>
      <c r="AK5004">
        <v>16.8405432546467</v>
      </c>
      <c r="AL5004">
        <v>79.915888992315899</v>
      </c>
      <c r="AM5004">
        <v>99.108975902935796</v>
      </c>
      <c r="AN5004">
        <v>0.999999990714729</v>
      </c>
    </row>
    <row r="5005" spans="1:40" x14ac:dyDescent="0.25">
      <c r="A5005" t="str">
        <f>"20190312172512516"</f>
        <v>20190312172512516</v>
      </c>
      <c r="B5005" t="str">
        <f>"1552382712505111"</f>
        <v>1552382712505111</v>
      </c>
      <c r="C5005" t="s">
        <v>40</v>
      </c>
      <c r="D5005">
        <v>3.600047</v>
      </c>
      <c r="E5005">
        <v>0.44488250000000001</v>
      </c>
      <c r="F5005" t="s">
        <v>50</v>
      </c>
      <c r="G5005">
        <v>-400.9196</v>
      </c>
      <c r="H5005" s="1">
        <v>-6.28460799999999E-6</v>
      </c>
      <c r="I5005">
        <v>23.56991</v>
      </c>
      <c r="J5005">
        <v>-415.96269999999998</v>
      </c>
      <c r="K5005">
        <v>1.118328</v>
      </c>
      <c r="L5005">
        <v>31.981110000000001</v>
      </c>
      <c r="M5005">
        <v>0.6852511</v>
      </c>
      <c r="N5005">
        <v>0</v>
      </c>
      <c r="O5005">
        <v>-0.72816210000000003</v>
      </c>
      <c r="P5005">
        <v>0.77921409999999902</v>
      </c>
      <c r="Q5005">
        <v>0.16358200000000001</v>
      </c>
      <c r="R5005">
        <v>-0.60503459999999998</v>
      </c>
      <c r="S5005">
        <v>2.713165</v>
      </c>
      <c r="T5005">
        <v>-0.2004832</v>
      </c>
      <c r="U5005">
        <v>-1.523773</v>
      </c>
      <c r="V5005">
        <v>-0.15614020000000001</v>
      </c>
      <c r="W5005">
        <v>0.17479649999999999</v>
      </c>
      <c r="X5005">
        <v>0.97214529999999999</v>
      </c>
      <c r="Y5005">
        <v>-0.29768830000000002</v>
      </c>
      <c r="Z5005">
        <v>5.3564319999999999E-2</v>
      </c>
      <c r="AA5005">
        <v>0.95315930000000004</v>
      </c>
      <c r="AB5005">
        <v>24</v>
      </c>
      <c r="AC5005">
        <v>15.0430999999999</v>
      </c>
      <c r="AD5005">
        <v>-1.118334284608</v>
      </c>
      <c r="AE5005">
        <v>-8.4111999999999902</v>
      </c>
      <c r="AF5005">
        <v>-5.1688157719514001</v>
      </c>
      <c r="AG5005">
        <v>-1.118334284608</v>
      </c>
      <c r="AH5005">
        <v>16.365844087537599</v>
      </c>
      <c r="AI5005">
        <v>93.728169836781206</v>
      </c>
      <c r="AJ5005">
        <v>107.52765187165301</v>
      </c>
      <c r="AK5005">
        <v>17.199074997048299</v>
      </c>
      <c r="AL5005">
        <v>79.933184432574606</v>
      </c>
      <c r="AM5005">
        <v>99.1245782695744</v>
      </c>
      <c r="AN5005">
        <v>1.00000003139018</v>
      </c>
    </row>
    <row r="5006" spans="1:40" x14ac:dyDescent="0.25">
      <c r="A5006" t="str">
        <f>"20190312172512529"</f>
        <v>20190312172512529</v>
      </c>
      <c r="B5006" t="str">
        <f>"1552382712525607"</f>
        <v>1552382712525607</v>
      </c>
      <c r="C5006" t="s">
        <v>40</v>
      </c>
      <c r="D5006">
        <v>3.6380780000000001</v>
      </c>
      <c r="E5006">
        <v>0.4461831</v>
      </c>
      <c r="F5006" t="s">
        <v>50</v>
      </c>
      <c r="G5006">
        <v>-401.03030000000001</v>
      </c>
      <c r="H5006" s="1">
        <v>-6.261726E-6</v>
      </c>
      <c r="I5006">
        <v>23.69613</v>
      </c>
      <c r="J5006">
        <v>-415.86369999999999</v>
      </c>
      <c r="K5006">
        <v>1.1182989999999999</v>
      </c>
      <c r="L5006">
        <v>31.88644</v>
      </c>
      <c r="M5006">
        <v>0.69011929999999999</v>
      </c>
      <c r="N5006">
        <v>0</v>
      </c>
      <c r="O5006">
        <v>-0.72355019999999903</v>
      </c>
      <c r="P5006">
        <v>0.78322080000000005</v>
      </c>
      <c r="Q5006">
        <v>0.16351550000000001</v>
      </c>
      <c r="R5006">
        <v>-0.59985679999999997</v>
      </c>
      <c r="S5006">
        <v>2.7206730000000001</v>
      </c>
      <c r="T5006">
        <v>-0.20376</v>
      </c>
      <c r="U5006">
        <v>-1.5095209999999999</v>
      </c>
      <c r="V5006">
        <v>-0.1560598</v>
      </c>
      <c r="W5006">
        <v>0.1747378</v>
      </c>
      <c r="X5006">
        <v>0.9721687</v>
      </c>
      <c r="Y5006">
        <v>-0.29617389999999999</v>
      </c>
      <c r="Z5006">
        <v>5.4154630000000002E-2</v>
      </c>
      <c r="AA5006">
        <v>0.95359749999999999</v>
      </c>
      <c r="AB5006">
        <v>24</v>
      </c>
      <c r="AC5006">
        <v>14.8333999999999</v>
      </c>
      <c r="AD5006">
        <v>-1.1183052617260001</v>
      </c>
      <c r="AE5006">
        <v>-8.1903100000000002</v>
      </c>
      <c r="AF5006">
        <v>-5.05891744054854</v>
      </c>
      <c r="AG5006">
        <v>-1.1183052617260001</v>
      </c>
      <c r="AH5006">
        <v>16.094512181607001</v>
      </c>
      <c r="AI5006">
        <v>93.792371479569695</v>
      </c>
      <c r="AJ5006">
        <v>107.449269030067</v>
      </c>
      <c r="AK5006">
        <v>16.907884985786499</v>
      </c>
      <c r="AL5006">
        <v>79.936599646891494</v>
      </c>
      <c r="AM5006">
        <v>99.119742976286304</v>
      </c>
      <c r="AN5006">
        <v>0.99999997059228396</v>
      </c>
    </row>
    <row r="5007" spans="1:40" x14ac:dyDescent="0.25">
      <c r="A5007" t="str">
        <f>"20190312172512548"</f>
        <v>20190312172512548</v>
      </c>
      <c r="B5007" t="str">
        <f>"1552382712535367"</f>
        <v>1552382712535367</v>
      </c>
      <c r="C5007" t="s">
        <v>40</v>
      </c>
      <c r="D5007">
        <v>3.5968149999999999</v>
      </c>
      <c r="E5007">
        <v>0.44683010000000001</v>
      </c>
      <c r="F5007" t="s">
        <v>50</v>
      </c>
      <c r="G5007">
        <v>-401.61149999999998</v>
      </c>
      <c r="H5007" s="1">
        <v>-6.1061510000000002E-6</v>
      </c>
      <c r="I5007">
        <v>24.042390000000001</v>
      </c>
      <c r="J5007">
        <v>-415.72039999999998</v>
      </c>
      <c r="K5007">
        <v>1.118247</v>
      </c>
      <c r="L5007">
        <v>31.7515</v>
      </c>
      <c r="M5007">
        <v>0.69703579999999998</v>
      </c>
      <c r="N5007">
        <v>0</v>
      </c>
      <c r="O5007">
        <v>-0.71688969999999996</v>
      </c>
      <c r="P5007">
        <v>0.78877600000000003</v>
      </c>
      <c r="Q5007">
        <v>0.16367279999999901</v>
      </c>
      <c r="R5007">
        <v>-0.59248970000000001</v>
      </c>
      <c r="S5007">
        <v>2.7259220000000002</v>
      </c>
      <c r="T5007">
        <v>-0.2138901</v>
      </c>
      <c r="U5007">
        <v>-1.500275</v>
      </c>
      <c r="V5007">
        <v>-0.1557944</v>
      </c>
      <c r="W5007">
        <v>0.1749096</v>
      </c>
      <c r="X5007">
        <v>0.97218039999999994</v>
      </c>
      <c r="Y5007">
        <v>-0.29010180000000002</v>
      </c>
      <c r="Z5007">
        <v>5.6295930000000001E-2</v>
      </c>
      <c r="AA5007">
        <v>0.95533849999999998</v>
      </c>
      <c r="AB5007">
        <v>24</v>
      </c>
      <c r="AC5007">
        <v>14.1089</v>
      </c>
      <c r="AD5007">
        <v>-1.1182531061509999</v>
      </c>
      <c r="AE5007">
        <v>-7.7091099999999901</v>
      </c>
      <c r="AF5007">
        <v>-4.7186706547912802</v>
      </c>
      <c r="AG5007">
        <v>-1.1182531061509999</v>
      </c>
      <c r="AH5007">
        <v>15.288644000103901</v>
      </c>
      <c r="AI5007">
        <v>93.997881730803797</v>
      </c>
      <c r="AJ5007">
        <v>107.152262190969</v>
      </c>
      <c r="AK5007">
        <v>16.0392948136668</v>
      </c>
      <c r="AL5007">
        <v>79.926602535254901</v>
      </c>
      <c r="AM5007">
        <v>99.104385907243199</v>
      </c>
      <c r="AN5007">
        <v>0.99999999669383899</v>
      </c>
    </row>
    <row r="5008" spans="1:40" x14ac:dyDescent="0.25">
      <c r="A5008" t="str">
        <f>"20190312172512561"</f>
        <v>20190312172512561</v>
      </c>
      <c r="B5008" t="str">
        <f>"1552382712555863"</f>
        <v>1552382712555863</v>
      </c>
      <c r="C5008" t="s">
        <v>40</v>
      </c>
      <c r="D5008">
        <v>3.8309519999999999</v>
      </c>
      <c r="E5008">
        <v>0.44783800000000001</v>
      </c>
      <c r="F5008" t="s">
        <v>50</v>
      </c>
      <c r="G5008">
        <v>-401.42149999999998</v>
      </c>
      <c r="H5008" s="1">
        <v>-6.1681989999999901E-6</v>
      </c>
      <c r="I5008">
        <v>24.0288</v>
      </c>
      <c r="J5008">
        <v>-415.6146</v>
      </c>
      <c r="K5008">
        <v>1.118212</v>
      </c>
      <c r="L5008">
        <v>31.653169999999999</v>
      </c>
      <c r="M5008">
        <v>0.7020518</v>
      </c>
      <c r="N5008">
        <v>0</v>
      </c>
      <c r="O5008">
        <v>-0.71197840000000001</v>
      </c>
      <c r="P5008">
        <v>0.79266969999999903</v>
      </c>
      <c r="Q5008">
        <v>0.16443260000000001</v>
      </c>
      <c r="R5008">
        <v>-0.58705790000000002</v>
      </c>
      <c r="S5008">
        <v>2.7373050000000001</v>
      </c>
      <c r="T5008">
        <v>-0.2140725</v>
      </c>
      <c r="U5008">
        <v>-1.478394</v>
      </c>
      <c r="V5008">
        <v>-0.15553069999999999</v>
      </c>
      <c r="W5008">
        <v>0.1756809</v>
      </c>
      <c r="X5008">
        <v>0.97208360000000005</v>
      </c>
      <c r="Y5008">
        <v>-0.29096109999999997</v>
      </c>
      <c r="Z5008">
        <v>5.608875E-2</v>
      </c>
      <c r="AA5008">
        <v>0.95508930000000003</v>
      </c>
      <c r="AB5008">
        <v>24</v>
      </c>
      <c r="AC5008">
        <v>14.193099999999999</v>
      </c>
      <c r="AD5008">
        <v>-1.118218168199</v>
      </c>
      <c r="AE5008">
        <v>-7.6243699999999999</v>
      </c>
      <c r="AF5008">
        <v>-4.7301910685732098</v>
      </c>
      <c r="AG5008">
        <v>-1.118218168199</v>
      </c>
      <c r="AH5008">
        <v>15.320493761949599</v>
      </c>
      <c r="AI5008">
        <v>93.989349506006405</v>
      </c>
      <c r="AJ5008">
        <v>107.158033752991</v>
      </c>
      <c r="AK5008">
        <v>16.0730410478801</v>
      </c>
      <c r="AL5008">
        <v>79.881715819111193</v>
      </c>
      <c r="AM5008">
        <v>99.090123131104605</v>
      </c>
      <c r="AN5008">
        <v>1.00000005132812</v>
      </c>
    </row>
    <row r="5009" spans="1:40" x14ac:dyDescent="0.25">
      <c r="A5009" t="str">
        <f>"20190312172512573"</f>
        <v>20190312172512573</v>
      </c>
      <c r="B5009" t="str">
        <f>"1552382712565623"</f>
        <v>1552382712565623</v>
      </c>
      <c r="C5009" t="s">
        <v>40</v>
      </c>
      <c r="D5009">
        <v>3.751611</v>
      </c>
      <c r="E5009">
        <v>0.44824449999999999</v>
      </c>
      <c r="F5009" t="s">
        <v>50</v>
      </c>
      <c r="G5009">
        <v>-401.45800000000003</v>
      </c>
      <c r="H5009" s="1">
        <v>-6.1623679999999996E-6</v>
      </c>
      <c r="I5009">
        <v>24.085709999999999</v>
      </c>
      <c r="J5009">
        <v>-415.51870000000002</v>
      </c>
      <c r="K5009">
        <v>1.1181719999999999</v>
      </c>
      <c r="L5009">
        <v>31.565799999999999</v>
      </c>
      <c r="M5009">
        <v>0.70649649999999997</v>
      </c>
      <c r="N5009">
        <v>0</v>
      </c>
      <c r="O5009">
        <v>-0.70756819999999998</v>
      </c>
      <c r="P5009">
        <v>0.79601820000000001</v>
      </c>
      <c r="Q5009">
        <v>0.16469120000000001</v>
      </c>
      <c r="R5009">
        <v>-0.58243639999999997</v>
      </c>
      <c r="S5009">
        <v>2.7435</v>
      </c>
      <c r="T5009">
        <v>-0.2167076</v>
      </c>
      <c r="U5009">
        <v>-1.466553</v>
      </c>
      <c r="V5009">
        <v>-0.1550465</v>
      </c>
      <c r="W5009">
        <v>0.175957</v>
      </c>
      <c r="X5009">
        <v>0.97211099999999995</v>
      </c>
      <c r="Y5009">
        <v>-0.28903800000000002</v>
      </c>
      <c r="Z5009">
        <v>5.646872E-2</v>
      </c>
      <c r="AA5009">
        <v>0.95565069999999996</v>
      </c>
      <c r="AB5009">
        <v>24</v>
      </c>
      <c r="AC5009">
        <v>14.060699999999899</v>
      </c>
      <c r="AD5009">
        <v>-1.1181781623680001</v>
      </c>
      <c r="AE5009">
        <v>-7.4800899999999997</v>
      </c>
      <c r="AF5009">
        <v>-4.6418557176463899</v>
      </c>
      <c r="AG5009">
        <v>-1.1181781623680001</v>
      </c>
      <c r="AH5009">
        <v>15.1534131525697</v>
      </c>
      <c r="AI5009">
        <v>94.035787528131607</v>
      </c>
      <c r="AJ5009">
        <v>107.031089071138</v>
      </c>
      <c r="AK5009">
        <v>15.8878279534591</v>
      </c>
      <c r="AL5009">
        <v>79.865646010462697</v>
      </c>
      <c r="AM5009">
        <v>99.062042793299</v>
      </c>
      <c r="AN5009">
        <v>1.0000000396661199</v>
      </c>
    </row>
    <row r="5010" spans="1:40" x14ac:dyDescent="0.25">
      <c r="A5010" t="str">
        <f>"20190312172512584"</f>
        <v>20190312172512584</v>
      </c>
      <c r="B5010" t="str">
        <f>"1552382712575384"</f>
        <v>1552382712575384</v>
      </c>
      <c r="C5010" t="s">
        <v>40</v>
      </c>
      <c r="D5010">
        <v>3.6330900000000002</v>
      </c>
      <c r="E5010">
        <v>0.44880750000000003</v>
      </c>
      <c r="F5010" t="s">
        <v>50</v>
      </c>
      <c r="G5010">
        <v>-401.26740000000001</v>
      </c>
      <c r="H5010" s="1">
        <v>-6.2204160000000002E-6</v>
      </c>
      <c r="I5010">
        <v>24.034420000000001</v>
      </c>
      <c r="J5010">
        <v>-415.42970000000003</v>
      </c>
      <c r="K5010">
        <v>1.118136</v>
      </c>
      <c r="L5010">
        <v>31.485230000000001</v>
      </c>
      <c r="M5010">
        <v>0.71057300000000001</v>
      </c>
      <c r="N5010">
        <v>0</v>
      </c>
      <c r="O5010">
        <v>-0.7034743</v>
      </c>
      <c r="P5010">
        <v>0.79916109999999996</v>
      </c>
      <c r="Q5010">
        <v>0.16480359999999999</v>
      </c>
      <c r="R5010">
        <v>-0.57808400000000004</v>
      </c>
      <c r="S5010">
        <v>2.7500309999999999</v>
      </c>
      <c r="T5010">
        <v>-0.21577160000000001</v>
      </c>
      <c r="U5010">
        <v>-1.453308</v>
      </c>
      <c r="V5010">
        <v>-0.1547017</v>
      </c>
      <c r="W5010">
        <v>0.17608370000000001</v>
      </c>
      <c r="X5010">
        <v>0.97214290000000003</v>
      </c>
      <c r="Y5010">
        <v>-0.2880684</v>
      </c>
      <c r="Z5010">
        <v>5.5966780000000001E-2</v>
      </c>
      <c r="AA5010">
        <v>0.95597299999999996</v>
      </c>
      <c r="AB5010">
        <v>24</v>
      </c>
      <c r="AC5010">
        <v>14.1623</v>
      </c>
      <c r="AD5010">
        <v>-1.1181422204160001</v>
      </c>
      <c r="AE5010">
        <v>-7.4508099999999899</v>
      </c>
      <c r="AF5010">
        <v>-4.6462760186204104</v>
      </c>
      <c r="AG5010">
        <v>-1.1181422204160001</v>
      </c>
      <c r="AH5010">
        <v>15.232043169409</v>
      </c>
      <c r="AI5010">
        <v>94.016338513503896</v>
      </c>
      <c r="AJ5010">
        <v>106.963436382189</v>
      </c>
      <c r="AK5010">
        <v>15.9641242159106</v>
      </c>
      <c r="AL5010">
        <v>79.858270592160295</v>
      </c>
      <c r="AM5010">
        <v>99.041931681529206</v>
      </c>
      <c r="AN5010">
        <v>0.99999995170449296</v>
      </c>
    </row>
    <row r="5011" spans="1:40" x14ac:dyDescent="0.25">
      <c r="A5011" t="str">
        <f>"20190312172512595"</f>
        <v>20190312172512595</v>
      </c>
      <c r="B5011" t="str">
        <f>"1552382712585652"</f>
        <v>1552382712585652</v>
      </c>
      <c r="C5011" t="s">
        <v>40</v>
      </c>
      <c r="D5011">
        <v>3.6479529999999998</v>
      </c>
      <c r="E5011">
        <v>0.4491734</v>
      </c>
      <c r="F5011" t="s">
        <v>50</v>
      </c>
      <c r="G5011">
        <v>-401.04750000000001</v>
      </c>
      <c r="H5011" s="1">
        <v>-6.2854890000000001E-6</v>
      </c>
      <c r="I5011">
        <v>23.958549999999999</v>
      </c>
      <c r="J5011">
        <v>-415.3399</v>
      </c>
      <c r="K5011">
        <v>1.118088</v>
      </c>
      <c r="L5011">
        <v>31.405090000000001</v>
      </c>
      <c r="M5011">
        <v>0.71461330000000001</v>
      </c>
      <c r="N5011">
        <v>0</v>
      </c>
      <c r="O5011">
        <v>-0.69936999999999905</v>
      </c>
      <c r="P5011">
        <v>0.80235019999999901</v>
      </c>
      <c r="Q5011">
        <v>0.16523879999999999</v>
      </c>
      <c r="R5011">
        <v>-0.57352479999999995</v>
      </c>
      <c r="S5011">
        <v>2.755096</v>
      </c>
      <c r="T5011">
        <v>-0.21419450000000001</v>
      </c>
      <c r="U5011">
        <v>-1.4418329999999999</v>
      </c>
      <c r="V5011">
        <v>-0.15456400000000001</v>
      </c>
      <c r="W5011">
        <v>0.17652909999999999</v>
      </c>
      <c r="X5011">
        <v>0.97208399999999995</v>
      </c>
      <c r="Y5011">
        <v>-0.28643760000000001</v>
      </c>
      <c r="Z5011">
        <v>5.5290520000000003E-2</v>
      </c>
      <c r="AA5011">
        <v>0.95650219999999997</v>
      </c>
      <c r="AB5011">
        <v>24</v>
      </c>
      <c r="AC5011">
        <v>14.292399999999899</v>
      </c>
      <c r="AD5011">
        <v>-1.1180942854889999</v>
      </c>
      <c r="AE5011">
        <v>-7.4465399999999997</v>
      </c>
      <c r="AF5011">
        <v>-4.6523754164851896</v>
      </c>
      <c r="AG5011">
        <v>-1.1180942854889999</v>
      </c>
      <c r="AH5011">
        <v>15.3491604270595</v>
      </c>
      <c r="AI5011">
        <v>93.987756630909601</v>
      </c>
      <c r="AJ5011">
        <v>106.86220965307299</v>
      </c>
      <c r="AK5011">
        <v>16.0776695345678</v>
      </c>
      <c r="AL5011">
        <v>79.832344691674805</v>
      </c>
      <c r="AM5011">
        <v>99.034554599901995</v>
      </c>
      <c r="AN5011">
        <v>0.99999992814940197</v>
      </c>
    </row>
    <row r="5012" spans="1:40" x14ac:dyDescent="0.25">
      <c r="A5012" t="str">
        <f>"20190312172512607"</f>
        <v>20190312172512607</v>
      </c>
      <c r="B5012" t="str">
        <f>"1552382712595412"</f>
        <v>1552382712595412</v>
      </c>
      <c r="C5012" t="s">
        <v>40</v>
      </c>
      <c r="D5012">
        <v>3.7214119999999999</v>
      </c>
      <c r="E5012">
        <v>0.44947520000000002</v>
      </c>
      <c r="F5012" t="s">
        <v>50</v>
      </c>
      <c r="G5012">
        <v>-400.78620000000001</v>
      </c>
      <c r="H5012" s="1">
        <v>-6.3634739999999999E-6</v>
      </c>
      <c r="I5012">
        <v>23.87426</v>
      </c>
      <c r="J5012">
        <v>-415.25450000000001</v>
      </c>
      <c r="K5012">
        <v>1.118045</v>
      </c>
      <c r="L5012">
        <v>31.329499999999999</v>
      </c>
      <c r="M5012">
        <v>0.71840170000000003</v>
      </c>
      <c r="N5012">
        <v>0</v>
      </c>
      <c r="O5012">
        <v>-0.69547799999999904</v>
      </c>
      <c r="P5012">
        <v>0.80515349999999997</v>
      </c>
      <c r="Q5012">
        <v>0.16546060000000001</v>
      </c>
      <c r="R5012">
        <v>-0.56951830000000003</v>
      </c>
      <c r="S5012">
        <v>2.7613530000000002</v>
      </c>
      <c r="T5012">
        <v>-0.212142</v>
      </c>
      <c r="U5012">
        <v>-1.4288639999999999</v>
      </c>
      <c r="V5012">
        <v>-0.1540812</v>
      </c>
      <c r="W5012">
        <v>0.1767685</v>
      </c>
      <c r="X5012">
        <v>0.97211720000000001</v>
      </c>
      <c r="Y5012">
        <v>-0.28570640000000003</v>
      </c>
      <c r="Z5012">
        <v>5.4523929999999998E-2</v>
      </c>
      <c r="AA5012">
        <v>0.95676490000000003</v>
      </c>
      <c r="AB5012">
        <v>24</v>
      </c>
      <c r="AC5012">
        <v>14.468299999999999</v>
      </c>
      <c r="AD5012">
        <v>-1.1180513634739999</v>
      </c>
      <c r="AE5012">
        <v>-7.4552399999999901</v>
      </c>
      <c r="AF5012">
        <v>-4.6849133381100296</v>
      </c>
      <c r="AG5012">
        <v>-1.1180513634739999</v>
      </c>
      <c r="AH5012">
        <v>15.5074628038625</v>
      </c>
      <c r="AI5012">
        <v>93.948113756244396</v>
      </c>
      <c r="AJ5012">
        <v>106.809935148615</v>
      </c>
      <c r="AK5012">
        <v>16.238222022442802</v>
      </c>
      <c r="AL5012">
        <v>79.818409507922297</v>
      </c>
      <c r="AM5012">
        <v>99.006494802167097</v>
      </c>
      <c r="AN5012">
        <v>0.99999998466076401</v>
      </c>
    </row>
    <row r="5013" spans="1:40" x14ac:dyDescent="0.25">
      <c r="A5013" t="str">
        <f>"20190312172512618"</f>
        <v>20190312172512618</v>
      </c>
      <c r="B5013" t="str">
        <f>"1552382712615909"</f>
        <v>1552382712615909</v>
      </c>
      <c r="C5013" t="s">
        <v>40</v>
      </c>
      <c r="D5013">
        <v>3.6514950000000002</v>
      </c>
      <c r="E5013">
        <v>0.44993929999999999</v>
      </c>
      <c r="F5013" t="s">
        <v>50</v>
      </c>
      <c r="G5013">
        <v>-400.68079999999998</v>
      </c>
      <c r="H5013" s="1">
        <v>-6.3977329999999899E-6</v>
      </c>
      <c r="I5013">
        <v>23.86506</v>
      </c>
      <c r="J5013">
        <v>-415.15750000000003</v>
      </c>
      <c r="K5013">
        <v>1.1179939999999999</v>
      </c>
      <c r="L5013">
        <v>31.24457</v>
      </c>
      <c r="M5013">
        <v>0.72263469999999996</v>
      </c>
      <c r="N5013">
        <v>0</v>
      </c>
      <c r="O5013">
        <v>-0.69107909999999995</v>
      </c>
      <c r="P5013">
        <v>0.80839150000000004</v>
      </c>
      <c r="Q5013">
        <v>0.16557189999999999</v>
      </c>
      <c r="R5013">
        <v>-0.5648803</v>
      </c>
      <c r="S5013">
        <v>2.76709</v>
      </c>
      <c r="T5013">
        <v>-0.21228350000000001</v>
      </c>
      <c r="U5013">
        <v>-1.4172670000000001</v>
      </c>
      <c r="V5013">
        <v>-0.15369659999999999</v>
      </c>
      <c r="W5013">
        <v>0.17689759999999999</v>
      </c>
      <c r="X5013">
        <v>0.97215459999999998</v>
      </c>
      <c r="Y5013">
        <v>-0.28384609999999999</v>
      </c>
      <c r="Z5013">
        <v>5.42575E-2</v>
      </c>
      <c r="AA5013">
        <v>0.95733360000000001</v>
      </c>
      <c r="AB5013">
        <v>24</v>
      </c>
      <c r="AC5013">
        <v>14.476699999999999</v>
      </c>
      <c r="AD5013">
        <v>-1.118000397733</v>
      </c>
      <c r="AE5013">
        <v>-7.3795099999999998</v>
      </c>
      <c r="AF5013">
        <v>-4.6503279491532297</v>
      </c>
      <c r="AG5013">
        <v>-1.118000397733</v>
      </c>
      <c r="AH5013">
        <v>15.4894884010134</v>
      </c>
      <c r="AI5013">
        <v>93.954549379686796</v>
      </c>
      <c r="AJ5013">
        <v>106.71105803669001</v>
      </c>
      <c r="AK5013">
        <v>16.2110988476764</v>
      </c>
      <c r="AL5013">
        <v>79.810894201677399</v>
      </c>
      <c r="AM5013">
        <v>98.984040963548495</v>
      </c>
      <c r="AN5013">
        <v>0.99999998601923901</v>
      </c>
    </row>
    <row r="5014" spans="1:40" x14ac:dyDescent="0.25">
      <c r="A5014" t="str">
        <f>"20190312172512630"</f>
        <v>20190312172512630</v>
      </c>
      <c r="B5014" t="str">
        <f>"1552382712625668"</f>
        <v>1552382712625668</v>
      </c>
      <c r="C5014" t="s">
        <v>40</v>
      </c>
      <c r="D5014">
        <v>3.779042</v>
      </c>
      <c r="E5014">
        <v>0.45840940000000002</v>
      </c>
      <c r="F5014" t="s">
        <v>50</v>
      </c>
      <c r="G5014">
        <v>-400.50810000000001</v>
      </c>
      <c r="H5014" s="1">
        <v>-6.4509880000000002E-6</v>
      </c>
      <c r="I5014">
        <v>23.824590000000001</v>
      </c>
      <c r="J5014">
        <v>-415.06670000000003</v>
      </c>
      <c r="K5014">
        <v>1.1179399999999999</v>
      </c>
      <c r="L5014">
        <v>31.166229999999999</v>
      </c>
      <c r="M5014">
        <v>0.72650990000000004</v>
      </c>
      <c r="N5014">
        <v>0</v>
      </c>
      <c r="O5014">
        <v>-0.68700410000000001</v>
      </c>
      <c r="P5014">
        <v>0.81145409999999996</v>
      </c>
      <c r="Q5014">
        <v>0.165791299999999</v>
      </c>
      <c r="R5014">
        <v>-0.56040669999999904</v>
      </c>
      <c r="S5014">
        <v>2.7729490000000001</v>
      </c>
      <c r="T5014">
        <v>-0.21162349999999999</v>
      </c>
      <c r="U5014">
        <v>-1.4045099999999999</v>
      </c>
      <c r="V5014">
        <v>-0.1535473</v>
      </c>
      <c r="W5014">
        <v>0.17712890000000001</v>
      </c>
      <c r="X5014">
        <v>0.97213609999999995</v>
      </c>
      <c r="Y5014">
        <v>-0.2827944</v>
      </c>
      <c r="Z5014">
        <v>5.3833060000000002E-2</v>
      </c>
      <c r="AA5014">
        <v>0.95766870000000004</v>
      </c>
      <c r="AB5014">
        <v>24</v>
      </c>
      <c r="AC5014">
        <v>14.5586</v>
      </c>
      <c r="AD5014">
        <v>-1.1179464509879999</v>
      </c>
      <c r="AE5014">
        <v>-7.3416399999999902</v>
      </c>
      <c r="AF5014">
        <v>-4.6466863836909598</v>
      </c>
      <c r="AG5014">
        <v>-1.1179464509879999</v>
      </c>
      <c r="AH5014">
        <v>15.549235529837601</v>
      </c>
      <c r="AI5014">
        <v>93.9407108895942</v>
      </c>
      <c r="AJ5014">
        <v>106.638089923121</v>
      </c>
      <c r="AK5014">
        <v>16.267151692229898</v>
      </c>
      <c r="AL5014">
        <v>79.797429286589704</v>
      </c>
      <c r="AM5014">
        <v>98.975624082391704</v>
      </c>
      <c r="AN5014">
        <v>1.00000000873785</v>
      </c>
    </row>
    <row r="5015" spans="1:40" x14ac:dyDescent="0.25">
      <c r="A5015" t="str">
        <f>"20190312172512643"</f>
        <v>20190312172512643</v>
      </c>
      <c r="B5015" t="str">
        <f>"1552382712635428"</f>
        <v>1552382712635428</v>
      </c>
      <c r="C5015" t="s">
        <v>40</v>
      </c>
      <c r="D5015">
        <v>3.6496040000000001</v>
      </c>
      <c r="E5015">
        <v>0.45892260000000001</v>
      </c>
      <c r="F5015" t="s">
        <v>50</v>
      </c>
      <c r="G5015">
        <v>-401.88490000000002</v>
      </c>
      <c r="H5015" s="1">
        <v>-6.03495199999999E-6</v>
      </c>
      <c r="I5015">
        <v>24.223410000000001</v>
      </c>
      <c r="J5015">
        <v>-414.96800000000002</v>
      </c>
      <c r="K5015">
        <v>1.117882</v>
      </c>
      <c r="L5015">
        <v>31.081700000000001</v>
      </c>
      <c r="M5015">
        <v>0.73066339999999996</v>
      </c>
      <c r="N5015">
        <v>0</v>
      </c>
      <c r="O5015">
        <v>-0.68258540000000001</v>
      </c>
      <c r="P5015">
        <v>0.81468469999999904</v>
      </c>
      <c r="Q5015">
        <v>0.1663039</v>
      </c>
      <c r="R5015">
        <v>-0.55554689999999995</v>
      </c>
      <c r="S5015">
        <v>2.745819</v>
      </c>
      <c r="T5015">
        <v>-0.23287440000000001</v>
      </c>
      <c r="U5015">
        <v>-1.4462280000000001</v>
      </c>
      <c r="V5015">
        <v>-0.15337120000000001</v>
      </c>
      <c r="W5015">
        <v>0.17765590000000001</v>
      </c>
      <c r="X5015">
        <v>0.97206769999999998</v>
      </c>
      <c r="Y5015">
        <v>-0.26130189999999998</v>
      </c>
      <c r="Z5015">
        <v>5.8404020000000001E-2</v>
      </c>
      <c r="AA5015">
        <v>0.96348860000000003</v>
      </c>
      <c r="AB5015">
        <v>24</v>
      </c>
      <c r="AC5015">
        <v>13.0831</v>
      </c>
      <c r="AD5015">
        <v>-1.117888034952</v>
      </c>
      <c r="AE5015">
        <v>-6.8582899999999896</v>
      </c>
      <c r="AF5015">
        <v>-3.8973192205098801</v>
      </c>
      <c r="AG5015">
        <v>-1.117888034952</v>
      </c>
      <c r="AH5015">
        <v>14.1610914526653</v>
      </c>
      <c r="AI5015">
        <v>94.352447896031805</v>
      </c>
      <c r="AJ5015">
        <v>105.38760696870099</v>
      </c>
      <c r="AK5015">
        <v>14.7300808516449</v>
      </c>
      <c r="AL5015">
        <v>79.766747496761397</v>
      </c>
      <c r="AM5015">
        <v>98.966118055998095</v>
      </c>
      <c r="AN5015">
        <v>0.99999997858876899</v>
      </c>
    </row>
    <row r="5016" spans="1:40" x14ac:dyDescent="0.25">
      <c r="A5016" t="str">
        <f>"20190312172512658"</f>
        <v>20190312172512658</v>
      </c>
      <c r="B5016" t="str">
        <f>"1552382712646164"</f>
        <v>1552382712646164</v>
      </c>
      <c r="C5016" t="s">
        <v>40</v>
      </c>
      <c r="D5016">
        <v>3.6413319999999998</v>
      </c>
      <c r="E5016">
        <v>0.4588352</v>
      </c>
      <c r="F5016" t="s">
        <v>50</v>
      </c>
      <c r="G5016">
        <v>-401.35109999999997</v>
      </c>
      <c r="H5016" s="1">
        <v>-6.1871280000000004E-6</v>
      </c>
      <c r="I5016">
        <v>23.987629999999999</v>
      </c>
      <c r="J5016">
        <v>-414.83710000000002</v>
      </c>
      <c r="K5016">
        <v>1.1177859999999999</v>
      </c>
      <c r="L5016">
        <v>30.971340000000001</v>
      </c>
      <c r="M5016">
        <v>0.73602619999999996</v>
      </c>
      <c r="N5016">
        <v>0</v>
      </c>
      <c r="O5016">
        <v>-0.676799699999999</v>
      </c>
      <c r="P5016">
        <v>0.81873779999999996</v>
      </c>
      <c r="Q5016">
        <v>0.16645660000000001</v>
      </c>
      <c r="R5016">
        <v>-0.54950929999999998</v>
      </c>
      <c r="S5016">
        <v>2.75116</v>
      </c>
      <c r="T5016">
        <v>-0.22585830000000001</v>
      </c>
      <c r="U5016">
        <v>-1.433289</v>
      </c>
      <c r="V5016">
        <v>-0.15282699999999999</v>
      </c>
      <c r="W5016">
        <v>0.1778361</v>
      </c>
      <c r="X5016">
        <v>0.97212050000000005</v>
      </c>
      <c r="Y5016">
        <v>-0.25816080000000002</v>
      </c>
      <c r="Z5016">
        <v>5.6217259999999998E-2</v>
      </c>
      <c r="AA5016">
        <v>0.96446500000000002</v>
      </c>
      <c r="AB5016">
        <v>24</v>
      </c>
      <c r="AC5016">
        <v>13.486000000000001</v>
      </c>
      <c r="AD5016">
        <v>-1.1177921871279899</v>
      </c>
      <c r="AE5016">
        <v>-6.9837100000000003</v>
      </c>
      <c r="AF5016">
        <v>-3.96605601327916</v>
      </c>
      <c r="AG5016">
        <v>-1.1177921871279899</v>
      </c>
      <c r="AH5016">
        <v>14.575185849617901</v>
      </c>
      <c r="AI5016">
        <v>94.232214832675197</v>
      </c>
      <c r="AJ5016">
        <v>105.22220294063</v>
      </c>
      <c r="AK5016">
        <v>15.146455104247201</v>
      </c>
      <c r="AL5016">
        <v>79.756256143149002</v>
      </c>
      <c r="AM5016">
        <v>98.9343406861136</v>
      </c>
      <c r="AN5016">
        <v>1.0000000184562201</v>
      </c>
    </row>
    <row r="5017" spans="1:40" x14ac:dyDescent="0.25">
      <c r="A5017" t="str">
        <f>"20190312172512670"</f>
        <v>20190312172512670</v>
      </c>
      <c r="B5017" t="str">
        <f>"1552382712665684"</f>
        <v>1552382712665684</v>
      </c>
      <c r="C5017" t="s">
        <v>40</v>
      </c>
      <c r="D5017">
        <v>3.6618710000000001</v>
      </c>
      <c r="E5017">
        <v>0.45989849999999999</v>
      </c>
      <c r="F5017" t="s">
        <v>50</v>
      </c>
      <c r="G5017">
        <v>-400.8734</v>
      </c>
      <c r="H5017" s="1">
        <v>-6.3291650000000004E-6</v>
      </c>
      <c r="I5017">
        <v>23.828569999999999</v>
      </c>
      <c r="J5017">
        <v>-414.74509999999998</v>
      </c>
      <c r="K5017">
        <v>1.1177170000000001</v>
      </c>
      <c r="L5017">
        <v>30.894870000000001</v>
      </c>
      <c r="M5017">
        <v>0.73970599999999997</v>
      </c>
      <c r="N5017">
        <v>0</v>
      </c>
      <c r="O5017">
        <v>-0.67277619999999905</v>
      </c>
      <c r="P5017">
        <v>0.82160140000000004</v>
      </c>
      <c r="Q5017">
        <v>0.1669882</v>
      </c>
      <c r="R5017">
        <v>-0.54505630000000005</v>
      </c>
      <c r="S5017">
        <v>2.761139</v>
      </c>
      <c r="T5017">
        <v>-0.221028</v>
      </c>
      <c r="U5017">
        <v>-1.4123840000000001</v>
      </c>
      <c r="V5017">
        <v>-0.1527107</v>
      </c>
      <c r="W5017">
        <v>0.17838039999999999</v>
      </c>
      <c r="X5017">
        <v>0.97203899999999999</v>
      </c>
      <c r="Y5017">
        <v>-0.26018289999999999</v>
      </c>
      <c r="Z5017">
        <v>5.4836509999999998E-2</v>
      </c>
      <c r="AA5017">
        <v>0.96400090000000005</v>
      </c>
      <c r="AB5017">
        <v>24</v>
      </c>
      <c r="AC5017">
        <v>13.871699999999899</v>
      </c>
      <c r="AD5017">
        <v>-1.1177233291649999</v>
      </c>
      <c r="AE5017">
        <v>-7.0662999999999903</v>
      </c>
      <c r="AF5017">
        <v>-4.0849334408963598</v>
      </c>
      <c r="AG5017">
        <v>-1.1177233291649999</v>
      </c>
      <c r="AH5017">
        <v>14.939563326526599</v>
      </c>
      <c r="AI5017">
        <v>94.127719510465795</v>
      </c>
      <c r="AJ5017">
        <v>105.29261869366999</v>
      </c>
      <c r="AK5017">
        <v>15.5282497096232</v>
      </c>
      <c r="AL5017">
        <v>79.724562820418299</v>
      </c>
      <c r="AM5017">
        <v>98.928387761375305</v>
      </c>
      <c r="AN5017">
        <v>0.99999997125982398</v>
      </c>
    </row>
    <row r="5018" spans="1:40" x14ac:dyDescent="0.25">
      <c r="A5018" t="str">
        <f>"20190312172512682"</f>
        <v>20190312172512682</v>
      </c>
      <c r="B5018" t="str">
        <f>"1552382712675444"</f>
        <v>1552382712675444</v>
      </c>
      <c r="C5018" t="s">
        <v>40</v>
      </c>
      <c r="D5018">
        <v>3.696466</v>
      </c>
      <c r="E5018">
        <v>0.46032620000000002</v>
      </c>
      <c r="F5018" t="s">
        <v>50</v>
      </c>
      <c r="G5018">
        <v>-400.47550000000001</v>
      </c>
      <c r="H5018" s="1">
        <v>-6.4412570000000004E-6</v>
      </c>
      <c r="I5018">
        <v>23.64104</v>
      </c>
      <c r="J5018">
        <v>-414.64420000000001</v>
      </c>
      <c r="K5018">
        <v>1.11764</v>
      </c>
      <c r="L5018">
        <v>30.811489999999999</v>
      </c>
      <c r="M5018">
        <v>0.74368690000000004</v>
      </c>
      <c r="N5018">
        <v>0</v>
      </c>
      <c r="O5018">
        <v>-0.66837340000000001</v>
      </c>
      <c r="P5018">
        <v>0.82469210000000004</v>
      </c>
      <c r="Q5018">
        <v>0.1672159</v>
      </c>
      <c r="R5018">
        <v>-0.54029819999999995</v>
      </c>
      <c r="S5018">
        <v>2.763458</v>
      </c>
      <c r="T5018">
        <v>-0.2164596</v>
      </c>
      <c r="U5018">
        <v>-1.404785</v>
      </c>
      <c r="V5018">
        <v>-0.15249799999999999</v>
      </c>
      <c r="W5018">
        <v>0.1786249</v>
      </c>
      <c r="X5018">
        <v>0.97202750000000004</v>
      </c>
      <c r="Y5018">
        <v>-0.25697490000000001</v>
      </c>
      <c r="Z5018">
        <v>5.337327E-2</v>
      </c>
      <c r="AA5018">
        <v>0.96494310000000005</v>
      </c>
      <c r="AB5018">
        <v>24</v>
      </c>
      <c r="AC5018">
        <v>14.168699999999999</v>
      </c>
      <c r="AD5018">
        <v>-1.117646441257</v>
      </c>
      <c r="AE5018">
        <v>-7.1704499999999998</v>
      </c>
      <c r="AF5018">
        <v>-4.1174441969290401</v>
      </c>
      <c r="AG5018">
        <v>-1.117646441257</v>
      </c>
      <c r="AH5018">
        <v>15.255629789441601</v>
      </c>
      <c r="AI5018">
        <v>94.0458141934389</v>
      </c>
      <c r="AJ5018">
        <v>105.104058689075</v>
      </c>
      <c r="AK5018">
        <v>15.8409823102918</v>
      </c>
      <c r="AL5018">
        <v>79.710325408175606</v>
      </c>
      <c r="AM5018">
        <v>98.916255760618199</v>
      </c>
      <c r="AN5018">
        <v>0.99999997783012895</v>
      </c>
    </row>
    <row r="5019" spans="1:40" x14ac:dyDescent="0.25">
      <c r="A5019" t="str">
        <f>"20190312172512693"</f>
        <v>20190312172512693</v>
      </c>
      <c r="B5019" t="str">
        <f>"1552382712685710"</f>
        <v>1552382712685710</v>
      </c>
      <c r="C5019" t="s">
        <v>40</v>
      </c>
      <c r="D5019">
        <v>3.768151</v>
      </c>
      <c r="E5019">
        <v>0.46049980000000001</v>
      </c>
      <c r="F5019" t="s">
        <v>50</v>
      </c>
      <c r="G5019">
        <v>-400.1223</v>
      </c>
      <c r="H5019" s="1">
        <v>-6.5452090000000001E-6</v>
      </c>
      <c r="I5019">
        <v>23.514230000000001</v>
      </c>
      <c r="J5019">
        <v>-414.54860000000002</v>
      </c>
      <c r="K5019">
        <v>1.1175660000000001</v>
      </c>
      <c r="L5019">
        <v>30.733799999999999</v>
      </c>
      <c r="M5019">
        <v>0.74735439999999997</v>
      </c>
      <c r="N5019">
        <v>0</v>
      </c>
      <c r="O5019">
        <v>-0.66427000000000003</v>
      </c>
      <c r="P5019">
        <v>0.82737929999999904</v>
      </c>
      <c r="Q5019">
        <v>0.16763649999999999</v>
      </c>
      <c r="R5019">
        <v>-0.53604229999999997</v>
      </c>
      <c r="S5019">
        <v>2.7692869999999998</v>
      </c>
      <c r="T5019">
        <v>-0.2131325</v>
      </c>
      <c r="U5019">
        <v>-1.3915709999999999</v>
      </c>
      <c r="V5019">
        <v>-0.1520726</v>
      </c>
      <c r="W5019">
        <v>0.1790658</v>
      </c>
      <c r="X5019">
        <v>0.97201309999999996</v>
      </c>
      <c r="Y5019">
        <v>-0.256212</v>
      </c>
      <c r="Z5019">
        <v>5.2299199999999997E-2</v>
      </c>
      <c r="AA5019">
        <v>0.96520479999999997</v>
      </c>
      <c r="AB5019">
        <v>24</v>
      </c>
      <c r="AC5019">
        <v>14.426299999999999</v>
      </c>
      <c r="AD5019">
        <v>-1.117572545209</v>
      </c>
      <c r="AE5019">
        <v>-7.21957</v>
      </c>
      <c r="AF5019">
        <v>-4.1678113413794202</v>
      </c>
      <c r="AG5019">
        <v>-1.117572545209</v>
      </c>
      <c r="AH5019">
        <v>15.504502655827199</v>
      </c>
      <c r="AI5019">
        <v>93.981900435299195</v>
      </c>
      <c r="AJ5019">
        <v>105.04616534722</v>
      </c>
      <c r="AK5019">
        <v>16.093763462151699</v>
      </c>
      <c r="AL5019">
        <v>79.684650502476003</v>
      </c>
      <c r="AM5019">
        <v>98.891911064705596</v>
      </c>
      <c r="AN5019">
        <v>1.0000000514859999</v>
      </c>
    </row>
    <row r="5020" spans="1:40" x14ac:dyDescent="0.25">
      <c r="A5020" t="str">
        <f>"20190312172512705"</f>
        <v>20190312172512705</v>
      </c>
      <c r="B5020" t="str">
        <f>"1552382712695470"</f>
        <v>1552382712695470</v>
      </c>
      <c r="C5020" t="s">
        <v>40</v>
      </c>
      <c r="D5020">
        <v>3.7108970000000001</v>
      </c>
      <c r="E5020">
        <v>0.46099909999999999</v>
      </c>
      <c r="F5020" t="s">
        <v>43</v>
      </c>
      <c r="G5020">
        <v>-399.84410000000003</v>
      </c>
      <c r="H5020" s="1">
        <v>-1.068868E-6</v>
      </c>
      <c r="I5020">
        <v>23.429919999999999</v>
      </c>
      <c r="J5020">
        <v>-414.45260000000002</v>
      </c>
      <c r="K5020">
        <v>1.117491</v>
      </c>
      <c r="L5020">
        <v>30.656310000000001</v>
      </c>
      <c r="M5020">
        <v>0.75098209999999999</v>
      </c>
      <c r="N5020">
        <v>0</v>
      </c>
      <c r="O5020">
        <v>-0.66016680000000005</v>
      </c>
      <c r="P5020">
        <v>0.83041350000000003</v>
      </c>
      <c r="Q5020">
        <v>0.1676436</v>
      </c>
      <c r="R5020">
        <v>-0.53132789999999996</v>
      </c>
      <c r="S5020">
        <v>2.775452</v>
      </c>
      <c r="T5020">
        <v>-0.21093990000000001</v>
      </c>
      <c r="U5020">
        <v>-1.378601</v>
      </c>
      <c r="V5020">
        <v>-0.15224370000000001</v>
      </c>
      <c r="W5020">
        <v>0.1790822</v>
      </c>
      <c r="X5020">
        <v>0.97198329999999999</v>
      </c>
      <c r="Y5020">
        <v>-0.25543569999999999</v>
      </c>
      <c r="Z5020">
        <v>5.1500230000000001E-2</v>
      </c>
      <c r="AA5020">
        <v>0.96545340000000002</v>
      </c>
      <c r="AB5020">
        <v>24</v>
      </c>
      <c r="AC5020">
        <v>14.6084999999999</v>
      </c>
      <c r="AD5020">
        <v>-1.1174920688679999</v>
      </c>
      <c r="AE5020">
        <v>-7.2263899999999897</v>
      </c>
      <c r="AF5020">
        <v>-4.1978557495843196</v>
      </c>
      <c r="AG5020">
        <v>-1.1174920688679999</v>
      </c>
      <c r="AH5020">
        <v>15.6692985672003</v>
      </c>
      <c r="AI5020">
        <v>93.940766589569705</v>
      </c>
      <c r="AJ5020">
        <v>104.99754310240399</v>
      </c>
      <c r="AK5020">
        <v>16.2603105445857</v>
      </c>
      <c r="AL5020">
        <v>79.683695470945096</v>
      </c>
      <c r="AM5020">
        <v>98.902023953287696</v>
      </c>
      <c r="AN5020">
        <v>1.0000000570126999</v>
      </c>
    </row>
    <row r="5021" spans="1:40" x14ac:dyDescent="0.25">
      <c r="A5021" t="str">
        <f>"20190312172512716"</f>
        <v>20190312172512716</v>
      </c>
      <c r="B5021" t="str">
        <f>"1552382712705231"</f>
        <v>1552382712705231</v>
      </c>
      <c r="C5021" t="s">
        <v>40</v>
      </c>
      <c r="D5021">
        <v>3.7017679999999999</v>
      </c>
      <c r="E5021">
        <v>0.46146209999999999</v>
      </c>
      <c r="F5021" t="s">
        <v>43</v>
      </c>
      <c r="G5021">
        <v>-399.65109999999999</v>
      </c>
      <c r="H5021" s="1">
        <v>-1.1481160000000001E-6</v>
      </c>
      <c r="I5021">
        <v>23.384830000000001</v>
      </c>
      <c r="J5021">
        <v>-414.35680000000002</v>
      </c>
      <c r="K5021">
        <v>1.1174189999999999</v>
      </c>
      <c r="L5021">
        <v>30.579799999999999</v>
      </c>
      <c r="M5021">
        <v>0.7545288</v>
      </c>
      <c r="N5021">
        <v>0</v>
      </c>
      <c r="O5021">
        <v>-0.65611030000000004</v>
      </c>
      <c r="P5021">
        <v>0.83318189999999903</v>
      </c>
      <c r="Q5021">
        <v>0.16767689999999999</v>
      </c>
      <c r="R5021">
        <v>-0.52696549999999998</v>
      </c>
      <c r="S5021">
        <v>2.7808839999999999</v>
      </c>
      <c r="T5021">
        <v>-0.2099521</v>
      </c>
      <c r="U5021">
        <v>-1.36615</v>
      </c>
      <c r="V5021">
        <v>-0.15206610000000001</v>
      </c>
      <c r="W5021">
        <v>0.17913099999999901</v>
      </c>
      <c r="X5021">
        <v>0.97200200000000003</v>
      </c>
      <c r="Y5021">
        <v>-0.25447950000000003</v>
      </c>
      <c r="Z5021">
        <v>5.1001730000000002E-2</v>
      </c>
      <c r="AA5021">
        <v>0.96573240000000005</v>
      </c>
      <c r="AB5021">
        <v>24</v>
      </c>
      <c r="AC5021">
        <v>14.7057</v>
      </c>
      <c r="AD5021">
        <v>-1.117420148116</v>
      </c>
      <c r="AE5021">
        <v>-7.1949699999999996</v>
      </c>
      <c r="AF5021">
        <v>-4.2006138731554401</v>
      </c>
      <c r="AG5021">
        <v>-1.117420148116</v>
      </c>
      <c r="AH5021">
        <v>15.7448447495617</v>
      </c>
      <c r="AI5021">
        <v>93.922748876579206</v>
      </c>
      <c r="AJ5021">
        <v>104.938173105087</v>
      </c>
      <c r="AK5021">
        <v>16.333827502657201</v>
      </c>
      <c r="AL5021">
        <v>79.680852374878</v>
      </c>
      <c r="AM5021">
        <v>98.891636989399402</v>
      </c>
      <c r="AN5021">
        <v>0.99999995096710304</v>
      </c>
    </row>
    <row r="5022" spans="1:40" x14ac:dyDescent="0.25">
      <c r="A5022" t="str">
        <f>"20190312172512733"</f>
        <v>20190312172512733</v>
      </c>
      <c r="B5022" t="str">
        <f>"1552382712725726"</f>
        <v>1552382712725726</v>
      </c>
      <c r="C5022" t="s">
        <v>40</v>
      </c>
      <c r="D5022">
        <v>3.7168869999999998</v>
      </c>
      <c r="E5022">
        <v>0.46253499999999997</v>
      </c>
      <c r="F5022" t="s">
        <v>43</v>
      </c>
      <c r="G5022">
        <v>-399.42200000000003</v>
      </c>
      <c r="H5022" s="1">
        <v>-1.2382629999999999E-6</v>
      </c>
      <c r="I5022">
        <v>23.31671</v>
      </c>
      <c r="J5022">
        <v>-414.2242</v>
      </c>
      <c r="K5022">
        <v>1.117321</v>
      </c>
      <c r="L5022">
        <v>30.47531</v>
      </c>
      <c r="M5022">
        <v>0.75931409999999999</v>
      </c>
      <c r="N5022">
        <v>0</v>
      </c>
      <c r="O5022">
        <v>-0.6505668</v>
      </c>
      <c r="P5022">
        <v>0.83683770000000002</v>
      </c>
      <c r="Q5022">
        <v>0.16796520000000001</v>
      </c>
      <c r="R5022">
        <v>-0.52104790000000001</v>
      </c>
      <c r="S5022">
        <v>2.785736</v>
      </c>
      <c r="T5022">
        <v>-0.2084298</v>
      </c>
      <c r="U5022">
        <v>-1.3547670000000001</v>
      </c>
      <c r="V5022">
        <v>-0.15175710000000001</v>
      </c>
      <c r="W5022">
        <v>0.17944060000000001</v>
      </c>
      <c r="X5022">
        <v>0.9719932</v>
      </c>
      <c r="Y5022">
        <v>-0.25128879999999998</v>
      </c>
      <c r="Z5022">
        <v>5.0227380000000002E-2</v>
      </c>
      <c r="AA5022">
        <v>0.96660800000000002</v>
      </c>
      <c r="AB5022">
        <v>24</v>
      </c>
      <c r="AC5022">
        <v>14.802199999999999</v>
      </c>
      <c r="AD5022">
        <v>-1.1173222382629999</v>
      </c>
      <c r="AE5022">
        <v>-7.1585999999999901</v>
      </c>
      <c r="AF5022">
        <v>-4.1753431613528402</v>
      </c>
      <c r="AG5022">
        <v>-1.1173222382629999</v>
      </c>
      <c r="AH5022">
        <v>15.8252190799423</v>
      </c>
      <c r="AI5022">
        <v>93.905394136629695</v>
      </c>
      <c r="AJ5022">
        <v>104.78016600737</v>
      </c>
      <c r="AK5022">
        <v>16.4048608170671</v>
      </c>
      <c r="AL5022">
        <v>79.662821577907707</v>
      </c>
      <c r="AM5022">
        <v>98.873935980556894</v>
      </c>
      <c r="AN5022">
        <v>0.99999996358750398</v>
      </c>
    </row>
    <row r="5023" spans="1:40" x14ac:dyDescent="0.25">
      <c r="A5023" t="str">
        <f>"20190312172512750"</f>
        <v>20190312172512750</v>
      </c>
      <c r="B5023" t="str">
        <f>"1552382712735486"</f>
        <v>1552382712735486</v>
      </c>
      <c r="C5023" t="s">
        <v>40</v>
      </c>
      <c r="D5023">
        <v>3.6962790000000001</v>
      </c>
      <c r="E5023">
        <v>0.46316679999999999</v>
      </c>
      <c r="F5023" t="s">
        <v>43</v>
      </c>
      <c r="G5023">
        <v>-399.00229999999999</v>
      </c>
      <c r="H5023" s="1">
        <v>-1.3930269999999999E-6</v>
      </c>
      <c r="I5023">
        <v>23.152719999999999</v>
      </c>
      <c r="J5023">
        <v>-414.08409999999998</v>
      </c>
      <c r="K5023">
        <v>1.117213</v>
      </c>
      <c r="L5023">
        <v>30.366389999999999</v>
      </c>
      <c r="M5023">
        <v>0.76423129999999995</v>
      </c>
      <c r="N5023">
        <v>0</v>
      </c>
      <c r="O5023">
        <v>-0.64478389999999997</v>
      </c>
      <c r="P5023">
        <v>0.84061810000000003</v>
      </c>
      <c r="Q5023">
        <v>0.167852</v>
      </c>
      <c r="R5023">
        <v>-0.51496319999999995</v>
      </c>
      <c r="S5023">
        <v>2.7902830000000001</v>
      </c>
      <c r="T5023">
        <v>-0.20481350000000001</v>
      </c>
      <c r="U5023">
        <v>-1.342285</v>
      </c>
      <c r="V5023">
        <v>-0.1513939</v>
      </c>
      <c r="W5023">
        <v>0.1793506</v>
      </c>
      <c r="X5023">
        <v>0.97206649999999994</v>
      </c>
      <c r="Y5023">
        <v>-0.24813850000000001</v>
      </c>
      <c r="Z5023">
        <v>4.8956109999999997E-2</v>
      </c>
      <c r="AA5023">
        <v>0.96748670000000003</v>
      </c>
      <c r="AB5023">
        <v>24</v>
      </c>
      <c r="AC5023">
        <v>15.0817999999999</v>
      </c>
      <c r="AD5023">
        <v>-1.117214393027</v>
      </c>
      <c r="AE5023">
        <v>-7.2136699999999996</v>
      </c>
      <c r="AF5023">
        <v>-4.1932933643214598</v>
      </c>
      <c r="AG5023">
        <v>-1.117214393027</v>
      </c>
      <c r="AH5023">
        <v>16.106964452882</v>
      </c>
      <c r="AI5023">
        <v>93.840202698578594</v>
      </c>
      <c r="AJ5023">
        <v>104.592482533724</v>
      </c>
      <c r="AK5023">
        <v>16.681312332237301</v>
      </c>
      <c r="AL5023">
        <v>79.668063776319798</v>
      </c>
      <c r="AM5023">
        <v>98.8523778210524</v>
      </c>
      <c r="AN5023">
        <v>1.0000000155499</v>
      </c>
    </row>
    <row r="5024" spans="1:40" x14ac:dyDescent="0.25">
      <c r="A5024" t="str">
        <f>"20190312172512764"</f>
        <v>20190312172512764</v>
      </c>
      <c r="B5024" t="str">
        <f>"1552382712755982"</f>
        <v>1552382712755982</v>
      </c>
      <c r="C5024" t="s">
        <v>40</v>
      </c>
      <c r="D5024">
        <v>3.7321170000000001</v>
      </c>
      <c r="E5024">
        <v>0.46368280000000001</v>
      </c>
      <c r="F5024" t="s">
        <v>43</v>
      </c>
      <c r="G5024">
        <v>-398.84550000000002</v>
      </c>
      <c r="H5024" s="1">
        <v>-1.462791E-6</v>
      </c>
      <c r="I5024">
        <v>23.136330000000001</v>
      </c>
      <c r="J5024">
        <v>-413.95600000000002</v>
      </c>
      <c r="K5024">
        <v>1.117119</v>
      </c>
      <c r="L5024">
        <v>30.267969999999998</v>
      </c>
      <c r="M5024">
        <v>0.76861380000000001</v>
      </c>
      <c r="N5024">
        <v>0</v>
      </c>
      <c r="O5024">
        <v>-0.63955390000000001</v>
      </c>
      <c r="P5024">
        <v>0.84401079999999995</v>
      </c>
      <c r="Q5024">
        <v>0.16799049999999999</v>
      </c>
      <c r="R5024">
        <v>-0.50933759999999995</v>
      </c>
      <c r="S5024">
        <v>2.796875</v>
      </c>
      <c r="T5024">
        <v>-0.20505209999999999</v>
      </c>
      <c r="U5024">
        <v>-1.3269959999999901</v>
      </c>
      <c r="V5024">
        <v>-0.15119389999999999</v>
      </c>
      <c r="W5024">
        <v>0.17950720000000001</v>
      </c>
      <c r="X5024">
        <v>0.97206870000000001</v>
      </c>
      <c r="Y5024">
        <v>-0.24673529999999999</v>
      </c>
      <c r="Z5024">
        <v>4.8676650000000002E-2</v>
      </c>
      <c r="AA5024">
        <v>0.96785960000000004</v>
      </c>
      <c r="AB5024">
        <v>24</v>
      </c>
      <c r="AC5024">
        <v>15.110499999999901</v>
      </c>
      <c r="AD5024">
        <v>-1.1171204627910001</v>
      </c>
      <c r="AE5024">
        <v>-7.13164</v>
      </c>
      <c r="AF5024">
        <v>-4.1643138692917798</v>
      </c>
      <c r="AG5024">
        <v>-1.1171204627910001</v>
      </c>
      <c r="AH5024">
        <v>16.104866000061701</v>
      </c>
      <c r="AI5024">
        <v>93.842023270390996</v>
      </c>
      <c r="AJ5024">
        <v>104.49770683899401</v>
      </c>
      <c r="AK5024">
        <v>16.672017784608599</v>
      </c>
      <c r="AL5024">
        <v>79.6589430131705</v>
      </c>
      <c r="AM5024">
        <v>98.840848492508599</v>
      </c>
      <c r="AN5024">
        <v>0.999999993884369</v>
      </c>
    </row>
    <row r="5025" spans="1:40" x14ac:dyDescent="0.25">
      <c r="A5025" t="str">
        <f>"20190312172512782"</f>
        <v>20190312172512782</v>
      </c>
      <c r="B5025" t="str">
        <f>"1552382712775502"</f>
        <v>1552382712775502</v>
      </c>
      <c r="C5025" t="s">
        <v>40</v>
      </c>
      <c r="D5025">
        <v>3.737708</v>
      </c>
      <c r="E5025">
        <v>0.47497660000000003</v>
      </c>
      <c r="F5025" t="s">
        <v>43</v>
      </c>
      <c r="G5025">
        <v>-398.73090000000002</v>
      </c>
      <c r="H5025" s="1">
        <v>-1.518892E-6</v>
      </c>
      <c r="I5025">
        <v>23.143470000000001</v>
      </c>
      <c r="J5025">
        <v>-413.80329999999998</v>
      </c>
      <c r="K5025">
        <v>1.1170040000000001</v>
      </c>
      <c r="L5025">
        <v>30.1525</v>
      </c>
      <c r="M5025">
        <v>0.77368159999999997</v>
      </c>
      <c r="N5025">
        <v>0</v>
      </c>
      <c r="O5025">
        <v>-0.63341440000000004</v>
      </c>
      <c r="P5025">
        <v>0.84758339999999999</v>
      </c>
      <c r="Q5025">
        <v>0.16811970000000001</v>
      </c>
      <c r="R5025">
        <v>-0.50332699999999997</v>
      </c>
      <c r="S5025">
        <v>2.8037109999999998</v>
      </c>
      <c r="T5025">
        <v>-0.2057184</v>
      </c>
      <c r="U5025">
        <v>-1.3119809999999901</v>
      </c>
      <c r="V5025">
        <v>-0.15029619999999999</v>
      </c>
      <c r="W5025">
        <v>0.17966770000000001</v>
      </c>
      <c r="X5025">
        <v>0.97217830000000005</v>
      </c>
      <c r="Y5025">
        <v>-0.2441827</v>
      </c>
      <c r="Z5025">
        <v>4.8404120000000002E-2</v>
      </c>
      <c r="AA5025">
        <v>0.96852050000000001</v>
      </c>
      <c r="AB5025">
        <v>24</v>
      </c>
      <c r="AC5025">
        <v>15.072399999999901</v>
      </c>
      <c r="AD5025">
        <v>-1.1170055188920001</v>
      </c>
      <c r="AE5025">
        <v>-7.0090299999999903</v>
      </c>
      <c r="AF5025">
        <v>-4.1061940093070799</v>
      </c>
      <c r="AG5025">
        <v>-1.1170055188920001</v>
      </c>
      <c r="AH5025">
        <v>16.030106452844102</v>
      </c>
      <c r="AI5025">
        <v>93.861739365594303</v>
      </c>
      <c r="AJ5025">
        <v>104.36767787465899</v>
      </c>
      <c r="AK5025">
        <v>16.585320119335002</v>
      </c>
      <c r="AL5025">
        <v>79.649595529270101</v>
      </c>
      <c r="AM5025">
        <v>98.788203363425495</v>
      </c>
      <c r="AN5025">
        <v>1.0000000385743</v>
      </c>
    </row>
    <row r="5026" spans="1:40" x14ac:dyDescent="0.25">
      <c r="A5026" t="str">
        <f>"20190312172512794"</f>
        <v>20190312172512794</v>
      </c>
      <c r="B5026" t="str">
        <f>"1552382712785769"</f>
        <v>1552382712785769</v>
      </c>
      <c r="C5026" t="s">
        <v>40</v>
      </c>
      <c r="D5026">
        <v>3.7404670000000002</v>
      </c>
      <c r="E5026">
        <v>0.47577999999999998</v>
      </c>
      <c r="F5026" t="s">
        <v>43</v>
      </c>
      <c r="G5026">
        <v>-398.39069999999998</v>
      </c>
      <c r="H5026" s="1">
        <v>-1.5140320000000001E-6</v>
      </c>
      <c r="I5026">
        <v>22.52094</v>
      </c>
      <c r="J5026">
        <v>-413.70260000000002</v>
      </c>
      <c r="K5026">
        <v>1.1169370000000001</v>
      </c>
      <c r="L5026">
        <v>30.07742</v>
      </c>
      <c r="M5026">
        <v>0.77693330000000005</v>
      </c>
      <c r="N5026">
        <v>0</v>
      </c>
      <c r="O5026">
        <v>-0.62942189999999998</v>
      </c>
      <c r="P5026">
        <v>0.84995949999999998</v>
      </c>
      <c r="Q5026">
        <v>0.16807349999999999</v>
      </c>
      <c r="R5026">
        <v>-0.49931959999999997</v>
      </c>
      <c r="S5026">
        <v>2.7659609999999999</v>
      </c>
      <c r="T5026">
        <v>-0.2004592</v>
      </c>
      <c r="U5026">
        <v>-1.3695679999999999</v>
      </c>
      <c r="V5026">
        <v>-0.14985329999999999</v>
      </c>
      <c r="W5026">
        <v>0.17963860000000001</v>
      </c>
      <c r="X5026">
        <v>0.97225200000000001</v>
      </c>
      <c r="Y5026">
        <v>-0.21783040000000001</v>
      </c>
      <c r="Z5026">
        <v>4.6382619999999999E-2</v>
      </c>
      <c r="AA5026">
        <v>0.97488390000000003</v>
      </c>
      <c r="AB5026">
        <v>24</v>
      </c>
      <c r="AC5026">
        <v>15.3119</v>
      </c>
      <c r="AD5026">
        <v>-1.1169385140320001</v>
      </c>
      <c r="AE5026">
        <v>-7.5564799999999996</v>
      </c>
      <c r="AF5026">
        <v>-3.7510953055926599</v>
      </c>
      <c r="AG5026">
        <v>-1.1169385140320001</v>
      </c>
      <c r="AH5026">
        <v>16.583267956596298</v>
      </c>
      <c r="AI5026">
        <v>93.758570246548501</v>
      </c>
      <c r="AJ5026">
        <v>102.74567742105501</v>
      </c>
      <c r="AK5026">
        <v>17.038868617254</v>
      </c>
      <c r="AL5026">
        <v>79.651289954286298</v>
      </c>
      <c r="AM5026">
        <v>98.762054456259904</v>
      </c>
      <c r="AN5026">
        <v>0.99999999481742496</v>
      </c>
    </row>
    <row r="5027" spans="1:40" x14ac:dyDescent="0.25">
      <c r="A5027" t="str">
        <f>"20190312172512805"</f>
        <v>20190312172512805</v>
      </c>
      <c r="B5027" t="str">
        <f>"1552382712795530"</f>
        <v>1552382712795530</v>
      </c>
      <c r="C5027" t="s">
        <v>40</v>
      </c>
      <c r="D5027">
        <v>3.7631160000000001</v>
      </c>
      <c r="E5027">
        <v>0.47551640000000001</v>
      </c>
      <c r="F5027" t="s">
        <v>43</v>
      </c>
      <c r="G5027">
        <v>-398.31830000000002</v>
      </c>
      <c r="H5027" s="1">
        <v>-1.545491E-6</v>
      </c>
      <c r="I5027">
        <v>22.510449999999999</v>
      </c>
      <c r="J5027">
        <v>-413.6112</v>
      </c>
      <c r="K5027">
        <v>1.1168750000000001</v>
      </c>
      <c r="L5027">
        <v>30.00977</v>
      </c>
      <c r="M5027">
        <v>0.77984249999999999</v>
      </c>
      <c r="N5027">
        <v>0</v>
      </c>
      <c r="O5027">
        <v>-0.62581430000000005</v>
      </c>
      <c r="P5027">
        <v>0.85206939999999998</v>
      </c>
      <c r="Q5027">
        <v>0.16790759999999999</v>
      </c>
      <c r="R5027">
        <v>-0.49576730000000002</v>
      </c>
      <c r="S5027">
        <v>2.769196</v>
      </c>
      <c r="T5027">
        <v>-0.2010497</v>
      </c>
      <c r="U5027">
        <v>-1.362061</v>
      </c>
      <c r="V5027">
        <v>-0.14939530000000001</v>
      </c>
      <c r="W5027">
        <v>0.1794885</v>
      </c>
      <c r="X5027">
        <v>0.97235020000000005</v>
      </c>
      <c r="Y5027">
        <v>-0.21588589999999999</v>
      </c>
      <c r="Z5027">
        <v>4.626036E-2</v>
      </c>
      <c r="AA5027">
        <v>0.97532209999999997</v>
      </c>
      <c r="AB5027">
        <v>24</v>
      </c>
      <c r="AC5027">
        <v>15.2928999999999</v>
      </c>
      <c r="AD5027">
        <v>-1.1168765454909999</v>
      </c>
      <c r="AE5027">
        <v>-7.49932</v>
      </c>
      <c r="AF5027">
        <v>-3.7066655528001302</v>
      </c>
      <c r="AG5027">
        <v>-1.1168765454909999</v>
      </c>
      <c r="AH5027">
        <v>16.549755100214401</v>
      </c>
      <c r="AI5027">
        <v>93.767742642714197</v>
      </c>
      <c r="AJ5027">
        <v>102.624255844008</v>
      </c>
      <c r="AK5027">
        <v>16.996504835267</v>
      </c>
      <c r="AL5027">
        <v>79.660032138393206</v>
      </c>
      <c r="AM5027">
        <v>98.734819867888206</v>
      </c>
      <c r="AN5027">
        <v>0.99999999436719</v>
      </c>
    </row>
    <row r="5028" spans="1:40" x14ac:dyDescent="0.25">
      <c r="A5028" t="str">
        <f>"20190312172512817"</f>
        <v>20190312172512817</v>
      </c>
      <c r="B5028" t="str">
        <f>"1552382712805290"</f>
        <v>1552382712805290</v>
      </c>
      <c r="C5028" t="s">
        <v>40</v>
      </c>
      <c r="D5028">
        <v>3.7655989999999999</v>
      </c>
      <c r="E5028">
        <v>0.47551640000000001</v>
      </c>
      <c r="F5028" t="s">
        <v>43</v>
      </c>
      <c r="G5028">
        <v>-398.3451</v>
      </c>
      <c r="H5028" s="1">
        <v>-1.55471E-6</v>
      </c>
      <c r="I5028">
        <v>22.592790000000001</v>
      </c>
      <c r="J5028">
        <v>-413.51119999999997</v>
      </c>
      <c r="K5028">
        <v>1.116811</v>
      </c>
      <c r="L5028">
        <v>29.936430000000001</v>
      </c>
      <c r="M5028">
        <v>0.78296849999999996</v>
      </c>
      <c r="N5028">
        <v>0</v>
      </c>
      <c r="O5028">
        <v>-0.62189939999999999</v>
      </c>
      <c r="P5028">
        <v>0.85437070000000004</v>
      </c>
      <c r="Q5028">
        <v>0.16775329999999999</v>
      </c>
      <c r="R5028">
        <v>-0.49184349999999999</v>
      </c>
      <c r="S5028">
        <v>2.7760929999999999</v>
      </c>
      <c r="T5028">
        <v>-0.2031007</v>
      </c>
      <c r="U5028">
        <v>-1.3487549999999999</v>
      </c>
      <c r="V5028">
        <v>-0.1489818</v>
      </c>
      <c r="W5028">
        <v>0.1793487</v>
      </c>
      <c r="X5028">
        <v>0.97243939999999995</v>
      </c>
      <c r="Y5028">
        <v>-0.21570639999999999</v>
      </c>
      <c r="Z5028">
        <v>4.6486220000000002E-2</v>
      </c>
      <c r="AA5028">
        <v>0.97535110000000003</v>
      </c>
      <c r="AB5028">
        <v>24</v>
      </c>
      <c r="AC5028">
        <v>15.166099999999901</v>
      </c>
      <c r="AD5028">
        <v>-1.1168125547100001</v>
      </c>
      <c r="AE5028">
        <v>-7.34363999999999</v>
      </c>
      <c r="AF5028">
        <v>-3.66621594345348</v>
      </c>
      <c r="AG5028">
        <v>-1.1168125547100001</v>
      </c>
      <c r="AH5028">
        <v>16.3713255044694</v>
      </c>
      <c r="AI5028">
        <v>93.808493207091303</v>
      </c>
      <c r="AJ5028">
        <v>102.622634359557</v>
      </c>
      <c r="AK5028">
        <v>16.813943868101902</v>
      </c>
      <c r="AL5028">
        <v>79.668173850197704</v>
      </c>
      <c r="AM5028">
        <v>98.710227969047196</v>
      </c>
      <c r="AN5028">
        <v>0.999999959797644</v>
      </c>
    </row>
    <row r="5029" spans="1:40" x14ac:dyDescent="0.25">
      <c r="A5029" t="str">
        <f>"20190312172512828"</f>
        <v>20190312172512828</v>
      </c>
      <c r="B5029" t="str">
        <f>"1552382712816026"</f>
        <v>1552382712816026</v>
      </c>
      <c r="C5029" t="s">
        <v>40</v>
      </c>
      <c r="D5029">
        <v>3.707929</v>
      </c>
      <c r="E5029">
        <v>0.4603023</v>
      </c>
      <c r="F5029" t="s">
        <v>43</v>
      </c>
      <c r="G5029">
        <v>-398.25069999999999</v>
      </c>
      <c r="H5029" s="1">
        <v>-1.603476E-6</v>
      </c>
      <c r="I5029">
        <v>22.608339999999998</v>
      </c>
      <c r="J5029">
        <v>-413.41410000000002</v>
      </c>
      <c r="K5029">
        <v>1.116746</v>
      </c>
      <c r="L5029">
        <v>29.866060000000001</v>
      </c>
      <c r="M5029">
        <v>0.78594259999999905</v>
      </c>
      <c r="N5029">
        <v>0</v>
      </c>
      <c r="O5029">
        <v>-0.61813660000000004</v>
      </c>
      <c r="P5029">
        <v>0.85659300000000005</v>
      </c>
      <c r="Q5029">
        <v>0.16756699999999999</v>
      </c>
      <c r="R5029">
        <v>-0.48802669999999998</v>
      </c>
      <c r="S5029">
        <v>2.7822269999999998</v>
      </c>
      <c r="T5029">
        <v>-0.20361280000000001</v>
      </c>
      <c r="U5029">
        <v>-1.3360289999999999</v>
      </c>
      <c r="V5029">
        <v>-0.148649</v>
      </c>
      <c r="W5029">
        <v>0.1791751</v>
      </c>
      <c r="X5029">
        <v>0.97252240000000001</v>
      </c>
      <c r="Y5029">
        <v>-0.2154874</v>
      </c>
      <c r="Z5029">
        <v>4.6371120000000002E-2</v>
      </c>
      <c r="AA5029">
        <v>0.97540499999999997</v>
      </c>
      <c r="AB5029">
        <v>24</v>
      </c>
      <c r="AC5029">
        <v>15.163399999999999</v>
      </c>
      <c r="AD5029">
        <v>-1.116747603476</v>
      </c>
      <c r="AE5029">
        <v>-7.2577199999999902</v>
      </c>
      <c r="AF5029">
        <v>-3.6531493455838202</v>
      </c>
      <c r="AG5029">
        <v>-1.116747603476</v>
      </c>
      <c r="AH5029">
        <v>16.333397155427001</v>
      </c>
      <c r="AI5029">
        <v>93.817316670274593</v>
      </c>
      <c r="AJ5029">
        <v>102.607358345463</v>
      </c>
      <c r="AK5029">
        <v>16.774161319956399</v>
      </c>
      <c r="AL5029">
        <v>79.678284904513006</v>
      </c>
      <c r="AM5029">
        <v>98.690337801904505</v>
      </c>
      <c r="AN5029">
        <v>1.0000000300813801</v>
      </c>
    </row>
    <row r="5030" spans="1:40" x14ac:dyDescent="0.25">
      <c r="A5030" t="str">
        <f>"20190312172512840"</f>
        <v>20190312172512840</v>
      </c>
      <c r="B5030" t="str">
        <f>"1552382712835545"</f>
        <v>1552382712835545</v>
      </c>
      <c r="C5030" t="s">
        <v>40</v>
      </c>
      <c r="D5030">
        <v>3.7225030000000001</v>
      </c>
      <c r="E5030">
        <v>0.46073150000000002</v>
      </c>
      <c r="F5030" t="s">
        <v>43</v>
      </c>
      <c r="G5030">
        <v>-399.44200000000001</v>
      </c>
      <c r="H5030" s="1">
        <v>-1.3824099999999999E-6</v>
      </c>
      <c r="I5030">
        <v>23.893969999999999</v>
      </c>
      <c r="J5030">
        <v>-413.31130000000002</v>
      </c>
      <c r="K5030">
        <v>1.1166830000000001</v>
      </c>
      <c r="L5030">
        <v>29.792020000000001</v>
      </c>
      <c r="M5030">
        <v>0.78904560000000001</v>
      </c>
      <c r="N5030">
        <v>0</v>
      </c>
      <c r="O5030">
        <v>-0.61417149999999998</v>
      </c>
      <c r="P5030">
        <v>0.85891090000000003</v>
      </c>
      <c r="Q5030">
        <v>0.1674069</v>
      </c>
      <c r="R5030">
        <v>-0.48399160000000002</v>
      </c>
      <c r="S5030">
        <v>2.8522639999999999</v>
      </c>
      <c r="T5030">
        <v>-0.22797390000000001</v>
      </c>
      <c r="U5030">
        <v>-1.219147</v>
      </c>
      <c r="V5030">
        <v>-0.14831549999999999</v>
      </c>
      <c r="W5030">
        <v>0.17902789999999999</v>
      </c>
      <c r="X5030">
        <v>0.97260040000000003</v>
      </c>
      <c r="Y5030">
        <v>-0.25263940000000001</v>
      </c>
      <c r="Z5030">
        <v>5.2499480000000001E-2</v>
      </c>
      <c r="AA5030">
        <v>0.96613510000000002</v>
      </c>
      <c r="AB5030">
        <v>24</v>
      </c>
      <c r="AC5030">
        <v>13.869300000000001</v>
      </c>
      <c r="AD5030">
        <v>-1.1166843824099999</v>
      </c>
      <c r="AE5030">
        <v>-5.8980499999999996</v>
      </c>
      <c r="AF5030">
        <v>-3.8435850443668902</v>
      </c>
      <c r="AG5030">
        <v>-1.1166843824099999</v>
      </c>
      <c r="AH5030">
        <v>14.4878483619338</v>
      </c>
      <c r="AI5030">
        <v>94.260672057790899</v>
      </c>
      <c r="AJ5030">
        <v>104.858134775976</v>
      </c>
      <c r="AK5030">
        <v>15.0305648650205</v>
      </c>
      <c r="AL5030">
        <v>79.686857218479503</v>
      </c>
      <c r="AM5030">
        <v>98.670452515428295</v>
      </c>
      <c r="AN5030">
        <v>1.00000000729941</v>
      </c>
    </row>
    <row r="5031" spans="1:40" x14ac:dyDescent="0.25">
      <c r="A5031" t="str">
        <f>"20190312172512852"</f>
        <v>20190312172512852</v>
      </c>
      <c r="B5031" t="str">
        <f>"1552382712845305"</f>
        <v>1552382712845305</v>
      </c>
      <c r="C5031" t="s">
        <v>40</v>
      </c>
      <c r="D5031">
        <v>3.7050700000000001</v>
      </c>
      <c r="E5031">
        <v>0.46079910000000002</v>
      </c>
      <c r="F5031" t="s">
        <v>43</v>
      </c>
      <c r="G5031">
        <v>-399.5188</v>
      </c>
      <c r="H5031" s="1">
        <v>-1.3626000000000001E-6</v>
      </c>
      <c r="I5031">
        <v>23.955850000000002</v>
      </c>
      <c r="J5031">
        <v>-413.21539999999999</v>
      </c>
      <c r="K5031">
        <v>1.116627</v>
      </c>
      <c r="L5031">
        <v>29.723939999999999</v>
      </c>
      <c r="M5031">
        <v>0.79186759999999901</v>
      </c>
      <c r="N5031">
        <v>0</v>
      </c>
      <c r="O5031">
        <v>-0.61052890000000004</v>
      </c>
      <c r="P5031">
        <v>0.86092039999999903</v>
      </c>
      <c r="Q5031">
        <v>0.1671058</v>
      </c>
      <c r="R5031">
        <v>-0.48051179999999899</v>
      </c>
      <c r="S5031">
        <v>2.8567499999999999</v>
      </c>
      <c r="T5031">
        <v>-0.2312903</v>
      </c>
      <c r="U5031">
        <v>-1.208801</v>
      </c>
      <c r="V5031">
        <v>-0.14777370000000001</v>
      </c>
      <c r="W5031">
        <v>0.17874309999999999</v>
      </c>
      <c r="X5031">
        <v>0.97273520000000002</v>
      </c>
      <c r="Y5031">
        <v>-0.25164560000000002</v>
      </c>
      <c r="Z5031">
        <v>5.2984499999999997E-2</v>
      </c>
      <c r="AA5031">
        <v>0.966368</v>
      </c>
      <c r="AB5031">
        <v>24</v>
      </c>
      <c r="AC5031">
        <v>13.696599999999901</v>
      </c>
      <c r="AD5031">
        <v>-1.1166283626</v>
      </c>
      <c r="AE5031">
        <v>-5.7680899999999999</v>
      </c>
      <c r="AF5031">
        <v>-3.7736829037838402</v>
      </c>
      <c r="AG5031">
        <v>-1.1166283626</v>
      </c>
      <c r="AH5031">
        <v>14.2882564402044</v>
      </c>
      <c r="AI5031">
        <v>94.321012611539302</v>
      </c>
      <c r="AJ5031">
        <v>104.794612439023</v>
      </c>
      <c r="AK5031">
        <v>14.8203175964456</v>
      </c>
      <c r="AL5031">
        <v>79.703442147648602</v>
      </c>
      <c r="AM5031">
        <v>98.638078748893506</v>
      </c>
      <c r="AN5031">
        <v>0.99999996576416905</v>
      </c>
    </row>
    <row r="5032" spans="1:40" x14ac:dyDescent="0.25">
      <c r="A5032" t="str">
        <f>"20190312172512863"</f>
        <v>20190312172512863</v>
      </c>
      <c r="B5032" t="str">
        <f>"1552382712856041"</f>
        <v>1552382712856041</v>
      </c>
      <c r="C5032" t="s">
        <v>40</v>
      </c>
      <c r="D5032">
        <v>3.721762</v>
      </c>
      <c r="E5032">
        <v>0.4611092</v>
      </c>
      <c r="F5032" t="s">
        <v>43</v>
      </c>
      <c r="G5032">
        <v>-399.65190000000001</v>
      </c>
      <c r="H5032" s="1">
        <v>-1.323865E-6</v>
      </c>
      <c r="I5032">
        <v>24.046759999999999</v>
      </c>
      <c r="J5032">
        <v>-413.11369999999999</v>
      </c>
      <c r="K5032">
        <v>1.116565</v>
      </c>
      <c r="L5032">
        <v>29.65204</v>
      </c>
      <c r="M5032">
        <v>0.79482549999999996</v>
      </c>
      <c r="N5032">
        <v>0</v>
      </c>
      <c r="O5032">
        <v>-0.60667349999999998</v>
      </c>
      <c r="P5032">
        <v>0.86312119999999903</v>
      </c>
      <c r="Q5032">
        <v>0.16693649999999999</v>
      </c>
      <c r="R5032">
        <v>-0.47660710000000001</v>
      </c>
      <c r="S5032">
        <v>2.8618160000000001</v>
      </c>
      <c r="T5032">
        <v>-0.23560110000000001</v>
      </c>
      <c r="U5032">
        <v>-1.197845</v>
      </c>
      <c r="V5032">
        <v>-0.14744260000000001</v>
      </c>
      <c r="W5032">
        <v>0.17858540000000001</v>
      </c>
      <c r="X5032">
        <v>0.97281439999999997</v>
      </c>
      <c r="Y5032">
        <v>-0.25063580000000002</v>
      </c>
      <c r="Z5032">
        <v>5.3665919999999999E-2</v>
      </c>
      <c r="AA5032">
        <v>0.96659280000000003</v>
      </c>
      <c r="AB5032">
        <v>24</v>
      </c>
      <c r="AC5032">
        <v>13.461799999999901</v>
      </c>
      <c r="AD5032">
        <v>-1.1165663238650001</v>
      </c>
      <c r="AE5032">
        <v>-5.6052799999999996</v>
      </c>
      <c r="AF5032">
        <v>-3.6904312055978998</v>
      </c>
      <c r="AG5032">
        <v>-1.1165663238650001</v>
      </c>
      <c r="AH5032">
        <v>14.0195669904688</v>
      </c>
      <c r="AI5032">
        <v>94.404207641309199</v>
      </c>
      <c r="AJ5032">
        <v>104.747658085235</v>
      </c>
      <c r="AK5032">
        <v>14.5400915210009</v>
      </c>
      <c r="AL5032">
        <v>79.712625402512799</v>
      </c>
      <c r="AM5032">
        <v>98.618324189965804</v>
      </c>
      <c r="AN5032">
        <v>0.999999961117639</v>
      </c>
    </row>
    <row r="5033" spans="1:40" x14ac:dyDescent="0.25">
      <c r="A5033" t="str">
        <f>"20190312172512875"</f>
        <v>20190312172512875</v>
      </c>
      <c r="B5033" t="str">
        <f>"1552382712865801"</f>
        <v>1552382712865801</v>
      </c>
      <c r="C5033" t="s">
        <v>40</v>
      </c>
      <c r="D5033">
        <v>3.7360639999999998</v>
      </c>
      <c r="E5033">
        <v>0.46139419999999998</v>
      </c>
      <c r="F5033" t="s">
        <v>43</v>
      </c>
      <c r="G5033">
        <v>-399.69799999999998</v>
      </c>
      <c r="H5033" s="1">
        <v>-1.315035E-6</v>
      </c>
      <c r="I5033">
        <v>24.095590000000001</v>
      </c>
      <c r="J5033">
        <v>-413.00920000000002</v>
      </c>
      <c r="K5033">
        <v>1.1165020000000001</v>
      </c>
      <c r="L5033">
        <v>29.5791</v>
      </c>
      <c r="M5033">
        <v>0.79779750000000005</v>
      </c>
      <c r="N5033">
        <v>0</v>
      </c>
      <c r="O5033">
        <v>-0.60276010000000002</v>
      </c>
      <c r="P5033">
        <v>0.86524679999999998</v>
      </c>
      <c r="Q5033">
        <v>0.1670316</v>
      </c>
      <c r="R5033">
        <v>-0.4727035</v>
      </c>
      <c r="S5033">
        <v>2.866333</v>
      </c>
      <c r="T5033">
        <v>-0.2385601</v>
      </c>
      <c r="U5033">
        <v>-1.1871640000000001</v>
      </c>
      <c r="V5033">
        <v>-0.1470175</v>
      </c>
      <c r="W5033">
        <v>0.1786943</v>
      </c>
      <c r="X5033">
        <v>0.97285880000000002</v>
      </c>
      <c r="Y5033">
        <v>-0.24945120000000001</v>
      </c>
      <c r="Z5033">
        <v>5.4027239999999997E-2</v>
      </c>
      <c r="AA5033">
        <v>0.96687909999999999</v>
      </c>
      <c r="AB5033">
        <v>24</v>
      </c>
      <c r="AC5033">
        <v>13.3111999999999</v>
      </c>
      <c r="AD5033">
        <v>-1.1165033150349899</v>
      </c>
      <c r="AE5033">
        <v>-5.4835099999999999</v>
      </c>
      <c r="AF5033">
        <v>-3.62727669561021</v>
      </c>
      <c r="AG5033">
        <v>-1.1165033150349899</v>
      </c>
      <c r="AH5033">
        <v>13.84301072897</v>
      </c>
      <c r="AI5033">
        <v>94.461218862072698</v>
      </c>
      <c r="AJ5033">
        <v>104.68307925325</v>
      </c>
      <c r="AK5033">
        <v>14.353837881256</v>
      </c>
      <c r="AL5033">
        <v>79.706284513388496</v>
      </c>
      <c r="AM5033">
        <v>98.5934613864531</v>
      </c>
      <c r="AN5033">
        <v>1.00000002144808</v>
      </c>
    </row>
    <row r="5034" spans="1:40" x14ac:dyDescent="0.25">
      <c r="A5034" t="str">
        <f>"20190312172512886"</f>
        <v>20190312172512886</v>
      </c>
      <c r="B5034" t="str">
        <f>"1552382712875562"</f>
        <v>1552382712875562</v>
      </c>
      <c r="C5034" t="s">
        <v>40</v>
      </c>
      <c r="D5034">
        <v>3.736145</v>
      </c>
      <c r="E5034">
        <v>0.46165329999999899</v>
      </c>
      <c r="F5034" t="s">
        <v>43</v>
      </c>
      <c r="G5034">
        <v>-399.63889999999998</v>
      </c>
      <c r="H5034" s="1">
        <v>-1.344561E-6</v>
      </c>
      <c r="I5034">
        <v>24.101520000000001</v>
      </c>
      <c r="J5034">
        <v>-412.90809999999999</v>
      </c>
      <c r="K5034">
        <v>1.116444</v>
      </c>
      <c r="L5034">
        <v>29.509160000000001</v>
      </c>
      <c r="M5034">
        <v>0.80062449999999996</v>
      </c>
      <c r="N5034">
        <v>0</v>
      </c>
      <c r="O5034">
        <v>-0.59900010000000004</v>
      </c>
      <c r="P5034">
        <v>0.86715370000000003</v>
      </c>
      <c r="Q5034">
        <v>0.16701659999999999</v>
      </c>
      <c r="R5034">
        <v>-0.46920109999999898</v>
      </c>
      <c r="S5034">
        <v>2.8709410000000002</v>
      </c>
      <c r="T5034">
        <v>-0.23974200000000001</v>
      </c>
      <c r="U5034">
        <v>-1.1761779999999999</v>
      </c>
      <c r="V5034">
        <v>-0.14634759999999999</v>
      </c>
      <c r="W5034">
        <v>0.17869570000000001</v>
      </c>
      <c r="X5034">
        <v>0.97295949999999998</v>
      </c>
      <c r="Y5034">
        <v>-0.2485993</v>
      </c>
      <c r="Z5034">
        <v>5.4002920000000003E-2</v>
      </c>
      <c r="AA5034">
        <v>0.96709979999999995</v>
      </c>
      <c r="AB5034">
        <v>24</v>
      </c>
      <c r="AC5034">
        <v>13.2692</v>
      </c>
      <c r="AD5034">
        <v>-1.1164453445610001</v>
      </c>
      <c r="AE5034">
        <v>-5.40763999999999</v>
      </c>
      <c r="AF5034">
        <v>-3.5972848052694202</v>
      </c>
      <c r="AG5034">
        <v>-1.1164453445610001</v>
      </c>
      <c r="AH5034">
        <v>13.7805442425217</v>
      </c>
      <c r="AI5034">
        <v>94.482207592660501</v>
      </c>
      <c r="AJ5034">
        <v>104.630061499175</v>
      </c>
      <c r="AK5034">
        <v>14.2860179125505</v>
      </c>
      <c r="AL5034">
        <v>79.706202565485995</v>
      </c>
      <c r="AM5034">
        <v>98.5540127724054</v>
      </c>
      <c r="AN5034">
        <v>0.99999998093224896</v>
      </c>
    </row>
    <row r="5035" spans="1:40" x14ac:dyDescent="0.25">
      <c r="A5035" t="str">
        <f>"20190312172512898"</f>
        <v>20190312172512898</v>
      </c>
      <c r="B5035" t="str">
        <f>"1552382712885719"</f>
        <v>1552382712885719</v>
      </c>
      <c r="C5035" t="s">
        <v>40</v>
      </c>
      <c r="D5035">
        <v>3.7296529999999999</v>
      </c>
      <c r="E5035">
        <v>0.46201629999999999</v>
      </c>
      <c r="F5035" t="s">
        <v>43</v>
      </c>
      <c r="G5035">
        <v>-399.49079999999998</v>
      </c>
      <c r="H5035" s="1">
        <v>-1.4046639999999999E-6</v>
      </c>
      <c r="I5035">
        <v>24.064250000000001</v>
      </c>
      <c r="J5035">
        <v>-412.80889999999999</v>
      </c>
      <c r="K5035">
        <v>1.116393</v>
      </c>
      <c r="L5035">
        <v>29.441040000000001</v>
      </c>
      <c r="M5035">
        <v>0.80335579999999995</v>
      </c>
      <c r="N5035">
        <v>0</v>
      </c>
      <c r="O5035">
        <v>-0.59533259999999999</v>
      </c>
      <c r="P5035">
        <v>0.86908879999999999</v>
      </c>
      <c r="Q5035">
        <v>0.1672148</v>
      </c>
      <c r="R5035">
        <v>-0.46553699999999998</v>
      </c>
      <c r="S5035">
        <v>2.8744809999999998</v>
      </c>
      <c r="T5035">
        <v>-0.2391846</v>
      </c>
      <c r="U5035">
        <v>-1.166504</v>
      </c>
      <c r="V5035">
        <v>-0.14595910000000001</v>
      </c>
      <c r="W5035">
        <v>0.17890539999999999</v>
      </c>
      <c r="X5035">
        <v>0.97297940000000005</v>
      </c>
      <c r="Y5035">
        <v>-0.2474017</v>
      </c>
      <c r="Z5035">
        <v>5.3590039999999999E-2</v>
      </c>
      <c r="AA5035">
        <v>0.96742989999999995</v>
      </c>
      <c r="AB5035">
        <v>24</v>
      </c>
      <c r="AC5035">
        <v>13.318099999999999</v>
      </c>
      <c r="AD5035">
        <v>-1.116394404664</v>
      </c>
      <c r="AE5035">
        <v>-5.3767899999999997</v>
      </c>
      <c r="AF5035">
        <v>-3.58790421825196</v>
      </c>
      <c r="AG5035">
        <v>-1.116394404664</v>
      </c>
      <c r="AH5035">
        <v>13.818043959184701</v>
      </c>
      <c r="AI5035">
        <v>94.471395971750596</v>
      </c>
      <c r="AJ5035">
        <v>104.555621603698</v>
      </c>
      <c r="AK5035">
        <v>14.3198370103879</v>
      </c>
      <c r="AL5035">
        <v>79.693991644386898</v>
      </c>
      <c r="AM5035">
        <v>98.531467644646199</v>
      </c>
      <c r="AN5035">
        <v>1.00000005692316</v>
      </c>
    </row>
    <row r="5036" spans="1:40" x14ac:dyDescent="0.25">
      <c r="A5036" t="str">
        <f>"20190312172512916"</f>
        <v>20190312172512916</v>
      </c>
      <c r="B5036" t="str">
        <f>"1552382712905239"</f>
        <v>1552382712905239</v>
      </c>
      <c r="C5036" t="s">
        <v>40</v>
      </c>
      <c r="D5036">
        <v>3.6455120000000001</v>
      </c>
      <c r="E5036">
        <v>0.46214250000000001</v>
      </c>
      <c r="F5036" t="s">
        <v>43</v>
      </c>
      <c r="G5036">
        <v>-399.30889999999999</v>
      </c>
      <c r="H5036" s="1">
        <v>-1.4773630000000001E-6</v>
      </c>
      <c r="I5036">
        <v>24.014330000000001</v>
      </c>
      <c r="J5036">
        <v>-412.65309999999999</v>
      </c>
      <c r="K5036">
        <v>1.1163069999999999</v>
      </c>
      <c r="L5036">
        <v>29.335509999999999</v>
      </c>
      <c r="M5036">
        <v>0.80754209999999904</v>
      </c>
      <c r="N5036">
        <v>0</v>
      </c>
      <c r="O5036">
        <v>-0.589642</v>
      </c>
      <c r="P5036">
        <v>0.87187979999999998</v>
      </c>
      <c r="Q5036">
        <v>0.1675324</v>
      </c>
      <c r="R5036">
        <v>-0.46017209999999997</v>
      </c>
      <c r="S5036">
        <v>2.8779910000000002</v>
      </c>
      <c r="T5036">
        <v>-0.23799799999999999</v>
      </c>
      <c r="U5036">
        <v>-1.1568909999999999</v>
      </c>
      <c r="V5036">
        <v>-0.14500859999999999</v>
      </c>
      <c r="W5036">
        <v>0.17924599999999999</v>
      </c>
      <c r="X5036">
        <v>0.9730588</v>
      </c>
      <c r="Y5036">
        <v>-0.2437897</v>
      </c>
      <c r="Z5036">
        <v>5.2818829999999997E-2</v>
      </c>
      <c r="AA5036">
        <v>0.96838869999999999</v>
      </c>
      <c r="AB5036">
        <v>24</v>
      </c>
      <c r="AC5036">
        <v>13.344200000000001</v>
      </c>
      <c r="AD5036">
        <v>-1.1163084773630001</v>
      </c>
      <c r="AE5036">
        <v>-5.32118</v>
      </c>
      <c r="AF5036">
        <v>-3.5501417665872901</v>
      </c>
      <c r="AG5036">
        <v>-1.1163084773630001</v>
      </c>
      <c r="AH5036">
        <v>13.8314578714169</v>
      </c>
      <c r="AI5036">
        <v>94.4699465930115</v>
      </c>
      <c r="AJ5036">
        <v>104.395441300543</v>
      </c>
      <c r="AK5036">
        <v>14.3233682501107</v>
      </c>
      <c r="AL5036">
        <v>79.674155737897905</v>
      </c>
      <c r="AM5036">
        <v>98.476037999523996</v>
      </c>
      <c r="AN5036">
        <v>1.00000002542369</v>
      </c>
    </row>
    <row r="5037" spans="1:40" x14ac:dyDescent="0.25">
      <c r="A5037" t="str">
        <f>"20190312172512930"</f>
        <v>20190312172512930</v>
      </c>
      <c r="B5037" t="str">
        <f>"1552382712925735"</f>
        <v>1552382712925735</v>
      </c>
      <c r="C5037" t="s">
        <v>40</v>
      </c>
      <c r="D5037">
        <v>3.874336</v>
      </c>
      <c r="E5037">
        <v>0.46967950000000003</v>
      </c>
      <c r="F5037" t="s">
        <v>43</v>
      </c>
      <c r="G5037">
        <v>-399.20549999999997</v>
      </c>
      <c r="H5037" s="1">
        <v>-1.5275810000000001E-6</v>
      </c>
      <c r="I5037">
        <v>24.019390000000001</v>
      </c>
      <c r="J5037">
        <v>-412.53919999999999</v>
      </c>
      <c r="K5037">
        <v>1.11625</v>
      </c>
      <c r="L5037">
        <v>29.259309999999999</v>
      </c>
      <c r="M5037">
        <v>0.81053180000000002</v>
      </c>
      <c r="N5037">
        <v>0</v>
      </c>
      <c r="O5037">
        <v>-0.58552590000000004</v>
      </c>
      <c r="P5037">
        <v>0.87398589999999998</v>
      </c>
      <c r="Q5037">
        <v>0.16764479999999901</v>
      </c>
      <c r="R5037">
        <v>-0.45611859999999999</v>
      </c>
      <c r="S5037">
        <v>2.8849179999999999</v>
      </c>
      <c r="T5037">
        <v>-0.2394828</v>
      </c>
      <c r="U5037">
        <v>-1.1404719999999999</v>
      </c>
      <c r="V5037">
        <v>-0.144537</v>
      </c>
      <c r="W5037">
        <v>0.17937120000000001</v>
      </c>
      <c r="X5037">
        <v>0.97310580000000002</v>
      </c>
      <c r="Y5037">
        <v>-0.2444018</v>
      </c>
      <c r="Z5037">
        <v>5.2872790000000003E-2</v>
      </c>
      <c r="AA5037">
        <v>0.96823150000000002</v>
      </c>
      <c r="AB5037">
        <v>24</v>
      </c>
      <c r="AC5037">
        <v>13.3337</v>
      </c>
      <c r="AD5037">
        <v>-1.1162515275810001</v>
      </c>
      <c r="AE5037">
        <v>-5.2399199999999997</v>
      </c>
      <c r="AF5037">
        <v>-3.5389719916661999</v>
      </c>
      <c r="AG5037">
        <v>-1.1162515275810001</v>
      </c>
      <c r="AH5037">
        <v>13.793131284183101</v>
      </c>
      <c r="AI5037">
        <v>94.482192646959405</v>
      </c>
      <c r="AJ5037">
        <v>104.39024844878701</v>
      </c>
      <c r="AK5037">
        <v>14.283585364093099</v>
      </c>
      <c r="AL5037">
        <v>79.666863184593296</v>
      </c>
      <c r="AM5037">
        <v>98.448468376807099</v>
      </c>
      <c r="AN5037">
        <v>0.999999934876037</v>
      </c>
    </row>
    <row r="5038" spans="1:40" x14ac:dyDescent="0.25">
      <c r="A5038" t="str">
        <f>"20190312172512943"</f>
        <v>20190312172512943</v>
      </c>
      <c r="B5038" t="str">
        <f>"1552382712935494"</f>
        <v>1552382712935494</v>
      </c>
      <c r="C5038" t="s">
        <v>40</v>
      </c>
      <c r="D5038">
        <v>3.8923030000000001</v>
      </c>
      <c r="E5038">
        <v>0.47020380000000001</v>
      </c>
      <c r="F5038" t="s">
        <v>43</v>
      </c>
      <c r="G5038">
        <v>-397.39080000000001</v>
      </c>
      <c r="H5038" s="1">
        <v>-2.1156839999999999E-6</v>
      </c>
      <c r="I5038">
        <v>23.005690000000001</v>
      </c>
      <c r="J5038">
        <v>-412.4187</v>
      </c>
      <c r="K5038">
        <v>1.116187</v>
      </c>
      <c r="L5038">
        <v>29.179290000000002</v>
      </c>
      <c r="M5038">
        <v>0.81364009999999998</v>
      </c>
      <c r="N5038">
        <v>0</v>
      </c>
      <c r="O5038">
        <v>-0.58119929999999997</v>
      </c>
      <c r="P5038">
        <v>0.87625629999999999</v>
      </c>
      <c r="Q5038">
        <v>0.1674803</v>
      </c>
      <c r="R5038">
        <v>-0.4518025</v>
      </c>
      <c r="S5038">
        <v>2.8573</v>
      </c>
      <c r="T5038">
        <v>-0.21054880000000001</v>
      </c>
      <c r="U5038">
        <v>-1.179565</v>
      </c>
      <c r="V5038">
        <v>-0.144138299999999</v>
      </c>
      <c r="W5038">
        <v>0.1792192</v>
      </c>
      <c r="X5038">
        <v>0.97319299999999997</v>
      </c>
      <c r="Y5038">
        <v>-0.2251367</v>
      </c>
      <c r="Z5038">
        <v>4.584419E-2</v>
      </c>
      <c r="AA5038">
        <v>0.97324809999999995</v>
      </c>
      <c r="AB5038">
        <v>24</v>
      </c>
      <c r="AC5038">
        <v>15.027899999999899</v>
      </c>
      <c r="AD5038">
        <v>-1.116189115684</v>
      </c>
      <c r="AE5038">
        <v>-6.1736000000000004</v>
      </c>
      <c r="AF5038">
        <v>-3.69404603614734</v>
      </c>
      <c r="AG5038">
        <v>-1.116189115684</v>
      </c>
      <c r="AH5038">
        <v>15.7426463669185</v>
      </c>
      <c r="AI5038">
        <v>93.948711531970602</v>
      </c>
      <c r="AJ5038">
        <v>103.20566320019</v>
      </c>
      <c r="AK5038">
        <v>16.208725085366801</v>
      </c>
      <c r="AL5038">
        <v>79.675716203024706</v>
      </c>
      <c r="AM5038">
        <v>98.424754452839395</v>
      </c>
      <c r="AN5038">
        <v>0.99999999321226396</v>
      </c>
    </row>
    <row r="5039" spans="1:40" x14ac:dyDescent="0.25">
      <c r="A5039" t="str">
        <f>"20190312172512962"</f>
        <v>20190312172512962</v>
      </c>
      <c r="B5039" t="str">
        <f>"1552382712955990"</f>
        <v>1552382712955990</v>
      </c>
      <c r="C5039" t="s">
        <v>40</v>
      </c>
      <c r="D5039">
        <v>3.8055340000000002</v>
      </c>
      <c r="E5039">
        <v>0.47057009999999999</v>
      </c>
      <c r="F5039" t="s">
        <v>43</v>
      </c>
      <c r="G5039">
        <v>-397.37310000000002</v>
      </c>
      <c r="H5039" s="1">
        <v>-2.1306049999999999E-6</v>
      </c>
      <c r="I5039">
        <v>23.030249999999999</v>
      </c>
      <c r="J5039">
        <v>-412.24950000000001</v>
      </c>
      <c r="K5039">
        <v>1.116098</v>
      </c>
      <c r="L5039">
        <v>29.068660000000001</v>
      </c>
      <c r="M5039">
        <v>0.81788709999999998</v>
      </c>
      <c r="N5039">
        <v>0</v>
      </c>
      <c r="O5039">
        <v>-0.57520819999999995</v>
      </c>
      <c r="P5039">
        <v>0.87911819999999896</v>
      </c>
      <c r="Q5039">
        <v>0.1676241</v>
      </c>
      <c r="R5039">
        <v>-0.4461542</v>
      </c>
      <c r="S5039">
        <v>2.8613279999999999</v>
      </c>
      <c r="T5039">
        <v>-0.21227309999999999</v>
      </c>
      <c r="U5039">
        <v>-1.169403</v>
      </c>
      <c r="V5039">
        <v>-0.14319870000000001</v>
      </c>
      <c r="W5039">
        <v>0.1793853</v>
      </c>
      <c r="X5039">
        <v>0.97330110000000003</v>
      </c>
      <c r="Y5039">
        <v>-0.2214141</v>
      </c>
      <c r="Z5039">
        <v>4.5734690000000001E-2</v>
      </c>
      <c r="AA5039">
        <v>0.97410680000000005</v>
      </c>
      <c r="AB5039">
        <v>24</v>
      </c>
      <c r="AC5039">
        <v>14.876399999999901</v>
      </c>
      <c r="AD5039">
        <v>-1.116100130605</v>
      </c>
      <c r="AE5039">
        <v>-6.0384099999999901</v>
      </c>
      <c r="AF5039">
        <v>-3.6012415571030498</v>
      </c>
      <c r="AG5039">
        <v>-1.116100130605</v>
      </c>
      <c r="AH5039">
        <v>15.5668659728395</v>
      </c>
      <c r="AI5039">
        <v>93.995753592675499</v>
      </c>
      <c r="AJ5039">
        <v>103.025671791428</v>
      </c>
      <c r="AK5039">
        <v>16.0169265613129</v>
      </c>
      <c r="AL5039">
        <v>79.666042595468397</v>
      </c>
      <c r="AM5039">
        <v>98.369699772041201</v>
      </c>
      <c r="AN5039">
        <v>0.999999992399495</v>
      </c>
    </row>
    <row r="5040" spans="1:40" x14ac:dyDescent="0.25">
      <c r="A5040" t="str">
        <f>"20190312172512974"</f>
        <v>20190312172512974</v>
      </c>
      <c r="B5040" t="str">
        <f>"1552382712965751"</f>
        <v>1552382712965751</v>
      </c>
      <c r="C5040" t="s">
        <v>40</v>
      </c>
      <c r="D5040">
        <v>3.9034840000000002</v>
      </c>
      <c r="E5040">
        <v>0.47057009999999999</v>
      </c>
      <c r="F5040" t="s">
        <v>43</v>
      </c>
      <c r="G5040">
        <v>-397.3426</v>
      </c>
      <c r="H5040" s="1">
        <v>-2.1558140000000001E-6</v>
      </c>
      <c r="I5040">
        <v>23.07084</v>
      </c>
      <c r="J5040">
        <v>-412.1397</v>
      </c>
      <c r="K5040">
        <v>1.116045</v>
      </c>
      <c r="L5040">
        <v>28.997859999999999</v>
      </c>
      <c r="M5040">
        <v>0.820573</v>
      </c>
      <c r="N5040">
        <v>0</v>
      </c>
      <c r="O5040">
        <v>-0.57137019999999905</v>
      </c>
      <c r="P5040">
        <v>0.88101319999999905</v>
      </c>
      <c r="Q5040">
        <v>0.167626</v>
      </c>
      <c r="R5040">
        <v>-0.4423994</v>
      </c>
      <c r="S5040">
        <v>2.8678889999999999</v>
      </c>
      <c r="T5040">
        <v>-0.21472250000000001</v>
      </c>
      <c r="U5040">
        <v>-1.1538999999999999</v>
      </c>
      <c r="V5040">
        <v>-0.1427659</v>
      </c>
      <c r="W5040">
        <v>0.179398</v>
      </c>
      <c r="X5040">
        <v>0.97336230000000001</v>
      </c>
      <c r="Y5040">
        <v>-0.2221196</v>
      </c>
      <c r="Z5040">
        <v>4.6032820000000002E-2</v>
      </c>
      <c r="AA5040">
        <v>0.97393220000000003</v>
      </c>
      <c r="AB5040">
        <v>24</v>
      </c>
      <c r="AC5040">
        <v>14.7971</v>
      </c>
      <c r="AD5040">
        <v>-1.1160471558139999</v>
      </c>
      <c r="AE5040">
        <v>-5.92701999999999</v>
      </c>
      <c r="AF5040">
        <v>-3.5739015960558498</v>
      </c>
      <c r="AG5040">
        <v>-1.1160471558139999</v>
      </c>
      <c r="AH5040">
        <v>15.454385727583601</v>
      </c>
      <c r="AI5040">
        <v>94.0246250413594</v>
      </c>
      <c r="AJ5040">
        <v>103.02103088253899</v>
      </c>
      <c r="AK5040">
        <v>15.9014581749357</v>
      </c>
      <c r="AL5040">
        <v>79.665302558135195</v>
      </c>
      <c r="AM5040">
        <v>98.344242860927096</v>
      </c>
      <c r="AN5040">
        <v>0.99999995583404899</v>
      </c>
    </row>
    <row r="5041" spans="1:40" x14ac:dyDescent="0.25">
      <c r="A5041" t="str">
        <f>"20190312172512989"</f>
        <v>20190312172512989</v>
      </c>
      <c r="B5041" t="str">
        <f>"1552382712975511"</f>
        <v>1552382712975511</v>
      </c>
      <c r="C5041" t="s">
        <v>40</v>
      </c>
      <c r="D5041">
        <v>3.778451</v>
      </c>
      <c r="E5041">
        <v>0.47327190000000002</v>
      </c>
      <c r="F5041" t="s">
        <v>43</v>
      </c>
      <c r="G5041">
        <v>-397.21140000000003</v>
      </c>
      <c r="H5041" s="1">
        <v>-2.2160870000000001E-6</v>
      </c>
      <c r="I5041">
        <v>23.064219999999999</v>
      </c>
      <c r="J5041">
        <v>-412.0215</v>
      </c>
      <c r="K5041">
        <v>1.1159870000000001</v>
      </c>
      <c r="L5041">
        <v>28.922270000000001</v>
      </c>
      <c r="M5041">
        <v>0.82341810000000004</v>
      </c>
      <c r="N5041">
        <v>0</v>
      </c>
      <c r="O5041">
        <v>-0.56726299999999996</v>
      </c>
      <c r="P5041">
        <v>0.88285949999999902</v>
      </c>
      <c r="Q5041">
        <v>0.16781399999999999</v>
      </c>
      <c r="R5041">
        <v>-0.43863180000000002</v>
      </c>
      <c r="S5041">
        <v>2.872681</v>
      </c>
      <c r="T5041">
        <v>-0.2147617</v>
      </c>
      <c r="U5041">
        <v>-1.141815</v>
      </c>
      <c r="V5041">
        <v>-0.14201559999999999</v>
      </c>
      <c r="W5041">
        <v>0.17960110000000001</v>
      </c>
      <c r="X5041">
        <v>0.97343469999999999</v>
      </c>
      <c r="Y5041">
        <v>-0.22135360000000001</v>
      </c>
      <c r="Z5041">
        <v>4.5756529999999997E-2</v>
      </c>
      <c r="AA5041">
        <v>0.97411950000000003</v>
      </c>
      <c r="AB5041">
        <v>24</v>
      </c>
      <c r="AC5041">
        <v>14.810099999999901</v>
      </c>
      <c r="AD5041">
        <v>-1.115989216087</v>
      </c>
      <c r="AE5041">
        <v>-5.8580499999999898</v>
      </c>
      <c r="AF5041">
        <v>-3.5604651676573802</v>
      </c>
      <c r="AG5041">
        <v>-1.115989216087</v>
      </c>
      <c r="AH5041">
        <v>15.4436479279819</v>
      </c>
      <c r="AI5041">
        <v>94.0278298346078</v>
      </c>
      <c r="AJ5041">
        <v>102.982451266824</v>
      </c>
      <c r="AK5041">
        <v>15.888001934289401</v>
      </c>
      <c r="AL5041">
        <v>79.653474650339405</v>
      </c>
      <c r="AM5041">
        <v>98.300393921648293</v>
      </c>
      <c r="AN5041">
        <v>1.0000000504643201</v>
      </c>
    </row>
    <row r="5042" spans="1:40" x14ac:dyDescent="0.25">
      <c r="A5042" t="str">
        <f>"20190312172513006"</f>
        <v>20190312172513006</v>
      </c>
      <c r="B5042" t="str">
        <f>"1552382712996007"</f>
        <v>1552382712996007</v>
      </c>
      <c r="C5042" t="s">
        <v>40</v>
      </c>
      <c r="D5042">
        <v>3.8122780000000001</v>
      </c>
      <c r="E5042">
        <v>0.4746978</v>
      </c>
      <c r="F5042" t="s">
        <v>43</v>
      </c>
      <c r="G5042">
        <v>-398.50959999999998</v>
      </c>
      <c r="H5042" s="1">
        <v>-1.7220190000000001E-6</v>
      </c>
      <c r="I5042">
        <v>23.513860000000001</v>
      </c>
      <c r="J5042">
        <v>-411.85789999999997</v>
      </c>
      <c r="K5042">
        <v>1.1159140000000001</v>
      </c>
      <c r="L5042">
        <v>28.818850000000001</v>
      </c>
      <c r="M5042">
        <v>0.82726659999999996</v>
      </c>
      <c r="N5042">
        <v>0</v>
      </c>
      <c r="O5042">
        <v>-0.56163589999999997</v>
      </c>
      <c r="P5042">
        <v>0.88547609999999999</v>
      </c>
      <c r="Q5042">
        <v>0.1677437</v>
      </c>
      <c r="R5042">
        <v>-0.43335220000000002</v>
      </c>
      <c r="S5042">
        <v>2.8719790000000001</v>
      </c>
      <c r="T5042">
        <v>-0.23720530000000001</v>
      </c>
      <c r="U5042">
        <v>-1.149567</v>
      </c>
      <c r="V5042">
        <v>-0.1411618</v>
      </c>
      <c r="W5042">
        <v>0.17954990000000001</v>
      </c>
      <c r="X5042">
        <v>0.97356830000000005</v>
      </c>
      <c r="Y5042">
        <v>-0.21201790000000001</v>
      </c>
      <c r="Z5042">
        <v>4.9781560000000002E-2</v>
      </c>
      <c r="AA5042">
        <v>0.975997</v>
      </c>
      <c r="AB5042">
        <v>24</v>
      </c>
      <c r="AC5042">
        <v>13.348299999999901</v>
      </c>
      <c r="AD5042">
        <v>-1.1159157220189999</v>
      </c>
      <c r="AE5042">
        <v>-5.3049900000000001</v>
      </c>
      <c r="AF5042">
        <v>-3.08989725452957</v>
      </c>
      <c r="AG5042">
        <v>-1.1159157220189999</v>
      </c>
      <c r="AH5042">
        <v>13.939311271391199</v>
      </c>
      <c r="AI5042">
        <v>94.469044655295804</v>
      </c>
      <c r="AJ5042">
        <v>102.498536078131</v>
      </c>
      <c r="AK5042">
        <v>14.321212646383399</v>
      </c>
      <c r="AL5042">
        <v>79.656456429771694</v>
      </c>
      <c r="AM5042">
        <v>98.250064245980596</v>
      </c>
      <c r="AN5042">
        <v>1.00000002756706</v>
      </c>
    </row>
    <row r="5043" spans="1:40" x14ac:dyDescent="0.25">
      <c r="A5043" t="str">
        <f>"20190312172513021"</f>
        <v>20190312172513021</v>
      </c>
      <c r="B5043" t="str">
        <f>"1552382713015528"</f>
        <v>1552382713015528</v>
      </c>
      <c r="C5043" t="s">
        <v>40</v>
      </c>
      <c r="D5043">
        <v>3.8249430000000002</v>
      </c>
      <c r="E5043">
        <v>0.47550049999999999</v>
      </c>
      <c r="F5043" t="s">
        <v>43</v>
      </c>
      <c r="G5043">
        <v>-398.2747</v>
      </c>
      <c r="H5043" s="1">
        <v>-1.807912E-6</v>
      </c>
      <c r="I5043">
        <v>23.419309999999999</v>
      </c>
      <c r="J5043">
        <v>-411.72910000000002</v>
      </c>
      <c r="K5043">
        <v>1.11585</v>
      </c>
      <c r="L5043">
        <v>28.738250000000001</v>
      </c>
      <c r="M5043">
        <v>0.83022809999999903</v>
      </c>
      <c r="N5043">
        <v>0</v>
      </c>
      <c r="O5043">
        <v>-0.557249199999999</v>
      </c>
      <c r="P5043">
        <v>0.88752059999999999</v>
      </c>
      <c r="Q5043">
        <v>0.1679098</v>
      </c>
      <c r="R5043">
        <v>-0.42908479999999999</v>
      </c>
      <c r="S5043">
        <v>2.873688</v>
      </c>
      <c r="T5043">
        <v>-0.23608470000000001</v>
      </c>
      <c r="U5043">
        <v>-1.142334</v>
      </c>
      <c r="V5043">
        <v>-0.1406512</v>
      </c>
      <c r="W5043">
        <v>0.17972869999999999</v>
      </c>
      <c r="X5043">
        <v>0.97360919999999895</v>
      </c>
      <c r="Y5043">
        <v>-0.20919989999999999</v>
      </c>
      <c r="Z5043">
        <v>4.9162560000000001E-2</v>
      </c>
      <c r="AA5043">
        <v>0.97663630000000001</v>
      </c>
      <c r="AB5043">
        <v>24</v>
      </c>
      <c r="AC5043">
        <v>13.4544</v>
      </c>
      <c r="AD5043">
        <v>-1.1158518079119999</v>
      </c>
      <c r="AE5043">
        <v>-5.3189399999999996</v>
      </c>
      <c r="AF5043">
        <v>-3.06359582977425</v>
      </c>
      <c r="AG5043">
        <v>-1.1158518079119999</v>
      </c>
      <c r="AH5043">
        <v>14.0519812726866</v>
      </c>
      <c r="AI5043">
        <v>94.436482120395496</v>
      </c>
      <c r="AJ5043">
        <v>102.299098652829</v>
      </c>
      <c r="AK5043">
        <v>14.425287600369201</v>
      </c>
      <c r="AL5043">
        <v>79.646042457884207</v>
      </c>
      <c r="AM5043">
        <v>98.220290686934703</v>
      </c>
      <c r="AN5043">
        <v>1.00000001999488</v>
      </c>
    </row>
    <row r="5044" spans="1:40" x14ac:dyDescent="0.25">
      <c r="A5044" t="str">
        <f>"20190312172513034"</f>
        <v>20190312172513034</v>
      </c>
      <c r="B5044" t="str">
        <f>"1552382713025288"</f>
        <v>1552382713025288</v>
      </c>
      <c r="C5044" t="s">
        <v>40</v>
      </c>
      <c r="D5044">
        <v>3.9342630000000001</v>
      </c>
      <c r="E5044">
        <v>0.4758579</v>
      </c>
      <c r="F5044" t="s">
        <v>43</v>
      </c>
      <c r="G5044">
        <v>-398.3297</v>
      </c>
      <c r="H5044" s="1">
        <v>-1.7910929999999999E-6</v>
      </c>
      <c r="I5044">
        <v>23.453880000000002</v>
      </c>
      <c r="J5044">
        <v>-411.61040000000003</v>
      </c>
      <c r="K5044">
        <v>1.1157900000000001</v>
      </c>
      <c r="L5044">
        <v>28.665130000000001</v>
      </c>
      <c r="M5044">
        <v>0.83288320000000005</v>
      </c>
      <c r="N5044">
        <v>0</v>
      </c>
      <c r="O5044">
        <v>-0.55327340000000003</v>
      </c>
      <c r="P5044">
        <v>0.88937949999999999</v>
      </c>
      <c r="Q5044">
        <v>0.16775870000000001</v>
      </c>
      <c r="R5044">
        <v>-0.4252784</v>
      </c>
      <c r="S5044">
        <v>2.8769840000000002</v>
      </c>
      <c r="T5044">
        <v>-0.23958599999999999</v>
      </c>
      <c r="U5044">
        <v>-1.1346130000000001</v>
      </c>
      <c r="V5044">
        <v>-0.14015429999999901</v>
      </c>
      <c r="W5044">
        <v>0.17959079999999999</v>
      </c>
      <c r="X5044">
        <v>0.97370630000000002</v>
      </c>
      <c r="Y5044">
        <v>-0.20713190000000001</v>
      </c>
      <c r="Z5044">
        <v>4.9531079999999998E-2</v>
      </c>
      <c r="AA5044">
        <v>0.97705839999999999</v>
      </c>
      <c r="AB5044">
        <v>24</v>
      </c>
      <c r="AC5044">
        <v>13.2807</v>
      </c>
      <c r="AD5044">
        <v>-1.115791791093</v>
      </c>
      <c r="AE5044">
        <v>-5.2112499999999997</v>
      </c>
      <c r="AF5044">
        <v>-2.9895010344716</v>
      </c>
      <c r="AG5044">
        <v>-1.115791791093</v>
      </c>
      <c r="AH5044">
        <v>13.8610851451536</v>
      </c>
      <c r="AI5044">
        <v>94.499265652107795</v>
      </c>
      <c r="AJ5044">
        <v>102.170886347443</v>
      </c>
      <c r="AK5044">
        <v>14.2236348785173</v>
      </c>
      <c r="AL5044">
        <v>79.654074242296204</v>
      </c>
      <c r="AM5044">
        <v>98.1908386227406</v>
      </c>
      <c r="AN5044">
        <v>1.0000000209564099</v>
      </c>
    </row>
    <row r="5045" spans="1:40" x14ac:dyDescent="0.25">
      <c r="A5045" t="str">
        <f>"20190312172513051"</f>
        <v>20190312172513051</v>
      </c>
      <c r="B5045" t="str">
        <f>"1552382713045783"</f>
        <v>1552382713045783</v>
      </c>
      <c r="C5045" t="s">
        <v>40</v>
      </c>
      <c r="D5045">
        <v>3.7684929999999999</v>
      </c>
      <c r="E5045">
        <v>0.47735519999999998</v>
      </c>
      <c r="F5045" t="s">
        <v>43</v>
      </c>
      <c r="G5045">
        <v>-398.43459999999999</v>
      </c>
      <c r="H5045" s="1">
        <v>-1.759306E-6</v>
      </c>
      <c r="I5045">
        <v>23.520669999999999</v>
      </c>
      <c r="J5045">
        <v>-411.46120000000002</v>
      </c>
      <c r="K5045">
        <v>1.115707</v>
      </c>
      <c r="L5045">
        <v>28.573969999999999</v>
      </c>
      <c r="M5045">
        <v>0.83614889999999997</v>
      </c>
      <c r="N5045">
        <v>0</v>
      </c>
      <c r="O5045">
        <v>-0.54832639999999999</v>
      </c>
      <c r="P5045">
        <v>0.89155469999999903</v>
      </c>
      <c r="Q5045">
        <v>0.1674262</v>
      </c>
      <c r="R5045">
        <v>-0.42083140000000002</v>
      </c>
      <c r="S5045">
        <v>2.8812259999999998</v>
      </c>
      <c r="T5045">
        <v>-0.24399650000000001</v>
      </c>
      <c r="U5045">
        <v>-1.1249690000000001</v>
      </c>
      <c r="V5045">
        <v>-0.13923640000000001</v>
      </c>
      <c r="W5045">
        <v>0.17928069999999999</v>
      </c>
      <c r="X5045">
        <v>0.97389510000000001</v>
      </c>
      <c r="Y5045">
        <v>-0.2046037</v>
      </c>
      <c r="Z5045">
        <v>4.9984220000000003E-2</v>
      </c>
      <c r="AA5045">
        <v>0.97756790000000005</v>
      </c>
      <c r="AB5045">
        <v>24</v>
      </c>
      <c r="AC5045">
        <v>13.0266</v>
      </c>
      <c r="AD5045">
        <v>-1.115708759306</v>
      </c>
      <c r="AE5045">
        <v>-5.0533000000000001</v>
      </c>
      <c r="AF5045">
        <v>-2.89931279986103</v>
      </c>
      <c r="AG5045">
        <v>-1.115708759306</v>
      </c>
      <c r="AH5045">
        <v>13.577780823309</v>
      </c>
      <c r="AI5045">
        <v>94.594416377246304</v>
      </c>
      <c r="AJ5045">
        <v>102.053551183008</v>
      </c>
      <c r="AK5045">
        <v>13.928637867101299</v>
      </c>
      <c r="AL5045">
        <v>79.672134626316904</v>
      </c>
      <c r="AM5045">
        <v>98.136359464826995</v>
      </c>
      <c r="AN5045">
        <v>1.0000000051407201</v>
      </c>
    </row>
    <row r="5046" spans="1:40" x14ac:dyDescent="0.25">
      <c r="A5046" t="str">
        <f>"20190312172513074"</f>
        <v>20190312172513074</v>
      </c>
      <c r="B5046" t="str">
        <f>"1552382713065303"</f>
        <v>1552382713065303</v>
      </c>
      <c r="C5046" t="s">
        <v>40</v>
      </c>
      <c r="D5046">
        <v>3.8116889999999999</v>
      </c>
      <c r="E5046">
        <v>0.47814479999999998</v>
      </c>
      <c r="F5046" t="s">
        <v>43</v>
      </c>
      <c r="G5046">
        <v>-398.32600000000002</v>
      </c>
      <c r="H5046" s="1">
        <v>-1.795178E-6</v>
      </c>
      <c r="I5046">
        <v>23.462499999999999</v>
      </c>
      <c r="J5046">
        <v>-411.25029999999998</v>
      </c>
      <c r="K5046">
        <v>1.1155790000000001</v>
      </c>
      <c r="L5046">
        <v>28.44699</v>
      </c>
      <c r="M5046">
        <v>0.84061070000000004</v>
      </c>
      <c r="N5046">
        <v>0</v>
      </c>
      <c r="O5046">
        <v>-0.54146179999999999</v>
      </c>
      <c r="P5046">
        <v>0.89481109999999897</v>
      </c>
      <c r="Q5046">
        <v>0.16688510000000001</v>
      </c>
      <c r="R5046">
        <v>-0.41408040000000002</v>
      </c>
      <c r="S5046">
        <v>2.881561</v>
      </c>
      <c r="T5046">
        <v>-0.24476059999999999</v>
      </c>
      <c r="U5046">
        <v>-1.1213379999999999</v>
      </c>
      <c r="V5046">
        <v>-0.13861479999999901</v>
      </c>
      <c r="W5046">
        <v>0.17876420000000001</v>
      </c>
      <c r="X5046">
        <v>0.97407869999999996</v>
      </c>
      <c r="Y5046">
        <v>-0.19771520000000001</v>
      </c>
      <c r="Z5046">
        <v>4.9414819999999998E-2</v>
      </c>
      <c r="AA5046">
        <v>0.97901320000000003</v>
      </c>
      <c r="AB5046">
        <v>24</v>
      </c>
      <c r="AC5046">
        <v>12.924300000000001</v>
      </c>
      <c r="AD5046">
        <v>-1.1155807951779999</v>
      </c>
      <c r="AE5046">
        <v>-4.9844900000000001</v>
      </c>
      <c r="AF5046">
        <v>-2.7901731822415798</v>
      </c>
      <c r="AG5046">
        <v>-1.1155807951779999</v>
      </c>
      <c r="AH5046">
        <v>13.477112866069501</v>
      </c>
      <c r="AI5046">
        <v>94.634095828599996</v>
      </c>
      <c r="AJ5046">
        <v>101.696727663137</v>
      </c>
      <c r="AK5046">
        <v>13.8080468605174</v>
      </c>
      <c r="AL5046">
        <v>79.702213855051696</v>
      </c>
      <c r="AM5046">
        <v>98.099012498697803</v>
      </c>
      <c r="AN5046">
        <v>1.00000000788718</v>
      </c>
    </row>
    <row r="5047" spans="1:40" x14ac:dyDescent="0.25">
      <c r="A5047" t="str">
        <f>"20190312172513085"</f>
        <v>20190312172513085</v>
      </c>
      <c r="B5047" t="str">
        <f>"1552382713076039"</f>
        <v>1552382713076039</v>
      </c>
      <c r="C5047" t="s">
        <v>40</v>
      </c>
      <c r="D5047">
        <v>3.8416980000000001</v>
      </c>
      <c r="E5047">
        <v>0.47814479999999998</v>
      </c>
      <c r="F5047" t="s">
        <v>43</v>
      </c>
      <c r="G5047">
        <v>-398.28030000000001</v>
      </c>
      <c r="H5047" s="1">
        <v>-1.8214729999999999E-6</v>
      </c>
      <c r="I5047">
        <v>23.480170000000001</v>
      </c>
      <c r="J5047">
        <v>-411.14609999999999</v>
      </c>
      <c r="K5047">
        <v>1.1155139999999999</v>
      </c>
      <c r="L5047">
        <v>28.385010000000001</v>
      </c>
      <c r="M5047">
        <v>0.84275140000000004</v>
      </c>
      <c r="N5047">
        <v>0</v>
      </c>
      <c r="O5047">
        <v>-0.53812409999999999</v>
      </c>
      <c r="P5047">
        <v>0.89631810000000001</v>
      </c>
      <c r="Q5047">
        <v>0.16671939999999999</v>
      </c>
      <c r="R5047">
        <v>-0.4108755</v>
      </c>
      <c r="S5047">
        <v>2.8872990000000001</v>
      </c>
      <c r="T5047">
        <v>-0.2483436</v>
      </c>
      <c r="U5047">
        <v>-1.1056820000000001</v>
      </c>
      <c r="V5047">
        <v>-0.13822329999999999</v>
      </c>
      <c r="W5047">
        <v>0.17861359999999901</v>
      </c>
      <c r="X5047">
        <v>0.97416199999999997</v>
      </c>
      <c r="Y5047">
        <v>-0.19905249999999999</v>
      </c>
      <c r="Z5047">
        <v>4.9936399999999999E-2</v>
      </c>
      <c r="AA5047">
        <v>0.97871569999999997</v>
      </c>
      <c r="AB5047">
        <v>24</v>
      </c>
      <c r="AC5047">
        <v>12.865799999999901</v>
      </c>
      <c r="AD5047">
        <v>-1.1155158214730001</v>
      </c>
      <c r="AE5047">
        <v>-4.9048399999999903</v>
      </c>
      <c r="AF5047">
        <v>-2.77191105273329</v>
      </c>
      <c r="AG5047">
        <v>-1.1155158214730001</v>
      </c>
      <c r="AH5047">
        <v>13.3954586813656</v>
      </c>
      <c r="AI5047">
        <v>94.662042555344101</v>
      </c>
      <c r="AJ5047">
        <v>101.691160951844</v>
      </c>
      <c r="AK5047">
        <v>13.7246559052093</v>
      </c>
      <c r="AL5047">
        <v>79.710984188576205</v>
      </c>
      <c r="AM5047">
        <v>98.075758586867806</v>
      </c>
      <c r="AN5047">
        <v>1.0000000505059199</v>
      </c>
    </row>
    <row r="5048" spans="1:40" x14ac:dyDescent="0.25">
      <c r="A5048" t="str">
        <f>"20190312172513097"</f>
        <v>20190312172513097</v>
      </c>
      <c r="B5048" t="str">
        <f>"1552382713085799"</f>
        <v>1552382713085799</v>
      </c>
      <c r="C5048" t="s">
        <v>40</v>
      </c>
      <c r="D5048">
        <v>3.7963610000000001</v>
      </c>
      <c r="E5048">
        <v>0.4655437</v>
      </c>
      <c r="F5048" t="s">
        <v>43</v>
      </c>
      <c r="G5048">
        <v>-398.19060000000002</v>
      </c>
      <c r="H5048" s="1">
        <v>-1.862693E-6</v>
      </c>
      <c r="I5048">
        <v>23.475860000000001</v>
      </c>
      <c r="J5048">
        <v>-411.04270000000002</v>
      </c>
      <c r="K5048">
        <v>1.115451</v>
      </c>
      <c r="L5048">
        <v>28.32404</v>
      </c>
      <c r="M5048">
        <v>0.8448312</v>
      </c>
      <c r="N5048">
        <v>0</v>
      </c>
      <c r="O5048">
        <v>-0.53485349999999998</v>
      </c>
      <c r="P5048">
        <v>0.89773099999999995</v>
      </c>
      <c r="Q5048">
        <v>0.16676740000000001</v>
      </c>
      <c r="R5048">
        <v>-0.40775990000000001</v>
      </c>
      <c r="S5048">
        <v>2.8911129999999998</v>
      </c>
      <c r="T5048">
        <v>-0.2489372</v>
      </c>
      <c r="U5048">
        <v>-1.09552</v>
      </c>
      <c r="V5048">
        <v>-0.13779669999999999</v>
      </c>
      <c r="W5048">
        <v>0.178676</v>
      </c>
      <c r="X5048">
        <v>0.97421100000000005</v>
      </c>
      <c r="Y5048">
        <v>-0.1986909</v>
      </c>
      <c r="Z5048">
        <v>4.9797710000000002E-2</v>
      </c>
      <c r="AA5048">
        <v>0.97879620000000001</v>
      </c>
      <c r="AB5048">
        <v>24</v>
      </c>
      <c r="AC5048">
        <v>12.8521</v>
      </c>
      <c r="AD5048">
        <v>-1.115452862693</v>
      </c>
      <c r="AE5048">
        <v>-4.8481800000000002</v>
      </c>
      <c r="AF5048">
        <v>-2.7601621045880398</v>
      </c>
      <c r="AG5048">
        <v>-1.115452862693</v>
      </c>
      <c r="AH5048">
        <v>13.364084663643199</v>
      </c>
      <c r="AI5048">
        <v>94.673039155054894</v>
      </c>
      <c r="AJ5048">
        <v>101.669547441463</v>
      </c>
      <c r="AK5048">
        <v>13.691657636295099</v>
      </c>
      <c r="AL5048">
        <v>79.707350557049693</v>
      </c>
      <c r="AM5048">
        <v>98.0507619486485</v>
      </c>
      <c r="AN5048">
        <v>1.0000000580139401</v>
      </c>
    </row>
    <row r="5049" spans="1:40" x14ac:dyDescent="0.25">
      <c r="A5049" t="str">
        <f>"20190312172513108"</f>
        <v>20190312172513108</v>
      </c>
      <c r="B5049" t="str">
        <f>"1552382713095559"</f>
        <v>1552382713095559</v>
      </c>
      <c r="C5049" t="s">
        <v>40</v>
      </c>
      <c r="D5049">
        <v>3.7702990000000001</v>
      </c>
      <c r="E5049">
        <v>0.46493400000000001</v>
      </c>
      <c r="F5049" t="s">
        <v>43</v>
      </c>
      <c r="G5049">
        <v>-396.7217</v>
      </c>
      <c r="H5049" s="1">
        <v>-2.556408E-6</v>
      </c>
      <c r="I5049">
        <v>23.473400000000002</v>
      </c>
      <c r="J5049">
        <v>-410.9461</v>
      </c>
      <c r="K5049">
        <v>1.1153900000000001</v>
      </c>
      <c r="L5049">
        <v>28.26755</v>
      </c>
      <c r="M5049">
        <v>0.84673050000000005</v>
      </c>
      <c r="N5049">
        <v>0</v>
      </c>
      <c r="O5049">
        <v>-0.53184149999999997</v>
      </c>
      <c r="P5049">
        <v>0.8990901</v>
      </c>
      <c r="Q5049">
        <v>0.1667293</v>
      </c>
      <c r="R5049">
        <v>-0.40476970000000001</v>
      </c>
      <c r="S5049">
        <v>2.933014</v>
      </c>
      <c r="T5049">
        <v>-0.22845170000000001</v>
      </c>
      <c r="U5049">
        <v>-0.99343870000000001</v>
      </c>
      <c r="V5049">
        <v>-0.13754469999999999</v>
      </c>
      <c r="W5049">
        <v>0.17864969999999999</v>
      </c>
      <c r="X5049">
        <v>0.97425139999999999</v>
      </c>
      <c r="Y5049">
        <v>-0.2302498</v>
      </c>
      <c r="Z5049">
        <v>4.6453639999999997E-2</v>
      </c>
      <c r="AA5049">
        <v>0.97202219999999995</v>
      </c>
      <c r="AB5049">
        <v>24</v>
      </c>
      <c r="AC5049">
        <v>14.224399999999999</v>
      </c>
      <c r="AD5049">
        <v>-1.1153925564079901</v>
      </c>
      <c r="AE5049">
        <v>-4.7941499999999904</v>
      </c>
      <c r="AF5049">
        <v>-3.4868571057274602</v>
      </c>
      <c r="AG5049">
        <v>-1.1153925564079901</v>
      </c>
      <c r="AH5049">
        <v>14.5152166154925</v>
      </c>
      <c r="AI5049">
        <v>94.273051554069397</v>
      </c>
      <c r="AJ5049">
        <v>103.50769517414</v>
      </c>
      <c r="AK5049">
        <v>14.969762403769799</v>
      </c>
      <c r="AL5049">
        <v>79.708881735224196</v>
      </c>
      <c r="AM5049">
        <v>98.035902483580699</v>
      </c>
      <c r="AN5049">
        <v>1.00000002510506</v>
      </c>
    </row>
    <row r="5050" spans="1:40" x14ac:dyDescent="0.25">
      <c r="A5050" t="str">
        <f>"20190312172513122"</f>
        <v>20190312172513122</v>
      </c>
      <c r="B5050" t="str">
        <f>"1552382713116056"</f>
        <v>1552382713116056</v>
      </c>
      <c r="C5050" t="s">
        <v>40</v>
      </c>
      <c r="D5050">
        <v>3.7925149999999999</v>
      </c>
      <c r="E5050">
        <v>0.46471269999999998</v>
      </c>
      <c r="F5050" t="s">
        <v>43</v>
      </c>
      <c r="G5050">
        <v>-396.88229999999999</v>
      </c>
      <c r="H5050" s="1">
        <v>-2.5090839999999998E-6</v>
      </c>
      <c r="I5050">
        <v>23.580760000000001</v>
      </c>
      <c r="J5050">
        <v>-410.82560000000001</v>
      </c>
      <c r="K5050">
        <v>1.1153120000000001</v>
      </c>
      <c r="L5050">
        <v>28.19745</v>
      </c>
      <c r="M5050">
        <v>0.84906269999999995</v>
      </c>
      <c r="N5050">
        <v>0</v>
      </c>
      <c r="O5050">
        <v>-0.52811129999999995</v>
      </c>
      <c r="P5050">
        <v>0.90066889999999999</v>
      </c>
      <c r="Q5050">
        <v>0.166682</v>
      </c>
      <c r="R5050">
        <v>-0.4012638</v>
      </c>
      <c r="S5050">
        <v>2.9390260000000001</v>
      </c>
      <c r="T5050">
        <v>-0.23309150000000001</v>
      </c>
      <c r="U5050">
        <v>-0.97943119999999995</v>
      </c>
      <c r="V5050">
        <v>-0.137021799999999</v>
      </c>
      <c r="W5050">
        <v>0.17862059999999999</v>
      </c>
      <c r="X5050">
        <v>0.97433040000000004</v>
      </c>
      <c r="Y5050">
        <v>-0.23067080000000001</v>
      </c>
      <c r="Z5050">
        <v>4.7129520000000001E-2</v>
      </c>
      <c r="AA5050">
        <v>0.97188980000000003</v>
      </c>
      <c r="AB5050">
        <v>24</v>
      </c>
      <c r="AC5050">
        <v>13.943300000000001</v>
      </c>
      <c r="AD5050">
        <v>-1.115314509084</v>
      </c>
      <c r="AE5050">
        <v>-4.6166899999999904</v>
      </c>
      <c r="AF5050">
        <v>-3.4243386939584499</v>
      </c>
      <c r="AG5050">
        <v>-1.115314509084</v>
      </c>
      <c r="AH5050">
        <v>14.196367379162201</v>
      </c>
      <c r="AI5050">
        <v>94.367370377640498</v>
      </c>
      <c r="AJ5050">
        <v>103.56139290233099</v>
      </c>
      <c r="AK5050">
        <v>14.6460530078672</v>
      </c>
      <c r="AL5050">
        <v>79.710576145729505</v>
      </c>
      <c r="AM5050">
        <v>98.005108724737397</v>
      </c>
      <c r="AN5050">
        <v>1.00000001039188</v>
      </c>
    </row>
    <row r="5051" spans="1:40" x14ac:dyDescent="0.25">
      <c r="A5051" t="str">
        <f>"20190312172513135"</f>
        <v>20190312172513135</v>
      </c>
      <c r="B5051" t="str">
        <f>"1552382713125815"</f>
        <v>1552382713125815</v>
      </c>
      <c r="C5051" t="s">
        <v>40</v>
      </c>
      <c r="D5051">
        <v>3.8023310000000001</v>
      </c>
      <c r="E5051">
        <v>0.46463189999999999</v>
      </c>
      <c r="F5051" t="s">
        <v>43</v>
      </c>
      <c r="G5051">
        <v>-396.47449999999998</v>
      </c>
      <c r="H5051" s="1">
        <v>-2.6761629999999999E-6</v>
      </c>
      <c r="I5051">
        <v>23.484290000000001</v>
      </c>
      <c r="J5051">
        <v>-410.69979999999998</v>
      </c>
      <c r="K5051">
        <v>1.115224</v>
      </c>
      <c r="L5051">
        <v>28.12518</v>
      </c>
      <c r="M5051">
        <v>0.85141100000000003</v>
      </c>
      <c r="N5051">
        <v>0</v>
      </c>
      <c r="O5051">
        <v>-0.52431729999999999</v>
      </c>
      <c r="P5051">
        <v>0.90231419999999996</v>
      </c>
      <c r="Q5051">
        <v>0.16670579999999999</v>
      </c>
      <c r="R5051">
        <v>-0.39754050000000002</v>
      </c>
      <c r="S5051">
        <v>2.942596</v>
      </c>
      <c r="T5051">
        <v>-0.22868759999999999</v>
      </c>
      <c r="U5051">
        <v>-0.96640009999999998</v>
      </c>
      <c r="V5051">
        <v>-0.136657</v>
      </c>
      <c r="W5051">
        <v>0.1786615</v>
      </c>
      <c r="X5051">
        <v>0.97437410000000002</v>
      </c>
      <c r="Y5051">
        <v>-0.2306445</v>
      </c>
      <c r="Z5051">
        <v>4.5992379999999999E-2</v>
      </c>
      <c r="AA5051">
        <v>0.97195050000000005</v>
      </c>
      <c r="AB5051">
        <v>24</v>
      </c>
      <c r="AC5051">
        <v>14.225300000000001</v>
      </c>
      <c r="AD5051">
        <v>-1.1152266761630001</v>
      </c>
      <c r="AE5051">
        <v>-4.6408899999999997</v>
      </c>
      <c r="AF5051">
        <v>-3.48822370747216</v>
      </c>
      <c r="AG5051">
        <v>-1.1152266761630001</v>
      </c>
      <c r="AH5051">
        <v>14.4659057233387</v>
      </c>
      <c r="AI5051">
        <v>94.286040565848197</v>
      </c>
      <c r="AJ5051">
        <v>103.557159697176</v>
      </c>
      <c r="AK5051">
        <v>14.9222606722011</v>
      </c>
      <c r="AL5051">
        <v>79.708194089449805</v>
      </c>
      <c r="AM5051">
        <v>97.983718045354394</v>
      </c>
      <c r="AN5051">
        <v>0.99999997699102905</v>
      </c>
    </row>
    <row r="5052" spans="1:40" x14ac:dyDescent="0.25">
      <c r="A5052" t="str">
        <f>"20190312172513152"</f>
        <v>20190312172513152</v>
      </c>
      <c r="B5052" t="str">
        <f>"1552382713145335"</f>
        <v>1552382713145335</v>
      </c>
      <c r="C5052" t="s">
        <v>40</v>
      </c>
      <c r="D5052">
        <v>3.8076210000000001</v>
      </c>
      <c r="E5052">
        <v>0.46472669999999999</v>
      </c>
      <c r="F5052" t="s">
        <v>43</v>
      </c>
      <c r="G5052">
        <v>-396.1447</v>
      </c>
      <c r="H5052" s="1">
        <v>-2.8131530000000002E-6</v>
      </c>
      <c r="I5052">
        <v>23.413080000000001</v>
      </c>
      <c r="J5052">
        <v>-410.55340000000001</v>
      </c>
      <c r="K5052">
        <v>1.115124</v>
      </c>
      <c r="L5052">
        <v>28.041840000000001</v>
      </c>
      <c r="M5052">
        <v>0.85407129999999998</v>
      </c>
      <c r="N5052">
        <v>0</v>
      </c>
      <c r="O5052">
        <v>-0.51997299999999902</v>
      </c>
      <c r="P5052">
        <v>0.90387620000000002</v>
      </c>
      <c r="Q5052">
        <v>0.16695769999999999</v>
      </c>
      <c r="R5052">
        <v>-0.39386959999999999</v>
      </c>
      <c r="S5052">
        <v>2.946259</v>
      </c>
      <c r="T5052">
        <v>-0.2257451</v>
      </c>
      <c r="U5052">
        <v>-0.95382690000000003</v>
      </c>
      <c r="V5052">
        <v>-0.13558410000000001</v>
      </c>
      <c r="W5052">
        <v>0.1789415</v>
      </c>
      <c r="X5052">
        <v>0.97447260000000002</v>
      </c>
      <c r="Y5052">
        <v>-0.22985539999999999</v>
      </c>
      <c r="Z5052">
        <v>4.5089650000000002E-2</v>
      </c>
      <c r="AA5052">
        <v>0.97217969999999998</v>
      </c>
      <c r="AB5052">
        <v>24</v>
      </c>
      <c r="AC5052">
        <v>14.4087</v>
      </c>
      <c r="AD5052">
        <v>-1.1151268131530001</v>
      </c>
      <c r="AE5052">
        <v>-4.6287599999999998</v>
      </c>
      <c r="AF5052">
        <v>-3.52006910516211</v>
      </c>
      <c r="AG5052">
        <v>-1.1151268131530001</v>
      </c>
      <c r="AH5052">
        <v>14.634830413775299</v>
      </c>
      <c r="AI5052">
        <v>94.236955062008803</v>
      </c>
      <c r="AJ5052">
        <v>103.52427006202301</v>
      </c>
      <c r="AK5052">
        <v>15.0934640011659</v>
      </c>
      <c r="AL5052">
        <v>79.691888523455106</v>
      </c>
      <c r="AM5052">
        <v>97.92104580697</v>
      </c>
      <c r="AN5052">
        <v>0.99999997837290899</v>
      </c>
    </row>
    <row r="5053" spans="1:40" x14ac:dyDescent="0.25">
      <c r="A5053" t="str">
        <f>"20190312172513165"</f>
        <v>20190312172513165</v>
      </c>
      <c r="B5053" t="str">
        <f>"1552382713156072"</f>
        <v>1552382713156072</v>
      </c>
      <c r="C5053" t="s">
        <v>40</v>
      </c>
      <c r="D5053">
        <v>3.8072180000000002</v>
      </c>
      <c r="E5053">
        <v>0.46485110000000002</v>
      </c>
      <c r="F5053" t="s">
        <v>43</v>
      </c>
      <c r="G5053">
        <v>-395.96960000000001</v>
      </c>
      <c r="H5053" s="1">
        <v>-2.8872200000000002E-6</v>
      </c>
      <c r="I5053">
        <v>23.38054</v>
      </c>
      <c r="J5053">
        <v>-410.42689999999999</v>
      </c>
      <c r="K5053">
        <v>1.115035</v>
      </c>
      <c r="L5053">
        <v>27.970369999999999</v>
      </c>
      <c r="M5053">
        <v>0.85630729999999999</v>
      </c>
      <c r="N5053">
        <v>0</v>
      </c>
      <c r="O5053">
        <v>-0.51628300000000005</v>
      </c>
      <c r="P5053">
        <v>0.90529470000000001</v>
      </c>
      <c r="Q5053">
        <v>0.167230399999999</v>
      </c>
      <c r="R5053">
        <v>-0.39048149999999998</v>
      </c>
      <c r="S5053">
        <v>2.9498600000000001</v>
      </c>
      <c r="T5053">
        <v>-0.2255569</v>
      </c>
      <c r="U5053">
        <v>-0.94284060000000003</v>
      </c>
      <c r="V5053">
        <v>-0.13496569999999999</v>
      </c>
      <c r="W5053">
        <v>0.17923430000000001</v>
      </c>
      <c r="X5053">
        <v>0.97450460000000005</v>
      </c>
      <c r="Y5053">
        <v>-0.22929939999999999</v>
      </c>
      <c r="Z5053">
        <v>4.4783990000000003E-2</v>
      </c>
      <c r="AA5053">
        <v>0.97232510000000005</v>
      </c>
      <c r="AB5053">
        <v>24</v>
      </c>
      <c r="AC5053">
        <v>14.457299999999901</v>
      </c>
      <c r="AD5053">
        <v>-1.11503788722</v>
      </c>
      <c r="AE5053">
        <v>-4.5898300000000001</v>
      </c>
      <c r="AF5053">
        <v>-3.51509354961247</v>
      </c>
      <c r="AG5053">
        <v>-1.11503788722</v>
      </c>
      <c r="AH5053">
        <v>14.671658824423901</v>
      </c>
      <c r="AI5053">
        <v>94.226923587530806</v>
      </c>
      <c r="AJ5053">
        <v>103.47318995901099</v>
      </c>
      <c r="AK5053">
        <v>15.128012586349801</v>
      </c>
      <c r="AL5053">
        <v>79.674836293414998</v>
      </c>
      <c r="AM5053">
        <v>97.8851176777451</v>
      </c>
      <c r="AN5053">
        <v>0.99999994494706801</v>
      </c>
    </row>
    <row r="5054" spans="1:40" x14ac:dyDescent="0.25">
      <c r="A5054" t="str">
        <f>"20190312172513176"</f>
        <v>20190312172513176</v>
      </c>
      <c r="B5054" t="str">
        <f>"1552382713165832"</f>
        <v>1552382713165832</v>
      </c>
      <c r="C5054" t="s">
        <v>40</v>
      </c>
      <c r="D5054">
        <v>3.778349</v>
      </c>
      <c r="E5054">
        <v>0.46491080000000001</v>
      </c>
      <c r="F5054" t="s">
        <v>43</v>
      </c>
      <c r="G5054">
        <v>-395.74220000000003</v>
      </c>
      <c r="H5054" s="1">
        <v>-2.9812599999999999E-6</v>
      </c>
      <c r="I5054">
        <v>23.33</v>
      </c>
      <c r="J5054">
        <v>-410.3229</v>
      </c>
      <c r="K5054">
        <v>1.114962</v>
      </c>
      <c r="L5054">
        <v>27.912140000000001</v>
      </c>
      <c r="M5054">
        <v>0.85809279999999999</v>
      </c>
      <c r="N5054">
        <v>0</v>
      </c>
      <c r="O5054">
        <v>-0.51331009999999999</v>
      </c>
      <c r="P5054">
        <v>0.90639550000000002</v>
      </c>
      <c r="Q5054">
        <v>0.167437</v>
      </c>
      <c r="R5054">
        <v>-0.38783010000000001</v>
      </c>
      <c r="S5054">
        <v>2.9527589999999999</v>
      </c>
      <c r="T5054">
        <v>-0.2242094</v>
      </c>
      <c r="U5054">
        <v>-0.93307499999999999</v>
      </c>
      <c r="V5054">
        <v>-0.13438620000000001</v>
      </c>
      <c r="W5054">
        <v>0.17945849999999999</v>
      </c>
      <c r="X5054">
        <v>0.97454350000000001</v>
      </c>
      <c r="Y5054">
        <v>-0.22915079999999999</v>
      </c>
      <c r="Z5054">
        <v>4.4315510000000002E-2</v>
      </c>
      <c r="AA5054">
        <v>0.97238170000000002</v>
      </c>
      <c r="AB5054">
        <v>24</v>
      </c>
      <c r="AC5054">
        <v>14.580699999999901</v>
      </c>
      <c r="AD5054">
        <v>-1.11496498126</v>
      </c>
      <c r="AE5054">
        <v>-4.5821399999999999</v>
      </c>
      <c r="AF5054">
        <v>-3.5340481710615701</v>
      </c>
      <c r="AG5054">
        <v>-1.11496498126</v>
      </c>
      <c r="AH5054">
        <v>14.7863699673553</v>
      </c>
      <c r="AI5054">
        <v>94.194521343161796</v>
      </c>
      <c r="AJ5054">
        <v>103.441933341658</v>
      </c>
      <c r="AK5054">
        <v>15.2436668881318</v>
      </c>
      <c r="AL5054">
        <v>79.661779636261002</v>
      </c>
      <c r="AM5054">
        <v>97.851375145975396</v>
      </c>
      <c r="AN5054">
        <v>1.00000001868246</v>
      </c>
    </row>
    <row r="5055" spans="1:40" x14ac:dyDescent="0.25">
      <c r="A5055" t="str">
        <f>"20190312172513187"</f>
        <v>20190312172513187</v>
      </c>
      <c r="B5055" t="str">
        <f>"1552382713175592"</f>
        <v>1552382713175592</v>
      </c>
      <c r="C5055" t="s">
        <v>40</v>
      </c>
      <c r="D5055">
        <v>3.9554969999999998</v>
      </c>
      <c r="E5055">
        <v>0.46491880000000002</v>
      </c>
      <c r="F5055" t="s">
        <v>43</v>
      </c>
      <c r="G5055">
        <v>-395.4452</v>
      </c>
      <c r="H5055" s="1">
        <v>-3.1014859999999999E-6</v>
      </c>
      <c r="I5055">
        <v>23.25413</v>
      </c>
      <c r="J5055">
        <v>-410.22449999999998</v>
      </c>
      <c r="K5055">
        <v>1.1148899999999999</v>
      </c>
      <c r="L5055">
        <v>27.85745</v>
      </c>
      <c r="M5055">
        <v>0.85974059999999897</v>
      </c>
      <c r="N5055">
        <v>0</v>
      </c>
      <c r="O5055">
        <v>-0.51054579999999905</v>
      </c>
      <c r="P5055">
        <v>0.90739360000000002</v>
      </c>
      <c r="Q5055">
        <v>0.16772519999999999</v>
      </c>
      <c r="R5055">
        <v>-0.38536409999999999</v>
      </c>
      <c r="S5055">
        <v>2.954895</v>
      </c>
      <c r="T5055">
        <v>-0.22144630000000001</v>
      </c>
      <c r="U5055">
        <v>-0.92514039999999997</v>
      </c>
      <c r="V5055">
        <v>-0.133842299999999</v>
      </c>
      <c r="W5055">
        <v>0.1797629</v>
      </c>
      <c r="X5055">
        <v>0.97456220000000005</v>
      </c>
      <c r="Y5055">
        <v>-0.22864719999999999</v>
      </c>
      <c r="Z5055">
        <v>4.3576129999999998E-2</v>
      </c>
      <c r="AA5055">
        <v>0.9725336</v>
      </c>
      <c r="AB5055">
        <v>24</v>
      </c>
      <c r="AC5055">
        <v>14.7792999999999</v>
      </c>
      <c r="AD5055">
        <v>-1.114893101486</v>
      </c>
      <c r="AE5055">
        <v>-4.6033200000000001</v>
      </c>
      <c r="AF5055">
        <v>-3.56967052613494</v>
      </c>
      <c r="AG5055">
        <v>-1.114893101486</v>
      </c>
      <c r="AH5055">
        <v>14.9802854822344</v>
      </c>
      <c r="AI5055">
        <v>94.140815507734899</v>
      </c>
      <c r="AJ5055">
        <v>103.403123891552</v>
      </c>
      <c r="AK5055">
        <v>15.440028737736901</v>
      </c>
      <c r="AL5055">
        <v>79.644049992478102</v>
      </c>
      <c r="AM5055">
        <v>97.819844096917095</v>
      </c>
      <c r="AN5055">
        <v>0.99999997157726905</v>
      </c>
    </row>
    <row r="5056" spans="1:40" x14ac:dyDescent="0.25">
      <c r="A5056" t="str">
        <f>"20190312172513199"</f>
        <v>20190312172513199</v>
      </c>
      <c r="B5056" t="str">
        <f>"1552382713196088"</f>
        <v>1552382713196088</v>
      </c>
      <c r="C5056" t="s">
        <v>40</v>
      </c>
      <c r="D5056">
        <v>3.8148909999999998</v>
      </c>
      <c r="E5056">
        <v>0.46524310000000002</v>
      </c>
      <c r="F5056" t="s">
        <v>43</v>
      </c>
      <c r="G5056">
        <v>-395.40530000000001</v>
      </c>
      <c r="H5056" s="1">
        <v>-3.12188E-6</v>
      </c>
      <c r="I5056">
        <v>23.25994</v>
      </c>
      <c r="J5056">
        <v>-410.11070000000001</v>
      </c>
      <c r="K5056">
        <v>1.114803</v>
      </c>
      <c r="L5056">
        <v>27.794460000000001</v>
      </c>
      <c r="M5056">
        <v>0.86160969999999903</v>
      </c>
      <c r="N5056">
        <v>0</v>
      </c>
      <c r="O5056">
        <v>-0.5073858</v>
      </c>
      <c r="P5056">
        <v>0.90847140000000004</v>
      </c>
      <c r="Q5056">
        <v>0.16786609999999999</v>
      </c>
      <c r="R5056">
        <v>-0.3827547</v>
      </c>
      <c r="S5056">
        <v>2.957611</v>
      </c>
      <c r="T5056">
        <v>-0.22251080000000001</v>
      </c>
      <c r="U5056">
        <v>-0.91757200000000005</v>
      </c>
      <c r="V5056">
        <v>-0.133014299999999</v>
      </c>
      <c r="W5056">
        <v>0.17992610000000001</v>
      </c>
      <c r="X5056">
        <v>0.9746454</v>
      </c>
      <c r="Y5056">
        <v>-0.22759009999999999</v>
      </c>
      <c r="Z5056">
        <v>4.3535079999999997E-2</v>
      </c>
      <c r="AA5056">
        <v>0.97278339999999996</v>
      </c>
      <c r="AB5056">
        <v>24</v>
      </c>
      <c r="AC5056">
        <v>14.7053999999999</v>
      </c>
      <c r="AD5056">
        <v>-1.1148061218799901</v>
      </c>
      <c r="AE5056">
        <v>-4.5345199999999899</v>
      </c>
      <c r="AF5056">
        <v>-3.5361019290824798</v>
      </c>
      <c r="AG5056">
        <v>-1.1148061218799901</v>
      </c>
      <c r="AH5056">
        <v>14.8943106328038</v>
      </c>
      <c r="AI5056">
        <v>94.165130570554794</v>
      </c>
      <c r="AJ5056">
        <v>103.355495985283</v>
      </c>
      <c r="AK5056">
        <v>15.3488533372592</v>
      </c>
      <c r="AL5056">
        <v>79.634543902264895</v>
      </c>
      <c r="AM5056">
        <v>97.771405237024993</v>
      </c>
      <c r="AN5056">
        <v>0.99999993060342696</v>
      </c>
    </row>
    <row r="5057" spans="1:40" x14ac:dyDescent="0.25">
      <c r="A5057" t="str">
        <f>"20190312172513217"</f>
        <v>20190312172513217</v>
      </c>
      <c r="B5057" t="str">
        <f>"1552382713205847"</f>
        <v>1552382713205847</v>
      </c>
      <c r="C5057" t="s">
        <v>40</v>
      </c>
      <c r="D5057">
        <v>3.8409990000000001</v>
      </c>
      <c r="E5057">
        <v>0.46542299999999998</v>
      </c>
      <c r="F5057" t="s">
        <v>43</v>
      </c>
      <c r="G5057">
        <v>-395.17189999999999</v>
      </c>
      <c r="H5057" s="1">
        <v>-3.213989E-6</v>
      </c>
      <c r="I5057">
        <v>23.191379999999999</v>
      </c>
      <c r="J5057">
        <v>-409.95179999999999</v>
      </c>
      <c r="K5057">
        <v>1.1146830000000001</v>
      </c>
      <c r="L5057">
        <v>27.707609999999999</v>
      </c>
      <c r="M5057">
        <v>0.86411610000000005</v>
      </c>
      <c r="N5057">
        <v>0</v>
      </c>
      <c r="O5057">
        <v>-0.50310559999999904</v>
      </c>
      <c r="P5057">
        <v>0.9098716</v>
      </c>
      <c r="Q5057">
        <v>0.16803940000000001</v>
      </c>
      <c r="R5057">
        <v>-0.37933729999999999</v>
      </c>
      <c r="S5057">
        <v>2.9589539999999999</v>
      </c>
      <c r="T5057">
        <v>-0.22081210000000001</v>
      </c>
      <c r="U5057">
        <v>-0.91174319999999998</v>
      </c>
      <c r="V5057">
        <v>-0.131772</v>
      </c>
      <c r="W5057">
        <v>0.1801316</v>
      </c>
      <c r="X5057">
        <v>0.97477630000000004</v>
      </c>
      <c r="Y5057">
        <v>-0.22467570000000001</v>
      </c>
      <c r="Z5057">
        <v>4.2832439999999999E-2</v>
      </c>
      <c r="AA5057">
        <v>0.97349180000000002</v>
      </c>
      <c r="AB5057">
        <v>24</v>
      </c>
      <c r="AC5057">
        <v>14.7798999999999</v>
      </c>
      <c r="AD5057">
        <v>-1.1146862139889999</v>
      </c>
      <c r="AE5057">
        <v>-4.5162300000000002</v>
      </c>
      <c r="AF5057">
        <v>-3.5153479177939801</v>
      </c>
      <c r="AG5057">
        <v>-1.1146862139889999</v>
      </c>
      <c r="AH5057">
        <v>14.967241363638699</v>
      </c>
      <c r="AI5057">
        <v>94.146812021419606</v>
      </c>
      <c r="AJ5057">
        <v>103.217463103922</v>
      </c>
      <c r="AK5057">
        <v>15.4148795122185</v>
      </c>
      <c r="AL5057">
        <v>79.622575238810697</v>
      </c>
      <c r="AM5057">
        <v>97.698676599304406</v>
      </c>
      <c r="AN5057">
        <v>1.00000004417212</v>
      </c>
    </row>
    <row r="5058" spans="1:40" x14ac:dyDescent="0.25">
      <c r="A5058" t="str">
        <f>"20190312172513229"</f>
        <v>20190312172513229</v>
      </c>
      <c r="B5058" t="str">
        <f>"1552382713215607"</f>
        <v>1552382713215607</v>
      </c>
      <c r="C5058" t="s">
        <v>40</v>
      </c>
      <c r="D5058">
        <v>3.8464179999999999</v>
      </c>
      <c r="E5058">
        <v>0.46567789999999998</v>
      </c>
      <c r="F5058" t="s">
        <v>43</v>
      </c>
      <c r="G5058">
        <v>-394.91930000000002</v>
      </c>
      <c r="H5058" s="1">
        <v>-3.3164070000000001E-6</v>
      </c>
      <c r="I5058">
        <v>23.127610000000001</v>
      </c>
      <c r="J5058">
        <v>-409.84609999999998</v>
      </c>
      <c r="K5058">
        <v>1.1146</v>
      </c>
      <c r="L5058">
        <v>27.650179999999999</v>
      </c>
      <c r="M5058">
        <v>0.86573109999999998</v>
      </c>
      <c r="N5058">
        <v>0</v>
      </c>
      <c r="O5058">
        <v>-0.50032159999999903</v>
      </c>
      <c r="P5058">
        <v>0.91092530000000005</v>
      </c>
      <c r="Q5058">
        <v>0.16797989999999999</v>
      </c>
      <c r="R5058">
        <v>-0.37682599999999999</v>
      </c>
      <c r="S5058">
        <v>2.9615779999999998</v>
      </c>
      <c r="T5058">
        <v>-0.219606</v>
      </c>
      <c r="U5058">
        <v>-0.90231320000000004</v>
      </c>
      <c r="V5058">
        <v>-0.13129060000000001</v>
      </c>
      <c r="W5058">
        <v>0.18008940000000001</v>
      </c>
      <c r="X5058">
        <v>0.97484899999999997</v>
      </c>
      <c r="Y5058">
        <v>-0.22464110000000001</v>
      </c>
      <c r="Z5058">
        <v>4.241752E-2</v>
      </c>
      <c r="AA5058">
        <v>0.97351790000000005</v>
      </c>
      <c r="AB5058">
        <v>24</v>
      </c>
      <c r="AC5058">
        <v>14.926799999999901</v>
      </c>
      <c r="AD5058">
        <v>-1.1146033164069999</v>
      </c>
      <c r="AE5058">
        <v>-4.5225699999999902</v>
      </c>
      <c r="AF5058">
        <v>-3.5351509383091</v>
      </c>
      <c r="AG5058">
        <v>-1.1146033164069999</v>
      </c>
      <c r="AH5058">
        <v>15.109597262737299</v>
      </c>
      <c r="AI5058">
        <v>94.108393274942202</v>
      </c>
      <c r="AJ5058">
        <v>103.168462925726</v>
      </c>
      <c r="AK5058">
        <v>15.557620709854501</v>
      </c>
      <c r="AL5058">
        <v>79.6250327846262</v>
      </c>
      <c r="AM5058">
        <v>97.670321416056396</v>
      </c>
      <c r="AN5058">
        <v>0.99999999322085897</v>
      </c>
    </row>
    <row r="5059" spans="1:40" x14ac:dyDescent="0.25">
      <c r="A5059" t="str">
        <f>"20190312172513241"</f>
        <v>20190312172513241</v>
      </c>
      <c r="B5059" t="str">
        <f>"1552382713236104"</f>
        <v>1552382713236104</v>
      </c>
      <c r="C5059" t="s">
        <v>40</v>
      </c>
      <c r="D5059">
        <v>3.87188</v>
      </c>
      <c r="E5059">
        <v>0.46615899999999999</v>
      </c>
      <c r="F5059" t="s">
        <v>43</v>
      </c>
      <c r="G5059">
        <v>-394.80360000000002</v>
      </c>
      <c r="H5059" s="1">
        <v>-3.3637699999999902E-6</v>
      </c>
      <c r="I5059">
        <v>23.100100000000001</v>
      </c>
      <c r="J5059">
        <v>-409.72579999999999</v>
      </c>
      <c r="K5059">
        <v>1.1145050000000001</v>
      </c>
      <c r="L5059">
        <v>27.585239999999999</v>
      </c>
      <c r="M5059">
        <v>0.86752809999999903</v>
      </c>
      <c r="N5059">
        <v>0</v>
      </c>
      <c r="O5059">
        <v>-0.49719980000000003</v>
      </c>
      <c r="P5059">
        <v>0.91194580000000003</v>
      </c>
      <c r="Q5059">
        <v>0.16808239999999999</v>
      </c>
      <c r="R5059">
        <v>-0.37430409999999997</v>
      </c>
      <c r="S5059">
        <v>2.9630429999999999</v>
      </c>
      <c r="T5059">
        <v>-0.21955359999999999</v>
      </c>
      <c r="U5059">
        <v>-0.89627080000000003</v>
      </c>
      <c r="V5059">
        <v>-0.13042380000000001</v>
      </c>
      <c r="W5059">
        <v>0.1802165</v>
      </c>
      <c r="X5059">
        <v>0.97494179999999997</v>
      </c>
      <c r="Y5059">
        <v>-0.22309409999999999</v>
      </c>
      <c r="Z5059">
        <v>4.215634E-2</v>
      </c>
      <c r="AA5059">
        <v>0.97388490000000005</v>
      </c>
      <c r="AB5059">
        <v>24</v>
      </c>
      <c r="AC5059">
        <v>14.922199999999901</v>
      </c>
      <c r="AD5059">
        <v>-1.11450836377</v>
      </c>
      <c r="AE5059">
        <v>-4.4851400000000003</v>
      </c>
      <c r="AF5059">
        <v>-3.5106993769328101</v>
      </c>
      <c r="AG5059">
        <v>-1.11450836377</v>
      </c>
      <c r="AH5059">
        <v>15.0996093022527</v>
      </c>
      <c r="AI5059">
        <v>94.112079928169393</v>
      </c>
      <c r="AJ5059">
        <v>103.088877557459</v>
      </c>
      <c r="AK5059">
        <v>15.542372408637799</v>
      </c>
      <c r="AL5059">
        <v>79.617628738309193</v>
      </c>
      <c r="AM5059">
        <v>97.619561011092301</v>
      </c>
      <c r="AN5059">
        <v>0.99999993393296205</v>
      </c>
    </row>
    <row r="5060" spans="1:40" x14ac:dyDescent="0.25">
      <c r="A5060" t="str">
        <f>"20190312172513252"</f>
        <v>20190312172513252</v>
      </c>
      <c r="B5060" t="str">
        <f>"1552382713245863"</f>
        <v>1552382713245863</v>
      </c>
      <c r="C5060" t="s">
        <v>40</v>
      </c>
      <c r="D5060">
        <v>4.0082209999999998</v>
      </c>
      <c r="E5060">
        <v>0.46630480000000002</v>
      </c>
      <c r="F5060" t="s">
        <v>43</v>
      </c>
      <c r="G5060">
        <v>-394.62360000000001</v>
      </c>
      <c r="H5060" s="1">
        <v>-3.4331499999999999E-6</v>
      </c>
      <c r="I5060">
        <v>23.040980000000001</v>
      </c>
      <c r="J5060">
        <v>-409.62459999999999</v>
      </c>
      <c r="K5060">
        <v>1.1144240000000001</v>
      </c>
      <c r="L5060">
        <v>27.531099999999999</v>
      </c>
      <c r="M5060">
        <v>0.86898149999999996</v>
      </c>
      <c r="N5060">
        <v>0</v>
      </c>
      <c r="O5060">
        <v>-0.49465599999999998</v>
      </c>
      <c r="P5060">
        <v>0.91269800000000001</v>
      </c>
      <c r="Q5060">
        <v>0.16814809999999999</v>
      </c>
      <c r="R5060">
        <v>-0.37243670000000001</v>
      </c>
      <c r="S5060">
        <v>2.9639280000000001</v>
      </c>
      <c r="T5060">
        <v>-0.2187308</v>
      </c>
      <c r="U5060">
        <v>-0.89184569999999996</v>
      </c>
      <c r="V5060">
        <v>-0.12951969999999999</v>
      </c>
      <c r="W5060">
        <v>0.1803033</v>
      </c>
      <c r="X5060">
        <v>0.97504630000000003</v>
      </c>
      <c r="Y5060">
        <v>-0.22167229999999999</v>
      </c>
      <c r="Z5060">
        <v>4.1791490000000001E-2</v>
      </c>
      <c r="AA5060">
        <v>0.97422529999999996</v>
      </c>
      <c r="AB5060">
        <v>24</v>
      </c>
      <c r="AC5060">
        <v>15.0009999999999</v>
      </c>
      <c r="AD5060">
        <v>-1.1144274331499999</v>
      </c>
      <c r="AE5060">
        <v>-4.4901200000000001</v>
      </c>
      <c r="AF5060">
        <v>-3.5010979066747301</v>
      </c>
      <c r="AG5060">
        <v>-1.1144274331499999</v>
      </c>
      <c r="AH5060">
        <v>15.1811837696116</v>
      </c>
      <c r="AI5060">
        <v>94.0914493245442</v>
      </c>
      <c r="AJ5060">
        <v>102.986546233056</v>
      </c>
      <c r="AK5060">
        <v>15.619474245396299</v>
      </c>
      <c r="AL5060">
        <v>79.6125729132918</v>
      </c>
      <c r="AM5060">
        <v>97.566554656895306</v>
      </c>
      <c r="AN5060">
        <v>0.99999995991133395</v>
      </c>
    </row>
    <row r="5061" spans="1:40" x14ac:dyDescent="0.25">
      <c r="A5061" t="str">
        <f>"20190312172513264"</f>
        <v>20190312172513264</v>
      </c>
      <c r="B5061" t="str">
        <f>"1552382713255623"</f>
        <v>1552382713255623</v>
      </c>
      <c r="C5061" t="s">
        <v>40</v>
      </c>
      <c r="D5061">
        <v>3.8617499999999998</v>
      </c>
      <c r="E5061">
        <v>0.46661859999999999</v>
      </c>
      <c r="F5061" t="s">
        <v>43</v>
      </c>
      <c r="G5061">
        <v>-394.60919999999999</v>
      </c>
      <c r="H5061" s="1">
        <v>-3.4396780000000001E-6</v>
      </c>
      <c r="I5061">
        <v>23.03989</v>
      </c>
      <c r="J5061">
        <v>-409.52280000000002</v>
      </c>
      <c r="K5061">
        <v>1.1143510000000001</v>
      </c>
      <c r="L5061">
        <v>27.476839999999999</v>
      </c>
      <c r="M5061">
        <v>0.87042240000000004</v>
      </c>
      <c r="N5061">
        <v>0</v>
      </c>
      <c r="O5061">
        <v>-0.49211650000000001</v>
      </c>
      <c r="P5061">
        <v>0.91358079999999997</v>
      </c>
      <c r="Q5061">
        <v>0.16787629999999901</v>
      </c>
      <c r="R5061">
        <v>-0.37038880000000002</v>
      </c>
      <c r="S5061">
        <v>2.965576</v>
      </c>
      <c r="T5061">
        <v>-0.2201022</v>
      </c>
      <c r="U5061">
        <v>-0.88702389999999998</v>
      </c>
      <c r="V5061">
        <v>-0.12884509999999999</v>
      </c>
      <c r="W5061">
        <v>0.1800514</v>
      </c>
      <c r="X5061">
        <v>0.9751822</v>
      </c>
      <c r="Y5061">
        <v>-0.22041620000000001</v>
      </c>
      <c r="Z5061">
        <v>4.1841080000000003E-2</v>
      </c>
      <c r="AA5061">
        <v>0.97450809999999999</v>
      </c>
      <c r="AB5061">
        <v>24</v>
      </c>
      <c r="AC5061">
        <v>14.913600000000001</v>
      </c>
      <c r="AD5061">
        <v>-1.1143544396780001</v>
      </c>
      <c r="AE5061">
        <v>-4.4369500000000004</v>
      </c>
      <c r="AF5061">
        <v>-3.4597858524924701</v>
      </c>
      <c r="AG5061">
        <v>-1.1143544396780001</v>
      </c>
      <c r="AH5061">
        <v>15.0886473444016</v>
      </c>
      <c r="AI5061">
        <v>94.117372888038403</v>
      </c>
      <c r="AJ5061">
        <v>102.914518861234</v>
      </c>
      <c r="AK5061">
        <v>15.5202829434922</v>
      </c>
      <c r="AL5061">
        <v>79.627245697802394</v>
      </c>
      <c r="AM5061">
        <v>97.526560551741298</v>
      </c>
      <c r="AN5061">
        <v>0.99999994481640297</v>
      </c>
    </row>
    <row r="5062" spans="1:40" x14ac:dyDescent="0.25">
      <c r="A5062" t="str">
        <f>"20190312172513275"</f>
        <v>20190312172513275</v>
      </c>
      <c r="B5062" t="str">
        <f>"1552382713265383"</f>
        <v>1552382713265383</v>
      </c>
      <c r="C5062" t="s">
        <v>40</v>
      </c>
      <c r="D5062">
        <v>3.8840539999999999</v>
      </c>
      <c r="E5062">
        <v>0.46692080000000002</v>
      </c>
      <c r="F5062" t="s">
        <v>43</v>
      </c>
      <c r="G5062">
        <v>-394.59539999999998</v>
      </c>
      <c r="H5062" s="1">
        <v>-3.4451109999999999E-6</v>
      </c>
      <c r="I5062">
        <v>23.035820000000001</v>
      </c>
      <c r="J5062">
        <v>-409.4196</v>
      </c>
      <c r="K5062">
        <v>1.114274</v>
      </c>
      <c r="L5062">
        <v>27.42221</v>
      </c>
      <c r="M5062">
        <v>0.87183860000000002</v>
      </c>
      <c r="N5062">
        <v>0</v>
      </c>
      <c r="O5062">
        <v>-0.48960320000000002</v>
      </c>
      <c r="P5062">
        <v>0.91427449999999999</v>
      </c>
      <c r="Q5062">
        <v>0.16807069999999999</v>
      </c>
      <c r="R5062">
        <v>-0.36858419999999997</v>
      </c>
      <c r="S5062">
        <v>2.9666440000000001</v>
      </c>
      <c r="T5062">
        <v>-0.22146479999999999</v>
      </c>
      <c r="U5062">
        <v>-0.88259889999999996</v>
      </c>
      <c r="V5062">
        <v>-0.12790570000000001</v>
      </c>
      <c r="W5062">
        <v>0.1802657</v>
      </c>
      <c r="X5062">
        <v>0.97526630000000003</v>
      </c>
      <c r="Y5062">
        <v>-0.21902160000000001</v>
      </c>
      <c r="Z5062">
        <v>4.1889320000000001E-2</v>
      </c>
      <c r="AA5062">
        <v>0.97482040000000003</v>
      </c>
      <c r="AB5062">
        <v>24</v>
      </c>
      <c r="AC5062">
        <v>14.824199999999999</v>
      </c>
      <c r="AD5062">
        <v>-1.114277445111</v>
      </c>
      <c r="AE5062">
        <v>-4.3863899999999898</v>
      </c>
      <c r="AF5062">
        <v>-3.4163231730788399</v>
      </c>
      <c r="AG5062">
        <v>-1.114277445111</v>
      </c>
      <c r="AH5062">
        <v>14.9954008997166</v>
      </c>
      <c r="AI5062">
        <v>94.143922616373601</v>
      </c>
      <c r="AJ5062">
        <v>102.83433653500499</v>
      </c>
      <c r="AK5062">
        <v>15.419952217527101</v>
      </c>
      <c r="AL5062">
        <v>79.614763262957197</v>
      </c>
      <c r="AM5062">
        <v>97.471670237512598</v>
      </c>
      <c r="AN5062">
        <v>0.99999997330233403</v>
      </c>
    </row>
    <row r="5063" spans="1:40" x14ac:dyDescent="0.25">
      <c r="A5063" t="str">
        <f>"20190312172513285"</f>
        <v>20190312172513285</v>
      </c>
      <c r="B5063" t="str">
        <f>"1552382713276120"</f>
        <v>1552382713276120</v>
      </c>
      <c r="C5063" t="s">
        <v>40</v>
      </c>
      <c r="D5063">
        <v>3.8810889999999998</v>
      </c>
      <c r="E5063">
        <v>0.46723629999999999</v>
      </c>
      <c r="F5063" t="s">
        <v>43</v>
      </c>
      <c r="G5063">
        <v>-394.49029999999999</v>
      </c>
      <c r="H5063" s="1">
        <v>-3.48495E-6</v>
      </c>
      <c r="I5063">
        <v>22.998899999999999</v>
      </c>
      <c r="J5063">
        <v>-409.32100000000003</v>
      </c>
      <c r="K5063">
        <v>1.1142019999999999</v>
      </c>
      <c r="L5063">
        <v>27.370270000000001</v>
      </c>
      <c r="M5063">
        <v>0.87316499999999997</v>
      </c>
      <c r="N5063">
        <v>0</v>
      </c>
      <c r="O5063">
        <v>-0.48723420000000001</v>
      </c>
      <c r="P5063">
        <v>0.91502950000000005</v>
      </c>
      <c r="Q5063">
        <v>0.1681453</v>
      </c>
      <c r="R5063">
        <v>-0.3666719</v>
      </c>
      <c r="S5063">
        <v>2.9675600000000002</v>
      </c>
      <c r="T5063">
        <v>-0.22148989999999999</v>
      </c>
      <c r="U5063">
        <v>-0.87924190000000002</v>
      </c>
      <c r="V5063">
        <v>-0.12725810000000001</v>
      </c>
      <c r="W5063">
        <v>0.18035670000000001</v>
      </c>
      <c r="X5063">
        <v>0.97533419999999904</v>
      </c>
      <c r="Y5063">
        <v>-0.21747649999999999</v>
      </c>
      <c r="Z5063">
        <v>4.1686389999999997E-2</v>
      </c>
      <c r="AA5063">
        <v>0.97517500000000001</v>
      </c>
      <c r="AB5063">
        <v>24</v>
      </c>
      <c r="AC5063">
        <v>14.830699999999901</v>
      </c>
      <c r="AD5063">
        <v>-1.11420548495</v>
      </c>
      <c r="AE5063">
        <v>-4.3713699999999998</v>
      </c>
      <c r="AF5063">
        <v>-3.3917996318066899</v>
      </c>
      <c r="AG5063">
        <v>-1.11420548495</v>
      </c>
      <c r="AH5063">
        <v>15.0030174834896</v>
      </c>
      <c r="AI5063">
        <v>94.143118998735602</v>
      </c>
      <c r="AJ5063">
        <v>102.738967630955</v>
      </c>
      <c r="AK5063">
        <v>15.4219419080384</v>
      </c>
      <c r="AL5063">
        <v>79.609462561058294</v>
      </c>
      <c r="AM5063">
        <v>97.433752846623904</v>
      </c>
      <c r="AN5063">
        <v>0.99999998247006905</v>
      </c>
    </row>
    <row r="5064" spans="1:40" x14ac:dyDescent="0.25">
      <c r="A5064" t="str">
        <f>"20190312172513296"</f>
        <v>20190312172513296</v>
      </c>
      <c r="B5064" t="str">
        <f>"1552382713285880"</f>
        <v>1552382713285880</v>
      </c>
      <c r="C5064" t="s">
        <v>40</v>
      </c>
      <c r="D5064">
        <v>3.9875389999999999</v>
      </c>
      <c r="E5064">
        <v>0.46744849999999999</v>
      </c>
      <c r="F5064" t="s">
        <v>43</v>
      </c>
      <c r="G5064">
        <v>-394.41890000000001</v>
      </c>
      <c r="H5064" s="1">
        <v>-3.5126559999999999E-6</v>
      </c>
      <c r="I5064">
        <v>22.97617</v>
      </c>
      <c r="J5064">
        <v>-409.21530000000001</v>
      </c>
      <c r="K5064">
        <v>1.114133</v>
      </c>
      <c r="L5064">
        <v>27.314910000000001</v>
      </c>
      <c r="M5064">
        <v>0.87455119999999897</v>
      </c>
      <c r="N5064">
        <v>0</v>
      </c>
      <c r="O5064">
        <v>-0.48474200000000001</v>
      </c>
      <c r="P5064">
        <v>0.91577489999999995</v>
      </c>
      <c r="Q5064">
        <v>0.1681221</v>
      </c>
      <c r="R5064">
        <v>-0.36481710000000001</v>
      </c>
      <c r="S5064">
        <v>2.9685969999999999</v>
      </c>
      <c r="T5064">
        <v>-0.2219573</v>
      </c>
      <c r="U5064">
        <v>-0.87533570000000005</v>
      </c>
      <c r="V5064">
        <v>-0.12642049999999999</v>
      </c>
      <c r="W5064">
        <v>0.1803516</v>
      </c>
      <c r="X5064">
        <v>0.97544410000000004</v>
      </c>
      <c r="Y5064">
        <v>-0.2159681</v>
      </c>
      <c r="Z5064">
        <v>4.1559180000000001E-2</v>
      </c>
      <c r="AA5064">
        <v>0.97551549999999998</v>
      </c>
      <c r="AB5064">
        <v>24</v>
      </c>
      <c r="AC5064">
        <v>14.7964</v>
      </c>
      <c r="AD5064">
        <v>-1.1141365126559899</v>
      </c>
      <c r="AE5064">
        <v>-4.3387399999999898</v>
      </c>
      <c r="AF5064">
        <v>-3.3607534252834599</v>
      </c>
      <c r="AG5064">
        <v>-1.1141365126559899</v>
      </c>
      <c r="AH5064">
        <v>14.966634935784001</v>
      </c>
      <c r="AI5064">
        <v>94.154252443155698</v>
      </c>
      <c r="AJ5064">
        <v>102.655824185331</v>
      </c>
      <c r="AK5064">
        <v>15.3797309812434</v>
      </c>
      <c r="AL5064">
        <v>79.609760007402301</v>
      </c>
      <c r="AM5064">
        <v>97.384543653391304</v>
      </c>
      <c r="AN5064">
        <v>1.0000000173338099</v>
      </c>
    </row>
    <row r="5065" spans="1:40" x14ac:dyDescent="0.25">
      <c r="A5065" t="str">
        <f>"20190312172513312"</f>
        <v>20190312172513312</v>
      </c>
      <c r="B5065" t="str">
        <f>"1552382713305400"</f>
        <v>1552382713305400</v>
      </c>
      <c r="C5065" t="s">
        <v>40</v>
      </c>
      <c r="D5065">
        <v>4.0006539999999999</v>
      </c>
      <c r="E5065">
        <v>0.46785460000000001</v>
      </c>
      <c r="F5065" t="s">
        <v>43</v>
      </c>
      <c r="G5065">
        <v>-394.43259999999998</v>
      </c>
      <c r="H5065" s="1">
        <v>-3.5068999999999998E-6</v>
      </c>
      <c r="I5065">
        <v>22.978909999999999</v>
      </c>
      <c r="J5065">
        <v>-409.084</v>
      </c>
      <c r="K5065">
        <v>1.1140479999999999</v>
      </c>
      <c r="L5065">
        <v>27.246670000000002</v>
      </c>
      <c r="M5065">
        <v>0.87621919999999898</v>
      </c>
      <c r="N5065">
        <v>0</v>
      </c>
      <c r="O5065">
        <v>-0.4817207</v>
      </c>
      <c r="P5065">
        <v>0.91675960000000001</v>
      </c>
      <c r="Q5065">
        <v>0.16785329999999901</v>
      </c>
      <c r="R5065">
        <v>-0.36246</v>
      </c>
      <c r="S5065">
        <v>2.96991</v>
      </c>
      <c r="T5065">
        <v>-0.2238357</v>
      </c>
      <c r="U5065">
        <v>-0.87112429999999996</v>
      </c>
      <c r="V5065">
        <v>-0.1255444</v>
      </c>
      <c r="W5065">
        <v>0.18010300000000001</v>
      </c>
      <c r="X5065">
        <v>0.9756032</v>
      </c>
      <c r="Y5065">
        <v>-0.213972</v>
      </c>
      <c r="Z5065">
        <v>4.1638500000000002E-2</v>
      </c>
      <c r="AA5065">
        <v>0.97595200000000004</v>
      </c>
      <c r="AB5065">
        <v>24</v>
      </c>
      <c r="AC5065">
        <v>14.651400000000001</v>
      </c>
      <c r="AD5065">
        <v>-1.1140515069000001</v>
      </c>
      <c r="AE5065">
        <v>-4.26776</v>
      </c>
      <c r="AF5065">
        <v>-3.30110343255686</v>
      </c>
      <c r="AG5065">
        <v>-1.1140515069000001</v>
      </c>
      <c r="AH5065">
        <v>14.8161228150733</v>
      </c>
      <c r="AI5065">
        <v>94.197539452793293</v>
      </c>
      <c r="AJ5065">
        <v>102.56061280183501</v>
      </c>
      <c r="AK5065">
        <v>15.220246052669401</v>
      </c>
      <c r="AL5065">
        <v>79.6242411567153</v>
      </c>
      <c r="AM5065">
        <v>97.332744492051106</v>
      </c>
      <c r="AN5065">
        <v>1.00000004541529</v>
      </c>
    </row>
    <row r="5066" spans="1:40" x14ac:dyDescent="0.25">
      <c r="A5066" t="str">
        <f>"20190312172513324"</f>
        <v>20190312172513324</v>
      </c>
      <c r="B5066" t="str">
        <f>"1552382713316135"</f>
        <v>1552382713316135</v>
      </c>
      <c r="C5066" t="s">
        <v>40</v>
      </c>
      <c r="D5066">
        <v>3.8851059999999999</v>
      </c>
      <c r="E5066">
        <v>0.46785460000000001</v>
      </c>
      <c r="F5066" t="s">
        <v>43</v>
      </c>
      <c r="G5066">
        <v>-394.4486</v>
      </c>
      <c r="H5066" s="1">
        <v>-3.4993620000000001E-6</v>
      </c>
      <c r="I5066">
        <v>22.978950000000001</v>
      </c>
      <c r="J5066">
        <v>-408.96409999999997</v>
      </c>
      <c r="K5066">
        <v>1.1139669999999999</v>
      </c>
      <c r="L5066">
        <v>27.184660000000001</v>
      </c>
      <c r="M5066">
        <v>0.87770530000000002</v>
      </c>
      <c r="N5066">
        <v>0</v>
      </c>
      <c r="O5066">
        <v>-0.47900809999999999</v>
      </c>
      <c r="P5066">
        <v>0.91760209999999998</v>
      </c>
      <c r="Q5066">
        <v>0.16784669999999999</v>
      </c>
      <c r="R5066">
        <v>-0.36032459999999999</v>
      </c>
      <c r="S5066">
        <v>2.9712519999999998</v>
      </c>
      <c r="T5066">
        <v>-0.22617219999999999</v>
      </c>
      <c r="U5066">
        <v>-0.86642459999999899</v>
      </c>
      <c r="V5066">
        <v>-0.1247625</v>
      </c>
      <c r="W5066">
        <v>0.18011429999999901</v>
      </c>
      <c r="X5066">
        <v>0.97570140000000005</v>
      </c>
      <c r="Y5066">
        <v>-0.21246680000000001</v>
      </c>
      <c r="Z5066">
        <v>4.1836199999999997E-2</v>
      </c>
      <c r="AA5066">
        <v>0.97627229999999998</v>
      </c>
      <c r="AB5066">
        <v>24</v>
      </c>
      <c r="AC5066">
        <v>14.5154999999999</v>
      </c>
      <c r="AD5066">
        <v>-1.1139704993620001</v>
      </c>
      <c r="AE5066">
        <v>-4.2057099999999901</v>
      </c>
      <c r="AF5066">
        <v>-3.2443413648716102</v>
      </c>
      <c r="AG5066">
        <v>-1.1139704993620001</v>
      </c>
      <c r="AH5066">
        <v>14.6765189132754</v>
      </c>
      <c r="AI5066">
        <v>94.238576252785293</v>
      </c>
      <c r="AJ5066">
        <v>102.465149600738</v>
      </c>
      <c r="AK5066">
        <v>15.0720565476977</v>
      </c>
      <c r="AL5066">
        <v>79.623582812134899</v>
      </c>
      <c r="AM5066">
        <v>97.286842497710694</v>
      </c>
      <c r="AN5066">
        <v>1.00000003221634</v>
      </c>
    </row>
    <row r="5067" spans="1:40" x14ac:dyDescent="0.25">
      <c r="A5067" t="str">
        <f>"20190312172513342"</f>
        <v>20190312172513342</v>
      </c>
      <c r="B5067" t="str">
        <f>"1552382713335655"</f>
        <v>1552382713335655</v>
      </c>
      <c r="C5067" t="s">
        <v>40</v>
      </c>
      <c r="D5067">
        <v>3.8711890000000002</v>
      </c>
      <c r="E5067">
        <v>0.4755567</v>
      </c>
      <c r="F5067" t="s">
        <v>43</v>
      </c>
      <c r="G5067">
        <v>-394.32130000000001</v>
      </c>
      <c r="H5067" s="1">
        <v>-3.5523689999999999E-6</v>
      </c>
      <c r="I5067">
        <v>22.951989999999999</v>
      </c>
      <c r="J5067">
        <v>-408.80090000000001</v>
      </c>
      <c r="K5067">
        <v>1.1138619999999999</v>
      </c>
      <c r="L5067">
        <v>27.10089</v>
      </c>
      <c r="M5067">
        <v>0.87965759999999904</v>
      </c>
      <c r="N5067">
        <v>0</v>
      </c>
      <c r="O5067">
        <v>-0.47541420000000001</v>
      </c>
      <c r="P5067">
        <v>0.91860799999999998</v>
      </c>
      <c r="Q5067">
        <v>0.1674871</v>
      </c>
      <c r="R5067">
        <v>-0.35792160000000001</v>
      </c>
      <c r="S5067">
        <v>2.9732970000000001</v>
      </c>
      <c r="T5067">
        <v>-0.2261975</v>
      </c>
      <c r="U5067">
        <v>-0.85946659999999997</v>
      </c>
      <c r="V5067">
        <v>-0.123305399999999</v>
      </c>
      <c r="W5067">
        <v>0.1797822</v>
      </c>
      <c r="X5067">
        <v>0.97594780000000003</v>
      </c>
      <c r="Y5067">
        <v>-0.2107704</v>
      </c>
      <c r="Z5067">
        <v>4.1537339999999999E-2</v>
      </c>
      <c r="AA5067">
        <v>0.97665270000000004</v>
      </c>
      <c r="AB5067">
        <v>24</v>
      </c>
      <c r="AC5067">
        <v>14.4796</v>
      </c>
      <c r="AD5067">
        <v>-1.113865552369</v>
      </c>
      <c r="AE5067">
        <v>-4.1489000000000003</v>
      </c>
      <c r="AF5067">
        <v>-3.2169010957415698</v>
      </c>
      <c r="AG5067">
        <v>-1.113865552369</v>
      </c>
      <c r="AH5067">
        <v>14.630876575217799</v>
      </c>
      <c r="AI5067">
        <v>94.252407600512697</v>
      </c>
      <c r="AJ5067">
        <v>102.400352082407</v>
      </c>
      <c r="AK5067">
        <v>15.021707575631799</v>
      </c>
      <c r="AL5067">
        <v>79.642926007500094</v>
      </c>
      <c r="AM5067">
        <v>97.200839105247297</v>
      </c>
      <c r="AN5067">
        <v>0.99999998471541995</v>
      </c>
    </row>
    <row r="5068" spans="1:40" x14ac:dyDescent="0.25">
      <c r="A5068" t="str">
        <f>"20190312172513364"</f>
        <v>20190312172513364</v>
      </c>
      <c r="B5068" t="str">
        <f>"1552382713356152"</f>
        <v>1552382713356152</v>
      </c>
      <c r="C5068" t="s">
        <v>40</v>
      </c>
      <c r="D5068">
        <v>3.9118219999999999</v>
      </c>
      <c r="E5068">
        <v>0.4758424</v>
      </c>
      <c r="F5068" t="s">
        <v>43</v>
      </c>
      <c r="G5068">
        <v>-394.56180000000001</v>
      </c>
      <c r="H5068" s="1">
        <v>-3.3768180000000001E-6</v>
      </c>
      <c r="I5068">
        <v>22.7194</v>
      </c>
      <c r="J5068">
        <v>-408.59289999999999</v>
      </c>
      <c r="K5068">
        <v>1.113742</v>
      </c>
      <c r="L5068">
        <v>26.995270000000001</v>
      </c>
      <c r="M5068">
        <v>0.88203920000000002</v>
      </c>
      <c r="N5068">
        <v>0</v>
      </c>
      <c r="O5068">
        <v>-0.47098129999999999</v>
      </c>
      <c r="P5068">
        <v>0.91985879999999998</v>
      </c>
      <c r="Q5068">
        <v>0.16752649999999999</v>
      </c>
      <c r="R5068">
        <v>-0.3546762</v>
      </c>
      <c r="S5068">
        <v>2.9537960000000001</v>
      </c>
      <c r="T5068">
        <v>-0.2310625</v>
      </c>
      <c r="U5068">
        <v>-0.90890499999999996</v>
      </c>
      <c r="V5068">
        <v>-0.1217801</v>
      </c>
      <c r="W5068">
        <v>0.17984919999999999</v>
      </c>
      <c r="X5068">
        <v>0.97612699999999997</v>
      </c>
      <c r="Y5068">
        <v>-0.1890647</v>
      </c>
      <c r="Z5068">
        <v>4.1441029999999997E-2</v>
      </c>
      <c r="AA5068">
        <v>0.98108980000000001</v>
      </c>
      <c r="AB5068">
        <v>23</v>
      </c>
      <c r="AC5068">
        <v>14.031099999999901</v>
      </c>
      <c r="AD5068">
        <v>-1.1137453768179999</v>
      </c>
      <c r="AE5068">
        <v>-4.2758700000000003</v>
      </c>
      <c r="AF5068">
        <v>-2.8208977582739099</v>
      </c>
      <c r="AG5068">
        <v>-1.1137453768179999</v>
      </c>
      <c r="AH5068">
        <v>14.3086617232072</v>
      </c>
      <c r="AI5068">
        <v>94.367043326521497</v>
      </c>
      <c r="AJ5068">
        <v>101.15262268129899</v>
      </c>
      <c r="AK5068">
        <v>14.626540713244299</v>
      </c>
      <c r="AL5068">
        <v>79.639023991473294</v>
      </c>
      <c r="AM5068">
        <v>97.1113895583605</v>
      </c>
      <c r="AN5068">
        <v>1.0000000238128199</v>
      </c>
    </row>
    <row r="5069" spans="1:40" x14ac:dyDescent="0.25">
      <c r="A5069" t="str">
        <f>"20190312172513379"</f>
        <v>20190312172513379</v>
      </c>
      <c r="B5069" t="str">
        <f>"1552382713375672"</f>
        <v>1552382713375672</v>
      </c>
      <c r="C5069" t="s">
        <v>40</v>
      </c>
      <c r="D5069">
        <v>3.8952110000000002</v>
      </c>
      <c r="E5069">
        <v>0.47670580000000001</v>
      </c>
      <c r="F5069" t="s">
        <v>43</v>
      </c>
      <c r="G5069">
        <v>-394.42540000000002</v>
      </c>
      <c r="H5069" s="1">
        <v>-3.430109E-6</v>
      </c>
      <c r="I5069">
        <v>22.677320000000002</v>
      </c>
      <c r="J5069">
        <v>-408.45569999999998</v>
      </c>
      <c r="K5069">
        <v>1.113672</v>
      </c>
      <c r="L5069">
        <v>26.92615</v>
      </c>
      <c r="M5069">
        <v>0.88356159999999995</v>
      </c>
      <c r="N5069">
        <v>0</v>
      </c>
      <c r="O5069">
        <v>-0.46811960000000002</v>
      </c>
      <c r="P5069">
        <v>0.92078099999999996</v>
      </c>
      <c r="Q5069">
        <v>0.16752879999999901</v>
      </c>
      <c r="R5069">
        <v>-0.35227429999999998</v>
      </c>
      <c r="S5069">
        <v>2.9562680000000001</v>
      </c>
      <c r="T5069">
        <v>-0.23239870000000001</v>
      </c>
      <c r="U5069">
        <v>-0.90100100000000005</v>
      </c>
      <c r="V5069">
        <v>-0.1211305</v>
      </c>
      <c r="W5069">
        <v>0.1798642</v>
      </c>
      <c r="X5069">
        <v>0.97620510000000005</v>
      </c>
      <c r="Y5069">
        <v>-0.1885</v>
      </c>
      <c r="Z5069">
        <v>4.1456140000000002E-2</v>
      </c>
      <c r="AA5069">
        <v>0.98119780000000001</v>
      </c>
      <c r="AB5069">
        <v>23</v>
      </c>
      <c r="AC5069">
        <v>14.030299999999899</v>
      </c>
      <c r="AD5069">
        <v>-1.1136754301089999</v>
      </c>
      <c r="AE5069">
        <v>-4.2488299999999901</v>
      </c>
      <c r="AF5069">
        <v>-2.7978653516366698</v>
      </c>
      <c r="AG5069">
        <v>-1.1136754301089999</v>
      </c>
      <c r="AH5069">
        <v>14.3043555630728</v>
      </c>
      <c r="AI5069">
        <v>94.369355672754196</v>
      </c>
      <c r="AJ5069">
        <v>101.067066495761</v>
      </c>
      <c r="AK5069">
        <v>14.617896961065499</v>
      </c>
      <c r="AL5069">
        <v>79.6381507166452</v>
      </c>
      <c r="AM5069">
        <v>97.073281066210896</v>
      </c>
      <c r="AN5069">
        <v>1.0000000628689401</v>
      </c>
    </row>
    <row r="5070" spans="1:40" x14ac:dyDescent="0.25">
      <c r="A5070" t="str">
        <f>"20190312172513390"</f>
        <v>20190312172513390</v>
      </c>
      <c r="B5070" t="str">
        <f>"1552382713385432"</f>
        <v>1552382713385432</v>
      </c>
      <c r="C5070" t="s">
        <v>40</v>
      </c>
      <c r="D5070">
        <v>3.8775110000000002</v>
      </c>
      <c r="E5070">
        <v>0.47714190000000001</v>
      </c>
      <c r="F5070" t="s">
        <v>43</v>
      </c>
      <c r="G5070">
        <v>-394.43619999999999</v>
      </c>
      <c r="H5070" s="1">
        <v>-3.4201659999999998E-6</v>
      </c>
      <c r="I5070">
        <v>22.659230000000001</v>
      </c>
      <c r="J5070">
        <v>-408.35879999999997</v>
      </c>
      <c r="K5070">
        <v>1.1136269999999999</v>
      </c>
      <c r="L5070">
        <v>26.877749999999999</v>
      </c>
      <c r="M5070">
        <v>0.88460890000000003</v>
      </c>
      <c r="N5070">
        <v>0</v>
      </c>
      <c r="O5070">
        <v>-0.46613739999999998</v>
      </c>
      <c r="P5070">
        <v>0.92137550000000001</v>
      </c>
      <c r="Q5070">
        <v>0.1674658</v>
      </c>
      <c r="R5070">
        <v>-0.35074630000000001</v>
      </c>
      <c r="S5070">
        <v>2.9565429999999999</v>
      </c>
      <c r="T5070">
        <v>-0.23486080000000001</v>
      </c>
      <c r="U5070">
        <v>-0.89984129999999996</v>
      </c>
      <c r="V5070">
        <v>-0.1205451</v>
      </c>
      <c r="W5070">
        <v>0.17981029999999901</v>
      </c>
      <c r="X5070">
        <v>0.97628740000000003</v>
      </c>
      <c r="Y5070">
        <v>-0.18664919999999999</v>
      </c>
      <c r="Z5070">
        <v>4.1688299999999998E-2</v>
      </c>
      <c r="AA5070">
        <v>0.98154180000000002</v>
      </c>
      <c r="AB5070">
        <v>23</v>
      </c>
      <c r="AC5070">
        <v>13.9225999999999</v>
      </c>
      <c r="AD5070">
        <v>-1.1136304201659999</v>
      </c>
      <c r="AE5070">
        <v>-4.2185199999999998</v>
      </c>
      <c r="AF5070">
        <v>-2.7422869394879998</v>
      </c>
      <c r="AG5070">
        <v>-1.1136304201659999</v>
      </c>
      <c r="AH5070">
        <v>14.2005581467346</v>
      </c>
      <c r="AI5070">
        <v>94.403030670370498</v>
      </c>
      <c r="AJ5070">
        <v>100.92991662416399</v>
      </c>
      <c r="AK5070">
        <v>14.505728594248399</v>
      </c>
      <c r="AL5070">
        <v>79.641289235914599</v>
      </c>
      <c r="AM5070">
        <v>97.038853602166697</v>
      </c>
      <c r="AN5070">
        <v>0.99999997625942905</v>
      </c>
    </row>
    <row r="5071" spans="1:40" x14ac:dyDescent="0.25">
      <c r="A5071" t="str">
        <f>"20190312172513402"</f>
        <v>20190312172513402</v>
      </c>
      <c r="B5071" t="str">
        <f>"1552382713396167"</f>
        <v>1552382713396167</v>
      </c>
      <c r="C5071" t="s">
        <v>40</v>
      </c>
      <c r="D5071">
        <v>3.8817140000000001</v>
      </c>
      <c r="E5071">
        <v>0.4774621</v>
      </c>
      <c r="F5071" t="s">
        <v>43</v>
      </c>
      <c r="G5071">
        <v>-394.4667</v>
      </c>
      <c r="H5071" s="1">
        <v>-3.405437E-6</v>
      </c>
      <c r="I5071">
        <v>22.65803</v>
      </c>
      <c r="J5071">
        <v>-408.24959999999999</v>
      </c>
      <c r="K5071">
        <v>1.113578</v>
      </c>
      <c r="L5071">
        <v>26.823239999999998</v>
      </c>
      <c r="M5071">
        <v>0.88577799999999995</v>
      </c>
      <c r="N5071">
        <v>0</v>
      </c>
      <c r="O5071">
        <v>-0.46391260000000001</v>
      </c>
      <c r="P5071">
        <v>0.92195959999999999</v>
      </c>
      <c r="Q5071">
        <v>0.16743129999999901</v>
      </c>
      <c r="R5071">
        <v>-0.34922429999999999</v>
      </c>
      <c r="S5071">
        <v>2.9571230000000002</v>
      </c>
      <c r="T5071">
        <v>-0.23705100000000001</v>
      </c>
      <c r="U5071">
        <v>-0.89822389999999996</v>
      </c>
      <c r="V5071">
        <v>-0.119683</v>
      </c>
      <c r="W5071">
        <v>0.1797878</v>
      </c>
      <c r="X5071">
        <v>0.97639759999999998</v>
      </c>
      <c r="Y5071">
        <v>-0.18470339999999999</v>
      </c>
      <c r="Z5071">
        <v>4.1844989999999999E-2</v>
      </c>
      <c r="AA5071">
        <v>0.98190310000000003</v>
      </c>
      <c r="AB5071">
        <v>23</v>
      </c>
      <c r="AC5071">
        <v>13.7828999999999</v>
      </c>
      <c r="AD5071">
        <v>-1.1135814054369999</v>
      </c>
      <c r="AE5071">
        <v>-4.1652100000000001</v>
      </c>
      <c r="AF5071">
        <v>-2.6887734968562298</v>
      </c>
      <c r="AG5071">
        <v>-1.1135814054369999</v>
      </c>
      <c r="AH5071">
        <v>14.058084962923299</v>
      </c>
      <c r="AI5071">
        <v>94.448799164808506</v>
      </c>
      <c r="AJ5071">
        <v>100.827723308411</v>
      </c>
      <c r="AK5071">
        <v>14.3561596288388</v>
      </c>
      <c r="AL5071">
        <v>79.6425997180027</v>
      </c>
      <c r="AM5071">
        <v>96.988232596534004</v>
      </c>
      <c r="AN5071">
        <v>0.99999997340179902</v>
      </c>
    </row>
    <row r="5072" spans="1:40" x14ac:dyDescent="0.25">
      <c r="A5072" t="str">
        <f>"20190312172513414"</f>
        <v>20190312172513414</v>
      </c>
      <c r="B5072" t="str">
        <f>"1552382713405927"</f>
        <v>1552382713405927</v>
      </c>
      <c r="C5072" t="s">
        <v>40</v>
      </c>
      <c r="D5072">
        <v>3.8382679999999998</v>
      </c>
      <c r="E5072">
        <v>0.4774621</v>
      </c>
      <c r="F5072" t="s">
        <v>43</v>
      </c>
      <c r="G5072">
        <v>-394.50240000000002</v>
      </c>
      <c r="H5072" s="1">
        <v>-3.389143E-6</v>
      </c>
      <c r="I5072">
        <v>22.6602</v>
      </c>
      <c r="J5072">
        <v>-408.11900000000003</v>
      </c>
      <c r="K5072">
        <v>1.1135269999999999</v>
      </c>
      <c r="L5072">
        <v>26.758700000000001</v>
      </c>
      <c r="M5072">
        <v>0.88712880000000005</v>
      </c>
      <c r="N5072">
        <v>0</v>
      </c>
      <c r="O5072">
        <v>-0.46132430000000002</v>
      </c>
      <c r="P5072">
        <v>0.92285379999999995</v>
      </c>
      <c r="Q5072">
        <v>0.16710710000000001</v>
      </c>
      <c r="R5072">
        <v>-0.3470105</v>
      </c>
      <c r="S5072">
        <v>2.9581599999999999</v>
      </c>
      <c r="T5072">
        <v>-0.2396228</v>
      </c>
      <c r="U5072">
        <v>-0.89581299999999997</v>
      </c>
      <c r="V5072">
        <v>-0.119175</v>
      </c>
      <c r="W5072">
        <v>0.17947349999999901</v>
      </c>
      <c r="X5072">
        <v>0.97651759999999999</v>
      </c>
      <c r="Y5072">
        <v>-0.18263699999999999</v>
      </c>
      <c r="Z5072">
        <v>4.2030110000000002E-2</v>
      </c>
      <c r="AA5072">
        <v>0.98228159999999998</v>
      </c>
      <c r="AB5072">
        <v>23</v>
      </c>
      <c r="AC5072">
        <v>13.6166</v>
      </c>
      <c r="AD5072">
        <v>-1.113530389143</v>
      </c>
      <c r="AE5072">
        <v>-4.0984999999999996</v>
      </c>
      <c r="AF5072">
        <v>-2.62988590358131</v>
      </c>
      <c r="AG5072">
        <v>-1.113530389143</v>
      </c>
      <c r="AH5072">
        <v>13.8865374789659</v>
      </c>
      <c r="AI5072">
        <v>94.504874375875104</v>
      </c>
      <c r="AJ5072">
        <v>100.723890365513</v>
      </c>
      <c r="AK5072">
        <v>14.1771708372343</v>
      </c>
      <c r="AL5072">
        <v>79.660906034303594</v>
      </c>
      <c r="AM5072">
        <v>96.958015412996602</v>
      </c>
      <c r="AN5072">
        <v>1.0000000204685</v>
      </c>
    </row>
    <row r="5073" spans="1:40" x14ac:dyDescent="0.25">
      <c r="A5073" t="str">
        <f>"20190312172513430"</f>
        <v>20190312172513430</v>
      </c>
      <c r="B5073" t="str">
        <f>"1552382713425448"</f>
        <v>1552382713425448</v>
      </c>
      <c r="C5073" t="s">
        <v>40</v>
      </c>
      <c r="D5073">
        <v>3.8416800000000002</v>
      </c>
      <c r="E5073">
        <v>0.48165079999999999</v>
      </c>
      <c r="F5073" t="s">
        <v>43</v>
      </c>
      <c r="G5073">
        <v>-394.42599999999999</v>
      </c>
      <c r="H5073" s="1">
        <v>-3.4216680000000002E-6</v>
      </c>
      <c r="I5073">
        <v>22.646740000000001</v>
      </c>
      <c r="J5073">
        <v>-407.98180000000002</v>
      </c>
      <c r="K5073">
        <v>1.1134710000000001</v>
      </c>
      <c r="L5073">
        <v>26.691189999999999</v>
      </c>
      <c r="M5073">
        <v>0.88851899999999995</v>
      </c>
      <c r="N5073">
        <v>0</v>
      </c>
      <c r="O5073">
        <v>-0.45864159999999998</v>
      </c>
      <c r="P5073">
        <v>0.92347429999999997</v>
      </c>
      <c r="Q5073">
        <v>0.16690659999999999</v>
      </c>
      <c r="R5073">
        <v>-0.34545310000000001</v>
      </c>
      <c r="S5073">
        <v>2.9601440000000001</v>
      </c>
      <c r="T5073">
        <v>-0.24072109999999999</v>
      </c>
      <c r="U5073">
        <v>-0.88891600000000004</v>
      </c>
      <c r="V5073">
        <v>-0.1178597</v>
      </c>
      <c r="W5073">
        <v>0.1792887</v>
      </c>
      <c r="X5073">
        <v>0.9767112</v>
      </c>
      <c r="Y5073">
        <v>-0.18193989999999999</v>
      </c>
      <c r="Z5073">
        <v>4.2000120000000002E-2</v>
      </c>
      <c r="AA5073">
        <v>0.98241230000000002</v>
      </c>
      <c r="AB5073">
        <v>23</v>
      </c>
      <c r="AC5073">
        <v>13.5558</v>
      </c>
      <c r="AD5073">
        <v>-1.1134744216679999</v>
      </c>
      <c r="AE5073">
        <v>-4.0444500000000003</v>
      </c>
      <c r="AF5073">
        <v>-2.60776535581007</v>
      </c>
      <c r="AG5073">
        <v>-1.1134744216679999</v>
      </c>
      <c r="AH5073">
        <v>13.8152109577826</v>
      </c>
      <c r="AI5073">
        <v>94.528322621229805</v>
      </c>
      <c r="AJ5073">
        <v>100.689404753872</v>
      </c>
      <c r="AK5073">
        <v>14.103202446491</v>
      </c>
      <c r="AL5073">
        <v>79.671669257878406</v>
      </c>
      <c r="AM5073">
        <v>96.880611295785997</v>
      </c>
      <c r="AN5073">
        <v>1.0000000575186001</v>
      </c>
    </row>
    <row r="5074" spans="1:40" x14ac:dyDescent="0.25">
      <c r="A5074" t="str">
        <f>"20190312172513441"</f>
        <v>20190312172513441</v>
      </c>
      <c r="B5074" t="str">
        <f>"1552382713436183"</f>
        <v>1552382713436183</v>
      </c>
      <c r="C5074" t="s">
        <v>40</v>
      </c>
      <c r="D5074">
        <v>3.7988770000000001</v>
      </c>
      <c r="E5074">
        <v>0.48210199999999997</v>
      </c>
      <c r="F5074" t="s">
        <v>43</v>
      </c>
      <c r="G5074">
        <v>-395.4248</v>
      </c>
      <c r="H5074" s="1">
        <v>-2.9897919999999999E-6</v>
      </c>
      <c r="I5074">
        <v>22.79814</v>
      </c>
      <c r="J5074">
        <v>-407.87869999999998</v>
      </c>
      <c r="K5074">
        <v>1.1134299999999999</v>
      </c>
      <c r="L5074">
        <v>26.640689999999999</v>
      </c>
      <c r="M5074">
        <v>0.88954630000000001</v>
      </c>
      <c r="N5074">
        <v>0</v>
      </c>
      <c r="O5074">
        <v>-0.4566461</v>
      </c>
      <c r="P5074">
        <v>0.92403400000000002</v>
      </c>
      <c r="Q5074">
        <v>0.1667151</v>
      </c>
      <c r="R5074">
        <v>-0.34404580000000001</v>
      </c>
      <c r="S5074">
        <v>2.9533999999999998</v>
      </c>
      <c r="T5074">
        <v>-0.26189020000000002</v>
      </c>
      <c r="U5074">
        <v>-0.91564939999999995</v>
      </c>
      <c r="V5074">
        <v>-0.11715059999999999</v>
      </c>
      <c r="W5074">
        <v>0.17910670000000001</v>
      </c>
      <c r="X5074">
        <v>0.97682979999999997</v>
      </c>
      <c r="Y5074">
        <v>-0.17068520000000001</v>
      </c>
      <c r="Z5074">
        <v>4.506491E-2</v>
      </c>
      <c r="AA5074">
        <v>0.98429449999999996</v>
      </c>
      <c r="AB5074">
        <v>23</v>
      </c>
      <c r="AC5074">
        <v>12.4538999999999</v>
      </c>
      <c r="AD5074">
        <v>-1.1134329897919999</v>
      </c>
      <c r="AE5074">
        <v>-3.8425500000000001</v>
      </c>
      <c r="AF5074">
        <v>-2.2526641758984001</v>
      </c>
      <c r="AG5074">
        <v>-1.1134329897919999</v>
      </c>
      <c r="AH5074">
        <v>12.741182678386799</v>
      </c>
      <c r="AI5074">
        <v>94.918407699805201</v>
      </c>
      <c r="AJ5074">
        <v>100.02638329086901</v>
      </c>
      <c r="AK5074">
        <v>12.986607137977</v>
      </c>
      <c r="AL5074">
        <v>79.682267702186394</v>
      </c>
      <c r="AM5074">
        <v>96.838785036354494</v>
      </c>
      <c r="AN5074">
        <v>0.99999996561664395</v>
      </c>
    </row>
    <row r="5075" spans="1:40" x14ac:dyDescent="0.25">
      <c r="A5075" t="str">
        <f>"20190312172513452"</f>
        <v>20190312172513452</v>
      </c>
      <c r="B5075" t="str">
        <f>"1552382713445943"</f>
        <v>1552382713445943</v>
      </c>
      <c r="C5075" t="s">
        <v>40</v>
      </c>
      <c r="D5075">
        <v>3.9977040000000001</v>
      </c>
      <c r="E5075">
        <v>0.48210199999999997</v>
      </c>
      <c r="F5075" t="s">
        <v>43</v>
      </c>
      <c r="G5075">
        <v>-395.2629</v>
      </c>
      <c r="H5075" s="1">
        <v>-3.0494150000000002E-6</v>
      </c>
      <c r="I5075">
        <v>22.73462</v>
      </c>
      <c r="J5075">
        <v>-407.76870000000002</v>
      </c>
      <c r="K5075">
        <v>1.1133879999999901</v>
      </c>
      <c r="L5075">
        <v>26.587309999999999</v>
      </c>
      <c r="M5075">
        <v>0.8906115</v>
      </c>
      <c r="N5075">
        <v>0</v>
      </c>
      <c r="O5075">
        <v>-0.45456560000000001</v>
      </c>
      <c r="P5075">
        <v>0.92462409999999995</v>
      </c>
      <c r="Q5075">
        <v>0.16635910000000001</v>
      </c>
      <c r="R5075">
        <v>-0.34263009999999999</v>
      </c>
      <c r="S5075">
        <v>2.953217</v>
      </c>
      <c r="T5075">
        <v>-0.2606425</v>
      </c>
      <c r="U5075">
        <v>-0.91436770000000001</v>
      </c>
      <c r="V5075">
        <v>-0.1163694</v>
      </c>
      <c r="W5075">
        <v>0.17876139999999999</v>
      </c>
      <c r="X5075">
        <v>0.97698649999999998</v>
      </c>
      <c r="Y5075">
        <v>-0.16878609999999999</v>
      </c>
      <c r="Z5075">
        <v>4.4619079999999998E-2</v>
      </c>
      <c r="AA5075">
        <v>0.98464229999999997</v>
      </c>
      <c r="AB5075">
        <v>23</v>
      </c>
      <c r="AC5075">
        <v>12.505800000000001</v>
      </c>
      <c r="AD5075">
        <v>-1.1133910494149999</v>
      </c>
      <c r="AE5075">
        <v>-3.8526899999999902</v>
      </c>
      <c r="AF5075">
        <v>-2.2374631363706499</v>
      </c>
      <c r="AG5075">
        <v>-1.1133910494149999</v>
      </c>
      <c r="AH5075">
        <v>12.7976325174069</v>
      </c>
      <c r="AI5075">
        <v>94.898270451933797</v>
      </c>
      <c r="AJ5075">
        <v>99.917024818480698</v>
      </c>
      <c r="AK5075">
        <v>13.0393741784691</v>
      </c>
      <c r="AL5075">
        <v>79.702377330216294</v>
      </c>
      <c r="AM5075">
        <v>96.792529876511594</v>
      </c>
      <c r="AN5075">
        <v>1.0000000482842799</v>
      </c>
    </row>
    <row r="5076" spans="1:40" x14ac:dyDescent="0.25">
      <c r="A5076" t="str">
        <f>"20190312172513464"</f>
        <v>20190312172513464</v>
      </c>
      <c r="B5076" t="str">
        <f>"1552382713455703"</f>
        <v>1552382713455703</v>
      </c>
      <c r="C5076" t="s">
        <v>40</v>
      </c>
      <c r="D5076">
        <v>3.8510209999999998</v>
      </c>
      <c r="E5076">
        <v>0.48580709999999999</v>
      </c>
      <c r="F5076" t="s">
        <v>43</v>
      </c>
      <c r="G5076">
        <v>-395.20580000000001</v>
      </c>
      <c r="H5076" s="1">
        <v>-3.0718969999999999E-6</v>
      </c>
      <c r="I5076">
        <v>22.71754</v>
      </c>
      <c r="J5076">
        <v>-407.66109999999998</v>
      </c>
      <c r="K5076">
        <v>1.1133459999999999</v>
      </c>
      <c r="L5076">
        <v>26.535160000000001</v>
      </c>
      <c r="M5076">
        <v>0.89164249999999901</v>
      </c>
      <c r="N5076">
        <v>0</v>
      </c>
      <c r="O5076">
        <v>-0.4525402</v>
      </c>
      <c r="P5076">
        <v>0.92522420000000005</v>
      </c>
      <c r="Q5076">
        <v>0.1659805</v>
      </c>
      <c r="R5076">
        <v>-0.34119080000000002</v>
      </c>
      <c r="S5076">
        <v>2.9544679999999999</v>
      </c>
      <c r="T5076">
        <v>-0.2618393</v>
      </c>
      <c r="U5076">
        <v>-0.91006469999999995</v>
      </c>
      <c r="V5076">
        <v>-0.1156785</v>
      </c>
      <c r="W5076">
        <v>0.1783921</v>
      </c>
      <c r="X5076">
        <v>0.977136</v>
      </c>
      <c r="Y5076">
        <v>-0.16796340000000001</v>
      </c>
      <c r="Z5076">
        <v>4.4628800000000003E-2</v>
      </c>
      <c r="AA5076">
        <v>0.98478250000000001</v>
      </c>
      <c r="AB5076">
        <v>23</v>
      </c>
      <c r="AC5076">
        <v>12.4552999999999</v>
      </c>
      <c r="AD5076">
        <v>-1.1133490718970001</v>
      </c>
      <c r="AE5076">
        <v>-3.81761999999999</v>
      </c>
      <c r="AF5076">
        <v>-2.2165839627730399</v>
      </c>
      <c r="AG5076">
        <v>-1.1133490718970001</v>
      </c>
      <c r="AH5076">
        <v>12.7414003335751</v>
      </c>
      <c r="AI5076">
        <v>94.920316247127502</v>
      </c>
      <c r="AJ5076">
        <v>99.868811002597397</v>
      </c>
      <c r="AK5076">
        <v>12.980603725572401</v>
      </c>
      <c r="AL5076">
        <v>79.723881930556004</v>
      </c>
      <c r="AM5076">
        <v>96.751551655453397</v>
      </c>
      <c r="AN5076">
        <v>1.0000000096003201</v>
      </c>
    </row>
    <row r="5077" spans="1:40" x14ac:dyDescent="0.25">
      <c r="A5077" t="str">
        <f>"20190312172513475"</f>
        <v>20190312172513475</v>
      </c>
      <c r="B5077" t="str">
        <f>"1552382713465464"</f>
        <v>1552382713465464</v>
      </c>
      <c r="C5077" t="s">
        <v>40</v>
      </c>
      <c r="D5077">
        <v>3.885481</v>
      </c>
      <c r="E5077">
        <v>0.4857128</v>
      </c>
      <c r="F5077" t="s">
        <v>43</v>
      </c>
      <c r="G5077">
        <v>-394.37569999999999</v>
      </c>
      <c r="H5077" s="1">
        <v>-3.3593620000000002E-6</v>
      </c>
      <c r="I5077">
        <v>22.3233</v>
      </c>
      <c r="J5077">
        <v>-407.55579999999998</v>
      </c>
      <c r="K5077">
        <v>1.113307</v>
      </c>
      <c r="L5077">
        <v>26.484470000000002</v>
      </c>
      <c r="M5077">
        <v>0.89262969999999897</v>
      </c>
      <c r="N5077">
        <v>0</v>
      </c>
      <c r="O5077">
        <v>-0.4505902</v>
      </c>
      <c r="P5077">
        <v>0.92586429999999997</v>
      </c>
      <c r="Q5077">
        <v>0.1655691</v>
      </c>
      <c r="R5077">
        <v>-0.33965040000000002</v>
      </c>
      <c r="S5077">
        <v>2.942688</v>
      </c>
      <c r="T5077">
        <v>-0.24660560000000001</v>
      </c>
      <c r="U5077">
        <v>-0.93292240000000004</v>
      </c>
      <c r="V5077">
        <v>-0.11518150000000001</v>
      </c>
      <c r="W5077">
        <v>0.1779886</v>
      </c>
      <c r="X5077">
        <v>0.97726829999999998</v>
      </c>
      <c r="Y5077">
        <v>-0.15798389999999901</v>
      </c>
      <c r="Z5077">
        <v>4.159069E-2</v>
      </c>
      <c r="AA5077">
        <v>0.98656540000000004</v>
      </c>
      <c r="AB5077">
        <v>23</v>
      </c>
      <c r="AC5077">
        <v>13.1800999999999</v>
      </c>
      <c r="AD5077">
        <v>-1.113310359362</v>
      </c>
      <c r="AE5077">
        <v>-4.1611700000000003</v>
      </c>
      <c r="AF5077">
        <v>-2.2102998999044399</v>
      </c>
      <c r="AG5077">
        <v>-1.113310359362</v>
      </c>
      <c r="AH5077">
        <v>13.553226372392</v>
      </c>
      <c r="AI5077">
        <v>94.634977099924299</v>
      </c>
      <c r="AJ5077">
        <v>99.262423534779998</v>
      </c>
      <c r="AK5077">
        <v>13.7773303185008</v>
      </c>
      <c r="AL5077">
        <v>79.747376947247204</v>
      </c>
      <c r="AM5077">
        <v>96.721908637794698</v>
      </c>
      <c r="AN5077">
        <v>1.0000000249285399</v>
      </c>
    </row>
    <row r="5078" spans="1:40" x14ac:dyDescent="0.25">
      <c r="A5078" t="str">
        <f>"20190312172513486"</f>
        <v>20190312172513486</v>
      </c>
      <c r="B5078" t="str">
        <f>"1552382713476200"</f>
        <v>1552382713476200</v>
      </c>
      <c r="C5078" t="s">
        <v>40</v>
      </c>
      <c r="D5078">
        <v>3.8805290000000001</v>
      </c>
      <c r="E5078">
        <v>0.48557899999999998</v>
      </c>
      <c r="F5078" t="s">
        <v>43</v>
      </c>
      <c r="G5078">
        <v>-394.59530000000001</v>
      </c>
      <c r="H5078" s="1">
        <v>-3.2765619999999999E-6</v>
      </c>
      <c r="I5078">
        <v>22.402270000000001</v>
      </c>
      <c r="J5078">
        <v>-407.45209999999997</v>
      </c>
      <c r="K5078">
        <v>1.1132709999999999</v>
      </c>
      <c r="L5078">
        <v>26.43478</v>
      </c>
      <c r="M5078">
        <v>0.893588099999999</v>
      </c>
      <c r="N5078">
        <v>0</v>
      </c>
      <c r="O5078">
        <v>-0.44868629999999998</v>
      </c>
      <c r="P5078">
        <v>0.92648379999999997</v>
      </c>
      <c r="Q5078">
        <v>0.16526779999999999</v>
      </c>
      <c r="R5078">
        <v>-0.33810440000000003</v>
      </c>
      <c r="S5078">
        <v>2.94516</v>
      </c>
      <c r="T5078">
        <v>-0.25298989999999999</v>
      </c>
      <c r="U5078">
        <v>-0.92764279999999999</v>
      </c>
      <c r="V5078">
        <v>-0.114735199999999</v>
      </c>
      <c r="W5078">
        <v>0.17769489999999999</v>
      </c>
      <c r="X5078">
        <v>0.97737430000000003</v>
      </c>
      <c r="Y5078">
        <v>-0.1576398</v>
      </c>
      <c r="Z5078">
        <v>4.2490590000000002E-2</v>
      </c>
      <c r="AA5078">
        <v>0.98658210000000002</v>
      </c>
      <c r="AB5078">
        <v>23</v>
      </c>
      <c r="AC5078">
        <v>12.8567999999999</v>
      </c>
      <c r="AD5078">
        <v>-1.1132742765619901</v>
      </c>
      <c r="AE5078">
        <v>-4.0325099999999896</v>
      </c>
      <c r="AF5078">
        <v>-2.1507809986002799</v>
      </c>
      <c r="AG5078">
        <v>-1.1132742765619901</v>
      </c>
      <c r="AH5078">
        <v>13.2090490659102</v>
      </c>
      <c r="AI5078">
        <v>94.755239440675794</v>
      </c>
      <c r="AJ5078">
        <v>99.248101678725106</v>
      </c>
      <c r="AK5078">
        <v>13.429229901391199</v>
      </c>
      <c r="AL5078">
        <v>79.764477912849401</v>
      </c>
      <c r="AM5078">
        <v>96.695380237621094</v>
      </c>
      <c r="AN5078">
        <v>1.00000008295276</v>
      </c>
    </row>
    <row r="5079" spans="1:40" x14ac:dyDescent="0.25">
      <c r="A5079" t="str">
        <f>"20190312172513498"</f>
        <v>20190312172513498</v>
      </c>
      <c r="B5079" t="str">
        <f>"1552382713495719"</f>
        <v>1552382713495719</v>
      </c>
      <c r="C5079" t="s">
        <v>40</v>
      </c>
      <c r="D5079">
        <v>3.854428</v>
      </c>
      <c r="E5079">
        <v>0.48573899999999998</v>
      </c>
      <c r="F5079" t="s">
        <v>43</v>
      </c>
      <c r="G5079">
        <v>-394.68239999999997</v>
      </c>
      <c r="H5079" s="1">
        <v>-3.2454350000000002E-6</v>
      </c>
      <c r="I5079">
        <v>22.439920000000001</v>
      </c>
      <c r="J5079">
        <v>-407.34190000000001</v>
      </c>
      <c r="K5079">
        <v>1.1132379999999999</v>
      </c>
      <c r="L5079">
        <v>26.382200000000001</v>
      </c>
      <c r="M5079">
        <v>0.89459169999999999</v>
      </c>
      <c r="N5079">
        <v>0</v>
      </c>
      <c r="O5079">
        <v>-0.44668249999999998</v>
      </c>
      <c r="P5079">
        <v>0.92706189999999999</v>
      </c>
      <c r="Q5079">
        <v>0.16503280000000001</v>
      </c>
      <c r="R5079">
        <v>-0.33663149999999997</v>
      </c>
      <c r="S5079">
        <v>2.9473880000000001</v>
      </c>
      <c r="T5079">
        <v>-0.25695590000000001</v>
      </c>
      <c r="U5079">
        <v>-0.92205809999999999</v>
      </c>
      <c r="V5079">
        <v>-0.1140982</v>
      </c>
      <c r="W5079">
        <v>0.17746770000000001</v>
      </c>
      <c r="X5079">
        <v>0.97749010000000003</v>
      </c>
      <c r="Y5079">
        <v>-0.15729119999999999</v>
      </c>
      <c r="Z5079">
        <v>4.2974869999999998E-2</v>
      </c>
      <c r="AA5079">
        <v>0.98661679999999996</v>
      </c>
      <c r="AB5079">
        <v>23</v>
      </c>
      <c r="AC5079">
        <v>12.6595</v>
      </c>
      <c r="AD5079">
        <v>-1.113241245435</v>
      </c>
      <c r="AE5079">
        <v>-3.9422799999999998</v>
      </c>
      <c r="AF5079">
        <v>-2.1133404949069901</v>
      </c>
      <c r="AG5079">
        <v>-1.113241245435</v>
      </c>
      <c r="AH5079">
        <v>12.995601423085599</v>
      </c>
      <c r="AI5079">
        <v>94.832990256434599</v>
      </c>
      <c r="AJ5079">
        <v>99.236566648140993</v>
      </c>
      <c r="AK5079">
        <v>13.2132952160185</v>
      </c>
      <c r="AL5079">
        <v>79.777705307445999</v>
      </c>
      <c r="AM5079">
        <v>96.657761029888704</v>
      </c>
      <c r="AN5079">
        <v>1.0000000396922599</v>
      </c>
    </row>
    <row r="5080" spans="1:40" x14ac:dyDescent="0.25">
      <c r="A5080" t="str">
        <f>"20190312172513510"</f>
        <v>20190312172513510</v>
      </c>
      <c r="B5080" t="str">
        <f>"1552382713505479"</f>
        <v>1552382713505479</v>
      </c>
      <c r="C5080" t="s">
        <v>40</v>
      </c>
      <c r="D5080">
        <v>3.8595890000000002</v>
      </c>
      <c r="E5080">
        <v>0.48582039999999999</v>
      </c>
      <c r="F5080" t="s">
        <v>43</v>
      </c>
      <c r="G5080">
        <v>-394.75349999999997</v>
      </c>
      <c r="H5080" s="1">
        <v>-3.2171760000000001E-6</v>
      </c>
      <c r="I5080">
        <v>22.460049999999999</v>
      </c>
      <c r="J5080">
        <v>-407.23759999999999</v>
      </c>
      <c r="K5080">
        <v>1.113208</v>
      </c>
      <c r="L5080">
        <v>26.33276</v>
      </c>
      <c r="M5080">
        <v>0.89552339999999997</v>
      </c>
      <c r="N5080">
        <v>0</v>
      </c>
      <c r="O5080">
        <v>-0.44481150000000003</v>
      </c>
      <c r="P5080">
        <v>0.92776440000000004</v>
      </c>
      <c r="Q5080">
        <v>0.16478409999999999</v>
      </c>
      <c r="R5080">
        <v>-0.33481280000000002</v>
      </c>
      <c r="S5080">
        <v>2.9488219999999998</v>
      </c>
      <c r="T5080">
        <v>-0.26077600000000001</v>
      </c>
      <c r="U5080">
        <v>-0.91876219999999997</v>
      </c>
      <c r="V5080">
        <v>-0.11397649999999999</v>
      </c>
      <c r="W5080">
        <v>0.1772223</v>
      </c>
      <c r="X5080">
        <v>0.9775488</v>
      </c>
      <c r="Y5080">
        <v>-0.1563205</v>
      </c>
      <c r="Z5080">
        <v>4.34171E-2</v>
      </c>
      <c r="AA5080">
        <v>0.98675170000000001</v>
      </c>
      <c r="AB5080">
        <v>23</v>
      </c>
      <c r="AC5080">
        <v>12.4841</v>
      </c>
      <c r="AD5080">
        <v>-1.113211217176</v>
      </c>
      <c r="AE5080">
        <v>-3.8727099999999899</v>
      </c>
      <c r="AF5080">
        <v>-2.07014162831143</v>
      </c>
      <c r="AG5080">
        <v>-1.113211217176</v>
      </c>
      <c r="AH5080">
        <v>12.8106743858401</v>
      </c>
      <c r="AI5080">
        <v>94.903076746638703</v>
      </c>
      <c r="AJ5080">
        <v>99.179363400878202</v>
      </c>
      <c r="AK5080">
        <v>13.024519330683001</v>
      </c>
      <c r="AL5080">
        <v>79.791991965673105</v>
      </c>
      <c r="AM5080">
        <v>96.6503275589194</v>
      </c>
      <c r="AN5080">
        <v>1.00000002127548</v>
      </c>
    </row>
    <row r="5081" spans="1:40" x14ac:dyDescent="0.25">
      <c r="A5081" t="str">
        <f>"20190312172513522"</f>
        <v>20190312172513522</v>
      </c>
      <c r="B5081" t="str">
        <f>"1552382713515240"</f>
        <v>1552382713515240</v>
      </c>
      <c r="C5081" t="s">
        <v>40</v>
      </c>
      <c r="D5081">
        <v>3.9027259999999999</v>
      </c>
      <c r="E5081">
        <v>0.48594670000000001</v>
      </c>
      <c r="F5081" t="s">
        <v>43</v>
      </c>
      <c r="G5081">
        <v>-394.79849999999999</v>
      </c>
      <c r="H5081" s="1">
        <v>-3.2010459999999999E-6</v>
      </c>
      <c r="I5081">
        <v>22.479289999999999</v>
      </c>
      <c r="J5081">
        <v>-407.1259</v>
      </c>
      <c r="K5081">
        <v>1.113178</v>
      </c>
      <c r="L5081">
        <v>26.279969999999999</v>
      </c>
      <c r="M5081">
        <v>0.89651150000000002</v>
      </c>
      <c r="N5081">
        <v>0</v>
      </c>
      <c r="O5081">
        <v>-0.44281670000000001</v>
      </c>
      <c r="P5081">
        <v>0.92832349999999997</v>
      </c>
      <c r="Q5081">
        <v>0.1647004</v>
      </c>
      <c r="R5081">
        <v>-0.3333004</v>
      </c>
      <c r="S5081">
        <v>2.9506230000000002</v>
      </c>
      <c r="T5081">
        <v>-0.2640593</v>
      </c>
      <c r="U5081">
        <v>-0.9140625</v>
      </c>
      <c r="V5081">
        <v>-0.1133847</v>
      </c>
      <c r="W5081">
        <v>0.17714489999999999</v>
      </c>
      <c r="X5081">
        <v>0.97763160000000005</v>
      </c>
      <c r="Y5081">
        <v>-0.155685299999999</v>
      </c>
      <c r="Z5081">
        <v>4.3768670000000003E-2</v>
      </c>
      <c r="AA5081">
        <v>0.98683659999999995</v>
      </c>
      <c r="AB5081">
        <v>23</v>
      </c>
      <c r="AC5081">
        <v>12.327400000000001</v>
      </c>
      <c r="AD5081">
        <v>-1.113181201046</v>
      </c>
      <c r="AE5081">
        <v>-3.8006799999999998</v>
      </c>
      <c r="AF5081">
        <v>-2.03644602357741</v>
      </c>
      <c r="AG5081">
        <v>-1.113181201046</v>
      </c>
      <c r="AH5081">
        <v>12.6416736326085</v>
      </c>
      <c r="AI5081">
        <v>94.968557194601303</v>
      </c>
      <c r="AJ5081">
        <v>99.151154849111606</v>
      </c>
      <c r="AK5081">
        <v>12.852945072110799</v>
      </c>
      <c r="AL5081">
        <v>79.796497481972096</v>
      </c>
      <c r="AM5081">
        <v>96.615548615670505</v>
      </c>
      <c r="AN5081">
        <v>0.99999997555432896</v>
      </c>
    </row>
    <row r="5082" spans="1:40" x14ac:dyDescent="0.25">
      <c r="A5082" t="str">
        <f>"20190312172513536"</f>
        <v>20190312172513536</v>
      </c>
      <c r="B5082" t="str">
        <f>"1552382713525975"</f>
        <v>1552382713525975</v>
      </c>
      <c r="C5082" t="s">
        <v>40</v>
      </c>
      <c r="D5082">
        <v>3.9337</v>
      </c>
      <c r="E5082">
        <v>0.48615140000000001</v>
      </c>
      <c r="F5082" t="s">
        <v>43</v>
      </c>
      <c r="G5082">
        <v>-394.79160000000002</v>
      </c>
      <c r="H5082" s="1">
        <v>-3.2034859999999999E-6</v>
      </c>
      <c r="I5082">
        <v>22.476299999999998</v>
      </c>
      <c r="J5082">
        <v>-406.98509999999999</v>
      </c>
      <c r="K5082">
        <v>1.1131450000000001</v>
      </c>
      <c r="L5082">
        <v>26.21396</v>
      </c>
      <c r="M5082">
        <v>0.89773040000000004</v>
      </c>
      <c r="N5082">
        <v>0</v>
      </c>
      <c r="O5082">
        <v>-0.44034079999999898</v>
      </c>
      <c r="P5082">
        <v>0.92916460000000001</v>
      </c>
      <c r="Q5082">
        <v>0.16472120000000001</v>
      </c>
      <c r="R5082">
        <v>-0.33093830000000002</v>
      </c>
      <c r="S5082">
        <v>2.9520870000000001</v>
      </c>
      <c r="T5082">
        <v>-0.26642880000000002</v>
      </c>
      <c r="U5082">
        <v>-0.91036989999999995</v>
      </c>
      <c r="V5082">
        <v>-0.1131576</v>
      </c>
      <c r="W5082">
        <v>0.17716789999999999</v>
      </c>
      <c r="X5082">
        <v>0.97765369999999996</v>
      </c>
      <c r="Y5082">
        <v>-0.154201799999999</v>
      </c>
      <c r="Z5082">
        <v>4.3892239999999999E-2</v>
      </c>
      <c r="AA5082">
        <v>0.98706389999999999</v>
      </c>
      <c r="AB5082">
        <v>23</v>
      </c>
      <c r="AC5082">
        <v>12.193499999999901</v>
      </c>
      <c r="AD5082">
        <v>-1.1131482034860001</v>
      </c>
      <c r="AE5082">
        <v>-3.73766</v>
      </c>
      <c r="AF5082">
        <v>-1.9988385305416301</v>
      </c>
      <c r="AG5082">
        <v>-1.1131482034860001</v>
      </c>
      <c r="AH5082">
        <v>12.49824087967</v>
      </c>
      <c r="AI5082">
        <v>95.026046789586402</v>
      </c>
      <c r="AJ5082">
        <v>99.086343338819901</v>
      </c>
      <c r="AK5082">
        <v>12.705923007808501</v>
      </c>
      <c r="AL5082">
        <v>79.795158052534404</v>
      </c>
      <c r="AM5082">
        <v>96.602267402914507</v>
      </c>
      <c r="AN5082">
        <v>0.99999993217592698</v>
      </c>
    </row>
    <row r="5083" spans="1:40" x14ac:dyDescent="0.25">
      <c r="A5083" t="str">
        <f>"20190312172513555"</f>
        <v>20190312172513555</v>
      </c>
      <c r="B5083" t="str">
        <f>"1552382713545495"</f>
        <v>1552382713545495</v>
      </c>
      <c r="C5083" t="s">
        <v>40</v>
      </c>
      <c r="D5083">
        <v>3.9422510000000002</v>
      </c>
      <c r="E5083">
        <v>0.4864695</v>
      </c>
      <c r="F5083" t="s">
        <v>43</v>
      </c>
      <c r="G5083">
        <v>-394.7002</v>
      </c>
      <c r="H5083" s="1">
        <v>-3.2398260000000002E-6</v>
      </c>
      <c r="I5083">
        <v>22.450510000000001</v>
      </c>
      <c r="J5083">
        <v>-406.81889999999999</v>
      </c>
      <c r="K5083">
        <v>1.1131169999999999</v>
      </c>
      <c r="L5083">
        <v>26.136510000000001</v>
      </c>
      <c r="M5083">
        <v>0.89914559999999999</v>
      </c>
      <c r="N5083">
        <v>0</v>
      </c>
      <c r="O5083">
        <v>-0.437444</v>
      </c>
      <c r="P5083">
        <v>0.92997660000000004</v>
      </c>
      <c r="Q5083">
        <v>0.16469719999999999</v>
      </c>
      <c r="R5083">
        <v>-0.3286616</v>
      </c>
      <c r="S5083">
        <v>2.9538570000000002</v>
      </c>
      <c r="T5083">
        <v>-0.26765229999999901</v>
      </c>
      <c r="U5083">
        <v>-0.90490720000000002</v>
      </c>
      <c r="V5083">
        <v>-0.1123869</v>
      </c>
      <c r="W5083">
        <v>0.17714959999999999</v>
      </c>
      <c r="X5083">
        <v>0.977746</v>
      </c>
      <c r="Y5083">
        <v>-0.1528466</v>
      </c>
      <c r="Z5083">
        <v>4.3797250000000003E-2</v>
      </c>
      <c r="AA5083">
        <v>0.98727889999999996</v>
      </c>
      <c r="AB5083">
        <v>23</v>
      </c>
      <c r="AC5083">
        <v>12.118699999999899</v>
      </c>
      <c r="AD5083">
        <v>-1.1131202398259901</v>
      </c>
      <c r="AE5083">
        <v>-3.6859999999999999</v>
      </c>
      <c r="AF5083">
        <v>-1.9719527316325201</v>
      </c>
      <c r="AG5083">
        <v>-1.1131202398259901</v>
      </c>
      <c r="AH5083">
        <v>12.4141542858998</v>
      </c>
      <c r="AI5083">
        <v>95.060634848784801</v>
      </c>
      <c r="AJ5083">
        <v>99.025859348901193</v>
      </c>
      <c r="AK5083">
        <v>12.6189881083321</v>
      </c>
      <c r="AL5083">
        <v>79.796224305138196</v>
      </c>
      <c r="AM5083">
        <v>96.557079653302495</v>
      </c>
      <c r="AN5083">
        <v>1.00000001829388</v>
      </c>
    </row>
    <row r="5084" spans="1:40" x14ac:dyDescent="0.25">
      <c r="A5084" t="str">
        <f>"20190312172513576"</f>
        <v>20190312172513576</v>
      </c>
      <c r="B5084" t="str">
        <f>"1552382713565994"</f>
        <v>1552382713565994</v>
      </c>
      <c r="C5084" t="s">
        <v>40</v>
      </c>
      <c r="D5084">
        <v>3.9777459999999998</v>
      </c>
      <c r="E5084">
        <v>0.48659409999999997</v>
      </c>
      <c r="F5084" t="s">
        <v>43</v>
      </c>
      <c r="G5084">
        <v>-394.589</v>
      </c>
      <c r="H5084" s="1">
        <v>-3.2819880000000002E-6</v>
      </c>
      <c r="I5084">
        <v>22.411429999999999</v>
      </c>
      <c r="J5084">
        <v>-406.61799999999999</v>
      </c>
      <c r="K5084">
        <v>1.1130949999999999</v>
      </c>
      <c r="L5084">
        <v>26.04373</v>
      </c>
      <c r="M5084">
        <v>0.90082580000000001</v>
      </c>
      <c r="N5084">
        <v>0</v>
      </c>
      <c r="O5084">
        <v>-0.43397370000000002</v>
      </c>
      <c r="P5084">
        <v>0.93075680000000005</v>
      </c>
      <c r="Q5084">
        <v>0.16531709999999999</v>
      </c>
      <c r="R5084">
        <v>-0.32613199999999998</v>
      </c>
      <c r="S5084">
        <v>2.9553829999999999</v>
      </c>
      <c r="T5084">
        <v>-0.26898879999999997</v>
      </c>
      <c r="U5084">
        <v>-0.900177</v>
      </c>
      <c r="V5084">
        <v>-0.11121739999999999</v>
      </c>
      <c r="W5084">
        <v>0.17777370000000001</v>
      </c>
      <c r="X5084">
        <v>0.97776649999999998</v>
      </c>
      <c r="Y5084">
        <v>-0.15062339999999999</v>
      </c>
      <c r="Z5084">
        <v>4.363525E-2</v>
      </c>
      <c r="AA5084">
        <v>0.9876277</v>
      </c>
      <c r="AB5084">
        <v>23</v>
      </c>
      <c r="AC5084">
        <v>12.029</v>
      </c>
      <c r="AD5084">
        <v>-1.113098281988</v>
      </c>
      <c r="AE5084">
        <v>-3.6322999999999999</v>
      </c>
      <c r="AF5084">
        <v>-1.9332050361631099</v>
      </c>
      <c r="AG5084">
        <v>-1.113098281988</v>
      </c>
      <c r="AH5084">
        <v>12.3168198945387</v>
      </c>
      <c r="AI5084">
        <v>95.101794553877596</v>
      </c>
      <c r="AJ5084">
        <v>98.920170067713201</v>
      </c>
      <c r="AK5084">
        <v>12.517201037441</v>
      </c>
      <c r="AL5084">
        <v>79.759889757391093</v>
      </c>
      <c r="AM5084">
        <v>96.489296737017099</v>
      </c>
      <c r="AN5084">
        <v>1.0000000634983399</v>
      </c>
    </row>
    <row r="5085" spans="1:40" x14ac:dyDescent="0.25">
      <c r="A5085" t="str">
        <f>"20190312172513589"</f>
        <v>20190312172513589</v>
      </c>
      <c r="B5085" t="str">
        <f>"1552382713585512"</f>
        <v>1552382713585512</v>
      </c>
      <c r="C5085" t="s">
        <v>40</v>
      </c>
      <c r="D5085">
        <v>4.0664420000000003</v>
      </c>
      <c r="E5085">
        <v>0.48690929999999999</v>
      </c>
      <c r="F5085" t="s">
        <v>43</v>
      </c>
      <c r="G5085">
        <v>-394.30239999999998</v>
      </c>
      <c r="H5085" s="1">
        <v>-3.3945569999999999E-6</v>
      </c>
      <c r="I5085">
        <v>22.32525</v>
      </c>
      <c r="J5085">
        <v>-406.49450000000002</v>
      </c>
      <c r="K5085">
        <v>1.113086</v>
      </c>
      <c r="L5085">
        <v>25.987210000000001</v>
      </c>
      <c r="M5085">
        <v>0.90184500000000001</v>
      </c>
      <c r="N5085">
        <v>0</v>
      </c>
      <c r="O5085">
        <v>-0.43185200000000001</v>
      </c>
      <c r="P5085">
        <v>0.93128900000000003</v>
      </c>
      <c r="Q5085">
        <v>0.1654129</v>
      </c>
      <c r="R5085">
        <v>-0.32456059999999998</v>
      </c>
      <c r="S5085">
        <v>2.9577330000000002</v>
      </c>
      <c r="T5085">
        <v>-0.26732329999999999</v>
      </c>
      <c r="U5085">
        <v>-0.89303589999999999</v>
      </c>
      <c r="V5085">
        <v>-0.11055329999999999</v>
      </c>
      <c r="W5085">
        <v>0.1778718</v>
      </c>
      <c r="X5085">
        <v>0.97782389999999997</v>
      </c>
      <c r="Y5085">
        <v>-0.1507318</v>
      </c>
      <c r="Z5085">
        <v>4.3191640000000003E-2</v>
      </c>
      <c r="AA5085">
        <v>0.98763069999999997</v>
      </c>
      <c r="AB5085">
        <v>23</v>
      </c>
      <c r="AC5085">
        <v>12.1921</v>
      </c>
      <c r="AD5085">
        <v>-1.113089394557</v>
      </c>
      <c r="AE5085">
        <v>-3.6619600000000001</v>
      </c>
      <c r="AF5085">
        <v>-1.9479460408717999</v>
      </c>
      <c r="AG5085">
        <v>-1.113089394557</v>
      </c>
      <c r="AH5085">
        <v>12.4825058943089</v>
      </c>
      <c r="AI5085">
        <v>95.035076959423407</v>
      </c>
      <c r="AJ5085">
        <v>98.869701262224794</v>
      </c>
      <c r="AK5085">
        <v>12.682524006674701</v>
      </c>
      <c r="AL5085">
        <v>79.754177295340497</v>
      </c>
      <c r="AM5085">
        <v>96.450500039642506</v>
      </c>
      <c r="AN5085">
        <v>0.99999999439367004</v>
      </c>
    </row>
    <row r="5086" spans="1:40" x14ac:dyDescent="0.25">
      <c r="A5086" t="str">
        <f>"20190312172513602"</f>
        <v>20190312172513602</v>
      </c>
      <c r="B5086" t="str">
        <f>"1552382713595272"</f>
        <v>1552382713595272</v>
      </c>
      <c r="C5086" t="s">
        <v>40</v>
      </c>
      <c r="D5086">
        <v>4.0512499999999996</v>
      </c>
      <c r="E5086">
        <v>0.48699229999999999</v>
      </c>
      <c r="F5086" t="s">
        <v>43</v>
      </c>
      <c r="G5086">
        <v>-394.2174</v>
      </c>
      <c r="H5086" s="1">
        <v>-3.4263740000000001E-6</v>
      </c>
      <c r="I5086">
        <v>22.293849999999999</v>
      </c>
      <c r="J5086">
        <v>-406.37610000000001</v>
      </c>
      <c r="K5086">
        <v>1.113075</v>
      </c>
      <c r="L5086">
        <v>25.933199999999999</v>
      </c>
      <c r="M5086">
        <v>0.90281509999999998</v>
      </c>
      <c r="N5086">
        <v>0</v>
      </c>
      <c r="O5086">
        <v>-0.42982019999999999</v>
      </c>
      <c r="P5086">
        <v>0.93179809999999996</v>
      </c>
      <c r="Q5086">
        <v>0.1652266</v>
      </c>
      <c r="R5086">
        <v>-0.32319160000000002</v>
      </c>
      <c r="S5086">
        <v>2.9588009999999998</v>
      </c>
      <c r="T5086">
        <v>-0.268256099999999</v>
      </c>
      <c r="U5086">
        <v>-0.89010619999999996</v>
      </c>
      <c r="V5086">
        <v>-0.10979700000000001</v>
      </c>
      <c r="W5086">
        <v>0.17768879999999901</v>
      </c>
      <c r="X5086">
        <v>0.97794239999999999</v>
      </c>
      <c r="Y5086">
        <v>-0.1494984</v>
      </c>
      <c r="Z5086">
        <v>4.312059E-2</v>
      </c>
      <c r="AA5086">
        <v>0.98782130000000001</v>
      </c>
      <c r="AB5086">
        <v>23</v>
      </c>
      <c r="AC5086">
        <v>12.1587</v>
      </c>
      <c r="AD5086">
        <v>-1.1130784263739999</v>
      </c>
      <c r="AE5086">
        <v>-3.6393499999999999</v>
      </c>
      <c r="AF5086">
        <v>-1.9257568709377699</v>
      </c>
      <c r="AG5086">
        <v>-1.1130784263739999</v>
      </c>
      <c r="AH5086">
        <v>12.446715436743</v>
      </c>
      <c r="AI5086">
        <v>95.050447868708005</v>
      </c>
      <c r="AJ5086">
        <v>98.795070649101405</v>
      </c>
      <c r="AK5086">
        <v>12.643900042015501</v>
      </c>
      <c r="AL5086">
        <v>79.764832358578204</v>
      </c>
      <c r="AM5086">
        <v>96.405970179137</v>
      </c>
      <c r="AN5086">
        <v>1.0000000142860901</v>
      </c>
    </row>
    <row r="5087" spans="1:40" x14ac:dyDescent="0.25">
      <c r="A5087" t="str">
        <f>"20190312172513612"</f>
        <v>20190312172513612</v>
      </c>
      <c r="B5087" t="str">
        <f>"1552382713606007"</f>
        <v>1552382713606007</v>
      </c>
      <c r="C5087" t="s">
        <v>40</v>
      </c>
      <c r="D5087">
        <v>3.95404</v>
      </c>
      <c r="E5087">
        <v>0.48726239999999998</v>
      </c>
      <c r="F5087" t="s">
        <v>43</v>
      </c>
      <c r="G5087">
        <v>-394.19150000000002</v>
      </c>
      <c r="H5087" s="1">
        <v>-3.4361969999999999E-6</v>
      </c>
      <c r="I5087">
        <v>22.28473</v>
      </c>
      <c r="J5087">
        <v>-406.27080000000001</v>
      </c>
      <c r="K5087">
        <v>1.113073</v>
      </c>
      <c r="L5087">
        <v>25.885590000000001</v>
      </c>
      <c r="M5087">
        <v>0.90367169999999997</v>
      </c>
      <c r="N5087">
        <v>0</v>
      </c>
      <c r="O5087">
        <v>-0.42801660000000002</v>
      </c>
      <c r="P5087">
        <v>0.9324211</v>
      </c>
      <c r="Q5087">
        <v>0.164443899999999</v>
      </c>
      <c r="R5087">
        <v>-0.3217912</v>
      </c>
      <c r="S5087">
        <v>2.9601139999999999</v>
      </c>
      <c r="T5087">
        <v>-0.27040890000000001</v>
      </c>
      <c r="U5087">
        <v>-0.88635249999999999</v>
      </c>
      <c r="V5087">
        <v>-0.1093659</v>
      </c>
      <c r="W5087">
        <v>0.17690790000000001</v>
      </c>
      <c r="X5087">
        <v>0.97813220000000001</v>
      </c>
      <c r="Y5087">
        <v>-0.1487706</v>
      </c>
      <c r="Z5087">
        <v>4.328166E-2</v>
      </c>
      <c r="AA5087">
        <v>0.98792409999999997</v>
      </c>
      <c r="AB5087">
        <v>23</v>
      </c>
      <c r="AC5087">
        <v>12.0792999999999</v>
      </c>
      <c r="AD5087">
        <v>-1.113076436197</v>
      </c>
      <c r="AE5087">
        <v>-3.6008599999999999</v>
      </c>
      <c r="AF5087">
        <v>-1.9014892636329099</v>
      </c>
      <c r="AG5087">
        <v>-1.113076436197</v>
      </c>
      <c r="AH5087">
        <v>12.3616676630903</v>
      </c>
      <c r="AI5087">
        <v>95.085689169224594</v>
      </c>
      <c r="AJ5087">
        <v>98.744777834074497</v>
      </c>
      <c r="AK5087">
        <v>12.556489476968499</v>
      </c>
      <c r="AL5087">
        <v>79.810294257536</v>
      </c>
      <c r="AM5087">
        <v>96.379798063520596</v>
      </c>
      <c r="AN5087">
        <v>0.99999995292102895</v>
      </c>
    </row>
    <row r="5088" spans="1:40" x14ac:dyDescent="0.25">
      <c r="A5088" t="str">
        <f>"20190312172513624"</f>
        <v>20190312172513624</v>
      </c>
      <c r="B5088" t="str">
        <f>"1552382713615769"</f>
        <v>1552382713615769</v>
      </c>
      <c r="C5088" t="s">
        <v>40</v>
      </c>
      <c r="D5088">
        <v>3.9269530000000001</v>
      </c>
      <c r="E5088">
        <v>0.48754530000000001</v>
      </c>
      <c r="F5088" t="s">
        <v>43</v>
      </c>
      <c r="G5088">
        <v>-394.19389999999999</v>
      </c>
      <c r="H5088" s="1">
        <v>-3.4335229999999998E-6</v>
      </c>
      <c r="I5088">
        <v>22.278949999999998</v>
      </c>
      <c r="J5088">
        <v>-406.16070000000002</v>
      </c>
      <c r="K5088">
        <v>1.11307</v>
      </c>
      <c r="L5088">
        <v>25.835940000000001</v>
      </c>
      <c r="M5088">
        <v>0.90456309999999995</v>
      </c>
      <c r="N5088">
        <v>0</v>
      </c>
      <c r="O5088">
        <v>-0.4261296</v>
      </c>
      <c r="P5088">
        <v>0.93304989999999999</v>
      </c>
      <c r="Q5088">
        <v>0.16383</v>
      </c>
      <c r="R5088">
        <v>-0.32027749999999999</v>
      </c>
      <c r="S5088">
        <v>2.9604189999999999</v>
      </c>
      <c r="T5088">
        <v>-0.27284789999999998</v>
      </c>
      <c r="U5088">
        <v>-0.88409419999999905</v>
      </c>
      <c r="V5088">
        <v>-0.1089522</v>
      </c>
      <c r="W5088">
        <v>0.17629539999999999</v>
      </c>
      <c r="X5088">
        <v>0.97828899999999996</v>
      </c>
      <c r="Y5088">
        <v>-0.14740039999999999</v>
      </c>
      <c r="Z5088">
        <v>4.3459459999999998E-2</v>
      </c>
      <c r="AA5088">
        <v>0.98812160000000004</v>
      </c>
      <c r="AB5088">
        <v>23</v>
      </c>
      <c r="AC5088">
        <v>11.966799999999999</v>
      </c>
      <c r="AD5088">
        <v>-1.1130734335229999</v>
      </c>
      <c r="AE5088">
        <v>-3.5569899999999999</v>
      </c>
      <c r="AF5088">
        <v>-1.86721158419012</v>
      </c>
      <c r="AG5088">
        <v>-1.1130734335229999</v>
      </c>
      <c r="AH5088">
        <v>12.2442382987388</v>
      </c>
      <c r="AI5088">
        <v>95.135202778989495</v>
      </c>
      <c r="AJ5088">
        <v>98.670642510732804</v>
      </c>
      <c r="AK5088">
        <v>12.4357059745256</v>
      </c>
      <c r="AL5088">
        <v>79.845948893592706</v>
      </c>
      <c r="AM5088">
        <v>96.354852589697899</v>
      </c>
      <c r="AN5088">
        <v>1.0000000087334999</v>
      </c>
    </row>
    <row r="5089" spans="1:40" x14ac:dyDescent="0.25">
      <c r="A5089" t="str">
        <f>"20190312172513635"</f>
        <v>20190312172513635</v>
      </c>
      <c r="B5089" t="str">
        <f>"1552382713625529"</f>
        <v>1552382713625529</v>
      </c>
      <c r="C5089" t="s">
        <v>40</v>
      </c>
      <c r="D5089">
        <v>3.935041</v>
      </c>
      <c r="E5089">
        <v>0.48783320000000002</v>
      </c>
      <c r="F5089" t="s">
        <v>43</v>
      </c>
      <c r="G5089">
        <v>-394.05540000000002</v>
      </c>
      <c r="H5089" s="1">
        <v>-3.4860650000000001E-6</v>
      </c>
      <c r="I5089">
        <v>22.2303</v>
      </c>
      <c r="J5089">
        <v>-406.05619999999999</v>
      </c>
      <c r="K5089">
        <v>1.1130709999999999</v>
      </c>
      <c r="L5089">
        <v>25.78912</v>
      </c>
      <c r="M5089">
        <v>0.90540540000000003</v>
      </c>
      <c r="N5089">
        <v>0</v>
      </c>
      <c r="O5089">
        <v>-0.42433739999999998</v>
      </c>
      <c r="P5089">
        <v>0.93363169999999995</v>
      </c>
      <c r="Q5089">
        <v>0.1633357</v>
      </c>
      <c r="R5089">
        <v>-0.31883210000000001</v>
      </c>
      <c r="S5089">
        <v>2.9604189999999999</v>
      </c>
      <c r="T5089">
        <v>-0.27220709999999998</v>
      </c>
      <c r="U5089">
        <v>-0.88177490000000003</v>
      </c>
      <c r="V5089">
        <v>-0.1085636</v>
      </c>
      <c r="W5089">
        <v>0.1758016</v>
      </c>
      <c r="X5089">
        <v>0.97842099999999999</v>
      </c>
      <c r="Y5089">
        <v>-0.1461722</v>
      </c>
      <c r="Z5089">
        <v>4.3165380000000003E-2</v>
      </c>
      <c r="AA5089">
        <v>0.988317</v>
      </c>
      <c r="AB5089">
        <v>23</v>
      </c>
      <c r="AC5089">
        <v>12.0007999999999</v>
      </c>
      <c r="AD5089">
        <v>-1.1130744860649999</v>
      </c>
      <c r="AE5089">
        <v>-3.5588199999999999</v>
      </c>
      <c r="AF5089">
        <v>-1.85570722705715</v>
      </c>
      <c r="AG5089">
        <v>-1.1130744860649999</v>
      </c>
      <c r="AH5089">
        <v>12.279737952946601</v>
      </c>
      <c r="AI5089">
        <v>95.121482548551697</v>
      </c>
      <c r="AJ5089">
        <v>98.5934835726285</v>
      </c>
      <c r="AK5089">
        <v>12.4689433520695</v>
      </c>
      <c r="AL5089">
        <v>79.874689905315407</v>
      </c>
      <c r="AM5089">
        <v>96.331523804318493</v>
      </c>
      <c r="AN5089">
        <v>0.99999995552425902</v>
      </c>
    </row>
    <row r="5090" spans="1:40" x14ac:dyDescent="0.25">
      <c r="A5090" t="str">
        <f>"20190312172513647"</f>
        <v>20190312172513647</v>
      </c>
      <c r="B5090" t="str">
        <f>"1552382713635289"</f>
        <v>1552382713635289</v>
      </c>
      <c r="C5090" t="s">
        <v>40</v>
      </c>
      <c r="D5090">
        <v>3.8816790000000001</v>
      </c>
      <c r="E5090">
        <v>0.48803479999999999</v>
      </c>
      <c r="F5090" t="s">
        <v>43</v>
      </c>
      <c r="G5090">
        <v>-393.91449999999998</v>
      </c>
      <c r="H5090" s="1">
        <v>-3.5396029999999998E-6</v>
      </c>
      <c r="I5090">
        <v>22.18122</v>
      </c>
      <c r="J5090">
        <v>-405.95010000000002</v>
      </c>
      <c r="K5090">
        <v>1.1130739999999999</v>
      </c>
      <c r="L5090">
        <v>25.741879999999998</v>
      </c>
      <c r="M5090">
        <v>0.90625670000000003</v>
      </c>
      <c r="N5090">
        <v>0</v>
      </c>
      <c r="O5090">
        <v>-0.42251620000000001</v>
      </c>
      <c r="P5090">
        <v>0.9342298</v>
      </c>
      <c r="Q5090">
        <v>0.1627073</v>
      </c>
      <c r="R5090">
        <v>-0.31739810000000002</v>
      </c>
      <c r="S5090">
        <v>2.9603579999999998</v>
      </c>
      <c r="T5090">
        <v>-0.27138649999999997</v>
      </c>
      <c r="U5090">
        <v>-0.87966919999999904</v>
      </c>
      <c r="V5090">
        <v>-0.1081406</v>
      </c>
      <c r="W5090">
        <v>0.17517439999999901</v>
      </c>
      <c r="X5090">
        <v>0.97858040000000002</v>
      </c>
      <c r="Y5090">
        <v>-0.14484610000000001</v>
      </c>
      <c r="Z5090">
        <v>4.2837260000000002E-2</v>
      </c>
      <c r="AA5090">
        <v>0.98852649999999997</v>
      </c>
      <c r="AB5090">
        <v>23</v>
      </c>
      <c r="AC5090">
        <v>12.035600000000001</v>
      </c>
      <c r="AD5090">
        <v>-1.1130775396029999</v>
      </c>
      <c r="AE5090">
        <v>-3.5606599999999902</v>
      </c>
      <c r="AF5090">
        <v>-1.8440276662620601</v>
      </c>
      <c r="AG5090">
        <v>-1.1130775396029999</v>
      </c>
      <c r="AH5090">
        <v>12.3160291305544</v>
      </c>
      <c r="AI5090">
        <v>95.107526476581498</v>
      </c>
      <c r="AJ5090">
        <v>98.515401798422701</v>
      </c>
      <c r="AK5090">
        <v>12.502957777573</v>
      </c>
      <c r="AL5090">
        <v>79.911193034466294</v>
      </c>
      <c r="AM5090">
        <v>96.306034192140501</v>
      </c>
      <c r="AN5090">
        <v>1.00000002952393</v>
      </c>
    </row>
    <row r="5091" spans="1:40" x14ac:dyDescent="0.25">
      <c r="A5091" t="str">
        <f>"20190312172513658"</f>
        <v>20190312172513658</v>
      </c>
      <c r="B5091" t="str">
        <f>"1552382713646024"</f>
        <v>1552382713646024</v>
      </c>
      <c r="C5091" t="s">
        <v>40</v>
      </c>
      <c r="D5091">
        <v>4.0215730000000001</v>
      </c>
      <c r="E5091">
        <v>0.48811179999999899</v>
      </c>
      <c r="F5091" t="s">
        <v>43</v>
      </c>
      <c r="G5091">
        <v>-393.78370000000001</v>
      </c>
      <c r="H5091" s="1">
        <v>-3.5900750000000001E-6</v>
      </c>
      <c r="I5091">
        <v>22.13861</v>
      </c>
      <c r="J5091">
        <v>-405.84300000000002</v>
      </c>
      <c r="K5091">
        <v>1.1130770000000001</v>
      </c>
      <c r="L5091">
        <v>25.694369999999999</v>
      </c>
      <c r="M5091">
        <v>0.90711229999999998</v>
      </c>
      <c r="N5091">
        <v>0</v>
      </c>
      <c r="O5091">
        <v>-0.4206761</v>
      </c>
      <c r="P5091">
        <v>0.93477679999999996</v>
      </c>
      <c r="Q5091">
        <v>0.16248850000000001</v>
      </c>
      <c r="R5091">
        <v>-0.3158957</v>
      </c>
      <c r="S5091">
        <v>2.9605100000000002</v>
      </c>
      <c r="T5091">
        <v>-0.27084989999999998</v>
      </c>
      <c r="U5091">
        <v>-0.87680049999999898</v>
      </c>
      <c r="V5091">
        <v>-0.10774259999999999</v>
      </c>
      <c r="W5091">
        <v>0.17495569999999999</v>
      </c>
      <c r="X5091">
        <v>0.97866339999999996</v>
      </c>
      <c r="Y5091">
        <v>-0.14374999999999999</v>
      </c>
      <c r="Z5091">
        <v>4.2562419999999997E-2</v>
      </c>
      <c r="AA5091">
        <v>0.98869830000000003</v>
      </c>
      <c r="AB5091">
        <v>23</v>
      </c>
      <c r="AC5091">
        <v>12.0593</v>
      </c>
      <c r="AD5091">
        <v>-1.1130805900749901</v>
      </c>
      <c r="AE5091">
        <v>-3.5557599999999998</v>
      </c>
      <c r="AF5091">
        <v>-1.8333809667594601</v>
      </c>
      <c r="AG5091">
        <v>-1.1130805900749901</v>
      </c>
      <c r="AH5091">
        <v>12.3393595500846</v>
      </c>
      <c r="AI5091">
        <v>95.098782283379094</v>
      </c>
      <c r="AJ5091">
        <v>98.451174508730901</v>
      </c>
      <c r="AK5091">
        <v>12.524377360792901</v>
      </c>
      <c r="AL5091">
        <v>79.923919945262497</v>
      </c>
      <c r="AM5091">
        <v>96.282482854372205</v>
      </c>
      <c r="AN5091">
        <v>1.0000000076583999</v>
      </c>
    </row>
    <row r="5092" spans="1:40" x14ac:dyDescent="0.25">
      <c r="A5092" t="str">
        <f>"20190312172513676"</f>
        <v>20190312172513676</v>
      </c>
      <c r="B5092" t="str">
        <f>"1552382713665547"</f>
        <v>1552382713665547</v>
      </c>
      <c r="C5092" t="s">
        <v>40</v>
      </c>
      <c r="D5092">
        <v>4.0382089999999904</v>
      </c>
      <c r="E5092">
        <v>0.48842849999999999</v>
      </c>
      <c r="F5092" t="s">
        <v>43</v>
      </c>
      <c r="G5092">
        <v>-393.63749999999999</v>
      </c>
      <c r="H5092" s="1">
        <v>-3.64803E-6</v>
      </c>
      <c r="I5092">
        <v>22.09666</v>
      </c>
      <c r="J5092">
        <v>-405.68040000000002</v>
      </c>
      <c r="K5092">
        <v>1.1130819999999999</v>
      </c>
      <c r="L5092">
        <v>25.62283</v>
      </c>
      <c r="M5092">
        <v>0.90840600000000005</v>
      </c>
      <c r="N5092">
        <v>0</v>
      </c>
      <c r="O5092">
        <v>-0.4178751</v>
      </c>
      <c r="P5092">
        <v>0.93532899999999997</v>
      </c>
      <c r="Q5092">
        <v>0.1629352</v>
      </c>
      <c r="R5092">
        <v>-0.31402479999999999</v>
      </c>
      <c r="S5092">
        <v>2.9612729999999998</v>
      </c>
      <c r="T5092">
        <v>-0.27005200000000001</v>
      </c>
      <c r="U5092">
        <v>-0.87286379999999997</v>
      </c>
      <c r="V5092">
        <v>-0.1066507</v>
      </c>
      <c r="W5092">
        <v>0.17540439999999999</v>
      </c>
      <c r="X5092">
        <v>0.97870270000000004</v>
      </c>
      <c r="Y5092">
        <v>-0.1420022</v>
      </c>
      <c r="Z5092">
        <v>4.2136220000000002E-2</v>
      </c>
      <c r="AA5092">
        <v>0.98896910000000005</v>
      </c>
      <c r="AB5092">
        <v>23</v>
      </c>
      <c r="AC5092">
        <v>12.042899999999999</v>
      </c>
      <c r="AD5092">
        <v>-1.11308564803</v>
      </c>
      <c r="AE5092">
        <v>-3.52617</v>
      </c>
      <c r="AF5092">
        <v>-1.8151161463935299</v>
      </c>
      <c r="AG5092">
        <v>-1.11308564803</v>
      </c>
      <c r="AH5092">
        <v>12.31753589219</v>
      </c>
      <c r="AI5092">
        <v>95.108688738362005</v>
      </c>
      <c r="AJ5092">
        <v>98.382794717084295</v>
      </c>
      <c r="AK5092">
        <v>12.50021186781</v>
      </c>
      <c r="AL5092">
        <v>79.897807716232904</v>
      </c>
      <c r="AM5092">
        <v>96.219067730371293</v>
      </c>
      <c r="AN5092">
        <v>1.0000000251685699</v>
      </c>
    </row>
    <row r="5093" spans="1:40" x14ac:dyDescent="0.25">
      <c r="A5093" t="str">
        <f>"20190312172513687"</f>
        <v>20190312172513687</v>
      </c>
      <c r="B5093" t="str">
        <f>"1552382713675303"</f>
        <v>1552382713675303</v>
      </c>
      <c r="C5093" t="s">
        <v>40</v>
      </c>
      <c r="D5093">
        <v>3.9541770000000001</v>
      </c>
      <c r="E5093">
        <v>0.48852400000000001</v>
      </c>
      <c r="F5093" t="s">
        <v>43</v>
      </c>
      <c r="G5093">
        <v>-393.26519999999999</v>
      </c>
      <c r="H5093" s="1">
        <v>-3.7918510000000002E-6</v>
      </c>
      <c r="I5093">
        <v>21.975719999999999</v>
      </c>
      <c r="J5093">
        <v>-405.56659999999999</v>
      </c>
      <c r="K5093">
        <v>1.113086</v>
      </c>
      <c r="L5093">
        <v>25.573119999999999</v>
      </c>
      <c r="M5093">
        <v>0.90930710000000003</v>
      </c>
      <c r="N5093">
        <v>0</v>
      </c>
      <c r="O5093">
        <v>-0.41591099999999998</v>
      </c>
      <c r="P5093">
        <v>0.93568929999999995</v>
      </c>
      <c r="Q5093">
        <v>0.16347329999999999</v>
      </c>
      <c r="R5093">
        <v>-0.31267</v>
      </c>
      <c r="S5093">
        <v>2.9615779999999998</v>
      </c>
      <c r="T5093">
        <v>-0.26551950000000002</v>
      </c>
      <c r="U5093">
        <v>-0.86999509999999902</v>
      </c>
      <c r="V5093">
        <v>-0.1059165</v>
      </c>
      <c r="W5093">
        <v>0.17594379999999901</v>
      </c>
      <c r="X5093">
        <v>0.97868560000000004</v>
      </c>
      <c r="Y5093">
        <v>-0.14084859999999999</v>
      </c>
      <c r="Z5093">
        <v>4.1230179999999998E-2</v>
      </c>
      <c r="AA5093">
        <v>0.9891723</v>
      </c>
      <c r="AB5093">
        <v>23</v>
      </c>
      <c r="AC5093">
        <v>12.301399999999999</v>
      </c>
      <c r="AD5093">
        <v>-1.1130897918510001</v>
      </c>
      <c r="AE5093">
        <v>-3.5973999999999902</v>
      </c>
      <c r="AF5093">
        <v>-1.8314970360546701</v>
      </c>
      <c r="AG5093">
        <v>-1.1130897918510001</v>
      </c>
      <c r="AH5093">
        <v>12.588135878861699</v>
      </c>
      <c r="AI5093">
        <v>95.000782357516499</v>
      </c>
      <c r="AJ5093">
        <v>98.278101184165294</v>
      </c>
      <c r="AK5093">
        <v>12.769280135641299</v>
      </c>
      <c r="AL5093">
        <v>79.866414045013002</v>
      </c>
      <c r="AM5093">
        <v>96.1766938427063</v>
      </c>
      <c r="AN5093">
        <v>1.00000001468902</v>
      </c>
    </row>
    <row r="5094" spans="1:40" x14ac:dyDescent="0.25">
      <c r="A5094" t="str">
        <f>"20190312172513698"</f>
        <v>20190312172513698</v>
      </c>
      <c r="B5094" t="str">
        <f>"1552382713686040"</f>
        <v>1552382713686040</v>
      </c>
      <c r="C5094" t="s">
        <v>40</v>
      </c>
      <c r="D5094">
        <v>4.0215620000000003</v>
      </c>
      <c r="E5094">
        <v>0.48864419999999997</v>
      </c>
      <c r="F5094" t="s">
        <v>43</v>
      </c>
      <c r="G5094">
        <v>-392.93790000000001</v>
      </c>
      <c r="H5094" s="1">
        <v>-3.9209820000000002E-6</v>
      </c>
      <c r="I5094">
        <v>21.87968</v>
      </c>
      <c r="J5094">
        <v>-405.46629999999999</v>
      </c>
      <c r="K5094">
        <v>1.113094</v>
      </c>
      <c r="L5094">
        <v>25.529450000000001</v>
      </c>
      <c r="M5094">
        <v>0.91009839999999997</v>
      </c>
      <c r="N5094">
        <v>0</v>
      </c>
      <c r="O5094">
        <v>-0.41417710000000002</v>
      </c>
      <c r="P5094">
        <v>0.93611409999999995</v>
      </c>
      <c r="Q5094">
        <v>0.16382929999999901</v>
      </c>
      <c r="R5094">
        <v>-0.31120879999999901</v>
      </c>
      <c r="S5094">
        <v>2.9622799999999998</v>
      </c>
      <c r="T5094">
        <v>-0.26109549999999998</v>
      </c>
      <c r="U5094">
        <v>-0.86636349999999995</v>
      </c>
      <c r="V5094">
        <v>-0.105556</v>
      </c>
      <c r="W5094">
        <v>0.1762987</v>
      </c>
      <c r="X5094">
        <v>0.97866070000000005</v>
      </c>
      <c r="Y5094">
        <v>-0.1402127</v>
      </c>
      <c r="Z5094">
        <v>4.0384169999999997E-2</v>
      </c>
      <c r="AA5094">
        <v>0.98929750000000005</v>
      </c>
      <c r="AB5094">
        <v>23</v>
      </c>
      <c r="AC5094">
        <v>12.5283999999999</v>
      </c>
      <c r="AD5094">
        <v>-1.113097920982</v>
      </c>
      <c r="AE5094">
        <v>-3.64976999999999</v>
      </c>
      <c r="AF5094">
        <v>-1.85400305267526</v>
      </c>
      <c r="AG5094">
        <v>-1.113097920982</v>
      </c>
      <c r="AH5094">
        <v>12.821587706568099</v>
      </c>
      <c r="AI5094">
        <v>94.910834911257794</v>
      </c>
      <c r="AJ5094">
        <v>98.227946013947502</v>
      </c>
      <c r="AK5094">
        <v>13.0026699419097</v>
      </c>
      <c r="AL5094">
        <v>79.845757060396096</v>
      </c>
      <c r="AM5094">
        <v>96.155987798618895</v>
      </c>
      <c r="AN5094">
        <v>1.0000000332410801</v>
      </c>
    </row>
    <row r="5095" spans="1:40" x14ac:dyDescent="0.25">
      <c r="A5095" t="str">
        <f>"20190312172513709"</f>
        <v>20190312172513709</v>
      </c>
      <c r="B5095" t="str">
        <f>"1552382713705560"</f>
        <v>1552382713705560</v>
      </c>
      <c r="C5095" t="s">
        <v>40</v>
      </c>
      <c r="D5095">
        <v>3.976909</v>
      </c>
      <c r="E5095">
        <v>0.4889694</v>
      </c>
      <c r="F5095" t="s">
        <v>43</v>
      </c>
      <c r="G5095">
        <v>-392.71039999999999</v>
      </c>
      <c r="H5095" s="1">
        <v>-4.0115730000000002E-6</v>
      </c>
      <c r="I5095">
        <v>21.815940000000001</v>
      </c>
      <c r="J5095">
        <v>-405.3698</v>
      </c>
      <c r="K5095">
        <v>1.1130979999999999</v>
      </c>
      <c r="L5095">
        <v>25.487819999999999</v>
      </c>
      <c r="M5095">
        <v>0.91085629999999995</v>
      </c>
      <c r="N5095">
        <v>0</v>
      </c>
      <c r="O5095">
        <v>-0.41250720000000002</v>
      </c>
      <c r="P5095">
        <v>0.93636509999999995</v>
      </c>
      <c r="Q5095">
        <v>0.16408629999999999</v>
      </c>
      <c r="R5095">
        <v>-0.3103167</v>
      </c>
      <c r="S5095">
        <v>2.963165</v>
      </c>
      <c r="T5095">
        <v>-0.25857019999999997</v>
      </c>
      <c r="U5095">
        <v>-0.86264039999999997</v>
      </c>
      <c r="V5095">
        <v>-0.1046755</v>
      </c>
      <c r="W5095">
        <v>0.1765592</v>
      </c>
      <c r="X5095">
        <v>0.97870829999999998</v>
      </c>
      <c r="Y5095">
        <v>-0.13966479999999901</v>
      </c>
      <c r="Z5095">
        <v>3.9841340000000003E-2</v>
      </c>
      <c r="AA5095">
        <v>0.98939699999999997</v>
      </c>
      <c r="AB5095">
        <v>23</v>
      </c>
      <c r="AC5095">
        <v>12.6594</v>
      </c>
      <c r="AD5095">
        <v>-1.1131020115729999</v>
      </c>
      <c r="AE5095">
        <v>-3.6718799999999998</v>
      </c>
      <c r="AF5095">
        <v>-1.86441083542384</v>
      </c>
      <c r="AG5095">
        <v>-1.1131020115729999</v>
      </c>
      <c r="AH5095">
        <v>12.9543563298562</v>
      </c>
      <c r="AI5095">
        <v>94.861228064605996</v>
      </c>
      <c r="AJ5095">
        <v>98.189858847661696</v>
      </c>
      <c r="AK5095">
        <v>13.1350817192852</v>
      </c>
      <c r="AL5095">
        <v>79.830593552046395</v>
      </c>
      <c r="AM5095">
        <v>96.104732078667098</v>
      </c>
      <c r="AN5095">
        <v>1.00000002394688</v>
      </c>
    </row>
    <row r="5096" spans="1:40" x14ac:dyDescent="0.25">
      <c r="A5096" t="str">
        <f>"20190312172513720"</f>
        <v>20190312172513720</v>
      </c>
      <c r="B5096" t="str">
        <f>"1552382713715320"</f>
        <v>1552382713715320</v>
      </c>
      <c r="C5096" t="s">
        <v>40</v>
      </c>
      <c r="D5096">
        <v>4.0422260000000003</v>
      </c>
      <c r="E5096">
        <v>0.48937029999999898</v>
      </c>
      <c r="F5096" t="s">
        <v>43</v>
      </c>
      <c r="G5096">
        <v>-392.41890000000001</v>
      </c>
      <c r="H5096" s="1">
        <v>-4.1236020000000003E-6</v>
      </c>
      <c r="I5096">
        <v>21.719169999999998</v>
      </c>
      <c r="J5096">
        <v>-405.26209999999998</v>
      </c>
      <c r="K5096">
        <v>1.113102</v>
      </c>
      <c r="L5096">
        <v>25.44144</v>
      </c>
      <c r="M5096">
        <v>0.91169940000000005</v>
      </c>
      <c r="N5096">
        <v>0</v>
      </c>
      <c r="O5096">
        <v>-0.41064099999999998</v>
      </c>
      <c r="P5096">
        <v>0.93670900000000001</v>
      </c>
      <c r="Q5096">
        <v>0.1640151</v>
      </c>
      <c r="R5096">
        <v>-0.30931530000000002</v>
      </c>
      <c r="S5096">
        <v>2.9627690000000002</v>
      </c>
      <c r="T5096">
        <v>-0.25464379999999998</v>
      </c>
      <c r="U5096">
        <v>-0.86215209999999998</v>
      </c>
      <c r="V5096">
        <v>-0.10372089999999901</v>
      </c>
      <c r="W5096">
        <v>0.1764925</v>
      </c>
      <c r="X5096">
        <v>0.97882190000000002</v>
      </c>
      <c r="Y5096">
        <v>-0.137817</v>
      </c>
      <c r="Z5096">
        <v>3.9026020000000002E-2</v>
      </c>
      <c r="AA5096">
        <v>0.98968860000000003</v>
      </c>
      <c r="AB5096">
        <v>23</v>
      </c>
      <c r="AC5096">
        <v>12.8431999999999</v>
      </c>
      <c r="AD5096">
        <v>-1.1131061236019999</v>
      </c>
      <c r="AE5096">
        <v>-3.7222699999999902</v>
      </c>
      <c r="AF5096">
        <v>-1.86757942235359</v>
      </c>
      <c r="AG5096">
        <v>-1.1131061236019999</v>
      </c>
      <c r="AH5096">
        <v>13.1477274735078</v>
      </c>
      <c r="AI5096">
        <v>94.791337226060193</v>
      </c>
      <c r="AJ5096">
        <v>98.084540206061504</v>
      </c>
      <c r="AK5096">
        <v>13.3262746429312</v>
      </c>
      <c r="AL5096">
        <v>79.834475596370098</v>
      </c>
      <c r="AM5096">
        <v>96.048777112817504</v>
      </c>
      <c r="AN5096">
        <v>0.99999996978633399</v>
      </c>
    </row>
    <row r="5097" spans="1:40" x14ac:dyDescent="0.25">
      <c r="A5097" t="str">
        <f>"20190312172513733"</f>
        <v>20190312172513733</v>
      </c>
      <c r="B5097" t="str">
        <f>"1552382713726056"</f>
        <v>1552382713726056</v>
      </c>
      <c r="C5097" t="s">
        <v>40</v>
      </c>
      <c r="D5097">
        <v>3.9980389999999999</v>
      </c>
      <c r="E5097">
        <v>0.48958940000000001</v>
      </c>
      <c r="F5097" t="s">
        <v>43</v>
      </c>
      <c r="G5097">
        <v>-392.3297</v>
      </c>
      <c r="H5097" s="1">
        <v>-4.1553979999999996E-6</v>
      </c>
      <c r="I5097">
        <v>21.68</v>
      </c>
      <c r="J5097">
        <v>-405.13839999999999</v>
      </c>
      <c r="K5097">
        <v>1.1131009999999999</v>
      </c>
      <c r="L5097">
        <v>25.388639999999999</v>
      </c>
      <c r="M5097">
        <v>0.91266290000000005</v>
      </c>
      <c r="N5097">
        <v>0</v>
      </c>
      <c r="O5097">
        <v>-0.40849479999999999</v>
      </c>
      <c r="P5097">
        <v>0.93727579999999999</v>
      </c>
      <c r="Q5097">
        <v>0.1640945</v>
      </c>
      <c r="R5097">
        <v>-0.30754999999999999</v>
      </c>
      <c r="S5097">
        <v>2.9627690000000002</v>
      </c>
      <c r="T5097">
        <v>-0.25500669999999998</v>
      </c>
      <c r="U5097">
        <v>-0.86172490000000002</v>
      </c>
      <c r="V5097">
        <v>-0.103256399999999</v>
      </c>
      <c r="W5097">
        <v>0.176572799999999</v>
      </c>
      <c r="X5097">
        <v>0.97885659999999997</v>
      </c>
      <c r="Y5097">
        <v>-0.13562650000000001</v>
      </c>
      <c r="Z5097">
        <v>3.8827809999999997E-2</v>
      </c>
      <c r="AA5097">
        <v>0.98999890000000001</v>
      </c>
      <c r="AB5097">
        <v>23</v>
      </c>
      <c r="AC5097">
        <v>12.8086999999999</v>
      </c>
      <c r="AD5097">
        <v>-1.113105155398</v>
      </c>
      <c r="AE5097">
        <v>-3.7086399999999902</v>
      </c>
      <c r="AF5097">
        <v>-1.83492852786338</v>
      </c>
      <c r="AG5097">
        <v>-1.113105155398</v>
      </c>
      <c r="AH5097">
        <v>13.1147816806774</v>
      </c>
      <c r="AI5097">
        <v>94.8047228847893</v>
      </c>
      <c r="AJ5097">
        <v>97.964721762438202</v>
      </c>
      <c r="AK5097">
        <v>13.289223616192601</v>
      </c>
      <c r="AL5097">
        <v>79.829802062719196</v>
      </c>
      <c r="AM5097">
        <v>96.021676069122904</v>
      </c>
      <c r="AN5097">
        <v>1.0000000406021701</v>
      </c>
    </row>
    <row r="5098" spans="1:40" x14ac:dyDescent="0.25">
      <c r="A5098" t="str">
        <f>"20190312172513755"</f>
        <v>20190312172513755</v>
      </c>
      <c r="B5098" t="str">
        <f>"1552382713745575"</f>
        <v>1552382713745575</v>
      </c>
      <c r="C5098" t="s">
        <v>40</v>
      </c>
      <c r="D5098">
        <v>3.9819270000000002</v>
      </c>
      <c r="E5098">
        <v>0.49006670000000002</v>
      </c>
      <c r="F5098" t="s">
        <v>43</v>
      </c>
      <c r="G5098">
        <v>-392.13869999999997</v>
      </c>
      <c r="H5098" s="1">
        <v>-4.2307659999999997E-6</v>
      </c>
      <c r="I5098">
        <v>21.623999999999999</v>
      </c>
      <c r="J5098">
        <v>-404.93239999999997</v>
      </c>
      <c r="K5098">
        <v>1.1131</v>
      </c>
      <c r="L5098">
        <v>25.301359999999999</v>
      </c>
      <c r="M5098">
        <v>0.91425659999999997</v>
      </c>
      <c r="N5098">
        <v>0</v>
      </c>
      <c r="O5098">
        <v>-0.40491509999999997</v>
      </c>
      <c r="P5098">
        <v>0.93792120000000001</v>
      </c>
      <c r="Q5098">
        <v>0.16439179999999901</v>
      </c>
      <c r="R5098">
        <v>-0.30541659999999998</v>
      </c>
      <c r="S5098">
        <v>2.9636230000000001</v>
      </c>
      <c r="T5098">
        <v>-0.25376070000000001</v>
      </c>
      <c r="U5098">
        <v>-0.85824579999999995</v>
      </c>
      <c r="V5098">
        <v>-0.1016254</v>
      </c>
      <c r="W5098">
        <v>0.17687739999999999</v>
      </c>
      <c r="X5098">
        <v>0.97897230000000002</v>
      </c>
      <c r="Y5098">
        <v>-0.1329283</v>
      </c>
      <c r="Z5098">
        <v>3.8253170000000003E-2</v>
      </c>
      <c r="AA5098">
        <v>0.99038720000000002</v>
      </c>
      <c r="AB5098">
        <v>23</v>
      </c>
      <c r="AC5098">
        <v>12.793699999999999</v>
      </c>
      <c r="AD5098">
        <v>-1.113104230766</v>
      </c>
      <c r="AE5098">
        <v>-3.67735999999999</v>
      </c>
      <c r="AF5098">
        <v>-1.8058475374982099</v>
      </c>
      <c r="AG5098">
        <v>-1.113104230766</v>
      </c>
      <c r="AH5098">
        <v>13.0953578837513</v>
      </c>
      <c r="AI5098">
        <v>94.813126214145399</v>
      </c>
      <c r="AJ5098">
        <v>97.851558409008703</v>
      </c>
      <c r="AK5098">
        <v>13.266065146107399</v>
      </c>
      <c r="AL5098">
        <v>79.8120707819091</v>
      </c>
      <c r="AM5098">
        <v>95.926546904519697</v>
      </c>
      <c r="AN5098">
        <v>1.0000000503616</v>
      </c>
    </row>
    <row r="5099" spans="1:40" x14ac:dyDescent="0.25">
      <c r="A5099" t="str">
        <f>"20190312172513769"</f>
        <v>20190312172513769</v>
      </c>
      <c r="B5099" t="str">
        <f>"1552382713755336"</f>
        <v>1552382713755336</v>
      </c>
      <c r="C5099" t="s">
        <v>40</v>
      </c>
      <c r="D5099">
        <v>3.9507780000000001</v>
      </c>
      <c r="E5099">
        <v>0.49028440000000001</v>
      </c>
      <c r="F5099" t="s">
        <v>43</v>
      </c>
      <c r="G5099">
        <v>-391.78949999999998</v>
      </c>
      <c r="H5099" s="1">
        <v>-4.3598859999999996E-6</v>
      </c>
      <c r="I5099">
        <v>21.509329999999999</v>
      </c>
      <c r="J5099">
        <v>-404.80990000000003</v>
      </c>
      <c r="K5099">
        <v>1.113105</v>
      </c>
      <c r="L5099">
        <v>25.249849999999999</v>
      </c>
      <c r="M5099">
        <v>0.91519779999999995</v>
      </c>
      <c r="N5099">
        <v>0</v>
      </c>
      <c r="O5099">
        <v>-0.40278370000000002</v>
      </c>
      <c r="P5099">
        <v>0.93842619999999999</v>
      </c>
      <c r="Q5099">
        <v>0.16427990000000001</v>
      </c>
      <c r="R5099">
        <v>-0.30392239999999998</v>
      </c>
      <c r="S5099">
        <v>2.9640499999999999</v>
      </c>
      <c r="T5099">
        <v>-0.25103189999999997</v>
      </c>
      <c r="U5099">
        <v>-0.85519409999999896</v>
      </c>
      <c r="V5099">
        <v>-0.1009094</v>
      </c>
      <c r="W5099">
        <v>0.17676900000000001</v>
      </c>
      <c r="X5099">
        <v>0.97906590000000004</v>
      </c>
      <c r="Y5099">
        <v>-0.1316445</v>
      </c>
      <c r="Z5099">
        <v>3.7632369999999998E-2</v>
      </c>
      <c r="AA5099">
        <v>0.99058239999999997</v>
      </c>
      <c r="AB5099">
        <v>23</v>
      </c>
      <c r="AC5099">
        <v>13.0204</v>
      </c>
      <c r="AD5099">
        <v>-1.113109359886</v>
      </c>
      <c r="AE5099">
        <v>-3.7405199999999899</v>
      </c>
      <c r="AF5099">
        <v>-1.8090382212935401</v>
      </c>
      <c r="AG5099">
        <v>-1.113109359886</v>
      </c>
      <c r="AH5099">
        <v>13.334036622292601</v>
      </c>
      <c r="AI5099">
        <v>94.728795876276394</v>
      </c>
      <c r="AJ5099">
        <v>97.726185454313594</v>
      </c>
      <c r="AK5099">
        <v>13.5021540643635</v>
      </c>
      <c r="AL5099">
        <v>79.818380677407205</v>
      </c>
      <c r="AM5099">
        <v>95.884526940728307</v>
      </c>
      <c r="AN5099">
        <v>1.0000000114560801</v>
      </c>
    </row>
    <row r="5100" spans="1:40" x14ac:dyDescent="0.25">
      <c r="A5100" t="str">
        <f>"20190312172513780"</f>
        <v>20190312172513780</v>
      </c>
      <c r="B5100" t="str">
        <f>"1552382713775834"</f>
        <v>1552382713775834</v>
      </c>
      <c r="C5100" t="s">
        <v>40</v>
      </c>
      <c r="D5100">
        <v>3.9797090000000002</v>
      </c>
      <c r="E5100">
        <v>0.49073460000000002</v>
      </c>
      <c r="F5100" t="s">
        <v>43</v>
      </c>
      <c r="G5100">
        <v>-391.63229999999999</v>
      </c>
      <c r="H5100" s="1">
        <v>-4.4119409999999997E-6</v>
      </c>
      <c r="I5100">
        <v>21.462409999999998</v>
      </c>
      <c r="J5100">
        <v>-404.69130000000001</v>
      </c>
      <c r="K5100">
        <v>1.1131040000000001</v>
      </c>
      <c r="L5100">
        <v>25.200320000000001</v>
      </c>
      <c r="M5100">
        <v>0.91610279999999999</v>
      </c>
      <c r="N5100">
        <v>0</v>
      </c>
      <c r="O5100">
        <v>-0.40072079999999999</v>
      </c>
      <c r="P5100">
        <v>0.93876590000000004</v>
      </c>
      <c r="Q5100">
        <v>0.1645317</v>
      </c>
      <c r="R5100">
        <v>-0.30273420000000001</v>
      </c>
      <c r="S5100">
        <v>2.9647519999999998</v>
      </c>
      <c r="T5100">
        <v>-0.25043179999999998</v>
      </c>
      <c r="U5100">
        <v>-0.85211179999999997</v>
      </c>
      <c r="V5100">
        <v>-9.9924719999999995E-2</v>
      </c>
      <c r="W5100">
        <v>0.17702570000000001</v>
      </c>
      <c r="X5100">
        <v>0.97912049999999995</v>
      </c>
      <c r="Y5100">
        <v>-0.13044239999999999</v>
      </c>
      <c r="Z5100">
        <v>3.733744E-2</v>
      </c>
      <c r="AA5100">
        <v>0.99075259999999998</v>
      </c>
      <c r="AB5100">
        <v>23</v>
      </c>
      <c r="AC5100">
        <v>13.058999999999999</v>
      </c>
      <c r="AD5100">
        <v>-1.113108411941</v>
      </c>
      <c r="AE5100">
        <v>-3.7379099999999998</v>
      </c>
      <c r="AF5100">
        <v>-1.7967987689702301</v>
      </c>
      <c r="AG5100">
        <v>-1.113108411941</v>
      </c>
      <c r="AH5100">
        <v>13.372646877474301</v>
      </c>
      <c r="AI5100">
        <v>94.716013837408099</v>
      </c>
      <c r="AJ5100">
        <v>97.652641908936303</v>
      </c>
      <c r="AK5100">
        <v>13.5386550536798</v>
      </c>
      <c r="AL5100">
        <v>79.803437072070395</v>
      </c>
      <c r="AM5100">
        <v>95.827179756682497</v>
      </c>
      <c r="AN5100">
        <v>1.0000000008239001</v>
      </c>
    </row>
    <row r="5101" spans="1:40" x14ac:dyDescent="0.25">
      <c r="A5101" t="str">
        <f>"20190312172513799"</f>
        <v>20190312172513799</v>
      </c>
      <c r="B5101" t="str">
        <f>"1552382713785592"</f>
        <v>1552382713785592</v>
      </c>
      <c r="C5101" t="s">
        <v>40</v>
      </c>
      <c r="D5101">
        <v>4.0026650000000004</v>
      </c>
      <c r="E5101">
        <v>0.49090400000000001</v>
      </c>
      <c r="F5101" t="s">
        <v>43</v>
      </c>
      <c r="G5101">
        <v>-391.38459999999998</v>
      </c>
      <c r="H5101" s="1">
        <v>-4.4920499999999996E-6</v>
      </c>
      <c r="I5101">
        <v>21.377780000000001</v>
      </c>
      <c r="J5101">
        <v>-404.52409999999998</v>
      </c>
      <c r="K5101">
        <v>1.1131040000000001</v>
      </c>
      <c r="L5101">
        <v>25.131129999999999</v>
      </c>
      <c r="M5101">
        <v>0.91736960000000001</v>
      </c>
      <c r="N5101">
        <v>0</v>
      </c>
      <c r="O5101">
        <v>-0.39781280000000002</v>
      </c>
      <c r="P5101">
        <v>0.93915800000000005</v>
      </c>
      <c r="Q5101">
        <v>0.16484840000000001</v>
      </c>
      <c r="R5101">
        <v>-0.30134309999999997</v>
      </c>
      <c r="S5101">
        <v>2.9645079999999999</v>
      </c>
      <c r="T5101">
        <v>-0.2479806</v>
      </c>
      <c r="U5101">
        <v>-0.85159300000000004</v>
      </c>
      <c r="V5101">
        <v>-9.824542E-2</v>
      </c>
      <c r="W5101">
        <v>0.177351799999999</v>
      </c>
      <c r="X5101">
        <v>0.97923139999999997</v>
      </c>
      <c r="Y5101">
        <v>-0.12748429999999999</v>
      </c>
      <c r="Z5101">
        <v>3.6640890000000002E-2</v>
      </c>
      <c r="AA5101">
        <v>0.99116360000000003</v>
      </c>
      <c r="AB5101">
        <v>23</v>
      </c>
      <c r="AC5101">
        <v>13.1394999999999</v>
      </c>
      <c r="AD5101">
        <v>-1.1131084920500001</v>
      </c>
      <c r="AE5101">
        <v>-3.7533500000000002</v>
      </c>
      <c r="AF5101">
        <v>-1.77225170263552</v>
      </c>
      <c r="AG5101">
        <v>-1.1131084920500001</v>
      </c>
      <c r="AH5101">
        <v>13.45881295085</v>
      </c>
      <c r="AI5101">
        <v>94.687593128148904</v>
      </c>
      <c r="AJ5101">
        <v>97.501528889713001</v>
      </c>
      <c r="AK5101">
        <v>13.6205555194543</v>
      </c>
      <c r="AL5101">
        <v>79.784452299664693</v>
      </c>
      <c r="AM5101">
        <v>95.729262741900996</v>
      </c>
      <c r="AN5101">
        <v>0.99999997913008798</v>
      </c>
    </row>
    <row r="5102" spans="1:40" x14ac:dyDescent="0.25">
      <c r="A5102" t="str">
        <f>"20190312172513809"</f>
        <v>20190312172513809</v>
      </c>
      <c r="B5102" t="str">
        <f>"1552382713806093"</f>
        <v>1552382713806093</v>
      </c>
      <c r="C5102" t="s">
        <v>40</v>
      </c>
      <c r="D5102">
        <v>4.0485110000000004</v>
      </c>
      <c r="E5102">
        <v>0.49125390000000002</v>
      </c>
      <c r="F5102" t="s">
        <v>43</v>
      </c>
      <c r="G5102">
        <v>-391.11540000000002</v>
      </c>
      <c r="H5102" s="1">
        <v>-4.580445E-6</v>
      </c>
      <c r="I5102">
        <v>21.293510000000001</v>
      </c>
      <c r="J5102">
        <v>-404.4212</v>
      </c>
      <c r="K5102">
        <v>1.113105</v>
      </c>
      <c r="L5102">
        <v>25.088899999999999</v>
      </c>
      <c r="M5102">
        <v>0.91814359999999995</v>
      </c>
      <c r="N5102">
        <v>0</v>
      </c>
      <c r="O5102">
        <v>-0.39602290000000001</v>
      </c>
      <c r="P5102">
        <v>0.93948200000000004</v>
      </c>
      <c r="Q5102">
        <v>0.16485520000000001</v>
      </c>
      <c r="R5102">
        <v>-0.30032710000000001</v>
      </c>
      <c r="S5102">
        <v>2.9652400000000001</v>
      </c>
      <c r="T5102">
        <v>-0.24615619999999999</v>
      </c>
      <c r="U5102">
        <v>-0.84866330000000001</v>
      </c>
      <c r="V5102">
        <v>-9.7391610000000003E-2</v>
      </c>
      <c r="W5102">
        <v>0.17736399999999999</v>
      </c>
      <c r="X5102">
        <v>0.97931449999999998</v>
      </c>
      <c r="Y5102">
        <v>-0.1265512</v>
      </c>
      <c r="Z5102">
        <v>3.6200360000000001E-2</v>
      </c>
      <c r="AA5102">
        <v>0.99129929999999999</v>
      </c>
      <c r="AB5102">
        <v>23</v>
      </c>
      <c r="AC5102">
        <v>13.3057999999999</v>
      </c>
      <c r="AD5102">
        <v>-1.113109580445</v>
      </c>
      <c r="AE5102">
        <v>-3.79538999999999</v>
      </c>
      <c r="AF5102">
        <v>-1.7733706747264499</v>
      </c>
      <c r="AG5102">
        <v>-1.113109580445</v>
      </c>
      <c r="AH5102">
        <v>13.6326915654637</v>
      </c>
      <c r="AI5102">
        <v>94.629018235217004</v>
      </c>
      <c r="AJ5102">
        <v>97.411544199195106</v>
      </c>
      <c r="AK5102">
        <v>13.7925391356024</v>
      </c>
      <c r="AL5102">
        <v>79.783742267528794</v>
      </c>
      <c r="AM5102">
        <v>95.679320263478303</v>
      </c>
      <c r="AN5102">
        <v>1.0000000020523201</v>
      </c>
    </row>
    <row r="5103" spans="1:40" x14ac:dyDescent="0.25">
      <c r="A5103" t="str">
        <f>"20190312172513820"</f>
        <v>20190312172513820</v>
      </c>
      <c r="B5103" t="str">
        <f>"1552382713815853"</f>
        <v>1552382713815853</v>
      </c>
      <c r="C5103" t="s">
        <v>40</v>
      </c>
      <c r="D5103">
        <v>4.0053140000000003</v>
      </c>
      <c r="E5103">
        <v>0.49143399999999998</v>
      </c>
      <c r="F5103" t="s">
        <v>43</v>
      </c>
      <c r="G5103">
        <v>-390.96570000000003</v>
      </c>
      <c r="H5103" s="1">
        <v>-4.6283850000000002E-6</v>
      </c>
      <c r="I5103">
        <v>21.239550000000001</v>
      </c>
      <c r="J5103">
        <v>-404.31319999999999</v>
      </c>
      <c r="K5103">
        <v>1.1131040000000001</v>
      </c>
      <c r="L5103">
        <v>25.044650000000001</v>
      </c>
      <c r="M5103">
        <v>0.91895249999999995</v>
      </c>
      <c r="N5103">
        <v>0</v>
      </c>
      <c r="O5103">
        <v>-0.3941424</v>
      </c>
      <c r="P5103">
        <v>0.93986119999999995</v>
      </c>
      <c r="Q5103">
        <v>0.16483020000000001</v>
      </c>
      <c r="R5103">
        <v>-0.299153</v>
      </c>
      <c r="S5103">
        <v>2.9651489999999998</v>
      </c>
      <c r="T5103">
        <v>-0.2452918</v>
      </c>
      <c r="U5103">
        <v>-0.84826659999999898</v>
      </c>
      <c r="V5103">
        <v>-9.6610230000000005E-2</v>
      </c>
      <c r="W5103">
        <v>0.17734339999999901</v>
      </c>
      <c r="X5103">
        <v>0.97939560000000003</v>
      </c>
      <c r="Y5103">
        <v>-0.1246564</v>
      </c>
      <c r="Z5103">
        <v>3.5860830000000003E-2</v>
      </c>
      <c r="AA5103">
        <v>0.99155170000000004</v>
      </c>
      <c r="AB5103">
        <v>23</v>
      </c>
      <c r="AC5103">
        <v>13.347499999999901</v>
      </c>
      <c r="AD5103">
        <v>-1.113108628385</v>
      </c>
      <c r="AE5103">
        <v>-3.8050999999999999</v>
      </c>
      <c r="AF5103">
        <v>-1.75299150693797</v>
      </c>
      <c r="AG5103">
        <v>-1.113108628385</v>
      </c>
      <c r="AH5103">
        <v>13.678715059438201</v>
      </c>
      <c r="AI5103">
        <v>94.614631461306004</v>
      </c>
      <c r="AJ5103">
        <v>97.302916428649695</v>
      </c>
      <c r="AK5103">
        <v>13.8354340632769</v>
      </c>
      <c r="AL5103">
        <v>79.784941341992905</v>
      </c>
      <c r="AM5103">
        <v>95.633585460743205</v>
      </c>
      <c r="AN5103">
        <v>0.999999979681786</v>
      </c>
    </row>
    <row r="5104" spans="1:40" x14ac:dyDescent="0.25">
      <c r="A5104" t="str">
        <f>"20190312172513834"</f>
        <v>20190312172513834</v>
      </c>
      <c r="B5104" t="str">
        <f>"1552382713825613"</f>
        <v>1552382713825613</v>
      </c>
      <c r="C5104" t="s">
        <v>40</v>
      </c>
      <c r="D5104">
        <v>3.9572250000000002</v>
      </c>
      <c r="E5104">
        <v>0.49162260000000002</v>
      </c>
      <c r="F5104" t="s">
        <v>43</v>
      </c>
      <c r="G5104">
        <v>-390.83949999999999</v>
      </c>
      <c r="H5104" s="1">
        <v>-4.6699589999999997E-6</v>
      </c>
      <c r="I5104">
        <v>21.20073</v>
      </c>
      <c r="J5104">
        <v>-404.18759999999997</v>
      </c>
      <c r="K5104">
        <v>1.113103</v>
      </c>
      <c r="L5104">
        <v>24.993739999999999</v>
      </c>
      <c r="M5104">
        <v>0.91988610000000004</v>
      </c>
      <c r="N5104">
        <v>0</v>
      </c>
      <c r="O5104">
        <v>-0.39195869999999999</v>
      </c>
      <c r="P5104">
        <v>0.94032510000000002</v>
      </c>
      <c r="Q5104">
        <v>0.16492899999999999</v>
      </c>
      <c r="R5104">
        <v>-0.29763630000000002</v>
      </c>
      <c r="S5104">
        <v>2.9656370000000001</v>
      </c>
      <c r="T5104">
        <v>-0.24500179999999999</v>
      </c>
      <c r="U5104">
        <v>-0.84606930000000002</v>
      </c>
      <c r="V5104">
        <v>-9.5855120000000002E-2</v>
      </c>
      <c r="W5104">
        <v>0.1774462</v>
      </c>
      <c r="X5104">
        <v>0.97945119999999997</v>
      </c>
      <c r="Y5104">
        <v>-0.1230367</v>
      </c>
      <c r="Z5104">
        <v>3.5591850000000001E-2</v>
      </c>
      <c r="AA5104">
        <v>0.99176370000000003</v>
      </c>
      <c r="AB5104">
        <v>23</v>
      </c>
      <c r="AC5104">
        <v>13.348099999999899</v>
      </c>
      <c r="AD5104">
        <v>-1.1131076699589999</v>
      </c>
      <c r="AE5104">
        <v>-3.79300999999999</v>
      </c>
      <c r="AF5104">
        <v>-1.73177878410704</v>
      </c>
      <c r="AG5104">
        <v>-1.1131076699589999</v>
      </c>
      <c r="AH5104">
        <v>13.6786452836786</v>
      </c>
      <c r="AI5104">
        <v>94.615543797202406</v>
      </c>
      <c r="AJ5104">
        <v>97.215518195716001</v>
      </c>
      <c r="AK5104">
        <v>13.832693274944999</v>
      </c>
      <c r="AL5104">
        <v>79.778956680654701</v>
      </c>
      <c r="AM5104">
        <v>95.589517752242699</v>
      </c>
      <c r="AN5104">
        <v>1.00000000555304</v>
      </c>
    </row>
    <row r="5105" spans="1:40" x14ac:dyDescent="0.25">
      <c r="A5105" t="str">
        <f>"20190312172513846"</f>
        <v>20190312172513846</v>
      </c>
      <c r="B5105" t="str">
        <f>"1552382713835372"</f>
        <v>1552382713835372</v>
      </c>
      <c r="C5105" t="s">
        <v>40</v>
      </c>
      <c r="D5105">
        <v>3.9808520000000001</v>
      </c>
      <c r="E5105">
        <v>0.49182700000000001</v>
      </c>
      <c r="F5105" t="s">
        <v>43</v>
      </c>
      <c r="G5105">
        <v>-390.66419999999999</v>
      </c>
      <c r="H5105" s="1">
        <v>-4.7283479999999997E-6</v>
      </c>
      <c r="I5105">
        <v>21.150359999999999</v>
      </c>
      <c r="J5105">
        <v>-404.07960000000003</v>
      </c>
      <c r="K5105">
        <v>1.1131</v>
      </c>
      <c r="L5105">
        <v>24.95016</v>
      </c>
      <c r="M5105">
        <v>0.92068430000000001</v>
      </c>
      <c r="N5105">
        <v>0</v>
      </c>
      <c r="O5105">
        <v>-0.39007999999999998</v>
      </c>
      <c r="P5105">
        <v>0.94063430000000003</v>
      </c>
      <c r="Q5105">
        <v>0.16497020000000001</v>
      </c>
      <c r="R5105">
        <v>-0.29663390000000001</v>
      </c>
      <c r="S5105">
        <v>2.96637</v>
      </c>
      <c r="T5105">
        <v>-0.24416080000000001</v>
      </c>
      <c r="U5105">
        <v>-0.84304809999999997</v>
      </c>
      <c r="V5105">
        <v>-9.4893039999999998E-2</v>
      </c>
      <c r="W5105">
        <v>0.17749400000000001</v>
      </c>
      <c r="X5105">
        <v>0.97953619999999997</v>
      </c>
      <c r="Y5105">
        <v>-0.1220286</v>
      </c>
      <c r="Z5105">
        <v>3.5289880000000003E-2</v>
      </c>
      <c r="AA5105">
        <v>0.99189899999999998</v>
      </c>
      <c r="AB5105">
        <v>23</v>
      </c>
      <c r="AC5105">
        <v>13.4154</v>
      </c>
      <c r="AD5105">
        <v>-1.113104728348</v>
      </c>
      <c r="AE5105">
        <v>-3.7997999999999998</v>
      </c>
      <c r="AF5105">
        <v>-1.7238313090965001</v>
      </c>
      <c r="AG5105">
        <v>-1.113104728348</v>
      </c>
      <c r="AH5105">
        <v>13.7471934469822</v>
      </c>
      <c r="AI5105">
        <v>94.593301760091094</v>
      </c>
      <c r="AJ5105">
        <v>97.147307067845205</v>
      </c>
      <c r="AK5105">
        <v>13.899493666578</v>
      </c>
      <c r="AL5105">
        <v>79.776173586551494</v>
      </c>
      <c r="AM5105">
        <v>95.533289563019807</v>
      </c>
      <c r="AN5105">
        <v>0.99999998809344004</v>
      </c>
    </row>
    <row r="5106" spans="1:40" x14ac:dyDescent="0.25">
      <c r="A5106" t="str">
        <f>"20190312172513856"</f>
        <v>20190312172513856</v>
      </c>
      <c r="B5106" t="str">
        <f>"1552382713846108"</f>
        <v>1552382713846108</v>
      </c>
      <c r="C5106" t="s">
        <v>40</v>
      </c>
      <c r="D5106">
        <v>4.0007199999999896</v>
      </c>
      <c r="E5106">
        <v>0.49199720000000002</v>
      </c>
      <c r="F5106" t="s">
        <v>43</v>
      </c>
      <c r="G5106">
        <v>-390.51920000000001</v>
      </c>
      <c r="H5106" s="1">
        <v>-4.7755899999999998E-6</v>
      </c>
      <c r="I5106">
        <v>21.102879999999999</v>
      </c>
      <c r="J5106">
        <v>-403.97089999999997</v>
      </c>
      <c r="K5106">
        <v>1.113097</v>
      </c>
      <c r="L5106">
        <v>24.90652</v>
      </c>
      <c r="M5106">
        <v>0.92148379999999996</v>
      </c>
      <c r="N5106">
        <v>0</v>
      </c>
      <c r="O5106">
        <v>-0.38818740000000002</v>
      </c>
      <c r="P5106">
        <v>0.94095770000000001</v>
      </c>
      <c r="Q5106">
        <v>0.1649381</v>
      </c>
      <c r="R5106">
        <v>-0.29562569999999999</v>
      </c>
      <c r="S5106">
        <v>2.9666139999999999</v>
      </c>
      <c r="T5106">
        <v>-0.2435148</v>
      </c>
      <c r="U5106">
        <v>-0.84167479999999995</v>
      </c>
      <c r="V5106">
        <v>-9.3929879999999993E-2</v>
      </c>
      <c r="W5106">
        <v>0.17746770000000001</v>
      </c>
      <c r="X5106">
        <v>0.9796338</v>
      </c>
      <c r="Y5106">
        <v>-0.1204533</v>
      </c>
      <c r="Z5106">
        <v>3.4995270000000002E-2</v>
      </c>
      <c r="AA5106">
        <v>0.99210200000000004</v>
      </c>
      <c r="AB5106">
        <v>23</v>
      </c>
      <c r="AC5106">
        <v>13.451699999999899</v>
      </c>
      <c r="AD5106">
        <v>-1.1131017755899999</v>
      </c>
      <c r="AE5106">
        <v>-3.8036400000000001</v>
      </c>
      <c r="AF5106">
        <v>-1.7061234149636499</v>
      </c>
      <c r="AG5106">
        <v>-1.1131017755899999</v>
      </c>
      <c r="AH5106">
        <v>13.7858779574726</v>
      </c>
      <c r="AI5106">
        <v>94.581370984701607</v>
      </c>
      <c r="AJ5106">
        <v>97.054983029029103</v>
      </c>
      <c r="AK5106">
        <v>13.935576189316301</v>
      </c>
      <c r="AL5106">
        <v>79.777704840525601</v>
      </c>
      <c r="AM5106">
        <v>95.4769278331419</v>
      </c>
      <c r="AN5106">
        <v>0.99999999450127197</v>
      </c>
    </row>
    <row r="5107" spans="1:40" x14ac:dyDescent="0.25">
      <c r="A5107" t="str">
        <f>"20190312172513867"</f>
        <v>20190312172513867</v>
      </c>
      <c r="B5107" t="str">
        <f>"1552382713855868"</f>
        <v>1552382713855868</v>
      </c>
      <c r="C5107" t="s">
        <v>40</v>
      </c>
      <c r="D5107">
        <v>4.049245</v>
      </c>
      <c r="E5107">
        <v>0.49217470000000002</v>
      </c>
      <c r="F5107" t="s">
        <v>43</v>
      </c>
      <c r="G5107">
        <v>-390.38940000000002</v>
      </c>
      <c r="H5107" s="1">
        <v>-4.8182129999999996E-6</v>
      </c>
      <c r="I5107">
        <v>21.062110000000001</v>
      </c>
      <c r="J5107">
        <v>-403.87240000000003</v>
      </c>
      <c r="K5107">
        <v>1.1130930000000001</v>
      </c>
      <c r="L5107">
        <v>24.867280000000001</v>
      </c>
      <c r="M5107">
        <v>0.9222032</v>
      </c>
      <c r="N5107">
        <v>0</v>
      </c>
      <c r="O5107">
        <v>-0.38647530000000002</v>
      </c>
      <c r="P5107">
        <v>0.94115850000000001</v>
      </c>
      <c r="Q5107">
        <v>0.165054799999999</v>
      </c>
      <c r="R5107">
        <v>-0.29491990000000001</v>
      </c>
      <c r="S5107">
        <v>2.96698</v>
      </c>
      <c r="T5107">
        <v>-0.24316599999999999</v>
      </c>
      <c r="U5107">
        <v>-0.83984380000000003</v>
      </c>
      <c r="V5107">
        <v>-9.2834169999999994E-2</v>
      </c>
      <c r="W5107">
        <v>0.1775912</v>
      </c>
      <c r="X5107">
        <v>0.97971589999999997</v>
      </c>
      <c r="Y5107">
        <v>-0.1192211</v>
      </c>
      <c r="Z5107">
        <v>3.4770429999999998E-2</v>
      </c>
      <c r="AA5107">
        <v>0.99225870000000005</v>
      </c>
      <c r="AB5107">
        <v>23</v>
      </c>
      <c r="AC5107">
        <v>13.483000000000001</v>
      </c>
      <c r="AD5107">
        <v>-1.113097818213</v>
      </c>
      <c r="AE5107">
        <v>-3.8051699999999902</v>
      </c>
      <c r="AF5107">
        <v>-1.69118224306561</v>
      </c>
      <c r="AG5107">
        <v>-1.113097818213</v>
      </c>
      <c r="AH5107">
        <v>13.818675940575901</v>
      </c>
      <c r="AI5107">
        <v>94.571285972135499</v>
      </c>
      <c r="AJ5107">
        <v>96.977378726079394</v>
      </c>
      <c r="AK5107">
        <v>13.966205242757299</v>
      </c>
      <c r="AL5107">
        <v>79.770514976378905</v>
      </c>
      <c r="AM5107">
        <v>95.412969235221098</v>
      </c>
      <c r="AN5107">
        <v>1.00000003107491</v>
      </c>
    </row>
    <row r="5108" spans="1:40" x14ac:dyDescent="0.25">
      <c r="A5108" t="str">
        <f>"20190312172513878"</f>
        <v>20190312172513878</v>
      </c>
      <c r="B5108" t="str">
        <f>"1552382713865629"</f>
        <v>1552382713865629</v>
      </c>
      <c r="C5108" t="s">
        <v>40</v>
      </c>
      <c r="D5108">
        <v>3.989325</v>
      </c>
      <c r="E5108">
        <v>0.49235040000000002</v>
      </c>
      <c r="F5108" t="s">
        <v>43</v>
      </c>
      <c r="G5108">
        <v>-390.23379999999997</v>
      </c>
      <c r="H5108" s="1">
        <v>-4.8690049999999998E-6</v>
      </c>
      <c r="I5108">
        <v>21.011559999999999</v>
      </c>
      <c r="J5108">
        <v>-403.7704</v>
      </c>
      <c r="K5108">
        <v>1.1130910000000001</v>
      </c>
      <c r="L5108">
        <v>24.826779999999999</v>
      </c>
      <c r="M5108">
        <v>0.92294469999999995</v>
      </c>
      <c r="N5108">
        <v>0</v>
      </c>
      <c r="O5108">
        <v>-0.38470169999999998</v>
      </c>
      <c r="P5108">
        <v>0.94141050000000004</v>
      </c>
      <c r="Q5108">
        <v>0.1650549</v>
      </c>
      <c r="R5108">
        <v>-0.2941144</v>
      </c>
      <c r="S5108">
        <v>2.9671630000000002</v>
      </c>
      <c r="T5108">
        <v>-0.2421614</v>
      </c>
      <c r="U5108">
        <v>-0.83883669999999999</v>
      </c>
      <c r="V5108">
        <v>-9.1785690000000003E-2</v>
      </c>
      <c r="W5108">
        <v>0.1775987</v>
      </c>
      <c r="X5108">
        <v>0.9798133</v>
      </c>
      <c r="Y5108">
        <v>-0.11766160000000001</v>
      </c>
      <c r="Z5108">
        <v>3.4435800000000003E-2</v>
      </c>
      <c r="AA5108">
        <v>0.99245649999999996</v>
      </c>
      <c r="AB5108">
        <v>23</v>
      </c>
      <c r="AC5108">
        <v>13.5366</v>
      </c>
      <c r="AD5108">
        <v>-1.1130958690049999</v>
      </c>
      <c r="AE5108">
        <v>-3.8152199999999898</v>
      </c>
      <c r="AF5108">
        <v>-1.6759675973017201</v>
      </c>
      <c r="AG5108">
        <v>-1.1130958690049999</v>
      </c>
      <c r="AH5108">
        <v>13.875579297859</v>
      </c>
      <c r="AI5108">
        <v>94.553478571624098</v>
      </c>
      <c r="AJ5108">
        <v>96.887131405411196</v>
      </c>
      <c r="AK5108">
        <v>14.0206829595414</v>
      </c>
      <c r="AL5108">
        <v>79.770078067760295</v>
      </c>
      <c r="AM5108">
        <v>95.351662603479596</v>
      </c>
      <c r="AN5108">
        <v>1.0000000069936701</v>
      </c>
    </row>
    <row r="5109" spans="1:40" x14ac:dyDescent="0.25">
      <c r="A5109" t="str">
        <f>"20190312172513890"</f>
        <v>20190312172513890</v>
      </c>
      <c r="B5109" t="str">
        <f>"1552382713886124"</f>
        <v>1552382713886124</v>
      </c>
      <c r="C5109" t="s">
        <v>40</v>
      </c>
      <c r="D5109">
        <v>4.0109180000000002</v>
      </c>
      <c r="E5109">
        <v>0.4927396</v>
      </c>
      <c r="F5109" t="s">
        <v>43</v>
      </c>
      <c r="G5109">
        <v>-390.09780000000001</v>
      </c>
      <c r="H5109" s="1">
        <v>-4.9135499999999997E-6</v>
      </c>
      <c r="I5109">
        <v>20.968319999999999</v>
      </c>
      <c r="J5109">
        <v>-403.67</v>
      </c>
      <c r="K5109">
        <v>1.1130880000000001</v>
      </c>
      <c r="L5109">
        <v>24.78726</v>
      </c>
      <c r="M5109">
        <v>0.9236704</v>
      </c>
      <c r="N5109">
        <v>0</v>
      </c>
      <c r="O5109">
        <v>-0.38295580000000001</v>
      </c>
      <c r="P5109">
        <v>0.94174930000000001</v>
      </c>
      <c r="Q5109">
        <v>0.16472329999999999</v>
      </c>
      <c r="R5109">
        <v>-0.29321449999999999</v>
      </c>
      <c r="S5109">
        <v>2.9674680000000002</v>
      </c>
      <c r="T5109">
        <v>-0.24158389999999999</v>
      </c>
      <c r="U5109">
        <v>-0.83743289999999904</v>
      </c>
      <c r="V5109">
        <v>-9.0886529999999993E-2</v>
      </c>
      <c r="W5109">
        <v>0.17727390000000001</v>
      </c>
      <c r="X5109">
        <v>0.97995589999999999</v>
      </c>
      <c r="Y5109">
        <v>-0.1162612</v>
      </c>
      <c r="Z5109">
        <v>3.4170640000000002E-2</v>
      </c>
      <c r="AA5109">
        <v>0.99263069999999998</v>
      </c>
      <c r="AB5109">
        <v>23</v>
      </c>
      <c r="AC5109">
        <v>13.5722</v>
      </c>
      <c r="AD5109">
        <v>-1.1130929135499901</v>
      </c>
      <c r="AE5109">
        <v>-3.8189399999999898</v>
      </c>
      <c r="AF5109">
        <v>-1.6599137912211701</v>
      </c>
      <c r="AG5109">
        <v>-1.1130929135499901</v>
      </c>
      <c r="AH5109">
        <v>13.9132535832809</v>
      </c>
      <c r="AI5109">
        <v>94.541980889876996</v>
      </c>
      <c r="AJ5109">
        <v>96.803486772798905</v>
      </c>
      <c r="AK5109">
        <v>14.056063278925601</v>
      </c>
      <c r="AL5109">
        <v>79.788987527337994</v>
      </c>
      <c r="AM5109">
        <v>95.298769303442796</v>
      </c>
      <c r="AN5109">
        <v>0.99999998145072999</v>
      </c>
    </row>
    <row r="5110" spans="1:40" x14ac:dyDescent="0.25">
      <c r="A5110" t="str">
        <f>"20190312172513900"</f>
        <v>20190312172513900</v>
      </c>
      <c r="B5110" t="str">
        <f>"1552382713895884"</f>
        <v>1552382713895884</v>
      </c>
      <c r="C5110" t="s">
        <v>40</v>
      </c>
      <c r="D5110">
        <v>4.0434809999999999</v>
      </c>
      <c r="E5110">
        <v>0.49293930000000002</v>
      </c>
      <c r="F5110" t="s">
        <v>43</v>
      </c>
      <c r="G5110">
        <v>-390.01690000000002</v>
      </c>
      <c r="H5110" s="1">
        <v>-4.9387590000000004E-6</v>
      </c>
      <c r="I5110">
        <v>20.935220000000001</v>
      </c>
      <c r="J5110">
        <v>-403.5532</v>
      </c>
      <c r="K5110">
        <v>1.1130850000000001</v>
      </c>
      <c r="L5110">
        <v>24.741330000000001</v>
      </c>
      <c r="M5110">
        <v>0.92451050000000001</v>
      </c>
      <c r="N5110">
        <v>0</v>
      </c>
      <c r="O5110">
        <v>-0.38092340000000002</v>
      </c>
      <c r="P5110">
        <v>0.94214790000000004</v>
      </c>
      <c r="Q5110">
        <v>0.1646907</v>
      </c>
      <c r="R5110">
        <v>-0.29195009999999999</v>
      </c>
      <c r="S5110">
        <v>2.9672239999999999</v>
      </c>
      <c r="T5110">
        <v>-0.24190690000000001</v>
      </c>
      <c r="U5110">
        <v>-0.83715819999999996</v>
      </c>
      <c r="V5110">
        <v>-9.0045390000000003E-2</v>
      </c>
      <c r="W5110">
        <v>0.1772463</v>
      </c>
      <c r="X5110">
        <v>0.98003859999999998</v>
      </c>
      <c r="Y5110">
        <v>-0.1141479</v>
      </c>
      <c r="Z5110">
        <v>3.3986959999999997E-2</v>
      </c>
      <c r="AA5110">
        <v>0.9928823</v>
      </c>
      <c r="AB5110">
        <v>23</v>
      </c>
      <c r="AC5110">
        <v>13.536299999999899</v>
      </c>
      <c r="AD5110">
        <v>-1.1130899387590001</v>
      </c>
      <c r="AE5110">
        <v>-3.8061099999999901</v>
      </c>
      <c r="AF5110">
        <v>-1.6274520889375299</v>
      </c>
      <c r="AG5110">
        <v>-1.1130899387590001</v>
      </c>
      <c r="AH5110">
        <v>13.8785608275968</v>
      </c>
      <c r="AI5110">
        <v>94.554354358470903</v>
      </c>
      <c r="AJ5110">
        <v>96.688173696492697</v>
      </c>
      <c r="AK5110">
        <v>14.0179178253711</v>
      </c>
      <c r="AL5110">
        <v>79.790594943573396</v>
      </c>
      <c r="AM5110">
        <v>95.249564812929293</v>
      </c>
      <c r="AN5110">
        <v>1.00000004030695</v>
      </c>
    </row>
    <row r="5111" spans="1:40" x14ac:dyDescent="0.25">
      <c r="A5111" t="str">
        <f>"20190312172513913"</f>
        <v>20190312172513913</v>
      </c>
      <c r="B5111" t="str">
        <f>"1552382713905645"</f>
        <v>1552382713905645</v>
      </c>
      <c r="C5111" t="s">
        <v>40</v>
      </c>
      <c r="D5111">
        <v>4.0035660000000002</v>
      </c>
      <c r="E5111">
        <v>0.49311840000000001</v>
      </c>
      <c r="F5111" t="s">
        <v>51</v>
      </c>
      <c r="G5111">
        <v>-389.89249999999998</v>
      </c>
      <c r="H5111" s="1">
        <v>-3.9200369999999999E-7</v>
      </c>
      <c r="I5111">
        <v>20.89706</v>
      </c>
      <c r="J5111">
        <v>-403.43650000000002</v>
      </c>
      <c r="K5111">
        <v>1.113081</v>
      </c>
      <c r="L5111">
        <v>24.695979999999999</v>
      </c>
      <c r="M5111">
        <v>0.92534349999999999</v>
      </c>
      <c r="N5111">
        <v>0</v>
      </c>
      <c r="O5111">
        <v>-0.37889469999999997</v>
      </c>
      <c r="P5111">
        <v>0.9425076</v>
      </c>
      <c r="Q5111">
        <v>0.16444879999999901</v>
      </c>
      <c r="R5111">
        <v>-0.29092299999999999</v>
      </c>
      <c r="S5111">
        <v>2.9676819999999999</v>
      </c>
      <c r="T5111">
        <v>-0.24181069999999999</v>
      </c>
      <c r="U5111">
        <v>-0.835144</v>
      </c>
      <c r="V5111">
        <v>-8.8975239999999997E-2</v>
      </c>
      <c r="W5111">
        <v>0.17701210000000001</v>
      </c>
      <c r="X5111">
        <v>0.98017860000000001</v>
      </c>
      <c r="Y5111">
        <v>-0.11264440000000001</v>
      </c>
      <c r="Z5111">
        <v>3.3764589999999997E-2</v>
      </c>
      <c r="AA5111">
        <v>0.99306150000000004</v>
      </c>
      <c r="AB5111">
        <v>23</v>
      </c>
      <c r="AC5111">
        <v>13.544</v>
      </c>
      <c r="AD5111">
        <v>-1.1130813920036999</v>
      </c>
      <c r="AE5111">
        <v>-3.7989199999999901</v>
      </c>
      <c r="AF5111">
        <v>-1.60652885451837</v>
      </c>
      <c r="AG5111">
        <v>-1.1130813920036999</v>
      </c>
      <c r="AH5111">
        <v>13.8865392977818</v>
      </c>
      <c r="AI5111">
        <v>94.552533844653894</v>
      </c>
      <c r="AJ5111">
        <v>96.599191556879802</v>
      </c>
      <c r="AK5111">
        <v>14.023403966743</v>
      </c>
      <c r="AL5111">
        <v>79.8042286080709</v>
      </c>
      <c r="AM5111">
        <v>95.186781557554198</v>
      </c>
      <c r="AN5111">
        <v>0.99999998238871302</v>
      </c>
    </row>
    <row r="5112" spans="1:40" x14ac:dyDescent="0.25">
      <c r="A5112" t="str">
        <f>"20190312172513925"</f>
        <v>20190312172513925</v>
      </c>
      <c r="B5112" t="str">
        <f>"1552382713915404"</f>
        <v>1552382713915404</v>
      </c>
      <c r="C5112" t="s">
        <v>40</v>
      </c>
      <c r="D5112">
        <v>4.0528529999999998</v>
      </c>
      <c r="E5112">
        <v>0.4932995</v>
      </c>
      <c r="F5112" t="s">
        <v>51</v>
      </c>
      <c r="G5112">
        <v>-389.80290000000002</v>
      </c>
      <c r="H5112" s="1">
        <v>-4.2684179999999999E-7</v>
      </c>
      <c r="I5112">
        <v>20.868649999999999</v>
      </c>
      <c r="J5112">
        <v>-403.32819999999998</v>
      </c>
      <c r="K5112">
        <v>1.113076</v>
      </c>
      <c r="L5112">
        <v>24.654050000000002</v>
      </c>
      <c r="M5112">
        <v>0.92611239999999995</v>
      </c>
      <c r="N5112">
        <v>0</v>
      </c>
      <c r="O5112">
        <v>-0.37701180000000001</v>
      </c>
      <c r="P5112">
        <v>0.94285660000000004</v>
      </c>
      <c r="Q5112">
        <v>0.16422200000000001</v>
      </c>
      <c r="R5112">
        <v>-0.28991899999999998</v>
      </c>
      <c r="S5112">
        <v>2.9680789999999999</v>
      </c>
      <c r="T5112">
        <v>-0.2423208</v>
      </c>
      <c r="U5112">
        <v>-0.8332214</v>
      </c>
      <c r="V5112">
        <v>-8.8035550000000004E-2</v>
      </c>
      <c r="W5112">
        <v>0.176791899999999</v>
      </c>
      <c r="X5112">
        <v>0.98030320000000004</v>
      </c>
      <c r="Y5112">
        <v>-0.1112573</v>
      </c>
      <c r="Z5112">
        <v>3.3641869999999997E-2</v>
      </c>
      <c r="AA5112">
        <v>0.9932221</v>
      </c>
      <c r="AB5112">
        <v>23</v>
      </c>
      <c r="AC5112">
        <v>13.5252999999999</v>
      </c>
      <c r="AD5112">
        <v>-1.1130764268418001</v>
      </c>
      <c r="AE5112">
        <v>-3.7854000000000001</v>
      </c>
      <c r="AF5112">
        <v>-1.5836870213183201</v>
      </c>
      <c r="AG5112">
        <v>-1.1130764268418001</v>
      </c>
      <c r="AH5112">
        <v>13.8672347804695</v>
      </c>
      <c r="AI5112">
        <v>94.559589892538696</v>
      </c>
      <c r="AJ5112">
        <v>96.515153026823199</v>
      </c>
      <c r="AK5112">
        <v>14.0016857617269</v>
      </c>
      <c r="AL5112">
        <v>79.817047479943398</v>
      </c>
      <c r="AM5112">
        <v>95.131647896722399</v>
      </c>
      <c r="AN5112">
        <v>0.99999999894982605</v>
      </c>
    </row>
    <row r="5113" spans="1:40" x14ac:dyDescent="0.25">
      <c r="A5113" t="str">
        <f>"20190312172513936"</f>
        <v>20190312172513936</v>
      </c>
      <c r="B5113" t="str">
        <f>"1552382713926142"</f>
        <v>1552382713926142</v>
      </c>
      <c r="C5113" t="s">
        <v>40</v>
      </c>
      <c r="D5113">
        <v>4.0433379999999897</v>
      </c>
      <c r="E5113">
        <v>0.4932995</v>
      </c>
      <c r="F5113" t="s">
        <v>51</v>
      </c>
      <c r="G5113">
        <v>-389.70870000000002</v>
      </c>
      <c r="H5113" s="1">
        <v>-4.6291359999999999E-7</v>
      </c>
      <c r="I5113">
        <v>20.836980000000001</v>
      </c>
      <c r="J5113">
        <v>-403.21080000000001</v>
      </c>
      <c r="K5113">
        <v>1.1130690000000001</v>
      </c>
      <c r="L5113">
        <v>24.60886</v>
      </c>
      <c r="M5113">
        <v>0.92694120000000002</v>
      </c>
      <c r="N5113">
        <v>0</v>
      </c>
      <c r="O5113">
        <v>-0.37496940000000001</v>
      </c>
      <c r="P5113">
        <v>0.94320090000000001</v>
      </c>
      <c r="Q5113">
        <v>0.164101</v>
      </c>
      <c r="R5113">
        <v>-0.28886519999999999</v>
      </c>
      <c r="S5113">
        <v>2.9682919999999999</v>
      </c>
      <c r="T5113">
        <v>-0.2425889</v>
      </c>
      <c r="U5113">
        <v>-0.83190919999999902</v>
      </c>
      <c r="V5113">
        <v>-8.6973380000000003E-2</v>
      </c>
      <c r="W5113">
        <v>0.1766789</v>
      </c>
      <c r="X5113">
        <v>0.98041840000000002</v>
      </c>
      <c r="Y5113">
        <v>-0.10949979999999999</v>
      </c>
      <c r="Z5113">
        <v>3.3459219999999998E-2</v>
      </c>
      <c r="AA5113">
        <v>0.99342350000000001</v>
      </c>
      <c r="AB5113">
        <v>23</v>
      </c>
      <c r="AC5113">
        <v>13.502099999999899</v>
      </c>
      <c r="AD5113">
        <v>-1.1130694629136</v>
      </c>
      <c r="AE5113">
        <v>-3.7718799999999999</v>
      </c>
      <c r="AF5113">
        <v>-1.5568883509011899</v>
      </c>
      <c r="AG5113">
        <v>-1.1130694629136</v>
      </c>
      <c r="AH5113">
        <v>13.8439614706193</v>
      </c>
      <c r="AI5113">
        <v>94.568081698133895</v>
      </c>
      <c r="AJ5113">
        <v>96.416508998772599</v>
      </c>
      <c r="AK5113">
        <v>13.9756250009233</v>
      </c>
      <c r="AL5113">
        <v>79.823625675508694</v>
      </c>
      <c r="AM5113">
        <v>95.069465359998603</v>
      </c>
      <c r="AN5113">
        <v>1.0000000207961901</v>
      </c>
    </row>
    <row r="5114" spans="1:40" x14ac:dyDescent="0.25">
      <c r="A5114" t="str">
        <f>"20190312172513956"</f>
        <v>20190312172513956</v>
      </c>
      <c r="B5114" t="str">
        <f>"1552382713945660"</f>
        <v>1552382713945660</v>
      </c>
      <c r="C5114" t="s">
        <v>40</v>
      </c>
      <c r="D5114">
        <v>4.0552849999999996</v>
      </c>
      <c r="E5114">
        <v>0.51033450000000002</v>
      </c>
      <c r="F5114" t="s">
        <v>51</v>
      </c>
      <c r="G5114">
        <v>-389.61169999999998</v>
      </c>
      <c r="H5114" s="1">
        <v>-5.0220700000000002E-7</v>
      </c>
      <c r="I5114">
        <v>20.81221</v>
      </c>
      <c r="J5114">
        <v>-403.03289999999998</v>
      </c>
      <c r="K5114">
        <v>1.113059</v>
      </c>
      <c r="L5114">
        <v>24.54102</v>
      </c>
      <c r="M5114">
        <v>0.92818529999999999</v>
      </c>
      <c r="N5114">
        <v>0</v>
      </c>
      <c r="O5114">
        <v>-0.37187920000000002</v>
      </c>
      <c r="P5114">
        <v>0.94347190000000003</v>
      </c>
      <c r="Q5114">
        <v>0.1641273</v>
      </c>
      <c r="R5114">
        <v>-0.28796310000000003</v>
      </c>
      <c r="S5114">
        <v>2.9690859999999999</v>
      </c>
      <c r="T5114">
        <v>-0.2430155</v>
      </c>
      <c r="U5114">
        <v>-0.8289185</v>
      </c>
      <c r="V5114">
        <v>-8.4634509999999996E-2</v>
      </c>
      <c r="W5114">
        <v>0.17672109999999999</v>
      </c>
      <c r="X5114">
        <v>0.98061540000000003</v>
      </c>
      <c r="Y5114">
        <v>-0.1071957</v>
      </c>
      <c r="Z5114">
        <v>3.3195639999999998E-2</v>
      </c>
      <c r="AA5114">
        <v>0.9936836</v>
      </c>
      <c r="AB5114">
        <v>23</v>
      </c>
      <c r="AC5114">
        <v>13.421200000000001</v>
      </c>
      <c r="AD5114">
        <v>-1.113059502207</v>
      </c>
      <c r="AE5114">
        <v>-3.72880999999999</v>
      </c>
      <c r="AF5114">
        <v>-1.5204664106277199</v>
      </c>
      <c r="AG5114">
        <v>-1.113059502207</v>
      </c>
      <c r="AH5114">
        <v>13.757417752757201</v>
      </c>
      <c r="AI5114">
        <v>94.597632275187394</v>
      </c>
      <c r="AJ5114">
        <v>96.306720446931706</v>
      </c>
      <c r="AK5114">
        <v>13.8858655756557</v>
      </c>
      <c r="AL5114">
        <v>79.821168463560099</v>
      </c>
      <c r="AM5114">
        <v>94.932834219292104</v>
      </c>
      <c r="AN5114">
        <v>0.99999995509265405</v>
      </c>
    </row>
    <row r="5115" spans="1:40" x14ac:dyDescent="0.25">
      <c r="A5115" t="str">
        <f>"20190312172513978"</f>
        <v>20190312172513978</v>
      </c>
      <c r="B5115" t="str">
        <f>"1552382713966156"</f>
        <v>1552382713966156</v>
      </c>
      <c r="C5115" t="s">
        <v>40</v>
      </c>
      <c r="D5115">
        <v>4.0383559999999896</v>
      </c>
      <c r="E5115">
        <v>0.51090500000000005</v>
      </c>
      <c r="F5115" t="s">
        <v>51</v>
      </c>
      <c r="G5115">
        <v>-388.98149999999998</v>
      </c>
      <c r="H5115" s="1">
        <v>-5.7102110000000001E-7</v>
      </c>
      <c r="I5115">
        <v>19.951280000000001</v>
      </c>
      <c r="J5115">
        <v>-402.81880000000001</v>
      </c>
      <c r="K5115">
        <v>1.113049</v>
      </c>
      <c r="L5115">
        <v>24.46021</v>
      </c>
      <c r="M5115">
        <v>0.92966400000000005</v>
      </c>
      <c r="N5115">
        <v>0</v>
      </c>
      <c r="O5115">
        <v>-0.36816729999999998</v>
      </c>
      <c r="P5115">
        <v>0.94402799999999998</v>
      </c>
      <c r="Q5115">
        <v>0.16377269999999999</v>
      </c>
      <c r="R5115">
        <v>-0.28633890000000001</v>
      </c>
      <c r="S5115">
        <v>2.9281619999999999</v>
      </c>
      <c r="T5115">
        <v>-0.2319494</v>
      </c>
      <c r="U5115">
        <v>-0.95645139999999995</v>
      </c>
      <c r="V5115">
        <v>-8.2414100000000004E-2</v>
      </c>
      <c r="W5115">
        <v>0.17638319999999999</v>
      </c>
      <c r="X5115">
        <v>0.9808654</v>
      </c>
      <c r="Y5115">
        <v>-6.0179940000000001E-2</v>
      </c>
      <c r="Z5115">
        <v>2.978594E-2</v>
      </c>
      <c r="AA5115">
        <v>0.99774300000000005</v>
      </c>
      <c r="AB5115">
        <v>23</v>
      </c>
      <c r="AC5115">
        <v>13.837300000000001</v>
      </c>
      <c r="AD5115">
        <v>-1.1130495710210999</v>
      </c>
      <c r="AE5115">
        <v>-4.5089299999999897</v>
      </c>
      <c r="AF5115">
        <v>-0.89748208677651398</v>
      </c>
      <c r="AG5115">
        <v>-1.1130495710210999</v>
      </c>
      <c r="AH5115">
        <v>14.4409023084159</v>
      </c>
      <c r="AI5115">
        <v>94.398971945560902</v>
      </c>
      <c r="AJ5115">
        <v>93.556279433057696</v>
      </c>
      <c r="AK5115">
        <v>14.511513116310301</v>
      </c>
      <c r="AL5115">
        <v>79.840838404566398</v>
      </c>
      <c r="AM5115">
        <v>94.802815009162401</v>
      </c>
      <c r="AN5115">
        <v>1.0000000250190999</v>
      </c>
    </row>
    <row r="5116" spans="1:40" x14ac:dyDescent="0.25">
      <c r="A5116" t="str">
        <f>"20190312172513992"</f>
        <v>20190312172513992</v>
      </c>
      <c r="B5116" t="str">
        <f>"1552382713985676"</f>
        <v>1552382713985676</v>
      </c>
      <c r="C5116" t="s">
        <v>40</v>
      </c>
      <c r="D5116">
        <v>4.0694059999999999</v>
      </c>
      <c r="E5116">
        <v>0.51159670000000002</v>
      </c>
      <c r="F5116" t="s">
        <v>51</v>
      </c>
      <c r="G5116">
        <v>-388.93520000000001</v>
      </c>
      <c r="H5116" s="1">
        <v>-5.861932E-7</v>
      </c>
      <c r="I5116">
        <v>19.926169999999999</v>
      </c>
      <c r="J5116">
        <v>-402.69060000000002</v>
      </c>
      <c r="K5116">
        <v>1.1130359999999999</v>
      </c>
      <c r="L5116">
        <v>24.41235</v>
      </c>
      <c r="M5116">
        <v>0.93053600000000003</v>
      </c>
      <c r="N5116">
        <v>0</v>
      </c>
      <c r="O5116">
        <v>-0.36595810000000001</v>
      </c>
      <c r="P5116">
        <v>0.94442110000000001</v>
      </c>
      <c r="Q5116">
        <v>0.163686</v>
      </c>
      <c r="R5116">
        <v>-0.28509000000000001</v>
      </c>
      <c r="S5116">
        <v>2.928528</v>
      </c>
      <c r="T5116">
        <v>-0.23478199999999999</v>
      </c>
      <c r="U5116">
        <v>-0.95639039999999997</v>
      </c>
      <c r="V5116">
        <v>-8.13802E-2</v>
      </c>
      <c r="W5116">
        <v>0.1763043</v>
      </c>
      <c r="X5116">
        <v>0.98096589999999995</v>
      </c>
      <c r="Y5116">
        <v>-5.7848730000000001E-2</v>
      </c>
      <c r="Z5116">
        <v>2.989648E-2</v>
      </c>
      <c r="AA5116">
        <v>0.99787760000000003</v>
      </c>
      <c r="AB5116">
        <v>23</v>
      </c>
      <c r="AC5116">
        <v>13.7554</v>
      </c>
      <c r="AD5116">
        <v>-1.1130365861931999</v>
      </c>
      <c r="AE5116">
        <v>-4.4861799999999903</v>
      </c>
      <c r="AF5116">
        <v>-0.85436816941234905</v>
      </c>
      <c r="AG5116">
        <v>-1.1130365861931999</v>
      </c>
      <c r="AH5116">
        <v>14.357960039154699</v>
      </c>
      <c r="AI5116">
        <v>94.424937755642901</v>
      </c>
      <c r="AJ5116">
        <v>93.405360934350298</v>
      </c>
      <c r="AK5116">
        <v>14.4263582340476</v>
      </c>
      <c r="AL5116">
        <v>79.845430962938494</v>
      </c>
      <c r="AM5116">
        <v>94.742355723395406</v>
      </c>
      <c r="AN5116">
        <v>1.0000000200566601</v>
      </c>
    </row>
    <row r="5117" spans="1:40" x14ac:dyDescent="0.25">
      <c r="A5117" t="str">
        <f>"20190312172514006"</f>
        <v>20190312172514006</v>
      </c>
      <c r="B5117" t="str">
        <f>"1552382713995437"</f>
        <v>1552382713995437</v>
      </c>
      <c r="C5117" t="s">
        <v>40</v>
      </c>
      <c r="D5117">
        <v>4.0680800000000001</v>
      </c>
      <c r="E5117">
        <v>0.51180559999999997</v>
      </c>
      <c r="F5117" t="s">
        <v>51</v>
      </c>
      <c r="G5117">
        <v>-388.86689999999999</v>
      </c>
      <c r="H5117" s="1">
        <v>-6.0841059999999999E-7</v>
      </c>
      <c r="I5117">
        <v>19.888280000000002</v>
      </c>
      <c r="J5117">
        <v>-402.5634</v>
      </c>
      <c r="K5117">
        <v>1.1130230000000001</v>
      </c>
      <c r="L5117">
        <v>24.365110000000001</v>
      </c>
      <c r="M5117">
        <v>0.93139170000000004</v>
      </c>
      <c r="N5117">
        <v>0</v>
      </c>
      <c r="O5117">
        <v>-0.3637745</v>
      </c>
      <c r="P5117">
        <v>0.94491119999999995</v>
      </c>
      <c r="Q5117">
        <v>0.16327420000000001</v>
      </c>
      <c r="R5117">
        <v>-0.28369840000000002</v>
      </c>
      <c r="S5117">
        <v>2.9281009999999998</v>
      </c>
      <c r="T5117">
        <v>-0.2357619</v>
      </c>
      <c r="U5117">
        <v>-0.95828250000000004</v>
      </c>
      <c r="V5117">
        <v>-8.0539890000000003E-2</v>
      </c>
      <c r="W5117">
        <v>0.17590069999999999</v>
      </c>
      <c r="X5117">
        <v>0.98110770000000003</v>
      </c>
      <c r="Y5117">
        <v>-5.48856E-2</v>
      </c>
      <c r="Z5117">
        <v>2.9748489999999999E-2</v>
      </c>
      <c r="AA5117">
        <v>0.99804939999999998</v>
      </c>
      <c r="AB5117">
        <v>23</v>
      </c>
      <c r="AC5117">
        <v>13.6965</v>
      </c>
      <c r="AD5117">
        <v>-1.11302360841059</v>
      </c>
      <c r="AE5117">
        <v>-4.4768299999999996</v>
      </c>
      <c r="AF5117">
        <v>-0.80800650535229201</v>
      </c>
      <c r="AG5117">
        <v>-1.11302360841059</v>
      </c>
      <c r="AH5117">
        <v>14.3013146240481</v>
      </c>
      <c r="AI5117">
        <v>94.443111614209997</v>
      </c>
      <c r="AJ5117">
        <v>93.233702492808405</v>
      </c>
      <c r="AK5117">
        <v>14.3672995389385</v>
      </c>
      <c r="AL5117">
        <v>79.868922717760199</v>
      </c>
      <c r="AM5117">
        <v>94.692932011495202</v>
      </c>
      <c r="AN5117">
        <v>1.0000000245704901</v>
      </c>
    </row>
    <row r="5118" spans="1:40" x14ac:dyDescent="0.25">
      <c r="A5118" t="str">
        <f>"20190312172514023"</f>
        <v>20190312172514023</v>
      </c>
      <c r="B5118" t="str">
        <f>"1552382714015932"</f>
        <v>1552382714015932</v>
      </c>
      <c r="C5118" t="s">
        <v>40</v>
      </c>
      <c r="D5118">
        <v>4.0583549999999997</v>
      </c>
      <c r="E5118">
        <v>0.51232330000000004</v>
      </c>
      <c r="F5118" t="s">
        <v>51</v>
      </c>
      <c r="G5118">
        <v>-388.86520000000002</v>
      </c>
      <c r="H5118" s="1">
        <v>-6.1075840000000002E-7</v>
      </c>
      <c r="I5118">
        <v>19.894020000000001</v>
      </c>
      <c r="J5118">
        <v>-402.39690000000002</v>
      </c>
      <c r="K5118">
        <v>1.1129960000000001</v>
      </c>
      <c r="L5118">
        <v>24.303799999999999</v>
      </c>
      <c r="M5118">
        <v>0.93249400000000005</v>
      </c>
      <c r="N5118">
        <v>0</v>
      </c>
      <c r="O5118">
        <v>-0.36093979999999998</v>
      </c>
      <c r="P5118">
        <v>0.94523970000000002</v>
      </c>
      <c r="Q5118">
        <v>0.1630192</v>
      </c>
      <c r="R5118">
        <v>-0.28274860000000002</v>
      </c>
      <c r="S5118">
        <v>2.9289860000000001</v>
      </c>
      <c r="T5118">
        <v>-0.23799029999999999</v>
      </c>
      <c r="U5118">
        <v>-0.95602419999999999</v>
      </c>
      <c r="V5118">
        <v>-7.8540330000000005E-2</v>
      </c>
      <c r="W5118">
        <v>0.17566219999999999</v>
      </c>
      <c r="X5118">
        <v>0.98131250000000003</v>
      </c>
      <c r="Y5118">
        <v>-5.2624949999999997E-2</v>
      </c>
      <c r="Z5118">
        <v>2.972969E-2</v>
      </c>
      <c r="AA5118">
        <v>0.9981717</v>
      </c>
      <c r="AB5118">
        <v>23</v>
      </c>
      <c r="AC5118">
        <v>13.531700000000001</v>
      </c>
      <c r="AD5118">
        <v>-1.1129966107584</v>
      </c>
      <c r="AE5118">
        <v>-4.4097799999999898</v>
      </c>
      <c r="AF5118">
        <v>-0.76741090533865497</v>
      </c>
      <c r="AG5118">
        <v>-1.1129966107584</v>
      </c>
      <c r="AH5118">
        <v>14.1247713619524</v>
      </c>
      <c r="AI5118">
        <v>94.498846721595498</v>
      </c>
      <c r="AJ5118">
        <v>93.109871146847496</v>
      </c>
      <c r="AK5118">
        <v>14.1893215828179</v>
      </c>
      <c r="AL5118">
        <v>79.882803725218807</v>
      </c>
      <c r="AM5118">
        <v>94.575970944640503</v>
      </c>
      <c r="AN5118">
        <v>1.00000000730079</v>
      </c>
    </row>
    <row r="5119" spans="1:40" x14ac:dyDescent="0.25">
      <c r="A5119" t="str">
        <f>"20190312172514036"</f>
        <v>20190312172514036</v>
      </c>
      <c r="B5119" t="str">
        <f>"1552382714025693"</f>
        <v>1552382714025693</v>
      </c>
      <c r="C5119" t="s">
        <v>40</v>
      </c>
      <c r="D5119">
        <v>4.0693020000000004</v>
      </c>
      <c r="E5119">
        <v>0.51246590000000003</v>
      </c>
      <c r="F5119" t="s">
        <v>51</v>
      </c>
      <c r="G5119">
        <v>-388.73230000000001</v>
      </c>
      <c r="H5119" s="1">
        <v>-6.5750530000000001E-7</v>
      </c>
      <c r="I5119">
        <v>19.83361</v>
      </c>
      <c r="J5119">
        <v>-402.26839999999999</v>
      </c>
      <c r="K5119">
        <v>1.1129720000000001</v>
      </c>
      <c r="L5119">
        <v>24.256900000000002</v>
      </c>
      <c r="M5119">
        <v>0.93332859999999995</v>
      </c>
      <c r="N5119">
        <v>0</v>
      </c>
      <c r="O5119">
        <v>-0.35877609999999999</v>
      </c>
      <c r="P5119">
        <v>0.94564959999999998</v>
      </c>
      <c r="Q5119">
        <v>0.1633435</v>
      </c>
      <c r="R5119">
        <v>-0.28118650000000001</v>
      </c>
      <c r="S5119">
        <v>2.928375</v>
      </c>
      <c r="T5119">
        <v>-0.23851919999999999</v>
      </c>
      <c r="U5119">
        <v>-0.95797730000000003</v>
      </c>
      <c r="V5119">
        <v>-7.7854800000000002E-2</v>
      </c>
      <c r="W5119">
        <v>0.17599310000000001</v>
      </c>
      <c r="X5119">
        <v>0.98130779999999995</v>
      </c>
      <c r="Y5119">
        <v>-4.965464E-2</v>
      </c>
      <c r="Z5119">
        <v>2.9522449999999999E-2</v>
      </c>
      <c r="AA5119">
        <v>0.99833000000000005</v>
      </c>
      <c r="AB5119">
        <v>23</v>
      </c>
      <c r="AC5119">
        <v>13.5360999999999</v>
      </c>
      <c r="AD5119">
        <v>-1.1129726575052901</v>
      </c>
      <c r="AE5119">
        <v>-4.4232899999999997</v>
      </c>
      <c r="AF5119">
        <v>-0.72369019743233398</v>
      </c>
      <c r="AG5119">
        <v>-1.1129726575052901</v>
      </c>
      <c r="AH5119">
        <v>14.135518014385999</v>
      </c>
      <c r="AI5119">
        <v>94.496082484355</v>
      </c>
      <c r="AJ5119">
        <v>92.930789201379298</v>
      </c>
      <c r="AK5119">
        <v>14.197721830393901</v>
      </c>
      <c r="AL5119">
        <v>79.863544127076096</v>
      </c>
      <c r="AM5119">
        <v>94.536219180872493</v>
      </c>
      <c r="AN5119">
        <v>0.99999996973574401</v>
      </c>
    </row>
    <row r="5120" spans="1:40" x14ac:dyDescent="0.25">
      <c r="A5120" t="str">
        <f>"20190312172514050"</f>
        <v>20190312172514050</v>
      </c>
      <c r="B5120" t="str">
        <f>"1552382714046189"</f>
        <v>1552382714046189</v>
      </c>
      <c r="C5120" t="s">
        <v>40</v>
      </c>
      <c r="D5120">
        <v>4.0952960000000003</v>
      </c>
      <c r="E5120">
        <v>0.51274960000000003</v>
      </c>
      <c r="F5120" t="s">
        <v>51</v>
      </c>
      <c r="G5120">
        <v>-388.5838</v>
      </c>
      <c r="H5120" s="1">
        <v>-7.1799850000000001E-7</v>
      </c>
      <c r="I5120">
        <v>19.797139999999999</v>
      </c>
      <c r="J5120">
        <v>-402.14960000000002</v>
      </c>
      <c r="K5120">
        <v>1.112946</v>
      </c>
      <c r="L5120">
        <v>24.213809999999999</v>
      </c>
      <c r="M5120">
        <v>0.93408780000000002</v>
      </c>
      <c r="N5120">
        <v>0</v>
      </c>
      <c r="O5120">
        <v>-0.35679470000000002</v>
      </c>
      <c r="P5120">
        <v>0.94604010000000005</v>
      </c>
      <c r="Q5120">
        <v>0.1636985</v>
      </c>
      <c r="R5120">
        <v>-0.27966229999999997</v>
      </c>
      <c r="S5120">
        <v>2.9296880000000001</v>
      </c>
      <c r="T5120">
        <v>-0.23827219999999999</v>
      </c>
      <c r="U5120">
        <v>-0.95477290000000004</v>
      </c>
      <c r="V5120">
        <v>-7.7321440000000005E-2</v>
      </c>
      <c r="W5120">
        <v>0.1763536</v>
      </c>
      <c r="X5120">
        <v>0.98128530000000003</v>
      </c>
      <c r="Y5120">
        <v>-4.8664880000000001E-2</v>
      </c>
      <c r="Z5120">
        <v>2.930234E-2</v>
      </c>
      <c r="AA5120">
        <v>0.99838530000000003</v>
      </c>
      <c r="AB5120">
        <v>23</v>
      </c>
      <c r="AC5120">
        <v>13.565799999999999</v>
      </c>
      <c r="AD5120">
        <v>-1.1129467179985</v>
      </c>
      <c r="AE5120">
        <v>-4.4166699999999999</v>
      </c>
      <c r="AF5120">
        <v>-0.71038828026747003</v>
      </c>
      <c r="AG5120">
        <v>-1.1129467179985</v>
      </c>
      <c r="AH5120">
        <v>14.162569785009</v>
      </c>
      <c r="AI5120">
        <v>94.487659789979901</v>
      </c>
      <c r="AJ5120">
        <v>92.871524515682907</v>
      </c>
      <c r="AK5120">
        <v>14.223982734139399</v>
      </c>
      <c r="AL5120">
        <v>79.842561303067896</v>
      </c>
      <c r="AM5120">
        <v>94.505374149304103</v>
      </c>
      <c r="AN5120">
        <v>1.00000001865636</v>
      </c>
    </row>
    <row r="5121" spans="1:40" x14ac:dyDescent="0.25">
      <c r="A5121" t="str">
        <f>"20190312172514067"</f>
        <v>20190312172514067</v>
      </c>
      <c r="B5121" t="str">
        <f>"1552382714055948"</f>
        <v>1552382714055948</v>
      </c>
      <c r="C5121" t="s">
        <v>40</v>
      </c>
      <c r="D5121">
        <v>4.0681139999999996</v>
      </c>
      <c r="E5121">
        <v>0.51290230000000003</v>
      </c>
      <c r="F5121" t="s">
        <v>51</v>
      </c>
      <c r="G5121">
        <v>-388.4264</v>
      </c>
      <c r="H5121" s="1">
        <v>-7.8067129999999997E-7</v>
      </c>
      <c r="I5121">
        <v>19.75299</v>
      </c>
      <c r="J5121">
        <v>-401.97710000000001</v>
      </c>
      <c r="K5121">
        <v>1.112906</v>
      </c>
      <c r="L5121">
        <v>24.15164</v>
      </c>
      <c r="M5121">
        <v>0.93516759999999999</v>
      </c>
      <c r="N5121">
        <v>0</v>
      </c>
      <c r="O5121">
        <v>-0.35395520000000003</v>
      </c>
      <c r="P5121">
        <v>0.94658240000000005</v>
      </c>
      <c r="Q5121">
        <v>0.16458619999999999</v>
      </c>
      <c r="R5121">
        <v>-0.27729700000000002</v>
      </c>
      <c r="S5121">
        <v>2.9306030000000001</v>
      </c>
      <c r="T5121">
        <v>-0.23766970000000001</v>
      </c>
      <c r="U5121">
        <v>-0.95260619999999996</v>
      </c>
      <c r="V5121">
        <v>-7.6723079999999999E-2</v>
      </c>
      <c r="W5121">
        <v>0.17724809999999999</v>
      </c>
      <c r="X5121">
        <v>0.98117109999999996</v>
      </c>
      <c r="Y5121">
        <v>-4.6409390000000002E-2</v>
      </c>
      <c r="Z5121">
        <v>2.892867E-2</v>
      </c>
      <c r="AA5121">
        <v>0.99850349999999999</v>
      </c>
      <c r="AB5121">
        <v>23</v>
      </c>
      <c r="AC5121">
        <v>13.550700000000001</v>
      </c>
      <c r="AD5121">
        <v>-1.1129067806713</v>
      </c>
      <c r="AE5121">
        <v>-4.3986499999999999</v>
      </c>
      <c r="AF5121">
        <v>-0.67878422230085</v>
      </c>
      <c r="AG5121">
        <v>-1.1129067806713</v>
      </c>
      <c r="AH5121">
        <v>14.14405217969</v>
      </c>
      <c r="AI5121">
        <v>94.493825630651401</v>
      </c>
      <c r="AJ5121">
        <v>92.747561635641304</v>
      </c>
      <c r="AK5121">
        <v>14.203996676453601</v>
      </c>
      <c r="AL5121">
        <v>79.790489980748404</v>
      </c>
      <c r="AM5121">
        <v>94.471168968245905</v>
      </c>
      <c r="AN5121">
        <v>1.0000000237167499</v>
      </c>
    </row>
    <row r="5122" spans="1:40" x14ac:dyDescent="0.25">
      <c r="A5122" t="str">
        <f>"20190312172514078"</f>
        <v>20190312172514078</v>
      </c>
      <c r="B5122" t="str">
        <f>"1552382714065709"</f>
        <v>1552382714065709</v>
      </c>
      <c r="C5122" t="s">
        <v>40</v>
      </c>
      <c r="D5122">
        <v>4.063739</v>
      </c>
      <c r="E5122">
        <v>0.51290230000000003</v>
      </c>
      <c r="F5122" t="s">
        <v>51</v>
      </c>
      <c r="G5122">
        <v>-388.06119999999999</v>
      </c>
      <c r="H5122" s="1">
        <v>-9.2756139999999997E-7</v>
      </c>
      <c r="I5122">
        <v>19.656269999999999</v>
      </c>
      <c r="J5122">
        <v>-401.87099999999998</v>
      </c>
      <c r="K5122">
        <v>1.112879</v>
      </c>
      <c r="L5122">
        <v>24.113620000000001</v>
      </c>
      <c r="M5122">
        <v>0.93581709999999996</v>
      </c>
      <c r="N5122">
        <v>0</v>
      </c>
      <c r="O5122">
        <v>-0.3522344</v>
      </c>
      <c r="P5122">
        <v>0.94695960000000001</v>
      </c>
      <c r="Q5122">
        <v>0.16461579999999901</v>
      </c>
      <c r="R5122">
        <v>-0.27598779999999901</v>
      </c>
      <c r="S5122">
        <v>2.9325559999999999</v>
      </c>
      <c r="T5122">
        <v>-0.23452700000000001</v>
      </c>
      <c r="U5122">
        <v>-0.94732669999999997</v>
      </c>
      <c r="V5122">
        <v>-7.6258430000000002E-2</v>
      </c>
      <c r="W5122">
        <v>0.17728429999999901</v>
      </c>
      <c r="X5122">
        <v>0.98120079999999998</v>
      </c>
      <c r="Y5122">
        <v>-4.6428650000000002E-2</v>
      </c>
      <c r="Z5122">
        <v>2.841639E-2</v>
      </c>
      <c r="AA5122">
        <v>0.99851730000000005</v>
      </c>
      <c r="AB5122">
        <v>23</v>
      </c>
      <c r="AC5122">
        <v>13.8097999999999</v>
      </c>
      <c r="AD5122">
        <v>-1.1128799275613901</v>
      </c>
      <c r="AE5122">
        <v>-4.4573499999999902</v>
      </c>
      <c r="AF5122">
        <v>-0.689031220234402</v>
      </c>
      <c r="AG5122">
        <v>-1.1128799275613901</v>
      </c>
      <c r="AH5122">
        <v>14.410012488606499</v>
      </c>
      <c r="AI5122">
        <v>94.411145822431607</v>
      </c>
      <c r="AJ5122">
        <v>92.737578082281402</v>
      </c>
      <c r="AK5122">
        <v>14.4693374304915</v>
      </c>
      <c r="AL5122">
        <v>79.788382670942994</v>
      </c>
      <c r="AM5122">
        <v>94.444065518668197</v>
      </c>
      <c r="AN5122">
        <v>1.0000000405465901</v>
      </c>
    </row>
    <row r="5123" spans="1:40" x14ac:dyDescent="0.25">
      <c r="A5123" t="str">
        <f>"20190312172514090"</f>
        <v>20190312172514090</v>
      </c>
      <c r="B5123" t="str">
        <f>"1552382714086204"</f>
        <v>1552382714086204</v>
      </c>
      <c r="C5123" t="s">
        <v>40</v>
      </c>
      <c r="D5123">
        <v>4.0659789999999996</v>
      </c>
      <c r="E5123">
        <v>0.51707139999999996</v>
      </c>
      <c r="F5123" t="s">
        <v>51</v>
      </c>
      <c r="G5123">
        <v>-387.94240000000002</v>
      </c>
      <c r="H5123" s="1">
        <v>-9.7763610000000005E-7</v>
      </c>
      <c r="I5123">
        <v>19.633400000000002</v>
      </c>
      <c r="J5123">
        <v>-401.77010000000001</v>
      </c>
      <c r="K5123">
        <v>1.112846</v>
      </c>
      <c r="L5123">
        <v>24.077729999999999</v>
      </c>
      <c r="M5123">
        <v>0.93642000000000003</v>
      </c>
      <c r="N5123">
        <v>0</v>
      </c>
      <c r="O5123">
        <v>-0.35062880000000002</v>
      </c>
      <c r="P5123">
        <v>0.94734079999999998</v>
      </c>
      <c r="Q5123">
        <v>0.164801</v>
      </c>
      <c r="R5123">
        <v>-0.27456540000000002</v>
      </c>
      <c r="S5123">
        <v>2.9337770000000001</v>
      </c>
      <c r="T5123">
        <v>-0.23440520000000001</v>
      </c>
      <c r="U5123">
        <v>-0.94366459999999996</v>
      </c>
      <c r="V5123">
        <v>-7.6023729999999998E-2</v>
      </c>
      <c r="W5123">
        <v>0.17747379999999999</v>
      </c>
      <c r="X5123">
        <v>0.98118470000000002</v>
      </c>
      <c r="Y5123">
        <v>-4.5972680000000002E-2</v>
      </c>
      <c r="Z5123">
        <v>2.8264250000000001E-2</v>
      </c>
      <c r="AA5123">
        <v>0.99854279999999995</v>
      </c>
      <c r="AB5123">
        <v>23</v>
      </c>
      <c r="AC5123">
        <v>13.827699999999901</v>
      </c>
      <c r="AD5123">
        <v>-1.1128469776361001</v>
      </c>
      <c r="AE5123">
        <v>-4.4443299999999901</v>
      </c>
      <c r="AF5123">
        <v>-0.68268344009960102</v>
      </c>
      <c r="AG5123">
        <v>-1.1128469776361001</v>
      </c>
      <c r="AH5123">
        <v>14.4234560397748</v>
      </c>
      <c r="AI5123">
        <v>94.407021583072506</v>
      </c>
      <c r="AJ5123">
        <v>92.709871314845003</v>
      </c>
      <c r="AK5123">
        <v>14.4824227671456</v>
      </c>
      <c r="AL5123">
        <v>79.777349614674307</v>
      </c>
      <c r="AM5123">
        <v>94.430514999256303</v>
      </c>
      <c r="AN5123">
        <v>0.99999998636182097</v>
      </c>
    </row>
    <row r="5124" spans="1:40" x14ac:dyDescent="0.25">
      <c r="A5124" t="str">
        <f>"20190312172514100"</f>
        <v>20190312172514100</v>
      </c>
      <c r="B5124" t="str">
        <f>"1552382714095964"</f>
        <v>1552382714095964</v>
      </c>
      <c r="C5124" t="s">
        <v>40</v>
      </c>
      <c r="D5124">
        <v>4.0699459999999998</v>
      </c>
      <c r="E5124">
        <v>0.51697959999999998</v>
      </c>
      <c r="F5124" t="s">
        <v>51</v>
      </c>
      <c r="G5124">
        <v>-388.32990000000001</v>
      </c>
      <c r="H5124" s="1">
        <v>-7.8990560000000004E-7</v>
      </c>
      <c r="I5124">
        <v>19.616350000000001</v>
      </c>
      <c r="J5124">
        <v>-401.66079999999999</v>
      </c>
      <c r="K5124">
        <v>1.1128089999999999</v>
      </c>
      <c r="L5124">
        <v>24.03894</v>
      </c>
      <c r="M5124">
        <v>0.93706480000000003</v>
      </c>
      <c r="N5124">
        <v>0</v>
      </c>
      <c r="O5124">
        <v>-0.34890139999999997</v>
      </c>
      <c r="P5124">
        <v>0.94778560000000001</v>
      </c>
      <c r="Q5124">
        <v>0.16484299999999999</v>
      </c>
      <c r="R5124">
        <v>-0.27300029999999997</v>
      </c>
      <c r="S5124">
        <v>2.9272459999999998</v>
      </c>
      <c r="T5124">
        <v>-0.24237629999999999</v>
      </c>
      <c r="U5124">
        <v>-0.97167969999999904</v>
      </c>
      <c r="V5124">
        <v>-7.5815820000000006E-2</v>
      </c>
      <c r="W5124">
        <v>0.17752119999999999</v>
      </c>
      <c r="X5124">
        <v>0.98119219999999896</v>
      </c>
      <c r="Y5124">
        <v>-3.4809050000000001E-2</v>
      </c>
      <c r="Z5124">
        <v>2.8653319999999999E-2</v>
      </c>
      <c r="AA5124">
        <v>0.99898310000000001</v>
      </c>
      <c r="AB5124">
        <v>23</v>
      </c>
      <c r="AC5124">
        <v>13.3308999999999</v>
      </c>
      <c r="AD5124">
        <v>-1.1128097899056</v>
      </c>
      <c r="AE5124">
        <v>-4.4225899999999996</v>
      </c>
      <c r="AF5124">
        <v>-0.50379870396499105</v>
      </c>
      <c r="AG5124">
        <v>-1.1128097899056</v>
      </c>
      <c r="AH5124">
        <v>13.9486493836054</v>
      </c>
      <c r="AI5124">
        <v>94.558381462853006</v>
      </c>
      <c r="AJ5124">
        <v>92.068515497086395</v>
      </c>
      <c r="AK5124">
        <v>14.0020347946068</v>
      </c>
      <c r="AL5124">
        <v>79.774589849121099</v>
      </c>
      <c r="AM5124">
        <v>94.418412815416204</v>
      </c>
      <c r="AN5124">
        <v>0.99999997417627495</v>
      </c>
    </row>
    <row r="5125" spans="1:40" x14ac:dyDescent="0.25">
      <c r="A5125" t="str">
        <f>"20190312172514113"</f>
        <v>20190312172514113</v>
      </c>
      <c r="B5125" t="str">
        <f>"1552382714105725"</f>
        <v>1552382714105725</v>
      </c>
      <c r="C5125" t="s">
        <v>40</v>
      </c>
      <c r="D5125">
        <v>4.0928820000000004</v>
      </c>
      <c r="E5125">
        <v>0.51693889999999998</v>
      </c>
      <c r="F5125" t="s">
        <v>51</v>
      </c>
      <c r="G5125">
        <v>-388.2405</v>
      </c>
      <c r="H5125" s="1">
        <v>-8.3327000000000005E-7</v>
      </c>
      <c r="I5125">
        <v>19.610019999999999</v>
      </c>
      <c r="J5125">
        <v>-401.54759999999999</v>
      </c>
      <c r="K5125">
        <v>1.1127670000000001</v>
      </c>
      <c r="L5125">
        <v>23.999079999999999</v>
      </c>
      <c r="M5125">
        <v>0.93770969999999998</v>
      </c>
      <c r="N5125">
        <v>0</v>
      </c>
      <c r="O5125">
        <v>-0.3471649</v>
      </c>
      <c r="P5125">
        <v>0.94825199999999998</v>
      </c>
      <c r="Q5125">
        <v>0.16471189999999999</v>
      </c>
      <c r="R5125">
        <v>-0.27145580000000002</v>
      </c>
      <c r="S5125">
        <v>2.9290769999999999</v>
      </c>
      <c r="T5125">
        <v>-0.2428787</v>
      </c>
      <c r="U5125">
        <v>-0.96664430000000001</v>
      </c>
      <c r="V5125">
        <v>-7.558455E-2</v>
      </c>
      <c r="W5125">
        <v>0.17739639999999901</v>
      </c>
      <c r="X5125">
        <v>0.98123260000000001</v>
      </c>
      <c r="Y5125">
        <v>-3.4693219999999997E-2</v>
      </c>
      <c r="Z5125">
        <v>2.8571200000000001E-2</v>
      </c>
      <c r="AA5125">
        <v>0.99898949999999997</v>
      </c>
      <c r="AB5125">
        <v>23</v>
      </c>
      <c r="AC5125">
        <v>13.307099999999901</v>
      </c>
      <c r="AD5125">
        <v>-1.11276783327</v>
      </c>
      <c r="AE5125">
        <v>-4.38905999999999</v>
      </c>
      <c r="AF5125">
        <v>-0.50097906895876299</v>
      </c>
      <c r="AG5125">
        <v>-1.11276783327</v>
      </c>
      <c r="AH5125">
        <v>13.9154053314364</v>
      </c>
      <c r="AI5125">
        <v>94.569072943059595</v>
      </c>
      <c r="AJ5125">
        <v>92.061858342879404</v>
      </c>
      <c r="AK5125">
        <v>13.9688130425052</v>
      </c>
      <c r="AL5125">
        <v>79.7818555493876</v>
      </c>
      <c r="AM5125">
        <v>94.404807282755598</v>
      </c>
      <c r="AN5125">
        <v>0.99999996111721001</v>
      </c>
    </row>
    <row r="5126" spans="1:40" x14ac:dyDescent="0.25">
      <c r="A5126" t="str">
        <f>"20190312172514124"</f>
        <v>20190312172514124</v>
      </c>
      <c r="B5126" t="str">
        <f>"1552382714115485"</f>
        <v>1552382714115485</v>
      </c>
      <c r="C5126" t="s">
        <v>40</v>
      </c>
      <c r="D5126">
        <v>4.1362610000000002</v>
      </c>
      <c r="E5126">
        <v>0.51693889999999998</v>
      </c>
      <c r="F5126" t="s">
        <v>51</v>
      </c>
      <c r="G5126">
        <v>-388.1737</v>
      </c>
      <c r="H5126" s="1">
        <v>-8.6491490000000002E-7</v>
      </c>
      <c r="I5126">
        <v>19.6098</v>
      </c>
      <c r="J5126">
        <v>-401.43779999999998</v>
      </c>
      <c r="K5126">
        <v>1.1127209999999901</v>
      </c>
      <c r="L5126">
        <v>23.960570000000001</v>
      </c>
      <c r="M5126">
        <v>0.93832519999999997</v>
      </c>
      <c r="N5126">
        <v>0</v>
      </c>
      <c r="O5126">
        <v>-0.34549800000000003</v>
      </c>
      <c r="P5126">
        <v>0.94868390000000002</v>
      </c>
      <c r="Q5126">
        <v>0.16477</v>
      </c>
      <c r="R5126">
        <v>-0.26990779999999998</v>
      </c>
      <c r="S5126">
        <v>2.9307249999999998</v>
      </c>
      <c r="T5126">
        <v>-0.24384839999999999</v>
      </c>
      <c r="U5126">
        <v>-0.96185299999999996</v>
      </c>
      <c r="V5126">
        <v>-7.5419899999999998E-2</v>
      </c>
      <c r="W5126">
        <v>0.17746029999999999</v>
      </c>
      <c r="X5126">
        <v>0.98123380000000004</v>
      </c>
      <c r="Y5126">
        <v>-3.4554519999999998E-2</v>
      </c>
      <c r="Z5126">
        <v>2.8548440000000001E-2</v>
      </c>
      <c r="AA5126">
        <v>0.99899499999999997</v>
      </c>
      <c r="AB5126">
        <v>23</v>
      </c>
      <c r="AC5126">
        <v>13.2640999999999</v>
      </c>
      <c r="AD5126">
        <v>-1.11272186491489</v>
      </c>
      <c r="AE5126">
        <v>-4.3507699999999998</v>
      </c>
      <c r="AF5126">
        <v>-0.49716821888405199</v>
      </c>
      <c r="AG5126">
        <v>-1.11272186491489</v>
      </c>
      <c r="AH5126">
        <v>13.862376240122799</v>
      </c>
      <c r="AI5126">
        <v>94.5863108546543</v>
      </c>
      <c r="AJ5126">
        <v>92.054008359593197</v>
      </c>
      <c r="AK5126">
        <v>13.915847125103401</v>
      </c>
      <c r="AL5126">
        <v>79.778136187643398</v>
      </c>
      <c r="AM5126">
        <v>94.395244333329302</v>
      </c>
      <c r="AN5126">
        <v>1.0000000448272599</v>
      </c>
    </row>
    <row r="5127" spans="1:40" x14ac:dyDescent="0.25">
      <c r="A5127" t="str">
        <f>"20190312172514135"</f>
        <v>20190312172514135</v>
      </c>
      <c r="B5127" t="str">
        <f>"1552382714126220"</f>
        <v>1552382714126220</v>
      </c>
      <c r="C5127" t="s">
        <v>40</v>
      </c>
      <c r="D5127">
        <v>4.0952699999999904</v>
      </c>
      <c r="E5127">
        <v>0.51729009999999997</v>
      </c>
      <c r="F5127" t="s">
        <v>51</v>
      </c>
      <c r="G5127">
        <v>-388.04640000000001</v>
      </c>
      <c r="H5127" s="1">
        <v>-9.2889939999999995E-7</v>
      </c>
      <c r="I5127">
        <v>19.58811</v>
      </c>
      <c r="J5127">
        <v>-401.32850000000002</v>
      </c>
      <c r="K5127">
        <v>1.1126769999999999</v>
      </c>
      <c r="L5127">
        <v>23.92239</v>
      </c>
      <c r="M5127">
        <v>0.93891950000000002</v>
      </c>
      <c r="N5127">
        <v>0</v>
      </c>
      <c r="O5127">
        <v>-0.34387970000000001</v>
      </c>
      <c r="P5127">
        <v>0.94914189999999998</v>
      </c>
      <c r="Q5127">
        <v>0.16433159999999999</v>
      </c>
      <c r="R5127">
        <v>-0.26856140000000001</v>
      </c>
      <c r="S5127">
        <v>2.9321899999999999</v>
      </c>
      <c r="T5127">
        <v>-0.24364240000000001</v>
      </c>
      <c r="U5127">
        <v>-0.95739750000000001</v>
      </c>
      <c r="V5127">
        <v>-7.5123560000000006E-2</v>
      </c>
      <c r="W5127">
        <v>0.17702989999999999</v>
      </c>
      <c r="X5127">
        <v>0.98133419999999905</v>
      </c>
      <c r="Y5127">
        <v>-3.4357770000000003E-2</v>
      </c>
      <c r="Z5127">
        <v>2.8390309999999998E-2</v>
      </c>
      <c r="AA5127">
        <v>0.99900630000000001</v>
      </c>
      <c r="AB5127">
        <v>23</v>
      </c>
      <c r="AC5127">
        <v>13.2821</v>
      </c>
      <c r="AD5127">
        <v>-1.1126779288994</v>
      </c>
      <c r="AE5127">
        <v>-4.3342799999999997</v>
      </c>
      <c r="AF5127">
        <v>-0.49481028261096499</v>
      </c>
      <c r="AG5127">
        <v>-1.1126779288994</v>
      </c>
      <c r="AH5127">
        <v>13.874529947565099</v>
      </c>
      <c r="AI5127">
        <v>94.582163142115903</v>
      </c>
      <c r="AJ5127">
        <v>92.042485819311693</v>
      </c>
      <c r="AK5127">
        <v>13.9278666943333</v>
      </c>
      <c r="AL5127">
        <v>79.803192285698998</v>
      </c>
      <c r="AM5127">
        <v>94.377595631890003</v>
      </c>
      <c r="AN5127">
        <v>0.99999997342536096</v>
      </c>
    </row>
    <row r="5128" spans="1:40" x14ac:dyDescent="0.25">
      <c r="A5128" t="str">
        <f>"20190312172514148"</f>
        <v>20190312172514148</v>
      </c>
      <c r="B5128" t="str">
        <f>"1552382714135980"</f>
        <v>1552382714135980</v>
      </c>
      <c r="C5128" t="s">
        <v>40</v>
      </c>
      <c r="D5128">
        <v>4.0982000000000003</v>
      </c>
      <c r="E5128">
        <v>0.51751800000000003</v>
      </c>
      <c r="F5128" t="s">
        <v>51</v>
      </c>
      <c r="G5128">
        <v>-388.03840000000002</v>
      </c>
      <c r="H5128" s="1">
        <v>-9.3238899999999997E-7</v>
      </c>
      <c r="I5128">
        <v>19.589860000000002</v>
      </c>
      <c r="J5128">
        <v>-401.21080000000001</v>
      </c>
      <c r="K5128">
        <v>1.112625</v>
      </c>
      <c r="L5128">
        <v>23.881530000000001</v>
      </c>
      <c r="M5128">
        <v>0.93954340000000003</v>
      </c>
      <c r="N5128">
        <v>0</v>
      </c>
      <c r="O5128">
        <v>-0.34217140000000001</v>
      </c>
      <c r="P5128">
        <v>0.94958410000000004</v>
      </c>
      <c r="Q5128">
        <v>0.1642161</v>
      </c>
      <c r="R5128">
        <v>-0.26706370000000001</v>
      </c>
      <c r="S5128">
        <v>2.932709</v>
      </c>
      <c r="T5128">
        <v>-0.24553330000000001</v>
      </c>
      <c r="U5128">
        <v>-0.95605469999999904</v>
      </c>
      <c r="V5128">
        <v>-7.4870469999999995E-2</v>
      </c>
      <c r="W5128">
        <v>0.17692149999999901</v>
      </c>
      <c r="X5128">
        <v>0.9813731</v>
      </c>
      <c r="Y5128">
        <v>-3.2997199999999997E-2</v>
      </c>
      <c r="Z5128">
        <v>2.8423460000000001E-2</v>
      </c>
      <c r="AA5128">
        <v>0.99905120000000003</v>
      </c>
      <c r="AB5128">
        <v>23</v>
      </c>
      <c r="AC5128">
        <v>13.1723999999999</v>
      </c>
      <c r="AD5128">
        <v>-1.112625932389</v>
      </c>
      <c r="AE5128">
        <v>-4.2916699999999901</v>
      </c>
      <c r="AF5128">
        <v>-0.472005953642823</v>
      </c>
      <c r="AG5128">
        <v>-1.112625932389</v>
      </c>
      <c r="AH5128">
        <v>13.7570214804934</v>
      </c>
      <c r="AI5128">
        <v>94.621136361910004</v>
      </c>
      <c r="AJ5128">
        <v>91.965057961965499</v>
      </c>
      <c r="AK5128">
        <v>13.810009634336099</v>
      </c>
      <c r="AL5128">
        <v>79.809502855586402</v>
      </c>
      <c r="AM5128">
        <v>94.362732355177599</v>
      </c>
      <c r="AN5128">
        <v>0.99999998292194003</v>
      </c>
    </row>
    <row r="5129" spans="1:40" x14ac:dyDescent="0.25">
      <c r="A5129" t="str">
        <f>"20190312172514162"</f>
        <v>20190312172514162</v>
      </c>
      <c r="B5129" t="str">
        <f>"1552382714155502"</f>
        <v>1552382714155502</v>
      </c>
      <c r="C5129" t="s">
        <v>40</v>
      </c>
      <c r="D5129">
        <v>4.1283000000000003</v>
      </c>
      <c r="E5129">
        <v>0.51791169999999997</v>
      </c>
      <c r="F5129" t="s">
        <v>51</v>
      </c>
      <c r="G5129">
        <v>-387.92779999999999</v>
      </c>
      <c r="H5129" s="1">
        <v>-9.8890589999999998E-7</v>
      </c>
      <c r="I5129">
        <v>19.56589</v>
      </c>
      <c r="J5129">
        <v>-401.07929999999999</v>
      </c>
      <c r="K5129">
        <v>1.112568</v>
      </c>
      <c r="L5129">
        <v>23.835999999999999</v>
      </c>
      <c r="M5129">
        <v>0.94022490000000003</v>
      </c>
      <c r="N5129">
        <v>0</v>
      </c>
      <c r="O5129">
        <v>-0.34029480000000001</v>
      </c>
      <c r="P5129">
        <v>0.95011820000000002</v>
      </c>
      <c r="Q5129">
        <v>0.163934</v>
      </c>
      <c r="R5129">
        <v>-0.26533250000000003</v>
      </c>
      <c r="S5129">
        <v>2.9336850000000001</v>
      </c>
      <c r="T5129">
        <v>-0.24573519999999999</v>
      </c>
      <c r="U5129">
        <v>-0.95315550000000004</v>
      </c>
      <c r="V5129">
        <v>-7.4690770000000004E-2</v>
      </c>
      <c r="W5129">
        <v>0.17664739999999901</v>
      </c>
      <c r="X5129">
        <v>0.98143619999999998</v>
      </c>
      <c r="Y5129">
        <v>-3.1998970000000002E-2</v>
      </c>
      <c r="Z5129">
        <v>2.8260790000000001E-2</v>
      </c>
      <c r="AA5129">
        <v>0.99908830000000004</v>
      </c>
      <c r="AB5129">
        <v>23</v>
      </c>
      <c r="AC5129">
        <v>13.1515</v>
      </c>
      <c r="AD5129">
        <v>-1.1125689889059001</v>
      </c>
      <c r="AE5129">
        <v>-4.2701099999999901</v>
      </c>
      <c r="AF5129">
        <v>-0.45760144954048598</v>
      </c>
      <c r="AG5129">
        <v>-1.1125689889059001</v>
      </c>
      <c r="AH5129">
        <v>13.7307905129187</v>
      </c>
      <c r="AI5129">
        <v>94.629843343946803</v>
      </c>
      <c r="AJ5129">
        <v>91.908770764307803</v>
      </c>
      <c r="AK5129">
        <v>13.783389167812</v>
      </c>
      <c r="AL5129">
        <v>79.825459272411507</v>
      </c>
      <c r="AM5129">
        <v>94.352022696653293</v>
      </c>
      <c r="AN5129">
        <v>1.00000001486019</v>
      </c>
    </row>
    <row r="5130" spans="1:40" x14ac:dyDescent="0.25">
      <c r="A5130" t="str">
        <f>"20190312172514178"</f>
        <v>20190312172514178</v>
      </c>
      <c r="B5130" t="str">
        <f>"1552382714175997"</f>
        <v>1552382714175997</v>
      </c>
      <c r="C5130" t="s">
        <v>40</v>
      </c>
      <c r="D5130">
        <v>4.1174569999999999</v>
      </c>
      <c r="E5130">
        <v>0.51832559999999905</v>
      </c>
      <c r="F5130" t="s">
        <v>51</v>
      </c>
      <c r="G5130">
        <v>-387.88639999999998</v>
      </c>
      <c r="H5130" s="1">
        <v>-1.0094259999999999E-6</v>
      </c>
      <c r="I5130">
        <v>19.56071</v>
      </c>
      <c r="J5130">
        <v>-400.91289999999998</v>
      </c>
      <c r="K5130">
        <v>1.1124909999999999</v>
      </c>
      <c r="L5130">
        <v>23.77881</v>
      </c>
      <c r="M5130">
        <v>0.94105240000000001</v>
      </c>
      <c r="N5130">
        <v>0</v>
      </c>
      <c r="O5130">
        <v>-0.33799990000000002</v>
      </c>
      <c r="P5130">
        <v>0.95060429999999996</v>
      </c>
      <c r="Q5130">
        <v>0.16358780000000001</v>
      </c>
      <c r="R5130">
        <v>-0.26379999999999998</v>
      </c>
      <c r="S5130">
        <v>2.934631</v>
      </c>
      <c r="T5130">
        <v>-0.24747859999999999</v>
      </c>
      <c r="U5130">
        <v>-0.95098879999999997</v>
      </c>
      <c r="V5130">
        <v>-7.3865500000000001E-2</v>
      </c>
      <c r="W5130">
        <v>0.1763132</v>
      </c>
      <c r="X5130">
        <v>0.98155870000000001</v>
      </c>
      <c r="Y5130">
        <v>-3.0318609999999999E-2</v>
      </c>
      <c r="Z5130">
        <v>2.8212419999999998E-2</v>
      </c>
      <c r="AA5130">
        <v>0.99914210000000003</v>
      </c>
      <c r="AB5130">
        <v>23</v>
      </c>
      <c r="AC5130">
        <v>13.0265</v>
      </c>
      <c r="AD5130">
        <v>-1.11249200942599</v>
      </c>
      <c r="AE5130">
        <v>-4.2180999999999997</v>
      </c>
      <c r="AF5130">
        <v>-0.43069762502643799</v>
      </c>
      <c r="AG5130">
        <v>-1.11249200942599</v>
      </c>
      <c r="AH5130">
        <v>13.595793056379099</v>
      </c>
      <c r="AI5130">
        <v>94.675538851959402</v>
      </c>
      <c r="AJ5130">
        <v>91.814451438384296</v>
      </c>
      <c r="AK5130">
        <v>13.6480301782758</v>
      </c>
      <c r="AL5130">
        <v>79.844912391934898</v>
      </c>
      <c r="AM5130">
        <v>94.303583079875295</v>
      </c>
      <c r="AN5130">
        <v>0.99999996906508903</v>
      </c>
    </row>
    <row r="5131" spans="1:40" x14ac:dyDescent="0.25">
      <c r="A5131" t="str">
        <f>"20190312172514201"</f>
        <v>20190312172514201</v>
      </c>
      <c r="B5131" t="str">
        <f>"1552382714195873"</f>
        <v>1552382714195873</v>
      </c>
      <c r="C5131" t="s">
        <v>40</v>
      </c>
      <c r="D5131">
        <v>4.0955620000000001</v>
      </c>
      <c r="E5131">
        <v>0.51851289999999906</v>
      </c>
      <c r="F5131" t="s">
        <v>51</v>
      </c>
      <c r="G5131">
        <v>-387.8193</v>
      </c>
      <c r="H5131" s="1">
        <v>-1.043853E-6</v>
      </c>
      <c r="I5131">
        <v>19.54532</v>
      </c>
      <c r="J5131">
        <v>-400.70650000000001</v>
      </c>
      <c r="K5131">
        <v>1.1124160000000001</v>
      </c>
      <c r="L5131">
        <v>23.708310000000001</v>
      </c>
      <c r="M5131">
        <v>0.94203899999999996</v>
      </c>
      <c r="N5131">
        <v>0</v>
      </c>
      <c r="O5131">
        <v>-0.3352406</v>
      </c>
      <c r="P5131">
        <v>0.95126049999999995</v>
      </c>
      <c r="Q5131">
        <v>0.1633521</v>
      </c>
      <c r="R5131">
        <v>-0.26157239999999998</v>
      </c>
      <c r="S5131">
        <v>2.935425</v>
      </c>
      <c r="T5131">
        <v>-0.2494074</v>
      </c>
      <c r="U5131">
        <v>-0.94909670000000002</v>
      </c>
      <c r="V5131">
        <v>-7.3266559999999994E-2</v>
      </c>
      <c r="W5131">
        <v>0.17608889999999999</v>
      </c>
      <c r="X5131">
        <v>0.98164390000000001</v>
      </c>
      <c r="Y5131">
        <v>-2.8049250000000001E-2</v>
      </c>
      <c r="Z5131">
        <v>2.8122189999999998E-2</v>
      </c>
      <c r="AA5131">
        <v>0.99921090000000001</v>
      </c>
      <c r="AB5131">
        <v>23</v>
      </c>
      <c r="AC5131">
        <v>12.8872</v>
      </c>
      <c r="AD5131">
        <v>-1.1124170438529899</v>
      </c>
      <c r="AE5131">
        <v>-4.1629899999999997</v>
      </c>
      <c r="AF5131">
        <v>-0.39597719699677397</v>
      </c>
      <c r="AG5131">
        <v>-1.1124170438529899</v>
      </c>
      <c r="AH5131">
        <v>13.446318921323799</v>
      </c>
      <c r="AI5131">
        <v>94.727282883748302</v>
      </c>
      <c r="AJ5131">
        <v>91.686801213473402</v>
      </c>
      <c r="AK5131">
        <v>13.4980651263041</v>
      </c>
      <c r="AL5131">
        <v>79.8579686039309</v>
      </c>
      <c r="AM5131">
        <v>94.268447766571299</v>
      </c>
      <c r="AN5131">
        <v>1.0000000179623201</v>
      </c>
    </row>
    <row r="5132" spans="1:40" x14ac:dyDescent="0.25">
      <c r="A5132" t="str">
        <f>"20190312172514216"</f>
        <v>20190312172514216</v>
      </c>
      <c r="B5132" t="str">
        <f>"1552382714205633"</f>
        <v>1552382714205633</v>
      </c>
      <c r="C5132" t="s">
        <v>40</v>
      </c>
      <c r="D5132">
        <v>4.0827499999999999</v>
      </c>
      <c r="E5132">
        <v>0.5218315</v>
      </c>
      <c r="F5132" t="s">
        <v>51</v>
      </c>
      <c r="G5132">
        <v>-387.6662</v>
      </c>
      <c r="H5132" s="1">
        <v>-1.120689E-6</v>
      </c>
      <c r="I5132">
        <v>19.520320000000002</v>
      </c>
      <c r="J5132">
        <v>-400.56509999999997</v>
      </c>
      <c r="K5132">
        <v>1.1123639999999999</v>
      </c>
      <c r="L5132">
        <v>23.660430000000002</v>
      </c>
      <c r="M5132">
        <v>0.94268269999999998</v>
      </c>
      <c r="N5132">
        <v>0</v>
      </c>
      <c r="O5132">
        <v>-0.3334261</v>
      </c>
      <c r="P5132">
        <v>0.95179309999999995</v>
      </c>
      <c r="Q5132">
        <v>0.16295460000000001</v>
      </c>
      <c r="R5132">
        <v>-0.25987650000000001</v>
      </c>
      <c r="S5132">
        <v>2.9373779999999998</v>
      </c>
      <c r="T5132">
        <v>-0.25057580000000002</v>
      </c>
      <c r="U5132">
        <v>-0.94335939999999996</v>
      </c>
      <c r="V5132">
        <v>-7.312478E-2</v>
      </c>
      <c r="W5132">
        <v>0.17569779999999999</v>
      </c>
      <c r="X5132">
        <v>0.9817245</v>
      </c>
      <c r="Y5132">
        <v>-2.8082340000000001E-2</v>
      </c>
      <c r="Z5132">
        <v>2.8107469999999999E-2</v>
      </c>
      <c r="AA5132">
        <v>0.99921040000000005</v>
      </c>
      <c r="AB5132">
        <v>23</v>
      </c>
      <c r="AC5132">
        <v>12.8988999999999</v>
      </c>
      <c r="AD5132">
        <v>-1.112365120689</v>
      </c>
      <c r="AE5132">
        <v>-4.1401099999999902</v>
      </c>
      <c r="AF5132">
        <v>-0.39538912969331302</v>
      </c>
      <c r="AG5132">
        <v>-1.112365120689</v>
      </c>
      <c r="AH5132">
        <v>13.450497827205099</v>
      </c>
      <c r="AI5132">
        <v>94.725608555723298</v>
      </c>
      <c r="AJ5132">
        <v>91.683774592847598</v>
      </c>
      <c r="AK5132">
        <v>13.502206505799499</v>
      </c>
      <c r="AL5132">
        <v>79.880731411482998</v>
      </c>
      <c r="AM5132">
        <v>94.259869745608</v>
      </c>
      <c r="AN5132">
        <v>0.99999997213756797</v>
      </c>
    </row>
    <row r="5133" spans="1:40" x14ac:dyDescent="0.25">
      <c r="A5133" t="str">
        <f>"20190312172514227"</f>
        <v>20190312172514227</v>
      </c>
      <c r="B5133" t="str">
        <f>"1552382714215395"</f>
        <v>1552382714215395</v>
      </c>
      <c r="C5133" t="s">
        <v>40</v>
      </c>
      <c r="D5133">
        <v>4.1618589999999998</v>
      </c>
      <c r="E5133">
        <v>0.5218315</v>
      </c>
      <c r="F5133" t="s">
        <v>51</v>
      </c>
      <c r="G5133">
        <v>-387.75560000000002</v>
      </c>
      <c r="H5133" s="1">
        <v>-1.090592E-6</v>
      </c>
      <c r="I5133">
        <v>19.451779999999999</v>
      </c>
      <c r="J5133">
        <v>-400.45760000000001</v>
      </c>
      <c r="K5133">
        <v>1.112323</v>
      </c>
      <c r="L5133">
        <v>23.624210000000001</v>
      </c>
      <c r="M5133">
        <v>0.94315919999999998</v>
      </c>
      <c r="N5133">
        <v>0</v>
      </c>
      <c r="O5133">
        <v>-0.33207639999999999</v>
      </c>
      <c r="P5133">
        <v>0.95198819999999995</v>
      </c>
      <c r="Q5133">
        <v>0.16299159999999999</v>
      </c>
      <c r="R5133">
        <v>-0.25913799999999998</v>
      </c>
      <c r="S5133">
        <v>2.9324340000000002</v>
      </c>
      <c r="T5133">
        <v>-0.25464940000000003</v>
      </c>
      <c r="U5133">
        <v>-0.96347050000000001</v>
      </c>
      <c r="V5133">
        <v>-7.2460380000000005E-2</v>
      </c>
      <c r="W5133">
        <v>0.17574200000000001</v>
      </c>
      <c r="X5133">
        <v>0.98176589999999997</v>
      </c>
      <c r="Y5133">
        <v>-1.9956020000000001E-2</v>
      </c>
      <c r="Z5133">
        <v>2.8122419999999999E-2</v>
      </c>
      <c r="AA5133">
        <v>0.99940530000000005</v>
      </c>
      <c r="AB5133">
        <v>23</v>
      </c>
      <c r="AC5133">
        <v>12.7019999999999</v>
      </c>
      <c r="AD5133">
        <v>-1.112324090592</v>
      </c>
      <c r="AE5133">
        <v>-4.1724300000000003</v>
      </c>
      <c r="AF5133">
        <v>-0.28084960292824301</v>
      </c>
      <c r="AG5133">
        <v>-1.112324090592</v>
      </c>
      <c r="AH5133">
        <v>13.274864478505901</v>
      </c>
      <c r="AI5133">
        <v>94.788658158597997</v>
      </c>
      <c r="AJ5133">
        <v>91.211997061030999</v>
      </c>
      <c r="AK5133">
        <v>13.3243449484271</v>
      </c>
      <c r="AL5133">
        <v>79.878159398065407</v>
      </c>
      <c r="AM5133">
        <v>94.221128436321294</v>
      </c>
      <c r="AN5133">
        <v>1.0000000198182699</v>
      </c>
    </row>
    <row r="5134" spans="1:40" x14ac:dyDescent="0.25">
      <c r="A5134" t="str">
        <f>"20190312172514237"</f>
        <v>20190312172514237</v>
      </c>
      <c r="B5134" t="str">
        <f>"1552382714235889"</f>
        <v>1552382714235889</v>
      </c>
      <c r="C5134" t="s">
        <v>40</v>
      </c>
      <c r="D5134">
        <v>4.081143</v>
      </c>
      <c r="E5134">
        <v>0.52144219999999997</v>
      </c>
      <c r="F5134" t="s">
        <v>51</v>
      </c>
      <c r="G5134">
        <v>-387.64170000000001</v>
      </c>
      <c r="H5134" s="1">
        <v>-1.1491459999999999E-6</v>
      </c>
      <c r="I5134">
        <v>19.424990000000001</v>
      </c>
      <c r="J5134">
        <v>-400.34989999999999</v>
      </c>
      <c r="K5134">
        <v>1.1122799999999999</v>
      </c>
      <c r="L5134">
        <v>23.58792</v>
      </c>
      <c r="M5134">
        <v>0.94362670000000004</v>
      </c>
      <c r="N5134">
        <v>0</v>
      </c>
      <c r="O5134">
        <v>-0.33074559999999997</v>
      </c>
      <c r="P5134">
        <v>0.95225320000000002</v>
      </c>
      <c r="Q5134">
        <v>0.16291910000000001</v>
      </c>
      <c r="R5134">
        <v>-0.25820789999999999</v>
      </c>
      <c r="S5134">
        <v>2.9332280000000002</v>
      </c>
      <c r="T5134">
        <v>-0.25458190000000003</v>
      </c>
      <c r="U5134">
        <v>-0.96109009999999995</v>
      </c>
      <c r="V5134">
        <v>-7.2021189999999999E-2</v>
      </c>
      <c r="W5134">
        <v>0.17567530000000001</v>
      </c>
      <c r="X5134">
        <v>0.98181019999999997</v>
      </c>
      <c r="Y5134">
        <v>-1.9364719999999998E-2</v>
      </c>
      <c r="Z5134">
        <v>2.7982770000000001E-2</v>
      </c>
      <c r="AA5134">
        <v>0.9994208</v>
      </c>
      <c r="AB5134">
        <v>23</v>
      </c>
      <c r="AC5134">
        <v>12.7081999999999</v>
      </c>
      <c r="AD5134">
        <v>-1.1122811491459901</v>
      </c>
      <c r="AE5134">
        <v>-4.1629299999999896</v>
      </c>
      <c r="AF5134">
        <v>-0.27306441953192301</v>
      </c>
      <c r="AG5134">
        <v>-1.1122811491459901</v>
      </c>
      <c r="AH5134">
        <v>13.277984510339699</v>
      </c>
      <c r="AI5134">
        <v>94.787412948217906</v>
      </c>
      <c r="AJ5134">
        <v>91.178133149123298</v>
      </c>
      <c r="AK5134">
        <v>13.3272880282817</v>
      </c>
      <c r="AL5134">
        <v>79.882041892648004</v>
      </c>
      <c r="AM5134">
        <v>94.1954467384667</v>
      </c>
      <c r="AN5134">
        <v>1.00000006583157</v>
      </c>
    </row>
    <row r="5135" spans="1:40" x14ac:dyDescent="0.25">
      <c r="A5135" t="str">
        <f>"20190312172514250"</f>
        <v>20190312172514250</v>
      </c>
      <c r="B5135" t="str">
        <f>"1552382714245649"</f>
        <v>1552382714245649</v>
      </c>
      <c r="C5135" t="s">
        <v>40</v>
      </c>
      <c r="D5135">
        <v>4.0968280000000004</v>
      </c>
      <c r="E5135">
        <v>0.51529389999999997</v>
      </c>
      <c r="F5135" t="s">
        <v>51</v>
      </c>
      <c r="G5135">
        <v>-387.58229999999998</v>
      </c>
      <c r="H5135" s="1">
        <v>-1.1757879999999999E-6</v>
      </c>
      <c r="I5135">
        <v>19.433219999999999</v>
      </c>
      <c r="J5135">
        <v>-400.24790000000002</v>
      </c>
      <c r="K5135">
        <v>1.112242</v>
      </c>
      <c r="L5135">
        <v>23.553799999999999</v>
      </c>
      <c r="M5135">
        <v>0.9440558</v>
      </c>
      <c r="N5135">
        <v>0</v>
      </c>
      <c r="O5135">
        <v>-0.3295189</v>
      </c>
      <c r="P5135">
        <v>0.95251730000000001</v>
      </c>
      <c r="Q5135">
        <v>0.16280439999999999</v>
      </c>
      <c r="R5135">
        <v>-0.25730419999999998</v>
      </c>
      <c r="S5135">
        <v>2.935181</v>
      </c>
      <c r="T5135">
        <v>-0.25570619999999999</v>
      </c>
      <c r="U5135">
        <v>-0.95513919999999997</v>
      </c>
      <c r="V5135">
        <v>-7.1666350000000004E-2</v>
      </c>
      <c r="W5135">
        <v>0.17556550000000001</v>
      </c>
      <c r="X5135">
        <v>0.98185579999999995</v>
      </c>
      <c r="Y5135">
        <v>-2.008505E-2</v>
      </c>
      <c r="Z5135">
        <v>2.8032870000000001E-2</v>
      </c>
      <c r="AA5135">
        <v>0.99940519999999999</v>
      </c>
      <c r="AB5135">
        <v>23</v>
      </c>
      <c r="AC5135">
        <v>12.6656</v>
      </c>
      <c r="AD5135">
        <v>-1.112243175788</v>
      </c>
      <c r="AE5135">
        <v>-4.1205799999999897</v>
      </c>
      <c r="AF5135">
        <v>-0.28155860983943998</v>
      </c>
      <c r="AG5135">
        <v>-1.112243175788</v>
      </c>
      <c r="AH5135">
        <v>13.2237967300719</v>
      </c>
      <c r="AI5135">
        <v>94.806702756988997</v>
      </c>
      <c r="AJ5135">
        <v>91.219746736585194</v>
      </c>
      <c r="AK5135">
        <v>13.2734758104696</v>
      </c>
      <c r="AL5135">
        <v>79.888432241821903</v>
      </c>
      <c r="AM5135">
        <v>94.174656322212101</v>
      </c>
      <c r="AN5135">
        <v>1.0000000612530999</v>
      </c>
    </row>
    <row r="5136" spans="1:40" x14ac:dyDescent="0.25">
      <c r="A5136" t="str">
        <f>"20190312172514262"</f>
        <v>20190312172514262</v>
      </c>
      <c r="B5136" t="str">
        <f>"1552382714255409"</f>
        <v>1552382714255409</v>
      </c>
      <c r="C5136" t="s">
        <v>40</v>
      </c>
      <c r="D5136">
        <v>4.0544099999999998</v>
      </c>
      <c r="E5136">
        <v>0.51258400000000004</v>
      </c>
      <c r="F5136" t="s">
        <v>51</v>
      </c>
      <c r="G5136">
        <v>-388.11380000000003</v>
      </c>
      <c r="H5136" s="1">
        <v>-9.495977E-7</v>
      </c>
      <c r="I5136">
        <v>19.832529999999998</v>
      </c>
      <c r="J5136">
        <v>-400.12670000000003</v>
      </c>
      <c r="K5136">
        <v>1.1122000000000001</v>
      </c>
      <c r="L5136">
        <v>23.513310000000001</v>
      </c>
      <c r="M5136">
        <v>0.94455869999999997</v>
      </c>
      <c r="N5136">
        <v>0</v>
      </c>
      <c r="O5136">
        <v>-0.32807520000000001</v>
      </c>
      <c r="P5136">
        <v>0.95275730000000003</v>
      </c>
      <c r="Q5136">
        <v>0.16282360000000001</v>
      </c>
      <c r="R5136">
        <v>-0.25640230000000003</v>
      </c>
      <c r="S5136">
        <v>2.951263</v>
      </c>
      <c r="T5136">
        <v>-0.2705207</v>
      </c>
      <c r="U5136">
        <v>-0.90509030000000001</v>
      </c>
      <c r="V5136">
        <v>-7.1074689999999996E-2</v>
      </c>
      <c r="W5136">
        <v>0.17559079999999999</v>
      </c>
      <c r="X5136">
        <v>0.98189420000000005</v>
      </c>
      <c r="Y5136">
        <v>-3.5390730000000002E-2</v>
      </c>
      <c r="Z5136">
        <v>3.0154839999999999E-2</v>
      </c>
      <c r="AA5136">
        <v>0.99891850000000004</v>
      </c>
      <c r="AB5136">
        <v>23</v>
      </c>
      <c r="AC5136">
        <v>12.0129</v>
      </c>
      <c r="AD5136">
        <v>-1.1122009495976899</v>
      </c>
      <c r="AE5136">
        <v>-3.6807799999999999</v>
      </c>
      <c r="AF5136">
        <v>-0.46085128407006998</v>
      </c>
      <c r="AG5136">
        <v>-1.1122009495976899</v>
      </c>
      <c r="AH5136">
        <v>12.4579420731221</v>
      </c>
      <c r="AI5136">
        <v>95.098170425744001</v>
      </c>
      <c r="AJ5136">
        <v>92.118552062523193</v>
      </c>
      <c r="AK5136">
        <v>12.515977610861301</v>
      </c>
      <c r="AL5136">
        <v>79.886958957495494</v>
      </c>
      <c r="AM5136">
        <v>94.140150366119201</v>
      </c>
      <c r="AN5136">
        <v>0.99999998029843695</v>
      </c>
    </row>
    <row r="5137" spans="1:40" x14ac:dyDescent="0.25">
      <c r="A5137" t="str">
        <f>"20190312172514278"</f>
        <v>20190312172514278</v>
      </c>
      <c r="B5137" t="str">
        <f>"1552382714275906"</f>
        <v>1552382714275906</v>
      </c>
      <c r="C5137" t="s">
        <v>40</v>
      </c>
      <c r="D5137">
        <v>4.0594380000000001</v>
      </c>
      <c r="E5137">
        <v>0.5093316</v>
      </c>
      <c r="F5137" t="s">
        <v>51</v>
      </c>
      <c r="G5137">
        <v>-387.99380000000002</v>
      </c>
      <c r="H5137" s="1">
        <v>-1.023836E-6</v>
      </c>
      <c r="I5137">
        <v>19.89846</v>
      </c>
      <c r="J5137">
        <v>-399.96620000000001</v>
      </c>
      <c r="K5137">
        <v>1.112152</v>
      </c>
      <c r="L5137">
        <v>23.46002</v>
      </c>
      <c r="M5137">
        <v>0.94520040000000005</v>
      </c>
      <c r="N5137">
        <v>0</v>
      </c>
      <c r="O5137">
        <v>-0.3262216</v>
      </c>
      <c r="P5137">
        <v>0.95307589999999998</v>
      </c>
      <c r="Q5137">
        <v>0.16280259999999999</v>
      </c>
      <c r="R5137">
        <v>-0.2552295</v>
      </c>
      <c r="S5137">
        <v>2.9579469999999999</v>
      </c>
      <c r="T5137">
        <v>-0.27115080000000003</v>
      </c>
      <c r="U5137">
        <v>-0.88128660000000003</v>
      </c>
      <c r="V5137">
        <v>-7.0333670000000001E-2</v>
      </c>
      <c r="W5137">
        <v>0.1755777</v>
      </c>
      <c r="X5137">
        <v>0.98194990000000004</v>
      </c>
      <c r="Y5137">
        <v>-4.1408559999999997E-2</v>
      </c>
      <c r="Z5137">
        <v>3.0317810000000001E-2</v>
      </c>
      <c r="AA5137">
        <v>0.99868219999999996</v>
      </c>
      <c r="AB5137">
        <v>23</v>
      </c>
      <c r="AC5137">
        <v>11.972399999999899</v>
      </c>
      <c r="AD5137">
        <v>-1.112153023836</v>
      </c>
      <c r="AE5137">
        <v>-3.5615600000000001</v>
      </c>
      <c r="AF5137">
        <v>-0.53507308925402597</v>
      </c>
      <c r="AG5137">
        <v>-1.112153023836</v>
      </c>
      <c r="AH5137">
        <v>12.381119015556401</v>
      </c>
      <c r="AI5137">
        <v>95.128144347353796</v>
      </c>
      <c r="AJ5137">
        <v>92.474603854747699</v>
      </c>
      <c r="AK5137">
        <v>12.442479481061801</v>
      </c>
      <c r="AL5137">
        <v>79.887721373721703</v>
      </c>
      <c r="AM5137">
        <v>94.096901587166599</v>
      </c>
      <c r="AN5137">
        <v>0.99999997999148404</v>
      </c>
    </row>
    <row r="5138" spans="1:40" x14ac:dyDescent="0.25">
      <c r="A5138" t="str">
        <f>"20190312172514294"</f>
        <v>20190312172514294</v>
      </c>
      <c r="B5138" t="str">
        <f>"1552382714285665"</f>
        <v>1552382714285665</v>
      </c>
      <c r="C5138" t="s">
        <v>40</v>
      </c>
      <c r="D5138">
        <v>4.0387230000000001</v>
      </c>
      <c r="E5138">
        <v>0.50811209999999996</v>
      </c>
      <c r="F5138" t="s">
        <v>51</v>
      </c>
      <c r="G5138">
        <v>-387.80669999999998</v>
      </c>
      <c r="H5138" s="1">
        <v>-1.1301209999999999E-6</v>
      </c>
      <c r="I5138">
        <v>19.965440000000001</v>
      </c>
      <c r="J5138">
        <v>-399.82159999999999</v>
      </c>
      <c r="K5138">
        <v>1.1121080000000001</v>
      </c>
      <c r="L5138">
        <v>23.412289999999999</v>
      </c>
      <c r="M5138">
        <v>0.9457605</v>
      </c>
      <c r="N5138">
        <v>0</v>
      </c>
      <c r="O5138">
        <v>-0.32459389999999999</v>
      </c>
      <c r="P5138">
        <v>0.95334830000000004</v>
      </c>
      <c r="Q5138">
        <v>0.16295229999999999</v>
      </c>
      <c r="R5138">
        <v>-0.25411270000000002</v>
      </c>
      <c r="S5138">
        <v>2.9657900000000001</v>
      </c>
      <c r="T5138">
        <v>-0.27126289999999997</v>
      </c>
      <c r="U5138">
        <v>-0.852356</v>
      </c>
      <c r="V5138">
        <v>-6.976562E-2</v>
      </c>
      <c r="W5138">
        <v>0.17573259999999999</v>
      </c>
      <c r="X5138">
        <v>0.98196269999999997</v>
      </c>
      <c r="Y5138">
        <v>-4.9361809999999999E-2</v>
      </c>
      <c r="Z5138">
        <v>3.052498E-2</v>
      </c>
      <c r="AA5138">
        <v>0.99831440000000005</v>
      </c>
      <c r="AB5138">
        <v>23</v>
      </c>
      <c r="AC5138">
        <v>12.014900000000001</v>
      </c>
      <c r="AD5138">
        <v>-1.112109130121</v>
      </c>
      <c r="AE5138">
        <v>-3.4468499999999902</v>
      </c>
      <c r="AF5138">
        <v>-0.63509752363878202</v>
      </c>
      <c r="AG5138">
        <v>-1.112109130121</v>
      </c>
      <c r="AH5138">
        <v>12.3851014903285</v>
      </c>
      <c r="AI5138">
        <v>95.124365286301796</v>
      </c>
      <c r="AJ5138">
        <v>92.935507865984903</v>
      </c>
      <c r="AK5138">
        <v>12.451139486310799</v>
      </c>
      <c r="AL5138">
        <v>79.878705945526207</v>
      </c>
      <c r="AM5138">
        <v>94.063871473033103</v>
      </c>
      <c r="AN5138">
        <v>0.999999966314016</v>
      </c>
    </row>
    <row r="5139" spans="1:40" x14ac:dyDescent="0.25">
      <c r="A5139" t="str">
        <f>"20190312172514307"</f>
        <v>20190312172514307</v>
      </c>
      <c r="B5139" t="str">
        <f>"1552382714295426"</f>
        <v>1552382714295426</v>
      </c>
      <c r="C5139" t="s">
        <v>40</v>
      </c>
      <c r="D5139">
        <v>4.019603</v>
      </c>
      <c r="E5139">
        <v>0.50729609999999903</v>
      </c>
      <c r="F5139" t="s">
        <v>51</v>
      </c>
      <c r="G5139">
        <v>-387.61059999999998</v>
      </c>
      <c r="H5139" s="1">
        <v>-1.221207E-6</v>
      </c>
      <c r="I5139">
        <v>19.959440000000001</v>
      </c>
      <c r="J5139">
        <v>-399.7038</v>
      </c>
      <c r="K5139">
        <v>1.112074</v>
      </c>
      <c r="L5139">
        <v>23.3735</v>
      </c>
      <c r="M5139">
        <v>0.94620629999999994</v>
      </c>
      <c r="N5139">
        <v>0</v>
      </c>
      <c r="O5139">
        <v>-0.32329269999999999</v>
      </c>
      <c r="P5139">
        <v>0.9536481</v>
      </c>
      <c r="Q5139">
        <v>0.16302820000000001</v>
      </c>
      <c r="R5139">
        <v>-0.2529381</v>
      </c>
      <c r="S5139">
        <v>2.9692379999999998</v>
      </c>
      <c r="T5139">
        <v>-0.27042149999999998</v>
      </c>
      <c r="U5139">
        <v>-0.839599599999999</v>
      </c>
      <c r="V5139">
        <v>-6.9605890000000004E-2</v>
      </c>
      <c r="W5139">
        <v>0.17581150000000001</v>
      </c>
      <c r="X5139">
        <v>0.9819599</v>
      </c>
      <c r="Y5139">
        <v>-5.2265560000000003E-2</v>
      </c>
      <c r="Z5139">
        <v>3.0440100000000001E-2</v>
      </c>
      <c r="AA5139">
        <v>0.99816919999999998</v>
      </c>
      <c r="AB5139">
        <v>23</v>
      </c>
      <c r="AC5139">
        <v>12.0932</v>
      </c>
      <c r="AD5139">
        <v>-1.112075221207</v>
      </c>
      <c r="AE5139">
        <v>-3.4140599999999899</v>
      </c>
      <c r="AF5139">
        <v>-0.67401876308600595</v>
      </c>
      <c r="AG5139">
        <v>-1.112075221207</v>
      </c>
      <c r="AH5139">
        <v>12.4499930104207</v>
      </c>
      <c r="AI5139">
        <v>95.096880747747207</v>
      </c>
      <c r="AJ5139">
        <v>93.098858552237502</v>
      </c>
      <c r="AK5139">
        <v>12.5177209806794</v>
      </c>
      <c r="AL5139">
        <v>79.874113690355699</v>
      </c>
      <c r="AM5139">
        <v>94.054609735592194</v>
      </c>
      <c r="AN5139">
        <v>0.99999995433147504</v>
      </c>
    </row>
    <row r="5140" spans="1:40" x14ac:dyDescent="0.25">
      <c r="A5140" t="str">
        <f>"20190312172514317"</f>
        <v>20190312172514317</v>
      </c>
      <c r="B5140" t="str">
        <f>"1552382714306161"</f>
        <v>1552382714306161</v>
      </c>
      <c r="C5140" t="s">
        <v>40</v>
      </c>
      <c r="D5140">
        <v>4.0803479999999999</v>
      </c>
      <c r="E5140">
        <v>0.50653709999999996</v>
      </c>
      <c r="F5140" t="s">
        <v>51</v>
      </c>
      <c r="G5140">
        <v>-387.49610000000001</v>
      </c>
      <c r="H5140" s="1">
        <v>-1.2768209999999999E-6</v>
      </c>
      <c r="I5140">
        <v>19.964919999999999</v>
      </c>
      <c r="J5140">
        <v>-399.59120000000001</v>
      </c>
      <c r="K5140">
        <v>1.1120460000000001</v>
      </c>
      <c r="L5140">
        <v>23.336580000000001</v>
      </c>
      <c r="M5140">
        <v>0.94662139999999995</v>
      </c>
      <c r="N5140">
        <v>0</v>
      </c>
      <c r="O5140">
        <v>-0.32207590000000003</v>
      </c>
      <c r="P5140">
        <v>0.95398419999999895</v>
      </c>
      <c r="Q5140">
        <v>0.1627586</v>
      </c>
      <c r="R5140">
        <v>-0.25184139999999999</v>
      </c>
      <c r="S5140">
        <v>2.9720149999999999</v>
      </c>
      <c r="T5140">
        <v>-0.27073909999999901</v>
      </c>
      <c r="U5140">
        <v>-0.82983399999999996</v>
      </c>
      <c r="V5140">
        <v>-6.9472039999999999E-2</v>
      </c>
      <c r="W5140">
        <v>0.17554529999999999</v>
      </c>
      <c r="X5140">
        <v>0.98201700000000003</v>
      </c>
      <c r="Y5140">
        <v>-5.426011E-2</v>
      </c>
      <c r="Z5140">
        <v>3.0452699999999999E-2</v>
      </c>
      <c r="AA5140">
        <v>0.99806240000000002</v>
      </c>
      <c r="AB5140">
        <v>22</v>
      </c>
      <c r="AC5140">
        <v>12.0951</v>
      </c>
      <c r="AD5140">
        <v>-1.1120472768209999</v>
      </c>
      <c r="AE5140">
        <v>-3.3716599999999901</v>
      </c>
      <c r="AF5140">
        <v>-0.69843791377716302</v>
      </c>
      <c r="AG5140">
        <v>-1.1120472768209999</v>
      </c>
      <c r="AH5140">
        <v>12.4389396670074</v>
      </c>
      <c r="AI5140">
        <v>95.100697436964793</v>
      </c>
      <c r="AJ5140">
        <v>93.213744106313001</v>
      </c>
      <c r="AK5140">
        <v>12.5080647865581</v>
      </c>
      <c r="AL5140">
        <v>79.889606763416396</v>
      </c>
      <c r="AM5140">
        <v>94.046604250479405</v>
      </c>
      <c r="AN5140">
        <v>0.99999995249142404</v>
      </c>
    </row>
    <row r="5141" spans="1:40" x14ac:dyDescent="0.25">
      <c r="A5141" t="str">
        <f>"20190312172514335"</f>
        <v>20190312172514335</v>
      </c>
      <c r="B5141" t="str">
        <f>"1552382714325681"</f>
        <v>1552382714325681</v>
      </c>
      <c r="C5141" t="s">
        <v>40</v>
      </c>
      <c r="D5141">
        <v>4.0392330000000003</v>
      </c>
      <c r="E5141">
        <v>0.50558820000000004</v>
      </c>
      <c r="F5141" t="s">
        <v>51</v>
      </c>
      <c r="G5141">
        <v>-387.40839999999997</v>
      </c>
      <c r="H5141" s="1">
        <v>-1.3208050000000001E-6</v>
      </c>
      <c r="I5141">
        <v>19.974599999999999</v>
      </c>
      <c r="J5141">
        <v>-399.43239999999997</v>
      </c>
      <c r="K5141">
        <v>1.111993</v>
      </c>
      <c r="L5141">
        <v>23.28473</v>
      </c>
      <c r="M5141">
        <v>0.94718760000000002</v>
      </c>
      <c r="N5141">
        <v>0</v>
      </c>
      <c r="O5141">
        <v>-0.32040649999999998</v>
      </c>
      <c r="P5141">
        <v>0.95424889999999996</v>
      </c>
      <c r="Q5141">
        <v>0.1631126</v>
      </c>
      <c r="R5141">
        <v>-0.25060729999999998</v>
      </c>
      <c r="S5141">
        <v>2.974335</v>
      </c>
      <c r="T5141">
        <v>-0.27149770000000001</v>
      </c>
      <c r="U5141">
        <v>-0.8208008</v>
      </c>
      <c r="V5141">
        <v>-6.8972130000000006E-2</v>
      </c>
      <c r="W5141">
        <v>0.17590349999999999</v>
      </c>
      <c r="X5141">
        <v>0.98198819999999998</v>
      </c>
      <c r="Y5141">
        <v>-5.550973E-2</v>
      </c>
      <c r="Z5141">
        <v>3.0446379999999999E-2</v>
      </c>
      <c r="AA5141">
        <v>0.99799380000000004</v>
      </c>
      <c r="AB5141">
        <v>22</v>
      </c>
      <c r="AC5141">
        <v>12.023999999999999</v>
      </c>
      <c r="AD5141">
        <v>-1.111994320805</v>
      </c>
      <c r="AE5141">
        <v>-3.31013</v>
      </c>
      <c r="AF5141">
        <v>-0.71165868177372404</v>
      </c>
      <c r="AG5141">
        <v>-1.111994320805</v>
      </c>
      <c r="AH5141">
        <v>12.3524571834811</v>
      </c>
      <c r="AI5141">
        <v>95.135551153720002</v>
      </c>
      <c r="AJ5141">
        <v>93.297320856489407</v>
      </c>
      <c r="AK5141">
        <v>12.4228091798345</v>
      </c>
      <c r="AL5141">
        <v>79.868759604291796</v>
      </c>
      <c r="AM5141">
        <v>94.017698655731294</v>
      </c>
      <c r="AN5141">
        <v>1.00000001048411</v>
      </c>
    </row>
    <row r="5142" spans="1:40" x14ac:dyDescent="0.25">
      <c r="A5142" t="str">
        <f>"20190312172514358"</f>
        <v>20190312172514358</v>
      </c>
      <c r="B5142" t="str">
        <f>"1552382714346178"</f>
        <v>1552382714346178</v>
      </c>
      <c r="C5142" t="s">
        <v>40</v>
      </c>
      <c r="D5142">
        <v>4.0359129999999999</v>
      </c>
      <c r="E5142">
        <v>0.50497970000000003</v>
      </c>
      <c r="F5142" t="s">
        <v>51</v>
      </c>
      <c r="G5142">
        <v>-387.24310000000003</v>
      </c>
      <c r="H5142" s="1">
        <v>-1.3974519999999999E-6</v>
      </c>
      <c r="I5142">
        <v>19.968830000000001</v>
      </c>
      <c r="J5142">
        <v>-399.2167</v>
      </c>
      <c r="K5142">
        <v>1.1119300000000001</v>
      </c>
      <c r="L5142">
        <v>23.214749999999999</v>
      </c>
      <c r="M5142">
        <v>0.94792609999999999</v>
      </c>
      <c r="N5142">
        <v>0</v>
      </c>
      <c r="O5142">
        <v>-0.31821539999999998</v>
      </c>
      <c r="P5142">
        <v>0.95476369999999999</v>
      </c>
      <c r="Q5142">
        <v>0.16281989999999999</v>
      </c>
      <c r="R5142">
        <v>-0.24882969999999999</v>
      </c>
      <c r="S5142">
        <v>2.9775700000000001</v>
      </c>
      <c r="T5142">
        <v>-0.27163480000000001</v>
      </c>
      <c r="U5142">
        <v>-0.80999759999999998</v>
      </c>
      <c r="V5142">
        <v>-6.8517739999999994E-2</v>
      </c>
      <c r="W5142">
        <v>0.17561760000000001</v>
      </c>
      <c r="X5142">
        <v>0.98207120000000003</v>
      </c>
      <c r="Y5142">
        <v>-5.6849509999999999E-2</v>
      </c>
      <c r="Z5142">
        <v>3.032441E-2</v>
      </c>
      <c r="AA5142">
        <v>0.99792210000000003</v>
      </c>
      <c r="AB5142">
        <v>22</v>
      </c>
      <c r="AC5142">
        <v>11.9735999999999</v>
      </c>
      <c r="AD5142">
        <v>-1.11193139745199</v>
      </c>
      <c r="AE5142">
        <v>-3.2459199999999901</v>
      </c>
      <c r="AF5142">
        <v>-0.72751130958518595</v>
      </c>
      <c r="AG5142">
        <v>-1.11193139745199</v>
      </c>
      <c r="AH5142">
        <v>12.2853782988979</v>
      </c>
      <c r="AI5142">
        <v>95.1626700171078</v>
      </c>
      <c r="AJ5142">
        <v>93.388964081181399</v>
      </c>
      <c r="AK5142">
        <v>12.3570297436417</v>
      </c>
      <c r="AL5142">
        <v>79.885399721571503</v>
      </c>
      <c r="AM5142">
        <v>93.990979555926302</v>
      </c>
      <c r="AN5142">
        <v>1.00000003199695</v>
      </c>
    </row>
    <row r="5143" spans="1:40" x14ac:dyDescent="0.25">
      <c r="A5143" t="str">
        <f>"20190312172514372"</f>
        <v>20190312172514372</v>
      </c>
      <c r="B5143" t="str">
        <f>"1552382714365698"</f>
        <v>1552382714365698</v>
      </c>
      <c r="C5143" t="s">
        <v>40</v>
      </c>
      <c r="D5143">
        <v>4.0933089999999996</v>
      </c>
      <c r="E5143">
        <v>0.50468310000000005</v>
      </c>
      <c r="F5143" t="s">
        <v>51</v>
      </c>
      <c r="G5143">
        <v>-387.1078</v>
      </c>
      <c r="H5143" s="1">
        <v>-1.4599420000000001E-6</v>
      </c>
      <c r="I5143">
        <v>19.96332</v>
      </c>
      <c r="J5143">
        <v>-399.08699999999999</v>
      </c>
      <c r="K5143">
        <v>1.1118980000000001</v>
      </c>
      <c r="L5143">
        <v>23.17285</v>
      </c>
      <c r="M5143">
        <v>0.94835069999999999</v>
      </c>
      <c r="N5143">
        <v>0</v>
      </c>
      <c r="O5143">
        <v>-0.3169477</v>
      </c>
      <c r="P5143">
        <v>0.95509630000000001</v>
      </c>
      <c r="Q5143">
        <v>0.16276350000000001</v>
      </c>
      <c r="R5143">
        <v>-0.24758740000000001</v>
      </c>
      <c r="S5143">
        <v>2.9803160000000002</v>
      </c>
      <c r="T5143">
        <v>-0.27367520000000001</v>
      </c>
      <c r="U5143">
        <v>-0.80026249999999999</v>
      </c>
      <c r="V5143">
        <v>-6.8469210000000003E-2</v>
      </c>
      <c r="W5143">
        <v>0.175564</v>
      </c>
      <c r="X5143">
        <v>0.98208419999999996</v>
      </c>
      <c r="Y5143">
        <v>-5.8762620000000002E-2</v>
      </c>
      <c r="Z5143">
        <v>3.0519560000000001E-2</v>
      </c>
      <c r="AA5143">
        <v>0.99780539999999995</v>
      </c>
      <c r="AB5143">
        <v>22</v>
      </c>
      <c r="AC5143">
        <v>11.979199999999899</v>
      </c>
      <c r="AD5143">
        <v>-1.111899459942</v>
      </c>
      <c r="AE5143">
        <v>-3.20953</v>
      </c>
      <c r="AF5143">
        <v>-0.74708049141142097</v>
      </c>
      <c r="AG5143">
        <v>-1.111899459942</v>
      </c>
      <c r="AH5143">
        <v>12.2801076149679</v>
      </c>
      <c r="AI5143">
        <v>95.164228940357702</v>
      </c>
      <c r="AJ5143">
        <v>93.481391977574106</v>
      </c>
      <c r="AK5143">
        <v>12.3529548167578</v>
      </c>
      <c r="AL5143">
        <v>79.888519562877505</v>
      </c>
      <c r="AM5143">
        <v>93.988109313402802</v>
      </c>
      <c r="AN5143">
        <v>1.00000006335183</v>
      </c>
    </row>
    <row r="5144" spans="1:40" x14ac:dyDescent="0.25">
      <c r="A5144" t="str">
        <f>"20190312172514387"</f>
        <v>20190312172514387</v>
      </c>
      <c r="B5144" t="str">
        <f>"1552382714375457"</f>
        <v>1552382714375457</v>
      </c>
      <c r="C5144" t="s">
        <v>40</v>
      </c>
      <c r="D5144">
        <v>4.0705749999999998</v>
      </c>
      <c r="E5144">
        <v>0.50458219999999998</v>
      </c>
      <c r="F5144" t="s">
        <v>51</v>
      </c>
      <c r="G5144">
        <v>-387.07100000000003</v>
      </c>
      <c r="H5144" s="1">
        <v>-1.479785E-6</v>
      </c>
      <c r="I5144">
        <v>19.972470000000001</v>
      </c>
      <c r="J5144">
        <v>-398.94279999999998</v>
      </c>
      <c r="K5144">
        <v>1.111856</v>
      </c>
      <c r="L5144">
        <v>23.126460000000002</v>
      </c>
      <c r="M5144">
        <v>0.94880909999999996</v>
      </c>
      <c r="N5144">
        <v>0</v>
      </c>
      <c r="O5144">
        <v>-0.31557279999999999</v>
      </c>
      <c r="P5144">
        <v>0.95550190000000002</v>
      </c>
      <c r="Q5144">
        <v>0.16221679999999999</v>
      </c>
      <c r="R5144">
        <v>-0.2463776</v>
      </c>
      <c r="S5144">
        <v>2.9821780000000002</v>
      </c>
      <c r="T5144">
        <v>-0.2759548</v>
      </c>
      <c r="U5144">
        <v>-0.79428100000000001</v>
      </c>
      <c r="V5144">
        <v>-6.8298419999999999E-2</v>
      </c>
      <c r="W5144">
        <v>0.17502229999999999</v>
      </c>
      <c r="X5144">
        <v>0.98219270000000003</v>
      </c>
      <c r="Y5144">
        <v>-5.9319530000000002E-2</v>
      </c>
      <c r="Z5144">
        <v>3.0672390000000001E-2</v>
      </c>
      <c r="AA5144">
        <v>0.99776770000000004</v>
      </c>
      <c r="AB5144">
        <v>22</v>
      </c>
      <c r="AC5144">
        <v>11.8718</v>
      </c>
      <c r="AD5144">
        <v>-1.111857479785</v>
      </c>
      <c r="AE5144">
        <v>-3.1539899999999998</v>
      </c>
      <c r="AF5144">
        <v>-0.74782182331912594</v>
      </c>
      <c r="AG5144">
        <v>-1.111857479785</v>
      </c>
      <c r="AH5144">
        <v>12.160824536735699</v>
      </c>
      <c r="AI5144">
        <v>95.214202284068804</v>
      </c>
      <c r="AJ5144">
        <v>93.518934669319094</v>
      </c>
      <c r="AK5144">
        <v>12.234423482455499</v>
      </c>
      <c r="AL5144">
        <v>79.920044063973293</v>
      </c>
      <c r="AM5144">
        <v>93.977755282203006</v>
      </c>
      <c r="AN5144">
        <v>0.99999998980253801</v>
      </c>
    </row>
    <row r="5145" spans="1:40" x14ac:dyDescent="0.25">
      <c r="A5145" t="str">
        <f>"20190312172514402"</f>
        <v>20190312172514402</v>
      </c>
      <c r="B5145" t="str">
        <f>"1552382714395953"</f>
        <v>1552382714395953</v>
      </c>
      <c r="C5145" t="s">
        <v>40</v>
      </c>
      <c r="D5145">
        <v>4.1774680000000002</v>
      </c>
      <c r="E5145">
        <v>0.50428869999999903</v>
      </c>
      <c r="F5145" t="s">
        <v>51</v>
      </c>
      <c r="G5145">
        <v>-387.03550000000001</v>
      </c>
      <c r="H5145" s="1">
        <v>-1.496945E-6</v>
      </c>
      <c r="I5145">
        <v>19.974049999999998</v>
      </c>
      <c r="J5145">
        <v>-398.791</v>
      </c>
      <c r="K5145">
        <v>1.111807</v>
      </c>
      <c r="L5145">
        <v>23.077760000000001</v>
      </c>
      <c r="M5145">
        <v>0.94927539999999999</v>
      </c>
      <c r="N5145">
        <v>0</v>
      </c>
      <c r="O5145">
        <v>-0.31416749999999999</v>
      </c>
      <c r="P5145">
        <v>0.95596899999999996</v>
      </c>
      <c r="Q5145">
        <v>0.16146070000000001</v>
      </c>
      <c r="R5145">
        <v>-0.24505850000000001</v>
      </c>
      <c r="S5145">
        <v>2.9833370000000001</v>
      </c>
      <c r="T5145">
        <v>-0.27857219999999999</v>
      </c>
      <c r="U5145">
        <v>-0.78982540000000001</v>
      </c>
      <c r="V5145">
        <v>-6.8217719999999996E-2</v>
      </c>
      <c r="W5145">
        <v>0.17427200000000001</v>
      </c>
      <c r="X5145">
        <v>0.98233170000000003</v>
      </c>
      <c r="Y5145">
        <v>-5.9308140000000002E-2</v>
      </c>
      <c r="Z5145">
        <v>3.0836490000000001E-2</v>
      </c>
      <c r="AA5145">
        <v>0.99776330000000002</v>
      </c>
      <c r="AB5145">
        <v>22</v>
      </c>
      <c r="AC5145">
        <v>11.7554999999999</v>
      </c>
      <c r="AD5145">
        <v>-1.1118084969449999</v>
      </c>
      <c r="AE5145">
        <v>-3.10371</v>
      </c>
      <c r="AF5145">
        <v>-0.74079132439613105</v>
      </c>
      <c r="AG5145">
        <v>-1.1118084969449999</v>
      </c>
      <c r="AH5145">
        <v>12.0347187437527</v>
      </c>
      <c r="AI5145">
        <v>95.268283291350201</v>
      </c>
      <c r="AJ5145">
        <v>93.522369933731497</v>
      </c>
      <c r="AK5145">
        <v>12.1086475364267</v>
      </c>
      <c r="AL5145">
        <v>79.963703977253104</v>
      </c>
      <c r="AM5145">
        <v>93.972509920252506</v>
      </c>
      <c r="AN5145">
        <v>0.99999997806544305</v>
      </c>
    </row>
    <row r="5146" spans="1:40" x14ac:dyDescent="0.25">
      <c r="A5146" t="str">
        <f>"20190312172514414"</f>
        <v>20190312172514414</v>
      </c>
      <c r="B5146" t="str">
        <f>"1552382714405714"</f>
        <v>1552382714405714</v>
      </c>
      <c r="C5146" t="s">
        <v>40</v>
      </c>
      <c r="D5146">
        <v>4.0842980000000004</v>
      </c>
      <c r="E5146">
        <v>0.5042354</v>
      </c>
      <c r="F5146" t="s">
        <v>51</v>
      </c>
      <c r="G5146">
        <v>-387.06709999999998</v>
      </c>
      <c r="H5146" s="1">
        <v>-1.4883410000000001E-6</v>
      </c>
      <c r="I5146">
        <v>19.997879999999999</v>
      </c>
      <c r="J5146">
        <v>-398.67540000000002</v>
      </c>
      <c r="K5146">
        <v>1.1117709999999901</v>
      </c>
      <c r="L5146">
        <v>23.04083</v>
      </c>
      <c r="M5146">
        <v>0.94961549999999995</v>
      </c>
      <c r="N5146">
        <v>0</v>
      </c>
      <c r="O5146">
        <v>-0.31313869999999999</v>
      </c>
      <c r="P5146">
        <v>0.95629690000000001</v>
      </c>
      <c r="Q5146">
        <v>0.16117619999999999</v>
      </c>
      <c r="R5146">
        <v>-0.24396490000000001</v>
      </c>
      <c r="S5146">
        <v>2.9849239999999999</v>
      </c>
      <c r="T5146">
        <v>-0.2830703</v>
      </c>
      <c r="U5146">
        <v>-0.78414919999999899</v>
      </c>
      <c r="V5146">
        <v>-6.8276459999999997E-2</v>
      </c>
      <c r="W5146">
        <v>0.17399029999999999</v>
      </c>
      <c r="X5146">
        <v>0.98237759999999996</v>
      </c>
      <c r="Y5146">
        <v>-6.0085689999999997E-2</v>
      </c>
      <c r="Z5146">
        <v>3.1271960000000001E-2</v>
      </c>
      <c r="AA5146">
        <v>0.99770329999999996</v>
      </c>
      <c r="AB5146">
        <v>22</v>
      </c>
      <c r="AC5146">
        <v>11.6083</v>
      </c>
      <c r="AD5146">
        <v>-1.1117724883409901</v>
      </c>
      <c r="AE5146">
        <v>-3.0429499999999998</v>
      </c>
      <c r="AF5146">
        <v>-0.739096974358325</v>
      </c>
      <c r="AG5146">
        <v>-1.1117724883409901</v>
      </c>
      <c r="AH5146">
        <v>11.8754073212859</v>
      </c>
      <c r="AI5146">
        <v>95.338157456598793</v>
      </c>
      <c r="AJ5146">
        <v>93.561358812121497</v>
      </c>
      <c r="AK5146">
        <v>11.950213447875701</v>
      </c>
      <c r="AL5146">
        <v>79.980095074478001</v>
      </c>
      <c r="AM5146">
        <v>93.975734377508601</v>
      </c>
      <c r="AN5146">
        <v>1.0000000242329901</v>
      </c>
    </row>
    <row r="5147" spans="1:40" x14ac:dyDescent="0.25">
      <c r="A5147" t="str">
        <f>"20190312172514427"</f>
        <v>20190312172514427</v>
      </c>
      <c r="B5147" t="str">
        <f>"1552382714415474"</f>
        <v>1552382714415474</v>
      </c>
      <c r="C5147" t="s">
        <v>40</v>
      </c>
      <c r="D5147">
        <v>4.0656910000000002</v>
      </c>
      <c r="E5147">
        <v>0.50416329999999998</v>
      </c>
      <c r="F5147" t="s">
        <v>51</v>
      </c>
      <c r="G5147">
        <v>-386.99709999999999</v>
      </c>
      <c r="H5147" s="1">
        <v>-1.5191260000000001E-6</v>
      </c>
      <c r="I5147">
        <v>19.989129999999999</v>
      </c>
      <c r="J5147">
        <v>-398.56079999999997</v>
      </c>
      <c r="K5147">
        <v>1.1117379999999999</v>
      </c>
      <c r="L5147">
        <v>23.00433</v>
      </c>
      <c r="M5147">
        <v>0.94994500000000004</v>
      </c>
      <c r="N5147">
        <v>0</v>
      </c>
      <c r="O5147">
        <v>-0.31213730000000001</v>
      </c>
      <c r="P5147">
        <v>0.95655020000000002</v>
      </c>
      <c r="Q5147">
        <v>0.16098460000000001</v>
      </c>
      <c r="R5147">
        <v>-0.2430957</v>
      </c>
      <c r="S5147">
        <v>2.9859619999999998</v>
      </c>
      <c r="T5147">
        <v>-0.2842635</v>
      </c>
      <c r="U5147">
        <v>-0.78027340000000001</v>
      </c>
      <c r="V5147">
        <v>-6.8128839999999996E-2</v>
      </c>
      <c r="W5147">
        <v>0.1738025</v>
      </c>
      <c r="X5147">
        <v>0.98242110000000005</v>
      </c>
      <c r="Y5147">
        <v>-6.0320909999999998E-2</v>
      </c>
      <c r="Z5147">
        <v>3.132219E-2</v>
      </c>
      <c r="AA5147">
        <v>0.99768749999999995</v>
      </c>
      <c r="AB5147">
        <v>22</v>
      </c>
      <c r="AC5147">
        <v>11.5636999999999</v>
      </c>
      <c r="AD5147">
        <v>-1.111739519126</v>
      </c>
      <c r="AE5147">
        <v>-3.0152000000000001</v>
      </c>
      <c r="AF5147">
        <v>-0.73885856519404802</v>
      </c>
      <c r="AG5147">
        <v>-1.111739519126</v>
      </c>
      <c r="AH5147">
        <v>11.824739791624101</v>
      </c>
      <c r="AI5147">
        <v>95.360658149819201</v>
      </c>
      <c r="AJ5147">
        <v>93.575428564624602</v>
      </c>
      <c r="AK5147">
        <v>11.8998465484798</v>
      </c>
      <c r="AL5147">
        <v>79.991021786692997</v>
      </c>
      <c r="AM5147">
        <v>93.966990851415503</v>
      </c>
      <c r="AN5147">
        <v>1.0000000327856</v>
      </c>
    </row>
    <row r="5148" spans="1:40" x14ac:dyDescent="0.25">
      <c r="A5148" t="str">
        <f>"20190312172514438"</f>
        <v>20190312172514438</v>
      </c>
      <c r="B5148" t="str">
        <f>"1552382714435969"</f>
        <v>1552382714435969</v>
      </c>
      <c r="C5148" t="s">
        <v>40</v>
      </c>
      <c r="D5148">
        <v>4.1100120000000002</v>
      </c>
      <c r="E5148">
        <v>0.50423039999999997</v>
      </c>
      <c r="F5148" t="s">
        <v>51</v>
      </c>
      <c r="G5148">
        <v>-386.91980000000001</v>
      </c>
      <c r="H5148" s="1">
        <v>-1.5519830000000001E-6</v>
      </c>
      <c r="I5148">
        <v>19.97522</v>
      </c>
      <c r="J5148">
        <v>-398.44900000000001</v>
      </c>
      <c r="K5148">
        <v>1.111704</v>
      </c>
      <c r="L5148">
        <v>22.968810000000001</v>
      </c>
      <c r="M5148">
        <v>0.95025859999999995</v>
      </c>
      <c r="N5148">
        <v>0</v>
      </c>
      <c r="O5148">
        <v>-0.31118200000000001</v>
      </c>
      <c r="P5148">
        <v>0.95677199999999996</v>
      </c>
      <c r="Q5148">
        <v>0.1612344</v>
      </c>
      <c r="R5148">
        <v>-0.24205599999999999</v>
      </c>
      <c r="S5148">
        <v>2.9867859999999999</v>
      </c>
      <c r="T5148">
        <v>-0.28524349999999998</v>
      </c>
      <c r="U5148">
        <v>-0.77719119999999997</v>
      </c>
      <c r="V5148">
        <v>-6.8183869999999994E-2</v>
      </c>
      <c r="W5148">
        <v>0.17405370000000001</v>
      </c>
      <c r="X5148">
        <v>0.98237280000000005</v>
      </c>
      <c r="Y5148">
        <v>-6.034204E-2</v>
      </c>
      <c r="Z5148">
        <v>3.1343210000000003E-2</v>
      </c>
      <c r="AA5148">
        <v>0.99768559999999995</v>
      </c>
      <c r="AB5148">
        <v>22</v>
      </c>
      <c r="AC5148">
        <v>11.529199999999999</v>
      </c>
      <c r="AD5148">
        <v>-1.1117055519829999</v>
      </c>
      <c r="AE5148">
        <v>-2.9935900000000002</v>
      </c>
      <c r="AF5148">
        <v>-0.73664308035730297</v>
      </c>
      <c r="AG5148">
        <v>-1.1117055519829999</v>
      </c>
      <c r="AH5148">
        <v>11.7856496233647</v>
      </c>
      <c r="AI5148">
        <v>95.378164300874602</v>
      </c>
      <c r="AJ5148">
        <v>93.576527975582195</v>
      </c>
      <c r="AK5148">
        <v>11.8608629242086</v>
      </c>
      <c r="AL5148">
        <v>79.976406238646703</v>
      </c>
      <c r="AM5148">
        <v>93.9703794595262</v>
      </c>
      <c r="AN5148">
        <v>1.00000002439585</v>
      </c>
    </row>
    <row r="5149" spans="1:40" x14ac:dyDescent="0.25">
      <c r="A5149" t="str">
        <f>"20190312172514449"</f>
        <v>20190312172514449</v>
      </c>
      <c r="B5149" t="str">
        <f>"1552382714445731"</f>
        <v>1552382714445731</v>
      </c>
      <c r="C5149" t="s">
        <v>40</v>
      </c>
      <c r="D5149">
        <v>4.0870649999999999</v>
      </c>
      <c r="E5149">
        <v>0.50429279999999999</v>
      </c>
      <c r="F5149" t="s">
        <v>51</v>
      </c>
      <c r="G5149">
        <v>-386.822</v>
      </c>
      <c r="H5149" s="1">
        <v>-1.5927250000000001E-6</v>
      </c>
      <c r="I5149">
        <v>19.95459</v>
      </c>
      <c r="J5149">
        <v>-398.34320000000002</v>
      </c>
      <c r="K5149">
        <v>1.1116779999999999</v>
      </c>
      <c r="L5149">
        <v>22.935300000000002</v>
      </c>
      <c r="M5149">
        <v>0.95054419999999995</v>
      </c>
      <c r="N5149">
        <v>0</v>
      </c>
      <c r="O5149">
        <v>-0.31030829999999998</v>
      </c>
      <c r="P5149">
        <v>0.95692440000000001</v>
      </c>
      <c r="Q5149">
        <v>0.1613359</v>
      </c>
      <c r="R5149">
        <v>-0.24138470000000001</v>
      </c>
      <c r="S5149">
        <v>2.9877009999999999</v>
      </c>
      <c r="T5149">
        <v>-0.28566439999999999</v>
      </c>
      <c r="U5149">
        <v>-0.77453609999999995</v>
      </c>
      <c r="V5149">
        <v>-6.7952120000000005E-2</v>
      </c>
      <c r="W5149">
        <v>0.17415749999999999</v>
      </c>
      <c r="X5149">
        <v>0.98237039999999998</v>
      </c>
      <c r="Y5149">
        <v>-6.0328890000000003E-2</v>
      </c>
      <c r="Z5149">
        <v>3.1306609999999999E-2</v>
      </c>
      <c r="AA5149">
        <v>0.99768749999999995</v>
      </c>
      <c r="AB5149">
        <v>22</v>
      </c>
      <c r="AC5149">
        <v>11.5212</v>
      </c>
      <c r="AD5149">
        <v>-1.1116795927250001</v>
      </c>
      <c r="AE5149">
        <v>-2.9807100000000002</v>
      </c>
      <c r="AF5149">
        <v>-0.73547419610134002</v>
      </c>
      <c r="AG5149">
        <v>-1.1116795927250001</v>
      </c>
      <c r="AH5149">
        <v>11.7746369921162</v>
      </c>
      <c r="AI5149">
        <v>95.383053507521694</v>
      </c>
      <c r="AJ5149">
        <v>93.574198660823299</v>
      </c>
      <c r="AK5149">
        <v>11.8498451511454</v>
      </c>
      <c r="AL5149">
        <v>79.970366083928994</v>
      </c>
      <c r="AM5149">
        <v>93.956937123145906</v>
      </c>
      <c r="AN5149">
        <v>0.99999996410745096</v>
      </c>
    </row>
    <row r="5150" spans="1:40" x14ac:dyDescent="0.25">
      <c r="A5150" t="str">
        <f>"20190312172514463"</f>
        <v>20190312172514463</v>
      </c>
      <c r="B5150" t="str">
        <f>"1552382714455490"</f>
        <v>1552382714455490</v>
      </c>
      <c r="C5150" t="s">
        <v>40</v>
      </c>
      <c r="D5150">
        <v>4.0845690000000001</v>
      </c>
      <c r="E5150">
        <v>0.50435450000000004</v>
      </c>
      <c r="F5150" t="s">
        <v>51</v>
      </c>
      <c r="G5150">
        <v>-386.72469999999998</v>
      </c>
      <c r="H5150" s="1">
        <v>-1.632492E-6</v>
      </c>
      <c r="I5150">
        <v>19.931290000000001</v>
      </c>
      <c r="J5150">
        <v>-398.2208</v>
      </c>
      <c r="K5150">
        <v>1.111645</v>
      </c>
      <c r="L5150">
        <v>22.89658</v>
      </c>
      <c r="M5150">
        <v>0.95086800000000005</v>
      </c>
      <c r="N5150">
        <v>0</v>
      </c>
      <c r="O5150">
        <v>-0.30931449999999999</v>
      </c>
      <c r="P5150">
        <v>0.95707969999999998</v>
      </c>
      <c r="Q5150">
        <v>0.16150349999999999</v>
      </c>
      <c r="R5150">
        <v>-0.24065590000000001</v>
      </c>
      <c r="S5150">
        <v>2.9883120000000001</v>
      </c>
      <c r="T5150">
        <v>-0.28592810000000002</v>
      </c>
      <c r="U5150">
        <v>-0.772644</v>
      </c>
      <c r="V5150">
        <v>-6.765119E-2</v>
      </c>
      <c r="W5150">
        <v>0.17432839999999999</v>
      </c>
      <c r="X5150">
        <v>0.98236089999999998</v>
      </c>
      <c r="Y5150">
        <v>-5.9930009999999999E-2</v>
      </c>
      <c r="Z5150">
        <v>3.122569E-2</v>
      </c>
      <c r="AA5150">
        <v>0.99771399999999999</v>
      </c>
      <c r="AB5150">
        <v>22</v>
      </c>
      <c r="AC5150">
        <v>11.4961</v>
      </c>
      <c r="AD5150">
        <v>-1.111646632492</v>
      </c>
      <c r="AE5150">
        <v>-2.9652899999999902</v>
      </c>
      <c r="AF5150">
        <v>-0.72997553093092205</v>
      </c>
      <c r="AG5150">
        <v>-1.111646632492</v>
      </c>
      <c r="AH5150">
        <v>11.746531643918299</v>
      </c>
      <c r="AI5150">
        <v>95.395804388177496</v>
      </c>
      <c r="AJ5150">
        <v>93.556011468620696</v>
      </c>
      <c r="AK5150">
        <v>11.821574690914201</v>
      </c>
      <c r="AL5150">
        <v>79.960422545942606</v>
      </c>
      <c r="AM5150">
        <v>93.939506867082201</v>
      </c>
      <c r="AN5150">
        <v>1.0000000062018899</v>
      </c>
    </row>
    <row r="5151" spans="1:40" x14ac:dyDescent="0.25">
      <c r="A5151" t="str">
        <f>"20190312172514475"</f>
        <v>20190312172514475</v>
      </c>
      <c r="B5151" t="str">
        <f>"1552382714465249"</f>
        <v>1552382714465249</v>
      </c>
      <c r="C5151" t="s">
        <v>40</v>
      </c>
      <c r="D5151">
        <v>4.0668680000000004</v>
      </c>
      <c r="E5151">
        <v>0.50438240000000001</v>
      </c>
      <c r="F5151" t="s">
        <v>51</v>
      </c>
      <c r="G5151">
        <v>-386.6146</v>
      </c>
      <c r="H5151" s="1">
        <v>-1.6772630000000001E-6</v>
      </c>
      <c r="I5151">
        <v>19.903939999999999</v>
      </c>
      <c r="J5151">
        <v>-398.08839999999998</v>
      </c>
      <c r="K5151">
        <v>1.1116170000000001</v>
      </c>
      <c r="L5151">
        <v>22.854859999999999</v>
      </c>
      <c r="M5151">
        <v>0.95120249999999995</v>
      </c>
      <c r="N5151">
        <v>0</v>
      </c>
      <c r="O5151">
        <v>-0.30828460000000002</v>
      </c>
      <c r="P5151">
        <v>0.95734980000000003</v>
      </c>
      <c r="Q5151">
        <v>0.1613541</v>
      </c>
      <c r="R5151">
        <v>-0.23967910000000001</v>
      </c>
      <c r="S5151">
        <v>2.9890439999999998</v>
      </c>
      <c r="T5151">
        <v>-0.28629290000000002</v>
      </c>
      <c r="U5151">
        <v>-0.7707214</v>
      </c>
      <c r="V5151">
        <v>-6.7582690000000001E-2</v>
      </c>
      <c r="W5151">
        <v>0.17418229999999901</v>
      </c>
      <c r="X5151">
        <v>0.98239149999999997</v>
      </c>
      <c r="Y5151">
        <v>-5.9512219999999998E-2</v>
      </c>
      <c r="Z5151">
        <v>3.1150259999999999E-2</v>
      </c>
      <c r="AA5151">
        <v>0.9977414</v>
      </c>
      <c r="AB5151">
        <v>22</v>
      </c>
      <c r="AC5151">
        <v>11.473799999999899</v>
      </c>
      <c r="AD5151">
        <v>-1.1116186772629999</v>
      </c>
      <c r="AE5151">
        <v>-2.95092</v>
      </c>
      <c r="AF5151">
        <v>-0.72396327223296797</v>
      </c>
      <c r="AG5151">
        <v>-1.1116186772629999</v>
      </c>
      <c r="AH5151">
        <v>11.721465719093899</v>
      </c>
      <c r="AI5151">
        <v>95.407265696636998</v>
      </c>
      <c r="AJ5151">
        <v>93.534320340544795</v>
      </c>
      <c r="AK5151">
        <v>11.7962950754495</v>
      </c>
      <c r="AL5151">
        <v>79.968923218378194</v>
      </c>
      <c r="AM5151">
        <v>93.935408272299796</v>
      </c>
      <c r="AN5151">
        <v>0.999999976446587</v>
      </c>
    </row>
    <row r="5152" spans="1:40" x14ac:dyDescent="0.25">
      <c r="A5152" t="str">
        <f>"20190312172514491"</f>
        <v>20190312172514491</v>
      </c>
      <c r="B5152" t="str">
        <f>"1552382714485745"</f>
        <v>1552382714485745</v>
      </c>
      <c r="C5152" t="s">
        <v>40</v>
      </c>
      <c r="D5152">
        <v>4.0931829999999998</v>
      </c>
      <c r="E5152">
        <v>0.50456780000000001</v>
      </c>
      <c r="F5152" t="s">
        <v>51</v>
      </c>
      <c r="G5152">
        <v>-386.52069999999998</v>
      </c>
      <c r="H5152" s="1">
        <v>-1.716394E-6</v>
      </c>
      <c r="I5152">
        <v>19.884180000000001</v>
      </c>
      <c r="J5152">
        <v>-397.94709999999998</v>
      </c>
      <c r="K5152">
        <v>1.111578</v>
      </c>
      <c r="L5152">
        <v>22.810490000000001</v>
      </c>
      <c r="M5152">
        <v>0.9515477</v>
      </c>
      <c r="N5152">
        <v>0</v>
      </c>
      <c r="O5152">
        <v>-0.30721789999999999</v>
      </c>
      <c r="P5152">
        <v>0.95759110000000003</v>
      </c>
      <c r="Q5152">
        <v>0.16067529999999999</v>
      </c>
      <c r="R5152">
        <v>-0.2391723</v>
      </c>
      <c r="S5152">
        <v>2.989868</v>
      </c>
      <c r="T5152">
        <v>-0.28731659999999998</v>
      </c>
      <c r="U5152">
        <v>-0.76782229999999996</v>
      </c>
      <c r="V5152">
        <v>-6.7018320000000006E-2</v>
      </c>
      <c r="W5152">
        <v>0.17350989999999999</v>
      </c>
      <c r="X5152">
        <v>0.98254920000000001</v>
      </c>
      <c r="Y5152">
        <v>-5.9361190000000001E-2</v>
      </c>
      <c r="Z5152">
        <v>3.1155599999999999E-2</v>
      </c>
      <c r="AA5152">
        <v>0.99775029999999998</v>
      </c>
      <c r="AB5152">
        <v>22</v>
      </c>
      <c r="AC5152">
        <v>11.426399999999999</v>
      </c>
      <c r="AD5152">
        <v>-1.111579716394</v>
      </c>
      <c r="AE5152">
        <v>-2.92631</v>
      </c>
      <c r="AF5152">
        <v>-0.719543835394724</v>
      </c>
      <c r="AG5152">
        <v>-1.111579716394</v>
      </c>
      <c r="AH5152">
        <v>11.6691679462367</v>
      </c>
      <c r="AI5152">
        <v>95.431199475218705</v>
      </c>
      <c r="AJ5152">
        <v>93.528502902662396</v>
      </c>
      <c r="AK5152">
        <v>11.7440552346467</v>
      </c>
      <c r="AL5152">
        <v>80.008045206513302</v>
      </c>
      <c r="AM5152">
        <v>93.902021973882995</v>
      </c>
      <c r="AN5152">
        <v>1.0000000355171299</v>
      </c>
    </row>
    <row r="5153" spans="1:40" x14ac:dyDescent="0.25">
      <c r="A5153" t="str">
        <f>"20190312172514503"</f>
        <v>20190312172514503</v>
      </c>
      <c r="B5153" t="str">
        <f>"1552382714495506"</f>
        <v>1552382714495506</v>
      </c>
      <c r="C5153" t="s">
        <v>40</v>
      </c>
      <c r="D5153">
        <v>4.103853</v>
      </c>
      <c r="E5153">
        <v>0.50463119999999995</v>
      </c>
      <c r="F5153" t="s">
        <v>51</v>
      </c>
      <c r="G5153">
        <v>-386.52339999999998</v>
      </c>
      <c r="H5153" s="1">
        <v>-1.7132970000000001E-6</v>
      </c>
      <c r="I5153">
        <v>19.87734</v>
      </c>
      <c r="J5153">
        <v>-397.84269999999998</v>
      </c>
      <c r="K5153">
        <v>1.111556</v>
      </c>
      <c r="L5153">
        <v>22.777709999999999</v>
      </c>
      <c r="M5153">
        <v>0.95179720000000001</v>
      </c>
      <c r="N5153">
        <v>0</v>
      </c>
      <c r="O5153">
        <v>-0.30644389999999999</v>
      </c>
      <c r="P5153">
        <v>0.95785949999999997</v>
      </c>
      <c r="Q5153">
        <v>0.16001609999999999</v>
      </c>
      <c r="R5153">
        <v>-0.238538</v>
      </c>
      <c r="S5153">
        <v>2.98996</v>
      </c>
      <c r="T5153">
        <v>-0.290937099999999</v>
      </c>
      <c r="U5153">
        <v>-0.76770019999999894</v>
      </c>
      <c r="V5153">
        <v>-6.6890749999999999E-2</v>
      </c>
      <c r="W5153">
        <v>0.1728539</v>
      </c>
      <c r="X5153">
        <v>0.98267349999999998</v>
      </c>
      <c r="Y5153">
        <v>-5.8562990000000002E-2</v>
      </c>
      <c r="Z5153">
        <v>3.143787E-2</v>
      </c>
      <c r="AA5153">
        <v>0.99778849999999997</v>
      </c>
      <c r="AB5153">
        <v>22</v>
      </c>
      <c r="AC5153">
        <v>11.319299999999901</v>
      </c>
      <c r="AD5153">
        <v>-1.111557713297</v>
      </c>
      <c r="AE5153">
        <v>-2.9003699999999899</v>
      </c>
      <c r="AF5153">
        <v>-0.70187669631916305</v>
      </c>
      <c r="AG5153">
        <v>-1.111557713297</v>
      </c>
      <c r="AH5153">
        <v>11.558896522060699</v>
      </c>
      <c r="AI5153">
        <v>95.482903143586</v>
      </c>
      <c r="AJ5153">
        <v>93.474834809202704</v>
      </c>
      <c r="AK5153">
        <v>11.6334122360782</v>
      </c>
      <c r="AL5153">
        <v>80.046207778924597</v>
      </c>
      <c r="AM5153">
        <v>93.894126197273906</v>
      </c>
      <c r="AN5153">
        <v>1.00000002539151</v>
      </c>
    </row>
    <row r="5154" spans="1:40" x14ac:dyDescent="0.25">
      <c r="A5154" t="str">
        <f>"20190312172514525"</f>
        <v>20190312172514525</v>
      </c>
      <c r="B5154" t="str">
        <f>"1552382714516001"</f>
        <v>1552382714516001</v>
      </c>
      <c r="C5154" t="s">
        <v>40</v>
      </c>
      <c r="D5154">
        <v>4.1196979999999996</v>
      </c>
      <c r="E5154">
        <v>0.50482090000000002</v>
      </c>
      <c r="F5154" t="s">
        <v>51</v>
      </c>
      <c r="G5154">
        <v>-386.52269999999999</v>
      </c>
      <c r="H5154" s="1">
        <v>-1.7135260000000001E-6</v>
      </c>
      <c r="I5154">
        <v>19.876999999999999</v>
      </c>
      <c r="J5154">
        <v>-397.62450000000001</v>
      </c>
      <c r="K5154">
        <v>1.1115029999999999</v>
      </c>
      <c r="L5154">
        <v>22.70956</v>
      </c>
      <c r="M5154">
        <v>0.95229350000000001</v>
      </c>
      <c r="N5154">
        <v>0</v>
      </c>
      <c r="O5154">
        <v>-0.30489880000000003</v>
      </c>
      <c r="P5154">
        <v>0.95828000000000002</v>
      </c>
      <c r="Q5154">
        <v>0.15959079999999901</v>
      </c>
      <c r="R5154">
        <v>-0.23713049999999999</v>
      </c>
      <c r="S5154">
        <v>2.9902039999999999</v>
      </c>
      <c r="T5154">
        <v>-0.29362250000000001</v>
      </c>
      <c r="U5154">
        <v>-0.76623540000000001</v>
      </c>
      <c r="V5154">
        <v>-6.6738779999999998E-2</v>
      </c>
      <c r="W5154">
        <v>0.1724339</v>
      </c>
      <c r="X5154">
        <v>0.98275760000000001</v>
      </c>
      <c r="Y5154">
        <v>-5.7403740000000002E-2</v>
      </c>
      <c r="Z5154">
        <v>3.1530229999999999E-2</v>
      </c>
      <c r="AA5154">
        <v>0.99785299999999999</v>
      </c>
      <c r="AB5154">
        <v>22</v>
      </c>
      <c r="AC5154">
        <v>11.101800000000001</v>
      </c>
      <c r="AD5154">
        <v>-1.1115047135259899</v>
      </c>
      <c r="AE5154">
        <v>-2.83256</v>
      </c>
      <c r="AF5154">
        <v>-0.68114635717086502</v>
      </c>
      <c r="AG5154">
        <v>-1.1115047135259899</v>
      </c>
      <c r="AH5154">
        <v>11.3301792593135</v>
      </c>
      <c r="AI5154">
        <v>95.592826233458993</v>
      </c>
      <c r="AJ5154">
        <v>93.440360114611906</v>
      </c>
      <c r="AK5154">
        <v>11.4049272306427</v>
      </c>
      <c r="AL5154">
        <v>80.070638675912306</v>
      </c>
      <c r="AM5154">
        <v>93.884974737747896</v>
      </c>
      <c r="AN5154">
        <v>1.0000000074914199</v>
      </c>
    </row>
    <row r="5155" spans="1:40" x14ac:dyDescent="0.25">
      <c r="A5155" t="str">
        <f>"20190312172514536"</f>
        <v>20190312172514536</v>
      </c>
      <c r="B5155" t="str">
        <f>"1552382714525764"</f>
        <v>1552382714525764</v>
      </c>
      <c r="C5155" t="s">
        <v>40</v>
      </c>
      <c r="D5155">
        <v>4.0756430000000003</v>
      </c>
      <c r="E5155">
        <v>0.50482090000000002</v>
      </c>
      <c r="F5155" t="s">
        <v>51</v>
      </c>
      <c r="G5155">
        <v>-386.38940000000002</v>
      </c>
      <c r="H5155" s="1">
        <v>-1.7675250000000001E-6</v>
      </c>
      <c r="I5155">
        <v>19.843070000000001</v>
      </c>
      <c r="J5155">
        <v>-397.5172</v>
      </c>
      <c r="K5155">
        <v>1.111478</v>
      </c>
      <c r="L5155">
        <v>22.67615</v>
      </c>
      <c r="M5155">
        <v>0.95252870000000001</v>
      </c>
      <c r="N5155">
        <v>0</v>
      </c>
      <c r="O5155">
        <v>-0.30416310000000002</v>
      </c>
      <c r="P5155">
        <v>0.95836949999999999</v>
      </c>
      <c r="Q5155">
        <v>0.1595859</v>
      </c>
      <c r="R5155">
        <v>-0.23677100000000001</v>
      </c>
      <c r="S5155">
        <v>2.991028</v>
      </c>
      <c r="T5155">
        <v>-0.29590630000000001</v>
      </c>
      <c r="U5155">
        <v>-0.76312259999999998</v>
      </c>
      <c r="V5155">
        <v>-6.633812E-2</v>
      </c>
      <c r="W5155">
        <v>0.1724321</v>
      </c>
      <c r="X5155">
        <v>0.98278500000000002</v>
      </c>
      <c r="Y5155">
        <v>-5.7651260000000003E-2</v>
      </c>
      <c r="Z5155">
        <v>3.171562E-2</v>
      </c>
      <c r="AA5155">
        <v>0.99783290000000002</v>
      </c>
      <c r="AB5155">
        <v>22</v>
      </c>
      <c r="AC5155">
        <v>11.127799999999899</v>
      </c>
      <c r="AD5155">
        <v>-1.1114797675250001</v>
      </c>
      <c r="AE5155">
        <v>-2.8330799999999901</v>
      </c>
      <c r="AF5155">
        <v>-0.67976682631616403</v>
      </c>
      <c r="AG5155">
        <v>-1.1114797675250001</v>
      </c>
      <c r="AH5155">
        <v>11.3558669046623</v>
      </c>
      <c r="AI5155">
        <v>95.580215757336205</v>
      </c>
      <c r="AJ5155">
        <v>93.425660954226402</v>
      </c>
      <c r="AK5155">
        <v>11.4303623463205</v>
      </c>
      <c r="AL5155">
        <v>80.070742957942002</v>
      </c>
      <c r="AM5155">
        <v>93.8616150993101</v>
      </c>
      <c r="AN5155">
        <v>0.99999996575027095</v>
      </c>
    </row>
    <row r="5156" spans="1:40" x14ac:dyDescent="0.25">
      <c r="A5156" t="str">
        <f>"20190312172514550"</f>
        <v>20190312172514550</v>
      </c>
      <c r="B5156" t="str">
        <f>"1552382714545281"</f>
        <v>1552382714545281</v>
      </c>
      <c r="C5156" t="s">
        <v>40</v>
      </c>
      <c r="D5156">
        <v>4.1191250000000004</v>
      </c>
      <c r="E5156">
        <v>0.50507219999999997</v>
      </c>
      <c r="F5156" t="s">
        <v>51</v>
      </c>
      <c r="G5156">
        <v>-386.28269999999998</v>
      </c>
      <c r="H5156" s="1">
        <v>-1.8103240000000001E-6</v>
      </c>
      <c r="I5156">
        <v>19.814319999999999</v>
      </c>
      <c r="J5156">
        <v>-397.40100000000001</v>
      </c>
      <c r="K5156">
        <v>1.1114550000000001</v>
      </c>
      <c r="L5156">
        <v>22.640049999999999</v>
      </c>
      <c r="M5156">
        <v>0.95277659999999997</v>
      </c>
      <c r="N5156">
        <v>0</v>
      </c>
      <c r="O5156">
        <v>-0.30338559999999998</v>
      </c>
      <c r="P5156">
        <v>0.95849569999999995</v>
      </c>
      <c r="Q5156">
        <v>0.1597285</v>
      </c>
      <c r="R5156">
        <v>-0.23616290000000001</v>
      </c>
      <c r="S5156">
        <v>2.9913020000000001</v>
      </c>
      <c r="T5156">
        <v>-0.29594350000000003</v>
      </c>
      <c r="U5156">
        <v>-0.76199340000000004</v>
      </c>
      <c r="V5156">
        <v>-6.6142409999999999E-2</v>
      </c>
      <c r="W5156">
        <v>0.17257620000000001</v>
      </c>
      <c r="X5156">
        <v>0.98277289999999995</v>
      </c>
      <c r="Y5156">
        <v>-5.7216910000000003E-2</v>
      </c>
      <c r="Z5156">
        <v>3.1626219999999997E-2</v>
      </c>
      <c r="AA5156">
        <v>0.99786070000000004</v>
      </c>
      <c r="AB5156">
        <v>22</v>
      </c>
      <c r="AC5156">
        <v>11.1183</v>
      </c>
      <c r="AD5156">
        <v>-1.1114568103239999</v>
      </c>
      <c r="AE5156">
        <v>-2.8257299999999899</v>
      </c>
      <c r="AF5156">
        <v>-0.67456975350506698</v>
      </c>
      <c r="AG5156">
        <v>-1.1114568103239999</v>
      </c>
      <c r="AH5156">
        <v>11.3450423481053</v>
      </c>
      <c r="AI5156">
        <v>95.585523976944401</v>
      </c>
      <c r="AJ5156">
        <v>93.402768099979994</v>
      </c>
      <c r="AK5156">
        <v>11.419297985159201</v>
      </c>
      <c r="AL5156">
        <v>80.062361003323105</v>
      </c>
      <c r="AM5156">
        <v>93.850304183549795</v>
      </c>
      <c r="AN5156">
        <v>0.999999968090728</v>
      </c>
    </row>
    <row r="5157" spans="1:40" x14ac:dyDescent="0.25">
      <c r="A5157" t="str">
        <f>"20190312172514563"</f>
        <v>20190312172514563</v>
      </c>
      <c r="B5157" t="str">
        <f>"1552382714556018"</f>
        <v>1552382714556018</v>
      </c>
      <c r="C5157" t="s">
        <v>40</v>
      </c>
      <c r="D5157">
        <v>4.1173479999999998</v>
      </c>
      <c r="E5157">
        <v>0.505204599999999</v>
      </c>
      <c r="F5157" t="s">
        <v>51</v>
      </c>
      <c r="G5157">
        <v>-386.18200000000002</v>
      </c>
      <c r="H5157" s="1">
        <v>-1.8495700000000001E-6</v>
      </c>
      <c r="I5157">
        <v>19.782959999999999</v>
      </c>
      <c r="J5157">
        <v>-397.2713</v>
      </c>
      <c r="K5157">
        <v>1.1114310000000001</v>
      </c>
      <c r="L5157">
        <v>22.599820000000001</v>
      </c>
      <c r="M5157">
        <v>0.9530478</v>
      </c>
      <c r="N5157">
        <v>0</v>
      </c>
      <c r="O5157">
        <v>-0.30253289999999999</v>
      </c>
      <c r="P5157">
        <v>0.9586365</v>
      </c>
      <c r="Q5157">
        <v>0.15994359999999999</v>
      </c>
      <c r="R5157">
        <v>-0.23544480000000001</v>
      </c>
      <c r="S5157">
        <v>2.9915470000000002</v>
      </c>
      <c r="T5157">
        <v>-0.29636990000000002</v>
      </c>
      <c r="U5157">
        <v>-0.76184079999999998</v>
      </c>
      <c r="V5157">
        <v>-6.5978199999999904E-2</v>
      </c>
      <c r="W5157">
        <v>0.1727928</v>
      </c>
      <c r="X5157">
        <v>0.98274589999999995</v>
      </c>
      <c r="Y5157">
        <v>-5.6393659999999998E-2</v>
      </c>
      <c r="Z5157">
        <v>3.1550960000000003E-2</v>
      </c>
      <c r="AA5157">
        <v>0.99790999999999996</v>
      </c>
      <c r="AB5157">
        <v>22</v>
      </c>
      <c r="AC5157">
        <v>11.0893</v>
      </c>
      <c r="AD5157">
        <v>-1.1114328495700001</v>
      </c>
      <c r="AE5157">
        <v>-2.8168600000000001</v>
      </c>
      <c r="AF5157">
        <v>-0.66406773903826299</v>
      </c>
      <c r="AG5157">
        <v>-1.1114328495700001</v>
      </c>
      <c r="AH5157">
        <v>11.3150456278271</v>
      </c>
      <c r="AI5157">
        <v>95.600369904052997</v>
      </c>
      <c r="AJ5157">
        <v>93.358774300428706</v>
      </c>
      <c r="AK5157">
        <v>11.388877315211699</v>
      </c>
      <c r="AL5157">
        <v>80.049761669491104</v>
      </c>
      <c r="AM5157">
        <v>93.840878987532605</v>
      </c>
      <c r="AN5157">
        <v>0.999999989286944</v>
      </c>
    </row>
    <row r="5158" spans="1:40" x14ac:dyDescent="0.25">
      <c r="A5158" t="str">
        <f>"20190312172514583"</f>
        <v>20190312172514583</v>
      </c>
      <c r="B5158" t="str">
        <f>"1552382714575537"</f>
        <v>1552382714575537</v>
      </c>
      <c r="C5158" t="s">
        <v>40</v>
      </c>
      <c r="D5158">
        <v>4.1079460000000001</v>
      </c>
      <c r="E5158">
        <v>0.50544979999999995</v>
      </c>
      <c r="F5158" t="s">
        <v>51</v>
      </c>
      <c r="G5158">
        <v>-386.04660000000001</v>
      </c>
      <c r="H5158" s="1">
        <v>-1.9037399999999999E-6</v>
      </c>
      <c r="I5158">
        <v>19.746020000000001</v>
      </c>
      <c r="J5158">
        <v>-397.08800000000002</v>
      </c>
      <c r="K5158">
        <v>1.111405</v>
      </c>
      <c r="L5158">
        <v>22.543209999999998</v>
      </c>
      <c r="M5158">
        <v>0.95341500000000001</v>
      </c>
      <c r="N5158">
        <v>0</v>
      </c>
      <c r="O5158">
        <v>-0.30137370000000002</v>
      </c>
      <c r="P5158">
        <v>0.95883839999999998</v>
      </c>
      <c r="Q5158">
        <v>0.16000549999999999</v>
      </c>
      <c r="R5158">
        <v>-0.2345796</v>
      </c>
      <c r="S5158">
        <v>2.9920650000000002</v>
      </c>
      <c r="T5158">
        <v>-0.2962649</v>
      </c>
      <c r="U5158">
        <v>-0.76071169999999899</v>
      </c>
      <c r="V5158">
        <v>-6.5653619999999996E-2</v>
      </c>
      <c r="W5158">
        <v>0.1728576</v>
      </c>
      <c r="X5158">
        <v>0.98275630000000003</v>
      </c>
      <c r="Y5158">
        <v>-5.5584559999999998E-2</v>
      </c>
      <c r="Z5158">
        <v>3.1390599999999998E-2</v>
      </c>
      <c r="AA5158">
        <v>0.99796039999999997</v>
      </c>
      <c r="AB5158">
        <v>22</v>
      </c>
      <c r="AC5158">
        <v>11.041399999999999</v>
      </c>
      <c r="AD5158">
        <v>-1.1114069037400001</v>
      </c>
      <c r="AE5158">
        <v>-2.7971900000000001</v>
      </c>
      <c r="AF5158">
        <v>-0.65453027748775905</v>
      </c>
      <c r="AG5158">
        <v>-1.1114069037400001</v>
      </c>
      <c r="AH5158">
        <v>11.2637810933703</v>
      </c>
      <c r="AI5158">
        <v>95.625753650950401</v>
      </c>
      <c r="AJ5158">
        <v>93.3256769464314</v>
      </c>
      <c r="AK5158">
        <v>11.337389457419</v>
      </c>
      <c r="AL5158">
        <v>80.045992756340397</v>
      </c>
      <c r="AM5158">
        <v>93.821999584110898</v>
      </c>
      <c r="AN5158">
        <v>1.0000000464432699</v>
      </c>
    </row>
    <row r="5159" spans="1:40" x14ac:dyDescent="0.25">
      <c r="A5159" t="str">
        <f>"20190312172514595"</f>
        <v>20190312172514595</v>
      </c>
      <c r="B5159" t="str">
        <f>"1552382714585297"</f>
        <v>1552382714585297</v>
      </c>
      <c r="C5159" t="s">
        <v>40</v>
      </c>
      <c r="D5159">
        <v>4.0992980000000001</v>
      </c>
      <c r="E5159">
        <v>0.5055655</v>
      </c>
      <c r="F5159" t="s">
        <v>51</v>
      </c>
      <c r="G5159">
        <v>-385.90219999999999</v>
      </c>
      <c r="H5159" s="1">
        <v>-1.9603300000000001E-6</v>
      </c>
      <c r="I5159">
        <v>19.702100000000002</v>
      </c>
      <c r="J5159">
        <v>-396.96519999999998</v>
      </c>
      <c r="K5159">
        <v>1.111383</v>
      </c>
      <c r="L5159">
        <v>22.50534</v>
      </c>
      <c r="M5159">
        <v>0.95365109999999997</v>
      </c>
      <c r="N5159">
        <v>0</v>
      </c>
      <c r="O5159">
        <v>-0.30062499999999998</v>
      </c>
      <c r="P5159">
        <v>0.9590438</v>
      </c>
      <c r="Q5159">
        <v>0.15989900000000001</v>
      </c>
      <c r="R5159">
        <v>-0.23380980000000001</v>
      </c>
      <c r="S5159">
        <v>2.9924930000000001</v>
      </c>
      <c r="T5159">
        <v>-0.29732910000000001</v>
      </c>
      <c r="U5159">
        <v>-0.76007080000000005</v>
      </c>
      <c r="V5159">
        <v>-6.5666569999999994E-2</v>
      </c>
      <c r="W5159">
        <v>0.17275289999999999</v>
      </c>
      <c r="X5159">
        <v>0.98277380000000003</v>
      </c>
      <c r="Y5159">
        <v>-5.5030099999999901E-2</v>
      </c>
      <c r="Z5159">
        <v>3.1403470000000003E-2</v>
      </c>
      <c r="AA5159">
        <v>0.99799070000000001</v>
      </c>
      <c r="AB5159">
        <v>22</v>
      </c>
      <c r="AC5159">
        <v>11.062999999999899</v>
      </c>
      <c r="AD5159">
        <v>-1.1113849603299999</v>
      </c>
      <c r="AE5159">
        <v>-2.80323999999999</v>
      </c>
      <c r="AF5159">
        <v>-0.64642805818941196</v>
      </c>
      <c r="AG5159">
        <v>-1.1113849603299999</v>
      </c>
      <c r="AH5159">
        <v>11.286921749296701</v>
      </c>
      <c r="AI5159">
        <v>95.614451717847899</v>
      </c>
      <c r="AJ5159">
        <v>93.277880713414504</v>
      </c>
      <c r="AK5159">
        <v>11.359914099112199</v>
      </c>
      <c r="AL5159">
        <v>80.052082807084901</v>
      </c>
      <c r="AM5159">
        <v>93.822683359276994</v>
      </c>
      <c r="AN5159">
        <v>1.0000000024202</v>
      </c>
    </row>
    <row r="5160" spans="1:40" x14ac:dyDescent="0.25">
      <c r="A5160" t="str">
        <f>"20190312172514606"</f>
        <v>20190312172514606</v>
      </c>
      <c r="B5160" t="str">
        <f>"1552382714596034"</f>
        <v>1552382714596034</v>
      </c>
      <c r="C5160" t="s">
        <v>40</v>
      </c>
      <c r="D5160">
        <v>4.1137489999999897</v>
      </c>
      <c r="E5160">
        <v>0.50567419999999996</v>
      </c>
      <c r="F5160" t="s">
        <v>51</v>
      </c>
      <c r="G5160">
        <v>-385.81810000000002</v>
      </c>
      <c r="H5160" s="1">
        <v>-1.9940860000000001E-6</v>
      </c>
      <c r="I5160">
        <v>19.679510000000001</v>
      </c>
      <c r="J5160">
        <v>-396.86</v>
      </c>
      <c r="K5160">
        <v>1.1113660000000001</v>
      </c>
      <c r="L5160">
        <v>22.473020000000002</v>
      </c>
      <c r="M5160">
        <v>0.95384979999999997</v>
      </c>
      <c r="N5160">
        <v>0</v>
      </c>
      <c r="O5160">
        <v>-0.2999947</v>
      </c>
      <c r="P5160">
        <v>0.95915779999999995</v>
      </c>
      <c r="Q5160">
        <v>0.15997059999999999</v>
      </c>
      <c r="R5160">
        <v>-0.23329359999999999</v>
      </c>
      <c r="S5160">
        <v>2.9928590000000002</v>
      </c>
      <c r="T5160">
        <v>-0.2983924</v>
      </c>
      <c r="U5160">
        <v>-0.75869750000000002</v>
      </c>
      <c r="V5160">
        <v>-6.553544E-2</v>
      </c>
      <c r="W5160">
        <v>0.1728257</v>
      </c>
      <c r="X5160">
        <v>0.98276980000000003</v>
      </c>
      <c r="Y5160">
        <v>-5.4822040000000002E-2</v>
      </c>
      <c r="Z5160">
        <v>3.1445229999999998E-2</v>
      </c>
      <c r="AA5160">
        <v>0.99800089999999997</v>
      </c>
      <c r="AB5160">
        <v>22</v>
      </c>
      <c r="AC5160">
        <v>11.041899999999901</v>
      </c>
      <c r="AD5160">
        <v>-1.111367994086</v>
      </c>
      <c r="AE5160">
        <v>-2.7935099999999999</v>
      </c>
      <c r="AF5160">
        <v>-0.64186756619538798</v>
      </c>
      <c r="AG5160">
        <v>-1.111367994086</v>
      </c>
      <c r="AH5160">
        <v>11.264094236080499</v>
      </c>
      <c r="AI5160">
        <v>95.625763490795194</v>
      </c>
      <c r="AJ5160">
        <v>93.261387330886706</v>
      </c>
      <c r="AK5160">
        <v>11.336972777162099</v>
      </c>
      <c r="AL5160">
        <v>80.047848437054199</v>
      </c>
      <c r="AM5160">
        <v>93.815087865394602</v>
      </c>
      <c r="AN5160">
        <v>1.0000000481342599</v>
      </c>
    </row>
    <row r="5161" spans="1:40" x14ac:dyDescent="0.25">
      <c r="A5161" t="str">
        <f>"20190312172514617"</f>
        <v>20190312172514617</v>
      </c>
      <c r="B5161" t="str">
        <f>"1552382714605794"</f>
        <v>1552382714605794</v>
      </c>
      <c r="C5161" t="s">
        <v>40</v>
      </c>
      <c r="D5161">
        <v>4.1067850000000004</v>
      </c>
      <c r="E5161">
        <v>0.50581319999999996</v>
      </c>
      <c r="F5161" t="s">
        <v>51</v>
      </c>
      <c r="G5161">
        <v>-385.72710000000001</v>
      </c>
      <c r="H5161" s="1">
        <v>-2.03006E-6</v>
      </c>
      <c r="I5161">
        <v>19.65306</v>
      </c>
      <c r="J5161">
        <v>-396.74970000000002</v>
      </c>
      <c r="K5161">
        <v>1.1113500000000001</v>
      </c>
      <c r="L5161">
        <v>22.439150000000001</v>
      </c>
      <c r="M5161">
        <v>0.95405379999999995</v>
      </c>
      <c r="N5161">
        <v>0</v>
      </c>
      <c r="O5161">
        <v>-0.29934519999999998</v>
      </c>
      <c r="P5161">
        <v>0.95932839999999997</v>
      </c>
      <c r="Q5161">
        <v>0.15971689999999999</v>
      </c>
      <c r="R5161">
        <v>-0.2327661</v>
      </c>
      <c r="S5161">
        <v>2.9931030000000001</v>
      </c>
      <c r="T5161">
        <v>-0.2987921</v>
      </c>
      <c r="U5161">
        <v>-0.75814820000000005</v>
      </c>
      <c r="V5161">
        <v>-6.5411369999999996E-2</v>
      </c>
      <c r="W5161">
        <v>0.1725739</v>
      </c>
      <c r="X5161">
        <v>0.98282219999999998</v>
      </c>
      <c r="Y5161">
        <v>-5.4334540000000001E-2</v>
      </c>
      <c r="Z5161">
        <v>3.1401470000000001E-2</v>
      </c>
      <c r="AA5161">
        <v>0.9980289</v>
      </c>
      <c r="AB5161">
        <v>22</v>
      </c>
      <c r="AC5161">
        <v>11.022600000000001</v>
      </c>
      <c r="AD5161">
        <v>-1.1113520300599999</v>
      </c>
      <c r="AE5161">
        <v>-2.7860900000000002</v>
      </c>
      <c r="AF5161">
        <v>-0.63546640208393801</v>
      </c>
      <c r="AG5161">
        <v>-1.1113520300599999</v>
      </c>
      <c r="AH5161">
        <v>11.243706827076799</v>
      </c>
      <c r="AI5161">
        <v>95.635965843103904</v>
      </c>
      <c r="AJ5161">
        <v>93.234773970375002</v>
      </c>
      <c r="AK5161">
        <v>11.316353833994</v>
      </c>
      <c r="AL5161">
        <v>80.062494484337293</v>
      </c>
      <c r="AM5161">
        <v>93.807684085539094</v>
      </c>
      <c r="AN5161">
        <v>0.99999993754966099</v>
      </c>
    </row>
    <row r="5162" spans="1:40" x14ac:dyDescent="0.25">
      <c r="A5162" t="str">
        <f>"20190312172514630"</f>
        <v>20190312172514630</v>
      </c>
      <c r="B5162" t="str">
        <f>"1552382714625314"</f>
        <v>1552382714625314</v>
      </c>
      <c r="C5162" t="s">
        <v>40</v>
      </c>
      <c r="D5162">
        <v>4.1375159999999997</v>
      </c>
      <c r="E5162">
        <v>0.50607729999999995</v>
      </c>
      <c r="F5162" t="s">
        <v>51</v>
      </c>
      <c r="G5162">
        <v>-385.67</v>
      </c>
      <c r="H5162" s="1">
        <v>-2.0522859999999999E-6</v>
      </c>
      <c r="I5162">
        <v>19.63513</v>
      </c>
      <c r="J5162">
        <v>-396.64319999999998</v>
      </c>
      <c r="K5162">
        <v>1.1113329999999999</v>
      </c>
      <c r="L5162">
        <v>22.40652</v>
      </c>
      <c r="M5162">
        <v>0.95424500000000001</v>
      </c>
      <c r="N5162">
        <v>0</v>
      </c>
      <c r="O5162">
        <v>-0.29873529999999998</v>
      </c>
      <c r="P5162">
        <v>0.95943210000000001</v>
      </c>
      <c r="Q5162">
        <v>0.15990570000000001</v>
      </c>
      <c r="R5162">
        <v>-0.23220789999999999</v>
      </c>
      <c r="S5162">
        <v>2.993439</v>
      </c>
      <c r="T5162">
        <v>-0.30025610000000003</v>
      </c>
      <c r="U5162">
        <v>-0.75756840000000003</v>
      </c>
      <c r="V5162">
        <v>-6.5338880000000002E-2</v>
      </c>
      <c r="W5162">
        <v>0.17276320000000001</v>
      </c>
      <c r="X5162">
        <v>0.98279380000000005</v>
      </c>
      <c r="Y5162">
        <v>-5.3893919999999998E-2</v>
      </c>
      <c r="Z5162">
        <v>3.1473609999999999E-2</v>
      </c>
      <c r="AA5162">
        <v>0.99805049999999995</v>
      </c>
      <c r="AB5162">
        <v>22</v>
      </c>
      <c r="AC5162">
        <v>10.973199999999901</v>
      </c>
      <c r="AD5162">
        <v>-1.1113350522859999</v>
      </c>
      <c r="AE5162">
        <v>-2.7713899999999998</v>
      </c>
      <c r="AF5162">
        <v>-0.62750177227346404</v>
      </c>
      <c r="AG5162">
        <v>-1.1113350522859999</v>
      </c>
      <c r="AH5162">
        <v>11.1921000237213</v>
      </c>
      <c r="AI5162">
        <v>95.661841267756401</v>
      </c>
      <c r="AJ5162">
        <v>93.209013645666303</v>
      </c>
      <c r="AK5162">
        <v>11.2646316856623</v>
      </c>
      <c r="AL5162">
        <v>80.051483355326596</v>
      </c>
      <c r="AM5162">
        <v>93.803586324848894</v>
      </c>
      <c r="AN5162">
        <v>0.99999997291616605</v>
      </c>
    </row>
    <row r="5163" spans="1:40" x14ac:dyDescent="0.25">
      <c r="A5163" t="str">
        <f>"20190312172514640"</f>
        <v>20190312172514640</v>
      </c>
      <c r="B5163" t="str">
        <f>"1552382714636050"</f>
        <v>1552382714636050</v>
      </c>
      <c r="C5163" t="s">
        <v>40</v>
      </c>
      <c r="D5163">
        <v>4.2315950000000004</v>
      </c>
      <c r="E5163">
        <v>0.50610690000000003</v>
      </c>
      <c r="F5163" t="s">
        <v>51</v>
      </c>
      <c r="G5163">
        <v>-385.56939999999997</v>
      </c>
      <c r="H5163" s="1">
        <v>-2.09737E-6</v>
      </c>
      <c r="I5163">
        <v>19.601870000000002</v>
      </c>
      <c r="J5163">
        <v>-396.53449999999998</v>
      </c>
      <c r="K5163">
        <v>1.111321</v>
      </c>
      <c r="L5163">
        <v>22.373259999999998</v>
      </c>
      <c r="M5163">
        <v>0.95443739999999999</v>
      </c>
      <c r="N5163">
        <v>0</v>
      </c>
      <c r="O5163">
        <v>-0.29811979999999999</v>
      </c>
      <c r="P5163">
        <v>0.95953849999999996</v>
      </c>
      <c r="Q5163">
        <v>0.16022349999999999</v>
      </c>
      <c r="R5163">
        <v>-0.231548</v>
      </c>
      <c r="S5163">
        <v>2.993439</v>
      </c>
      <c r="T5163">
        <v>-0.30041370000000001</v>
      </c>
      <c r="U5163">
        <v>-0.75814820000000005</v>
      </c>
      <c r="V5163">
        <v>-6.5358120000000006E-2</v>
      </c>
      <c r="W5163">
        <v>0.1730816</v>
      </c>
      <c r="X5163">
        <v>0.98273650000000001</v>
      </c>
      <c r="Y5163">
        <v>-5.3073080000000002E-2</v>
      </c>
      <c r="Z5163">
        <v>3.1391299999999997E-2</v>
      </c>
      <c r="AA5163">
        <v>0.99809709999999996</v>
      </c>
      <c r="AB5163">
        <v>22</v>
      </c>
      <c r="AC5163">
        <v>10.9651</v>
      </c>
      <c r="AD5163">
        <v>-1.1113230973699999</v>
      </c>
      <c r="AE5163">
        <v>-2.7713899999999998</v>
      </c>
      <c r="AF5163">
        <v>-0.61788357183516895</v>
      </c>
      <c r="AG5163">
        <v>-1.1113230973699999</v>
      </c>
      <c r="AH5163">
        <v>11.1846985246162</v>
      </c>
      <c r="AI5163">
        <v>95.665760061835897</v>
      </c>
      <c r="AJ5163">
        <v>93.162013934081799</v>
      </c>
      <c r="AK5163">
        <v>11.2567446547234</v>
      </c>
      <c r="AL5163">
        <v>80.032961386702596</v>
      </c>
      <c r="AM5163">
        <v>93.804924245542495</v>
      </c>
      <c r="AN5163">
        <v>0.99999997627037096</v>
      </c>
    </row>
    <row r="5164" spans="1:40" x14ac:dyDescent="0.25">
      <c r="A5164" t="str">
        <f>"20190312172514659"</f>
        <v>20190312172514659</v>
      </c>
      <c r="B5164" t="str">
        <f>"1552382714655569"</f>
        <v>1552382714655569</v>
      </c>
      <c r="C5164" t="s">
        <v>40</v>
      </c>
      <c r="D5164">
        <v>4.2351549999999998</v>
      </c>
      <c r="E5164">
        <v>0.5062063</v>
      </c>
      <c r="F5164" t="s">
        <v>51</v>
      </c>
      <c r="G5164">
        <v>-385.4599</v>
      </c>
      <c r="H5164" s="1">
        <v>-2.153883E-6</v>
      </c>
      <c r="I5164">
        <v>19.575050000000001</v>
      </c>
      <c r="J5164">
        <v>-396.3648</v>
      </c>
      <c r="K5164">
        <v>1.1112959999999901</v>
      </c>
      <c r="L5164">
        <v>22.321470000000001</v>
      </c>
      <c r="M5164">
        <v>0.95472469999999998</v>
      </c>
      <c r="N5164">
        <v>0</v>
      </c>
      <c r="O5164">
        <v>-0.2971992</v>
      </c>
      <c r="P5164">
        <v>0.95967049999999998</v>
      </c>
      <c r="Q5164">
        <v>0.16058829999999999</v>
      </c>
      <c r="R5164">
        <v>-0.23074800000000001</v>
      </c>
      <c r="S5164">
        <v>2.9941409999999999</v>
      </c>
      <c r="T5164">
        <v>-0.30045949999999999</v>
      </c>
      <c r="U5164">
        <v>-0.75653079999999995</v>
      </c>
      <c r="V5164">
        <v>-6.5200159999999993E-2</v>
      </c>
      <c r="W5164">
        <v>0.17344789999999999</v>
      </c>
      <c r="X5164">
        <v>0.98268239999999996</v>
      </c>
      <c r="Y5164">
        <v>-5.2678129999999997E-2</v>
      </c>
      <c r="Z5164">
        <v>3.1286260000000003E-2</v>
      </c>
      <c r="AA5164">
        <v>0.99812129999999999</v>
      </c>
      <c r="AB5164">
        <v>22</v>
      </c>
      <c r="AC5164">
        <v>10.9048999999999</v>
      </c>
      <c r="AD5164">
        <v>-1.11129815388299</v>
      </c>
      <c r="AE5164">
        <v>-2.7464200000000001</v>
      </c>
      <c r="AF5164">
        <v>-0.612920524116076</v>
      </c>
      <c r="AG5164">
        <v>-1.11129815388299</v>
      </c>
      <c r="AH5164">
        <v>11.119790670623299</v>
      </c>
      <c r="AI5164">
        <v>95.698526402004603</v>
      </c>
      <c r="AJ5164">
        <v>93.154938803851195</v>
      </c>
      <c r="AK5164">
        <v>11.1919792581199</v>
      </c>
      <c r="AL5164">
        <v>80.011651545343597</v>
      </c>
      <c r="AM5164">
        <v>93.795963632682202</v>
      </c>
      <c r="AN5164">
        <v>0.999999967074097</v>
      </c>
    </row>
    <row r="5165" spans="1:40" x14ac:dyDescent="0.25">
      <c r="A5165" t="str">
        <f>"20190312172514671"</f>
        <v>20190312172514671</v>
      </c>
      <c r="B5165" t="str">
        <f>"1552382714665330"</f>
        <v>1552382714665330</v>
      </c>
      <c r="C5165" t="s">
        <v>40</v>
      </c>
      <c r="D5165">
        <v>4.2386369999999998</v>
      </c>
      <c r="E5165">
        <v>0.50624749999999996</v>
      </c>
      <c r="F5165" t="s">
        <v>51</v>
      </c>
      <c r="G5165">
        <v>-385.31229999999999</v>
      </c>
      <c r="H5165" s="1">
        <v>-2.2307460000000001E-6</v>
      </c>
      <c r="I5165">
        <v>19.535070000000001</v>
      </c>
      <c r="J5165">
        <v>-396.25080000000003</v>
      </c>
      <c r="K5165">
        <v>1.1112759999999999</v>
      </c>
      <c r="L5165">
        <v>22.286770000000001</v>
      </c>
      <c r="M5165">
        <v>0.95490989999999998</v>
      </c>
      <c r="N5165">
        <v>0</v>
      </c>
      <c r="O5165">
        <v>-0.29660379999999997</v>
      </c>
      <c r="P5165">
        <v>0.95985540000000003</v>
      </c>
      <c r="Q5165">
        <v>0.16073319999999999</v>
      </c>
      <c r="R5165">
        <v>-0.22987589999999999</v>
      </c>
      <c r="S5165">
        <v>2.994904</v>
      </c>
      <c r="T5165">
        <v>-0.3011298</v>
      </c>
      <c r="U5165">
        <v>-0.75503540000000002</v>
      </c>
      <c r="V5165">
        <v>-6.5465529999999994E-2</v>
      </c>
      <c r="W5165">
        <v>0.17359349999999901</v>
      </c>
      <c r="X5165">
        <v>0.98263909999999999</v>
      </c>
      <c r="Y5165">
        <v>-5.2580809999999999E-2</v>
      </c>
      <c r="Z5165">
        <v>3.1289989999999997E-2</v>
      </c>
      <c r="AA5165">
        <v>0.99812630000000002</v>
      </c>
      <c r="AB5165">
        <v>22</v>
      </c>
      <c r="AC5165">
        <v>10.938499999999999</v>
      </c>
      <c r="AD5165">
        <v>-1.1112782307460001</v>
      </c>
      <c r="AE5165">
        <v>-2.7517</v>
      </c>
      <c r="AF5165">
        <v>-0.61089859459164297</v>
      </c>
      <c r="AG5165">
        <v>-1.1112782307460001</v>
      </c>
      <c r="AH5165">
        <v>11.1541499866793</v>
      </c>
      <c r="AI5165">
        <v>95.681094979843806</v>
      </c>
      <c r="AJ5165">
        <v>93.134884923883703</v>
      </c>
      <c r="AK5165">
        <v>11.226005448259</v>
      </c>
      <c r="AL5165">
        <v>80.003181312983799</v>
      </c>
      <c r="AM5165">
        <v>93.811535523680206</v>
      </c>
      <c r="AN5165">
        <v>1.0000000198546199</v>
      </c>
    </row>
    <row r="5166" spans="1:40" x14ac:dyDescent="0.25">
      <c r="A5166" t="str">
        <f>"20190312172514683"</f>
        <v>20190312172514683</v>
      </c>
      <c r="B5166" t="str">
        <f>"1552382714676066"</f>
        <v>1552382714676066</v>
      </c>
      <c r="C5166" t="s">
        <v>40</v>
      </c>
      <c r="D5166">
        <v>4.2717919999999996</v>
      </c>
      <c r="E5166">
        <v>0.50630949999999997</v>
      </c>
      <c r="F5166" t="s">
        <v>51</v>
      </c>
      <c r="G5166">
        <v>-385.21080000000001</v>
      </c>
      <c r="H5166" s="1">
        <v>-2.2826669999999999E-6</v>
      </c>
      <c r="I5166">
        <v>19.51304</v>
      </c>
      <c r="J5166">
        <v>-396.1352</v>
      </c>
      <c r="K5166">
        <v>1.1112569999999999</v>
      </c>
      <c r="L5166">
        <v>22.251619999999999</v>
      </c>
      <c r="M5166">
        <v>0.955094</v>
      </c>
      <c r="N5166">
        <v>0</v>
      </c>
      <c r="O5166">
        <v>-0.296010099999999</v>
      </c>
      <c r="P5166">
        <v>0.96001420000000004</v>
      </c>
      <c r="Q5166">
        <v>0.1606889</v>
      </c>
      <c r="R5166">
        <v>-0.2292428</v>
      </c>
      <c r="S5166">
        <v>2.9957280000000002</v>
      </c>
      <c r="T5166">
        <v>-0.3015466</v>
      </c>
      <c r="U5166">
        <v>-0.75265499999999996</v>
      </c>
      <c r="V5166">
        <v>-6.5496029999999997E-2</v>
      </c>
      <c r="W5166">
        <v>0.17355079999999901</v>
      </c>
      <c r="X5166">
        <v>0.98264459999999998</v>
      </c>
      <c r="Y5166">
        <v>-5.2768750000000003E-2</v>
      </c>
      <c r="Z5166">
        <v>3.1282320000000002E-2</v>
      </c>
      <c r="AA5166">
        <v>0.99811669999999997</v>
      </c>
      <c r="AB5166">
        <v>22</v>
      </c>
      <c r="AC5166">
        <v>10.924399999999901</v>
      </c>
      <c r="AD5166">
        <v>-1.111259282667</v>
      </c>
      <c r="AE5166">
        <v>-2.7385799999999998</v>
      </c>
      <c r="AF5166">
        <v>-0.61222460439350102</v>
      </c>
      <c r="AG5166">
        <v>-1.111259282667</v>
      </c>
      <c r="AH5166">
        <v>11.1370250775794</v>
      </c>
      <c r="AI5166">
        <v>95.689614038722198</v>
      </c>
      <c r="AJ5166">
        <v>93.146496970725195</v>
      </c>
      <c r="AK5166">
        <v>11.209060787513399</v>
      </c>
      <c r="AL5166">
        <v>80.005665451252597</v>
      </c>
      <c r="AM5166">
        <v>93.813284776674394</v>
      </c>
      <c r="AN5166">
        <v>1.0000000100177799</v>
      </c>
    </row>
    <row r="5167" spans="1:40" x14ac:dyDescent="0.25">
      <c r="A5167" t="str">
        <f>"20190312172514694"</f>
        <v>20190312172514694</v>
      </c>
      <c r="B5167" t="str">
        <f>"1552382714685826"</f>
        <v>1552382714685826</v>
      </c>
      <c r="C5167" t="s">
        <v>40</v>
      </c>
      <c r="D5167">
        <v>4.2591489999999999</v>
      </c>
      <c r="E5167">
        <v>0.5063763</v>
      </c>
      <c r="F5167" t="s">
        <v>51</v>
      </c>
      <c r="G5167">
        <v>-385.13080000000002</v>
      </c>
      <c r="H5167" s="1">
        <v>-2.3243820000000001E-6</v>
      </c>
      <c r="I5167">
        <v>19.49091</v>
      </c>
      <c r="J5167">
        <v>-396.02670000000001</v>
      </c>
      <c r="K5167">
        <v>1.1112390000000001</v>
      </c>
      <c r="L5167">
        <v>22.218689999999999</v>
      </c>
      <c r="M5167">
        <v>0.95525970000000004</v>
      </c>
      <c r="N5167">
        <v>0</v>
      </c>
      <c r="O5167">
        <v>-0.29547479999999998</v>
      </c>
      <c r="P5167">
        <v>0.96017430000000004</v>
      </c>
      <c r="Q5167">
        <v>0.16064500000000001</v>
      </c>
      <c r="R5167">
        <v>-0.2286019</v>
      </c>
      <c r="S5167">
        <v>2.996124</v>
      </c>
      <c r="T5167">
        <v>-0.30255870000000001</v>
      </c>
      <c r="U5167">
        <v>-0.75164790000000004</v>
      </c>
      <c r="V5167">
        <v>-6.5594929999999996E-2</v>
      </c>
      <c r="W5167">
        <v>0.173508</v>
      </c>
      <c r="X5167">
        <v>0.98264560000000001</v>
      </c>
      <c r="Y5167">
        <v>-5.2548860000000003E-2</v>
      </c>
      <c r="Z5167">
        <v>3.1323230000000001E-2</v>
      </c>
      <c r="AA5167">
        <v>0.99812699999999999</v>
      </c>
      <c r="AB5167">
        <v>22</v>
      </c>
      <c r="AC5167">
        <v>10.8958999999999</v>
      </c>
      <c r="AD5167">
        <v>-1.1112413243820001</v>
      </c>
      <c r="AE5167">
        <v>-2.7277799999999899</v>
      </c>
      <c r="AF5167">
        <v>-0.60782944817437001</v>
      </c>
      <c r="AG5167">
        <v>-1.1112413243820001</v>
      </c>
      <c r="AH5167">
        <v>11.106666551318201</v>
      </c>
      <c r="AI5167">
        <v>95.705047841800095</v>
      </c>
      <c r="AJ5167">
        <v>93.1324751017751</v>
      </c>
      <c r="AK5167">
        <v>11.178656260984701</v>
      </c>
      <c r="AL5167">
        <v>80.008155871644604</v>
      </c>
      <c r="AM5167">
        <v>93.819021992658904</v>
      </c>
      <c r="AN5167">
        <v>1.00000004805253</v>
      </c>
    </row>
    <row r="5168" spans="1:40" x14ac:dyDescent="0.25">
      <c r="A5168" t="str">
        <f>"20190312172514705"</f>
        <v>20190312172514705</v>
      </c>
      <c r="B5168" t="str">
        <f>"1552382714695586"</f>
        <v>1552382714695586</v>
      </c>
      <c r="C5168" t="s">
        <v>40</v>
      </c>
      <c r="D5168">
        <v>4.1352099999999998</v>
      </c>
      <c r="E5168">
        <v>0.50648459999999995</v>
      </c>
      <c r="F5168" t="s">
        <v>51</v>
      </c>
      <c r="G5168">
        <v>-385.05160000000001</v>
      </c>
      <c r="H5168" s="1">
        <v>-2.3654799999999999E-6</v>
      </c>
      <c r="I5168">
        <v>19.470410000000001</v>
      </c>
      <c r="J5168">
        <v>-395.9221</v>
      </c>
      <c r="K5168">
        <v>1.111226</v>
      </c>
      <c r="L5168">
        <v>22.186979999999998</v>
      </c>
      <c r="M5168">
        <v>0.95541640000000005</v>
      </c>
      <c r="N5168">
        <v>0</v>
      </c>
      <c r="O5168">
        <v>-0.2949677</v>
      </c>
      <c r="P5168">
        <v>0.96034090000000005</v>
      </c>
      <c r="Q5168">
        <v>0.1608386</v>
      </c>
      <c r="R5168">
        <v>-0.22776469999999999</v>
      </c>
      <c r="S5168">
        <v>2.9965519999999999</v>
      </c>
      <c r="T5168">
        <v>-0.30340329999999999</v>
      </c>
      <c r="U5168">
        <v>-0.75036619999999998</v>
      </c>
      <c r="V5168">
        <v>-6.5914070000000005E-2</v>
      </c>
      <c r="W5168">
        <v>0.17370250000000001</v>
      </c>
      <c r="X5168">
        <v>0.98258979999999996</v>
      </c>
      <c r="Y5168">
        <v>-5.2448059999999998E-2</v>
      </c>
      <c r="Z5168">
        <v>3.1355189999999998E-2</v>
      </c>
      <c r="AA5168">
        <v>0.99813130000000005</v>
      </c>
      <c r="AB5168">
        <v>22</v>
      </c>
      <c r="AC5168">
        <v>10.8704999999999</v>
      </c>
      <c r="AD5168">
        <v>-1.1112283654799999</v>
      </c>
      <c r="AE5168">
        <v>-2.7165699999999902</v>
      </c>
      <c r="AF5168">
        <v>-0.60509246635228997</v>
      </c>
      <c r="AG5168">
        <v>-1.1112283654799999</v>
      </c>
      <c r="AH5168">
        <v>11.079155770481499</v>
      </c>
      <c r="AI5168">
        <v>95.719088484088005</v>
      </c>
      <c r="AJ5168">
        <v>93.126125840659995</v>
      </c>
      <c r="AK5168">
        <v>11.1511729409814</v>
      </c>
      <c r="AL5168">
        <v>79.996839217493999</v>
      </c>
      <c r="AM5168">
        <v>93.837764630343102</v>
      </c>
      <c r="AN5168">
        <v>0.99999996909712696</v>
      </c>
    </row>
    <row r="5169" spans="1:40" x14ac:dyDescent="0.25">
      <c r="A5169" t="str">
        <f>"20190312172514717"</f>
        <v>20190312172514717</v>
      </c>
      <c r="B5169" t="str">
        <f>"1552382714705347"</f>
        <v>1552382714705347</v>
      </c>
      <c r="C5169" t="s">
        <v>40</v>
      </c>
      <c r="D5169">
        <v>4.2106760000000003</v>
      </c>
      <c r="E5169">
        <v>0.50653000000000004</v>
      </c>
      <c r="F5169" t="s">
        <v>51</v>
      </c>
      <c r="G5169">
        <v>-384.93639999999999</v>
      </c>
      <c r="H5169" s="1">
        <v>-2.4249930000000001E-6</v>
      </c>
      <c r="I5169">
        <v>19.44183</v>
      </c>
      <c r="J5169">
        <v>-395.81610000000001</v>
      </c>
      <c r="K5169">
        <v>1.1112089999999999</v>
      </c>
      <c r="L5169">
        <v>22.154910000000001</v>
      </c>
      <c r="M5169">
        <v>0.95557119999999995</v>
      </c>
      <c r="N5169">
        <v>0</v>
      </c>
      <c r="O5169">
        <v>-0.29446679999999997</v>
      </c>
      <c r="P5169">
        <v>0.96053900000000003</v>
      </c>
      <c r="Q5169">
        <v>0.16070290000000001</v>
      </c>
      <c r="R5169">
        <v>-0.22702449999999999</v>
      </c>
      <c r="S5169">
        <v>2.9970089999999998</v>
      </c>
      <c r="T5169">
        <v>-0.30315340000000002</v>
      </c>
      <c r="U5169">
        <v>-0.74890140000000005</v>
      </c>
      <c r="V5169">
        <v>-6.6156489999999998E-2</v>
      </c>
      <c r="W5169">
        <v>0.17356769999999999</v>
      </c>
      <c r="X5169">
        <v>0.98259739999999995</v>
      </c>
      <c r="Y5169">
        <v>-5.2424709999999999E-2</v>
      </c>
      <c r="Z5169">
        <v>3.1278889999999997E-2</v>
      </c>
      <c r="AA5169">
        <v>0.99813490000000005</v>
      </c>
      <c r="AB5169">
        <v>22</v>
      </c>
      <c r="AC5169">
        <v>10.8797</v>
      </c>
      <c r="AD5169">
        <v>-1.1112114249930001</v>
      </c>
      <c r="AE5169">
        <v>-2.7130800000000002</v>
      </c>
      <c r="AF5169">
        <v>-0.60527772290804605</v>
      </c>
      <c r="AG5169">
        <v>-1.1112114249930001</v>
      </c>
      <c r="AH5169">
        <v>11.087319003959999</v>
      </c>
      <c r="AI5169">
        <v>95.714826305327193</v>
      </c>
      <c r="AJ5169">
        <v>93.124783239575393</v>
      </c>
      <c r="AK5169">
        <v>11.159291852463401</v>
      </c>
      <c r="AL5169">
        <v>80.004682524036099</v>
      </c>
      <c r="AM5169">
        <v>93.851807118757705</v>
      </c>
      <c r="AN5169">
        <v>1.00000003906958</v>
      </c>
    </row>
    <row r="5170" spans="1:40" x14ac:dyDescent="0.25">
      <c r="A5170" t="str">
        <f>"20190312172514728"</f>
        <v>20190312172514728</v>
      </c>
      <c r="B5170" t="str">
        <f>"1552382714725842"</f>
        <v>1552382714725842</v>
      </c>
      <c r="C5170" t="s">
        <v>40</v>
      </c>
      <c r="D5170">
        <v>4.0567359999999999</v>
      </c>
      <c r="E5170">
        <v>0.50668380000000002</v>
      </c>
      <c r="F5170" t="s">
        <v>51</v>
      </c>
      <c r="G5170">
        <v>-384.86790000000002</v>
      </c>
      <c r="H5170" s="1">
        <v>-2.4602549999999998E-6</v>
      </c>
      <c r="I5170">
        <v>19.425529999999998</v>
      </c>
      <c r="J5170">
        <v>-395.70940000000002</v>
      </c>
      <c r="K5170">
        <v>1.1111949999999999</v>
      </c>
      <c r="L5170">
        <v>22.12265</v>
      </c>
      <c r="M5170">
        <v>0.95572239999999997</v>
      </c>
      <c r="N5170">
        <v>0</v>
      </c>
      <c r="O5170">
        <v>-0.29397570000000001</v>
      </c>
      <c r="P5170">
        <v>0.96072009999999997</v>
      </c>
      <c r="Q5170">
        <v>0.16068279999999999</v>
      </c>
      <c r="R5170">
        <v>-0.22627040000000001</v>
      </c>
      <c r="S5170">
        <v>2.997528</v>
      </c>
      <c r="T5170">
        <v>-0.30424179999999901</v>
      </c>
      <c r="U5170">
        <v>-0.7472839</v>
      </c>
      <c r="V5170">
        <v>-6.6417690000000001E-2</v>
      </c>
      <c r="W5170">
        <v>0.17354800000000001</v>
      </c>
      <c r="X5170">
        <v>0.98258319999999999</v>
      </c>
      <c r="Y5170">
        <v>-5.244998E-2</v>
      </c>
      <c r="Z5170">
        <v>3.1342839999999997E-2</v>
      </c>
      <c r="AA5170">
        <v>0.99813160000000001</v>
      </c>
      <c r="AB5170">
        <v>22</v>
      </c>
      <c r="AC5170">
        <v>10.8414999999999</v>
      </c>
      <c r="AD5170">
        <v>-1.1111974602550001</v>
      </c>
      <c r="AE5170">
        <v>-2.69712</v>
      </c>
      <c r="AF5170">
        <v>-0.60352168331066103</v>
      </c>
      <c r="AG5170">
        <v>-1.1111974602550001</v>
      </c>
      <c r="AH5170">
        <v>11.0460395239276</v>
      </c>
      <c r="AI5170">
        <v>95.735955105868598</v>
      </c>
      <c r="AJ5170">
        <v>93.127356020785797</v>
      </c>
      <c r="AK5170">
        <v>11.1181827373935</v>
      </c>
      <c r="AL5170">
        <v>80.005828062323602</v>
      </c>
      <c r="AM5170">
        <v>93.867024544067903</v>
      </c>
      <c r="AN5170">
        <v>0.99999998138558699</v>
      </c>
    </row>
    <row r="5171" spans="1:40" x14ac:dyDescent="0.25">
      <c r="A5171" t="str">
        <f>"20190312172514740"</f>
        <v>20190312172514740</v>
      </c>
      <c r="B5171" t="str">
        <f>"1552382714735602"</f>
        <v>1552382714735602</v>
      </c>
      <c r="C5171" t="s">
        <v>40</v>
      </c>
      <c r="D5171">
        <v>4.1263399999999999</v>
      </c>
      <c r="E5171">
        <v>0.50679090000000004</v>
      </c>
      <c r="F5171" t="s">
        <v>51</v>
      </c>
      <c r="G5171">
        <v>-384.7919</v>
      </c>
      <c r="H5171" s="1">
        <v>-2.4999E-6</v>
      </c>
      <c r="I5171">
        <v>19.40447</v>
      </c>
      <c r="J5171">
        <v>-395.59530000000001</v>
      </c>
      <c r="K5171">
        <v>1.111181</v>
      </c>
      <c r="L5171">
        <v>22.088170000000002</v>
      </c>
      <c r="M5171">
        <v>0.95588139999999999</v>
      </c>
      <c r="N5171">
        <v>0</v>
      </c>
      <c r="O5171">
        <v>-0.29345769999999999</v>
      </c>
      <c r="P5171">
        <v>0.96093360000000005</v>
      </c>
      <c r="Q5171">
        <v>0.16054839999999901</v>
      </c>
      <c r="R5171">
        <v>-0.2254574</v>
      </c>
      <c r="S5171">
        <v>2.9978940000000001</v>
      </c>
      <c r="T5171">
        <v>-0.3051296</v>
      </c>
      <c r="U5171">
        <v>-0.74639889999999998</v>
      </c>
      <c r="V5171">
        <v>-6.6717269999999995E-2</v>
      </c>
      <c r="W5171">
        <v>0.17341409999999999</v>
      </c>
      <c r="X5171">
        <v>0.98258659999999998</v>
      </c>
      <c r="Y5171">
        <v>-5.2209140000000001E-2</v>
      </c>
      <c r="Z5171">
        <v>3.1370429999999998E-2</v>
      </c>
      <c r="AA5171">
        <v>0.99814329999999996</v>
      </c>
      <c r="AB5171">
        <v>22</v>
      </c>
      <c r="AC5171">
        <v>10.8034</v>
      </c>
      <c r="AD5171">
        <v>-1.1111834999000001</v>
      </c>
      <c r="AE5171">
        <v>-2.6837</v>
      </c>
      <c r="AF5171">
        <v>-0.59912460899815201</v>
      </c>
      <c r="AG5171">
        <v>-1.1111834999000001</v>
      </c>
      <c r="AH5171">
        <v>11.005621952955099</v>
      </c>
      <c r="AI5171">
        <v>95.756868865685206</v>
      </c>
      <c r="AJ5171">
        <v>93.115994910019296</v>
      </c>
      <c r="AK5171">
        <v>11.0777883008715</v>
      </c>
      <c r="AL5171">
        <v>80.013618630270997</v>
      </c>
      <c r="AM5171">
        <v>93.884400255339699</v>
      </c>
      <c r="AN5171">
        <v>1.00000003534731</v>
      </c>
    </row>
    <row r="5172" spans="1:40" x14ac:dyDescent="0.25">
      <c r="A5172" t="str">
        <f>"20190312172514760"</f>
        <v>20190312172514760</v>
      </c>
      <c r="B5172" t="str">
        <f>"1552382714756097"</f>
        <v>1552382714756097</v>
      </c>
      <c r="C5172" t="s">
        <v>40</v>
      </c>
      <c r="D5172">
        <v>4.2053599999999998</v>
      </c>
      <c r="E5172">
        <v>0.50694989999999995</v>
      </c>
      <c r="F5172" t="s">
        <v>51</v>
      </c>
      <c r="G5172">
        <v>-384.69830000000002</v>
      </c>
      <c r="H5172" s="1">
        <v>-2.5482629999999998E-6</v>
      </c>
      <c r="I5172">
        <v>19.381309999999999</v>
      </c>
      <c r="J5172">
        <v>-395.41039999999998</v>
      </c>
      <c r="K5172">
        <v>1.1111629999999999</v>
      </c>
      <c r="L5172">
        <v>22.032499999999999</v>
      </c>
      <c r="M5172">
        <v>0.95612949999999997</v>
      </c>
      <c r="N5172">
        <v>0</v>
      </c>
      <c r="O5172">
        <v>-0.29264859999999998</v>
      </c>
      <c r="P5172">
        <v>0.96103939999999999</v>
      </c>
      <c r="Q5172">
        <v>0.16078410000000001</v>
      </c>
      <c r="R5172">
        <v>-0.2248376</v>
      </c>
      <c r="S5172">
        <v>2.9982600000000001</v>
      </c>
      <c r="T5172">
        <v>-0.30573869999999997</v>
      </c>
      <c r="U5172">
        <v>-0.74478149999999999</v>
      </c>
      <c r="V5172">
        <v>-6.6499409999999995E-2</v>
      </c>
      <c r="W5172">
        <v>0.17365079999999999</v>
      </c>
      <c r="X5172">
        <v>0.98255950000000003</v>
      </c>
      <c r="Y5172">
        <v>-5.1898359999999998E-2</v>
      </c>
      <c r="Z5172">
        <v>3.1339180000000001E-2</v>
      </c>
      <c r="AA5172">
        <v>0.99816050000000001</v>
      </c>
      <c r="AB5172">
        <v>22</v>
      </c>
      <c r="AC5172">
        <v>10.7120999999999</v>
      </c>
      <c r="AD5172">
        <v>-1.1111655482629901</v>
      </c>
      <c r="AE5172">
        <v>-2.6511900000000002</v>
      </c>
      <c r="AF5172">
        <v>-0.59402927959194296</v>
      </c>
      <c r="AG5172">
        <v>-1.1111655482629901</v>
      </c>
      <c r="AH5172">
        <v>10.908377513105499</v>
      </c>
      <c r="AI5172">
        <v>95.807741198707802</v>
      </c>
      <c r="AJ5172">
        <v>93.117034275321302</v>
      </c>
      <c r="AK5172">
        <v>10.9809043174543</v>
      </c>
      <c r="AL5172">
        <v>79.999847145137196</v>
      </c>
      <c r="AM5172">
        <v>93.871861155277301</v>
      </c>
      <c r="AN5172">
        <v>0.99999997145561803</v>
      </c>
    </row>
    <row r="5173" spans="1:40" x14ac:dyDescent="0.25">
      <c r="A5173" t="str">
        <f>"20190312172514773"</f>
        <v>20190312172514773</v>
      </c>
      <c r="B5173" t="str">
        <f>"1552382714765858"</f>
        <v>1552382714765858</v>
      </c>
      <c r="C5173" t="s">
        <v>40</v>
      </c>
      <c r="D5173">
        <v>4.1183899999999998</v>
      </c>
      <c r="E5173">
        <v>0.50706439999999997</v>
      </c>
      <c r="F5173" t="s">
        <v>51</v>
      </c>
      <c r="G5173">
        <v>-384.52</v>
      </c>
      <c r="H5173" s="1">
        <v>-2.6413980000000002E-6</v>
      </c>
      <c r="I5173">
        <v>19.33145</v>
      </c>
      <c r="J5173">
        <v>-395.28710000000001</v>
      </c>
      <c r="K5173">
        <v>1.111156</v>
      </c>
      <c r="L5173">
        <v>21.995419999999999</v>
      </c>
      <c r="M5173">
        <v>0.95629019999999998</v>
      </c>
      <c r="N5173">
        <v>0</v>
      </c>
      <c r="O5173">
        <v>-0.29212270000000001</v>
      </c>
      <c r="P5173">
        <v>0.96110629999999997</v>
      </c>
      <c r="Q5173">
        <v>0.16115489999999999</v>
      </c>
      <c r="R5173">
        <v>-0.22428509999999999</v>
      </c>
      <c r="S5173">
        <v>2.99884</v>
      </c>
      <c r="T5173">
        <v>-0.30597629999999998</v>
      </c>
      <c r="U5173">
        <v>-0.74377439999999995</v>
      </c>
      <c r="V5173">
        <v>-6.6502939999999997E-2</v>
      </c>
      <c r="W5173">
        <v>0.174020799999999</v>
      </c>
      <c r="X5173">
        <v>0.98249379999999997</v>
      </c>
      <c r="Y5173">
        <v>-5.1711180000000002E-2</v>
      </c>
      <c r="Z5173">
        <v>3.1299800000000003E-2</v>
      </c>
      <c r="AA5173">
        <v>0.99817140000000004</v>
      </c>
      <c r="AB5173">
        <v>22</v>
      </c>
      <c r="AC5173">
        <v>10.767099999999999</v>
      </c>
      <c r="AD5173">
        <v>-1.1111586413979999</v>
      </c>
      <c r="AE5173">
        <v>-2.6639699999999999</v>
      </c>
      <c r="AF5173">
        <v>-0.59189759511349704</v>
      </c>
      <c r="AG5173">
        <v>-1.1111586413979999</v>
      </c>
      <c r="AH5173">
        <v>10.9655902823985</v>
      </c>
      <c r="AI5173">
        <v>95.777757719606797</v>
      </c>
      <c r="AJ5173">
        <v>93.089697336691202</v>
      </c>
      <c r="AK5173">
        <v>11.0376259463205</v>
      </c>
      <c r="AL5173">
        <v>79.978319967057502</v>
      </c>
      <c r="AM5173">
        <v>93.872324200627602</v>
      </c>
      <c r="AN5173">
        <v>0.99999997344986102</v>
      </c>
    </row>
    <row r="5174" spans="1:40" x14ac:dyDescent="0.25">
      <c r="A5174" t="str">
        <f>"20190312172514788"</f>
        <v>20190312172514788</v>
      </c>
      <c r="B5174" t="str">
        <f>"1552382714775617"</f>
        <v>1552382714775617</v>
      </c>
      <c r="C5174" t="s">
        <v>40</v>
      </c>
      <c r="D5174">
        <v>4.1412050000000002</v>
      </c>
      <c r="E5174">
        <v>0.50714329999999996</v>
      </c>
      <c r="F5174" t="s">
        <v>51</v>
      </c>
      <c r="G5174">
        <v>-384.3682</v>
      </c>
      <c r="H5174" s="1">
        <v>-2.7202019999999999E-6</v>
      </c>
      <c r="I5174">
        <v>19.29167</v>
      </c>
      <c r="J5174">
        <v>-395.15460000000002</v>
      </c>
      <c r="K5174">
        <v>1.1111549999999999</v>
      </c>
      <c r="L5174">
        <v>21.955690000000001</v>
      </c>
      <c r="M5174">
        <v>0.95646140000000002</v>
      </c>
      <c r="N5174">
        <v>0</v>
      </c>
      <c r="O5174">
        <v>-0.29156209999999999</v>
      </c>
      <c r="P5174">
        <v>0.96116970000000002</v>
      </c>
      <c r="Q5174">
        <v>0.16122129999999901</v>
      </c>
      <c r="R5174">
        <v>-0.2239659</v>
      </c>
      <c r="S5174">
        <v>2.9992369999999999</v>
      </c>
      <c r="T5174">
        <v>-0.30521710000000002</v>
      </c>
      <c r="U5174">
        <v>-0.7426758</v>
      </c>
      <c r="V5174">
        <v>-6.6246840000000001E-2</v>
      </c>
      <c r="W5174">
        <v>0.17408699999999999</v>
      </c>
      <c r="X5174">
        <v>0.98249940000000002</v>
      </c>
      <c r="Y5174">
        <v>-5.1512799999999997E-2</v>
      </c>
      <c r="Z5174">
        <v>3.115718E-2</v>
      </c>
      <c r="AA5174">
        <v>0.99818620000000002</v>
      </c>
      <c r="AB5174">
        <v>22</v>
      </c>
      <c r="AC5174">
        <v>10.7864</v>
      </c>
      <c r="AD5174">
        <v>-1.111157720202</v>
      </c>
      <c r="AE5174">
        <v>-2.6640199999999998</v>
      </c>
      <c r="AF5174">
        <v>-0.591013541207837</v>
      </c>
      <c r="AG5174">
        <v>-1.111157720202</v>
      </c>
      <c r="AH5174">
        <v>10.984595889848</v>
      </c>
      <c r="AI5174">
        <v>95.767877246894201</v>
      </c>
      <c r="AJ5174">
        <v>93.079763951078405</v>
      </c>
      <c r="AK5174">
        <v>11.0564603444467</v>
      </c>
      <c r="AL5174">
        <v>79.974468454086406</v>
      </c>
      <c r="AM5174">
        <v>93.857435231606004</v>
      </c>
      <c r="AN5174">
        <v>0.99999999918967197</v>
      </c>
    </row>
    <row r="5175" spans="1:40" x14ac:dyDescent="0.25">
      <c r="A5175" t="str">
        <f>"20190312172514805"</f>
        <v>20190312172514805</v>
      </c>
      <c r="B5175" t="str">
        <f>"1552382714796113"</f>
        <v>1552382714796113</v>
      </c>
      <c r="C5175" t="s">
        <v>40</v>
      </c>
      <c r="D5175">
        <v>4.1003990000000003</v>
      </c>
      <c r="E5175">
        <v>0.50711930000000005</v>
      </c>
      <c r="F5175" t="s">
        <v>51</v>
      </c>
      <c r="G5175">
        <v>-384.23880000000003</v>
      </c>
      <c r="H5175" s="1">
        <v>-2.7876790000000001E-6</v>
      </c>
      <c r="I5175">
        <v>19.256119999999999</v>
      </c>
      <c r="J5175">
        <v>-394.9778</v>
      </c>
      <c r="K5175">
        <v>1.1111580000000001</v>
      </c>
      <c r="L5175">
        <v>21.902740000000001</v>
      </c>
      <c r="M5175">
        <v>0.95668719999999996</v>
      </c>
      <c r="N5175">
        <v>0</v>
      </c>
      <c r="O5175">
        <v>-0.29082019999999997</v>
      </c>
      <c r="P5175">
        <v>0.96128270000000005</v>
      </c>
      <c r="Q5175">
        <v>0.16152569999999999</v>
      </c>
      <c r="R5175">
        <v>-0.2232605</v>
      </c>
      <c r="S5175">
        <v>2.9995729999999998</v>
      </c>
      <c r="T5175">
        <v>-0.30533769999999999</v>
      </c>
      <c r="U5175">
        <v>-0.74182130000000002</v>
      </c>
      <c r="V5175">
        <v>-6.618984E-2</v>
      </c>
      <c r="W5175">
        <v>0.17438989999999999</v>
      </c>
      <c r="X5175">
        <v>0.98244949999999998</v>
      </c>
      <c r="Y5175">
        <v>-5.1036829999999998E-2</v>
      </c>
      <c r="Z5175">
        <v>3.107321E-2</v>
      </c>
      <c r="AA5175">
        <v>0.99821320000000002</v>
      </c>
      <c r="AB5175">
        <v>22</v>
      </c>
      <c r="AC5175">
        <v>10.7389999999999</v>
      </c>
      <c r="AD5175">
        <v>-1.111160787679</v>
      </c>
      <c r="AE5175">
        <v>-2.6466199999999902</v>
      </c>
      <c r="AF5175">
        <v>-0.58527470227214495</v>
      </c>
      <c r="AG5175">
        <v>-1.111160787679</v>
      </c>
      <c r="AH5175">
        <v>10.934153062037399</v>
      </c>
      <c r="AI5175">
        <v>95.794406789693298</v>
      </c>
      <c r="AJ5175">
        <v>93.063959182477603</v>
      </c>
      <c r="AK5175">
        <v>11.0060405213345</v>
      </c>
      <c r="AL5175">
        <v>79.956843734927304</v>
      </c>
      <c r="AM5175">
        <v>93.854321397152603</v>
      </c>
      <c r="AN5175">
        <v>0.99999997609574198</v>
      </c>
    </row>
    <row r="5176" spans="1:40" x14ac:dyDescent="0.25">
      <c r="A5176" t="str">
        <f>"20190312172514818"</f>
        <v>20190312172514818</v>
      </c>
      <c r="B5176" t="str">
        <f>"1552382714815634"</f>
        <v>1552382714815634</v>
      </c>
      <c r="C5176" t="s">
        <v>40</v>
      </c>
      <c r="D5176">
        <v>4.0951589999999998</v>
      </c>
      <c r="E5176">
        <v>0.50691759999999997</v>
      </c>
      <c r="F5176" t="s">
        <v>51</v>
      </c>
      <c r="G5176">
        <v>-384.0204</v>
      </c>
      <c r="H5176" s="1">
        <v>-2.9009360000000002E-6</v>
      </c>
      <c r="I5176">
        <v>19.199750000000002</v>
      </c>
      <c r="J5176">
        <v>-394.85599999999999</v>
      </c>
      <c r="K5176">
        <v>1.1111599999999999</v>
      </c>
      <c r="L5176">
        <v>21.86636</v>
      </c>
      <c r="M5176">
        <v>0.95684210000000003</v>
      </c>
      <c r="N5176">
        <v>0</v>
      </c>
      <c r="O5176">
        <v>-0.29031059999999997</v>
      </c>
      <c r="P5176">
        <v>0.96138380000000001</v>
      </c>
      <c r="Q5176">
        <v>0.1615183</v>
      </c>
      <c r="R5176">
        <v>-0.22282979999999999</v>
      </c>
      <c r="S5176">
        <v>3.0000309999999999</v>
      </c>
      <c r="T5176">
        <v>-0.30422519999999997</v>
      </c>
      <c r="U5176">
        <v>-0.74005129999999997</v>
      </c>
      <c r="V5176">
        <v>-6.6106540000000005E-2</v>
      </c>
      <c r="W5176">
        <v>0.17438139999999999</v>
      </c>
      <c r="X5176">
        <v>0.98245660000000001</v>
      </c>
      <c r="Y5176">
        <v>-5.1109179999999997E-2</v>
      </c>
      <c r="Z5176">
        <v>3.0914150000000001E-2</v>
      </c>
      <c r="AA5176">
        <v>0.9982145</v>
      </c>
      <c r="AB5176">
        <v>22</v>
      </c>
      <c r="AC5176">
        <v>10.835599999999999</v>
      </c>
      <c r="AD5176">
        <v>-1.111162900936</v>
      </c>
      <c r="AE5176">
        <v>-2.6666099999999902</v>
      </c>
      <c r="AF5176">
        <v>-0.58838213469091105</v>
      </c>
      <c r="AG5176">
        <v>-1.111162900936</v>
      </c>
      <c r="AH5176">
        <v>11.033663238432</v>
      </c>
      <c r="AI5176">
        <v>95.742571110456694</v>
      </c>
      <c r="AJ5176">
        <v>93.052468761193197</v>
      </c>
      <c r="AK5176">
        <v>11.105070958258899</v>
      </c>
      <c r="AL5176">
        <v>79.957338154941297</v>
      </c>
      <c r="AM5176">
        <v>93.849457586094303</v>
      </c>
      <c r="AN5176">
        <v>0.99999995909014405</v>
      </c>
    </row>
    <row r="5177" spans="1:40" x14ac:dyDescent="0.25">
      <c r="A5177" t="str">
        <f>"20190312172514832"</f>
        <v>20190312172514832</v>
      </c>
      <c r="B5177" t="str">
        <f>"1552382714825395"</f>
        <v>1552382714825395</v>
      </c>
      <c r="C5177" t="s">
        <v>40</v>
      </c>
      <c r="D5177">
        <v>4.1041460000000001</v>
      </c>
      <c r="E5177">
        <v>0.50686679999999995</v>
      </c>
      <c r="F5177" t="s">
        <v>51</v>
      </c>
      <c r="G5177">
        <v>-383.81920000000002</v>
      </c>
      <c r="H5177" s="1">
        <v>-3.0043390000000002E-6</v>
      </c>
      <c r="I5177">
        <v>19.152989999999999</v>
      </c>
      <c r="J5177">
        <v>-394.74169999999998</v>
      </c>
      <c r="K5177">
        <v>1.111157</v>
      </c>
      <c r="L5177">
        <v>21.83231</v>
      </c>
      <c r="M5177">
        <v>0.95698729999999999</v>
      </c>
      <c r="N5177">
        <v>0</v>
      </c>
      <c r="O5177">
        <v>-0.2898308</v>
      </c>
      <c r="P5177">
        <v>0.9615186</v>
      </c>
      <c r="Q5177">
        <v>0.16140679999999999</v>
      </c>
      <c r="R5177">
        <v>-0.22232850000000001</v>
      </c>
      <c r="S5177">
        <v>3.0002749999999998</v>
      </c>
      <c r="T5177">
        <v>-0.30206159999999999</v>
      </c>
      <c r="U5177">
        <v>-0.73760990000000004</v>
      </c>
      <c r="V5177">
        <v>-6.6132720000000006E-2</v>
      </c>
      <c r="W5177">
        <v>0.17426920000000001</v>
      </c>
      <c r="X5177">
        <v>0.98247479999999998</v>
      </c>
      <c r="Y5177">
        <v>-5.1416169999999997E-2</v>
      </c>
      <c r="Z5177">
        <v>3.0666789999999999E-2</v>
      </c>
      <c r="AA5177">
        <v>0.99820640000000005</v>
      </c>
      <c r="AB5177">
        <v>22</v>
      </c>
      <c r="AC5177">
        <v>10.9224999999999</v>
      </c>
      <c r="AD5177">
        <v>-1.111160004339</v>
      </c>
      <c r="AE5177">
        <v>-2.6793200000000001</v>
      </c>
      <c r="AF5177">
        <v>-0.59583739482849396</v>
      </c>
      <c r="AG5177">
        <v>-1.111160004339</v>
      </c>
      <c r="AH5177">
        <v>11.121649150823099</v>
      </c>
      <c r="AI5177">
        <v>95.697350680839193</v>
      </c>
      <c r="AJ5177">
        <v>93.066664071903205</v>
      </c>
      <c r="AK5177">
        <v>11.192889644337701</v>
      </c>
      <c r="AL5177">
        <v>79.963867239337404</v>
      </c>
      <c r="AM5177">
        <v>93.850906367156398</v>
      </c>
      <c r="AN5177">
        <v>1.0000000116791301</v>
      </c>
    </row>
    <row r="5178" spans="1:40" x14ac:dyDescent="0.25">
      <c r="A5178" t="str">
        <f>"20190312172514843"</f>
        <v>20190312172514843</v>
      </c>
      <c r="B5178" t="str">
        <f>"1552382714836130"</f>
        <v>1552382714836130</v>
      </c>
      <c r="C5178" t="s">
        <v>40</v>
      </c>
      <c r="D5178">
        <v>4.1225860000000001</v>
      </c>
      <c r="E5178">
        <v>0.50682479999999996</v>
      </c>
      <c r="F5178" t="s">
        <v>51</v>
      </c>
      <c r="G5178">
        <v>-383.69310000000002</v>
      </c>
      <c r="H5178" s="1">
        <v>-3.0694939999999998E-6</v>
      </c>
      <c r="I5178">
        <v>19.12162</v>
      </c>
      <c r="J5178">
        <v>-394.62329999999997</v>
      </c>
      <c r="K5178">
        <v>1.111162</v>
      </c>
      <c r="L5178">
        <v>21.797059999999998</v>
      </c>
      <c r="M5178">
        <v>0.9571383</v>
      </c>
      <c r="N5178">
        <v>0</v>
      </c>
      <c r="O5178">
        <v>-0.2893327</v>
      </c>
      <c r="P5178">
        <v>0.96160350000000006</v>
      </c>
      <c r="Q5178">
        <v>0.1612961</v>
      </c>
      <c r="R5178">
        <v>-0.22204119999999999</v>
      </c>
      <c r="S5178">
        <v>3.0004879999999998</v>
      </c>
      <c r="T5178">
        <v>-0.30175970000000002</v>
      </c>
      <c r="U5178">
        <v>-0.73614499999999905</v>
      </c>
      <c r="V5178">
        <v>-6.5920380000000001E-2</v>
      </c>
      <c r="W5178">
        <v>0.17415749999999999</v>
      </c>
      <c r="X5178">
        <v>0.98250890000000002</v>
      </c>
      <c r="Y5178">
        <v>-5.1377880000000001E-2</v>
      </c>
      <c r="Z5178">
        <v>3.058777E-2</v>
      </c>
      <c r="AA5178">
        <v>0.99821070000000001</v>
      </c>
      <c r="AB5178">
        <v>22</v>
      </c>
      <c r="AC5178">
        <v>10.9301999999999</v>
      </c>
      <c r="AD5178">
        <v>-1.1111650694939901</v>
      </c>
      <c r="AE5178">
        <v>-2.67544</v>
      </c>
      <c r="AF5178">
        <v>-0.59593944773037599</v>
      </c>
      <c r="AG5178">
        <v>-1.1111650694939901</v>
      </c>
      <c r="AH5178">
        <v>11.128269615022001</v>
      </c>
      <c r="AI5178">
        <v>95.694016118604395</v>
      </c>
      <c r="AJ5178">
        <v>93.065367056351505</v>
      </c>
      <c r="AK5178">
        <v>11.199473927897101</v>
      </c>
      <c r="AL5178">
        <v>79.970366801724296</v>
      </c>
      <c r="AM5178">
        <v>93.838446012022601</v>
      </c>
      <c r="AN5178">
        <v>1.0000000349424001</v>
      </c>
    </row>
    <row r="5179" spans="1:40" x14ac:dyDescent="0.25">
      <c r="A5179" t="str">
        <f>"20190312172514860"</f>
        <v>20190312172514860</v>
      </c>
      <c r="B5179" t="str">
        <f>"1552382714855650"</f>
        <v>1552382714855650</v>
      </c>
      <c r="C5179" t="s">
        <v>40</v>
      </c>
      <c r="D5179">
        <v>4.0867610000000001</v>
      </c>
      <c r="E5179">
        <v>0.50676100000000002</v>
      </c>
      <c r="F5179" t="s">
        <v>51</v>
      </c>
      <c r="G5179">
        <v>-383.56360000000001</v>
      </c>
      <c r="H5179" s="1">
        <v>-3.1367189999999999E-6</v>
      </c>
      <c r="I5179">
        <v>19.087710000000001</v>
      </c>
      <c r="J5179">
        <v>-394.47149999999999</v>
      </c>
      <c r="K5179">
        <v>1.1111759999999999</v>
      </c>
      <c r="L5179">
        <v>21.75198</v>
      </c>
      <c r="M5179">
        <v>0.95733239999999997</v>
      </c>
      <c r="N5179">
        <v>0</v>
      </c>
      <c r="O5179">
        <v>-0.28868969999999999</v>
      </c>
      <c r="P5179">
        <v>0.96142059999999996</v>
      </c>
      <c r="Q5179">
        <v>0.16186739999999999</v>
      </c>
      <c r="R5179">
        <v>-0.22241730000000001</v>
      </c>
      <c r="S5179">
        <v>3.00061</v>
      </c>
      <c r="T5179">
        <v>-0.30147190000000001</v>
      </c>
      <c r="U5179">
        <v>-0.73507690000000003</v>
      </c>
      <c r="V5179">
        <v>-6.4848799999999998E-2</v>
      </c>
      <c r="W5179">
        <v>0.17472789999999999</v>
      </c>
      <c r="X5179">
        <v>0.98247890000000004</v>
      </c>
      <c r="Y5179">
        <v>-5.1058840000000001E-2</v>
      </c>
      <c r="Z5179">
        <v>3.0483099999999999E-2</v>
      </c>
      <c r="AA5179">
        <v>0.99823030000000001</v>
      </c>
      <c r="AB5179">
        <v>22</v>
      </c>
      <c r="AC5179">
        <v>10.9078999999999</v>
      </c>
      <c r="AD5179">
        <v>-1.111179136719</v>
      </c>
      <c r="AE5179">
        <v>-2.6642699999999899</v>
      </c>
      <c r="AF5179">
        <v>-0.592654216875518</v>
      </c>
      <c r="AG5179">
        <v>-1.111179136719</v>
      </c>
      <c r="AH5179">
        <v>11.1038618100308</v>
      </c>
      <c r="AI5179">
        <v>95.706575433149794</v>
      </c>
      <c r="AJ5179">
        <v>93.055188932354497</v>
      </c>
      <c r="AK5179">
        <v>11.175048330585399</v>
      </c>
      <c r="AL5179">
        <v>79.937176010575996</v>
      </c>
      <c r="AM5179">
        <v>93.776346491228907</v>
      </c>
      <c r="AN5179">
        <v>0.99999999742252998</v>
      </c>
    </row>
    <row r="5180" spans="1:40" x14ac:dyDescent="0.25">
      <c r="A5180" t="str">
        <f>"20190312172514871"</f>
        <v>20190312172514871</v>
      </c>
      <c r="B5180" t="str">
        <f>"1552382714865410"</f>
        <v>1552382714865410</v>
      </c>
      <c r="C5180" t="s">
        <v>40</v>
      </c>
      <c r="D5180">
        <v>4.0746830000000003</v>
      </c>
      <c r="E5180">
        <v>0.50673349999999995</v>
      </c>
      <c r="F5180" t="s">
        <v>51</v>
      </c>
      <c r="G5180">
        <v>-383.30439999999999</v>
      </c>
      <c r="H5180" s="1">
        <v>-3.2721099999999998E-6</v>
      </c>
      <c r="I5180">
        <v>19.015350000000002</v>
      </c>
      <c r="J5180">
        <v>-394.3673</v>
      </c>
      <c r="K5180">
        <v>1.1111839999999999</v>
      </c>
      <c r="L5180">
        <v>21.721160000000001</v>
      </c>
      <c r="M5180">
        <v>0.95746629999999999</v>
      </c>
      <c r="N5180">
        <v>0</v>
      </c>
      <c r="O5180">
        <v>-0.28824509999999998</v>
      </c>
      <c r="P5180">
        <v>0.96131100000000003</v>
      </c>
      <c r="Q5180">
        <v>0.1624854</v>
      </c>
      <c r="R5180">
        <v>-0.22244120000000001</v>
      </c>
      <c r="S5180">
        <v>3.0005489999999999</v>
      </c>
      <c r="T5180">
        <v>-0.29856909999999998</v>
      </c>
      <c r="U5180">
        <v>-0.735321</v>
      </c>
      <c r="V5180">
        <v>-6.4339900000000005E-2</v>
      </c>
      <c r="W5180">
        <v>0.17534430000000001</v>
      </c>
      <c r="X5180">
        <v>0.98240249999999996</v>
      </c>
      <c r="Y5180">
        <v>-5.0547740000000001E-2</v>
      </c>
      <c r="Z5180">
        <v>3.01249E-2</v>
      </c>
      <c r="AA5180">
        <v>0.99826720000000002</v>
      </c>
      <c r="AB5180">
        <v>22</v>
      </c>
      <c r="AC5180">
        <v>11.062900000000001</v>
      </c>
      <c r="AD5180">
        <v>-1.11118727211</v>
      </c>
      <c r="AE5180">
        <v>-2.70581</v>
      </c>
      <c r="AF5180">
        <v>-0.59251625934855801</v>
      </c>
      <c r="AG5180">
        <v>-1.11118727211</v>
      </c>
      <c r="AH5180">
        <v>11.266030066613601</v>
      </c>
      <c r="AI5180">
        <v>95.625234446112003</v>
      </c>
      <c r="AJ5180">
        <v>93.010593034311</v>
      </c>
      <c r="AK5180">
        <v>11.336191870867999</v>
      </c>
      <c r="AL5180">
        <v>79.901304726431704</v>
      </c>
      <c r="AM5180">
        <v>93.747086967011498</v>
      </c>
      <c r="AN5180">
        <v>0.99999995914037398</v>
      </c>
    </row>
    <row r="5181" spans="1:40" x14ac:dyDescent="0.25">
      <c r="A5181" t="str">
        <f>"20190312172514883"</f>
        <v>20190312172514883</v>
      </c>
      <c r="B5181" t="str">
        <f>"1552382714876146"</f>
        <v>1552382714876146</v>
      </c>
      <c r="C5181" t="s">
        <v>40</v>
      </c>
      <c r="D5181">
        <v>4.0802170000000002</v>
      </c>
      <c r="E5181">
        <v>0.50669140000000001</v>
      </c>
      <c r="F5181" t="s">
        <v>51</v>
      </c>
      <c r="G5181">
        <v>-383.10680000000002</v>
      </c>
      <c r="H5181" s="1">
        <v>-3.3748709999999999E-6</v>
      </c>
      <c r="I5181">
        <v>18.962589999999999</v>
      </c>
      <c r="J5181">
        <v>-394.2534</v>
      </c>
      <c r="K5181">
        <v>1.1111930000000001</v>
      </c>
      <c r="L5181">
        <v>21.687470000000001</v>
      </c>
      <c r="M5181">
        <v>0.95761309999999999</v>
      </c>
      <c r="N5181">
        <v>0</v>
      </c>
      <c r="O5181">
        <v>-0.28775770000000001</v>
      </c>
      <c r="P5181">
        <v>0.96123700000000001</v>
      </c>
      <c r="Q5181">
        <v>0.162989299999999</v>
      </c>
      <c r="R5181">
        <v>-0.22239229999999999</v>
      </c>
      <c r="S5181">
        <v>3.0007320000000002</v>
      </c>
      <c r="T5181">
        <v>-0.29611120000000002</v>
      </c>
      <c r="U5181">
        <v>-0.73510739999999997</v>
      </c>
      <c r="V5181">
        <v>-6.3866099999999995E-2</v>
      </c>
      <c r="W5181">
        <v>0.17584669999999999</v>
      </c>
      <c r="X5181">
        <v>0.98234370000000004</v>
      </c>
      <c r="Y5181">
        <v>-5.014938E-2</v>
      </c>
      <c r="Z5181">
        <v>2.9812399999999999E-2</v>
      </c>
      <c r="AA5181">
        <v>0.99829670000000004</v>
      </c>
      <c r="AB5181">
        <v>22</v>
      </c>
      <c r="AC5181">
        <v>11.1465999999999</v>
      </c>
      <c r="AD5181">
        <v>-1.1111963748710001</v>
      </c>
      <c r="AE5181">
        <v>-2.7248800000000002</v>
      </c>
      <c r="AF5181">
        <v>-0.59263338970674095</v>
      </c>
      <c r="AG5181">
        <v>-1.1111963748710001</v>
      </c>
      <c r="AH5181">
        <v>11.3527635916584</v>
      </c>
      <c r="AI5181">
        <v>95.582689873791196</v>
      </c>
      <c r="AJ5181">
        <v>92.988223888466393</v>
      </c>
      <c r="AK5181">
        <v>11.422399611561801</v>
      </c>
      <c r="AL5181">
        <v>79.872065866314998</v>
      </c>
      <c r="AM5181">
        <v>93.719793127011798</v>
      </c>
      <c r="AN5181">
        <v>1.0000000427798901</v>
      </c>
    </row>
    <row r="5182" spans="1:40" x14ac:dyDescent="0.25">
      <c r="A5182" t="str">
        <f>"20190312172514894"</f>
        <v>20190312172514894</v>
      </c>
      <c r="B5182" t="str">
        <f>"1552382714885906"</f>
        <v>1552382714885906</v>
      </c>
      <c r="C5182" t="s">
        <v>40</v>
      </c>
      <c r="D5182">
        <v>4.1114169999999897</v>
      </c>
      <c r="E5182">
        <v>0.50667169999999995</v>
      </c>
      <c r="F5182" t="s">
        <v>51</v>
      </c>
      <c r="G5182">
        <v>-382.9092</v>
      </c>
      <c r="H5182" s="1">
        <v>-3.4775059999999999E-6</v>
      </c>
      <c r="I5182">
        <v>18.910589999999999</v>
      </c>
      <c r="J5182">
        <v>-394.1447</v>
      </c>
      <c r="K5182">
        <v>1.1112010000000001</v>
      </c>
      <c r="L5182">
        <v>21.655360000000002</v>
      </c>
      <c r="M5182">
        <v>0.95775399999999999</v>
      </c>
      <c r="N5182">
        <v>0</v>
      </c>
      <c r="O5182">
        <v>-0.28728819999999999</v>
      </c>
      <c r="P5182">
        <v>0.96125680000000002</v>
      </c>
      <c r="Q5182">
        <v>0.16344349999999999</v>
      </c>
      <c r="R5182">
        <v>-0.22197320000000001</v>
      </c>
      <c r="S5182">
        <v>3.0008539999999999</v>
      </c>
      <c r="T5182">
        <v>-0.29394029999999999</v>
      </c>
      <c r="U5182">
        <v>-0.73455809999999999</v>
      </c>
      <c r="V5182">
        <v>-6.3792929999999998E-2</v>
      </c>
      <c r="W5182">
        <v>0.1762987</v>
      </c>
      <c r="X5182">
        <v>0.98226740000000001</v>
      </c>
      <c r="Y5182">
        <v>-4.9866559999999997E-2</v>
      </c>
      <c r="Z5182">
        <v>2.9537910000000001E-2</v>
      </c>
      <c r="AA5182">
        <v>0.99831899999999996</v>
      </c>
      <c r="AB5182">
        <v>22</v>
      </c>
      <c r="AC5182">
        <v>11.2355</v>
      </c>
      <c r="AD5182">
        <v>-1.1112044775059999</v>
      </c>
      <c r="AE5182">
        <v>-2.7447699999999999</v>
      </c>
      <c r="AF5182">
        <v>-0.59358475004830602</v>
      </c>
      <c r="AG5182">
        <v>-1.1112044775059999</v>
      </c>
      <c r="AH5182">
        <v>11.444741411734899</v>
      </c>
      <c r="AI5182">
        <v>95.538239793781401</v>
      </c>
      <c r="AJ5182">
        <v>92.969001503320598</v>
      </c>
      <c r="AK5182">
        <v>11.513870948894599</v>
      </c>
      <c r="AL5182">
        <v>79.8457567944088</v>
      </c>
      <c r="AM5182">
        <v>93.715831190923097</v>
      </c>
      <c r="AN5182">
        <v>1.0000000073212101</v>
      </c>
    </row>
    <row r="5183" spans="1:40" x14ac:dyDescent="0.25">
      <c r="A5183" t="str">
        <f>"20190312172514906"</f>
        <v>20190312172514906</v>
      </c>
      <c r="B5183" t="str">
        <f>"1552382714895666"</f>
        <v>1552382714895666</v>
      </c>
      <c r="C5183" t="s">
        <v>40</v>
      </c>
      <c r="D5183">
        <v>4.0978329999999996</v>
      </c>
      <c r="E5183">
        <v>0.50664100000000001</v>
      </c>
      <c r="F5183" t="s">
        <v>51</v>
      </c>
      <c r="G5183">
        <v>-382.72609999999997</v>
      </c>
      <c r="H5183" s="1">
        <v>-3.5721920000000001E-6</v>
      </c>
      <c r="I5183">
        <v>18.864629999999998</v>
      </c>
      <c r="J5183">
        <v>-394.04399999999998</v>
      </c>
      <c r="K5183">
        <v>1.111205</v>
      </c>
      <c r="L5183">
        <v>21.625699999999998</v>
      </c>
      <c r="M5183">
        <v>0.95788470000000003</v>
      </c>
      <c r="N5183">
        <v>0</v>
      </c>
      <c r="O5183">
        <v>-0.28685189999999999</v>
      </c>
      <c r="P5183">
        <v>0.96129010000000004</v>
      </c>
      <c r="Q5183">
        <v>0.16385459999999999</v>
      </c>
      <c r="R5183">
        <v>-0.22152450000000001</v>
      </c>
      <c r="S5183">
        <v>3.00116</v>
      </c>
      <c r="T5183">
        <v>-0.29205799999999998</v>
      </c>
      <c r="U5183">
        <v>-0.73348999999999998</v>
      </c>
      <c r="V5183">
        <v>-6.3785369999999994E-2</v>
      </c>
      <c r="W5183">
        <v>0.17670749999999999</v>
      </c>
      <c r="X5183">
        <v>0.98219440000000002</v>
      </c>
      <c r="Y5183">
        <v>-4.9791210000000002E-2</v>
      </c>
      <c r="Z5183">
        <v>2.9305020000000001E-2</v>
      </c>
      <c r="AA5183">
        <v>0.99832960000000004</v>
      </c>
      <c r="AB5183">
        <v>22</v>
      </c>
      <c r="AC5183">
        <v>11.3179</v>
      </c>
      <c r="AD5183">
        <v>-1.111208572192</v>
      </c>
      <c r="AE5183">
        <v>-2.7610700000000001</v>
      </c>
      <c r="AF5183">
        <v>-0.596400304711176</v>
      </c>
      <c r="AG5183">
        <v>-1.111208572192</v>
      </c>
      <c r="AH5183">
        <v>11.529371367372899</v>
      </c>
      <c r="AI5183">
        <v>95.497895671783695</v>
      </c>
      <c r="AJ5183">
        <v>92.961201344383696</v>
      </c>
      <c r="AK5183">
        <v>11.5981413140714</v>
      </c>
      <c r="AL5183">
        <v>79.821960367666904</v>
      </c>
      <c r="AM5183">
        <v>93.715667434021299</v>
      </c>
      <c r="AN5183">
        <v>0.99999997668682306</v>
      </c>
    </row>
    <row r="5184" spans="1:40" x14ac:dyDescent="0.25">
      <c r="A5184" t="str">
        <f>"20190312172514917"</f>
        <v>20190312172514917</v>
      </c>
      <c r="B5184" t="str">
        <f>"1552382714905426"</f>
        <v>1552382714905426</v>
      </c>
      <c r="C5184" t="s">
        <v>40</v>
      </c>
      <c r="D5184">
        <v>4.1071559999999998</v>
      </c>
      <c r="E5184">
        <v>0.5066058</v>
      </c>
      <c r="F5184" t="s">
        <v>51</v>
      </c>
      <c r="G5184">
        <v>-382.55650000000003</v>
      </c>
      <c r="H5184" s="1">
        <v>-3.6597080000000001E-6</v>
      </c>
      <c r="I5184">
        <v>18.823180000000001</v>
      </c>
      <c r="J5184">
        <v>-393.93430000000001</v>
      </c>
      <c r="K5184">
        <v>1.1112109999999999</v>
      </c>
      <c r="L5184">
        <v>21.593409999999999</v>
      </c>
      <c r="M5184">
        <v>0.95802770000000004</v>
      </c>
      <c r="N5184">
        <v>0</v>
      </c>
      <c r="O5184">
        <v>-0.28637449999999998</v>
      </c>
      <c r="P5184">
        <v>0.96143979999999996</v>
      </c>
      <c r="Q5184">
        <v>0.16389020000000001</v>
      </c>
      <c r="R5184">
        <v>-0.22084770000000001</v>
      </c>
      <c r="S5184">
        <v>3.0015559999999999</v>
      </c>
      <c r="T5184">
        <v>-0.29034720000000003</v>
      </c>
      <c r="U5184">
        <v>-0.73226930000000001</v>
      </c>
      <c r="V5184">
        <v>-6.3987310000000006E-2</v>
      </c>
      <c r="W5184">
        <v>0.1767417</v>
      </c>
      <c r="X5184">
        <v>0.98217509999999997</v>
      </c>
      <c r="Y5184">
        <v>-4.9726300000000001E-2</v>
      </c>
      <c r="Z5184">
        <v>2.9085929999999999E-2</v>
      </c>
      <c r="AA5184">
        <v>0.99833930000000004</v>
      </c>
      <c r="AB5184">
        <v>22</v>
      </c>
      <c r="AC5184">
        <v>11.377799999999899</v>
      </c>
      <c r="AD5184">
        <v>-1.1112146597079999</v>
      </c>
      <c r="AE5184">
        <v>-2.7702300000000002</v>
      </c>
      <c r="AF5184">
        <v>-0.59901294620138301</v>
      </c>
      <c r="AG5184">
        <v>-1.1112146597079999</v>
      </c>
      <c r="AH5184">
        <v>11.590213776598199</v>
      </c>
      <c r="AI5184">
        <v>95.469252833650202</v>
      </c>
      <c r="AJ5184">
        <v>92.958565310295199</v>
      </c>
      <c r="AK5184">
        <v>11.658759364397</v>
      </c>
      <c r="AL5184">
        <v>79.819969403705201</v>
      </c>
      <c r="AM5184">
        <v>93.727470903657405</v>
      </c>
      <c r="AN5184">
        <v>0.99999996570996696</v>
      </c>
    </row>
    <row r="5185" spans="1:40" x14ac:dyDescent="0.25">
      <c r="A5185" t="str">
        <f>"20190312172514937"</f>
        <v>20190312172514937</v>
      </c>
      <c r="B5185" t="str">
        <f>"1552382714925921"</f>
        <v>1552382714925921</v>
      </c>
      <c r="C5185" t="s">
        <v>40</v>
      </c>
      <c r="D5185">
        <v>4.1424529999999997</v>
      </c>
      <c r="E5185">
        <v>0.50654259999999995</v>
      </c>
      <c r="F5185" t="s">
        <v>51</v>
      </c>
      <c r="G5185">
        <v>-382.42500000000001</v>
      </c>
      <c r="H5185" s="1">
        <v>-3.7273389999999999E-6</v>
      </c>
      <c r="I5185">
        <v>18.792339999999999</v>
      </c>
      <c r="J5185">
        <v>-393.7439</v>
      </c>
      <c r="K5185">
        <v>1.1112169999999999</v>
      </c>
      <c r="L5185">
        <v>21.537569999999999</v>
      </c>
      <c r="M5185">
        <v>0.95827569999999995</v>
      </c>
      <c r="N5185">
        <v>0</v>
      </c>
      <c r="O5185">
        <v>-0.2855433</v>
      </c>
      <c r="P5185">
        <v>0.9617135</v>
      </c>
      <c r="Q5185">
        <v>0.16394710000000001</v>
      </c>
      <c r="R5185">
        <v>-0.21961059999999999</v>
      </c>
      <c r="S5185">
        <v>3.0018919999999998</v>
      </c>
      <c r="T5185">
        <v>-0.28983219999999998</v>
      </c>
      <c r="U5185">
        <v>-0.73059079999999998</v>
      </c>
      <c r="V5185">
        <v>-6.4399739999999997E-2</v>
      </c>
      <c r="W5185">
        <v>0.1767957</v>
      </c>
      <c r="X5185">
        <v>0.98213850000000003</v>
      </c>
      <c r="Y5185">
        <v>-4.9422309999999997E-2</v>
      </c>
      <c r="Z5185">
        <v>2.894439E-2</v>
      </c>
      <c r="AA5185">
        <v>0.99835850000000004</v>
      </c>
      <c r="AB5185">
        <v>22</v>
      </c>
      <c r="AC5185">
        <v>11.3188999999999</v>
      </c>
      <c r="AD5185">
        <v>-1.11122072733899</v>
      </c>
      <c r="AE5185">
        <v>-2.7452299999999998</v>
      </c>
      <c r="AF5185">
        <v>-0.59597582299261997</v>
      </c>
      <c r="AG5185">
        <v>-1.11122072733899</v>
      </c>
      <c r="AH5185">
        <v>11.5265905783222</v>
      </c>
      <c r="AI5185">
        <v>95.499280557790499</v>
      </c>
      <c r="AJ5185">
        <v>92.959810100008497</v>
      </c>
      <c r="AK5185">
        <v>11.595356357039</v>
      </c>
      <c r="AL5185">
        <v>79.816826690016896</v>
      </c>
      <c r="AM5185">
        <v>93.751567319205805</v>
      </c>
      <c r="AN5185">
        <v>1.0000000396163999</v>
      </c>
    </row>
    <row r="5186" spans="1:40" x14ac:dyDescent="0.25">
      <c r="A5186" t="str">
        <f>"20190312172514949"</f>
        <v>20190312172514949</v>
      </c>
      <c r="B5186" t="str">
        <f>"1552382714945442"</f>
        <v>1552382714945442</v>
      </c>
      <c r="C5186" t="s">
        <v>40</v>
      </c>
      <c r="D5186">
        <v>4.106878</v>
      </c>
      <c r="E5186">
        <v>0.50645890000000005</v>
      </c>
      <c r="F5186" t="s">
        <v>51</v>
      </c>
      <c r="G5186">
        <v>-382.19029999999998</v>
      </c>
      <c r="H5186" s="1">
        <v>-3.8477280000000004E-6</v>
      </c>
      <c r="I5186">
        <v>18.73912</v>
      </c>
      <c r="J5186">
        <v>-393.64019999999999</v>
      </c>
      <c r="K5186">
        <v>1.111216</v>
      </c>
      <c r="L5186">
        <v>21.507200000000001</v>
      </c>
      <c r="M5186">
        <v>0.95841100000000001</v>
      </c>
      <c r="N5186">
        <v>0</v>
      </c>
      <c r="O5186">
        <v>-0.28508889999999998</v>
      </c>
      <c r="P5186">
        <v>0.9618371</v>
      </c>
      <c r="Q5186">
        <v>0.1642439</v>
      </c>
      <c r="R5186">
        <v>-0.2188455</v>
      </c>
      <c r="S5186">
        <v>3.0025629999999999</v>
      </c>
      <c r="T5186">
        <v>-0.28878520000000002</v>
      </c>
      <c r="U5186">
        <v>-0.72726440000000003</v>
      </c>
      <c r="V5186">
        <v>-6.4702079999999995E-2</v>
      </c>
      <c r="W5186">
        <v>0.17708950000000001</v>
      </c>
      <c r="X5186">
        <v>0.98206570000000004</v>
      </c>
      <c r="Y5186">
        <v>-5.0053920000000002E-2</v>
      </c>
      <c r="Z5186">
        <v>2.8827789999999999E-2</v>
      </c>
      <c r="AA5186">
        <v>0.99833039999999995</v>
      </c>
      <c r="AB5186">
        <v>22</v>
      </c>
      <c r="AC5186">
        <v>11.4499</v>
      </c>
      <c r="AD5186">
        <v>-1.111219847728</v>
      </c>
      <c r="AE5186">
        <v>-2.7680799999999999</v>
      </c>
      <c r="AF5186">
        <v>-0.60594174744921303</v>
      </c>
      <c r="AG5186">
        <v>-1.111219847728</v>
      </c>
      <c r="AH5186">
        <v>11.6601145053473</v>
      </c>
      <c r="AI5186">
        <v>95.436608270673403</v>
      </c>
      <c r="AJ5186">
        <v>92.974816630386897</v>
      </c>
      <c r="AK5186">
        <v>11.728607983435101</v>
      </c>
      <c r="AL5186">
        <v>79.799723371287797</v>
      </c>
      <c r="AM5186">
        <v>93.769407897972798</v>
      </c>
      <c r="AN5186">
        <v>1.00000004464153</v>
      </c>
    </row>
    <row r="5187" spans="1:40" x14ac:dyDescent="0.25">
      <c r="A5187" t="str">
        <f>"20190312172514961"</f>
        <v>20190312172514961</v>
      </c>
      <c r="B5187" t="str">
        <f>"1552382714956178"</f>
        <v>1552382714956178</v>
      </c>
      <c r="C5187" t="s">
        <v>40</v>
      </c>
      <c r="D5187">
        <v>4.1356900000000003</v>
      </c>
      <c r="E5187">
        <v>0.50642299999999996</v>
      </c>
      <c r="F5187" t="s">
        <v>51</v>
      </c>
      <c r="G5187">
        <v>-382.0127</v>
      </c>
      <c r="H5187" s="1">
        <v>-3.9381719999999999E-6</v>
      </c>
      <c r="I5187">
        <v>18.702590000000001</v>
      </c>
      <c r="J5187">
        <v>-393.52629999999999</v>
      </c>
      <c r="K5187">
        <v>1.1112200000000001</v>
      </c>
      <c r="L5187">
        <v>21.473939999999999</v>
      </c>
      <c r="M5187">
        <v>0.95855939999999995</v>
      </c>
      <c r="N5187">
        <v>0</v>
      </c>
      <c r="O5187">
        <v>-0.2845897</v>
      </c>
      <c r="P5187">
        <v>0.96203890000000003</v>
      </c>
      <c r="Q5187">
        <v>0.16431809999999999</v>
      </c>
      <c r="R5187">
        <v>-0.2179014</v>
      </c>
      <c r="S5187">
        <v>3.0032350000000001</v>
      </c>
      <c r="T5187">
        <v>-0.28701480000000001</v>
      </c>
      <c r="U5187">
        <v>-0.72439580000000003</v>
      </c>
      <c r="V5187">
        <v>-6.5153099999999894E-2</v>
      </c>
      <c r="W5187">
        <v>0.17716219999999999</v>
      </c>
      <c r="X5187">
        <v>0.98202270000000003</v>
      </c>
      <c r="Y5187">
        <v>-5.0503310000000003E-2</v>
      </c>
      <c r="Z5187">
        <v>2.8626169999999999E-2</v>
      </c>
      <c r="AA5187">
        <v>0.99831349999999996</v>
      </c>
      <c r="AB5187">
        <v>22</v>
      </c>
      <c r="AC5187">
        <v>11.513599999999901</v>
      </c>
      <c r="AD5187">
        <v>-1.1112239381719999</v>
      </c>
      <c r="AE5187">
        <v>-2.7713499999999902</v>
      </c>
      <c r="AF5187">
        <v>-0.61478878684752702</v>
      </c>
      <c r="AG5187">
        <v>-1.1112239381719999</v>
      </c>
      <c r="AH5187">
        <v>11.7229689753475</v>
      </c>
      <c r="AI5187">
        <v>95.407518887726994</v>
      </c>
      <c r="AJ5187">
        <v>93.002017950042003</v>
      </c>
      <c r="AK5187">
        <v>11.7915556857507</v>
      </c>
      <c r="AL5187">
        <v>79.795490354511003</v>
      </c>
      <c r="AM5187">
        <v>93.795772551767996</v>
      </c>
      <c r="AN5187">
        <v>0.99999997743186897</v>
      </c>
    </row>
    <row r="5188" spans="1:40" x14ac:dyDescent="0.25">
      <c r="A5188" t="str">
        <f>"20190312172514973"</f>
        <v>20190312172514973</v>
      </c>
      <c r="B5188" t="str">
        <f>"1552382714965937"</f>
        <v>1552382714965937</v>
      </c>
      <c r="C5188" t="s">
        <v>40</v>
      </c>
      <c r="D5188">
        <v>4.103415</v>
      </c>
      <c r="E5188">
        <v>0.50638899999999998</v>
      </c>
      <c r="F5188" t="s">
        <v>51</v>
      </c>
      <c r="G5188">
        <v>-381.87729999999999</v>
      </c>
      <c r="H5188" s="1">
        <v>-4.0066650000000002E-6</v>
      </c>
      <c r="I5188">
        <v>18.677250000000001</v>
      </c>
      <c r="J5188">
        <v>-393.41019999999997</v>
      </c>
      <c r="K5188">
        <v>1.111221</v>
      </c>
      <c r="L5188">
        <v>21.44012</v>
      </c>
      <c r="M5188">
        <v>0.95871030000000002</v>
      </c>
      <c r="N5188">
        <v>0</v>
      </c>
      <c r="O5188">
        <v>-0.28408070000000002</v>
      </c>
      <c r="P5188">
        <v>0.96226469999999997</v>
      </c>
      <c r="Q5188">
        <v>0.1643144</v>
      </c>
      <c r="R5188">
        <v>-0.21690380000000001</v>
      </c>
      <c r="S5188">
        <v>3.0039669999999998</v>
      </c>
      <c r="T5188">
        <v>-0.28655530000000001</v>
      </c>
      <c r="U5188">
        <v>-0.72119140000000004</v>
      </c>
      <c r="V5188">
        <v>-6.5651860000000006E-2</v>
      </c>
      <c r="W5188">
        <v>0.17715610000000001</v>
      </c>
      <c r="X5188">
        <v>0.98199060000000005</v>
      </c>
      <c r="Y5188">
        <v>-5.1039580000000001E-2</v>
      </c>
      <c r="Z5188">
        <v>2.8558010000000002E-2</v>
      </c>
      <c r="AA5188">
        <v>0.99828819999999996</v>
      </c>
      <c r="AB5188">
        <v>22</v>
      </c>
      <c r="AC5188">
        <v>11.5328999999999</v>
      </c>
      <c r="AD5188">
        <v>-1.111225006665</v>
      </c>
      <c r="AE5188">
        <v>-2.7628699999999902</v>
      </c>
      <c r="AF5188">
        <v>-0.62207479692735901</v>
      </c>
      <c r="AG5188">
        <v>-1.111225006665</v>
      </c>
      <c r="AH5188">
        <v>11.7395384189709</v>
      </c>
      <c r="AI5188">
        <v>95.399782651805197</v>
      </c>
      <c r="AJ5188">
        <v>93.033250127893197</v>
      </c>
      <c r="AK5188">
        <v>11.8084105771651</v>
      </c>
      <c r="AL5188">
        <v>79.795845651921496</v>
      </c>
      <c r="AM5188">
        <v>93.824868684253204</v>
      </c>
      <c r="AN5188">
        <v>0.99999999448851395</v>
      </c>
    </row>
    <row r="5189" spans="1:40" x14ac:dyDescent="0.25">
      <c r="A5189" t="str">
        <f>"20190312172514987"</f>
        <v>20190312172514987</v>
      </c>
      <c r="B5189" t="str">
        <f>"1552382714975699"</f>
        <v>1552382714975699</v>
      </c>
      <c r="C5189" t="s">
        <v>40</v>
      </c>
      <c r="D5189">
        <v>4.1211169999999999</v>
      </c>
      <c r="E5189">
        <v>0.50636380000000003</v>
      </c>
      <c r="F5189" t="s">
        <v>51</v>
      </c>
      <c r="G5189">
        <v>-381.74549999999999</v>
      </c>
      <c r="H5189" s="1">
        <v>-4.0733889999999997E-6</v>
      </c>
      <c r="I5189">
        <v>18.652259999999998</v>
      </c>
      <c r="J5189">
        <v>-393.28379999999999</v>
      </c>
      <c r="K5189">
        <v>1.1112200000000001</v>
      </c>
      <c r="L5189">
        <v>21.403320000000001</v>
      </c>
      <c r="M5189">
        <v>0.95887440000000002</v>
      </c>
      <c r="N5189">
        <v>0</v>
      </c>
      <c r="O5189">
        <v>-0.28352640000000001</v>
      </c>
      <c r="P5189">
        <v>0.96255069999999998</v>
      </c>
      <c r="Q5189">
        <v>0.164248799999999</v>
      </c>
      <c r="R5189">
        <v>-0.2156824</v>
      </c>
      <c r="S5189">
        <v>3.0046390000000001</v>
      </c>
      <c r="T5189">
        <v>-0.28623340000000003</v>
      </c>
      <c r="U5189">
        <v>-0.71810909999999994</v>
      </c>
      <c r="V5189">
        <v>-6.6335839999999993E-2</v>
      </c>
      <c r="W5189">
        <v>0.1770881</v>
      </c>
      <c r="X5189">
        <v>0.98195690000000002</v>
      </c>
      <c r="Y5189">
        <v>-5.1484889999999998E-2</v>
      </c>
      <c r="Z5189">
        <v>2.8495610000000001E-2</v>
      </c>
      <c r="AA5189">
        <v>0.99826720000000002</v>
      </c>
      <c r="AB5189">
        <v>22</v>
      </c>
      <c r="AC5189">
        <v>11.5382999999999</v>
      </c>
      <c r="AD5189">
        <v>-1.111224073389</v>
      </c>
      <c r="AE5189">
        <v>-2.7510599999999901</v>
      </c>
      <c r="AF5189">
        <v>-0.62803458868215301</v>
      </c>
      <c r="AG5189">
        <v>-1.111224073389</v>
      </c>
      <c r="AH5189">
        <v>11.7417531687971</v>
      </c>
      <c r="AI5189">
        <v>95.398623880384093</v>
      </c>
      <c r="AJ5189">
        <v>93.061678644961404</v>
      </c>
      <c r="AK5189">
        <v>11.810927730827</v>
      </c>
      <c r="AL5189">
        <v>79.799804373549406</v>
      </c>
      <c r="AM5189">
        <v>93.864729365524994</v>
      </c>
      <c r="AN5189">
        <v>0.99999999614386204</v>
      </c>
    </row>
    <row r="5190" spans="1:40" x14ac:dyDescent="0.25">
      <c r="A5190" t="str">
        <f>"20190312172515002"</f>
        <v>20190312172515002</v>
      </c>
      <c r="B5190" t="str">
        <f>"1552382714996194"</f>
        <v>1552382714996194</v>
      </c>
      <c r="C5190" t="s">
        <v>40</v>
      </c>
      <c r="D5190">
        <v>4.1417950000000001</v>
      </c>
      <c r="E5190">
        <v>0.50629120000000005</v>
      </c>
      <c r="F5190" t="s">
        <v>51</v>
      </c>
      <c r="G5190">
        <v>-381.61130000000003</v>
      </c>
      <c r="H5190" s="1">
        <v>-4.1409420000000003E-6</v>
      </c>
      <c r="I5190">
        <v>18.629100000000001</v>
      </c>
      <c r="J5190">
        <v>-393.1515</v>
      </c>
      <c r="K5190">
        <v>1.1112200000000001</v>
      </c>
      <c r="L5190">
        <v>21.364930000000001</v>
      </c>
      <c r="M5190">
        <v>0.95904560000000005</v>
      </c>
      <c r="N5190">
        <v>0</v>
      </c>
      <c r="O5190">
        <v>-0.28294639999999999</v>
      </c>
      <c r="P5190">
        <v>0.96281879999999997</v>
      </c>
      <c r="Q5190">
        <v>0.16413069999999999</v>
      </c>
      <c r="R5190">
        <v>-0.21457209999999999</v>
      </c>
      <c r="S5190">
        <v>3.005493</v>
      </c>
      <c r="T5190">
        <v>-0.28612530000000003</v>
      </c>
      <c r="U5190">
        <v>-0.71432499999999999</v>
      </c>
      <c r="V5190">
        <v>-6.6881399999999994E-2</v>
      </c>
      <c r="W5190">
        <v>0.17696789999999901</v>
      </c>
      <c r="X5190">
        <v>0.98194159999999997</v>
      </c>
      <c r="Y5190">
        <v>-5.2135290000000001E-2</v>
      </c>
      <c r="Z5190">
        <v>2.8461050000000002E-2</v>
      </c>
      <c r="AA5190">
        <v>0.99823439999999997</v>
      </c>
      <c r="AB5190">
        <v>22</v>
      </c>
      <c r="AC5190">
        <v>11.540199999999899</v>
      </c>
      <c r="AD5190">
        <v>-1.1112241409420001</v>
      </c>
      <c r="AE5190">
        <v>-2.7358299999999902</v>
      </c>
      <c r="AF5190">
        <v>-0.63594501105106005</v>
      </c>
      <c r="AG5190">
        <v>-1.1112241409420001</v>
      </c>
      <c r="AH5190">
        <v>11.739636338299499</v>
      </c>
      <c r="AI5190">
        <v>95.399395001178405</v>
      </c>
      <c r="AJ5190">
        <v>93.100725238322795</v>
      </c>
      <c r="AK5190">
        <v>11.809246652687699</v>
      </c>
      <c r="AL5190">
        <v>79.806802220740394</v>
      </c>
      <c r="AM5190">
        <v>93.896476735141803</v>
      </c>
      <c r="AN5190">
        <v>1.0000000325534599</v>
      </c>
    </row>
    <row r="5191" spans="1:40" x14ac:dyDescent="0.25">
      <c r="A5191" t="str">
        <f>"20190312172515018"</f>
        <v>20190312172515018</v>
      </c>
      <c r="B5191" t="str">
        <f>"1552382715005954"</f>
        <v>1552382715005954</v>
      </c>
      <c r="C5191" t="s">
        <v>40</v>
      </c>
      <c r="D5191">
        <v>4.1482769999999896</v>
      </c>
      <c r="E5191">
        <v>0.506254599999999</v>
      </c>
      <c r="F5191" t="s">
        <v>51</v>
      </c>
      <c r="G5191">
        <v>-381.46679999999998</v>
      </c>
      <c r="H5191" s="1">
        <v>-4.2139670000000004E-6</v>
      </c>
      <c r="I5191">
        <v>18.602589999999999</v>
      </c>
      <c r="J5191">
        <v>-392.99689999999998</v>
      </c>
      <c r="K5191">
        <v>1.111216</v>
      </c>
      <c r="L5191">
        <v>21.320160000000001</v>
      </c>
      <c r="M5191">
        <v>0.95924500000000001</v>
      </c>
      <c r="N5191">
        <v>0</v>
      </c>
      <c r="O5191">
        <v>-0.28227000000000002</v>
      </c>
      <c r="P5191">
        <v>0.96334489999999995</v>
      </c>
      <c r="Q5191">
        <v>0.16313369999999999</v>
      </c>
      <c r="R5191">
        <v>-0.2129654</v>
      </c>
      <c r="S5191">
        <v>3.0062259999999998</v>
      </c>
      <c r="T5191">
        <v>-0.28589510000000001</v>
      </c>
      <c r="U5191">
        <v>-0.71069340000000003</v>
      </c>
      <c r="V5191">
        <v>-6.7876030000000004E-2</v>
      </c>
      <c r="W5191">
        <v>0.1759706</v>
      </c>
      <c r="X5191">
        <v>0.98205260000000005</v>
      </c>
      <c r="Y5191">
        <v>-5.2630370000000003E-2</v>
      </c>
      <c r="Z5191">
        <v>2.8399400000000002E-2</v>
      </c>
      <c r="AA5191">
        <v>0.99821009999999999</v>
      </c>
      <c r="AB5191">
        <v>22</v>
      </c>
      <c r="AC5191">
        <v>11.530099999999999</v>
      </c>
      <c r="AD5191">
        <v>-1.111220213967</v>
      </c>
      <c r="AE5191">
        <v>-2.7175699999999998</v>
      </c>
      <c r="AF5191">
        <v>-0.64219091223567004</v>
      </c>
      <c r="AG5191">
        <v>-1.111220213967</v>
      </c>
      <c r="AH5191">
        <v>11.725126073159499</v>
      </c>
      <c r="AI5191">
        <v>95.405843358524294</v>
      </c>
      <c r="AJ5191">
        <v>93.134985697046602</v>
      </c>
      <c r="AK5191">
        <v>11.7951600651781</v>
      </c>
      <c r="AL5191">
        <v>79.8648546279409</v>
      </c>
      <c r="AM5191">
        <v>93.953795369479707</v>
      </c>
      <c r="AN5191">
        <v>1.0000000583398301</v>
      </c>
    </row>
    <row r="5192" spans="1:40" x14ac:dyDescent="0.25">
      <c r="A5192" t="str">
        <f>"20190312172515032"</f>
        <v>20190312172515032</v>
      </c>
      <c r="B5192" t="str">
        <f>"1552382715025474"</f>
        <v>1552382715025474</v>
      </c>
      <c r="C5192" t="s">
        <v>40</v>
      </c>
      <c r="D5192">
        <v>4.1780309999999998</v>
      </c>
      <c r="E5192">
        <v>0.50618589999999997</v>
      </c>
      <c r="F5192" t="s">
        <v>51</v>
      </c>
      <c r="G5192">
        <v>-381.42610000000002</v>
      </c>
      <c r="H5192" s="1">
        <v>-4.2327430000000003E-6</v>
      </c>
      <c r="I5192">
        <v>18.605029999999999</v>
      </c>
      <c r="J5192">
        <v>-392.8673</v>
      </c>
      <c r="K5192">
        <v>1.111213</v>
      </c>
      <c r="L5192">
        <v>21.282779999999999</v>
      </c>
      <c r="M5192">
        <v>0.95941160000000003</v>
      </c>
      <c r="N5192">
        <v>0</v>
      </c>
      <c r="O5192">
        <v>-0.2817038</v>
      </c>
      <c r="P5192">
        <v>0.96360020000000002</v>
      </c>
      <c r="Q5192">
        <v>0.162697799999999</v>
      </c>
      <c r="R5192">
        <v>-0.2121429</v>
      </c>
      <c r="S5192">
        <v>3.0070800000000002</v>
      </c>
      <c r="T5192">
        <v>-0.28879199999999999</v>
      </c>
      <c r="U5192">
        <v>-0.70562740000000002</v>
      </c>
      <c r="V5192">
        <v>-6.8155359999999998E-2</v>
      </c>
      <c r="W5192">
        <v>0.175534</v>
      </c>
      <c r="X5192">
        <v>0.98211130000000002</v>
      </c>
      <c r="Y5192">
        <v>-5.3667550000000001E-2</v>
      </c>
      <c r="Z5192">
        <v>2.868302E-2</v>
      </c>
      <c r="AA5192">
        <v>0.9981468</v>
      </c>
      <c r="AB5192">
        <v>22</v>
      </c>
      <c r="AC5192">
        <v>11.441199999999901</v>
      </c>
      <c r="AD5192">
        <v>-1.1112172327429899</v>
      </c>
      <c r="AE5192">
        <v>-2.6777500000000001</v>
      </c>
      <c r="AF5192">
        <v>-0.64822425177089904</v>
      </c>
      <c r="AG5192">
        <v>-1.1112172327429899</v>
      </c>
      <c r="AH5192">
        <v>11.6281700648021</v>
      </c>
      <c r="AI5192">
        <v>95.450341395189099</v>
      </c>
      <c r="AJ5192">
        <v>93.1907094853226</v>
      </c>
      <c r="AK5192">
        <v>11.6991169527828</v>
      </c>
      <c r="AL5192">
        <v>79.890264616056399</v>
      </c>
      <c r="AM5192">
        <v>93.969777961523107</v>
      </c>
      <c r="AN5192">
        <v>0.99999997192020895</v>
      </c>
    </row>
    <row r="5193" spans="1:40" x14ac:dyDescent="0.25">
      <c r="A5193" t="str">
        <f>"20190312172515044"</f>
        <v>20190312172515044</v>
      </c>
      <c r="B5193" t="str">
        <f>"1552382715036210"</f>
        <v>1552382715036210</v>
      </c>
      <c r="C5193" t="s">
        <v>40</v>
      </c>
      <c r="D5193">
        <v>4.0940810000000001</v>
      </c>
      <c r="E5193">
        <v>0.50616909999999904</v>
      </c>
      <c r="F5193" t="s">
        <v>51</v>
      </c>
      <c r="G5193">
        <v>-381.33429999999998</v>
      </c>
      <c r="H5193" s="1">
        <v>-4.2791369999999998E-6</v>
      </c>
      <c r="I5193">
        <v>18.5884</v>
      </c>
      <c r="J5193">
        <v>-392.75099999999998</v>
      </c>
      <c r="K5193">
        <v>1.1112120000000001</v>
      </c>
      <c r="L5193">
        <v>21.249269999999999</v>
      </c>
      <c r="M5193">
        <v>0.95956030000000003</v>
      </c>
      <c r="N5193">
        <v>0</v>
      </c>
      <c r="O5193">
        <v>-0.281196</v>
      </c>
      <c r="P5193">
        <v>0.96383359999999996</v>
      </c>
      <c r="Q5193">
        <v>0.16233159999999999</v>
      </c>
      <c r="R5193">
        <v>-0.21136099999999999</v>
      </c>
      <c r="S5193">
        <v>3.007568</v>
      </c>
      <c r="T5193">
        <v>-0.28978189999999998</v>
      </c>
      <c r="U5193">
        <v>-0.702636699999999</v>
      </c>
      <c r="V5193">
        <v>-6.8450259999999999E-2</v>
      </c>
      <c r="W5193">
        <v>0.17516689999999999</v>
      </c>
      <c r="X5193">
        <v>0.98215629999999998</v>
      </c>
      <c r="Y5193">
        <v>-5.4106660000000001E-2</v>
      </c>
      <c r="Z5193">
        <v>2.8755429999999998E-2</v>
      </c>
      <c r="AA5193">
        <v>0.99812100000000004</v>
      </c>
      <c r="AB5193">
        <v>22</v>
      </c>
      <c r="AC5193">
        <v>11.416699999999899</v>
      </c>
      <c r="AD5193">
        <v>-1.1112162791369999</v>
      </c>
      <c r="AE5193">
        <v>-2.6608700000000001</v>
      </c>
      <c r="AF5193">
        <v>-0.65126994928319104</v>
      </c>
      <c r="AG5193">
        <v>-1.1112162791369999</v>
      </c>
      <c r="AH5193">
        <v>11.6000174098863</v>
      </c>
      <c r="AI5193">
        <v>95.463364004065596</v>
      </c>
      <c r="AJ5193">
        <v>93.213433632111304</v>
      </c>
      <c r="AK5193">
        <v>11.6713049002896</v>
      </c>
      <c r="AL5193">
        <v>79.911628581571605</v>
      </c>
      <c r="AM5193">
        <v>93.986717355490896</v>
      </c>
      <c r="AN5193">
        <v>0.99999993928968101</v>
      </c>
    </row>
    <row r="5194" spans="1:40" x14ac:dyDescent="0.25">
      <c r="A5194" t="str">
        <f>"20190312172515062"</f>
        <v>20190312172515062</v>
      </c>
      <c r="B5194" t="str">
        <f>"1552382715055730"</f>
        <v>1552382715055730</v>
      </c>
      <c r="C5194" t="s">
        <v>40</v>
      </c>
      <c r="D5194">
        <v>4.1130829999999996</v>
      </c>
      <c r="E5194">
        <v>0.50616000000000005</v>
      </c>
      <c r="F5194" t="s">
        <v>51</v>
      </c>
      <c r="G5194">
        <v>-381.25659999999999</v>
      </c>
      <c r="H5194" s="1">
        <v>-4.3186170000000003E-6</v>
      </c>
      <c r="I5194">
        <v>18.572849999999999</v>
      </c>
      <c r="J5194">
        <v>-392.58089999999999</v>
      </c>
      <c r="K5194">
        <v>1.111202</v>
      </c>
      <c r="L5194">
        <v>21.20035</v>
      </c>
      <c r="M5194">
        <v>0.95977780000000001</v>
      </c>
      <c r="N5194">
        <v>0</v>
      </c>
      <c r="O5194">
        <v>-0.28045360000000003</v>
      </c>
      <c r="P5194">
        <v>0.96423510000000001</v>
      </c>
      <c r="Q5194">
        <v>0.1615743</v>
      </c>
      <c r="R5194">
        <v>-0.2101066</v>
      </c>
      <c r="S5194">
        <v>3.0079349999999998</v>
      </c>
      <c r="T5194">
        <v>-0.29078890000000002</v>
      </c>
      <c r="U5194">
        <v>-0.70037839999999996</v>
      </c>
      <c r="V5194">
        <v>-6.9003869999999995E-2</v>
      </c>
      <c r="W5194">
        <v>0.1744096</v>
      </c>
      <c r="X5194">
        <v>0.98225240000000003</v>
      </c>
      <c r="Y5194">
        <v>-5.406511E-2</v>
      </c>
      <c r="Z5194">
        <v>2.878528E-2</v>
      </c>
      <c r="AA5194">
        <v>0.99812239999999997</v>
      </c>
      <c r="AB5194">
        <v>22</v>
      </c>
      <c r="AC5194">
        <v>11.3242999999999</v>
      </c>
      <c r="AD5194">
        <v>-1.111206318617</v>
      </c>
      <c r="AE5194">
        <v>-2.6274999999999999</v>
      </c>
      <c r="AF5194">
        <v>-0.64825790702918096</v>
      </c>
      <c r="AG5194">
        <v>-1.111206318617</v>
      </c>
      <c r="AH5194">
        <v>11.5016158690113</v>
      </c>
      <c r="AI5194">
        <v>95.509702973371702</v>
      </c>
      <c r="AJ5194">
        <v>93.225910779678301</v>
      </c>
      <c r="AK5194">
        <v>11.5733394227791</v>
      </c>
      <c r="AL5194">
        <v>79.955697784851694</v>
      </c>
      <c r="AM5194">
        <v>94.018463876647203</v>
      </c>
      <c r="AN5194">
        <v>1.0000000099764399</v>
      </c>
    </row>
    <row r="5195" spans="1:40" x14ac:dyDescent="0.25">
      <c r="A5195" t="str">
        <f>"20190312172515075"</f>
        <v>20190312172515075</v>
      </c>
      <c r="B5195" t="str">
        <f>"1552382715065490"</f>
        <v>1552382715065490</v>
      </c>
      <c r="C5195" t="s">
        <v>40</v>
      </c>
      <c r="D5195">
        <v>4.1117480000000004</v>
      </c>
      <c r="E5195">
        <v>0.506162</v>
      </c>
      <c r="F5195" t="s">
        <v>51</v>
      </c>
      <c r="G5195">
        <v>-381.16430000000003</v>
      </c>
      <c r="H5195" s="1">
        <v>-4.3650919999999997E-6</v>
      </c>
      <c r="I5195">
        <v>18.556650000000001</v>
      </c>
      <c r="J5195">
        <v>-392.45690000000002</v>
      </c>
      <c r="K5195">
        <v>1.111199</v>
      </c>
      <c r="L5195">
        <v>21.164760000000001</v>
      </c>
      <c r="M5195">
        <v>0.95993550000000005</v>
      </c>
      <c r="N5195">
        <v>0</v>
      </c>
      <c r="O5195">
        <v>-0.27991290000000002</v>
      </c>
      <c r="P5195">
        <v>0.96446849999999995</v>
      </c>
      <c r="Q5195">
        <v>0.1611416</v>
      </c>
      <c r="R5195">
        <v>-0.20936550000000001</v>
      </c>
      <c r="S5195">
        <v>3.008575</v>
      </c>
      <c r="T5195">
        <v>-0.2928327</v>
      </c>
      <c r="U5195">
        <v>-0.69668580000000002</v>
      </c>
      <c r="V5195">
        <v>-6.9224690000000005E-2</v>
      </c>
      <c r="W5195">
        <v>0.17397660000000001</v>
      </c>
      <c r="X5195">
        <v>0.98231360000000001</v>
      </c>
      <c r="Y5195">
        <v>-5.4691459999999997E-2</v>
      </c>
      <c r="Z5195">
        <v>2.89664E-2</v>
      </c>
      <c r="AA5195">
        <v>0.9980831</v>
      </c>
      <c r="AB5195">
        <v>22</v>
      </c>
      <c r="AC5195">
        <v>11.292599999999901</v>
      </c>
      <c r="AD5195">
        <v>-1.1112033650919999</v>
      </c>
      <c r="AE5195">
        <v>-2.6081099999999999</v>
      </c>
      <c r="AF5195">
        <v>-0.65139586630893498</v>
      </c>
      <c r="AG5195">
        <v>-1.1112033650919999</v>
      </c>
      <c r="AH5195">
        <v>11.4658113179101</v>
      </c>
      <c r="AI5195">
        <v>95.526647967964706</v>
      </c>
      <c r="AJ5195">
        <v>93.251593512812093</v>
      </c>
      <c r="AK5195">
        <v>11.537933899583299</v>
      </c>
      <c r="AL5195">
        <v>79.980891552712805</v>
      </c>
      <c r="AM5195">
        <v>94.031030745440901</v>
      </c>
      <c r="AN5195">
        <v>0.99999996189905704</v>
      </c>
    </row>
    <row r="5196" spans="1:40" x14ac:dyDescent="0.25">
      <c r="A5196" t="str">
        <f>"20190312172515086"</f>
        <v>20190312172515086</v>
      </c>
      <c r="B5196" t="str">
        <f>"1552382715076227"</f>
        <v>1552382715076227</v>
      </c>
      <c r="C5196" t="s">
        <v>40</v>
      </c>
      <c r="D5196">
        <v>4.1106389999999999</v>
      </c>
      <c r="E5196">
        <v>0.50616819999999996</v>
      </c>
      <c r="F5196" t="s">
        <v>51</v>
      </c>
      <c r="G5196">
        <v>-381.08780000000002</v>
      </c>
      <c r="H5196" s="1">
        <v>-4.4040749999999998E-6</v>
      </c>
      <c r="I5196">
        <v>18.540929999999999</v>
      </c>
      <c r="J5196">
        <v>-392.35449999999997</v>
      </c>
      <c r="K5196">
        <v>1.111197</v>
      </c>
      <c r="L5196">
        <v>21.1355</v>
      </c>
      <c r="M5196">
        <v>0.96006550000000002</v>
      </c>
      <c r="N5196">
        <v>0</v>
      </c>
      <c r="O5196">
        <v>-0.27946690000000002</v>
      </c>
      <c r="P5196">
        <v>0.96464720000000004</v>
      </c>
      <c r="Q5196">
        <v>0.16048129999999999</v>
      </c>
      <c r="R5196">
        <v>-0.2090497</v>
      </c>
      <c r="S5196">
        <v>3.008972</v>
      </c>
      <c r="T5196">
        <v>-0.294093099999999</v>
      </c>
      <c r="U5196">
        <v>-0.69442749999999998</v>
      </c>
      <c r="V5196">
        <v>-6.91195E-2</v>
      </c>
      <c r="W5196">
        <v>0.17331779999999999</v>
      </c>
      <c r="X5196">
        <v>0.98243749999999996</v>
      </c>
      <c r="Y5196">
        <v>-5.4955709999999998E-2</v>
      </c>
      <c r="Z5196">
        <v>2.9061670000000001E-2</v>
      </c>
      <c r="AA5196">
        <v>0.9980658</v>
      </c>
      <c r="AB5196">
        <v>22</v>
      </c>
      <c r="AC5196">
        <v>11.266699999999901</v>
      </c>
      <c r="AD5196">
        <v>-1.111201404075</v>
      </c>
      <c r="AE5196">
        <v>-2.59457</v>
      </c>
      <c r="AF5196">
        <v>-0.651748832835639</v>
      </c>
      <c r="AG5196">
        <v>-1.111201404075</v>
      </c>
      <c r="AH5196">
        <v>11.4372116485221</v>
      </c>
      <c r="AI5196">
        <v>95.540318200807405</v>
      </c>
      <c r="AJ5196">
        <v>93.261469370926207</v>
      </c>
      <c r="AK5196">
        <v>11.5095332396501</v>
      </c>
      <c r="AL5196">
        <v>80.019220724671797</v>
      </c>
      <c r="AM5196">
        <v>94.024419626518494</v>
      </c>
      <c r="AN5196">
        <v>1.0000000032416601</v>
      </c>
    </row>
    <row r="5197" spans="1:40" x14ac:dyDescent="0.25">
      <c r="A5197" t="str">
        <f>"20190312172515097"</f>
        <v>20190312172515097</v>
      </c>
      <c r="B5197" t="str">
        <f>"1552382715085986"</f>
        <v>1552382715085986</v>
      </c>
      <c r="C5197" t="s">
        <v>40</v>
      </c>
      <c r="D5197">
        <v>4.1259690000000004</v>
      </c>
      <c r="E5197">
        <v>0.50618109999999905</v>
      </c>
      <c r="F5197" t="s">
        <v>51</v>
      </c>
      <c r="G5197">
        <v>-381.05250000000001</v>
      </c>
      <c r="H5197" s="1">
        <v>-4.4223449999999998E-6</v>
      </c>
      <c r="I5197">
        <v>18.531839999999999</v>
      </c>
      <c r="J5197">
        <v>-392.24549999999999</v>
      </c>
      <c r="K5197">
        <v>1.1111979999999999</v>
      </c>
      <c r="L5197">
        <v>21.104340000000001</v>
      </c>
      <c r="M5197">
        <v>0.96020360000000005</v>
      </c>
      <c r="N5197">
        <v>0</v>
      </c>
      <c r="O5197">
        <v>-0.27899170000000001</v>
      </c>
      <c r="P5197">
        <v>0.96484110000000001</v>
      </c>
      <c r="Q5197">
        <v>0.1599121</v>
      </c>
      <c r="R5197">
        <v>-0.20859069999999999</v>
      </c>
      <c r="S5197">
        <v>3.0089419999999998</v>
      </c>
      <c r="T5197">
        <v>-0.29583700000000002</v>
      </c>
      <c r="U5197">
        <v>-0.69317629999999997</v>
      </c>
      <c r="V5197">
        <v>-6.9126499999999994E-2</v>
      </c>
      <c r="W5197">
        <v>0.17274909999999999</v>
      </c>
      <c r="X5197">
        <v>0.9825372</v>
      </c>
      <c r="Y5197">
        <v>-5.4838459999999999E-2</v>
      </c>
      <c r="Z5197">
        <v>2.918567E-2</v>
      </c>
      <c r="AA5197">
        <v>0.99806859999999997</v>
      </c>
      <c r="AB5197">
        <v>22</v>
      </c>
      <c r="AC5197">
        <v>11.1929999999999</v>
      </c>
      <c r="AD5197">
        <v>-1.1112024223450001</v>
      </c>
      <c r="AE5197">
        <v>-2.5724999999999998</v>
      </c>
      <c r="AF5197">
        <v>-0.64663333404448897</v>
      </c>
      <c r="AG5197">
        <v>-1.1112024223450001</v>
      </c>
      <c r="AH5197">
        <v>11.359911023191099</v>
      </c>
      <c r="AI5197">
        <v>95.577806138334296</v>
      </c>
      <c r="AJ5197">
        <v>93.2578972844547</v>
      </c>
      <c r="AK5197">
        <v>11.432431235172199</v>
      </c>
      <c r="AL5197">
        <v>80.052304201546505</v>
      </c>
      <c r="AM5197">
        <v>94.024418790662594</v>
      </c>
      <c r="AN5197">
        <v>1.0000000369684401</v>
      </c>
    </row>
    <row r="5198" spans="1:40" x14ac:dyDescent="0.25">
      <c r="A5198" t="str">
        <f>"20190312172515110"</f>
        <v>20190312172515110</v>
      </c>
      <c r="B5198" t="str">
        <f>"1552382715105506"</f>
        <v>1552382715105506</v>
      </c>
      <c r="C5198" t="s">
        <v>40</v>
      </c>
      <c r="D5198">
        <v>4.1507110000000003</v>
      </c>
      <c r="E5198">
        <v>0.5062181</v>
      </c>
      <c r="F5198" t="s">
        <v>51</v>
      </c>
      <c r="G5198">
        <v>-381.00400000000002</v>
      </c>
      <c r="H5198" s="1">
        <v>-4.4472910000000001E-6</v>
      </c>
      <c r="I5198">
        <v>18.52054</v>
      </c>
      <c r="J5198">
        <v>-392.14109999999999</v>
      </c>
      <c r="K5198">
        <v>1.1111960000000001</v>
      </c>
      <c r="L5198">
        <v>21.074580000000001</v>
      </c>
      <c r="M5198">
        <v>0.96033559999999996</v>
      </c>
      <c r="N5198">
        <v>0</v>
      </c>
      <c r="O5198">
        <v>-0.27853729999999999</v>
      </c>
      <c r="P5198">
        <v>0.96506060000000005</v>
      </c>
      <c r="Q5198">
        <v>0.1592336</v>
      </c>
      <c r="R5198">
        <v>-0.20809420000000001</v>
      </c>
      <c r="S5198">
        <v>3.009064</v>
      </c>
      <c r="T5198">
        <v>-0.29744169999999998</v>
      </c>
      <c r="U5198">
        <v>-0.69161989999999995</v>
      </c>
      <c r="V5198">
        <v>-6.9197149999999999E-2</v>
      </c>
      <c r="W5198">
        <v>0.1720718</v>
      </c>
      <c r="X5198">
        <v>0.9826511</v>
      </c>
      <c r="Y5198">
        <v>-5.4850799999999998E-2</v>
      </c>
      <c r="Z5198">
        <v>2.9302640000000001E-2</v>
      </c>
      <c r="AA5198">
        <v>0.99806450000000002</v>
      </c>
      <c r="AB5198">
        <v>22</v>
      </c>
      <c r="AC5198">
        <v>11.137099999999901</v>
      </c>
      <c r="AD5198">
        <v>-1.11120044729099</v>
      </c>
      <c r="AE5198">
        <v>-2.5540399999999899</v>
      </c>
      <c r="AF5198">
        <v>-0.64333385112726604</v>
      </c>
      <c r="AG5198">
        <v>-1.11120044729099</v>
      </c>
      <c r="AH5198">
        <v>11.300854064348799</v>
      </c>
      <c r="AI5198">
        <v>95.606758216650903</v>
      </c>
      <c r="AJ5198">
        <v>93.258211524172395</v>
      </c>
      <c r="AK5198">
        <v>11.373563533993</v>
      </c>
      <c r="AL5198">
        <v>80.091700887332905</v>
      </c>
      <c r="AM5198">
        <v>94.028052957187597</v>
      </c>
      <c r="AN5198">
        <v>1.00000006712728</v>
      </c>
    </row>
    <row r="5199" spans="1:40" x14ac:dyDescent="0.25">
      <c r="A5199" t="str">
        <f>"20190312172515122"</f>
        <v>20190312172515122</v>
      </c>
      <c r="B5199" t="str">
        <f>"1552382715116242"</f>
        <v>1552382715116242</v>
      </c>
      <c r="C5199" t="s">
        <v>40</v>
      </c>
      <c r="D5199">
        <v>4.1508560000000001</v>
      </c>
      <c r="E5199">
        <v>0.50624130000000001</v>
      </c>
      <c r="F5199" t="s">
        <v>51</v>
      </c>
      <c r="G5199">
        <v>-380.96690000000001</v>
      </c>
      <c r="H5199" s="1">
        <v>-4.4664390000000001E-6</v>
      </c>
      <c r="I5199">
        <v>18.511520000000001</v>
      </c>
      <c r="J5199">
        <v>-392.0299</v>
      </c>
      <c r="K5199">
        <v>1.111192</v>
      </c>
      <c r="L5199">
        <v>21.042940000000002</v>
      </c>
      <c r="M5199">
        <v>0.96047590000000005</v>
      </c>
      <c r="N5199">
        <v>0</v>
      </c>
      <c r="O5199">
        <v>-0.27805299999999999</v>
      </c>
      <c r="P5199">
        <v>0.96534189999999998</v>
      </c>
      <c r="Q5199">
        <v>0.1584265</v>
      </c>
      <c r="R5199">
        <v>-0.20740339999999999</v>
      </c>
      <c r="S5199">
        <v>3.0091549999999998</v>
      </c>
      <c r="T5199">
        <v>-0.29923919999999998</v>
      </c>
      <c r="U5199">
        <v>-0.6902161</v>
      </c>
      <c r="V5199">
        <v>-6.9440399999999999E-2</v>
      </c>
      <c r="W5199">
        <v>0.17126520000000001</v>
      </c>
      <c r="X5199">
        <v>0.98277479999999995</v>
      </c>
      <c r="Y5199">
        <v>-5.4780450000000001E-2</v>
      </c>
      <c r="Z5199">
        <v>2.9431260000000001E-2</v>
      </c>
      <c r="AA5199">
        <v>0.99806459999999997</v>
      </c>
      <c r="AB5199">
        <v>22</v>
      </c>
      <c r="AC5199">
        <v>11.062999999999899</v>
      </c>
      <c r="AD5199">
        <v>-1.1111964664389999</v>
      </c>
      <c r="AE5199">
        <v>-2.53141999999999</v>
      </c>
      <c r="AF5199">
        <v>-0.63866533677162896</v>
      </c>
      <c r="AG5199">
        <v>-1.1111964664389999</v>
      </c>
      <c r="AH5199">
        <v>11.222999202452201</v>
      </c>
      <c r="AI5199">
        <v>95.6453889760772</v>
      </c>
      <c r="AJ5199">
        <v>93.257008545190203</v>
      </c>
      <c r="AK5199">
        <v>11.2959444978126</v>
      </c>
      <c r="AL5199">
        <v>80.138611625946893</v>
      </c>
      <c r="AM5199">
        <v>94.041658895793603</v>
      </c>
      <c r="AN5199">
        <v>1.0000000226991099</v>
      </c>
    </row>
    <row r="5200" spans="1:40" x14ac:dyDescent="0.25">
      <c r="A5200" t="str">
        <f>"20190312172515138"</f>
        <v>20190312172515138</v>
      </c>
      <c r="B5200" t="str">
        <f>"1552382715126002"</f>
        <v>1552382715126002</v>
      </c>
      <c r="C5200" t="s">
        <v>40</v>
      </c>
      <c r="D5200">
        <v>4.1595930000000001</v>
      </c>
      <c r="E5200">
        <v>0.50627089999999997</v>
      </c>
      <c r="F5200" t="s">
        <v>51</v>
      </c>
      <c r="G5200">
        <v>-380.94450000000001</v>
      </c>
      <c r="H5200" s="1">
        <v>-4.4776220000000003E-6</v>
      </c>
      <c r="I5200">
        <v>18.508179999999999</v>
      </c>
      <c r="J5200">
        <v>-391.87009999999998</v>
      </c>
      <c r="K5200">
        <v>1.1111819999999999</v>
      </c>
      <c r="L5200">
        <v>20.99756</v>
      </c>
      <c r="M5200">
        <v>0.96067709999999995</v>
      </c>
      <c r="N5200">
        <v>0</v>
      </c>
      <c r="O5200">
        <v>-0.27735729999999997</v>
      </c>
      <c r="P5200">
        <v>0.96583830000000004</v>
      </c>
      <c r="Q5200">
        <v>0.1569982</v>
      </c>
      <c r="R5200">
        <v>-0.206175</v>
      </c>
      <c r="S5200">
        <v>3.009369</v>
      </c>
      <c r="T5200">
        <v>-0.3016566</v>
      </c>
      <c r="U5200">
        <v>-0.68811040000000001</v>
      </c>
      <c r="V5200">
        <v>-7.0042789999999994E-2</v>
      </c>
      <c r="W5200">
        <v>0.16983779999999901</v>
      </c>
      <c r="X5200">
        <v>0.98297970000000001</v>
      </c>
      <c r="Y5200">
        <v>-5.4715159999999999E-2</v>
      </c>
      <c r="Z5200">
        <v>2.9600020000000001E-2</v>
      </c>
      <c r="AA5200">
        <v>0.99806309999999998</v>
      </c>
      <c r="AB5200">
        <v>22</v>
      </c>
      <c r="AC5200">
        <v>10.9255999999999</v>
      </c>
      <c r="AD5200">
        <v>-1.111186477622</v>
      </c>
      <c r="AE5200">
        <v>-2.4893800000000001</v>
      </c>
      <c r="AF5200">
        <v>-0.63263866703068194</v>
      </c>
      <c r="AG5200">
        <v>-1.111186477622</v>
      </c>
      <c r="AH5200">
        <v>11.0784474892295</v>
      </c>
      <c r="AI5200">
        <v>95.718449831359607</v>
      </c>
      <c r="AJ5200">
        <v>93.2683461475212</v>
      </c>
      <c r="AK5200">
        <v>11.1519938057142</v>
      </c>
      <c r="AL5200">
        <v>80.2216112659804</v>
      </c>
      <c r="AM5200">
        <v>94.075755371368999</v>
      </c>
      <c r="AN5200">
        <v>0.99999998067595597</v>
      </c>
    </row>
    <row r="5201" spans="1:40" x14ac:dyDescent="0.25">
      <c r="A5201" t="str">
        <f>"20190312172515150"</f>
        <v>20190312172515150</v>
      </c>
      <c r="B5201" t="str">
        <f>"1552382715145523"</f>
        <v>1552382715145523</v>
      </c>
      <c r="C5201" t="s">
        <v>40</v>
      </c>
      <c r="D5201">
        <v>4.1517549999999996</v>
      </c>
      <c r="E5201">
        <v>0.50632559999999904</v>
      </c>
      <c r="F5201" t="s">
        <v>51</v>
      </c>
      <c r="G5201">
        <v>-380.93610000000001</v>
      </c>
      <c r="H5201" s="1">
        <v>-4.4810449999999997E-6</v>
      </c>
      <c r="I5201">
        <v>18.511050000000001</v>
      </c>
      <c r="J5201">
        <v>-391.76549999999997</v>
      </c>
      <c r="K5201">
        <v>1.111175</v>
      </c>
      <c r="L5201">
        <v>20.967929999999999</v>
      </c>
      <c r="M5201">
        <v>0.96080860000000001</v>
      </c>
      <c r="N5201">
        <v>0</v>
      </c>
      <c r="O5201">
        <v>-0.27690160000000003</v>
      </c>
      <c r="P5201">
        <v>0.96609500000000004</v>
      </c>
      <c r="Q5201">
        <v>0.15643979999999999</v>
      </c>
      <c r="R5201">
        <v>-0.2053951</v>
      </c>
      <c r="S5201">
        <v>3.009735</v>
      </c>
      <c r="T5201">
        <v>-0.30587029999999998</v>
      </c>
      <c r="U5201">
        <v>-0.68444819999999995</v>
      </c>
      <c r="V5201">
        <v>-7.0395089999999994E-2</v>
      </c>
      <c r="W5201">
        <v>0.16927909999999999</v>
      </c>
      <c r="X5201">
        <v>0.98305089999999995</v>
      </c>
      <c r="Y5201">
        <v>-5.5377999999999997E-2</v>
      </c>
      <c r="Z5201">
        <v>3.0002649999999999E-2</v>
      </c>
      <c r="AA5201">
        <v>0.99801459999999997</v>
      </c>
      <c r="AB5201">
        <v>22</v>
      </c>
      <c r="AC5201">
        <v>10.8293999999999</v>
      </c>
      <c r="AD5201">
        <v>-1.111179481045</v>
      </c>
      <c r="AE5201">
        <v>-2.4568799999999902</v>
      </c>
      <c r="AF5201">
        <v>-0.63181540156862503</v>
      </c>
      <c r="AG5201">
        <v>-1.111179481045</v>
      </c>
      <c r="AH5201">
        <v>10.976344285460801</v>
      </c>
      <c r="AI5201">
        <v>95.771100532257407</v>
      </c>
      <c r="AJ5201">
        <v>93.294398665724799</v>
      </c>
      <c r="AK5201">
        <v>11.050522359315099</v>
      </c>
      <c r="AL5201">
        <v>80.254092712339201</v>
      </c>
      <c r="AM5201">
        <v>94.095890260188696</v>
      </c>
      <c r="AN5201">
        <v>0.99999997719186295</v>
      </c>
    </row>
    <row r="5202" spans="1:40" x14ac:dyDescent="0.25">
      <c r="A5202" t="str">
        <f>"20190312172515162"</f>
        <v>20190312172515162</v>
      </c>
      <c r="B5202" t="str">
        <f>"1552382715156258"</f>
        <v>1552382715156258</v>
      </c>
      <c r="C5202" t="s">
        <v>40</v>
      </c>
      <c r="D5202">
        <v>4.1427480000000001</v>
      </c>
      <c r="E5202">
        <v>0.50636009999999998</v>
      </c>
      <c r="F5202" t="s">
        <v>51</v>
      </c>
      <c r="G5202">
        <v>-380.88099999999997</v>
      </c>
      <c r="H5202" s="1">
        <v>-4.5089960000000003E-6</v>
      </c>
      <c r="I5202">
        <v>18.50027</v>
      </c>
      <c r="J5202">
        <v>-391.65660000000003</v>
      </c>
      <c r="K5202">
        <v>1.111164</v>
      </c>
      <c r="L5202">
        <v>20.93713</v>
      </c>
      <c r="M5202">
        <v>0.9609451</v>
      </c>
      <c r="N5202">
        <v>0</v>
      </c>
      <c r="O5202">
        <v>-0.2764277</v>
      </c>
      <c r="P5202">
        <v>0.96637609999999996</v>
      </c>
      <c r="Q5202">
        <v>0.15581610000000001</v>
      </c>
      <c r="R5202">
        <v>-0.20454610000000001</v>
      </c>
      <c r="S5202">
        <v>3.009979</v>
      </c>
      <c r="T5202">
        <v>-0.30728499999999997</v>
      </c>
      <c r="U5202">
        <v>-0.6824036</v>
      </c>
      <c r="V5202">
        <v>-7.0801680000000006E-2</v>
      </c>
      <c r="W5202">
        <v>0.16865539999999901</v>
      </c>
      <c r="X5202">
        <v>0.98312889999999997</v>
      </c>
      <c r="Y5202">
        <v>-5.5534479999999997E-2</v>
      </c>
      <c r="Z5202">
        <v>3.010359E-2</v>
      </c>
      <c r="AA5202">
        <v>0.99800279999999997</v>
      </c>
      <c r="AB5202">
        <v>22</v>
      </c>
      <c r="AC5202">
        <v>10.775600000000001</v>
      </c>
      <c r="AD5202">
        <v>-1.1111685089959999</v>
      </c>
      <c r="AE5202">
        <v>-2.4368599999999998</v>
      </c>
      <c r="AF5202">
        <v>-0.63066065105699098</v>
      </c>
      <c r="AG5202">
        <v>-1.1111685089959999</v>
      </c>
      <c r="AH5202">
        <v>10.9188685431798</v>
      </c>
      <c r="AI5202">
        <v>95.801150118003093</v>
      </c>
      <c r="AJ5202">
        <v>93.305662262025905</v>
      </c>
      <c r="AK5202">
        <v>10.9933670263217</v>
      </c>
      <c r="AL5202">
        <v>80.290349409521497</v>
      </c>
      <c r="AM5202">
        <v>94.119140503053799</v>
      </c>
      <c r="AN5202">
        <v>0.99999997792759499</v>
      </c>
    </row>
    <row r="5203" spans="1:40" x14ac:dyDescent="0.25">
      <c r="A5203" t="str">
        <f>"20190312172515173"</f>
        <v>20190312172515173</v>
      </c>
      <c r="B5203" t="str">
        <f>"1552382715166018"</f>
        <v>1552382715166018</v>
      </c>
      <c r="C5203" t="s">
        <v>40</v>
      </c>
      <c r="D5203">
        <v>4.1430339999999903</v>
      </c>
      <c r="E5203">
        <v>0.50638309999999997</v>
      </c>
      <c r="F5203" t="s">
        <v>51</v>
      </c>
      <c r="G5203">
        <v>-380.8331</v>
      </c>
      <c r="H5203" s="1">
        <v>-4.5330009999999999E-6</v>
      </c>
      <c r="I5203">
        <v>18.492699999999999</v>
      </c>
      <c r="J5203">
        <v>-391.5462</v>
      </c>
      <c r="K5203">
        <v>1.1111599999999999</v>
      </c>
      <c r="L5203">
        <v>20.90598</v>
      </c>
      <c r="M5203">
        <v>0.96108320000000003</v>
      </c>
      <c r="N5203">
        <v>0</v>
      </c>
      <c r="O5203">
        <v>-0.275947</v>
      </c>
      <c r="P5203">
        <v>0.96661050000000004</v>
      </c>
      <c r="Q5203">
        <v>0.15553029999999901</v>
      </c>
      <c r="R5203">
        <v>-0.203653</v>
      </c>
      <c r="S5203">
        <v>3.010345</v>
      </c>
      <c r="T5203">
        <v>-0.30904979999999999</v>
      </c>
      <c r="U5203">
        <v>-0.67987059999999999</v>
      </c>
      <c r="V5203">
        <v>-7.1231870000000003E-2</v>
      </c>
      <c r="W5203">
        <v>0.1683645</v>
      </c>
      <c r="X5203">
        <v>0.98314769999999896</v>
      </c>
      <c r="Y5203">
        <v>-5.5842549999999998E-2</v>
      </c>
      <c r="Z5203">
        <v>3.0244759999999999E-2</v>
      </c>
      <c r="AA5203">
        <v>0.99798140000000002</v>
      </c>
      <c r="AB5203">
        <v>22</v>
      </c>
      <c r="AC5203">
        <v>10.713099999999899</v>
      </c>
      <c r="AD5203">
        <v>-1.1111645330009901</v>
      </c>
      <c r="AE5203">
        <v>-2.4132799999999999</v>
      </c>
      <c r="AF5203">
        <v>-0.63048471104794201</v>
      </c>
      <c r="AG5203">
        <v>-1.1111645330009901</v>
      </c>
      <c r="AH5203">
        <v>10.851956506798301</v>
      </c>
      <c r="AI5203">
        <v>95.836538713274194</v>
      </c>
      <c r="AJ5203">
        <v>93.325073217493198</v>
      </c>
      <c r="AK5203">
        <v>10.926900640882</v>
      </c>
      <c r="AL5203">
        <v>80.307258692382504</v>
      </c>
      <c r="AM5203">
        <v>94.144002441378206</v>
      </c>
      <c r="AN5203">
        <v>0.99999999208961798</v>
      </c>
    </row>
    <row r="5204" spans="1:40" x14ac:dyDescent="0.25">
      <c r="A5204" t="str">
        <f>"20190312172515187"</f>
        <v>20190312172515187</v>
      </c>
      <c r="B5204" t="str">
        <f>"1552382715175778"</f>
        <v>1552382715175778</v>
      </c>
      <c r="C5204" t="s">
        <v>40</v>
      </c>
      <c r="D5204">
        <v>4.1428070000000004</v>
      </c>
      <c r="E5204">
        <v>0.50641570000000002</v>
      </c>
      <c r="F5204" t="s">
        <v>51</v>
      </c>
      <c r="G5204">
        <v>-380.74599999999998</v>
      </c>
      <c r="H5204" s="1">
        <v>-4.577009E-6</v>
      </c>
      <c r="I5204">
        <v>18.476700000000001</v>
      </c>
      <c r="J5204">
        <v>-391.42559999999997</v>
      </c>
      <c r="K5204">
        <v>1.1111409999999999</v>
      </c>
      <c r="L5204">
        <v>20.87201</v>
      </c>
      <c r="M5204">
        <v>0.96123499999999995</v>
      </c>
      <c r="N5204">
        <v>0</v>
      </c>
      <c r="O5204">
        <v>-0.27542050000000001</v>
      </c>
      <c r="P5204">
        <v>0.96683620000000003</v>
      </c>
      <c r="Q5204">
        <v>0.15541839999999901</v>
      </c>
      <c r="R5204">
        <v>-0.20266519999999999</v>
      </c>
      <c r="S5204">
        <v>3.0108030000000001</v>
      </c>
      <c r="T5204">
        <v>-0.30976209999999998</v>
      </c>
      <c r="U5204">
        <v>-0.67721560000000003</v>
      </c>
      <c r="V5204">
        <v>-7.1704690000000001E-2</v>
      </c>
      <c r="W5204">
        <v>0.16819149999999999</v>
      </c>
      <c r="X5204">
        <v>0.98314299999999999</v>
      </c>
      <c r="Y5204">
        <v>-5.6158989999999999E-2</v>
      </c>
      <c r="Z5204">
        <v>3.0278409999999999E-2</v>
      </c>
      <c r="AA5204">
        <v>0.99796260000000003</v>
      </c>
      <c r="AB5204">
        <v>22</v>
      </c>
      <c r="AC5204">
        <v>10.679599999999899</v>
      </c>
      <c r="AD5204">
        <v>-1.111145577009</v>
      </c>
      <c r="AE5204">
        <v>-2.3953099999999901</v>
      </c>
      <c r="AF5204">
        <v>-0.63246100509531</v>
      </c>
      <c r="AG5204">
        <v>-1.111145577009</v>
      </c>
      <c r="AH5204">
        <v>10.8147920628256</v>
      </c>
      <c r="AI5204">
        <v>95.8562280850972</v>
      </c>
      <c r="AJ5204">
        <v>93.346908530229499</v>
      </c>
      <c r="AK5204">
        <v>10.890104626606099</v>
      </c>
      <c r="AL5204">
        <v>80.317314833344994</v>
      </c>
      <c r="AM5204">
        <v>94.171432423298896</v>
      </c>
      <c r="AN5204">
        <v>1.0000000508446201</v>
      </c>
    </row>
    <row r="5205" spans="1:40" x14ac:dyDescent="0.25">
      <c r="A5205" t="str">
        <f>"20190312172515200"</f>
        <v>20190312172515200</v>
      </c>
      <c r="B5205" t="str">
        <f>"1552382715196274"</f>
        <v>1552382715196274</v>
      </c>
      <c r="C5205" t="s">
        <v>40</v>
      </c>
      <c r="D5205">
        <v>4.1458219999999999</v>
      </c>
      <c r="E5205">
        <v>0.50648970000000004</v>
      </c>
      <c r="F5205" t="s">
        <v>51</v>
      </c>
      <c r="G5205">
        <v>-380.63150000000002</v>
      </c>
      <c r="H5205" s="1">
        <v>-4.6349380000000001E-6</v>
      </c>
      <c r="I5205">
        <v>18.455300000000001</v>
      </c>
      <c r="J5205">
        <v>-391.30160000000001</v>
      </c>
      <c r="K5205">
        <v>1.111105</v>
      </c>
      <c r="L5205">
        <v>20.837160000000001</v>
      </c>
      <c r="M5205">
        <v>0.96139269999999999</v>
      </c>
      <c r="N5205">
        <v>0</v>
      </c>
      <c r="O5205">
        <v>-0.27487709999999999</v>
      </c>
      <c r="P5205">
        <v>0.96705830000000004</v>
      </c>
      <c r="Q5205">
        <v>0.15549979999999999</v>
      </c>
      <c r="R5205">
        <v>-0.20154059999999999</v>
      </c>
      <c r="S5205">
        <v>3.0113829999999999</v>
      </c>
      <c r="T5205">
        <v>-0.3099922</v>
      </c>
      <c r="U5205">
        <v>-0.67422490000000002</v>
      </c>
      <c r="V5205">
        <v>-7.229004E-2</v>
      </c>
      <c r="W5205">
        <v>0.1681299</v>
      </c>
      <c r="X5205">
        <v>0.98311059999999995</v>
      </c>
      <c r="Y5205">
        <v>-5.6577080000000002E-2</v>
      </c>
      <c r="Z5205">
        <v>3.0267809999999999E-2</v>
      </c>
      <c r="AA5205">
        <v>0.99793929999999997</v>
      </c>
      <c r="AB5205">
        <v>22</v>
      </c>
      <c r="AC5205">
        <v>10.6700999999999</v>
      </c>
      <c r="AD5205">
        <v>-1.1111096349380001</v>
      </c>
      <c r="AE5205">
        <v>-2.3818600000000001</v>
      </c>
      <c r="AF5205">
        <v>-0.63654208653481203</v>
      </c>
      <c r="AG5205">
        <v>-1.1111096349380001</v>
      </c>
      <c r="AH5205">
        <v>10.802208629029501</v>
      </c>
      <c r="AI5205">
        <v>95.862662269395898</v>
      </c>
      <c r="AJ5205">
        <v>93.372370402750093</v>
      </c>
      <c r="AK5205">
        <v>10.8778426957675</v>
      </c>
      <c r="AL5205">
        <v>80.320894571683397</v>
      </c>
      <c r="AM5205">
        <v>94.205501679730602</v>
      </c>
      <c r="AN5205">
        <v>0.99999998249478494</v>
      </c>
    </row>
    <row r="5206" spans="1:40" x14ac:dyDescent="0.25">
      <c r="A5206" t="str">
        <f>"20190312172515219"</f>
        <v>20190312172515219</v>
      </c>
      <c r="B5206" t="str">
        <f>"1552382715215793"</f>
        <v>1552382715215793</v>
      </c>
      <c r="C5206" t="s">
        <v>40</v>
      </c>
      <c r="D5206">
        <v>4.1407319999999999</v>
      </c>
      <c r="E5206">
        <v>0.50655260000000002</v>
      </c>
      <c r="F5206" t="s">
        <v>51</v>
      </c>
      <c r="G5206">
        <v>-380.48950000000002</v>
      </c>
      <c r="H5206" s="1">
        <v>-4.7068749999999997E-6</v>
      </c>
      <c r="I5206">
        <v>18.428260000000002</v>
      </c>
      <c r="J5206">
        <v>-391.12619999999998</v>
      </c>
      <c r="K5206">
        <v>1.1110530000000001</v>
      </c>
      <c r="L5206">
        <v>20.787960000000002</v>
      </c>
      <c r="M5206">
        <v>0.96161509999999994</v>
      </c>
      <c r="N5206">
        <v>0</v>
      </c>
      <c r="O5206">
        <v>-0.27410820000000002</v>
      </c>
      <c r="P5206">
        <v>0.96749989999999997</v>
      </c>
      <c r="Q5206">
        <v>0.15543989999999999</v>
      </c>
      <c r="R5206">
        <v>-0.1994563</v>
      </c>
      <c r="S5206">
        <v>3.0120849999999999</v>
      </c>
      <c r="T5206">
        <v>-0.30953720000000001</v>
      </c>
      <c r="U5206">
        <v>-0.6710815</v>
      </c>
      <c r="V5206">
        <v>-7.3627780000000004E-2</v>
      </c>
      <c r="W5206">
        <v>0.16784270000000001</v>
      </c>
      <c r="X5206">
        <v>0.98306039999999995</v>
      </c>
      <c r="Y5206">
        <v>-5.6826799999999997E-2</v>
      </c>
      <c r="Z5206">
        <v>3.0159310000000002E-2</v>
      </c>
      <c r="AA5206">
        <v>0.99792840000000005</v>
      </c>
      <c r="AB5206">
        <v>22</v>
      </c>
      <c r="AC5206">
        <v>10.6366999999999</v>
      </c>
      <c r="AD5206">
        <v>-1.1110577068750001</v>
      </c>
      <c r="AE5206">
        <v>-2.3597000000000001</v>
      </c>
      <c r="AF5206">
        <v>-0.63988144143164605</v>
      </c>
      <c r="AG5206">
        <v>-1.1110577068750001</v>
      </c>
      <c r="AH5206">
        <v>10.764163160345401</v>
      </c>
      <c r="AI5206">
        <v>95.882786833948799</v>
      </c>
      <c r="AJ5206">
        <v>93.401974787082807</v>
      </c>
      <c r="AK5206">
        <v>10.8402539651815</v>
      </c>
      <c r="AL5206">
        <v>80.337587166484099</v>
      </c>
      <c r="AM5206">
        <v>94.283256152162295</v>
      </c>
      <c r="AN5206">
        <v>0.99999998598958895</v>
      </c>
    </row>
    <row r="5207" spans="1:40" x14ac:dyDescent="0.25">
      <c r="A5207" t="str">
        <f>"20190312172515232"</f>
        <v>20190312172515232</v>
      </c>
      <c r="B5207" t="str">
        <f>"1552382715225555"</f>
        <v>1552382715225555</v>
      </c>
      <c r="C5207" t="s">
        <v>40</v>
      </c>
      <c r="D5207">
        <v>4.2514450000000004</v>
      </c>
      <c r="E5207">
        <v>0.50651520000000005</v>
      </c>
      <c r="F5207" t="s">
        <v>51</v>
      </c>
      <c r="G5207">
        <v>-380.30759999999998</v>
      </c>
      <c r="H5207" s="1">
        <v>-4.79792E-6</v>
      </c>
      <c r="I5207">
        <v>18.399719999999999</v>
      </c>
      <c r="J5207">
        <v>-391.00619999999998</v>
      </c>
      <c r="K5207">
        <v>1.1110409999999999</v>
      </c>
      <c r="L5207">
        <v>20.754390000000001</v>
      </c>
      <c r="M5207">
        <v>0.96176689999999998</v>
      </c>
      <c r="N5207">
        <v>0</v>
      </c>
      <c r="O5207">
        <v>-0.27357890000000001</v>
      </c>
      <c r="P5207">
        <v>0.9677346</v>
      </c>
      <c r="Q5207">
        <v>0.15568599999999999</v>
      </c>
      <c r="R5207">
        <v>-0.19812009999999999</v>
      </c>
      <c r="S5207">
        <v>3.0134280000000002</v>
      </c>
      <c r="T5207">
        <v>-0.30947449999999999</v>
      </c>
      <c r="U5207">
        <v>-0.66522219999999999</v>
      </c>
      <c r="V5207">
        <v>-7.4435370000000001E-2</v>
      </c>
      <c r="W5207">
        <v>0.16799410000000001</v>
      </c>
      <c r="X5207">
        <v>0.98297380000000001</v>
      </c>
      <c r="Y5207">
        <v>-5.821751E-2</v>
      </c>
      <c r="Z5207">
        <v>3.0167389999999999E-2</v>
      </c>
      <c r="AA5207">
        <v>0.99784799999999996</v>
      </c>
      <c r="AB5207">
        <v>22</v>
      </c>
      <c r="AC5207">
        <v>10.698600000000001</v>
      </c>
      <c r="AD5207">
        <v>-1.1110457979199999</v>
      </c>
      <c r="AE5207">
        <v>-2.3546699999999898</v>
      </c>
      <c r="AF5207">
        <v>-0.65557664561834395</v>
      </c>
      <c r="AG5207">
        <v>-1.1110457979199999</v>
      </c>
      <c r="AH5207">
        <v>10.823283431041199</v>
      </c>
      <c r="AI5207">
        <v>95.850423434236006</v>
      </c>
      <c r="AJ5207">
        <v>93.466225381234693</v>
      </c>
      <c r="AK5207">
        <v>10.8998930147047</v>
      </c>
      <c r="AL5207">
        <v>80.328788428162994</v>
      </c>
      <c r="AM5207">
        <v>94.330439571928196</v>
      </c>
      <c r="AN5207">
        <v>1.00000006671414</v>
      </c>
    </row>
    <row r="5208" spans="1:40" x14ac:dyDescent="0.25">
      <c r="A5208" t="str">
        <f>"20190312172515251"</f>
        <v>20190312172515251</v>
      </c>
      <c r="B5208" t="str">
        <f>"1552382715246050"</f>
        <v>1552382715246050</v>
      </c>
      <c r="C5208" t="s">
        <v>40</v>
      </c>
      <c r="D5208">
        <v>4.1277269999999904</v>
      </c>
      <c r="E5208">
        <v>0.48582910000000001</v>
      </c>
      <c r="F5208" t="s">
        <v>51</v>
      </c>
      <c r="G5208">
        <v>-380.15910000000002</v>
      </c>
      <c r="H5208" s="1">
        <v>-4.8725520000000001E-6</v>
      </c>
      <c r="I5208">
        <v>18.37473</v>
      </c>
      <c r="J5208">
        <v>-390.82499999999999</v>
      </c>
      <c r="K5208">
        <v>1.1110500000000001</v>
      </c>
      <c r="L5208">
        <v>20.70383</v>
      </c>
      <c r="M5208">
        <v>0.96199539999999994</v>
      </c>
      <c r="N5208">
        <v>0</v>
      </c>
      <c r="O5208">
        <v>-0.27277849999999998</v>
      </c>
      <c r="P5208">
        <v>0.96803709999999998</v>
      </c>
      <c r="Q5208">
        <v>0.1563203</v>
      </c>
      <c r="R5208">
        <v>-0.19613459999999999</v>
      </c>
      <c r="S5208">
        <v>3.014313</v>
      </c>
      <c r="T5208">
        <v>-0.30874839999999998</v>
      </c>
      <c r="U5208">
        <v>-0.66128540000000002</v>
      </c>
      <c r="V5208">
        <v>-7.5609170000000003E-2</v>
      </c>
      <c r="W5208">
        <v>0.16855200000000001</v>
      </c>
      <c r="X5208">
        <v>0.98278860000000001</v>
      </c>
      <c r="Y5208">
        <v>-5.8700380000000003E-2</v>
      </c>
      <c r="Z5208">
        <v>3.0040830000000001E-2</v>
      </c>
      <c r="AA5208">
        <v>0.99782349999999997</v>
      </c>
      <c r="AB5208">
        <v>22</v>
      </c>
      <c r="AC5208">
        <v>10.665899999999899</v>
      </c>
      <c r="AD5208">
        <v>-1.111054872552</v>
      </c>
      <c r="AE5208">
        <v>-2.3290999999999999</v>
      </c>
      <c r="AF5208">
        <v>-0.66204021139057401</v>
      </c>
      <c r="AG5208">
        <v>-1.111054872552</v>
      </c>
      <c r="AH5208">
        <v>10.7850257291696</v>
      </c>
      <c r="AI5208">
        <v>95.870791171656293</v>
      </c>
      <c r="AJ5208">
        <v>93.512701214977497</v>
      </c>
      <c r="AK5208">
        <v>10.8622981063019</v>
      </c>
      <c r="AL5208">
        <v>80.296359837705793</v>
      </c>
      <c r="AM5208">
        <v>94.399287636563798</v>
      </c>
      <c r="AN5208">
        <v>0.99999997779102401</v>
      </c>
    </row>
    <row r="5209" spans="1:40" x14ac:dyDescent="0.25">
      <c r="A5209" t="str">
        <f>"20190312172515262"</f>
        <v>20190312172515262</v>
      </c>
      <c r="B5209" t="str">
        <f>"1552382715255810"</f>
        <v>1552382715255810</v>
      </c>
      <c r="C5209" t="s">
        <v>40</v>
      </c>
      <c r="D5209">
        <v>4.1223640000000001</v>
      </c>
      <c r="E5209">
        <v>0.48493229999999998</v>
      </c>
      <c r="F5209" t="s">
        <v>52</v>
      </c>
      <c r="G5209">
        <v>-377.90620000000001</v>
      </c>
      <c r="H5209" s="1">
        <v>-1.148765E-6</v>
      </c>
      <c r="I5209">
        <v>18.609929999999999</v>
      </c>
      <c r="J5209">
        <v>-390.7183</v>
      </c>
      <c r="K5209">
        <v>1.111056</v>
      </c>
      <c r="L5209">
        <v>20.674130000000002</v>
      </c>
      <c r="M5209">
        <v>0.96212920000000002</v>
      </c>
      <c r="N5209">
        <v>0</v>
      </c>
      <c r="O5209">
        <v>-0.27230659999999901</v>
      </c>
      <c r="P5209">
        <v>0.96821420000000002</v>
      </c>
      <c r="Q5209">
        <v>0.15683150000000001</v>
      </c>
      <c r="R5209">
        <v>-0.19484689999999999</v>
      </c>
      <c r="S5209">
        <v>3.041382</v>
      </c>
      <c r="T5209">
        <v>-0.26156679999999999</v>
      </c>
      <c r="U5209">
        <v>-0.49295040000000001</v>
      </c>
      <c r="V5209">
        <v>-7.6414759999999998E-2</v>
      </c>
      <c r="W5209">
        <v>0.16904359999999999</v>
      </c>
      <c r="X5209">
        <v>0.98264189999999996</v>
      </c>
      <c r="Y5209">
        <v>-0.1135197</v>
      </c>
      <c r="Z5209">
        <v>2.7718400000000001E-2</v>
      </c>
      <c r="AA5209">
        <v>0.99314899999999995</v>
      </c>
      <c r="AB5209">
        <v>22</v>
      </c>
      <c r="AC5209">
        <v>12.8120999999999</v>
      </c>
      <c r="AD5209">
        <v>-1.1110571487650001</v>
      </c>
      <c r="AE5209">
        <v>-2.0642</v>
      </c>
      <c r="AF5209">
        <v>-1.49197377829254</v>
      </c>
      <c r="AG5209">
        <v>-1.1110571487650001</v>
      </c>
      <c r="AH5209">
        <v>12.7962036895739</v>
      </c>
      <c r="AI5209">
        <v>94.929155314398798</v>
      </c>
      <c r="AJ5209">
        <v>96.650375761698797</v>
      </c>
      <c r="AK5209">
        <v>12.930710058152201</v>
      </c>
      <c r="AL5209">
        <v>80.267783679102905</v>
      </c>
      <c r="AM5209">
        <v>94.446634688829604</v>
      </c>
      <c r="AN5209">
        <v>1.0000000289412101</v>
      </c>
    </row>
    <row r="5210" spans="1:40" x14ac:dyDescent="0.25">
      <c r="A5210" t="str">
        <f>"20190312172515273"</f>
        <v>20190312172515273</v>
      </c>
      <c r="B5210" t="str">
        <f>"1552382715265570"</f>
        <v>1552382715265570</v>
      </c>
      <c r="C5210" t="s">
        <v>40</v>
      </c>
      <c r="D5210">
        <v>4.1258710000000001</v>
      </c>
      <c r="E5210">
        <v>0.4831588</v>
      </c>
      <c r="F5210" t="s">
        <v>52</v>
      </c>
      <c r="G5210">
        <v>-377.9624</v>
      </c>
      <c r="H5210" s="1">
        <v>-1.114465E-6</v>
      </c>
      <c r="I5210">
        <v>18.653449999999999</v>
      </c>
      <c r="J5210">
        <v>-390.60879999999997</v>
      </c>
      <c r="K5210">
        <v>1.111067</v>
      </c>
      <c r="L5210">
        <v>20.64377</v>
      </c>
      <c r="M5210">
        <v>0.96226659999999997</v>
      </c>
      <c r="N5210">
        <v>0</v>
      </c>
      <c r="O5210">
        <v>-0.2718218</v>
      </c>
      <c r="P5210">
        <v>0.96834869999999995</v>
      </c>
      <c r="Q5210">
        <v>0.15739139999999999</v>
      </c>
      <c r="R5210">
        <v>-0.1937238</v>
      </c>
      <c r="S5210">
        <v>3.044403</v>
      </c>
      <c r="T5210">
        <v>-0.2651714</v>
      </c>
      <c r="U5210">
        <v>-0.48226930000000001</v>
      </c>
      <c r="V5210">
        <v>-7.7037709999999995E-2</v>
      </c>
      <c r="W5210">
        <v>0.16958219999999999</v>
      </c>
      <c r="X5210">
        <v>0.98250040000000005</v>
      </c>
      <c r="Y5210">
        <v>-0.1165262</v>
      </c>
      <c r="Z5210">
        <v>2.8171729999999999E-2</v>
      </c>
      <c r="AA5210">
        <v>0.992788</v>
      </c>
      <c r="AB5210">
        <v>22</v>
      </c>
      <c r="AC5210">
        <v>12.6463999999999</v>
      </c>
      <c r="AD5210">
        <v>-1.1110681144650001</v>
      </c>
      <c r="AE5210">
        <v>-1.9903200000000001</v>
      </c>
      <c r="AF5210">
        <v>-1.5110856431803801</v>
      </c>
      <c r="AG5210">
        <v>-1.1110681144650001</v>
      </c>
      <c r="AH5210">
        <v>12.6161840290134</v>
      </c>
      <c r="AI5210">
        <v>94.997341955263906</v>
      </c>
      <c r="AJ5210">
        <v>96.829984837673393</v>
      </c>
      <c r="AK5210">
        <v>12.754840321616699</v>
      </c>
      <c r="AL5210">
        <v>80.236471660742495</v>
      </c>
      <c r="AM5210">
        <v>94.483380454193593</v>
      </c>
      <c r="AN5210">
        <v>0.99999998365952103</v>
      </c>
    </row>
    <row r="5211" spans="1:40" x14ac:dyDescent="0.25">
      <c r="A5211" t="str">
        <f>"20190312172515286"</f>
        <v>20190312172515286</v>
      </c>
      <c r="B5211" t="str">
        <f>"1552382715276306"</f>
        <v>1552382715276306</v>
      </c>
      <c r="C5211" t="s">
        <v>40</v>
      </c>
      <c r="D5211">
        <v>4.1277999999999997</v>
      </c>
      <c r="E5211">
        <v>0.48207909999999998</v>
      </c>
      <c r="F5211" t="s">
        <v>52</v>
      </c>
      <c r="G5211">
        <v>-377.43090000000001</v>
      </c>
      <c r="H5211" s="1">
        <v>-1.369455E-6</v>
      </c>
      <c r="I5211">
        <v>18.632180000000002</v>
      </c>
      <c r="J5211">
        <v>-390.49970000000002</v>
      </c>
      <c r="K5211">
        <v>1.1110789999999999</v>
      </c>
      <c r="L5211">
        <v>20.613489999999999</v>
      </c>
      <c r="M5211">
        <v>0.96240369999999997</v>
      </c>
      <c r="N5211">
        <v>0</v>
      </c>
      <c r="O5211">
        <v>-0.27133740000000001</v>
      </c>
      <c r="P5211">
        <v>0.96853650000000002</v>
      </c>
      <c r="Q5211">
        <v>0.1576293</v>
      </c>
      <c r="R5211">
        <v>-0.19258939999999999</v>
      </c>
      <c r="S5211">
        <v>3.046783</v>
      </c>
      <c r="T5211">
        <v>-0.25688359999999999</v>
      </c>
      <c r="U5211">
        <v>-0.4650879</v>
      </c>
      <c r="V5211">
        <v>-7.7686530000000004E-2</v>
      </c>
      <c r="W5211">
        <v>0.16979169999999999</v>
      </c>
      <c r="X5211">
        <v>0.98241310000000004</v>
      </c>
      <c r="Y5211">
        <v>-0.12168130000000001</v>
      </c>
      <c r="Z5211">
        <v>2.7466069999999999E-2</v>
      </c>
      <c r="AA5211">
        <v>0.99218910000000005</v>
      </c>
      <c r="AB5211">
        <v>22</v>
      </c>
      <c r="AC5211">
        <v>13.0688</v>
      </c>
      <c r="AD5211">
        <v>-1.111080369455</v>
      </c>
      <c r="AE5211">
        <v>-1.9813099999999999</v>
      </c>
      <c r="AF5211">
        <v>-1.62785946070016</v>
      </c>
      <c r="AG5211">
        <v>-1.111080369455</v>
      </c>
      <c r="AH5211">
        <v>13.0240592875457</v>
      </c>
      <c r="AI5211">
        <v>94.838619889800299</v>
      </c>
      <c r="AJ5211">
        <v>97.124375494789604</v>
      </c>
      <c r="AK5211">
        <v>13.172340199702001</v>
      </c>
      <c r="AL5211">
        <v>80.224291312593195</v>
      </c>
      <c r="AM5211">
        <v>94.521384168376997</v>
      </c>
      <c r="AN5211">
        <v>0.999999958691969</v>
      </c>
    </row>
    <row r="5212" spans="1:40" x14ac:dyDescent="0.25">
      <c r="A5212" t="str">
        <f>"20190312172515297"</f>
        <v>20190312172515297</v>
      </c>
      <c r="B5212" t="str">
        <f>"1552382715286067"</f>
        <v>1552382715286067</v>
      </c>
      <c r="C5212" t="s">
        <v>40</v>
      </c>
      <c r="D5212">
        <v>4.1480420000000002</v>
      </c>
      <c r="E5212">
        <v>0.48248780000000002</v>
      </c>
      <c r="F5212" t="s">
        <v>52</v>
      </c>
      <c r="G5212">
        <v>-377.11099999999999</v>
      </c>
      <c r="H5212" s="1">
        <v>-1.5222319999999901E-6</v>
      </c>
      <c r="I5212">
        <v>18.623429999999999</v>
      </c>
      <c r="J5212">
        <v>-390.38639999999998</v>
      </c>
      <c r="K5212">
        <v>1.1110850000000001</v>
      </c>
      <c r="L5212">
        <v>20.582149999999999</v>
      </c>
      <c r="M5212">
        <v>0.96254620000000002</v>
      </c>
      <c r="N5212">
        <v>0</v>
      </c>
      <c r="O5212">
        <v>-0.27083249999999998</v>
      </c>
      <c r="P5212">
        <v>0.96870820000000002</v>
      </c>
      <c r="Q5212">
        <v>0.15813479999999999</v>
      </c>
      <c r="R5212">
        <v>-0.1913059</v>
      </c>
      <c r="S5212">
        <v>3.0485229999999999</v>
      </c>
      <c r="T5212">
        <v>-0.2529864</v>
      </c>
      <c r="U5212">
        <v>-0.453125</v>
      </c>
      <c r="V5212">
        <v>-7.8454960000000004E-2</v>
      </c>
      <c r="W5212">
        <v>0.17025460000000001</v>
      </c>
      <c r="X5212">
        <v>0.98227200000000003</v>
      </c>
      <c r="Y5212">
        <v>-0.12508230000000001</v>
      </c>
      <c r="Z5212">
        <v>2.7146480000000001E-2</v>
      </c>
      <c r="AA5212">
        <v>0.99177490000000001</v>
      </c>
      <c r="AB5212">
        <v>22</v>
      </c>
      <c r="AC5212">
        <v>13.2753999999999</v>
      </c>
      <c r="AD5212">
        <v>-1.1110865222319899</v>
      </c>
      <c r="AE5212">
        <v>-1.95872</v>
      </c>
      <c r="AF5212">
        <v>-1.6985388945323801</v>
      </c>
      <c r="AG5212">
        <v>-1.1110865222319899</v>
      </c>
      <c r="AH5212">
        <v>13.2190744115514</v>
      </c>
      <c r="AI5212">
        <v>94.765522565362005</v>
      </c>
      <c r="AJ5212">
        <v>97.321902347383798</v>
      </c>
      <c r="AK5212">
        <v>13.3739850431447</v>
      </c>
      <c r="AL5212">
        <v>80.197378089715698</v>
      </c>
      <c r="AM5212">
        <v>94.566571994224006</v>
      </c>
      <c r="AN5212">
        <v>1.0000000457768701</v>
      </c>
    </row>
    <row r="5213" spans="1:40" x14ac:dyDescent="0.25">
      <c r="A5213" t="str">
        <f>"20190312172515310"</f>
        <v>20190312172515310</v>
      </c>
      <c r="B5213" t="str">
        <f>"1552382715305586"</f>
        <v>1552382715305586</v>
      </c>
      <c r="C5213" t="s">
        <v>40</v>
      </c>
      <c r="D5213">
        <v>4.1540400000000002</v>
      </c>
      <c r="E5213">
        <v>0.48152040000000002</v>
      </c>
      <c r="F5213" t="s">
        <v>52</v>
      </c>
      <c r="G5213">
        <v>-377.05430000000001</v>
      </c>
      <c r="H5213" s="1">
        <v>-1.552677E-6</v>
      </c>
      <c r="I5213">
        <v>18.603079999999999</v>
      </c>
      <c r="J5213">
        <v>-390.28129999999999</v>
      </c>
      <c r="K5213">
        <v>1.111086</v>
      </c>
      <c r="L5213">
        <v>20.553129999999999</v>
      </c>
      <c r="M5213">
        <v>0.96267749999999996</v>
      </c>
      <c r="N5213">
        <v>0</v>
      </c>
      <c r="O5213">
        <v>-0.27036769999999999</v>
      </c>
      <c r="P5213">
        <v>0.96890180000000004</v>
      </c>
      <c r="Q5213">
        <v>0.15834100000000001</v>
      </c>
      <c r="R5213">
        <v>-0.1901523</v>
      </c>
      <c r="S5213">
        <v>3.0490110000000001</v>
      </c>
      <c r="T5213">
        <v>-0.25410100000000002</v>
      </c>
      <c r="U5213">
        <v>-0.45260620000000001</v>
      </c>
      <c r="V5213">
        <v>-7.9144469999999995E-2</v>
      </c>
      <c r="W5213">
        <v>0.17041909999999999</v>
      </c>
      <c r="X5213">
        <v>0.98218810000000001</v>
      </c>
      <c r="Y5213">
        <v>-0.1247827</v>
      </c>
      <c r="Z5213">
        <v>2.7212469999999999E-2</v>
      </c>
      <c r="AA5213">
        <v>0.99181090000000005</v>
      </c>
      <c r="AB5213">
        <v>22</v>
      </c>
      <c r="AC5213">
        <v>13.226999999999901</v>
      </c>
      <c r="AD5213">
        <v>-1.1110875526770001</v>
      </c>
      <c r="AE5213">
        <v>-1.9500500000000001</v>
      </c>
      <c r="AF5213">
        <v>-1.6873614209994501</v>
      </c>
      <c r="AG5213">
        <v>-1.1110875526770001</v>
      </c>
      <c r="AH5213">
        <v>13.1706244364947</v>
      </c>
      <c r="AI5213">
        <v>94.783202388403097</v>
      </c>
      <c r="AJ5213">
        <v>97.300708424448004</v>
      </c>
      <c r="AK5213">
        <v>13.324678313639801</v>
      </c>
      <c r="AL5213">
        <v>80.187812601440697</v>
      </c>
      <c r="AM5213">
        <v>94.606925635183103</v>
      </c>
      <c r="AN5213">
        <v>0.999999990279</v>
      </c>
    </row>
    <row r="5214" spans="1:40" x14ac:dyDescent="0.25">
      <c r="A5214" t="str">
        <f>"20190312172515321"</f>
        <v>20190312172515321</v>
      </c>
      <c r="B5214" t="str">
        <f>"1552382715315346"</f>
        <v>1552382715315346</v>
      </c>
      <c r="C5214" t="s">
        <v>40</v>
      </c>
      <c r="D5214">
        <v>4.1286719999999999</v>
      </c>
      <c r="E5214">
        <v>0.48131170000000001</v>
      </c>
      <c r="F5214" t="s">
        <v>52</v>
      </c>
      <c r="G5214">
        <v>-376.68290000000002</v>
      </c>
      <c r="H5214" s="1">
        <v>-1.73115199999999E-6</v>
      </c>
      <c r="I5214">
        <v>18.58652</v>
      </c>
      <c r="J5214">
        <v>-390.17529999999999</v>
      </c>
      <c r="K5214">
        <v>1.1110850000000001</v>
      </c>
      <c r="L5214">
        <v>20.52393</v>
      </c>
      <c r="M5214">
        <v>0.96280909999999997</v>
      </c>
      <c r="N5214">
        <v>0</v>
      </c>
      <c r="O5214">
        <v>-0.26989990000000003</v>
      </c>
      <c r="P5214">
        <v>0.96921270000000004</v>
      </c>
      <c r="Q5214">
        <v>0.15793699999999999</v>
      </c>
      <c r="R5214">
        <v>-0.1888995</v>
      </c>
      <c r="S5214">
        <v>3.0504760000000002</v>
      </c>
      <c r="T5214">
        <v>-0.249246</v>
      </c>
      <c r="U5214">
        <v>-0.4411621</v>
      </c>
      <c r="V5214">
        <v>-7.9958589999999996E-2</v>
      </c>
      <c r="W5214">
        <v>0.1699736</v>
      </c>
      <c r="X5214">
        <v>0.98219939999999994</v>
      </c>
      <c r="Y5214">
        <v>-0.12805239999999901</v>
      </c>
      <c r="Z5214">
        <v>2.6787700000000001E-2</v>
      </c>
      <c r="AA5214">
        <v>0.99140550000000005</v>
      </c>
      <c r="AB5214">
        <v>22</v>
      </c>
      <c r="AC5214">
        <v>13.4923999999999</v>
      </c>
      <c r="AD5214">
        <v>-1.1110867311520001</v>
      </c>
      <c r="AE5214">
        <v>-1.9374100000000001</v>
      </c>
      <c r="AF5214">
        <v>-1.76465204294489</v>
      </c>
      <c r="AG5214">
        <v>-1.1110867311520001</v>
      </c>
      <c r="AH5214">
        <v>13.4253410565167</v>
      </c>
      <c r="AI5214">
        <v>94.690874314606504</v>
      </c>
      <c r="AJ5214">
        <v>97.488137667457593</v>
      </c>
      <c r="AK5214">
        <v>13.586327430200001</v>
      </c>
      <c r="AL5214">
        <v>80.213716198183107</v>
      </c>
      <c r="AM5214">
        <v>94.654054361142002</v>
      </c>
      <c r="AN5214">
        <v>1.00000003108605</v>
      </c>
    </row>
    <row r="5215" spans="1:40" x14ac:dyDescent="0.25">
      <c r="A5215" t="str">
        <f>"20190312172515339"</f>
        <v>20190312172515339</v>
      </c>
      <c r="B5215" t="str">
        <f>"1552382715335842"</f>
        <v>1552382715335842</v>
      </c>
      <c r="C5215" t="s">
        <v>40</v>
      </c>
      <c r="D5215">
        <v>4.2312279999999998</v>
      </c>
      <c r="E5215">
        <v>0.48081040000000003</v>
      </c>
      <c r="F5215" t="s">
        <v>52</v>
      </c>
      <c r="G5215">
        <v>-376.56970000000001</v>
      </c>
      <c r="H5215" s="1">
        <v>-1.7857070000000001E-6</v>
      </c>
      <c r="I5215">
        <v>18.580660000000002</v>
      </c>
      <c r="J5215">
        <v>-390.00009999999997</v>
      </c>
      <c r="K5215">
        <v>1.111075</v>
      </c>
      <c r="L5215">
        <v>20.4758</v>
      </c>
      <c r="M5215">
        <v>0.9630244</v>
      </c>
      <c r="N5215">
        <v>0</v>
      </c>
      <c r="O5215">
        <v>-0.26913300000000001</v>
      </c>
      <c r="P5215">
        <v>0.96993280000000004</v>
      </c>
      <c r="Q5215">
        <v>0.15626770000000001</v>
      </c>
      <c r="R5215">
        <v>-0.1865771</v>
      </c>
      <c r="S5215">
        <v>3.0509339999999998</v>
      </c>
      <c r="T5215">
        <v>-0.24915180000000001</v>
      </c>
      <c r="U5215">
        <v>-0.4357605</v>
      </c>
      <c r="V5215">
        <v>-8.1605720000000007E-2</v>
      </c>
      <c r="W5215">
        <v>0.1682554</v>
      </c>
      <c r="X5215">
        <v>0.98235969999999995</v>
      </c>
      <c r="Y5215">
        <v>-0.12900329999999999</v>
      </c>
      <c r="Z5215">
        <v>2.6757E-2</v>
      </c>
      <c r="AA5215">
        <v>0.99128309999999997</v>
      </c>
      <c r="AB5215">
        <v>22</v>
      </c>
      <c r="AC5215">
        <v>13.430399999999899</v>
      </c>
      <c r="AD5215">
        <v>-1.1110767857070001</v>
      </c>
      <c r="AE5215">
        <v>-1.8951399999999901</v>
      </c>
      <c r="AF5215">
        <v>-1.77770420378241</v>
      </c>
      <c r="AG5215">
        <v>-1.1110767857070001</v>
      </c>
      <c r="AH5215">
        <v>13.355246742494099</v>
      </c>
      <c r="AI5215">
        <v>94.7143241192679</v>
      </c>
      <c r="AJ5215">
        <v>97.582016960998203</v>
      </c>
      <c r="AK5215">
        <v>13.5187772898581</v>
      </c>
      <c r="AL5215">
        <v>80.313599977374494</v>
      </c>
      <c r="AM5215">
        <v>94.748721231566606</v>
      </c>
      <c r="AN5215">
        <v>0.99999997667498297</v>
      </c>
    </row>
    <row r="5216" spans="1:40" x14ac:dyDescent="0.25">
      <c r="A5216" t="str">
        <f>"20190312172515364"</f>
        <v>20190312172515364</v>
      </c>
      <c r="B5216" t="str">
        <f>"1552382715355365"</f>
        <v>1552382715355365</v>
      </c>
      <c r="C5216" t="s">
        <v>40</v>
      </c>
      <c r="D5216">
        <v>4.1486260000000001</v>
      </c>
      <c r="E5216">
        <v>0.48072120000000002</v>
      </c>
      <c r="F5216" t="s">
        <v>52</v>
      </c>
      <c r="G5216">
        <v>-376.77300000000002</v>
      </c>
      <c r="H5216" s="1">
        <v>-1.6797340000000001E-6</v>
      </c>
      <c r="I5216">
        <v>18.636310000000002</v>
      </c>
      <c r="J5216">
        <v>-389.7783</v>
      </c>
      <c r="K5216">
        <v>1.1110580000000001</v>
      </c>
      <c r="L5216">
        <v>20.415099999999999</v>
      </c>
      <c r="M5216">
        <v>0.9632965</v>
      </c>
      <c r="N5216">
        <v>0</v>
      </c>
      <c r="O5216">
        <v>-0.26815919999999999</v>
      </c>
      <c r="P5216">
        <v>0.97081039999999996</v>
      </c>
      <c r="Q5216">
        <v>0.15410489999999999</v>
      </c>
      <c r="R5216">
        <v>-0.18379039999999999</v>
      </c>
      <c r="S5216">
        <v>3.0526430000000002</v>
      </c>
      <c r="T5216">
        <v>-0.25642280000000001</v>
      </c>
      <c r="U5216">
        <v>-0.42453000000000002</v>
      </c>
      <c r="V5216">
        <v>-8.352772E-2</v>
      </c>
      <c r="W5216">
        <v>0.166054799999999</v>
      </c>
      <c r="X5216">
        <v>0.98257260000000002</v>
      </c>
      <c r="Y5216">
        <v>-0.13157349999999901</v>
      </c>
      <c r="Z5216">
        <v>2.7558740000000002E-2</v>
      </c>
      <c r="AA5216">
        <v>0.99092329999999995</v>
      </c>
      <c r="AB5216">
        <v>22</v>
      </c>
      <c r="AC5216">
        <v>13.005299999999901</v>
      </c>
      <c r="AD5216">
        <v>-1.111059679734</v>
      </c>
      <c r="AE5216">
        <v>-1.7787899999999901</v>
      </c>
      <c r="AF5216">
        <v>-1.7615019225135</v>
      </c>
      <c r="AG5216">
        <v>-1.111059679734</v>
      </c>
      <c r="AH5216">
        <v>12.9134196537618</v>
      </c>
      <c r="AI5216">
        <v>94.872665275773798</v>
      </c>
      <c r="AJ5216">
        <v>97.767697056331301</v>
      </c>
      <c r="AK5216">
        <v>13.0802809522239</v>
      </c>
      <c r="AL5216">
        <v>80.441484537172201</v>
      </c>
      <c r="AM5216">
        <v>94.858986798935703</v>
      </c>
      <c r="AN5216">
        <v>0.99999999544109897</v>
      </c>
    </row>
    <row r="5217" spans="1:40" x14ac:dyDescent="0.25">
      <c r="A5217" t="str">
        <f>"20190312172515374"</f>
        <v>20190312172515374</v>
      </c>
      <c r="B5217" t="str">
        <f>"1552382715366098"</f>
        <v>1552382715366098</v>
      </c>
      <c r="C5217" t="s">
        <v>40</v>
      </c>
      <c r="D5217">
        <v>4.1311410000000004</v>
      </c>
      <c r="E5217">
        <v>0.48073090000000002</v>
      </c>
      <c r="F5217" t="s">
        <v>52</v>
      </c>
      <c r="G5217">
        <v>-376.7534</v>
      </c>
      <c r="H5217" s="1">
        <v>-1.6873680000000001E-6</v>
      </c>
      <c r="I5217">
        <v>18.645610000000001</v>
      </c>
      <c r="J5217">
        <v>-389.66800000000001</v>
      </c>
      <c r="K5217">
        <v>1.111051</v>
      </c>
      <c r="L5217">
        <v>20.384979999999999</v>
      </c>
      <c r="M5217">
        <v>0.96343230000000002</v>
      </c>
      <c r="N5217">
        <v>0</v>
      </c>
      <c r="O5217">
        <v>-0.26767210000000002</v>
      </c>
      <c r="P5217">
        <v>0.97108470000000002</v>
      </c>
      <c r="Q5217">
        <v>0.15357499999999999</v>
      </c>
      <c r="R5217">
        <v>-0.18278179999999999</v>
      </c>
      <c r="S5217">
        <v>3.0530089999999999</v>
      </c>
      <c r="T5217">
        <v>-0.26042880000000002</v>
      </c>
      <c r="U5217">
        <v>-0.41476439999999998</v>
      </c>
      <c r="V5217">
        <v>-8.4073839999999997E-2</v>
      </c>
      <c r="W5217">
        <v>0.16551070000000001</v>
      </c>
      <c r="X5217">
        <v>0.98261790000000004</v>
      </c>
      <c r="Y5217">
        <v>-0.1341483</v>
      </c>
      <c r="Z5217">
        <v>2.8062210000000001E-2</v>
      </c>
      <c r="AA5217">
        <v>0.99056390000000005</v>
      </c>
      <c r="AB5217">
        <v>22</v>
      </c>
      <c r="AC5217">
        <v>12.9146</v>
      </c>
      <c r="AD5217">
        <v>-1.111052687368</v>
      </c>
      <c r="AE5217">
        <v>-1.7393699999999901</v>
      </c>
      <c r="AF5217">
        <v>-1.7683911383297499</v>
      </c>
      <c r="AG5217">
        <v>-1.111052687368</v>
      </c>
      <c r="AH5217">
        <v>12.8157278442924</v>
      </c>
      <c r="AI5217">
        <v>94.908559381463206</v>
      </c>
      <c r="AJ5217">
        <v>97.856404283500297</v>
      </c>
      <c r="AK5217">
        <v>12.984780532269401</v>
      </c>
      <c r="AL5217">
        <v>80.473097325703804</v>
      </c>
      <c r="AM5217">
        <v>94.890377814222106</v>
      </c>
      <c r="AN5217">
        <v>1.00000006989362</v>
      </c>
    </row>
    <row r="5218" spans="1:40" x14ac:dyDescent="0.25">
      <c r="A5218" t="str">
        <f>"20190312172515387"</f>
        <v>20190312172515387</v>
      </c>
      <c r="B5218" t="str">
        <f>"1552382715375858"</f>
        <v>1552382715375858</v>
      </c>
      <c r="C5218" t="s">
        <v>40</v>
      </c>
      <c r="D5218">
        <v>4.1260560000000002</v>
      </c>
      <c r="E5218">
        <v>0.48089579999999998</v>
      </c>
      <c r="F5218" t="s">
        <v>52</v>
      </c>
      <c r="G5218">
        <v>-376.70769999999999</v>
      </c>
      <c r="H5218" s="1">
        <v>-1.7104069999999999E-6</v>
      </c>
      <c r="I5218">
        <v>18.637370000000001</v>
      </c>
      <c r="J5218">
        <v>-389.5557</v>
      </c>
      <c r="K5218">
        <v>1.111048</v>
      </c>
      <c r="L5218">
        <v>20.354399999999998</v>
      </c>
      <c r="M5218">
        <v>0.96357000000000004</v>
      </c>
      <c r="N5218">
        <v>0</v>
      </c>
      <c r="O5218">
        <v>-0.26717600000000002</v>
      </c>
      <c r="P5218">
        <v>0.97136599999999995</v>
      </c>
      <c r="Q5218">
        <v>0.1532259</v>
      </c>
      <c r="R5218">
        <v>-0.1815763</v>
      </c>
      <c r="S5218">
        <v>3.0532530000000002</v>
      </c>
      <c r="T5218">
        <v>-0.26174829999999999</v>
      </c>
      <c r="U5218">
        <v>-0.41171259999999998</v>
      </c>
      <c r="V5218">
        <v>-8.4802989999999995E-2</v>
      </c>
      <c r="W5218">
        <v>0.16514570000000001</v>
      </c>
      <c r="X5218">
        <v>0.98261659999999995</v>
      </c>
      <c r="Y5218">
        <v>-0.1346068</v>
      </c>
      <c r="Z5218">
        <v>2.8183119999999999E-2</v>
      </c>
      <c r="AA5218">
        <v>0.9904982</v>
      </c>
      <c r="AB5218">
        <v>22</v>
      </c>
      <c r="AC5218">
        <v>12.848000000000001</v>
      </c>
      <c r="AD5218">
        <v>-1.1110497104070001</v>
      </c>
      <c r="AE5218">
        <v>-1.7170299999999901</v>
      </c>
      <c r="AF5218">
        <v>-1.7653618414640599</v>
      </c>
      <c r="AG5218">
        <v>-1.1110497104070001</v>
      </c>
      <c r="AH5218">
        <v>12.746014064592901</v>
      </c>
      <c r="AI5218">
        <v>94.934916711064503</v>
      </c>
      <c r="AJ5218">
        <v>97.8854730790177</v>
      </c>
      <c r="AK5218">
        <v>12.915564580191401</v>
      </c>
      <c r="AL5218">
        <v>80.494301573649395</v>
      </c>
      <c r="AM5218">
        <v>94.932588892725093</v>
      </c>
      <c r="AN5218">
        <v>1.0000000159684901</v>
      </c>
    </row>
    <row r="5219" spans="1:40" x14ac:dyDescent="0.25">
      <c r="A5219" t="str">
        <f>"20190312172515402"</f>
        <v>20190312172515402</v>
      </c>
      <c r="B5219" t="str">
        <f>"1552382715395379"</f>
        <v>1552382715395379</v>
      </c>
      <c r="C5219" t="s">
        <v>40</v>
      </c>
      <c r="D5219">
        <v>4.1139270000000003</v>
      </c>
      <c r="E5219">
        <v>0.4812573</v>
      </c>
      <c r="F5219" t="s">
        <v>52</v>
      </c>
      <c r="G5219">
        <v>-376.64589999999998</v>
      </c>
      <c r="H5219" s="1">
        <v>-1.742014E-6</v>
      </c>
      <c r="I5219">
        <v>18.62397</v>
      </c>
      <c r="J5219">
        <v>-389.42649999999998</v>
      </c>
      <c r="K5219">
        <v>1.1110450000000001</v>
      </c>
      <c r="L5219">
        <v>20.319269999999999</v>
      </c>
      <c r="M5219">
        <v>0.96372849999999999</v>
      </c>
      <c r="N5219">
        <v>0</v>
      </c>
      <c r="O5219">
        <v>-0.26660519999999999</v>
      </c>
      <c r="P5219">
        <v>0.97153140000000004</v>
      </c>
      <c r="Q5219">
        <v>0.15353539999999999</v>
      </c>
      <c r="R5219">
        <v>-0.1804279</v>
      </c>
      <c r="S5219">
        <v>3.0533450000000002</v>
      </c>
      <c r="T5219">
        <v>-0.26277859999999997</v>
      </c>
      <c r="U5219">
        <v>-0.4092712</v>
      </c>
      <c r="V5219">
        <v>-8.5370390000000004E-2</v>
      </c>
      <c r="W5219">
        <v>0.16543640000000001</v>
      </c>
      <c r="X5219">
        <v>0.98251860000000002</v>
      </c>
      <c r="Y5219">
        <v>-0.13479169999999999</v>
      </c>
      <c r="Z5219">
        <v>2.8255800000000001E-2</v>
      </c>
      <c r="AA5219">
        <v>0.99047099999999999</v>
      </c>
      <c r="AB5219">
        <v>22</v>
      </c>
      <c r="AC5219">
        <v>12.7805999999999</v>
      </c>
      <c r="AD5219">
        <v>-1.111046742014</v>
      </c>
      <c r="AE5219">
        <v>-1.69529999999999</v>
      </c>
      <c r="AF5219">
        <v>-1.7606223268554</v>
      </c>
      <c r="AG5219">
        <v>-1.111046742014</v>
      </c>
      <c r="AH5219">
        <v>12.6758183356602</v>
      </c>
      <c r="AI5219">
        <v>94.961831760600106</v>
      </c>
      <c r="AJ5219">
        <v>97.907570691354806</v>
      </c>
      <c r="AK5219">
        <v>12.8456446439804</v>
      </c>
      <c r="AL5219">
        <v>80.477413743421394</v>
      </c>
      <c r="AM5219">
        <v>94.965920207340901</v>
      </c>
      <c r="AN5219">
        <v>1.0000000526398301</v>
      </c>
    </row>
    <row r="5220" spans="1:40" x14ac:dyDescent="0.25">
      <c r="A5220" t="str">
        <f>"20190312172515421"</f>
        <v>20190312172515421</v>
      </c>
      <c r="B5220" t="str">
        <f>"1552382715415874"</f>
        <v>1552382715415874</v>
      </c>
      <c r="C5220" t="s">
        <v>40</v>
      </c>
      <c r="D5220">
        <v>4.1553040000000001</v>
      </c>
      <c r="E5220">
        <v>0.48157670000000002</v>
      </c>
      <c r="F5220" t="s">
        <v>52</v>
      </c>
      <c r="G5220">
        <v>-376.44959999999998</v>
      </c>
      <c r="H5220" s="1">
        <v>-1.842218E-6</v>
      </c>
      <c r="I5220">
        <v>18.582170000000001</v>
      </c>
      <c r="J5220">
        <v>-389.25670000000002</v>
      </c>
      <c r="K5220">
        <v>1.1110500000000001</v>
      </c>
      <c r="L5220">
        <v>20.273250000000001</v>
      </c>
      <c r="M5220">
        <v>0.9639354</v>
      </c>
      <c r="N5220">
        <v>0</v>
      </c>
      <c r="O5220">
        <v>-0.26585639999999999</v>
      </c>
      <c r="P5220">
        <v>0.97167870000000001</v>
      </c>
      <c r="Q5220">
        <v>0.15446589999999999</v>
      </c>
      <c r="R5220">
        <v>-0.17883170000000001</v>
      </c>
      <c r="S5220">
        <v>3.0533139999999999</v>
      </c>
      <c r="T5220">
        <v>-0.26141720000000002</v>
      </c>
      <c r="U5220">
        <v>-0.40872190000000003</v>
      </c>
      <c r="V5220">
        <v>-8.6183940000000001E-2</v>
      </c>
      <c r="W5220">
        <v>0.16634199999999999</v>
      </c>
      <c r="X5220">
        <v>0.98229460000000002</v>
      </c>
      <c r="Y5220">
        <v>-0.1342149</v>
      </c>
      <c r="Z5220">
        <v>2.8024779999999999E-2</v>
      </c>
      <c r="AA5220">
        <v>0.99055590000000004</v>
      </c>
      <c r="AB5220">
        <v>22</v>
      </c>
      <c r="AC5220">
        <v>12.8071</v>
      </c>
      <c r="AD5220">
        <v>-1.111051842218</v>
      </c>
      <c r="AE5220">
        <v>-1.6910799999999899</v>
      </c>
      <c r="AF5220">
        <v>-1.76185718886455</v>
      </c>
      <c r="AG5220">
        <v>-1.111051842218</v>
      </c>
      <c r="AH5220">
        <v>12.701798093076199</v>
      </c>
      <c r="AI5220">
        <v>94.9518815420696</v>
      </c>
      <c r="AJ5220">
        <v>97.897066028143698</v>
      </c>
      <c r="AK5220">
        <v>12.871451035035699</v>
      </c>
      <c r="AL5220">
        <v>80.424797216053406</v>
      </c>
      <c r="AM5220">
        <v>95.014141006118393</v>
      </c>
      <c r="AN5220">
        <v>1.00000000683354</v>
      </c>
    </row>
    <row r="5221" spans="1:40" x14ac:dyDescent="0.25">
      <c r="A5221" t="str">
        <f>"20190312172515434"</f>
        <v>20190312172515434</v>
      </c>
      <c r="B5221" t="str">
        <f>"1552382715425634"</f>
        <v>1552382715425634</v>
      </c>
      <c r="C5221" t="s">
        <v>40</v>
      </c>
      <c r="D5221">
        <v>4.1156050000000004</v>
      </c>
      <c r="E5221">
        <v>0.48175180000000001</v>
      </c>
      <c r="F5221" t="s">
        <v>52</v>
      </c>
      <c r="G5221">
        <v>-376.12639999999999</v>
      </c>
      <c r="H5221" s="1">
        <v>-2.0047410000000001E-6</v>
      </c>
      <c r="I5221">
        <v>18.527249999999999</v>
      </c>
      <c r="J5221">
        <v>-389.12310000000002</v>
      </c>
      <c r="K5221">
        <v>1.111051</v>
      </c>
      <c r="L5221">
        <v>20.23715</v>
      </c>
      <c r="M5221">
        <v>0.9640978</v>
      </c>
      <c r="N5221">
        <v>0</v>
      </c>
      <c r="O5221">
        <v>-0.2652678</v>
      </c>
      <c r="P5221">
        <v>0.97171770000000002</v>
      </c>
      <c r="Q5221">
        <v>0.15518979999999999</v>
      </c>
      <c r="R5221">
        <v>-0.17799129999999999</v>
      </c>
      <c r="S5221">
        <v>3.0537109999999998</v>
      </c>
      <c r="T5221">
        <v>-0.25839709999999999</v>
      </c>
      <c r="U5221">
        <v>-0.40606690000000001</v>
      </c>
      <c r="V5221">
        <v>-8.640391E-2</v>
      </c>
      <c r="W5221">
        <v>0.1670497</v>
      </c>
      <c r="X5221">
        <v>0.98215509999999995</v>
      </c>
      <c r="Y5221">
        <v>-0.1345063</v>
      </c>
      <c r="Z5221">
        <v>2.7665390000000002E-2</v>
      </c>
      <c r="AA5221">
        <v>0.99052640000000003</v>
      </c>
      <c r="AB5221">
        <v>22</v>
      </c>
      <c r="AC5221">
        <v>12.996700000000001</v>
      </c>
      <c r="AD5221">
        <v>-1.1110530047409899</v>
      </c>
      <c r="AE5221">
        <v>-1.7099</v>
      </c>
      <c r="AF5221">
        <v>-1.78639572235193</v>
      </c>
      <c r="AG5221">
        <v>-1.1110530047409899</v>
      </c>
      <c r="AH5221">
        <v>12.8920220588398</v>
      </c>
      <c r="AI5221">
        <v>94.879270762251195</v>
      </c>
      <c r="AJ5221">
        <v>97.889010951797701</v>
      </c>
      <c r="AK5221">
        <v>13.0625373194412</v>
      </c>
      <c r="AL5221">
        <v>80.383672949023804</v>
      </c>
      <c r="AM5221">
        <v>95.027583597718902</v>
      </c>
      <c r="AN5221">
        <v>0.99999993919469199</v>
      </c>
    </row>
    <row r="5222" spans="1:40" x14ac:dyDescent="0.25">
      <c r="A5222" t="str">
        <f>"20190312172515452"</f>
        <v>20190312172515452</v>
      </c>
      <c r="B5222" t="str">
        <f>"1552382715446131"</f>
        <v>1552382715446131</v>
      </c>
      <c r="C5222" t="s">
        <v>40</v>
      </c>
      <c r="D5222">
        <v>4.1476369999999996</v>
      </c>
      <c r="E5222">
        <v>0.48184310000000002</v>
      </c>
      <c r="F5222" t="s">
        <v>52</v>
      </c>
      <c r="G5222">
        <v>-375.87520000000001</v>
      </c>
      <c r="H5222" s="1">
        <v>-2.1316399999999999E-6</v>
      </c>
      <c r="I5222">
        <v>18.481159999999999</v>
      </c>
      <c r="J5222">
        <v>-388.94900000000001</v>
      </c>
      <c r="K5222">
        <v>1.1110629999999999</v>
      </c>
      <c r="L5222">
        <v>20.190249999999999</v>
      </c>
      <c r="M5222">
        <v>0.96430890000000002</v>
      </c>
      <c r="N5222">
        <v>0</v>
      </c>
      <c r="O5222">
        <v>-0.26450059999999997</v>
      </c>
      <c r="P5222">
        <v>0.97170909999999999</v>
      </c>
      <c r="Q5222">
        <v>0.1565445</v>
      </c>
      <c r="R5222">
        <v>-0.17684920000000001</v>
      </c>
      <c r="S5222">
        <v>3.0540769999999999</v>
      </c>
      <c r="T5222">
        <v>-0.25613530000000001</v>
      </c>
      <c r="U5222">
        <v>-0.4048157</v>
      </c>
      <c r="V5222">
        <v>-8.6721580000000006E-2</v>
      </c>
      <c r="W5222">
        <v>0.1683847</v>
      </c>
      <c r="X5222">
        <v>0.98189910000000002</v>
      </c>
      <c r="Y5222">
        <v>-0.13416</v>
      </c>
      <c r="Z5222">
        <v>2.7345810000000002E-2</v>
      </c>
      <c r="AA5222">
        <v>0.99058230000000003</v>
      </c>
      <c r="AB5222">
        <v>22</v>
      </c>
      <c r="AC5222">
        <v>13.0738</v>
      </c>
      <c r="AD5222">
        <v>-1.11106513164</v>
      </c>
      <c r="AE5222">
        <v>-1.70908999999999</v>
      </c>
      <c r="AF5222">
        <v>-1.7973084046759999</v>
      </c>
      <c r="AG5222">
        <v>-1.11106513164</v>
      </c>
      <c r="AH5222">
        <v>12.968116167968301</v>
      </c>
      <c r="AI5222">
        <v>94.850811300418997</v>
      </c>
      <c r="AJ5222">
        <v>97.890608933552102</v>
      </c>
      <c r="AK5222">
        <v>13.139133159161799</v>
      </c>
      <c r="AL5222">
        <v>80.306084055558799</v>
      </c>
      <c r="AM5222">
        <v>95.047281391023503</v>
      </c>
      <c r="AN5222">
        <v>0.99999994110629598</v>
      </c>
    </row>
    <row r="5223" spans="1:40" x14ac:dyDescent="0.25">
      <c r="A5223" t="str">
        <f>"20190312172515464"</f>
        <v>20190312172515464</v>
      </c>
      <c r="B5223" t="str">
        <f>"1552382715455890"</f>
        <v>1552382715455890</v>
      </c>
      <c r="C5223" t="s">
        <v>40</v>
      </c>
      <c r="D5223">
        <v>4.126252</v>
      </c>
      <c r="E5223">
        <v>0.48194819999999999</v>
      </c>
      <c r="F5223" t="s">
        <v>52</v>
      </c>
      <c r="G5223">
        <v>-375.51569999999998</v>
      </c>
      <c r="H5223" s="1">
        <v>-2.3122169999999999E-6</v>
      </c>
      <c r="I5223">
        <v>18.421250000000001</v>
      </c>
      <c r="J5223">
        <v>-388.83819999999997</v>
      </c>
      <c r="K5223">
        <v>1.111065</v>
      </c>
      <c r="L5223">
        <v>20.160430000000002</v>
      </c>
      <c r="M5223">
        <v>0.96444300000000005</v>
      </c>
      <c r="N5223">
        <v>0</v>
      </c>
      <c r="O5223">
        <v>-0.2640111</v>
      </c>
      <c r="P5223">
        <v>0.97166569999999997</v>
      </c>
      <c r="Q5223">
        <v>0.157422799999999</v>
      </c>
      <c r="R5223">
        <v>-0.17630689999999999</v>
      </c>
      <c r="S5223">
        <v>3.05484</v>
      </c>
      <c r="T5223">
        <v>-0.25266430000000001</v>
      </c>
      <c r="U5223">
        <v>-0.40228269999999999</v>
      </c>
      <c r="V5223">
        <v>-8.6734729999999996E-2</v>
      </c>
      <c r="W5223">
        <v>0.16925229999999999</v>
      </c>
      <c r="X5223">
        <v>0.98174879999999998</v>
      </c>
      <c r="Y5223">
        <v>-0.1345336</v>
      </c>
      <c r="Z5223">
        <v>2.694846E-2</v>
      </c>
      <c r="AA5223">
        <v>0.99054249999999999</v>
      </c>
      <c r="AB5223">
        <v>22</v>
      </c>
      <c r="AC5223">
        <v>13.3224999999999</v>
      </c>
      <c r="AD5223">
        <v>-1.1110673122170001</v>
      </c>
      <c r="AE5223">
        <v>-1.73917999999999</v>
      </c>
      <c r="AF5223">
        <v>-1.82758570502599</v>
      </c>
      <c r="AG5223">
        <v>-1.1110673122170001</v>
      </c>
      <c r="AH5223">
        <v>13.2185415245575</v>
      </c>
      <c r="AI5223">
        <v>94.759563806356894</v>
      </c>
      <c r="AJ5223">
        <v>97.871767041603206</v>
      </c>
      <c r="AK5223">
        <v>13.3904585477101</v>
      </c>
      <c r="AL5223">
        <v>80.255650751911006</v>
      </c>
      <c r="AM5223">
        <v>95.048811611533296</v>
      </c>
      <c r="AN5223">
        <v>0.99999998037245097</v>
      </c>
    </row>
    <row r="5224" spans="1:40" x14ac:dyDescent="0.25">
      <c r="A5224" t="str">
        <f>"20190312172515475"</f>
        <v>20190312172515475</v>
      </c>
      <c r="B5224" t="str">
        <f>"1552382715465650"</f>
        <v>1552382715465650</v>
      </c>
      <c r="C5224" t="s">
        <v>40</v>
      </c>
      <c r="D5224">
        <v>4.1231039999999997</v>
      </c>
      <c r="E5224">
        <v>0.48208679999999898</v>
      </c>
      <c r="F5224" t="s">
        <v>52</v>
      </c>
      <c r="G5224">
        <v>-375.23070000000001</v>
      </c>
      <c r="H5224" s="1">
        <v>-2.4555620000000001E-6</v>
      </c>
      <c r="I5224">
        <v>18.372720000000001</v>
      </c>
      <c r="J5224">
        <v>-388.73320000000001</v>
      </c>
      <c r="K5224">
        <v>1.1110690000000001</v>
      </c>
      <c r="L5224">
        <v>20.132259999999999</v>
      </c>
      <c r="M5224">
        <v>0.96457029999999999</v>
      </c>
      <c r="N5224">
        <v>0</v>
      </c>
      <c r="O5224">
        <v>-0.26354549999999999</v>
      </c>
      <c r="P5224">
        <v>0.97171510000000005</v>
      </c>
      <c r="Q5224">
        <v>0.15771969999999999</v>
      </c>
      <c r="R5224">
        <v>-0.1757686</v>
      </c>
      <c r="S5224">
        <v>3.0550839999999999</v>
      </c>
      <c r="T5224">
        <v>-0.24945059999999999</v>
      </c>
      <c r="U5224">
        <v>-0.40136719999999998</v>
      </c>
      <c r="V5224">
        <v>-8.6792610000000006E-2</v>
      </c>
      <c r="W5224">
        <v>0.16954079999999999</v>
      </c>
      <c r="X5224">
        <v>0.98169390000000001</v>
      </c>
      <c r="Y5224">
        <v>-0.1343924</v>
      </c>
      <c r="Z5224">
        <v>2.656329E-2</v>
      </c>
      <c r="AA5224">
        <v>0.99057209999999996</v>
      </c>
      <c r="AB5224">
        <v>22</v>
      </c>
      <c r="AC5224">
        <v>13.5024999999999</v>
      </c>
      <c r="AD5224">
        <v>-1.111071455562</v>
      </c>
      <c r="AE5224">
        <v>-1.7595400000000001</v>
      </c>
      <c r="AF5224">
        <v>-1.84914915064473</v>
      </c>
      <c r="AG5224">
        <v>-1.111071455562</v>
      </c>
      <c r="AH5224">
        <v>13.3996125120072</v>
      </c>
      <c r="AI5224">
        <v>94.695718224257703</v>
      </c>
      <c r="AJ5224">
        <v>97.857201936767893</v>
      </c>
      <c r="AK5224">
        <v>13.5721570810478</v>
      </c>
      <c r="AL5224">
        <v>80.238878489854002</v>
      </c>
      <c r="AM5224">
        <v>95.052444437454596</v>
      </c>
      <c r="AN5224">
        <v>0.99999997665622997</v>
      </c>
    </row>
    <row r="5225" spans="1:40" x14ac:dyDescent="0.25">
      <c r="A5225" t="str">
        <f>"20190312172515488"</f>
        <v>20190312172515488</v>
      </c>
      <c r="B5225" t="str">
        <f>"1552382715476387"</f>
        <v>1552382715476387</v>
      </c>
      <c r="C5225" t="s">
        <v>40</v>
      </c>
      <c r="D5225">
        <v>4.0787389999999997</v>
      </c>
      <c r="E5225">
        <v>0.4822843</v>
      </c>
      <c r="F5225" t="s">
        <v>52</v>
      </c>
      <c r="G5225">
        <v>-375.06139999999999</v>
      </c>
      <c r="H5225" s="1">
        <v>-2.5412790000000002E-6</v>
      </c>
      <c r="I5225">
        <v>18.34055</v>
      </c>
      <c r="J5225">
        <v>-388.62540000000001</v>
      </c>
      <c r="K5225">
        <v>1.1110709999999999</v>
      </c>
      <c r="L5225">
        <v>20.103390000000001</v>
      </c>
      <c r="M5225">
        <v>0.96470120000000004</v>
      </c>
      <c r="N5225">
        <v>0</v>
      </c>
      <c r="O5225">
        <v>-0.26306689999999999</v>
      </c>
      <c r="P5225">
        <v>0.97176019999999996</v>
      </c>
      <c r="Q5225">
        <v>0.15809429999999999</v>
      </c>
      <c r="R5225">
        <v>-0.17518139999999999</v>
      </c>
      <c r="S5225">
        <v>3.0552060000000001</v>
      </c>
      <c r="T5225">
        <v>-0.2482897</v>
      </c>
      <c r="U5225">
        <v>-0.40039059999999999</v>
      </c>
      <c r="V5225">
        <v>-8.6882520000000005E-2</v>
      </c>
      <c r="W5225">
        <v>0.16990920000000001</v>
      </c>
      <c r="X5225">
        <v>0.98162229999999995</v>
      </c>
      <c r="Y5225">
        <v>-0.13423089999999999</v>
      </c>
      <c r="Z5225">
        <v>2.6395999999999999E-2</v>
      </c>
      <c r="AA5225">
        <v>0.99059839999999999</v>
      </c>
      <c r="AB5225">
        <v>22</v>
      </c>
      <c r="AC5225">
        <v>13.564</v>
      </c>
      <c r="AD5225">
        <v>-1.1110735412789901</v>
      </c>
      <c r="AE5225">
        <v>-1.76284</v>
      </c>
      <c r="AF5225">
        <v>-1.8555198480378801</v>
      </c>
      <c r="AG5225">
        <v>-1.1110735412789901</v>
      </c>
      <c r="AH5225">
        <v>13.4611292840892</v>
      </c>
      <c r="AI5225">
        <v>94.674462175053506</v>
      </c>
      <c r="AJ5225">
        <v>97.848352566137294</v>
      </c>
      <c r="AK5225">
        <v>13.633761033682401</v>
      </c>
      <c r="AL5225">
        <v>80.217460442289394</v>
      </c>
      <c r="AM5225">
        <v>95.058018215525294</v>
      </c>
      <c r="AN5225">
        <v>1.0000000241917399</v>
      </c>
    </row>
    <row r="5226" spans="1:40" x14ac:dyDescent="0.25">
      <c r="A5226" t="str">
        <f>"20190312172515498"</f>
        <v>20190312172515498</v>
      </c>
      <c r="B5226" t="str">
        <f>"1552382715495907"</f>
        <v>1552382715495907</v>
      </c>
      <c r="C5226" t="s">
        <v>40</v>
      </c>
      <c r="D5226">
        <v>4.1997839999999904</v>
      </c>
      <c r="E5226">
        <v>0.48241719999999999</v>
      </c>
      <c r="F5226" t="s">
        <v>52</v>
      </c>
      <c r="G5226">
        <v>-374.88720000000001</v>
      </c>
      <c r="H5226" s="1">
        <v>-2.6301489999999999E-6</v>
      </c>
      <c r="I5226">
        <v>18.30367</v>
      </c>
      <c r="J5226">
        <v>-388.51299999999998</v>
      </c>
      <c r="K5226">
        <v>1.1110719999999901</v>
      </c>
      <c r="L5226">
        <v>20.07339</v>
      </c>
      <c r="M5226">
        <v>0.96483739999999996</v>
      </c>
      <c r="N5226">
        <v>0</v>
      </c>
      <c r="O5226">
        <v>-0.26256659999999998</v>
      </c>
      <c r="P5226">
        <v>0.97188319999999995</v>
      </c>
      <c r="Q5226">
        <v>0.15817629999999999</v>
      </c>
      <c r="R5226">
        <v>-0.17442289999999999</v>
      </c>
      <c r="S5226">
        <v>3.0552060000000001</v>
      </c>
      <c r="T5226">
        <v>-0.24709049999999999</v>
      </c>
      <c r="U5226">
        <v>-0.40023799999999998</v>
      </c>
      <c r="V5226">
        <v>-8.7136430000000001E-2</v>
      </c>
      <c r="W5226">
        <v>0.1699872</v>
      </c>
      <c r="X5226">
        <v>0.98158630000000002</v>
      </c>
      <c r="Y5226">
        <v>-0.13378080000000001</v>
      </c>
      <c r="Z5226">
        <v>2.6212160000000002E-2</v>
      </c>
      <c r="AA5226">
        <v>0.99066419999999999</v>
      </c>
      <c r="AB5226">
        <v>22</v>
      </c>
      <c r="AC5226">
        <v>13.6258</v>
      </c>
      <c r="AD5226">
        <v>-1.11107463014899</v>
      </c>
      <c r="AE5226">
        <v>-1.76971999999999</v>
      </c>
      <c r="AF5226">
        <v>-1.85817571979657</v>
      </c>
      <c r="AG5226">
        <v>-1.11107463014899</v>
      </c>
      <c r="AH5226">
        <v>13.5239251176745</v>
      </c>
      <c r="AI5226">
        <v>94.653134833489403</v>
      </c>
      <c r="AJ5226">
        <v>97.823404972699194</v>
      </c>
      <c r="AK5226">
        <v>13.696125526143099</v>
      </c>
      <c r="AL5226">
        <v>80.212925506877298</v>
      </c>
      <c r="AM5226">
        <v>95.072908091222303</v>
      </c>
      <c r="AN5226">
        <v>1.0000000349723299</v>
      </c>
    </row>
    <row r="5227" spans="1:40" x14ac:dyDescent="0.25">
      <c r="A5227" t="str">
        <f>"20190312172515512"</f>
        <v>20190312172515512</v>
      </c>
      <c r="B5227" t="str">
        <f>"1552382715505667"</f>
        <v>1552382715505667</v>
      </c>
      <c r="C5227" t="s">
        <v>40</v>
      </c>
      <c r="D5227">
        <v>4.1472189999999998</v>
      </c>
      <c r="E5227">
        <v>0.48256139999999997</v>
      </c>
      <c r="F5227" t="s">
        <v>52</v>
      </c>
      <c r="G5227">
        <v>-374.75360000000001</v>
      </c>
      <c r="H5227" s="1">
        <v>-2.6981690000000001E-6</v>
      </c>
      <c r="I5227">
        <v>18.276450000000001</v>
      </c>
      <c r="J5227">
        <v>-388.39859999999999</v>
      </c>
      <c r="K5227">
        <v>1.111191</v>
      </c>
      <c r="L5227">
        <v>20.04288</v>
      </c>
      <c r="M5227">
        <v>0.96495679999999995</v>
      </c>
      <c r="N5227">
        <v>0</v>
      </c>
      <c r="O5227">
        <v>-0.2621039</v>
      </c>
      <c r="P5227">
        <v>0.97214509999999998</v>
      </c>
      <c r="Q5227">
        <v>0.15752430000000001</v>
      </c>
      <c r="R5227">
        <v>-0.17355309999999999</v>
      </c>
      <c r="S5227">
        <v>3.0553279999999998</v>
      </c>
      <c r="T5227">
        <v>-0.2467173</v>
      </c>
      <c r="U5227">
        <v>-0.39901730000000002</v>
      </c>
      <c r="V5227">
        <v>-8.7564039999999996E-2</v>
      </c>
      <c r="W5227">
        <v>0.16984630000000001</v>
      </c>
      <c r="X5227">
        <v>0.98157260000000002</v>
      </c>
      <c r="Y5227">
        <v>-0.13370689999999999</v>
      </c>
      <c r="Z5227">
        <v>2.6133960000000001E-2</v>
      </c>
      <c r="AA5227">
        <v>0.99067629999999995</v>
      </c>
      <c r="AB5227">
        <v>22</v>
      </c>
      <c r="AC5227">
        <v>13.6449999999999</v>
      </c>
      <c r="AD5227">
        <v>-1.111193698169</v>
      </c>
      <c r="AE5227">
        <v>-1.76642999999999</v>
      </c>
      <c r="AF5227">
        <v>-1.8598975757556599</v>
      </c>
      <c r="AG5227">
        <v>-1.111193698169</v>
      </c>
      <c r="AH5227">
        <v>13.5425821275819</v>
      </c>
      <c r="AI5227">
        <v>94.647287063223899</v>
      </c>
      <c r="AJ5227">
        <v>97.819910282058601</v>
      </c>
      <c r="AK5227">
        <v>13.714791325771399</v>
      </c>
      <c r="AL5227">
        <v>80.221117241909994</v>
      </c>
      <c r="AM5227">
        <v>95.097742612164495</v>
      </c>
      <c r="AN5227">
        <v>0.99999999789778504</v>
      </c>
    </row>
    <row r="5228" spans="1:40" x14ac:dyDescent="0.25">
      <c r="A5228" t="str">
        <f>"20190312172515524"</f>
        <v>20190312172515524</v>
      </c>
      <c r="B5228" t="str">
        <f>"1552382715515428"</f>
        <v>1552382715515428</v>
      </c>
      <c r="C5228" t="s">
        <v>40</v>
      </c>
      <c r="D5228">
        <v>4.1574210000000003</v>
      </c>
      <c r="E5228">
        <v>0.48256139999999997</v>
      </c>
      <c r="F5228" t="s">
        <v>52</v>
      </c>
      <c r="G5228">
        <v>-374.76960000000003</v>
      </c>
      <c r="H5228" s="1">
        <v>-2.6918900000000002E-6</v>
      </c>
      <c r="I5228">
        <v>18.269089999999998</v>
      </c>
      <c r="J5228">
        <v>-388.29</v>
      </c>
      <c r="K5228">
        <v>1.111329</v>
      </c>
      <c r="L5228">
        <v>20.013919999999999</v>
      </c>
      <c r="M5228">
        <v>0.96506400000000003</v>
      </c>
      <c r="N5228">
        <v>0</v>
      </c>
      <c r="O5228">
        <v>-0.2616771</v>
      </c>
      <c r="P5228">
        <v>0.97242079999999997</v>
      </c>
      <c r="Q5228">
        <v>0.15679899999999999</v>
      </c>
      <c r="R5228">
        <v>-0.1726627</v>
      </c>
      <c r="S5228">
        <v>3.0553279999999998</v>
      </c>
      <c r="T5228">
        <v>-0.24910550000000001</v>
      </c>
      <c r="U5228">
        <v>-0.397644</v>
      </c>
      <c r="V5228">
        <v>-8.8050390000000006E-2</v>
      </c>
      <c r="W5228">
        <v>0.1697514</v>
      </c>
      <c r="X5228">
        <v>0.98154549999999996</v>
      </c>
      <c r="Y5228">
        <v>-0.1336859</v>
      </c>
      <c r="Z5228">
        <v>2.6353120000000001E-2</v>
      </c>
      <c r="AA5228">
        <v>0.99067329999999998</v>
      </c>
      <c r="AB5228">
        <v>22</v>
      </c>
      <c r="AC5228">
        <v>13.520399999999899</v>
      </c>
      <c r="AD5228">
        <v>-1.11133169189</v>
      </c>
      <c r="AE5228">
        <v>-1.7448300000000001</v>
      </c>
      <c r="AF5228">
        <v>-1.84202874737818</v>
      </c>
      <c r="AG5228">
        <v>-1.11133169189</v>
      </c>
      <c r="AH5228">
        <v>13.4166638361925</v>
      </c>
      <c r="AI5228">
        <v>94.691316049379495</v>
      </c>
      <c r="AJ5228">
        <v>97.817497726176001</v>
      </c>
      <c r="AK5228">
        <v>13.588046089448</v>
      </c>
      <c r="AL5228">
        <v>80.226634642273893</v>
      </c>
      <c r="AM5228">
        <v>95.1260469444466</v>
      </c>
      <c r="AN5228">
        <v>0.99999998877568097</v>
      </c>
    </row>
    <row r="5229" spans="1:40" x14ac:dyDescent="0.25">
      <c r="A5229" t="str">
        <f>"20190312172515541"</f>
        <v>20190312172515541</v>
      </c>
      <c r="B5229" t="str">
        <f>"1552382715535923"</f>
        <v>1552382715535923</v>
      </c>
      <c r="C5229" t="s">
        <v>40</v>
      </c>
      <c r="D5229">
        <v>3.9794499999999999</v>
      </c>
      <c r="E5229">
        <v>0.46433659999999999</v>
      </c>
      <c r="F5229" t="s">
        <v>52</v>
      </c>
      <c r="G5229">
        <v>-374.78539999999998</v>
      </c>
      <c r="H5229" s="1">
        <v>-2.6846609999999999E-6</v>
      </c>
      <c r="I5229">
        <v>18.26774</v>
      </c>
      <c r="J5229">
        <v>-388.13290000000001</v>
      </c>
      <c r="K5229">
        <v>1.111561</v>
      </c>
      <c r="L5229">
        <v>19.97214</v>
      </c>
      <c r="M5229">
        <v>0.96520550000000005</v>
      </c>
      <c r="N5229">
        <v>0</v>
      </c>
      <c r="O5229">
        <v>-0.2610884</v>
      </c>
      <c r="P5229">
        <v>0.97306289999999995</v>
      </c>
      <c r="Q5229">
        <v>0.15503739999999999</v>
      </c>
      <c r="R5229">
        <v>-0.17062349999999901</v>
      </c>
      <c r="S5229">
        <v>3.0554809999999999</v>
      </c>
      <c r="T5229">
        <v>-0.25144470000000002</v>
      </c>
      <c r="U5229">
        <v>-0.3950806</v>
      </c>
      <c r="V5229">
        <v>-8.9564619999999998E-2</v>
      </c>
      <c r="W5229">
        <v>0.1692274</v>
      </c>
      <c r="X5229">
        <v>0.98149900000000001</v>
      </c>
      <c r="Y5229">
        <v>-0.13388720000000001</v>
      </c>
      <c r="Z5229">
        <v>2.6562579999999999E-2</v>
      </c>
      <c r="AA5229">
        <v>0.99064050000000003</v>
      </c>
      <c r="AB5229">
        <v>21</v>
      </c>
      <c r="AC5229">
        <v>13.3475</v>
      </c>
      <c r="AD5229">
        <v>-1.111563684661</v>
      </c>
      <c r="AE5229">
        <v>-1.7043999999999899</v>
      </c>
      <c r="AF5229">
        <v>-1.8275044221482899</v>
      </c>
      <c r="AG5229">
        <v>-1.111563684661</v>
      </c>
      <c r="AH5229">
        <v>13.2391420538732</v>
      </c>
      <c r="AI5229">
        <v>94.754447003155093</v>
      </c>
      <c r="AJ5229">
        <v>97.859326325553795</v>
      </c>
      <c r="AK5229">
        <v>13.410825051452401</v>
      </c>
      <c r="AL5229">
        <v>80.257098594576405</v>
      </c>
      <c r="AM5229">
        <v>95.213965061008906</v>
      </c>
      <c r="AN5229">
        <v>1.0000000105337501</v>
      </c>
    </row>
    <row r="5230" spans="1:40" x14ac:dyDescent="0.25">
      <c r="A5230" t="str">
        <f>"20190312172515555"</f>
        <v>20190312172515555</v>
      </c>
      <c r="B5230" t="str">
        <f>"1552382715545683"</f>
        <v>1552382715545683</v>
      </c>
      <c r="C5230" t="s">
        <v>40</v>
      </c>
      <c r="D5230">
        <v>4.1440380000000001</v>
      </c>
      <c r="E5230">
        <v>0.46324920000000003</v>
      </c>
      <c r="F5230" t="s">
        <v>52</v>
      </c>
      <c r="G5230">
        <v>-374.65370000000001</v>
      </c>
      <c r="H5230" s="1">
        <v>-2.6353559999999998E-6</v>
      </c>
      <c r="I5230">
        <v>18.896629999999998</v>
      </c>
      <c r="J5230">
        <v>-388.00450000000001</v>
      </c>
      <c r="K5230">
        <v>1.1117619999999999</v>
      </c>
      <c r="L5230">
        <v>19.93805</v>
      </c>
      <c r="M5230">
        <v>0.96530959999999999</v>
      </c>
      <c r="N5230">
        <v>0</v>
      </c>
      <c r="O5230">
        <v>-0.26063540000000002</v>
      </c>
      <c r="P5230">
        <v>0.97343150000000001</v>
      </c>
      <c r="Q5230">
        <v>0.15375829999999999</v>
      </c>
      <c r="R5230">
        <v>-0.1696752</v>
      </c>
      <c r="S5230">
        <v>3.080444</v>
      </c>
      <c r="T5230">
        <v>-0.25402950000000002</v>
      </c>
      <c r="U5230">
        <v>-0.2457886</v>
      </c>
      <c r="V5230">
        <v>-9.0099570000000004E-2</v>
      </c>
      <c r="W5230">
        <v>0.16910710000000001</v>
      </c>
      <c r="X5230">
        <v>0.98147079999999998</v>
      </c>
      <c r="Y5230">
        <v>-0.18158569999999999</v>
      </c>
      <c r="Z5230">
        <v>2.864452E-2</v>
      </c>
      <c r="AA5230">
        <v>0.98295779999999999</v>
      </c>
      <c r="AB5230">
        <v>21</v>
      </c>
      <c r="AC5230">
        <v>13.3507999999999</v>
      </c>
      <c r="AD5230">
        <v>-1.111764635356</v>
      </c>
      <c r="AE5230">
        <v>-1.04142</v>
      </c>
      <c r="AF5230">
        <v>-2.45776335340642</v>
      </c>
      <c r="AG5230">
        <v>-1.111764635356</v>
      </c>
      <c r="AH5230">
        <v>13.0706196977294</v>
      </c>
      <c r="AI5230">
        <v>94.778432910753807</v>
      </c>
      <c r="AJ5230">
        <v>100.649388977269</v>
      </c>
      <c r="AK5230">
        <v>13.3460751005098</v>
      </c>
      <c r="AL5230">
        <v>80.264092336533196</v>
      </c>
      <c r="AM5230">
        <v>95.245083626329702</v>
      </c>
      <c r="AN5230">
        <v>1.00000003751861</v>
      </c>
    </row>
    <row r="5231" spans="1:40" x14ac:dyDescent="0.25">
      <c r="A5231" t="str">
        <f>"20190312172515567"</f>
        <v>20190312172515567</v>
      </c>
      <c r="B5231" t="str">
        <f>"1552382715555443"</f>
        <v>1552382715555443</v>
      </c>
      <c r="C5231" t="s">
        <v>40</v>
      </c>
      <c r="D5231">
        <v>4.0858730000000003</v>
      </c>
      <c r="E5231">
        <v>0.46271800000000002</v>
      </c>
      <c r="F5231" t="s">
        <v>52</v>
      </c>
      <c r="G5231">
        <v>-374.4076</v>
      </c>
      <c r="H5231" s="1">
        <v>-2.7501339999999998E-6</v>
      </c>
      <c r="I5231">
        <v>18.905439999999999</v>
      </c>
      <c r="J5231">
        <v>-387.90629999999999</v>
      </c>
      <c r="K5231">
        <v>1.1119159999999999</v>
      </c>
      <c r="L5231">
        <v>19.911960000000001</v>
      </c>
      <c r="M5231">
        <v>0.96538380000000001</v>
      </c>
      <c r="N5231">
        <v>0</v>
      </c>
      <c r="O5231">
        <v>-0.2603028</v>
      </c>
      <c r="P5231">
        <v>0.97383339999999996</v>
      </c>
      <c r="Q5231">
        <v>0.15248220000000001</v>
      </c>
      <c r="R5231">
        <v>-0.16851579999999999</v>
      </c>
      <c r="S5231">
        <v>3.0809329999999999</v>
      </c>
      <c r="T5231">
        <v>-0.25191560000000002</v>
      </c>
      <c r="U5231">
        <v>-0.2339783</v>
      </c>
      <c r="V5231">
        <v>-9.0976749999999995E-2</v>
      </c>
      <c r="W5231">
        <v>0.16874</v>
      </c>
      <c r="X5231">
        <v>0.98145300000000002</v>
      </c>
      <c r="Y5231">
        <v>-0.1850213</v>
      </c>
      <c r="Z5231">
        <v>2.8523369999999999E-2</v>
      </c>
      <c r="AA5231">
        <v>0.98232050000000004</v>
      </c>
      <c r="AB5231">
        <v>21</v>
      </c>
      <c r="AC5231">
        <v>13.4986999999999</v>
      </c>
      <c r="AD5231">
        <v>-1.111918750134</v>
      </c>
      <c r="AE5231">
        <v>-1.0065200000000001</v>
      </c>
      <c r="AF5231">
        <v>-2.5253824427878202</v>
      </c>
      <c r="AG5231">
        <v>-1.111918750134</v>
      </c>
      <c r="AH5231">
        <v>13.2061540789843</v>
      </c>
      <c r="AI5231">
        <v>94.727519066182893</v>
      </c>
      <c r="AJ5231">
        <v>100.82584281763</v>
      </c>
      <c r="AK5231">
        <v>13.491346313363801</v>
      </c>
      <c r="AL5231">
        <v>80.285431665862106</v>
      </c>
      <c r="AM5231">
        <v>95.295954593057999</v>
      </c>
      <c r="AN5231">
        <v>0.99999997392478002</v>
      </c>
    </row>
    <row r="5232" spans="1:40" x14ac:dyDescent="0.25">
      <c r="A5232" t="str">
        <f>"20190312172515579"</f>
        <v>20190312172515579</v>
      </c>
      <c r="B5232" t="str">
        <f>"1552382715566179"</f>
        <v>1552382715566179</v>
      </c>
      <c r="C5232" t="s">
        <v>40</v>
      </c>
      <c r="D5232">
        <v>3.9536169999999999</v>
      </c>
      <c r="E5232">
        <v>0.46248470000000003</v>
      </c>
      <c r="F5232" t="s">
        <v>52</v>
      </c>
      <c r="G5232">
        <v>-374.21100000000001</v>
      </c>
      <c r="H5232" s="1">
        <v>-2.842518E-6</v>
      </c>
      <c r="I5232">
        <v>18.908560000000001</v>
      </c>
      <c r="J5232">
        <v>-387.79640000000001</v>
      </c>
      <c r="K5232">
        <v>1.112085</v>
      </c>
      <c r="L5232">
        <v>19.882809999999999</v>
      </c>
      <c r="M5232">
        <v>0.96546160000000003</v>
      </c>
      <c r="N5232">
        <v>0</v>
      </c>
      <c r="O5232">
        <v>-0.25994509999999998</v>
      </c>
      <c r="P5232">
        <v>0.97418990000000005</v>
      </c>
      <c r="Q5232">
        <v>0.15135750000000001</v>
      </c>
      <c r="R5232">
        <v>-0.16746710000000001</v>
      </c>
      <c r="S5232">
        <v>3.0806879999999999</v>
      </c>
      <c r="T5232">
        <v>-0.25012020000000001</v>
      </c>
      <c r="U5232">
        <v>-0.22570799999999999</v>
      </c>
      <c r="V5232">
        <v>-9.1714249999999997E-2</v>
      </c>
      <c r="W5232">
        <v>0.168655</v>
      </c>
      <c r="X5232">
        <v>0.98139900000000002</v>
      </c>
      <c r="Y5232">
        <v>-0.18729170000000001</v>
      </c>
      <c r="Z5232">
        <v>2.8391820000000002E-2</v>
      </c>
      <c r="AA5232">
        <v>0.98189400000000004</v>
      </c>
      <c r="AB5232">
        <v>20</v>
      </c>
      <c r="AC5232">
        <v>13.5853999999999</v>
      </c>
      <c r="AD5232">
        <v>-1.1120878425180001</v>
      </c>
      <c r="AE5232">
        <v>-0.97424999999999695</v>
      </c>
      <c r="AF5232">
        <v>-2.5741014897456398</v>
      </c>
      <c r="AG5232">
        <v>-1.1120878425180001</v>
      </c>
      <c r="AH5232">
        <v>13.282970133496701</v>
      </c>
      <c r="AI5232">
        <v>94.698788939850303</v>
      </c>
      <c r="AJ5232">
        <v>100.96738357692</v>
      </c>
      <c r="AK5232">
        <v>13.5757148399763</v>
      </c>
      <c r="AL5232">
        <v>80.290372925723005</v>
      </c>
      <c r="AM5232">
        <v>95.338931060256996</v>
      </c>
      <c r="AN5232">
        <v>1.0000000049395299</v>
      </c>
    </row>
    <row r="5233" spans="1:40" x14ac:dyDescent="0.25">
      <c r="A5233" t="str">
        <f>"20190312172515598"</f>
        <v>20190312172515598</v>
      </c>
      <c r="B5233" t="str">
        <f>"1552382715585698"</f>
        <v>1552382715585698</v>
      </c>
      <c r="C5233" t="s">
        <v>40</v>
      </c>
      <c r="D5233">
        <v>4.1031149999999998</v>
      </c>
      <c r="E5233">
        <v>0.46242929999999999</v>
      </c>
      <c r="F5233" t="s">
        <v>52</v>
      </c>
      <c r="G5233">
        <v>-374.53989999999999</v>
      </c>
      <c r="H5233" s="1">
        <v>-2.6822150000000001E-6</v>
      </c>
      <c r="I5233">
        <v>18.935669999999998</v>
      </c>
      <c r="J5233">
        <v>-387.63839999999999</v>
      </c>
      <c r="K5233">
        <v>1.112295</v>
      </c>
      <c r="L5233">
        <v>19.84103</v>
      </c>
      <c r="M5233">
        <v>0.96558840000000001</v>
      </c>
      <c r="N5233">
        <v>0</v>
      </c>
      <c r="O5233">
        <v>-0.25937519999999997</v>
      </c>
      <c r="P5233">
        <v>0.97479950000000004</v>
      </c>
      <c r="Q5233">
        <v>0.14962639999999999</v>
      </c>
      <c r="R5233">
        <v>-0.16546329999999901</v>
      </c>
      <c r="S5233">
        <v>3.0817570000000001</v>
      </c>
      <c r="T5233">
        <v>-0.25852920000000001</v>
      </c>
      <c r="U5233">
        <v>-0.2201843</v>
      </c>
      <c r="V5233">
        <v>-9.3234349999999994E-2</v>
      </c>
      <c r="W5233">
        <v>0.1682921</v>
      </c>
      <c r="X5233">
        <v>0.98131809999999997</v>
      </c>
      <c r="Y5233">
        <v>-0.1883946</v>
      </c>
      <c r="Z5233">
        <v>2.9336589999999999E-2</v>
      </c>
      <c r="AA5233">
        <v>0.98165519999999995</v>
      </c>
      <c r="AB5233">
        <v>20</v>
      </c>
      <c r="AC5233">
        <v>13.0985</v>
      </c>
      <c r="AD5233">
        <v>-1.1122976822149999</v>
      </c>
      <c r="AE5233">
        <v>-0.90535999999999806</v>
      </c>
      <c r="AF5233">
        <v>-2.5056969127683502</v>
      </c>
      <c r="AG5233">
        <v>-1.1122976822149999</v>
      </c>
      <c r="AH5233">
        <v>12.7931166843093</v>
      </c>
      <c r="AI5233">
        <v>94.876882061409802</v>
      </c>
      <c r="AJ5233">
        <v>101.081830601367</v>
      </c>
      <c r="AK5233">
        <v>13.0835605876562</v>
      </c>
      <c r="AL5233">
        <v>80.311467463990496</v>
      </c>
      <c r="AM5233">
        <v>95.427340828335602</v>
      </c>
      <c r="AN5233">
        <v>1.0000000441649699</v>
      </c>
    </row>
    <row r="5234" spans="1:40" x14ac:dyDescent="0.25">
      <c r="A5234" t="str">
        <f>"20190312172515620"</f>
        <v>20190312172515620</v>
      </c>
      <c r="B5234" t="str">
        <f>"1552382715615954"</f>
        <v>1552382715615954</v>
      </c>
      <c r="C5234" t="s">
        <v>40</v>
      </c>
      <c r="D5234">
        <v>4.0616339999999997</v>
      </c>
      <c r="E5234">
        <v>0.46221780000000001</v>
      </c>
      <c r="F5234" t="s">
        <v>52</v>
      </c>
      <c r="G5234">
        <v>-374.37</v>
      </c>
      <c r="H5234" s="1">
        <v>-2.7641470000000002E-6</v>
      </c>
      <c r="I5234">
        <v>18.92661</v>
      </c>
      <c r="J5234">
        <v>-387.45280000000002</v>
      </c>
      <c r="K5234">
        <v>1.1122570000000001</v>
      </c>
      <c r="L5234">
        <v>19.792179999999998</v>
      </c>
      <c r="M5234">
        <v>0.96582239999999997</v>
      </c>
      <c r="N5234">
        <v>0</v>
      </c>
      <c r="O5234">
        <v>-0.25847209999999998</v>
      </c>
      <c r="P5234">
        <v>0.97535870000000002</v>
      </c>
      <c r="Q5234">
        <v>0.14859610000000001</v>
      </c>
      <c r="R5234">
        <v>-0.16308</v>
      </c>
      <c r="S5234">
        <v>3.0811160000000002</v>
      </c>
      <c r="T5234">
        <v>-0.25829279999999999</v>
      </c>
      <c r="U5234">
        <v>-0.21234130000000001</v>
      </c>
      <c r="V5234">
        <v>-9.4794199999999995E-2</v>
      </c>
      <c r="W5234">
        <v>0.16764200000000001</v>
      </c>
      <c r="X5234">
        <v>0.98127989999999998</v>
      </c>
      <c r="Y5234">
        <v>-0.18994949999999999</v>
      </c>
      <c r="Z5234">
        <v>2.931226E-2</v>
      </c>
      <c r="AA5234">
        <v>0.98135620000000001</v>
      </c>
      <c r="AB5234">
        <v>20</v>
      </c>
      <c r="AC5234">
        <v>13.082800000000001</v>
      </c>
      <c r="AD5234">
        <v>-1.112259764147</v>
      </c>
      <c r="AE5234">
        <v>-0.86556999999999795</v>
      </c>
      <c r="AF5234">
        <v>-2.5278434265278</v>
      </c>
      <c r="AG5234">
        <v>-1.112259764147</v>
      </c>
      <c r="AH5234">
        <v>12.769928963172701</v>
      </c>
      <c r="AI5234">
        <v>94.883603251413604</v>
      </c>
      <c r="AJ5234">
        <v>101.19710466538</v>
      </c>
      <c r="AK5234">
        <v>13.0651521191472</v>
      </c>
      <c r="AL5234">
        <v>80.349251952899095</v>
      </c>
      <c r="AM5234">
        <v>95.5178002239997</v>
      </c>
      <c r="AN5234">
        <v>1.0000000113308201</v>
      </c>
    </row>
    <row r="5235" spans="1:40" x14ac:dyDescent="0.25">
      <c r="A5235" t="str">
        <f>"20190312172515634"</f>
        <v>20190312172515634</v>
      </c>
      <c r="B5235" t="str">
        <f>"1552382715625714"</f>
        <v>1552382715625714</v>
      </c>
      <c r="C5235" t="s">
        <v>40</v>
      </c>
      <c r="D5235">
        <v>4.1967230000000004</v>
      </c>
      <c r="E5235">
        <v>0.46202270000000001</v>
      </c>
      <c r="F5235" t="s">
        <v>52</v>
      </c>
      <c r="G5235">
        <v>-374.1764</v>
      </c>
      <c r="H5235" s="1">
        <v>-2.8571830000000001E-6</v>
      </c>
      <c r="I5235">
        <v>18.917999999999999</v>
      </c>
      <c r="J5235">
        <v>-387.33159999999998</v>
      </c>
      <c r="K5235">
        <v>1.1120779999999999</v>
      </c>
      <c r="L5235">
        <v>19.760470000000002</v>
      </c>
      <c r="M5235">
        <v>0.96600439999999999</v>
      </c>
      <c r="N5235">
        <v>0</v>
      </c>
      <c r="O5235">
        <v>-0.25783220000000001</v>
      </c>
      <c r="P5235">
        <v>0.9755433</v>
      </c>
      <c r="Q5235">
        <v>0.1489905</v>
      </c>
      <c r="R5235">
        <v>-0.1616088</v>
      </c>
      <c r="S5235">
        <v>3.081207</v>
      </c>
      <c r="T5235">
        <v>-0.25813530000000001</v>
      </c>
      <c r="U5235">
        <v>-0.2028809</v>
      </c>
      <c r="V5235">
        <v>-9.5643950000000005E-2</v>
      </c>
      <c r="W5235">
        <v>0.16746759999999999</v>
      </c>
      <c r="X5235">
        <v>0.98122719999999997</v>
      </c>
      <c r="Y5235">
        <v>-0.19229289999999999</v>
      </c>
      <c r="Z5235">
        <v>2.9344539999999999E-2</v>
      </c>
      <c r="AA5235">
        <v>0.98089870000000001</v>
      </c>
      <c r="AB5235">
        <v>20</v>
      </c>
      <c r="AC5235">
        <v>13.155199999999899</v>
      </c>
      <c r="AD5235">
        <v>-1.1120808571830001</v>
      </c>
      <c r="AE5235">
        <v>-0.84247000000000205</v>
      </c>
      <c r="AF5235">
        <v>-2.5602446870722599</v>
      </c>
      <c r="AG5235">
        <v>-1.1120808571830001</v>
      </c>
      <c r="AH5235">
        <v>12.8361559413162</v>
      </c>
      <c r="AI5235">
        <v>94.856361208936406</v>
      </c>
      <c r="AJ5235">
        <v>101.27994364788999</v>
      </c>
      <c r="AK5235">
        <v>13.1361514927464</v>
      </c>
      <c r="AL5235">
        <v>80.359387420733896</v>
      </c>
      <c r="AM5235">
        <v>95.567250416596394</v>
      </c>
      <c r="AN5235">
        <v>0.99999999012060103</v>
      </c>
    </row>
    <row r="5236" spans="1:40" x14ac:dyDescent="0.25">
      <c r="A5236" t="str">
        <f>"20190312172515646"</f>
        <v>20190312172515646</v>
      </c>
      <c r="B5236" t="str">
        <f>"1552382715635475"</f>
        <v>1552382715635475</v>
      </c>
      <c r="C5236" t="s">
        <v>40</v>
      </c>
      <c r="D5236">
        <v>4.0826650000000004</v>
      </c>
      <c r="E5236">
        <v>0.46215509999999899</v>
      </c>
      <c r="F5236" t="s">
        <v>52</v>
      </c>
      <c r="G5236">
        <v>-374.02839999999998</v>
      </c>
      <c r="H5236" s="1">
        <v>-2.928293E-6</v>
      </c>
      <c r="I5236">
        <v>18.9116</v>
      </c>
      <c r="J5236">
        <v>-387.22109999999998</v>
      </c>
      <c r="K5236">
        <v>1.1119190000000001</v>
      </c>
      <c r="L5236">
        <v>19.73169</v>
      </c>
      <c r="M5236">
        <v>0.96617050000000004</v>
      </c>
      <c r="N5236">
        <v>0</v>
      </c>
      <c r="O5236">
        <v>-0.2572489</v>
      </c>
      <c r="P5236">
        <v>0.97572329999999996</v>
      </c>
      <c r="Q5236">
        <v>0.14943229999999999</v>
      </c>
      <c r="R5236">
        <v>-0.16010639999999901</v>
      </c>
      <c r="S5236">
        <v>3.0819399999999999</v>
      </c>
      <c r="T5236">
        <v>-0.25763419999999998</v>
      </c>
      <c r="U5236">
        <v>-0.19665530000000001</v>
      </c>
      <c r="V5236">
        <v>-9.6577070000000001E-2</v>
      </c>
      <c r="W5236">
        <v>0.16734299999999999</v>
      </c>
      <c r="X5236">
        <v>0.9811571</v>
      </c>
      <c r="Y5236">
        <v>-0.19368969999999999</v>
      </c>
      <c r="Z5236">
        <v>2.9295000000000002E-2</v>
      </c>
      <c r="AA5236">
        <v>0.98062539999999998</v>
      </c>
      <c r="AB5236">
        <v>20</v>
      </c>
      <c r="AC5236">
        <v>13.1927</v>
      </c>
      <c r="AD5236">
        <v>-1.111921928293</v>
      </c>
      <c r="AE5236">
        <v>-0.82008999999999999</v>
      </c>
      <c r="AF5236">
        <v>-2.58361754032935</v>
      </c>
      <c r="AG5236">
        <v>-1.111921928293</v>
      </c>
      <c r="AH5236">
        <v>12.868491048712</v>
      </c>
      <c r="AI5236">
        <v>94.842307993260704</v>
      </c>
      <c r="AJ5236">
        <v>101.35239243398399</v>
      </c>
      <c r="AK5236">
        <v>13.172300931883401</v>
      </c>
      <c r="AL5236">
        <v>80.366629074220299</v>
      </c>
      <c r="AM5236">
        <v>95.621618379852706</v>
      </c>
      <c r="AN5236">
        <v>1.0000000324895899</v>
      </c>
    </row>
    <row r="5237" spans="1:40" x14ac:dyDescent="0.25">
      <c r="A5237" t="str">
        <f>"20190312172515657"</f>
        <v>20190312172515657</v>
      </c>
      <c r="B5237" t="str">
        <f>"1552382715646211"</f>
        <v>1552382715646211</v>
      </c>
      <c r="C5237" t="s">
        <v>40</v>
      </c>
      <c r="D5237">
        <v>4.0663970000000003</v>
      </c>
      <c r="E5237">
        <v>0.46223229999999998</v>
      </c>
      <c r="F5237" t="s">
        <v>52</v>
      </c>
      <c r="G5237">
        <v>-373.81889999999999</v>
      </c>
      <c r="H5237" s="1">
        <v>-3.0306729999999999E-6</v>
      </c>
      <c r="I5237">
        <v>18.89263</v>
      </c>
      <c r="J5237">
        <v>-387.11540000000002</v>
      </c>
      <c r="K5237">
        <v>1.1117999999999999</v>
      </c>
      <c r="L5237">
        <v>19.704280000000001</v>
      </c>
      <c r="M5237">
        <v>0.96632700000000005</v>
      </c>
      <c r="N5237">
        <v>0</v>
      </c>
      <c r="O5237">
        <v>-0.25669629999999999</v>
      </c>
      <c r="P5237">
        <v>0.97583200000000003</v>
      </c>
      <c r="Q5237">
        <v>0.1499791</v>
      </c>
      <c r="R5237">
        <v>-0.15892919999999999</v>
      </c>
      <c r="S5237">
        <v>3.0821839999999998</v>
      </c>
      <c r="T5237">
        <v>-0.25571559999999999</v>
      </c>
      <c r="U5237">
        <v>-0.19296260000000001</v>
      </c>
      <c r="V5237">
        <v>-9.7204689999999996E-2</v>
      </c>
      <c r="W5237">
        <v>0.1673839</v>
      </c>
      <c r="X5237">
        <v>0.98108810000000002</v>
      </c>
      <c r="Y5237">
        <v>-0.194324</v>
      </c>
      <c r="Z5237">
        <v>2.905891E-2</v>
      </c>
      <c r="AA5237">
        <v>0.98050689999999996</v>
      </c>
      <c r="AB5237">
        <v>20</v>
      </c>
      <c r="AC5237">
        <v>13.2965</v>
      </c>
      <c r="AD5237">
        <v>-1.11180303067299</v>
      </c>
      <c r="AE5237">
        <v>-0.81164999999999599</v>
      </c>
      <c r="AF5237">
        <v>-2.6110746214621998</v>
      </c>
      <c r="AG5237">
        <v>-1.11180303067299</v>
      </c>
      <c r="AH5237">
        <v>12.968861113781401</v>
      </c>
      <c r="AI5237">
        <v>94.803976081571406</v>
      </c>
      <c r="AJ5237">
        <v>101.38341466884</v>
      </c>
      <c r="AK5237">
        <v>13.275736335375401</v>
      </c>
      <c r="AL5237">
        <v>80.364251745987005</v>
      </c>
      <c r="AM5237">
        <v>95.658310337959804</v>
      </c>
      <c r="AN5237">
        <v>0.99999999084940705</v>
      </c>
    </row>
    <row r="5238" spans="1:40" x14ac:dyDescent="0.25">
      <c r="A5238" t="str">
        <f>"20190312172515676"</f>
        <v>20190312172515676</v>
      </c>
      <c r="B5238" t="str">
        <f>"1552382715665734"</f>
        <v>1552382715665734</v>
      </c>
      <c r="C5238" t="s">
        <v>40</v>
      </c>
      <c r="D5238">
        <v>4.1699250000000001</v>
      </c>
      <c r="E5238">
        <v>0.46232230000000002</v>
      </c>
      <c r="F5238" t="s">
        <v>52</v>
      </c>
      <c r="G5238">
        <v>-373.5736</v>
      </c>
      <c r="H5238" s="1">
        <v>-3.1506949999999998E-6</v>
      </c>
      <c r="I5238">
        <v>18.869779999999999</v>
      </c>
      <c r="J5238">
        <v>-386.96319999999997</v>
      </c>
      <c r="K5238">
        <v>1.1117410000000001</v>
      </c>
      <c r="L5238">
        <v>19.665040000000001</v>
      </c>
      <c r="M5238">
        <v>0.96654779999999996</v>
      </c>
      <c r="N5238">
        <v>0</v>
      </c>
      <c r="O5238">
        <v>-0.25588369999999999</v>
      </c>
      <c r="P5238">
        <v>0.97597719999999999</v>
      </c>
      <c r="Q5238">
        <v>0.1514576</v>
      </c>
      <c r="R5238">
        <v>-0.15661820000000001</v>
      </c>
      <c r="S5238">
        <v>3.0822449999999999</v>
      </c>
      <c r="T5238">
        <v>-0.25305650000000002</v>
      </c>
      <c r="U5238">
        <v>-0.18994140000000001</v>
      </c>
      <c r="V5238">
        <v>-9.867244E-2</v>
      </c>
      <c r="W5238">
        <v>0.16854539999999901</v>
      </c>
      <c r="X5238">
        <v>0.98074269999999997</v>
      </c>
      <c r="Y5238">
        <v>-0.19449</v>
      </c>
      <c r="Z5238">
        <v>2.870085E-2</v>
      </c>
      <c r="AA5238">
        <v>0.98048449999999998</v>
      </c>
      <c r="AB5238">
        <v>20</v>
      </c>
      <c r="AC5238">
        <v>13.3895999999999</v>
      </c>
      <c r="AD5238">
        <v>-1.1117441506950001</v>
      </c>
      <c r="AE5238">
        <v>-0.79526000000000197</v>
      </c>
      <c r="AF5238">
        <v>-2.6397991751838799</v>
      </c>
      <c r="AG5238">
        <v>-1.1117441506950001</v>
      </c>
      <c r="AH5238">
        <v>13.0575104158178</v>
      </c>
      <c r="AI5238">
        <v>94.770493936681504</v>
      </c>
      <c r="AJ5238">
        <v>101.429273326466</v>
      </c>
      <c r="AK5238">
        <v>13.367987619724</v>
      </c>
      <c r="AL5238">
        <v>80.296743920811096</v>
      </c>
      <c r="AM5238">
        <v>95.745190622083101</v>
      </c>
      <c r="AN5238">
        <v>1.0000000229399999</v>
      </c>
    </row>
    <row r="5239" spans="1:40" x14ac:dyDescent="0.25">
      <c r="A5239" t="str">
        <f>"20190312172515688"</f>
        <v>20190312172515688</v>
      </c>
      <c r="B5239" t="str">
        <f>"1552382715675491"</f>
        <v>1552382715675491</v>
      </c>
      <c r="C5239" t="s">
        <v>40</v>
      </c>
      <c r="D5239">
        <v>4.0880650000000003</v>
      </c>
      <c r="E5239">
        <v>0.4624492</v>
      </c>
      <c r="F5239" t="s">
        <v>52</v>
      </c>
      <c r="G5239">
        <v>-373.15359999999998</v>
      </c>
      <c r="H5239" s="1">
        <v>-3.3536800000000001E-6</v>
      </c>
      <c r="I5239">
        <v>18.844850000000001</v>
      </c>
      <c r="J5239">
        <v>-386.86130000000003</v>
      </c>
      <c r="K5239">
        <v>1.1117360000000001</v>
      </c>
      <c r="L5239">
        <v>19.63889</v>
      </c>
      <c r="M5239">
        <v>0.9667057</v>
      </c>
      <c r="N5239">
        <v>0</v>
      </c>
      <c r="O5239">
        <v>-0.25529170000000001</v>
      </c>
      <c r="P5239">
        <v>0.97604109999999999</v>
      </c>
      <c r="Q5239">
        <v>0.15203079999999999</v>
      </c>
      <c r="R5239">
        <v>-0.1556612</v>
      </c>
      <c r="S5239">
        <v>3.0829770000000001</v>
      </c>
      <c r="T5239">
        <v>-0.2481949</v>
      </c>
      <c r="U5239">
        <v>-0.1831055</v>
      </c>
      <c r="V5239">
        <v>-9.9019850000000006E-2</v>
      </c>
      <c r="W5239">
        <v>0.16903699999999999</v>
      </c>
      <c r="X5239">
        <v>0.98062309999999997</v>
      </c>
      <c r="Y5239">
        <v>-0.19612280000000001</v>
      </c>
      <c r="Z5239">
        <v>2.8167330000000001E-2</v>
      </c>
      <c r="AA5239">
        <v>0.98017469999999995</v>
      </c>
      <c r="AB5239">
        <v>20</v>
      </c>
      <c r="AC5239">
        <v>13.707700000000001</v>
      </c>
      <c r="AD5239">
        <v>-1.11173935367999</v>
      </c>
      <c r="AE5239">
        <v>-0.79403999999999897</v>
      </c>
      <c r="AF5239">
        <v>-2.7144819896231298</v>
      </c>
      <c r="AG5239">
        <v>-1.11173935367999</v>
      </c>
      <c r="AH5239">
        <v>13.3684439934624</v>
      </c>
      <c r="AI5239">
        <v>94.659214102261203</v>
      </c>
      <c r="AJ5239">
        <v>101.47794439150699</v>
      </c>
      <c r="AK5239">
        <v>13.686477694017899</v>
      </c>
      <c r="AL5239">
        <v>80.268167570944996</v>
      </c>
      <c r="AM5239">
        <v>95.765980915614307</v>
      </c>
      <c r="AN5239">
        <v>1.00000005115831</v>
      </c>
    </row>
    <row r="5240" spans="1:40" x14ac:dyDescent="0.25">
      <c r="A5240" t="str">
        <f>"20190312172515700"</f>
        <v>20190312172515700</v>
      </c>
      <c r="B5240" t="str">
        <f>"1552382715695987"</f>
        <v>1552382715695987</v>
      </c>
      <c r="C5240" t="s">
        <v>40</v>
      </c>
      <c r="D5240">
        <v>4.2091229999999999</v>
      </c>
      <c r="E5240">
        <v>0.46264630000000001</v>
      </c>
      <c r="F5240" t="s">
        <v>52</v>
      </c>
      <c r="G5240">
        <v>-372.88670000000002</v>
      </c>
      <c r="H5240" s="1">
        <v>-3.484423E-6</v>
      </c>
      <c r="I5240">
        <v>18.818860000000001</v>
      </c>
      <c r="J5240">
        <v>-386.7516</v>
      </c>
      <c r="K5240">
        <v>1.1117410000000001</v>
      </c>
      <c r="L5240">
        <v>19.610779999999998</v>
      </c>
      <c r="M5240">
        <v>0.96688459999999998</v>
      </c>
      <c r="N5240">
        <v>0</v>
      </c>
      <c r="O5240">
        <v>-0.25461489999999998</v>
      </c>
      <c r="P5240">
        <v>0.97616639999999999</v>
      </c>
      <c r="Q5240">
        <v>0.1523911</v>
      </c>
      <c r="R5240">
        <v>-0.15451970000000001</v>
      </c>
      <c r="S5240">
        <v>3.0829469999999999</v>
      </c>
      <c r="T5240">
        <v>-0.2452627</v>
      </c>
      <c r="U5240">
        <v>-0.18090819999999999</v>
      </c>
      <c r="V5240">
        <v>-9.9471779999999996E-2</v>
      </c>
      <c r="W5240">
        <v>0.169374</v>
      </c>
      <c r="X5240">
        <v>0.98051920000000004</v>
      </c>
      <c r="Y5240">
        <v>-0.19616749999999999</v>
      </c>
      <c r="Z5240">
        <v>2.7786559999999998E-2</v>
      </c>
      <c r="AA5240">
        <v>0.98017659999999995</v>
      </c>
      <c r="AB5240">
        <v>20</v>
      </c>
      <c r="AC5240">
        <v>13.864899999999899</v>
      </c>
      <c r="AD5240">
        <v>-1.111744484423</v>
      </c>
      <c r="AE5240">
        <v>-0.79191999999999696</v>
      </c>
      <c r="AF5240">
        <v>-2.7473306496009502</v>
      </c>
      <c r="AG5240">
        <v>-1.111744484423</v>
      </c>
      <c r="AH5240">
        <v>13.5228093652008</v>
      </c>
      <c r="AI5240">
        <v>94.6061801266153</v>
      </c>
      <c r="AJ5240">
        <v>101.48406656113799</v>
      </c>
      <c r="AK5240">
        <v>13.843777469478599</v>
      </c>
      <c r="AL5240">
        <v>80.248576336864204</v>
      </c>
      <c r="AM5240">
        <v>95.792728111063994</v>
      </c>
      <c r="AN5240">
        <v>1.0000000442304999</v>
      </c>
    </row>
    <row r="5241" spans="1:40" x14ac:dyDescent="0.25">
      <c r="A5241" t="str">
        <f>"20190312172515713"</f>
        <v>20190312172515713</v>
      </c>
      <c r="B5241" t="str">
        <f>"1552382715706254"</f>
        <v>1552382715706254</v>
      </c>
      <c r="C5241" t="s">
        <v>40</v>
      </c>
      <c r="D5241">
        <v>4.1170989999999996</v>
      </c>
      <c r="E5241">
        <v>0.46284009999999998</v>
      </c>
      <c r="F5241" t="s">
        <v>52</v>
      </c>
      <c r="G5241">
        <v>-372.72309999999999</v>
      </c>
      <c r="H5241" s="1">
        <v>-3.5655940000000001E-6</v>
      </c>
      <c r="I5241">
        <v>18.797470000000001</v>
      </c>
      <c r="J5241">
        <v>-386.64749999999998</v>
      </c>
      <c r="K5241">
        <v>1.1117170000000001</v>
      </c>
      <c r="L5241">
        <v>19.584289999999999</v>
      </c>
      <c r="M5241">
        <v>0.96708799999999995</v>
      </c>
      <c r="N5241">
        <v>0</v>
      </c>
      <c r="O5241">
        <v>-0.25384980000000001</v>
      </c>
      <c r="P5241">
        <v>0.9763404</v>
      </c>
      <c r="Q5241">
        <v>0.15276129999999999</v>
      </c>
      <c r="R5241">
        <v>-0.1530482</v>
      </c>
      <c r="S5241">
        <v>3.0830690000000001</v>
      </c>
      <c r="T5241">
        <v>-0.2443293</v>
      </c>
      <c r="U5241">
        <v>-0.1787415</v>
      </c>
      <c r="V5241">
        <v>-0.1001628</v>
      </c>
      <c r="W5241">
        <v>0.16961370000000001</v>
      </c>
      <c r="X5241">
        <v>0.98040740000000004</v>
      </c>
      <c r="Y5241">
        <v>-0.1960933</v>
      </c>
      <c r="Z5241">
        <v>2.7619370000000001E-2</v>
      </c>
      <c r="AA5241">
        <v>0.98019619999999996</v>
      </c>
      <c r="AB5241">
        <v>20</v>
      </c>
      <c r="AC5241">
        <v>13.924399999999901</v>
      </c>
      <c r="AD5241">
        <v>-1.1117205655939999</v>
      </c>
      <c r="AE5241">
        <v>-0.78681999999999797</v>
      </c>
      <c r="AF5241">
        <v>-2.75668340098485</v>
      </c>
      <c r="AG5241">
        <v>-1.1117205655939999</v>
      </c>
      <c r="AH5241">
        <v>13.58161308373</v>
      </c>
      <c r="AI5241">
        <v>94.586394063755293</v>
      </c>
      <c r="AJ5241">
        <v>101.473556936485</v>
      </c>
      <c r="AK5241">
        <v>13.903073039633201</v>
      </c>
      <c r="AL5241">
        <v>80.234640788784603</v>
      </c>
      <c r="AM5241">
        <v>95.833353627053796</v>
      </c>
      <c r="AN5241">
        <v>1.0000000318531399</v>
      </c>
    </row>
    <row r="5242" spans="1:40" x14ac:dyDescent="0.25">
      <c r="A5242" t="str">
        <f>"20190312172515724"</f>
        <v>20190312172515724</v>
      </c>
      <c r="B5242" t="str">
        <f>"1552382715716013"</f>
        <v>1552382715716013</v>
      </c>
      <c r="C5242" t="s">
        <v>40</v>
      </c>
      <c r="D5242">
        <v>4.0980790000000002</v>
      </c>
      <c r="E5242">
        <v>0.46299899999999999</v>
      </c>
      <c r="F5242" t="s">
        <v>52</v>
      </c>
      <c r="G5242">
        <v>-372.46050000000002</v>
      </c>
      <c r="H5242" s="1">
        <v>-3.693711E-6</v>
      </c>
      <c r="I5242">
        <v>18.774809999999999</v>
      </c>
      <c r="J5242">
        <v>-386.5428</v>
      </c>
      <c r="K5242">
        <v>1.111685</v>
      </c>
      <c r="L5242">
        <v>19.557680000000001</v>
      </c>
      <c r="M5242">
        <v>0.96730179999999999</v>
      </c>
      <c r="N5242">
        <v>0</v>
      </c>
      <c r="O5242">
        <v>-0.25304579999999999</v>
      </c>
      <c r="P5242">
        <v>0.9764815</v>
      </c>
      <c r="Q5242">
        <v>0.1532318</v>
      </c>
      <c r="R5242">
        <v>-0.15167139999999901</v>
      </c>
      <c r="S5242">
        <v>3.0828859999999998</v>
      </c>
      <c r="T5242">
        <v>-0.24158170000000001</v>
      </c>
      <c r="U5242">
        <v>-0.17590329999999901</v>
      </c>
      <c r="V5242">
        <v>-0.10071629999999999</v>
      </c>
      <c r="W5242">
        <v>0.16990549999999999</v>
      </c>
      <c r="X5242">
        <v>0.98030010000000001</v>
      </c>
      <c r="Y5242">
        <v>-0.1962062</v>
      </c>
      <c r="Z5242">
        <v>2.7255950000000001E-2</v>
      </c>
      <c r="AA5242">
        <v>0.98018380000000005</v>
      </c>
      <c r="AB5242">
        <v>20</v>
      </c>
      <c r="AC5242">
        <v>14.082299999999901</v>
      </c>
      <c r="AD5242">
        <v>-1.111688693711</v>
      </c>
      <c r="AE5242">
        <v>-0.78286999999999496</v>
      </c>
      <c r="AF5242">
        <v>-2.7892804756604899</v>
      </c>
      <c r="AG5242">
        <v>-1.111688693711</v>
      </c>
      <c r="AH5242">
        <v>13.7366340192316</v>
      </c>
      <c r="AI5242">
        <v>94.534650671209903</v>
      </c>
      <c r="AJ5242">
        <v>101.478092471952</v>
      </c>
      <c r="AK5242">
        <v>14.060976193064899</v>
      </c>
      <c r="AL5242">
        <v>80.217675019700707</v>
      </c>
      <c r="AM5242">
        <v>95.866002159621303</v>
      </c>
      <c r="AN5242">
        <v>0.99999996903797395</v>
      </c>
    </row>
    <row r="5243" spans="1:40" x14ac:dyDescent="0.25">
      <c r="A5243" t="str">
        <f>"20190312172515743"</f>
        <v>20190312172515743</v>
      </c>
      <c r="B5243" t="str">
        <f>"1552382715735535"</f>
        <v>1552382715735535</v>
      </c>
      <c r="C5243" t="s">
        <v>40</v>
      </c>
      <c r="D5243">
        <v>4.1332899999999997</v>
      </c>
      <c r="E5243">
        <v>0.46321869999999998</v>
      </c>
      <c r="F5243" t="s">
        <v>52</v>
      </c>
      <c r="G5243">
        <v>-372.2038</v>
      </c>
      <c r="H5243" s="1">
        <v>-3.818787E-6</v>
      </c>
      <c r="I5243">
        <v>18.753730000000001</v>
      </c>
      <c r="J5243">
        <v>-386.38740000000001</v>
      </c>
      <c r="K5243">
        <v>1.1116250000000001</v>
      </c>
      <c r="L5243">
        <v>19.5184</v>
      </c>
      <c r="M5243">
        <v>0.96764600000000001</v>
      </c>
      <c r="N5243">
        <v>0</v>
      </c>
      <c r="O5243">
        <v>-0.25175330000000001</v>
      </c>
      <c r="P5243">
        <v>0.97669969999999995</v>
      </c>
      <c r="Q5243">
        <v>0.1539461</v>
      </c>
      <c r="R5243">
        <v>-0.14952599999999999</v>
      </c>
      <c r="S5243">
        <v>3.082916</v>
      </c>
      <c r="T5243">
        <v>-0.2390167</v>
      </c>
      <c r="U5243">
        <v>-0.17285159999999999</v>
      </c>
      <c r="V5243">
        <v>-0.1015461</v>
      </c>
      <c r="W5243">
        <v>0.1702137</v>
      </c>
      <c r="X5243">
        <v>0.98016110000000001</v>
      </c>
      <c r="Y5243">
        <v>-0.1958956</v>
      </c>
      <c r="Z5243">
        <v>2.6859259999999999E-2</v>
      </c>
      <c r="AA5243">
        <v>0.98025689999999999</v>
      </c>
      <c r="AB5243">
        <v>20</v>
      </c>
      <c r="AC5243">
        <v>14.1836</v>
      </c>
      <c r="AD5243">
        <v>-1.111628818787</v>
      </c>
      <c r="AE5243">
        <v>-0.76467000000000196</v>
      </c>
      <c r="AF5243">
        <v>-2.8140017852211501</v>
      </c>
      <c r="AG5243">
        <v>-1.111628818787</v>
      </c>
      <c r="AH5243">
        <v>13.834439169705901</v>
      </c>
      <c r="AI5243">
        <v>94.502175373177806</v>
      </c>
      <c r="AJ5243">
        <v>101.49742820357901</v>
      </c>
      <c r="AK5243">
        <v>14.1614276052339</v>
      </c>
      <c r="AL5243">
        <v>80.199756220952395</v>
      </c>
      <c r="AM5243">
        <v>95.914823637020802</v>
      </c>
      <c r="AN5243">
        <v>1.00000004802305</v>
      </c>
    </row>
    <row r="5244" spans="1:40" x14ac:dyDescent="0.25">
      <c r="A5244" t="str">
        <f>"20190312172515764"</f>
        <v>20190312172515764</v>
      </c>
      <c r="B5244" t="str">
        <f>"1552382715756028"</f>
        <v>1552382715756028</v>
      </c>
      <c r="C5244" t="s">
        <v>40</v>
      </c>
      <c r="D5244">
        <v>4.2220529999999998</v>
      </c>
      <c r="E5244">
        <v>0.46337299999999998</v>
      </c>
      <c r="F5244" t="s">
        <v>52</v>
      </c>
      <c r="G5244">
        <v>-371.73180000000002</v>
      </c>
      <c r="H5244" s="1">
        <v>-4.0478149999999998E-6</v>
      </c>
      <c r="I5244">
        <v>18.72045</v>
      </c>
      <c r="J5244">
        <v>-386.19499999999999</v>
      </c>
      <c r="K5244">
        <v>1.111623</v>
      </c>
      <c r="L5244">
        <v>19.470179999999999</v>
      </c>
      <c r="M5244">
        <v>0.96808000000000005</v>
      </c>
      <c r="N5244">
        <v>0</v>
      </c>
      <c r="O5244">
        <v>-0.25011139999999998</v>
      </c>
      <c r="P5244">
        <v>0.97694150000000002</v>
      </c>
      <c r="Q5244">
        <v>0.154899799999999</v>
      </c>
      <c r="R5244">
        <v>-0.1469404</v>
      </c>
      <c r="S5244">
        <v>3.0827330000000002</v>
      </c>
      <c r="T5244">
        <v>-0.2338266</v>
      </c>
      <c r="U5244">
        <v>-0.16784669999999999</v>
      </c>
      <c r="V5244">
        <v>-0.1024731</v>
      </c>
      <c r="W5244">
        <v>0.17066709999999999</v>
      </c>
      <c r="X5244">
        <v>0.97998569999999996</v>
      </c>
      <c r="Y5244">
        <v>-0.19587470000000001</v>
      </c>
      <c r="Z5244">
        <v>2.6159720000000001E-2</v>
      </c>
      <c r="AA5244">
        <v>0.98027989999999998</v>
      </c>
      <c r="AB5244">
        <v>20</v>
      </c>
      <c r="AC5244">
        <v>14.463199999999899</v>
      </c>
      <c r="AD5244">
        <v>-1.1116270478149901</v>
      </c>
      <c r="AE5244">
        <v>-0.74972999999999901</v>
      </c>
      <c r="AF5244">
        <v>-2.8750580458298498</v>
      </c>
      <c r="AG5244">
        <v>-1.1116270478149901</v>
      </c>
      <c r="AH5244">
        <v>14.107818094757601</v>
      </c>
      <c r="AI5244">
        <v>94.414942249087105</v>
      </c>
      <c r="AJ5244">
        <v>101.518679111284</v>
      </c>
      <c r="AK5244">
        <v>14.440644198064501</v>
      </c>
      <c r="AL5244">
        <v>80.173391924063395</v>
      </c>
      <c r="AM5244">
        <v>95.9694917369644</v>
      </c>
      <c r="AN5244">
        <v>0.999999983725254</v>
      </c>
    </row>
    <row r="5245" spans="1:40" x14ac:dyDescent="0.25">
      <c r="A5245" t="str">
        <f>"20190312172515777"</f>
        <v>20190312172515777</v>
      </c>
      <c r="B5245" t="str">
        <f>"1552382715765789"</f>
        <v>1552382715765789</v>
      </c>
      <c r="C5245" t="s">
        <v>40</v>
      </c>
      <c r="D5245">
        <v>4.1277999999999997</v>
      </c>
      <c r="E5245">
        <v>0.46355439999999998</v>
      </c>
      <c r="F5245" t="s">
        <v>52</v>
      </c>
      <c r="G5245">
        <v>-371.27379999999999</v>
      </c>
      <c r="H5245" s="1">
        <v>-4.2692270000000002E-6</v>
      </c>
      <c r="I5245">
        <v>18.692869999999999</v>
      </c>
      <c r="J5245">
        <v>-386.09219999999999</v>
      </c>
      <c r="K5245">
        <v>1.11165</v>
      </c>
      <c r="L5245">
        <v>19.444610000000001</v>
      </c>
      <c r="M5245">
        <v>0.96830950000000005</v>
      </c>
      <c r="N5245">
        <v>0</v>
      </c>
      <c r="O5245">
        <v>-0.24923390000000001</v>
      </c>
      <c r="P5245">
        <v>0.97707180000000005</v>
      </c>
      <c r="Q5245">
        <v>0.15511269999999999</v>
      </c>
      <c r="R5245">
        <v>-0.1458448</v>
      </c>
      <c r="S5245">
        <v>3.0830989999999998</v>
      </c>
      <c r="T5245">
        <v>-0.22969029999999999</v>
      </c>
      <c r="U5245">
        <v>-0.16061400000000001</v>
      </c>
      <c r="V5245">
        <v>-0.102696</v>
      </c>
      <c r="W5245">
        <v>0.1706695</v>
      </c>
      <c r="X5245">
        <v>0.979962</v>
      </c>
      <c r="Y5245">
        <v>-0.19732710000000001</v>
      </c>
      <c r="Z5245">
        <v>2.568867E-2</v>
      </c>
      <c r="AA5245">
        <v>0.98000109999999996</v>
      </c>
      <c r="AB5245">
        <v>20</v>
      </c>
      <c r="AC5245">
        <v>14.818399999999899</v>
      </c>
      <c r="AD5245">
        <v>-1.1116542692269999</v>
      </c>
      <c r="AE5245">
        <v>-0.75173999999999797</v>
      </c>
      <c r="AF5245">
        <v>-2.94916037342343</v>
      </c>
      <c r="AG5245">
        <v>-1.1116542692269999</v>
      </c>
      <c r="AH5245">
        <v>14.4568893620247</v>
      </c>
      <c r="AI5245">
        <v>94.308679715779803</v>
      </c>
      <c r="AJ5245">
        <v>101.529958954717</v>
      </c>
      <c r="AK5245">
        <v>14.7964513363268</v>
      </c>
      <c r="AL5245">
        <v>80.173252866066505</v>
      </c>
      <c r="AM5245">
        <v>95.982526170795794</v>
      </c>
      <c r="AN5245">
        <v>1.0000000340451201</v>
      </c>
    </row>
    <row r="5246" spans="1:40" x14ac:dyDescent="0.25">
      <c r="A5246" t="str">
        <f>"20190312172515789"</f>
        <v>20190312172515789</v>
      </c>
      <c r="B5246" t="str">
        <f>"1552382715786285"</f>
        <v>1552382715786285</v>
      </c>
      <c r="C5246" t="s">
        <v>40</v>
      </c>
      <c r="D5246">
        <v>4.1892379999999996</v>
      </c>
      <c r="E5246">
        <v>0.46381719999999999</v>
      </c>
      <c r="F5246" t="s">
        <v>52</v>
      </c>
      <c r="G5246">
        <v>-371.06240000000003</v>
      </c>
      <c r="H5246" s="1">
        <v>-4.3728249999999999E-6</v>
      </c>
      <c r="I5246">
        <v>18.672029999999999</v>
      </c>
      <c r="J5246">
        <v>-385.99149999999997</v>
      </c>
      <c r="K5246">
        <v>1.111688</v>
      </c>
      <c r="L5246">
        <v>19.41977</v>
      </c>
      <c r="M5246">
        <v>0.96853739999999999</v>
      </c>
      <c r="N5246">
        <v>0</v>
      </c>
      <c r="O5246">
        <v>-0.2483581</v>
      </c>
      <c r="P5246">
        <v>0.97728199999999998</v>
      </c>
      <c r="Q5246">
        <v>0.15508820000000001</v>
      </c>
      <c r="R5246">
        <v>-0.1444568</v>
      </c>
      <c r="S5246">
        <v>3.083008</v>
      </c>
      <c r="T5246">
        <v>-0.2280306</v>
      </c>
      <c r="U5246">
        <v>-0.158477799999999</v>
      </c>
      <c r="V5246">
        <v>-0.10322240000000001</v>
      </c>
      <c r="W5246">
        <v>0.1704727</v>
      </c>
      <c r="X5246">
        <v>0.97994099999999995</v>
      </c>
      <c r="Y5246">
        <v>-0.1971359</v>
      </c>
      <c r="Z5246">
        <v>2.5435180000000002E-2</v>
      </c>
      <c r="AA5246">
        <v>0.98004619999999998</v>
      </c>
      <c r="AB5246">
        <v>20</v>
      </c>
      <c r="AC5246">
        <v>14.929099999999901</v>
      </c>
      <c r="AD5246">
        <v>-1.1116923728249899</v>
      </c>
      <c r="AE5246">
        <v>-0.74773999999999996</v>
      </c>
      <c r="AF5246">
        <v>-2.9675133769803401</v>
      </c>
      <c r="AG5246">
        <v>-1.1116923728249899</v>
      </c>
      <c r="AH5246">
        <v>14.5663874492018</v>
      </c>
      <c r="AI5246">
        <v>94.276785363700995</v>
      </c>
      <c r="AJ5246">
        <v>101.514912467152</v>
      </c>
      <c r="AK5246">
        <v>14.9071002845831</v>
      </c>
      <c r="AL5246">
        <v>80.184696874567905</v>
      </c>
      <c r="AM5246">
        <v>96.013095268788206</v>
      </c>
      <c r="AN5246">
        <v>1.00000008439402</v>
      </c>
    </row>
    <row r="5247" spans="1:40" x14ac:dyDescent="0.25">
      <c r="A5247" t="str">
        <f>"20190312172515810"</f>
        <v>20190312172515810</v>
      </c>
      <c r="B5247" t="str">
        <f>"1552382715805805"</f>
        <v>1552382715805805</v>
      </c>
      <c r="C5247" t="s">
        <v>40</v>
      </c>
      <c r="D5247">
        <v>4.0477569999999998</v>
      </c>
      <c r="E5247">
        <v>0.46412809999999999</v>
      </c>
      <c r="F5247" t="s">
        <v>52</v>
      </c>
      <c r="G5247">
        <v>-370.8974</v>
      </c>
      <c r="H5247" s="1">
        <v>-4.4536939999999996E-6</v>
      </c>
      <c r="I5247">
        <v>18.656040000000001</v>
      </c>
      <c r="J5247">
        <v>-385.80739999999997</v>
      </c>
      <c r="K5247">
        <v>1.1117680000000001</v>
      </c>
      <c r="L5247">
        <v>19.37463</v>
      </c>
      <c r="M5247">
        <v>0.96896899999999997</v>
      </c>
      <c r="N5247">
        <v>0</v>
      </c>
      <c r="O5247">
        <v>-0.2466855</v>
      </c>
      <c r="P5247">
        <v>0.97758719999999999</v>
      </c>
      <c r="Q5247">
        <v>0.15512119999999999</v>
      </c>
      <c r="R5247">
        <v>-0.14234089999999999</v>
      </c>
      <c r="S5247">
        <v>3.0826720000000001</v>
      </c>
      <c r="T5247">
        <v>-0.22703980000000001</v>
      </c>
      <c r="U5247">
        <v>-0.15597529999999901</v>
      </c>
      <c r="V5247">
        <v>-0.1036861</v>
      </c>
      <c r="W5247">
        <v>0.17023160000000001</v>
      </c>
      <c r="X5247">
        <v>0.97993390000000002</v>
      </c>
      <c r="Y5247">
        <v>-0.19624730000000001</v>
      </c>
      <c r="Z5247">
        <v>2.5176359999999998E-2</v>
      </c>
      <c r="AA5247">
        <v>0.98023119999999997</v>
      </c>
      <c r="AB5247">
        <v>20</v>
      </c>
      <c r="AC5247">
        <v>14.909999999999901</v>
      </c>
      <c r="AD5247">
        <v>-1.1117724536939999</v>
      </c>
      <c r="AE5247">
        <v>-0.71858999999999895</v>
      </c>
      <c r="AF5247">
        <v>-2.9657040481676402</v>
      </c>
      <c r="AG5247">
        <v>-1.1117724536939999</v>
      </c>
      <c r="AH5247">
        <v>14.5457008576441</v>
      </c>
      <c r="AI5247">
        <v>94.283014411602906</v>
      </c>
      <c r="AJ5247">
        <v>101.524008054869</v>
      </c>
      <c r="AK5247">
        <v>14.8865325690766</v>
      </c>
      <c r="AL5247">
        <v>80.198715225611707</v>
      </c>
      <c r="AM5247">
        <v>96.039951753734798</v>
      </c>
      <c r="AN5247">
        <v>1.00000002667048</v>
      </c>
    </row>
    <row r="5248" spans="1:40" x14ac:dyDescent="0.25">
      <c r="A5248" t="str">
        <f>"20190312172515833"</f>
        <v>20190312172515833</v>
      </c>
      <c r="B5248" t="str">
        <f>"1552382715826301"</f>
        <v>1552382715826301</v>
      </c>
      <c r="C5248" t="s">
        <v>40</v>
      </c>
      <c r="D5248">
        <v>4.1064930000000004</v>
      </c>
      <c r="E5248">
        <v>0.46452460000000001</v>
      </c>
      <c r="F5248" t="s">
        <v>52</v>
      </c>
      <c r="G5248">
        <v>-370.6044</v>
      </c>
      <c r="H5248" s="1">
        <v>-4.5975219999999998E-6</v>
      </c>
      <c r="I5248">
        <v>18.625810000000001</v>
      </c>
      <c r="J5248">
        <v>-385.61520000000002</v>
      </c>
      <c r="K5248">
        <v>1.1118410000000001</v>
      </c>
      <c r="L5248">
        <v>19.32809</v>
      </c>
      <c r="M5248">
        <v>0.96945369999999997</v>
      </c>
      <c r="N5248">
        <v>0</v>
      </c>
      <c r="O5248">
        <v>-0.24479029999999999</v>
      </c>
      <c r="P5248">
        <v>0.97797820000000002</v>
      </c>
      <c r="Q5248">
        <v>0.1550861</v>
      </c>
      <c r="R5248">
        <v>-0.1396684</v>
      </c>
      <c r="S5248">
        <v>3.0824280000000002</v>
      </c>
      <c r="T5248">
        <v>-0.22541340000000001</v>
      </c>
      <c r="U5248">
        <v>-0.15182499999999999</v>
      </c>
      <c r="V5248">
        <v>-0.1044834</v>
      </c>
      <c r="W5248">
        <v>0.16991489999999901</v>
      </c>
      <c r="X5248">
        <v>0.9799042</v>
      </c>
      <c r="Y5248">
        <v>-0.1956649</v>
      </c>
      <c r="Z5248">
        <v>2.4844100000000001E-2</v>
      </c>
      <c r="AA5248">
        <v>0.98035609999999995</v>
      </c>
      <c r="AB5248">
        <v>20</v>
      </c>
      <c r="AC5248">
        <v>15.0108</v>
      </c>
      <c r="AD5248">
        <v>-1.1118455975220001</v>
      </c>
      <c r="AE5248">
        <v>-0.70227999999999802</v>
      </c>
      <c r="AF5248">
        <v>-2.9777243779894098</v>
      </c>
      <c r="AG5248">
        <v>-1.1118455975220001</v>
      </c>
      <c r="AH5248">
        <v>14.645757920538999</v>
      </c>
      <c r="AI5248">
        <v>94.254614431357993</v>
      </c>
      <c r="AJ5248">
        <v>101.492528850721</v>
      </c>
      <c r="AK5248">
        <v>14.986703045401001</v>
      </c>
      <c r="AL5248">
        <v>80.217129269195198</v>
      </c>
      <c r="AM5248">
        <v>96.086232119828395</v>
      </c>
      <c r="AN5248">
        <v>1.0000000476476001</v>
      </c>
    </row>
    <row r="5249" spans="1:40" x14ac:dyDescent="0.25">
      <c r="A5249" t="str">
        <f>"20190312172515845"</f>
        <v>20190312172515845</v>
      </c>
      <c r="B5249" t="str">
        <f>"1552382715836062"</f>
        <v>1552382715836062</v>
      </c>
      <c r="C5249" t="s">
        <v>40</v>
      </c>
      <c r="D5249">
        <v>4.1590689999999997</v>
      </c>
      <c r="E5249">
        <v>0.46468920000000002</v>
      </c>
      <c r="F5249" t="s">
        <v>52</v>
      </c>
      <c r="G5249">
        <v>-370.28500000000003</v>
      </c>
      <c r="H5249" s="1">
        <v>-4.7536620000000001E-6</v>
      </c>
      <c r="I5249">
        <v>18.596879999999999</v>
      </c>
      <c r="J5249">
        <v>-385.51</v>
      </c>
      <c r="K5249">
        <v>1.111877</v>
      </c>
      <c r="L5249">
        <v>19.302800000000001</v>
      </c>
      <c r="M5249">
        <v>0.96973240000000005</v>
      </c>
      <c r="N5249">
        <v>0</v>
      </c>
      <c r="O5249">
        <v>-0.24369289999999999</v>
      </c>
      <c r="P5249">
        <v>0.9781609</v>
      </c>
      <c r="Q5249">
        <v>0.15522929999999999</v>
      </c>
      <c r="R5249">
        <v>-0.13822219999999999</v>
      </c>
      <c r="S5249">
        <v>3.082001</v>
      </c>
      <c r="T5249">
        <v>-0.22352610000000001</v>
      </c>
      <c r="U5249">
        <v>-0.1470032</v>
      </c>
      <c r="V5249">
        <v>-0.1048345</v>
      </c>
      <c r="W5249">
        <v>0.16990640000000001</v>
      </c>
      <c r="X5249">
        <v>0.97986810000000002</v>
      </c>
      <c r="Y5249">
        <v>-0.19609860000000001</v>
      </c>
      <c r="Z5249">
        <v>2.4580109999999999E-2</v>
      </c>
      <c r="AA5249">
        <v>0.98027600000000004</v>
      </c>
      <c r="AB5249">
        <v>20</v>
      </c>
      <c r="AC5249">
        <v>15.2249999999999</v>
      </c>
      <c r="AD5249">
        <v>-1.111881753662</v>
      </c>
      <c r="AE5249">
        <v>-0.70592000000000199</v>
      </c>
      <c r="AF5249">
        <v>-3.0100041600243501</v>
      </c>
      <c r="AG5249">
        <v>-1.111881753662</v>
      </c>
      <c r="AH5249">
        <v>14.8588646955154</v>
      </c>
      <c r="AI5249">
        <v>94.194555371709995</v>
      </c>
      <c r="AJ5249">
        <v>101.45161167922799</v>
      </c>
      <c r="AK5249">
        <v>15.201390269219599</v>
      </c>
      <c r="AL5249">
        <v>80.217622754284307</v>
      </c>
      <c r="AM5249">
        <v>96.106752949716096</v>
      </c>
      <c r="AN5249">
        <v>0.99999997527440898</v>
      </c>
    </row>
    <row r="5250" spans="1:40" x14ac:dyDescent="0.25">
      <c r="A5250" t="str">
        <f>"20190312172515856"</f>
        <v>20190312172515856</v>
      </c>
      <c r="B5250" t="str">
        <f>"1552382715845821"</f>
        <v>1552382715845821</v>
      </c>
      <c r="C5250" t="s">
        <v>40</v>
      </c>
      <c r="D5250">
        <v>4.1110879999999996</v>
      </c>
      <c r="E5250">
        <v>0.46489720000000001</v>
      </c>
      <c r="F5250" t="s">
        <v>52</v>
      </c>
      <c r="G5250">
        <v>-370.13630000000001</v>
      </c>
      <c r="H5250" s="1">
        <v>-4.8260710000000001E-6</v>
      </c>
      <c r="I5250">
        <v>18.585039999999999</v>
      </c>
      <c r="J5250">
        <v>-385.40839999999997</v>
      </c>
      <c r="K5250">
        <v>1.1119079999999999</v>
      </c>
      <c r="L5250">
        <v>19.27853</v>
      </c>
      <c r="M5250">
        <v>0.97001179999999998</v>
      </c>
      <c r="N5250">
        <v>0</v>
      </c>
      <c r="O5250">
        <v>-0.24258689999999999</v>
      </c>
      <c r="P5250">
        <v>0.9783444</v>
      </c>
      <c r="Q5250">
        <v>0.15542999999999901</v>
      </c>
      <c r="R5250">
        <v>-0.13668920000000001</v>
      </c>
      <c r="S5250">
        <v>3.0820310000000002</v>
      </c>
      <c r="T5250">
        <v>-0.2229023</v>
      </c>
      <c r="U5250">
        <v>-0.1438904</v>
      </c>
      <c r="V5250">
        <v>-0.10525900000000001</v>
      </c>
      <c r="W5250">
        <v>0.16996800000000001</v>
      </c>
      <c r="X5250">
        <v>0.97981189999999996</v>
      </c>
      <c r="Y5250">
        <v>-0.1959777</v>
      </c>
      <c r="Z5250">
        <v>2.443041E-2</v>
      </c>
      <c r="AA5250">
        <v>0.98030399999999995</v>
      </c>
      <c r="AB5250">
        <v>20</v>
      </c>
      <c r="AC5250">
        <v>15.272099999999901</v>
      </c>
      <c r="AD5250">
        <v>-1.1119128260709901</v>
      </c>
      <c r="AE5250">
        <v>-0.69349000000000005</v>
      </c>
      <c r="AF5250">
        <v>-3.0165076061916398</v>
      </c>
      <c r="AG5250">
        <v>-1.1119128260709901</v>
      </c>
      <c r="AH5250">
        <v>14.9052149095346</v>
      </c>
      <c r="AI5250">
        <v>94.181831413543904</v>
      </c>
      <c r="AJ5250">
        <v>101.440955306579</v>
      </c>
      <c r="AK5250">
        <v>15.2479867448266</v>
      </c>
      <c r="AL5250">
        <v>80.214041176138707</v>
      </c>
      <c r="AM5250">
        <v>96.131641683615001</v>
      </c>
      <c r="AN5250">
        <v>0.99999996874330399</v>
      </c>
    </row>
    <row r="5251" spans="1:40" x14ac:dyDescent="0.25">
      <c r="A5251" t="str">
        <f>"20190312172515869"</f>
        <v>20190312172515869</v>
      </c>
      <c r="B5251" t="str">
        <f>"1552382715865341"</f>
        <v>1552382715865341</v>
      </c>
      <c r="C5251" t="s">
        <v>40</v>
      </c>
      <c r="D5251">
        <v>4.1393089999999999</v>
      </c>
      <c r="E5251">
        <v>0.46529870000000001</v>
      </c>
      <c r="F5251" t="s">
        <v>53</v>
      </c>
      <c r="G5251">
        <v>-369.9581</v>
      </c>
      <c r="H5251" s="1">
        <v>-2.941753E-7</v>
      </c>
      <c r="I5251">
        <v>18.572800000000001</v>
      </c>
      <c r="J5251">
        <v>-385.30399999999997</v>
      </c>
      <c r="K5251">
        <v>1.111937</v>
      </c>
      <c r="L5251">
        <v>19.253810000000001</v>
      </c>
      <c r="M5251">
        <v>0.97030459999999996</v>
      </c>
      <c r="N5251">
        <v>0</v>
      </c>
      <c r="O5251">
        <v>-0.24142040000000001</v>
      </c>
      <c r="P5251">
        <v>0.97843769999999997</v>
      </c>
      <c r="Q5251">
        <v>0.15593470000000001</v>
      </c>
      <c r="R5251">
        <v>-0.1354417</v>
      </c>
      <c r="S5251">
        <v>3.0819700000000001</v>
      </c>
      <c r="T5251">
        <v>-0.2218002</v>
      </c>
      <c r="U5251">
        <v>-0.1407776</v>
      </c>
      <c r="V5251">
        <v>-0.105325</v>
      </c>
      <c r="W5251">
        <v>0.17034440000000001</v>
      </c>
      <c r="X5251">
        <v>0.97973949999999999</v>
      </c>
      <c r="Y5251">
        <v>-0.1957999</v>
      </c>
      <c r="Z5251">
        <v>2.4223459999999999E-2</v>
      </c>
      <c r="AA5251">
        <v>0.98034469999999996</v>
      </c>
      <c r="AB5251">
        <v>20</v>
      </c>
      <c r="AC5251">
        <v>15.3459</v>
      </c>
      <c r="AD5251">
        <v>-1.1119372941753001</v>
      </c>
      <c r="AE5251">
        <v>-0.68101</v>
      </c>
      <c r="AF5251">
        <v>-3.0284999761915201</v>
      </c>
      <c r="AG5251">
        <v>-1.1119372941753001</v>
      </c>
      <c r="AH5251">
        <v>14.9778203075576</v>
      </c>
      <c r="AI5251">
        <v>94.1618678862758</v>
      </c>
      <c r="AJ5251">
        <v>101.431027455069</v>
      </c>
      <c r="AK5251">
        <v>15.321335379706801</v>
      </c>
      <c r="AL5251">
        <v>80.192156490379801</v>
      </c>
      <c r="AM5251">
        <v>96.135906994517697</v>
      </c>
      <c r="AN5251">
        <v>1.0000000290483</v>
      </c>
    </row>
    <row r="5252" spans="1:40" x14ac:dyDescent="0.25">
      <c r="A5252" t="str">
        <f>"20190312172515882"</f>
        <v>20190312172515882</v>
      </c>
      <c r="B5252" t="str">
        <f>"1552382715876077"</f>
        <v>1552382715876077</v>
      </c>
      <c r="C5252" t="s">
        <v>40</v>
      </c>
      <c r="D5252">
        <v>4.1277860000000004</v>
      </c>
      <c r="E5252">
        <v>0.46548010000000001</v>
      </c>
      <c r="F5252" t="s">
        <v>53</v>
      </c>
      <c r="G5252">
        <v>-369.70940000000002</v>
      </c>
      <c r="H5252" s="1">
        <v>-3.9748749999999998E-7</v>
      </c>
      <c r="I5252">
        <v>18.543420000000001</v>
      </c>
      <c r="J5252">
        <v>-385.19400000000002</v>
      </c>
      <c r="K5252">
        <v>1.111969</v>
      </c>
      <c r="L5252">
        <v>19.227910000000001</v>
      </c>
      <c r="M5252">
        <v>0.97061710000000001</v>
      </c>
      <c r="N5252">
        <v>0</v>
      </c>
      <c r="O5252">
        <v>-0.2401681</v>
      </c>
      <c r="P5252">
        <v>0.97857459999999996</v>
      </c>
      <c r="Q5252">
        <v>0.1565906</v>
      </c>
      <c r="R5252">
        <v>-0.13368369999999999</v>
      </c>
      <c r="S5252">
        <v>3.0816650000000001</v>
      </c>
      <c r="T5252">
        <v>-0.21973090000000001</v>
      </c>
      <c r="U5252">
        <v>-0.1403809</v>
      </c>
      <c r="V5252">
        <v>-0.1058104</v>
      </c>
      <c r="W5252">
        <v>0.1708711</v>
      </c>
      <c r="X5252">
        <v>0.97959540000000001</v>
      </c>
      <c r="Y5252">
        <v>-0.19468199999999999</v>
      </c>
      <c r="Z5252">
        <v>2.387386E-2</v>
      </c>
      <c r="AA5252">
        <v>0.9805758</v>
      </c>
      <c r="AB5252">
        <v>20</v>
      </c>
      <c r="AC5252">
        <v>15.4846</v>
      </c>
      <c r="AD5252">
        <v>-1.1119693974875</v>
      </c>
      <c r="AE5252">
        <v>-0.68449000000000004</v>
      </c>
      <c r="AF5252">
        <v>-3.0392256496033498</v>
      </c>
      <c r="AG5252">
        <v>-1.1119693974875</v>
      </c>
      <c r="AH5252">
        <v>15.117886122761901</v>
      </c>
      <c r="AI5252">
        <v>94.124487556676598</v>
      </c>
      <c r="AJ5252">
        <v>101.366946574103</v>
      </c>
      <c r="AK5252">
        <v>15.460396156339399</v>
      </c>
      <c r="AL5252">
        <v>80.161529106700399</v>
      </c>
      <c r="AM5252">
        <v>96.164867446322305</v>
      </c>
      <c r="AN5252">
        <v>0.99999996063226404</v>
      </c>
    </row>
    <row r="5253" spans="1:40" x14ac:dyDescent="0.25">
      <c r="A5253" t="str">
        <f>"20190312172515898"</f>
        <v>20190312172515898</v>
      </c>
      <c r="B5253" t="str">
        <f>"1552382715885837"</f>
        <v>1552382715885837</v>
      </c>
      <c r="C5253" t="s">
        <v>40</v>
      </c>
      <c r="D5253">
        <v>4.1316790000000001</v>
      </c>
      <c r="E5253">
        <v>0.46567609999999898</v>
      </c>
      <c r="F5253" t="s">
        <v>53</v>
      </c>
      <c r="G5253">
        <v>-369.42180000000002</v>
      </c>
      <c r="H5253" s="1">
        <v>-5.1118759999999999E-7</v>
      </c>
      <c r="I5253">
        <v>18.531169999999999</v>
      </c>
      <c r="J5253">
        <v>-385.05290000000002</v>
      </c>
      <c r="K5253">
        <v>1.1120030000000001</v>
      </c>
      <c r="L5253">
        <v>19.194980000000001</v>
      </c>
      <c r="M5253">
        <v>0.97102730000000004</v>
      </c>
      <c r="N5253">
        <v>0</v>
      </c>
      <c r="O5253">
        <v>-0.23851240000000001</v>
      </c>
      <c r="P5253">
        <v>0.97865100000000005</v>
      </c>
      <c r="Q5253">
        <v>0.15773229999999999</v>
      </c>
      <c r="R5253">
        <v>-0.13176840000000001</v>
      </c>
      <c r="S5253">
        <v>3.0818180000000002</v>
      </c>
      <c r="T5253">
        <v>-0.21727489999999999</v>
      </c>
      <c r="U5253">
        <v>-0.13613889999999901</v>
      </c>
      <c r="V5253">
        <v>-0.10602979999999999</v>
      </c>
      <c r="W5253">
        <v>0.1718722</v>
      </c>
      <c r="X5253">
        <v>0.97939659999999995</v>
      </c>
      <c r="Y5253">
        <v>-0.194387</v>
      </c>
      <c r="Z5253">
        <v>2.3483919999999998E-2</v>
      </c>
      <c r="AA5253">
        <v>0.98064370000000001</v>
      </c>
      <c r="AB5253">
        <v>20</v>
      </c>
      <c r="AC5253">
        <v>15.6311</v>
      </c>
      <c r="AD5253">
        <v>-1.1120035111876001</v>
      </c>
      <c r="AE5253">
        <v>-0.66380999999999701</v>
      </c>
      <c r="AF5253">
        <v>-3.0684679843509999</v>
      </c>
      <c r="AG5253">
        <v>-1.1120035111876001</v>
      </c>
      <c r="AH5253">
        <v>15.261125342852299</v>
      </c>
      <c r="AI5253">
        <v>94.086009223782199</v>
      </c>
      <c r="AJ5253">
        <v>101.368556777073</v>
      </c>
      <c r="AK5253">
        <v>15.6062165277216</v>
      </c>
      <c r="AL5253">
        <v>80.103309767188904</v>
      </c>
      <c r="AM5253">
        <v>96.178795921979201</v>
      </c>
      <c r="AN5253">
        <v>1.00000003585621</v>
      </c>
    </row>
    <row r="5254" spans="1:40" x14ac:dyDescent="0.25">
      <c r="A5254" t="str">
        <f>"20190312172515910"</f>
        <v>20190312172515910</v>
      </c>
      <c r="B5254" t="str">
        <f>"1552382715905864"</f>
        <v>1552382715905864</v>
      </c>
      <c r="C5254" t="s">
        <v>40</v>
      </c>
      <c r="D5254">
        <v>4.1217180000000004</v>
      </c>
      <c r="E5254">
        <v>0.46605099999999999</v>
      </c>
      <c r="F5254" t="s">
        <v>53</v>
      </c>
      <c r="G5254">
        <v>-368.98439999999999</v>
      </c>
      <c r="H5254" s="1">
        <v>-6.8482259999999896E-7</v>
      </c>
      <c r="I5254">
        <v>18.509889999999999</v>
      </c>
      <c r="J5254">
        <v>-384.95580000000001</v>
      </c>
      <c r="K5254">
        <v>1.1120270000000001</v>
      </c>
      <c r="L5254">
        <v>19.172550000000001</v>
      </c>
      <c r="M5254">
        <v>0.97131420000000002</v>
      </c>
      <c r="N5254">
        <v>0</v>
      </c>
      <c r="O5254">
        <v>-0.2373469</v>
      </c>
      <c r="P5254">
        <v>0.97881719999999905</v>
      </c>
      <c r="Q5254">
        <v>0.15783179999999999</v>
      </c>
      <c r="R5254">
        <v>-0.13040979999999999</v>
      </c>
      <c r="S5254">
        <v>3.0821529999999999</v>
      </c>
      <c r="T5254">
        <v>-0.21329690000000001</v>
      </c>
      <c r="U5254">
        <v>-0.13140869999999999</v>
      </c>
      <c r="V5254">
        <v>-0.1062192</v>
      </c>
      <c r="W5254">
        <v>0.17188390000000001</v>
      </c>
      <c r="X5254">
        <v>0.97937399999999997</v>
      </c>
      <c r="Y5254">
        <v>-0.19475700000000001</v>
      </c>
      <c r="Z5254">
        <v>2.298824E-2</v>
      </c>
      <c r="AA5254">
        <v>0.98058210000000001</v>
      </c>
      <c r="AB5254">
        <v>20</v>
      </c>
      <c r="AC5254">
        <v>15.971399999999999</v>
      </c>
      <c r="AD5254">
        <v>-1.1120276848226001</v>
      </c>
      <c r="AE5254">
        <v>-0.66266000000000203</v>
      </c>
      <c r="AF5254">
        <v>-3.1322912087127501</v>
      </c>
      <c r="AG5254">
        <v>-1.1120276848226001</v>
      </c>
      <c r="AH5254">
        <v>15.5967341225659</v>
      </c>
      <c r="AI5254">
        <v>93.998642298873193</v>
      </c>
      <c r="AJ5254">
        <v>101.355648410131</v>
      </c>
      <c r="AK5254">
        <v>15.946973665181799</v>
      </c>
      <c r="AL5254">
        <v>80.102629048265101</v>
      </c>
      <c r="AM5254">
        <v>96.189889171594501</v>
      </c>
      <c r="AN5254">
        <v>1.00000001270192</v>
      </c>
    </row>
    <row r="5255" spans="1:40" x14ac:dyDescent="0.25">
      <c r="A5255" t="str">
        <f>"20190312172515923"</f>
        <v>20190312172515923</v>
      </c>
      <c r="B5255" t="str">
        <f>"1552382715915623"</f>
        <v>1552382715915623</v>
      </c>
      <c r="C5255" t="s">
        <v>40</v>
      </c>
      <c r="D5255">
        <v>4.0875700000000004</v>
      </c>
      <c r="E5255">
        <v>0.46622279999999999</v>
      </c>
      <c r="F5255" t="s">
        <v>53</v>
      </c>
      <c r="G5255">
        <v>-368.82069999999999</v>
      </c>
      <c r="H5255" s="1">
        <v>-7.5753659999999899E-7</v>
      </c>
      <c r="I5255">
        <v>18.490929999999999</v>
      </c>
      <c r="J5255">
        <v>-384.84390000000002</v>
      </c>
      <c r="K5255">
        <v>1.1120509999999999</v>
      </c>
      <c r="L5255">
        <v>19.146789999999999</v>
      </c>
      <c r="M5255">
        <v>0.97164640000000002</v>
      </c>
      <c r="N5255">
        <v>0</v>
      </c>
      <c r="O5255">
        <v>-0.23598830000000001</v>
      </c>
      <c r="P5255">
        <v>0.97891240000000002</v>
      </c>
      <c r="Q5255">
        <v>0.15826419999999999</v>
      </c>
      <c r="R5255">
        <v>-0.12916340000000001</v>
      </c>
      <c r="S5255">
        <v>3.0818180000000002</v>
      </c>
      <c r="T5255">
        <v>-0.21239730000000001</v>
      </c>
      <c r="U5255">
        <v>-0.130188</v>
      </c>
      <c r="V5255">
        <v>-0.10608910000000001</v>
      </c>
      <c r="W5255">
        <v>0.17222019999999999</v>
      </c>
      <c r="X5255">
        <v>0.97932900000000001</v>
      </c>
      <c r="Y5255">
        <v>-0.19378210000000001</v>
      </c>
      <c r="Z5255">
        <v>2.2769629999999999E-2</v>
      </c>
      <c r="AA5255">
        <v>0.98078030000000005</v>
      </c>
      <c r="AB5255">
        <v>20</v>
      </c>
      <c r="AC5255">
        <v>16.023199999999999</v>
      </c>
      <c r="AD5255">
        <v>-1.1120517575366</v>
      </c>
      <c r="AE5255">
        <v>-0.65586</v>
      </c>
      <c r="AF5255">
        <v>-3.1293104870541302</v>
      </c>
      <c r="AG5255">
        <v>-1.1120517575366</v>
      </c>
      <c r="AH5255">
        <v>15.6500771426181</v>
      </c>
      <c r="AI5255">
        <v>93.985812642690604</v>
      </c>
      <c r="AJ5255">
        <v>101.307450886298</v>
      </c>
      <c r="AK5255">
        <v>15.9985673672902</v>
      </c>
      <c r="AL5255">
        <v>80.083068588464599</v>
      </c>
      <c r="AM5255">
        <v>96.1826482617019</v>
      </c>
      <c r="AN5255">
        <v>0.999999992333924</v>
      </c>
    </row>
    <row r="5256" spans="1:40" x14ac:dyDescent="0.25">
      <c r="A5256" t="str">
        <f>"20190312172515934"</f>
        <v>20190312172515934</v>
      </c>
      <c r="B5256" t="str">
        <f>"1552382715925384"</f>
        <v>1552382715925384</v>
      </c>
      <c r="C5256" t="s">
        <v>40</v>
      </c>
      <c r="D5256">
        <v>4.1078440000000001</v>
      </c>
      <c r="E5256">
        <v>0.46638790000000002</v>
      </c>
      <c r="F5256" t="s">
        <v>53</v>
      </c>
      <c r="G5256">
        <v>-368.56110000000001</v>
      </c>
      <c r="H5256" s="1">
        <v>-8.8341139999999898E-7</v>
      </c>
      <c r="I5256">
        <v>18.47297</v>
      </c>
      <c r="J5256">
        <v>-384.7448</v>
      </c>
      <c r="K5256">
        <v>1.1120730000000001</v>
      </c>
      <c r="L5256">
        <v>19.124210000000001</v>
      </c>
      <c r="M5256">
        <v>0.97194519999999995</v>
      </c>
      <c r="N5256">
        <v>0</v>
      </c>
      <c r="O5256">
        <v>-0.23475989999999999</v>
      </c>
      <c r="P5256">
        <v>0.97907259999999996</v>
      </c>
      <c r="Q5256">
        <v>0.15852569999999999</v>
      </c>
      <c r="R5256">
        <v>-0.12761939999999999</v>
      </c>
      <c r="S5256">
        <v>3.0818180000000002</v>
      </c>
      <c r="T5256">
        <v>-0.21047689999999999</v>
      </c>
      <c r="U5256">
        <v>-0.12753299999999901</v>
      </c>
      <c r="V5256">
        <v>-0.1063925</v>
      </c>
      <c r="W5256">
        <v>0.1724011</v>
      </c>
      <c r="X5256">
        <v>0.97926429999999998</v>
      </c>
      <c r="Y5256">
        <v>-0.193407</v>
      </c>
      <c r="Z5256">
        <v>2.2470500000000001E-2</v>
      </c>
      <c r="AA5256">
        <v>0.98086119999999999</v>
      </c>
      <c r="AB5256">
        <v>20</v>
      </c>
      <c r="AC5256">
        <v>16.183699999999899</v>
      </c>
      <c r="AD5256">
        <v>-1.1120738834113999</v>
      </c>
      <c r="AE5256">
        <v>-0.65124000000000104</v>
      </c>
      <c r="AF5256">
        <v>-3.1517890232342798</v>
      </c>
      <c r="AG5256">
        <v>-1.1120738834113999</v>
      </c>
      <c r="AH5256">
        <v>15.8096947963221</v>
      </c>
      <c r="AI5256">
        <v>93.946227994964104</v>
      </c>
      <c r="AJ5256">
        <v>101.27455859553601</v>
      </c>
      <c r="AK5256">
        <v>16.1591129682913</v>
      </c>
      <c r="AL5256">
        <v>80.072546838710807</v>
      </c>
      <c r="AM5256">
        <v>96.200598708190498</v>
      </c>
      <c r="AN5256">
        <v>1.00000003629597</v>
      </c>
    </row>
    <row r="5257" spans="1:40" x14ac:dyDescent="0.25">
      <c r="A5257" t="str">
        <f>"20190312172515946"</f>
        <v>20190312172515946</v>
      </c>
      <c r="B5257" t="str">
        <f>"1552382715936120"</f>
        <v>1552382715936120</v>
      </c>
      <c r="C5257" t="s">
        <v>40</v>
      </c>
      <c r="D5257">
        <v>4.0801959999999999</v>
      </c>
      <c r="E5257">
        <v>0.46651740000000003</v>
      </c>
      <c r="F5257" t="s">
        <v>53</v>
      </c>
      <c r="G5257">
        <v>-368.36869999999999</v>
      </c>
      <c r="H5257" s="1">
        <v>-9.7565820000000002E-7</v>
      </c>
      <c r="I5257">
        <v>18.465669999999999</v>
      </c>
      <c r="J5257">
        <v>-384.64449999999999</v>
      </c>
      <c r="K5257">
        <v>1.112087</v>
      </c>
      <c r="L5257">
        <v>19.10144</v>
      </c>
      <c r="M5257">
        <v>0.972248</v>
      </c>
      <c r="N5257">
        <v>0</v>
      </c>
      <c r="O5257">
        <v>-0.23350650000000001</v>
      </c>
      <c r="P5257">
        <v>0.97921400000000003</v>
      </c>
      <c r="Q5257">
        <v>0.1585114</v>
      </c>
      <c r="R5257">
        <v>-0.1265471</v>
      </c>
      <c r="S5257">
        <v>3.0818479999999999</v>
      </c>
      <c r="T5257">
        <v>-0.20928369999999999</v>
      </c>
      <c r="U5257">
        <v>-0.1239319</v>
      </c>
      <c r="V5257">
        <v>-0.1062065</v>
      </c>
      <c r="W5257">
        <v>0.17231279999999999</v>
      </c>
      <c r="X5257">
        <v>0.97929999999999995</v>
      </c>
      <c r="Y5257">
        <v>-0.19330069999999999</v>
      </c>
      <c r="Z5257">
        <v>2.2257679999999998E-2</v>
      </c>
      <c r="AA5257">
        <v>0.98088710000000001</v>
      </c>
      <c r="AB5257">
        <v>20</v>
      </c>
      <c r="AC5257">
        <v>16.2758</v>
      </c>
      <c r="AD5257">
        <v>-1.1120879756581901</v>
      </c>
      <c r="AE5257">
        <v>-0.63576999999999695</v>
      </c>
      <c r="AF5257">
        <v>-3.16794329882531</v>
      </c>
      <c r="AG5257">
        <v>-1.1120879756581901</v>
      </c>
      <c r="AH5257">
        <v>15.9001167793331</v>
      </c>
      <c r="AI5257">
        <v>93.9239944413481</v>
      </c>
      <c r="AJ5257">
        <v>101.26807034189601</v>
      </c>
      <c r="AK5257">
        <v>16.250732845216699</v>
      </c>
      <c r="AL5257">
        <v>80.077682614350195</v>
      </c>
      <c r="AM5257">
        <v>96.189618875724904</v>
      </c>
      <c r="AN5257">
        <v>1.0000000058430401</v>
      </c>
    </row>
    <row r="5258" spans="1:40" x14ac:dyDescent="0.25">
      <c r="A5258" t="str">
        <f>"20190312172515957"</f>
        <v>20190312172515957</v>
      </c>
      <c r="B5258" t="str">
        <f>"1552382715945880"</f>
        <v>1552382715945880</v>
      </c>
      <c r="C5258" t="s">
        <v>40</v>
      </c>
      <c r="D5258">
        <v>4.0935790000000001</v>
      </c>
      <c r="E5258">
        <v>0.46667140000000001</v>
      </c>
      <c r="F5258" t="s">
        <v>53</v>
      </c>
      <c r="G5258">
        <v>-368.226</v>
      </c>
      <c r="H5258" s="1">
        <v>-1.045047E-6</v>
      </c>
      <c r="I5258">
        <v>18.454830000000001</v>
      </c>
      <c r="J5258">
        <v>-384.5455</v>
      </c>
      <c r="K5258">
        <v>1.1120969999999999</v>
      </c>
      <c r="L5258">
        <v>19.079129999999999</v>
      </c>
      <c r="M5258">
        <v>0.972549</v>
      </c>
      <c r="N5258">
        <v>0</v>
      </c>
      <c r="O5258">
        <v>-0.23225509999999999</v>
      </c>
      <c r="P5258">
        <v>0.97931060000000003</v>
      </c>
      <c r="Q5258">
        <v>0.15887499999999999</v>
      </c>
      <c r="R5258">
        <v>-0.12533939999999999</v>
      </c>
      <c r="S5258">
        <v>3.0817570000000001</v>
      </c>
      <c r="T5258">
        <v>-0.2087388</v>
      </c>
      <c r="U5258">
        <v>-0.1213684</v>
      </c>
      <c r="V5258">
        <v>-0.1061444</v>
      </c>
      <c r="W5258">
        <v>0.1726068</v>
      </c>
      <c r="X5258">
        <v>0.97925499999999999</v>
      </c>
      <c r="Y5258">
        <v>-0.19286010000000001</v>
      </c>
      <c r="Z5258">
        <v>2.21037E-2</v>
      </c>
      <c r="AA5258">
        <v>0.98097730000000005</v>
      </c>
      <c r="AB5258">
        <v>20</v>
      </c>
      <c r="AC5258">
        <v>16.319500000000001</v>
      </c>
      <c r="AD5258">
        <v>-1.1120980450469999</v>
      </c>
      <c r="AE5258">
        <v>-0.62430000000000097</v>
      </c>
      <c r="AF5258">
        <v>-3.1687591488334701</v>
      </c>
      <c r="AG5258">
        <v>-1.1120980450469999</v>
      </c>
      <c r="AH5258">
        <v>15.9442268838394</v>
      </c>
      <c r="AI5258">
        <v>93.913581102411896</v>
      </c>
      <c r="AJ5258">
        <v>101.240511735599</v>
      </c>
      <c r="AK5258">
        <v>16.2940531338418</v>
      </c>
      <c r="AL5258">
        <v>80.060581844125494</v>
      </c>
      <c r="AM5258">
        <v>96.186309875667007</v>
      </c>
      <c r="AN5258">
        <v>1.0000000480412901</v>
      </c>
    </row>
    <row r="5259" spans="1:40" x14ac:dyDescent="0.25">
      <c r="A5259" t="str">
        <f>"20190312172515969"</f>
        <v>20190312172515969</v>
      </c>
      <c r="B5259" t="str">
        <f>"1552382715965399"</f>
        <v>1552382715965399</v>
      </c>
      <c r="C5259" t="s">
        <v>40</v>
      </c>
      <c r="D5259">
        <v>4.2149729999999996</v>
      </c>
      <c r="E5259">
        <v>0.4669547</v>
      </c>
      <c r="F5259" t="s">
        <v>53</v>
      </c>
      <c r="G5259">
        <v>-368.02140000000003</v>
      </c>
      <c r="H5259" s="1">
        <v>-1.1438289999999999E-6</v>
      </c>
      <c r="I5259">
        <v>18.443110000000001</v>
      </c>
      <c r="J5259">
        <v>-384.44959999999998</v>
      </c>
      <c r="K5259">
        <v>1.112101</v>
      </c>
      <c r="L5259">
        <v>19.05771</v>
      </c>
      <c r="M5259">
        <v>0.9728407</v>
      </c>
      <c r="N5259">
        <v>0</v>
      </c>
      <c r="O5259">
        <v>-0.2310334</v>
      </c>
      <c r="P5259">
        <v>0.97944189999999998</v>
      </c>
      <c r="Q5259">
        <v>0.1589042</v>
      </c>
      <c r="R5259">
        <v>-0.1242708</v>
      </c>
      <c r="S5259">
        <v>3.0818180000000002</v>
      </c>
      <c r="T5259">
        <v>-0.20741190000000001</v>
      </c>
      <c r="U5259">
        <v>-0.1186218</v>
      </c>
      <c r="V5259">
        <v>-0.1059829</v>
      </c>
      <c r="W5259">
        <v>0.17257719999999999</v>
      </c>
      <c r="X5259">
        <v>0.97927770000000003</v>
      </c>
      <c r="Y5259">
        <v>-0.19251699999999999</v>
      </c>
      <c r="Z5259">
        <v>2.187213E-2</v>
      </c>
      <c r="AA5259">
        <v>0.98104979999999997</v>
      </c>
      <c r="AB5259">
        <v>20</v>
      </c>
      <c r="AC5259">
        <v>16.428199999999901</v>
      </c>
      <c r="AD5259">
        <v>-1.112102143829</v>
      </c>
      <c r="AE5259">
        <v>-0.61459999999999904</v>
      </c>
      <c r="AF5259">
        <v>-3.1833146891803601</v>
      </c>
      <c r="AG5259">
        <v>-1.112102143829</v>
      </c>
      <c r="AH5259">
        <v>16.052206379270899</v>
      </c>
      <c r="AI5259">
        <v>93.887668997661095</v>
      </c>
      <c r="AJ5259">
        <v>101.216802284628</v>
      </c>
      <c r="AK5259">
        <v>16.402548376132401</v>
      </c>
      <c r="AL5259">
        <v>80.062303550475605</v>
      </c>
      <c r="AM5259">
        <v>96.176828070192897</v>
      </c>
      <c r="AN5259">
        <v>1.0000000393847599</v>
      </c>
    </row>
    <row r="5260" spans="1:40" x14ac:dyDescent="0.25">
      <c r="A5260" t="str">
        <f>"20190312172515982"</f>
        <v>20190312172515982</v>
      </c>
      <c r="B5260" t="str">
        <f>"1552382715976136"</f>
        <v>1552382715976136</v>
      </c>
      <c r="C5260" t="s">
        <v>40</v>
      </c>
      <c r="D5260">
        <v>4.1208239999999998</v>
      </c>
      <c r="E5260">
        <v>0.467111</v>
      </c>
      <c r="F5260" t="s">
        <v>53</v>
      </c>
      <c r="G5260">
        <v>-367.98719999999997</v>
      </c>
      <c r="H5260" s="1">
        <v>-1.162006E-6</v>
      </c>
      <c r="I5260">
        <v>18.431730000000002</v>
      </c>
      <c r="J5260">
        <v>-384.33960000000002</v>
      </c>
      <c r="K5260">
        <v>1.112106</v>
      </c>
      <c r="L5260">
        <v>19.033259999999999</v>
      </c>
      <c r="M5260">
        <v>0.97317480000000001</v>
      </c>
      <c r="N5260">
        <v>0</v>
      </c>
      <c r="O5260">
        <v>-0.22962659999999999</v>
      </c>
      <c r="P5260">
        <v>0.9795777</v>
      </c>
      <c r="Q5260">
        <v>0.15903010000000001</v>
      </c>
      <c r="R5260">
        <v>-0.1230338</v>
      </c>
      <c r="S5260">
        <v>3.0818789999999998</v>
      </c>
      <c r="T5260">
        <v>-0.20819409999999999</v>
      </c>
      <c r="U5260">
        <v>-0.1171875</v>
      </c>
      <c r="V5260">
        <v>-0.10580009999999999</v>
      </c>
      <c r="W5260">
        <v>0.17263870000000001</v>
      </c>
      <c r="X5260">
        <v>0.97928660000000001</v>
      </c>
      <c r="Y5260">
        <v>-0.1915529</v>
      </c>
      <c r="Z5260">
        <v>2.1829149999999999E-2</v>
      </c>
      <c r="AA5260">
        <v>0.98123950000000004</v>
      </c>
      <c r="AB5260">
        <v>20</v>
      </c>
      <c r="AC5260">
        <v>16.352399999999999</v>
      </c>
      <c r="AD5260">
        <v>-1.1121071620059999</v>
      </c>
      <c r="AE5260">
        <v>-0.60153000000000301</v>
      </c>
      <c r="AF5260">
        <v>-3.1552988775987498</v>
      </c>
      <c r="AG5260">
        <v>-1.1121071620059999</v>
      </c>
      <c r="AH5260">
        <v>15.9796865229539</v>
      </c>
      <c r="AI5260">
        <v>93.905907929278797</v>
      </c>
      <c r="AJ5260">
        <v>101.169757814474</v>
      </c>
      <c r="AK5260">
        <v>16.3261469648731</v>
      </c>
      <c r="AL5260">
        <v>80.058725905046501</v>
      </c>
      <c r="AM5260">
        <v>96.166200772119396</v>
      </c>
      <c r="AN5260">
        <v>1.00000001341862</v>
      </c>
    </row>
    <row r="5261" spans="1:40" x14ac:dyDescent="0.25">
      <c r="A5261" t="str">
        <f>"20190312172516001"</f>
        <v>20190312172516001</v>
      </c>
      <c r="B5261" t="str">
        <f>"1552382715995656"</f>
        <v>1552382715995656</v>
      </c>
      <c r="C5261" t="s">
        <v>40</v>
      </c>
      <c r="D5261">
        <v>4.0755809999999997</v>
      </c>
      <c r="E5261">
        <v>0.46737050000000002</v>
      </c>
      <c r="F5261" t="s">
        <v>53</v>
      </c>
      <c r="G5261">
        <v>-367.83199999999999</v>
      </c>
      <c r="H5261" s="1">
        <v>-1.236972E-6</v>
      </c>
      <c r="I5261">
        <v>18.422740000000001</v>
      </c>
      <c r="J5261">
        <v>-384.18020000000001</v>
      </c>
      <c r="K5261">
        <v>1.1121080000000001</v>
      </c>
      <c r="L5261">
        <v>18.998139999999999</v>
      </c>
      <c r="M5261">
        <v>0.97365869999999999</v>
      </c>
      <c r="N5261">
        <v>0</v>
      </c>
      <c r="O5261">
        <v>-0.22757069999999999</v>
      </c>
      <c r="P5261">
        <v>0.97978140000000002</v>
      </c>
      <c r="Q5261">
        <v>0.1587797</v>
      </c>
      <c r="R5261">
        <v>-0.1217269</v>
      </c>
      <c r="S5261">
        <v>3.0819399999999999</v>
      </c>
      <c r="T5261">
        <v>-0.20762839999999999</v>
      </c>
      <c r="U5261">
        <v>-0.11398320000000001</v>
      </c>
      <c r="V5261">
        <v>-0.1050441</v>
      </c>
      <c r="W5261">
        <v>0.17231089999999999</v>
      </c>
      <c r="X5261">
        <v>0.97942569999999995</v>
      </c>
      <c r="Y5261">
        <v>-0.1905114</v>
      </c>
      <c r="Z5261">
        <v>2.160018E-2</v>
      </c>
      <c r="AA5261">
        <v>0.98144730000000002</v>
      </c>
      <c r="AB5261">
        <v>20</v>
      </c>
      <c r="AC5261">
        <v>16.348199999999999</v>
      </c>
      <c r="AD5261">
        <v>-1.112109236972</v>
      </c>
      <c r="AE5261">
        <v>-0.57539999999999802</v>
      </c>
      <c r="AF5261">
        <v>-3.1459047060240199</v>
      </c>
      <c r="AG5261">
        <v>-1.112109236972</v>
      </c>
      <c r="AH5261">
        <v>15.976278721563499</v>
      </c>
      <c r="AI5261">
        <v>93.907149314219495</v>
      </c>
      <c r="AJ5261">
        <v>101.139651256823</v>
      </c>
      <c r="AK5261">
        <v>16.3209982894254</v>
      </c>
      <c r="AL5261">
        <v>80.077793126047197</v>
      </c>
      <c r="AM5261">
        <v>96.121612777481005</v>
      </c>
      <c r="AN5261">
        <v>1.0000000055120499</v>
      </c>
    </row>
    <row r="5262" spans="1:40" x14ac:dyDescent="0.25">
      <c r="A5262" t="str">
        <f>"20190312172516025"</f>
        <v>20190312172516025</v>
      </c>
      <c r="B5262" t="str">
        <f>"1552382716015683"</f>
        <v>1552382716015683</v>
      </c>
      <c r="C5262" t="s">
        <v>40</v>
      </c>
      <c r="D5262">
        <v>4.1006629999999999</v>
      </c>
      <c r="E5262">
        <v>0.47540120000000002</v>
      </c>
      <c r="F5262" t="s">
        <v>53</v>
      </c>
      <c r="G5262">
        <v>-367.71339999999998</v>
      </c>
      <c r="H5262" s="1">
        <v>-1.2958059999999999E-6</v>
      </c>
      <c r="I5262">
        <v>18.407219999999999</v>
      </c>
      <c r="J5262">
        <v>-383.98270000000002</v>
      </c>
      <c r="K5262">
        <v>1.112101</v>
      </c>
      <c r="L5262">
        <v>18.955169999999999</v>
      </c>
      <c r="M5262">
        <v>0.97425399999999995</v>
      </c>
      <c r="N5262">
        <v>0</v>
      </c>
      <c r="O5262">
        <v>-0.2250143</v>
      </c>
      <c r="P5262">
        <v>0.98006450000000001</v>
      </c>
      <c r="Q5262">
        <v>0.1582336</v>
      </c>
      <c r="R5262">
        <v>-0.1201502</v>
      </c>
      <c r="S5262">
        <v>3.0819399999999999</v>
      </c>
      <c r="T5262">
        <v>-0.20814350000000001</v>
      </c>
      <c r="U5262">
        <v>-0.11059570000000001</v>
      </c>
      <c r="V5262">
        <v>-0.104061899999999</v>
      </c>
      <c r="W5262">
        <v>0.17168050000000001</v>
      </c>
      <c r="X5262">
        <v>0.97964119999999999</v>
      </c>
      <c r="Y5262">
        <v>-0.1890162</v>
      </c>
      <c r="Z5262">
        <v>2.143552E-2</v>
      </c>
      <c r="AA5262">
        <v>0.98173999999999995</v>
      </c>
      <c r="AB5262">
        <v>20</v>
      </c>
      <c r="AC5262">
        <v>16.269300000000001</v>
      </c>
      <c r="AD5262">
        <v>-1.1121022958059901</v>
      </c>
      <c r="AE5262">
        <v>-0.54795000000000005</v>
      </c>
      <c r="AF5262">
        <v>-3.1127638420105002</v>
      </c>
      <c r="AG5262">
        <v>-1.1121022958059901</v>
      </c>
      <c r="AH5262">
        <v>15.901092405387599</v>
      </c>
      <c r="AI5262">
        <v>93.926394889056297</v>
      </c>
      <c r="AJ5262">
        <v>101.07603464959701</v>
      </c>
      <c r="AK5262">
        <v>16.2410224412485</v>
      </c>
      <c r="AL5262">
        <v>80.114458503171207</v>
      </c>
      <c r="AM5262">
        <v>96.063477902656103</v>
      </c>
      <c r="AN5262">
        <v>0.99999997692464904</v>
      </c>
    </row>
    <row r="5263" spans="1:40" x14ac:dyDescent="0.25">
      <c r="A5263" t="str">
        <f>"20190312172516046"</f>
        <v>20190312172516046</v>
      </c>
      <c r="B5263" t="str">
        <f>"1552382716036179"</f>
        <v>1552382716036179</v>
      </c>
      <c r="C5263" t="s">
        <v>40</v>
      </c>
      <c r="D5263">
        <v>4.1385360000000002</v>
      </c>
      <c r="E5263">
        <v>0.47602260000000002</v>
      </c>
      <c r="F5263" t="s">
        <v>53</v>
      </c>
      <c r="G5263">
        <v>-367.51659999999998</v>
      </c>
      <c r="H5263" s="1">
        <v>-1.451591E-6</v>
      </c>
      <c r="I5263">
        <v>18.053280000000001</v>
      </c>
      <c r="J5263">
        <v>-383.79750000000001</v>
      </c>
      <c r="K5263">
        <v>1.1120969999999999</v>
      </c>
      <c r="L5263">
        <v>18.915410000000001</v>
      </c>
      <c r="M5263">
        <v>0.97480659999999997</v>
      </c>
      <c r="N5263">
        <v>0</v>
      </c>
      <c r="O5263">
        <v>-0.2226128</v>
      </c>
      <c r="P5263">
        <v>0.98031659999999998</v>
      </c>
      <c r="Q5263">
        <v>0.15763940000000001</v>
      </c>
      <c r="R5263">
        <v>-0.1188661</v>
      </c>
      <c r="S5263">
        <v>3.0738829999999999</v>
      </c>
      <c r="T5263">
        <v>-0.20760690000000001</v>
      </c>
      <c r="U5263">
        <v>-0.1683655</v>
      </c>
      <c r="V5263">
        <v>-0.1029443</v>
      </c>
      <c r="W5263">
        <v>0.17101810000000001</v>
      </c>
      <c r="X5263">
        <v>0.9798751</v>
      </c>
      <c r="Y5263">
        <v>-0.1681047</v>
      </c>
      <c r="Z5263">
        <v>2.0556080000000001E-2</v>
      </c>
      <c r="AA5263">
        <v>0.98555479999999995</v>
      </c>
      <c r="AB5263">
        <v>20</v>
      </c>
      <c r="AC5263">
        <v>16.280899999999999</v>
      </c>
      <c r="AD5263">
        <v>-1.112098451591</v>
      </c>
      <c r="AE5263">
        <v>-0.86213000000000395</v>
      </c>
      <c r="AF5263">
        <v>-2.7713047740349301</v>
      </c>
      <c r="AG5263">
        <v>-1.112098451591</v>
      </c>
      <c r="AH5263">
        <v>15.989824063674099</v>
      </c>
      <c r="AI5263">
        <v>93.920278742719603</v>
      </c>
      <c r="AJ5263">
        <v>99.832643031488601</v>
      </c>
      <c r="AK5263">
        <v>16.266264681969002</v>
      </c>
      <c r="AL5263">
        <v>80.152980849753803</v>
      </c>
      <c r="AM5263">
        <v>95.997413490970501</v>
      </c>
      <c r="AN5263">
        <v>0.99999996551505399</v>
      </c>
    </row>
    <row r="5264" spans="1:40" x14ac:dyDescent="0.25">
      <c r="A5264" t="str">
        <f>"20190312172516068"</f>
        <v>20190312172516068</v>
      </c>
      <c r="B5264" t="str">
        <f>"1552382716055699"</f>
        <v>1552382716055699</v>
      </c>
      <c r="C5264" t="s">
        <v>40</v>
      </c>
      <c r="D5264">
        <v>4.1234989999999998</v>
      </c>
      <c r="E5264">
        <v>0.47633560000000003</v>
      </c>
      <c r="F5264" t="s">
        <v>53</v>
      </c>
      <c r="G5264">
        <v>-367.94060000000002</v>
      </c>
      <c r="H5264" s="1">
        <v>-1.252238E-6</v>
      </c>
      <c r="I5264">
        <v>18.04721</v>
      </c>
      <c r="J5264">
        <v>-383.61</v>
      </c>
      <c r="K5264">
        <v>1.1120840000000001</v>
      </c>
      <c r="L5264">
        <v>18.875610000000002</v>
      </c>
      <c r="M5264">
        <v>0.97536029999999996</v>
      </c>
      <c r="N5264">
        <v>0</v>
      </c>
      <c r="O5264">
        <v>-0.22017890000000001</v>
      </c>
      <c r="P5264">
        <v>0.98054110000000005</v>
      </c>
      <c r="Q5264">
        <v>0.15705729999999901</v>
      </c>
      <c r="R5264">
        <v>-0.11778230000000001</v>
      </c>
      <c r="S5264">
        <v>3.0744929999999999</v>
      </c>
      <c r="T5264">
        <v>-0.2156255</v>
      </c>
      <c r="U5264">
        <v>-0.16833499999999901</v>
      </c>
      <c r="V5264">
        <v>-0.10159269999999999</v>
      </c>
      <c r="W5264">
        <v>0.170376799999999</v>
      </c>
      <c r="X5264">
        <v>0.98012790000000005</v>
      </c>
      <c r="Y5264">
        <v>-0.16560730000000001</v>
      </c>
      <c r="Z5264">
        <v>2.1089900000000002E-2</v>
      </c>
      <c r="AA5264">
        <v>0.98596629999999996</v>
      </c>
      <c r="AB5264">
        <v>20</v>
      </c>
      <c r="AC5264">
        <v>15.6693999999999</v>
      </c>
      <c r="AD5264">
        <v>-1.112085252238</v>
      </c>
      <c r="AE5264">
        <v>-0.82840000000000202</v>
      </c>
      <c r="AF5264">
        <v>-2.629132476788</v>
      </c>
      <c r="AG5264">
        <v>-1.112085252238</v>
      </c>
      <c r="AH5264">
        <v>15.389900917880301</v>
      </c>
      <c r="AI5264">
        <v>94.074228629969099</v>
      </c>
      <c r="AJ5264">
        <v>99.694532561167307</v>
      </c>
      <c r="AK5264">
        <v>15.652415834334301</v>
      </c>
      <c r="AL5264">
        <v>80.190272433523305</v>
      </c>
      <c r="AM5264">
        <v>95.917717744134606</v>
      </c>
      <c r="AN5264">
        <v>1.00000001551496</v>
      </c>
    </row>
    <row r="5265" spans="1:40" x14ac:dyDescent="0.25">
      <c r="A5265" t="str">
        <f>"20190312172516088"</f>
        <v>20190312172516088</v>
      </c>
      <c r="B5265" t="str">
        <f>"1552382716076195"</f>
        <v>1552382716076195</v>
      </c>
      <c r="C5265" t="s">
        <v>40</v>
      </c>
      <c r="D5265">
        <v>4.1185739999999997</v>
      </c>
      <c r="E5265">
        <v>0.47668280000000002</v>
      </c>
      <c r="F5265" t="s">
        <v>53</v>
      </c>
      <c r="G5265">
        <v>-367.82580000000002</v>
      </c>
      <c r="H5265" s="1">
        <v>-1.3114109999999999E-6</v>
      </c>
      <c r="I5265">
        <v>18.019770000000001</v>
      </c>
      <c r="J5265">
        <v>-383.43650000000002</v>
      </c>
      <c r="K5265">
        <v>1.112069</v>
      </c>
      <c r="L5265">
        <v>18.839230000000001</v>
      </c>
      <c r="M5265">
        <v>0.97586759999999995</v>
      </c>
      <c r="N5265">
        <v>0</v>
      </c>
      <c r="O5265">
        <v>-0.2179238</v>
      </c>
      <c r="P5265">
        <v>0.9808154</v>
      </c>
      <c r="Q5265">
        <v>0.1564817</v>
      </c>
      <c r="R5265">
        <v>-0.1162555</v>
      </c>
      <c r="S5265">
        <v>3.0742189999999998</v>
      </c>
      <c r="T5265">
        <v>-0.2165956</v>
      </c>
      <c r="U5265">
        <v>-0.166687</v>
      </c>
      <c r="V5265">
        <v>-0.10086639999999999</v>
      </c>
      <c r="W5265">
        <v>0.16974529999999999</v>
      </c>
      <c r="X5265">
        <v>0.98031250000000003</v>
      </c>
      <c r="Y5265">
        <v>-0.16385089999999999</v>
      </c>
      <c r="Z5265">
        <v>2.097007E-2</v>
      </c>
      <c r="AA5265">
        <v>0.98626219999999998</v>
      </c>
      <c r="AB5265">
        <v>20</v>
      </c>
      <c r="AC5265">
        <v>15.6107</v>
      </c>
      <c r="AD5265">
        <v>-1.112070311411</v>
      </c>
      <c r="AE5265">
        <v>-0.81945999999999897</v>
      </c>
      <c r="AF5265">
        <v>-2.58940337348325</v>
      </c>
      <c r="AG5265">
        <v>-1.112070311411</v>
      </c>
      <c r="AH5265">
        <v>15.336417737211899</v>
      </c>
      <c r="AI5265">
        <v>94.089675860590901</v>
      </c>
      <c r="AJ5265">
        <v>99.583446142665395</v>
      </c>
      <c r="AK5265">
        <v>15.593185024824001</v>
      </c>
      <c r="AL5265">
        <v>80.226989873848296</v>
      </c>
      <c r="AM5265">
        <v>95.874609521407905</v>
      </c>
      <c r="AN5265">
        <v>1.0000000475886399</v>
      </c>
    </row>
    <row r="5266" spans="1:40" x14ac:dyDescent="0.25">
      <c r="A5266" t="str">
        <f>"20190312172516100"</f>
        <v>20190312172516100</v>
      </c>
      <c r="B5266" t="str">
        <f>"1552382716095715"</f>
        <v>1552382716095715</v>
      </c>
      <c r="C5266" t="s">
        <v>40</v>
      </c>
      <c r="D5266">
        <v>4.0823070000000001</v>
      </c>
      <c r="E5266">
        <v>0.47697309999999998</v>
      </c>
      <c r="F5266" t="s">
        <v>53</v>
      </c>
      <c r="G5266">
        <v>-367.82429999999999</v>
      </c>
      <c r="H5266" s="1">
        <v>-1.3141540000000001E-6</v>
      </c>
      <c r="I5266">
        <v>18.008220000000001</v>
      </c>
      <c r="J5266">
        <v>-383.3329</v>
      </c>
      <c r="K5266">
        <v>1.1120559999999999</v>
      </c>
      <c r="L5266">
        <v>18.817689999999999</v>
      </c>
      <c r="M5266">
        <v>0.97616840000000005</v>
      </c>
      <c r="N5266">
        <v>0</v>
      </c>
      <c r="O5266">
        <v>-0.21657409999999999</v>
      </c>
      <c r="P5266">
        <v>0.98096360000000005</v>
      </c>
      <c r="Q5266">
        <v>0.15619910000000001</v>
      </c>
      <c r="R5266">
        <v>-0.11537840000000001</v>
      </c>
      <c r="S5266">
        <v>3.0742189999999998</v>
      </c>
      <c r="T5266">
        <v>-0.21897939999999999</v>
      </c>
      <c r="U5266">
        <v>-0.16363529999999901</v>
      </c>
      <c r="V5266">
        <v>-0.1003937</v>
      </c>
      <c r="W5266">
        <v>0.16942850000000001</v>
      </c>
      <c r="X5266">
        <v>0.98041579999999995</v>
      </c>
      <c r="Y5266">
        <v>-0.16344649999999999</v>
      </c>
      <c r="Z5266">
        <v>2.1092949999999999E-2</v>
      </c>
      <c r="AA5266">
        <v>0.9863267</v>
      </c>
      <c r="AB5266">
        <v>20</v>
      </c>
      <c r="AC5266">
        <v>15.508599999999999</v>
      </c>
      <c r="AD5266">
        <v>-1.112057314154</v>
      </c>
      <c r="AE5266">
        <v>-0.80946999999999703</v>
      </c>
      <c r="AF5266">
        <v>-2.5557221494784002</v>
      </c>
      <c r="AG5266">
        <v>-1.112057314154</v>
      </c>
      <c r="AH5266">
        <v>15.237642593801199</v>
      </c>
      <c r="AI5266">
        <v>94.116796794349696</v>
      </c>
      <c r="AJ5266">
        <v>99.5212693385796</v>
      </c>
      <c r="AK5266">
        <v>15.4904531564355</v>
      </c>
      <c r="AL5266">
        <v>80.2454077473853</v>
      </c>
      <c r="AM5266">
        <v>95.846658150482895</v>
      </c>
      <c r="AN5266">
        <v>1.00000002625078</v>
      </c>
    </row>
    <row r="5267" spans="1:40" x14ac:dyDescent="0.25">
      <c r="A5267" t="str">
        <f>"20190312172516113"</f>
        <v>20190312172516113</v>
      </c>
      <c r="B5267" t="str">
        <f>"1552382716105475"</f>
        <v>1552382716105475</v>
      </c>
      <c r="C5267" t="s">
        <v>40</v>
      </c>
      <c r="D5267">
        <v>4.1137480000000002</v>
      </c>
      <c r="E5267">
        <v>0.47704869999999999</v>
      </c>
      <c r="F5267" t="s">
        <v>53</v>
      </c>
      <c r="G5267">
        <v>-367.78070000000002</v>
      </c>
      <c r="H5267" s="1">
        <v>-1.3372239999999999E-6</v>
      </c>
      <c r="I5267">
        <v>17.994299999999999</v>
      </c>
      <c r="J5267">
        <v>-383.23320000000001</v>
      </c>
      <c r="K5267">
        <v>1.112047</v>
      </c>
      <c r="L5267">
        <v>18.79721</v>
      </c>
      <c r="M5267">
        <v>0.97645760000000004</v>
      </c>
      <c r="N5267">
        <v>0</v>
      </c>
      <c r="O5267">
        <v>-0.21527009999999999</v>
      </c>
      <c r="P5267">
        <v>0.98106519999999997</v>
      </c>
      <c r="Q5267">
        <v>0.15605829999999901</v>
      </c>
      <c r="R5267">
        <v>-0.1147063</v>
      </c>
      <c r="S5267">
        <v>3.0740660000000002</v>
      </c>
      <c r="T5267">
        <v>-0.21981059999999999</v>
      </c>
      <c r="U5267">
        <v>-0.16275020000000001</v>
      </c>
      <c r="V5267">
        <v>-9.9758219999999995E-2</v>
      </c>
      <c r="W5267">
        <v>0.16924900000000001</v>
      </c>
      <c r="X5267">
        <v>0.98051169999999999</v>
      </c>
      <c r="Y5267">
        <v>-0.16240779999999999</v>
      </c>
      <c r="Z5267">
        <v>2.1045959999999999E-2</v>
      </c>
      <c r="AA5267">
        <v>0.98649920000000002</v>
      </c>
      <c r="AB5267">
        <v>20</v>
      </c>
      <c r="AC5267">
        <v>15.452499999999899</v>
      </c>
      <c r="AD5267">
        <v>-1.112048337224</v>
      </c>
      <c r="AE5267">
        <v>-0.80291000000000001</v>
      </c>
      <c r="AF5267">
        <v>-2.5296285870582</v>
      </c>
      <c r="AG5267">
        <v>-1.112048337224</v>
      </c>
      <c r="AH5267">
        <v>15.184568749014501</v>
      </c>
      <c r="AI5267">
        <v>94.131861072159793</v>
      </c>
      <c r="AJ5267">
        <v>99.458163037732106</v>
      </c>
      <c r="AK5267">
        <v>15.433949604243599</v>
      </c>
      <c r="AL5267">
        <v>80.2558433806349</v>
      </c>
      <c r="AM5267">
        <v>95.809339120067193</v>
      </c>
      <c r="AN5267">
        <v>1.0000000601477199</v>
      </c>
    </row>
    <row r="5268" spans="1:40" x14ac:dyDescent="0.25">
      <c r="A5268" t="str">
        <f>"20190312172516124"</f>
        <v>20190312172516124</v>
      </c>
      <c r="B5268" t="str">
        <f>"1552382716116211"</f>
        <v>1552382716116211</v>
      </c>
      <c r="C5268" t="s">
        <v>40</v>
      </c>
      <c r="D5268">
        <v>4.130344</v>
      </c>
      <c r="E5268">
        <v>0.47722930000000002</v>
      </c>
      <c r="F5268" t="s">
        <v>53</v>
      </c>
      <c r="G5268">
        <v>-367.74040000000002</v>
      </c>
      <c r="H5268" s="1">
        <v>-1.357612E-6</v>
      </c>
      <c r="I5268">
        <v>17.98686</v>
      </c>
      <c r="J5268">
        <v>-383.12970000000001</v>
      </c>
      <c r="K5268">
        <v>1.1120410000000001</v>
      </c>
      <c r="L5268">
        <v>18.776</v>
      </c>
      <c r="M5268">
        <v>0.97675619999999996</v>
      </c>
      <c r="N5268">
        <v>0</v>
      </c>
      <c r="O5268">
        <v>-0.21391350000000001</v>
      </c>
      <c r="P5268">
        <v>0.98123930000000004</v>
      </c>
      <c r="Q5268">
        <v>0.15563170000000001</v>
      </c>
      <c r="R5268">
        <v>-0.11379160000000001</v>
      </c>
      <c r="S5268">
        <v>3.0742189999999998</v>
      </c>
      <c r="T5268">
        <v>-0.22066189999999999</v>
      </c>
      <c r="U5268">
        <v>-0.1607971</v>
      </c>
      <c r="V5268">
        <v>-9.9321679999999996E-2</v>
      </c>
      <c r="W5268">
        <v>0.16878000000000001</v>
      </c>
      <c r="X5268">
        <v>0.98063679999999998</v>
      </c>
      <c r="Y5268">
        <v>-0.16166269999999999</v>
      </c>
      <c r="Z5268">
        <v>2.100496E-2</v>
      </c>
      <c r="AA5268">
        <v>0.98662249999999996</v>
      </c>
      <c r="AB5268">
        <v>19</v>
      </c>
      <c r="AC5268">
        <v>15.389299999999899</v>
      </c>
      <c r="AD5268">
        <v>-1.112042357612</v>
      </c>
      <c r="AE5268">
        <v>-0.78913999999999895</v>
      </c>
      <c r="AF5268">
        <v>-2.5083557706855699</v>
      </c>
      <c r="AG5268">
        <v>-1.112042357612</v>
      </c>
      <c r="AH5268">
        <v>15.1230737285</v>
      </c>
      <c r="AI5268">
        <v>94.149069385701395</v>
      </c>
      <c r="AJ5268">
        <v>99.417504562017797</v>
      </c>
      <c r="AK5268">
        <v>15.3699657083255</v>
      </c>
      <c r="AL5268">
        <v>80.283106829237994</v>
      </c>
      <c r="AM5268">
        <v>95.7833574317646</v>
      </c>
      <c r="AN5268">
        <v>1.0000000090161301</v>
      </c>
    </row>
    <row r="5269" spans="1:40" x14ac:dyDescent="0.25">
      <c r="A5269" t="str">
        <f>"20190312172516136"</f>
        <v>20190312172516136</v>
      </c>
      <c r="B5269" t="str">
        <f>"1552382716125971"</f>
        <v>1552382716125971</v>
      </c>
      <c r="C5269" t="s">
        <v>40</v>
      </c>
      <c r="D5269">
        <v>4.1330770000000001</v>
      </c>
      <c r="E5269">
        <v>0.47726550000000001</v>
      </c>
      <c r="F5269" t="s">
        <v>53</v>
      </c>
      <c r="G5269">
        <v>-367.71440000000001</v>
      </c>
      <c r="H5269" s="1">
        <v>-1.371418E-6</v>
      </c>
      <c r="I5269">
        <v>17.978249999999999</v>
      </c>
      <c r="J5269">
        <v>-383.0231</v>
      </c>
      <c r="K5269">
        <v>1.112036</v>
      </c>
      <c r="L5269">
        <v>18.754359999999998</v>
      </c>
      <c r="M5269">
        <v>0.97706369999999998</v>
      </c>
      <c r="N5269">
        <v>0</v>
      </c>
      <c r="O5269">
        <v>-0.21250859999999999</v>
      </c>
      <c r="P5269">
        <v>0.98135289999999997</v>
      </c>
      <c r="Q5269">
        <v>0.15563160000000001</v>
      </c>
      <c r="R5269">
        <v>-0.11280660000000001</v>
      </c>
      <c r="S5269">
        <v>3.0741269999999998</v>
      </c>
      <c r="T5269">
        <v>-0.22176360000000001</v>
      </c>
      <c r="U5269">
        <v>-0.15908810000000001</v>
      </c>
      <c r="V5269">
        <v>-9.8894689999999993E-2</v>
      </c>
      <c r="W5269">
        <v>0.16872870000000001</v>
      </c>
      <c r="X5269">
        <v>0.98068880000000003</v>
      </c>
      <c r="Y5269">
        <v>-0.16078509999999999</v>
      </c>
      <c r="Z5269">
        <v>2.0980019999999999E-2</v>
      </c>
      <c r="AA5269">
        <v>0.98676649999999999</v>
      </c>
      <c r="AB5269">
        <v>19</v>
      </c>
      <c r="AC5269">
        <v>15.3086999999999</v>
      </c>
      <c r="AD5269">
        <v>-1.1120373714180001</v>
      </c>
      <c r="AE5269">
        <v>-0.77611000000000196</v>
      </c>
      <c r="AF5269">
        <v>-2.4820906682354398</v>
      </c>
      <c r="AG5269">
        <v>-1.1120373714180001</v>
      </c>
      <c r="AH5269">
        <v>15.044733421112999</v>
      </c>
      <c r="AI5269">
        <v>94.171169898514705</v>
      </c>
      <c r="AJ5269">
        <v>99.368308655762903</v>
      </c>
      <c r="AK5269">
        <v>15.2886037594388</v>
      </c>
      <c r="AL5269">
        <v>80.286089058678101</v>
      </c>
      <c r="AM5269">
        <v>95.758358587438394</v>
      </c>
      <c r="AN5269">
        <v>1.0000000281796599</v>
      </c>
    </row>
    <row r="5270" spans="1:40" x14ac:dyDescent="0.25">
      <c r="A5270" t="str">
        <f>"20190312172516149"</f>
        <v>20190312172516149</v>
      </c>
      <c r="B5270" t="str">
        <f>"1552382716145491"</f>
        <v>1552382716145491</v>
      </c>
      <c r="C5270" t="s">
        <v>40</v>
      </c>
      <c r="D5270">
        <v>4.1066779999999996</v>
      </c>
      <c r="E5270">
        <v>0.47745910000000003</v>
      </c>
      <c r="F5270" t="s">
        <v>53</v>
      </c>
      <c r="G5270">
        <v>-367.61660000000001</v>
      </c>
      <c r="H5270" s="1">
        <v>-1.418627E-6</v>
      </c>
      <c r="I5270">
        <v>17.9727</v>
      </c>
      <c r="J5270">
        <v>-382.91930000000002</v>
      </c>
      <c r="K5270">
        <v>1.1120300000000001</v>
      </c>
      <c r="L5270">
        <v>18.733429999999998</v>
      </c>
      <c r="M5270">
        <v>0.97736210000000001</v>
      </c>
      <c r="N5270">
        <v>0</v>
      </c>
      <c r="O5270">
        <v>-0.2111354</v>
      </c>
      <c r="P5270">
        <v>0.98146409999999995</v>
      </c>
      <c r="Q5270">
        <v>0.15564700000000001</v>
      </c>
      <c r="R5270">
        <v>-0.111815899999999</v>
      </c>
      <c r="S5270">
        <v>3.074249</v>
      </c>
      <c r="T5270">
        <v>-0.2218987</v>
      </c>
      <c r="U5270">
        <v>-0.15597529999999901</v>
      </c>
      <c r="V5270">
        <v>-9.8506700000000003E-2</v>
      </c>
      <c r="W5270">
        <v>0.16869210000000001</v>
      </c>
      <c r="X5270">
        <v>0.98073410000000005</v>
      </c>
      <c r="Y5270">
        <v>-0.16039999999999999</v>
      </c>
      <c r="Z5270">
        <v>2.0882069999999999E-2</v>
      </c>
      <c r="AA5270">
        <v>0.98683120000000002</v>
      </c>
      <c r="AB5270">
        <v>19</v>
      </c>
      <c r="AC5270">
        <v>15.3027</v>
      </c>
      <c r="AD5270">
        <v>-1.1120314186269999</v>
      </c>
      <c r="AE5270">
        <v>-0.76072999999999802</v>
      </c>
      <c r="AF5270">
        <v>-2.47462759809232</v>
      </c>
      <c r="AG5270">
        <v>-1.1120314186269999</v>
      </c>
      <c r="AH5270">
        <v>15.0390735790844</v>
      </c>
      <c r="AI5270">
        <v>94.173001466954005</v>
      </c>
      <c r="AJ5270">
        <v>99.344090787991604</v>
      </c>
      <c r="AK5270">
        <v>15.281823508415799</v>
      </c>
      <c r="AL5270">
        <v>80.288216154653796</v>
      </c>
      <c r="AM5270">
        <v>95.735654785400698</v>
      </c>
      <c r="AN5270">
        <v>0.99999998472505403</v>
      </c>
    </row>
    <row r="5271" spans="1:40" x14ac:dyDescent="0.25">
      <c r="A5271" t="str">
        <f>"20190312172516167"</f>
        <v>20190312172516167</v>
      </c>
      <c r="B5271" t="str">
        <f>"1552382716156227"</f>
        <v>1552382716156227</v>
      </c>
      <c r="C5271" t="s">
        <v>40</v>
      </c>
      <c r="D5271">
        <v>4.2866879999999998</v>
      </c>
      <c r="E5271">
        <v>0.47745910000000003</v>
      </c>
      <c r="F5271" t="s">
        <v>53</v>
      </c>
      <c r="G5271">
        <v>-367.44490000000002</v>
      </c>
      <c r="H5271" s="1">
        <v>-1.5026400000000001E-6</v>
      </c>
      <c r="I5271">
        <v>17.95674</v>
      </c>
      <c r="J5271">
        <v>-382.76740000000001</v>
      </c>
      <c r="K5271">
        <v>1.11202</v>
      </c>
      <c r="L5271">
        <v>18.70309</v>
      </c>
      <c r="M5271">
        <v>0.97779740000000004</v>
      </c>
      <c r="N5271">
        <v>0</v>
      </c>
      <c r="O5271">
        <v>-0.20911479999999999</v>
      </c>
      <c r="P5271">
        <v>0.98160219999999998</v>
      </c>
      <c r="Q5271">
        <v>0.1555049</v>
      </c>
      <c r="R5271">
        <v>-0.1107948</v>
      </c>
      <c r="S5271">
        <v>3.0741269999999998</v>
      </c>
      <c r="T5271">
        <v>-0.220914</v>
      </c>
      <c r="U5271">
        <v>-0.15429689999999999</v>
      </c>
      <c r="V5271">
        <v>-9.7503880000000001E-2</v>
      </c>
      <c r="W5271">
        <v>0.1684792</v>
      </c>
      <c r="X5271">
        <v>0.98087089999999999</v>
      </c>
      <c r="Y5271">
        <v>-0.15891229999999901</v>
      </c>
      <c r="Z5271">
        <v>2.0595539999999999E-2</v>
      </c>
      <c r="AA5271">
        <v>0.98707780000000001</v>
      </c>
      <c r="AB5271">
        <v>19</v>
      </c>
      <c r="AC5271">
        <v>15.3224999999999</v>
      </c>
      <c r="AD5271">
        <v>-1.11202150264</v>
      </c>
      <c r="AE5271">
        <v>-0.74634999999999896</v>
      </c>
      <c r="AF5271">
        <v>-2.4616741128081099</v>
      </c>
      <c r="AG5271">
        <v>-1.11202150264</v>
      </c>
      <c r="AH5271">
        <v>15.060623463769</v>
      </c>
      <c r="AI5271">
        <v>94.167740999700101</v>
      </c>
      <c r="AJ5271">
        <v>99.282965253433701</v>
      </c>
      <c r="AK5271">
        <v>15.3009414866351</v>
      </c>
      <c r="AL5271">
        <v>80.300591557609195</v>
      </c>
      <c r="AM5271">
        <v>95.676861308682703</v>
      </c>
      <c r="AN5271">
        <v>0.99999998495725195</v>
      </c>
    </row>
    <row r="5272" spans="1:40" x14ac:dyDescent="0.25">
      <c r="A5272" t="str">
        <f>"20190312172516180"</f>
        <v>20190312172516180</v>
      </c>
      <c r="B5272" t="str">
        <f>"1552382716175748"</f>
        <v>1552382716175748</v>
      </c>
      <c r="C5272" t="s">
        <v>40</v>
      </c>
      <c r="D5272">
        <v>4.1095309999999996</v>
      </c>
      <c r="E5272">
        <v>0.47771560000000002</v>
      </c>
      <c r="F5272" t="s">
        <v>53</v>
      </c>
      <c r="G5272">
        <v>-367.31209999999999</v>
      </c>
      <c r="H5272" s="1">
        <v>-1.567214E-6</v>
      </c>
      <c r="I5272">
        <v>17.946570000000001</v>
      </c>
      <c r="J5272">
        <v>-382.65449999999998</v>
      </c>
      <c r="K5272">
        <v>1.1120190000000001</v>
      </c>
      <c r="L5272">
        <v>18.680730000000001</v>
      </c>
      <c r="M5272">
        <v>0.97811970000000004</v>
      </c>
      <c r="N5272">
        <v>0</v>
      </c>
      <c r="O5272">
        <v>-0.20760519999999999</v>
      </c>
      <c r="P5272">
        <v>0.98174660000000002</v>
      </c>
      <c r="Q5272">
        <v>0.15534500000000001</v>
      </c>
      <c r="R5272">
        <v>-0.10973570000000001</v>
      </c>
      <c r="S5272">
        <v>3.074249</v>
      </c>
      <c r="T5272">
        <v>-0.22119469999999999</v>
      </c>
      <c r="U5272">
        <v>-0.15048220000000001</v>
      </c>
      <c r="V5272">
        <v>-9.7053269999999997E-2</v>
      </c>
      <c r="W5272">
        <v>0.1682681</v>
      </c>
      <c r="X5272">
        <v>0.98095180000000004</v>
      </c>
      <c r="Y5272">
        <v>-0.15861420000000001</v>
      </c>
      <c r="Z5272">
        <v>2.0504910000000001E-2</v>
      </c>
      <c r="AA5272">
        <v>0.98712770000000005</v>
      </c>
      <c r="AB5272">
        <v>19</v>
      </c>
      <c r="AC5272">
        <v>15.3423999999999</v>
      </c>
      <c r="AD5272">
        <v>-1.112020567214</v>
      </c>
      <c r="AE5272">
        <v>-0.73415999999999904</v>
      </c>
      <c r="AF5272">
        <v>-2.4544255335543999</v>
      </c>
      <c r="AG5272">
        <v>-1.112020567214</v>
      </c>
      <c r="AH5272">
        <v>15.0814506528399</v>
      </c>
      <c r="AI5272">
        <v>94.162467622638502</v>
      </c>
      <c r="AJ5272">
        <v>99.243542967152393</v>
      </c>
      <c r="AK5272">
        <v>15.320278986876</v>
      </c>
      <c r="AL5272">
        <v>80.312861655725897</v>
      </c>
      <c r="AM5272">
        <v>95.650333112114197</v>
      </c>
      <c r="AN5272">
        <v>0.99999996230927002</v>
      </c>
    </row>
    <row r="5273" spans="1:40" x14ac:dyDescent="0.25">
      <c r="A5273" t="str">
        <f>"20190312172516193"</f>
        <v>20190312172516193</v>
      </c>
      <c r="B5273" t="str">
        <f>"1552382716185507"</f>
        <v>1552382716185507</v>
      </c>
      <c r="C5273" t="s">
        <v>40</v>
      </c>
      <c r="D5273">
        <v>4.1002519999999896</v>
      </c>
      <c r="E5273">
        <v>0.47781210000000002</v>
      </c>
      <c r="F5273" t="s">
        <v>53</v>
      </c>
      <c r="G5273">
        <v>-367.2174</v>
      </c>
      <c r="H5273" s="1">
        <v>-1.6144669999999999E-6</v>
      </c>
      <c r="I5273">
        <v>17.93243</v>
      </c>
      <c r="J5273">
        <v>-382.54860000000002</v>
      </c>
      <c r="K5273">
        <v>1.1120190000000001</v>
      </c>
      <c r="L5273">
        <v>18.66</v>
      </c>
      <c r="M5273">
        <v>0.97842220000000002</v>
      </c>
      <c r="N5273">
        <v>0</v>
      </c>
      <c r="O5273">
        <v>-0.20617740000000001</v>
      </c>
      <c r="P5273">
        <v>0.98186949999999995</v>
      </c>
      <c r="Q5273">
        <v>0.15523429999999999</v>
      </c>
      <c r="R5273">
        <v>-0.10878690000000001</v>
      </c>
      <c r="S5273">
        <v>3.0741879999999999</v>
      </c>
      <c r="T5273">
        <v>-0.22145129999999999</v>
      </c>
      <c r="U5273">
        <v>-0.14901729999999899</v>
      </c>
      <c r="V5273">
        <v>-9.6573080000000006E-2</v>
      </c>
      <c r="W5273">
        <v>0.168115299999999</v>
      </c>
      <c r="X5273">
        <v>0.98102540000000005</v>
      </c>
      <c r="Y5273">
        <v>-0.15764539999999999</v>
      </c>
      <c r="Z5273">
        <v>2.0393919999999999E-2</v>
      </c>
      <c r="AA5273">
        <v>0.98728519999999997</v>
      </c>
      <c r="AB5273">
        <v>19</v>
      </c>
      <c r="AC5273">
        <v>15.331200000000001</v>
      </c>
      <c r="AD5273">
        <v>-1.112020614467</v>
      </c>
      <c r="AE5273">
        <v>-0.72756999999999905</v>
      </c>
      <c r="AF5273">
        <v>-2.4365080232656902</v>
      </c>
      <c r="AG5273">
        <v>-1.112020614467</v>
      </c>
      <c r="AH5273">
        <v>15.072645373860199</v>
      </c>
      <c r="AI5273">
        <v>94.165608316869097</v>
      </c>
      <c r="AJ5273">
        <v>99.182486584143106</v>
      </c>
      <c r="AK5273">
        <v>15.3087491246211</v>
      </c>
      <c r="AL5273">
        <v>80.321743092376295</v>
      </c>
      <c r="AM5273">
        <v>95.622137436592993</v>
      </c>
      <c r="AN5273">
        <v>0.99999997465996704</v>
      </c>
    </row>
    <row r="5274" spans="1:40" x14ac:dyDescent="0.25">
      <c r="A5274" t="str">
        <f>"20190312172516205"</f>
        <v>20190312172516205</v>
      </c>
      <c r="B5274" t="str">
        <f>"1552382716196244"</f>
        <v>1552382716196244</v>
      </c>
      <c r="C5274" t="s">
        <v>40</v>
      </c>
      <c r="D5274">
        <v>4.2656169999999998</v>
      </c>
      <c r="E5274">
        <v>0.47776990000000003</v>
      </c>
      <c r="F5274" t="s">
        <v>53</v>
      </c>
      <c r="G5274">
        <v>-367.15210000000002</v>
      </c>
      <c r="H5274" s="1">
        <v>-1.646498E-6</v>
      </c>
      <c r="I5274">
        <v>17.925920000000001</v>
      </c>
      <c r="J5274">
        <v>-382.44900000000001</v>
      </c>
      <c r="K5274">
        <v>1.112015</v>
      </c>
      <c r="L5274">
        <v>18.64059</v>
      </c>
      <c r="M5274">
        <v>0.97870630000000003</v>
      </c>
      <c r="N5274">
        <v>0</v>
      </c>
      <c r="O5274">
        <v>-0.20482839999999999</v>
      </c>
      <c r="P5274">
        <v>0.98200310000000002</v>
      </c>
      <c r="Q5274">
        <v>0.15512860000000001</v>
      </c>
      <c r="R5274">
        <v>-0.10772909999999999</v>
      </c>
      <c r="S5274">
        <v>3.074249</v>
      </c>
      <c r="T5274">
        <v>-0.22203890000000001</v>
      </c>
      <c r="U5274">
        <v>-0.14657590000000001</v>
      </c>
      <c r="V5274">
        <v>-9.6281279999999997E-2</v>
      </c>
      <c r="W5274">
        <v>0.1679696</v>
      </c>
      <c r="X5274">
        <v>0.98107900000000003</v>
      </c>
      <c r="Y5274">
        <v>-0.15706709999999999</v>
      </c>
      <c r="Z5274">
        <v>2.0331889999999998E-2</v>
      </c>
      <c r="AA5274">
        <v>0.9873786</v>
      </c>
      <c r="AB5274">
        <v>19</v>
      </c>
      <c r="AC5274">
        <v>15.2968999999999</v>
      </c>
      <c r="AD5274">
        <v>-1.1120166464979999</v>
      </c>
      <c r="AE5274">
        <v>-0.71466999999999803</v>
      </c>
      <c r="AF5274">
        <v>-2.4212382315330698</v>
      </c>
      <c r="AG5274">
        <v>-1.1120166464979999</v>
      </c>
      <c r="AH5274">
        <v>15.0396067613623</v>
      </c>
      <c r="AI5274">
        <v>94.175143886177906</v>
      </c>
      <c r="AJ5274">
        <v>99.145619661022195</v>
      </c>
      <c r="AK5274">
        <v>15.2737928207875</v>
      </c>
      <c r="AL5274">
        <v>80.330211150979693</v>
      </c>
      <c r="AM5274">
        <v>95.604953947849594</v>
      </c>
      <c r="AN5274">
        <v>0.99999993782179697</v>
      </c>
    </row>
    <row r="5275" spans="1:40" x14ac:dyDescent="0.25">
      <c r="A5275" t="str">
        <f>"20190312172516224"</f>
        <v>20190312172516224</v>
      </c>
      <c r="B5275" t="str">
        <f>"1552382716215763"</f>
        <v>1552382716215763</v>
      </c>
      <c r="C5275" t="s">
        <v>40</v>
      </c>
      <c r="D5275">
        <v>4.1069899999999997</v>
      </c>
      <c r="E5275">
        <v>0.47802559999999999</v>
      </c>
      <c r="F5275" t="s">
        <v>53</v>
      </c>
      <c r="G5275">
        <v>-367.15780000000001</v>
      </c>
      <c r="H5275" s="1">
        <v>-1.642946E-6</v>
      </c>
      <c r="I5275">
        <v>17.930889999999899</v>
      </c>
      <c r="J5275">
        <v>-382.28530000000001</v>
      </c>
      <c r="K5275">
        <v>1.1120129999999999</v>
      </c>
      <c r="L5275">
        <v>18.609069999999999</v>
      </c>
      <c r="M5275">
        <v>0.9791725</v>
      </c>
      <c r="N5275">
        <v>0</v>
      </c>
      <c r="O5275">
        <v>-0.20259189999999999</v>
      </c>
      <c r="P5275">
        <v>0.98214840000000003</v>
      </c>
      <c r="Q5275">
        <v>0.15503549999999999</v>
      </c>
      <c r="R5275">
        <v>-0.1065315</v>
      </c>
      <c r="S5275">
        <v>3.074646</v>
      </c>
      <c r="T5275">
        <v>-0.22359589999999999</v>
      </c>
      <c r="U5275">
        <v>-0.1427002</v>
      </c>
      <c r="V5275">
        <v>-9.5239610000000002E-2</v>
      </c>
      <c r="W5275">
        <v>0.16781499999999999</v>
      </c>
      <c r="X5275">
        <v>0.98120719999999995</v>
      </c>
      <c r="Y5275">
        <v>-0.15605429999999901</v>
      </c>
      <c r="Z5275">
        <v>2.0276410000000002E-2</v>
      </c>
      <c r="AA5275">
        <v>0.98754039999999998</v>
      </c>
      <c r="AB5275">
        <v>19</v>
      </c>
      <c r="AC5275">
        <v>15.1274999999999</v>
      </c>
      <c r="AD5275">
        <v>-1.1120146429459901</v>
      </c>
      <c r="AE5275">
        <v>-0.678180000000004</v>
      </c>
      <c r="AF5275">
        <v>-2.38798917262715</v>
      </c>
      <c r="AG5275">
        <v>-1.1120146429459901</v>
      </c>
      <c r="AH5275">
        <v>14.870958338438699</v>
      </c>
      <c r="AI5275">
        <v>94.222585858066296</v>
      </c>
      <c r="AJ5275">
        <v>99.122716169294307</v>
      </c>
      <c r="AK5275">
        <v>15.102465717832001</v>
      </c>
      <c r="AL5275">
        <v>80.3391973622672</v>
      </c>
      <c r="AM5275">
        <v>95.543973791631998</v>
      </c>
      <c r="AN5275">
        <v>1.0000000134348901</v>
      </c>
    </row>
    <row r="5276" spans="1:40" x14ac:dyDescent="0.25">
      <c r="A5276" t="str">
        <f>"20190312172516246"</f>
        <v>20190312172516246</v>
      </c>
      <c r="B5276" t="str">
        <f>"1552382716236260"</f>
        <v>1552382716236260</v>
      </c>
      <c r="C5276" t="s">
        <v>40</v>
      </c>
      <c r="D5276">
        <v>4.137111</v>
      </c>
      <c r="E5276">
        <v>0.47821550000000002</v>
      </c>
      <c r="F5276" t="s">
        <v>53</v>
      </c>
      <c r="G5276">
        <v>-367.00470000000001</v>
      </c>
      <c r="H5276" s="1">
        <v>-1.718562E-6</v>
      </c>
      <c r="I5276">
        <v>17.912600000000001</v>
      </c>
      <c r="J5276">
        <v>-382.09300000000002</v>
      </c>
      <c r="K5276">
        <v>1.112015</v>
      </c>
      <c r="L5276">
        <v>18.572569999999999</v>
      </c>
      <c r="M5276">
        <v>0.97971989999999998</v>
      </c>
      <c r="N5276">
        <v>0</v>
      </c>
      <c r="O5276">
        <v>-0.19993320000000001</v>
      </c>
      <c r="P5276">
        <v>0.98232589999999997</v>
      </c>
      <c r="Q5276">
        <v>0.15525069999999999</v>
      </c>
      <c r="R5276">
        <v>-0.1045638</v>
      </c>
      <c r="S5276">
        <v>3.074646</v>
      </c>
      <c r="T5276">
        <v>-0.22375010000000001</v>
      </c>
      <c r="U5276">
        <v>-0.1401367</v>
      </c>
      <c r="V5276">
        <v>-9.4538319999999995E-2</v>
      </c>
      <c r="W5276">
        <v>0.1679522</v>
      </c>
      <c r="X5276">
        <v>0.98125150000000005</v>
      </c>
      <c r="Y5276">
        <v>-0.15420490000000001</v>
      </c>
      <c r="Z5276">
        <v>2.0034219999999998E-2</v>
      </c>
      <c r="AA5276">
        <v>0.98783580000000004</v>
      </c>
      <c r="AB5276">
        <v>19</v>
      </c>
      <c r="AC5276">
        <v>15.0883</v>
      </c>
      <c r="AD5276">
        <v>-1.112016718562</v>
      </c>
      <c r="AE5276">
        <v>-0.65997000000000094</v>
      </c>
      <c r="AF5276">
        <v>-2.35749358867074</v>
      </c>
      <c r="AG5276">
        <v>-1.112016718562</v>
      </c>
      <c r="AH5276">
        <v>14.835140259809799</v>
      </c>
      <c r="AI5276">
        <v>94.233847642390899</v>
      </c>
      <c r="AJ5276">
        <v>99.029529205497099</v>
      </c>
      <c r="AK5276">
        <v>15.062395019757499</v>
      </c>
      <c r="AL5276">
        <v>80.331222787013203</v>
      </c>
      <c r="AM5276">
        <v>95.503155752976397</v>
      </c>
      <c r="AN5276">
        <v>0.99999997084275505</v>
      </c>
    </row>
    <row r="5277" spans="1:40" x14ac:dyDescent="0.25">
      <c r="A5277" t="str">
        <f>"20190312172516259"</f>
        <v>20190312172516259</v>
      </c>
      <c r="B5277" t="str">
        <f>"1552382716255780"</f>
        <v>1552382716255780</v>
      </c>
      <c r="C5277" t="s">
        <v>40</v>
      </c>
      <c r="D5277">
        <v>4.1057739999999896</v>
      </c>
      <c r="E5277">
        <v>0.47830060000000002</v>
      </c>
      <c r="F5277" t="s">
        <v>53</v>
      </c>
      <c r="G5277">
        <v>-366.7371</v>
      </c>
      <c r="H5277" s="1">
        <v>-1.84759E-6</v>
      </c>
      <c r="I5277">
        <v>17.898299999999999</v>
      </c>
      <c r="J5277">
        <v>-381.98840000000001</v>
      </c>
      <c r="K5277">
        <v>1.112015</v>
      </c>
      <c r="L5277">
        <v>18.552890000000001</v>
      </c>
      <c r="M5277">
        <v>0.98001660000000002</v>
      </c>
      <c r="N5277">
        <v>0</v>
      </c>
      <c r="O5277">
        <v>-0.19847670000000001</v>
      </c>
      <c r="P5277">
        <v>0.98250550000000003</v>
      </c>
      <c r="Q5277">
        <v>0.15496840000000001</v>
      </c>
      <c r="R5277">
        <v>-0.1032868</v>
      </c>
      <c r="S5277">
        <v>3.0747680000000002</v>
      </c>
      <c r="T5277">
        <v>-0.2226622</v>
      </c>
      <c r="U5277">
        <v>-0.13500980000000001</v>
      </c>
      <c r="V5277">
        <v>-9.4365350000000001E-2</v>
      </c>
      <c r="W5277">
        <v>0.16762650000000001</v>
      </c>
      <c r="X5277">
        <v>0.98132390000000003</v>
      </c>
      <c r="Y5277">
        <v>-0.154394</v>
      </c>
      <c r="Z5277">
        <v>1.9841000000000001E-2</v>
      </c>
      <c r="AA5277">
        <v>0.98781010000000002</v>
      </c>
      <c r="AB5277">
        <v>19</v>
      </c>
      <c r="AC5277">
        <v>15.251300000000001</v>
      </c>
      <c r="AD5277">
        <v>-1.1120168475900001</v>
      </c>
      <c r="AE5277">
        <v>-0.65458999999999801</v>
      </c>
      <c r="AF5277">
        <v>-2.3731336700330501</v>
      </c>
      <c r="AG5277">
        <v>-1.1120168475900001</v>
      </c>
      <c r="AH5277">
        <v>14.998175251202399</v>
      </c>
      <c r="AI5277">
        <v>94.188431440501105</v>
      </c>
      <c r="AJ5277">
        <v>98.991264698685995</v>
      </c>
      <c r="AK5277">
        <v>15.2254262912718</v>
      </c>
      <c r="AL5277">
        <v>80.350152964326497</v>
      </c>
      <c r="AM5277">
        <v>95.492745870323702</v>
      </c>
      <c r="AN5277">
        <v>1.0000000297470399</v>
      </c>
    </row>
    <row r="5278" spans="1:40" x14ac:dyDescent="0.25">
      <c r="A5278" t="str">
        <f>"20190312172516279"</f>
        <v>20190312172516279</v>
      </c>
      <c r="B5278" t="str">
        <f>"1552382716275299"</f>
        <v>1552382716275299</v>
      </c>
      <c r="C5278" t="s">
        <v>40</v>
      </c>
      <c r="D5278">
        <v>4.1082390000000002</v>
      </c>
      <c r="E5278">
        <v>0.4785083</v>
      </c>
      <c r="F5278" t="s">
        <v>53</v>
      </c>
      <c r="G5278">
        <v>-366.61779999999999</v>
      </c>
      <c r="H5278" s="1">
        <v>-1.9043600000000001E-6</v>
      </c>
      <c r="I5278">
        <v>17.89612</v>
      </c>
      <c r="J5278">
        <v>-381.82330000000002</v>
      </c>
      <c r="K5278">
        <v>1.1120139999999901</v>
      </c>
      <c r="L5278">
        <v>18.522310000000001</v>
      </c>
      <c r="M5278">
        <v>0.98048279999999999</v>
      </c>
      <c r="N5278">
        <v>0</v>
      </c>
      <c r="O5278">
        <v>-0.1961648</v>
      </c>
      <c r="P5278">
        <v>0.98273319999999997</v>
      </c>
      <c r="Q5278">
        <v>0.1546015</v>
      </c>
      <c r="R5278">
        <v>-0.1016546</v>
      </c>
      <c r="S5278">
        <v>3.0747070000000001</v>
      </c>
      <c r="T5278">
        <v>-0.22244620000000001</v>
      </c>
      <c r="U5278">
        <v>-0.1313782</v>
      </c>
      <c r="V5278">
        <v>-9.3692910000000004E-2</v>
      </c>
      <c r="W5278">
        <v>0.1671916</v>
      </c>
      <c r="X5278">
        <v>0.98146250000000002</v>
      </c>
      <c r="Y5278">
        <v>-0.15323809999999999</v>
      </c>
      <c r="Z5278">
        <v>1.9617260000000001E-2</v>
      </c>
      <c r="AA5278">
        <v>0.98799459999999995</v>
      </c>
      <c r="AB5278">
        <v>19</v>
      </c>
      <c r="AC5278">
        <v>15.205500000000001</v>
      </c>
      <c r="AD5278">
        <v>-1.11201590435999</v>
      </c>
      <c r="AE5278">
        <v>-0.62619000000000102</v>
      </c>
      <c r="AF5278">
        <v>-2.3564383520507</v>
      </c>
      <c r="AG5278">
        <v>-1.11201590435999</v>
      </c>
      <c r="AH5278">
        <v>14.9530281569078</v>
      </c>
      <c r="AI5278">
        <v>94.201440637376095</v>
      </c>
      <c r="AJ5278">
        <v>98.955555408873295</v>
      </c>
      <c r="AK5278">
        <v>15.178354065571201</v>
      </c>
      <c r="AL5278">
        <v>80.375427449304695</v>
      </c>
      <c r="AM5278">
        <v>95.453076300703302</v>
      </c>
      <c r="AN5278">
        <v>1.00000001570053</v>
      </c>
    </row>
    <row r="5279" spans="1:40" x14ac:dyDescent="0.25">
      <c r="A5279" t="str">
        <f>"20190312172516290"</f>
        <v>20190312172516290</v>
      </c>
      <c r="B5279" t="str">
        <f>"1552382716286036"</f>
        <v>1552382716286036</v>
      </c>
      <c r="C5279" t="s">
        <v>40</v>
      </c>
      <c r="D5279">
        <v>4.1121720000000002</v>
      </c>
      <c r="E5279">
        <v>0.47859760000000001</v>
      </c>
      <c r="F5279" t="s">
        <v>53</v>
      </c>
      <c r="G5279">
        <v>-366.49380000000002</v>
      </c>
      <c r="H5279" s="1">
        <v>-1.9644339999999999E-6</v>
      </c>
      <c r="I5279">
        <v>17.887829999999902</v>
      </c>
      <c r="J5279">
        <v>-381.72140000000002</v>
      </c>
      <c r="K5279">
        <v>1.112012</v>
      </c>
      <c r="L5279">
        <v>18.503599999999999</v>
      </c>
      <c r="M5279">
        <v>0.98077020000000004</v>
      </c>
      <c r="N5279">
        <v>0</v>
      </c>
      <c r="O5279">
        <v>-0.1947265</v>
      </c>
      <c r="P5279">
        <v>0.98285690000000003</v>
      </c>
      <c r="Q5279">
        <v>0.15451379999999901</v>
      </c>
      <c r="R5279">
        <v>-0.1005873</v>
      </c>
      <c r="S5279">
        <v>3.074646</v>
      </c>
      <c r="T5279">
        <v>-0.2230376</v>
      </c>
      <c r="U5279">
        <v>-0.12725829999999999</v>
      </c>
      <c r="V5279">
        <v>-9.3322520000000006E-2</v>
      </c>
      <c r="W5279">
        <v>0.16705809999999999</v>
      </c>
      <c r="X5279">
        <v>0.98152050000000002</v>
      </c>
      <c r="Y5279">
        <v>-0.15310850000000001</v>
      </c>
      <c r="Z5279">
        <v>1.9563569999999999E-2</v>
      </c>
      <c r="AA5279">
        <v>0.98801570000000005</v>
      </c>
      <c r="AB5279">
        <v>19</v>
      </c>
      <c r="AC5279">
        <v>15.227599999999899</v>
      </c>
      <c r="AD5279">
        <v>-1.1120139644339999</v>
      </c>
      <c r="AE5279">
        <v>-0.61577000000000104</v>
      </c>
      <c r="AF5279">
        <v>-2.3489845002069001</v>
      </c>
      <c r="AG5279">
        <v>-1.1120139644339999</v>
      </c>
      <c r="AH5279">
        <v>14.9762381091839</v>
      </c>
      <c r="AI5279">
        <v>94.195421123339898</v>
      </c>
      <c r="AJ5279">
        <v>98.914070693355796</v>
      </c>
      <c r="AK5279">
        <v>15.200066155852101</v>
      </c>
      <c r="AL5279">
        <v>80.383185363370302</v>
      </c>
      <c r="AM5279">
        <v>95.431329145725698</v>
      </c>
      <c r="AN5279">
        <v>0.99999999671750495</v>
      </c>
    </row>
    <row r="5280" spans="1:40" x14ac:dyDescent="0.25">
      <c r="A5280" t="str">
        <f>"20190312172516303"</f>
        <v>20190312172516303</v>
      </c>
      <c r="B5280" t="str">
        <f>"1552382716295796"</f>
        <v>1552382716295796</v>
      </c>
      <c r="C5280" t="s">
        <v>40</v>
      </c>
      <c r="D5280">
        <v>4.095027</v>
      </c>
      <c r="E5280">
        <v>0.47874610000000001</v>
      </c>
      <c r="F5280" t="s">
        <v>53</v>
      </c>
      <c r="G5280">
        <v>-366.42500000000001</v>
      </c>
      <c r="H5280" s="1">
        <v>-1.9974830000000001E-6</v>
      </c>
      <c r="I5280">
        <v>17.884789999999999</v>
      </c>
      <c r="J5280">
        <v>-381.62049999999999</v>
      </c>
      <c r="K5280">
        <v>1.112009</v>
      </c>
      <c r="L5280">
        <v>18.48526</v>
      </c>
      <c r="M5280">
        <v>0.98105290000000001</v>
      </c>
      <c r="N5280">
        <v>0</v>
      </c>
      <c r="O5280">
        <v>-0.1933009</v>
      </c>
      <c r="P5280">
        <v>0.98302509999999999</v>
      </c>
      <c r="Q5280">
        <v>0.15415889999999999</v>
      </c>
      <c r="R5280">
        <v>-9.9483630000000003E-2</v>
      </c>
      <c r="S5280">
        <v>3.0747680000000002</v>
      </c>
      <c r="T5280">
        <v>-0.2235299</v>
      </c>
      <c r="U5280">
        <v>-0.1243896</v>
      </c>
      <c r="V5280">
        <v>-9.3010179999999998E-2</v>
      </c>
      <c r="W5280">
        <v>0.16665749999999999</v>
      </c>
      <c r="X5280">
        <v>0.9816182</v>
      </c>
      <c r="Y5280">
        <v>-0.15259519999999999</v>
      </c>
      <c r="Z5280">
        <v>1.9486159999999999E-2</v>
      </c>
      <c r="AA5280">
        <v>0.98809669999999905</v>
      </c>
      <c r="AB5280">
        <v>19</v>
      </c>
      <c r="AC5280">
        <v>15.1954999999999</v>
      </c>
      <c r="AD5280">
        <v>-1.1120109974829999</v>
      </c>
      <c r="AE5280">
        <v>-0.60047000000000095</v>
      </c>
      <c r="AF5280">
        <v>-2.3359204020876598</v>
      </c>
      <c r="AG5280">
        <v>-1.1120109974829999</v>
      </c>
      <c r="AH5280">
        <v>14.9450265561034</v>
      </c>
      <c r="AI5280">
        <v>94.204490318958804</v>
      </c>
      <c r="AJ5280">
        <v>98.8835033638928</v>
      </c>
      <c r="AK5280">
        <v>15.1672974305263</v>
      </c>
      <c r="AL5280">
        <v>80.406463981286194</v>
      </c>
      <c r="AM5280">
        <v>95.412723679537095</v>
      </c>
      <c r="AN5280">
        <v>0.99999995323056001</v>
      </c>
    </row>
    <row r="5281" spans="1:40" x14ac:dyDescent="0.25">
      <c r="A5281" t="str">
        <f>"20190312172516314"</f>
        <v>20190312172516314</v>
      </c>
      <c r="B5281" t="str">
        <f>"1552382716305555"</f>
        <v>1552382716305555</v>
      </c>
      <c r="C5281" t="s">
        <v>40</v>
      </c>
      <c r="D5281">
        <v>4.1011980000000001</v>
      </c>
      <c r="E5281">
        <v>0.47884900000000002</v>
      </c>
      <c r="F5281" t="s">
        <v>53</v>
      </c>
      <c r="G5281">
        <v>-366.4058</v>
      </c>
      <c r="H5281" s="1">
        <v>-2.0071560000000001E-6</v>
      </c>
      <c r="I5281">
        <v>17.88167</v>
      </c>
      <c r="J5281">
        <v>-381.52120000000002</v>
      </c>
      <c r="K5281">
        <v>1.1120080000000001</v>
      </c>
      <c r="L5281">
        <v>18.467379999999999</v>
      </c>
      <c r="M5281">
        <v>0.98133110000000001</v>
      </c>
      <c r="N5281">
        <v>0</v>
      </c>
      <c r="O5281">
        <v>-0.19188720000000001</v>
      </c>
      <c r="P5281">
        <v>0.98314440000000003</v>
      </c>
      <c r="Q5281">
        <v>0.15409410000000001</v>
      </c>
      <c r="R5281">
        <v>-9.8398769999999997E-2</v>
      </c>
      <c r="S5281">
        <v>3.0747680000000002</v>
      </c>
      <c r="T5281">
        <v>-0.22472719999999999</v>
      </c>
      <c r="U5281">
        <v>-0.1219788</v>
      </c>
      <c r="V5281">
        <v>-9.2681970000000002E-2</v>
      </c>
      <c r="W5281">
        <v>0.1665452</v>
      </c>
      <c r="X5281">
        <v>0.9816684</v>
      </c>
      <c r="Y5281">
        <v>-0.15194050000000001</v>
      </c>
      <c r="Z5281">
        <v>1.946546E-2</v>
      </c>
      <c r="AA5281">
        <v>0.98819789999999996</v>
      </c>
      <c r="AB5281">
        <v>19</v>
      </c>
      <c r="AC5281">
        <v>15.115399999999999</v>
      </c>
      <c r="AD5281">
        <v>-1.112010007156</v>
      </c>
      <c r="AE5281">
        <v>-0.58570999999999795</v>
      </c>
      <c r="AF5281">
        <v>-2.3133706181421401</v>
      </c>
      <c r="AG5281">
        <v>-1.112010007156</v>
      </c>
      <c r="AH5281">
        <v>14.8665214989114</v>
      </c>
      <c r="AI5281">
        <v>94.227052168313094</v>
      </c>
      <c r="AJ5281">
        <v>98.844827188022094</v>
      </c>
      <c r="AK5281">
        <v>15.0864744506625</v>
      </c>
      <c r="AL5281">
        <v>80.412990426552199</v>
      </c>
      <c r="AM5281">
        <v>95.393462158685693</v>
      </c>
      <c r="AN5281">
        <v>1.00000004938233</v>
      </c>
    </row>
    <row r="5282" spans="1:40" x14ac:dyDescent="0.25">
      <c r="A5282" t="str">
        <f>"20190312172516326"</f>
        <v>20190312172516326</v>
      </c>
      <c r="B5282" t="str">
        <f>"1552382716316291"</f>
        <v>1552382716316291</v>
      </c>
      <c r="C5282" t="s">
        <v>40</v>
      </c>
      <c r="D5282">
        <v>4.0778220000000003</v>
      </c>
      <c r="E5282">
        <v>0.47896129999999998</v>
      </c>
      <c r="F5282" t="s">
        <v>53</v>
      </c>
      <c r="G5282">
        <v>-366.31450000000001</v>
      </c>
      <c r="H5282" s="1">
        <v>-2.050834E-6</v>
      </c>
      <c r="I5282">
        <v>17.878599999999999</v>
      </c>
      <c r="J5282">
        <v>-381.42360000000002</v>
      </c>
      <c r="K5282">
        <v>1.1120000000000001</v>
      </c>
      <c r="L5282">
        <v>18.449919999999999</v>
      </c>
      <c r="M5282">
        <v>0.98157629999999996</v>
      </c>
      <c r="N5282">
        <v>0</v>
      </c>
      <c r="O5282">
        <v>-0.1906352</v>
      </c>
      <c r="P5282">
        <v>0.98320289999999999</v>
      </c>
      <c r="Q5282">
        <v>0.1542491</v>
      </c>
      <c r="R5282">
        <v>-9.7567920000000002E-2</v>
      </c>
      <c r="S5282">
        <v>3.0747680000000002</v>
      </c>
      <c r="T5282">
        <v>-0.22484599999999999</v>
      </c>
      <c r="U5282">
        <v>-0.1190491</v>
      </c>
      <c r="V5282">
        <v>-9.2259889999999997E-2</v>
      </c>
      <c r="W5282">
        <v>0.16659589999999999</v>
      </c>
      <c r="X5282">
        <v>0.98169949999999995</v>
      </c>
      <c r="Y5282">
        <v>-0.1516227</v>
      </c>
      <c r="Z5282">
        <v>1.9374840000000001E-2</v>
      </c>
      <c r="AA5282">
        <v>0.98824849999999997</v>
      </c>
      <c r="AB5282">
        <v>19</v>
      </c>
      <c r="AC5282">
        <v>15.1091</v>
      </c>
      <c r="AD5282">
        <v>-1.1120020508340001</v>
      </c>
      <c r="AE5282">
        <v>-0.57132000000000305</v>
      </c>
      <c r="AF5282">
        <v>-2.3072451038712098</v>
      </c>
      <c r="AG5282">
        <v>-1.1120020508340001</v>
      </c>
      <c r="AH5282">
        <v>14.860509878003599</v>
      </c>
      <c r="AI5282">
        <v>94.228949154458405</v>
      </c>
      <c r="AJ5282">
        <v>98.825288625021699</v>
      </c>
      <c r="AK5282">
        <v>15.079611479233799</v>
      </c>
      <c r="AL5282">
        <v>80.410043844080903</v>
      </c>
      <c r="AM5282">
        <v>95.368874730388399</v>
      </c>
      <c r="AN5282">
        <v>0.99999999474993595</v>
      </c>
    </row>
    <row r="5283" spans="1:40" x14ac:dyDescent="0.25">
      <c r="A5283" t="str">
        <f>"20190312172516338"</f>
        <v>20190312172516338</v>
      </c>
      <c r="B5283" t="str">
        <f>"1552382716326053"</f>
        <v>1552382716326053</v>
      </c>
      <c r="C5283" t="s">
        <v>40</v>
      </c>
      <c r="D5283">
        <v>4.0936469999999998</v>
      </c>
      <c r="E5283">
        <v>0.47904730000000001</v>
      </c>
      <c r="F5283" t="s">
        <v>53</v>
      </c>
      <c r="G5283">
        <v>-366.18290000000002</v>
      </c>
      <c r="H5283" s="1">
        <v>-2.1148449999999998E-6</v>
      </c>
      <c r="I5283">
        <v>17.868600000000001</v>
      </c>
      <c r="J5283">
        <v>-381.31939999999997</v>
      </c>
      <c r="K5283">
        <v>1.11198</v>
      </c>
      <c r="L5283">
        <v>18.431519999999999</v>
      </c>
      <c r="M5283">
        <v>0.98179810000000001</v>
      </c>
      <c r="N5283">
        <v>0</v>
      </c>
      <c r="O5283">
        <v>-0.1895028</v>
      </c>
      <c r="P5283">
        <v>0.98328499999999996</v>
      </c>
      <c r="Q5283">
        <v>0.15415400000000001</v>
      </c>
      <c r="R5283">
        <v>-9.6888929999999998E-2</v>
      </c>
      <c r="S5283">
        <v>3.0747680000000002</v>
      </c>
      <c r="T5283">
        <v>-0.22434219999999999</v>
      </c>
      <c r="U5283">
        <v>-0.1172791</v>
      </c>
      <c r="V5283">
        <v>-9.1818360000000002E-2</v>
      </c>
      <c r="W5283">
        <v>0.16630249999999999</v>
      </c>
      <c r="X5283">
        <v>0.98179070000000002</v>
      </c>
      <c r="Y5283">
        <v>-0.15105859999999999</v>
      </c>
      <c r="Z5283">
        <v>1.9230179999999999E-2</v>
      </c>
      <c r="AA5283">
        <v>0.98833780000000004</v>
      </c>
      <c r="AB5283">
        <v>19</v>
      </c>
      <c r="AC5283">
        <v>15.1364999999999</v>
      </c>
      <c r="AD5283">
        <v>-1.111982114845</v>
      </c>
      <c r="AE5283">
        <v>-0.56292000000000098</v>
      </c>
      <c r="AF5283">
        <v>-2.3035073557232502</v>
      </c>
      <c r="AG5283">
        <v>-1.111982114845</v>
      </c>
      <c r="AH5283">
        <v>14.8886267372839</v>
      </c>
      <c r="AI5283">
        <v>94.221262814911</v>
      </c>
      <c r="AJ5283">
        <v>98.794836733458098</v>
      </c>
      <c r="AK5283">
        <v>15.1067487065805</v>
      </c>
      <c r="AL5283">
        <v>80.427092839388393</v>
      </c>
      <c r="AM5283">
        <v>95.342836393799203</v>
      </c>
      <c r="AN5283">
        <v>1.0000000556729101</v>
      </c>
    </row>
    <row r="5284" spans="1:40" x14ac:dyDescent="0.25">
      <c r="A5284" t="str">
        <f>"20190312172516358"</f>
        <v>20190312172516358</v>
      </c>
      <c r="B5284" t="str">
        <f>"1552382716345571"</f>
        <v>1552382716345571</v>
      </c>
      <c r="C5284" t="s">
        <v>40</v>
      </c>
      <c r="D5284">
        <v>4.2913350000000001</v>
      </c>
      <c r="E5284">
        <v>0.47915160000000001</v>
      </c>
      <c r="F5284" t="s">
        <v>53</v>
      </c>
      <c r="G5284">
        <v>-366.1112</v>
      </c>
      <c r="H5284" s="1">
        <v>-2.150385E-6</v>
      </c>
      <c r="I5284">
        <v>17.85915</v>
      </c>
      <c r="J5284">
        <v>-381.15589999999997</v>
      </c>
      <c r="K5284">
        <v>1.1118589999999999</v>
      </c>
      <c r="L5284">
        <v>18.402979999999999</v>
      </c>
      <c r="M5284">
        <v>0.98219849999999997</v>
      </c>
      <c r="N5284">
        <v>0</v>
      </c>
      <c r="O5284">
        <v>-0.18741550000000001</v>
      </c>
      <c r="P5284">
        <v>0.9834619</v>
      </c>
      <c r="Q5284">
        <v>0.1540166</v>
      </c>
      <c r="R5284">
        <v>-9.529638E-2</v>
      </c>
      <c r="S5284">
        <v>3.0748289999999998</v>
      </c>
      <c r="T5284">
        <v>-0.22482369999999999</v>
      </c>
      <c r="U5284">
        <v>-0.115722699999999</v>
      </c>
      <c r="V5284">
        <v>-9.1286829999999999E-2</v>
      </c>
      <c r="W5284">
        <v>0.16619349999999999</v>
      </c>
      <c r="X5284">
        <v>0.98185869999999997</v>
      </c>
      <c r="Y5284">
        <v>-0.1494637</v>
      </c>
      <c r="Z5284">
        <v>1.9063099999999999E-2</v>
      </c>
      <c r="AA5284">
        <v>0.9885834</v>
      </c>
      <c r="AB5284">
        <v>19</v>
      </c>
      <c r="AC5284">
        <v>15.044699999999899</v>
      </c>
      <c r="AD5284">
        <v>-1.111861150385</v>
      </c>
      <c r="AE5284">
        <v>-0.54382999999999904</v>
      </c>
      <c r="AF5284">
        <v>-2.2732458162243501</v>
      </c>
      <c r="AG5284">
        <v>-1.111861150385</v>
      </c>
      <c r="AH5284">
        <v>14.799280919868499</v>
      </c>
      <c r="AI5284">
        <v>94.246901758306507</v>
      </c>
      <c r="AJ5284">
        <v>98.732672734242598</v>
      </c>
      <c r="AK5284">
        <v>15.0140799752732</v>
      </c>
      <c r="AL5284">
        <v>80.433426022221894</v>
      </c>
      <c r="AM5284">
        <v>95.311718746537494</v>
      </c>
      <c r="AN5284">
        <v>1.0000000357696901</v>
      </c>
    </row>
    <row r="5285" spans="1:40" x14ac:dyDescent="0.25">
      <c r="A5285" t="str">
        <f>"20190312172516369"</f>
        <v>20190312172516369</v>
      </c>
      <c r="B5285" t="str">
        <f>"1552382716366068"</f>
        <v>1552382716366068</v>
      </c>
      <c r="C5285" t="s">
        <v>40</v>
      </c>
      <c r="D5285">
        <v>4.0933419999999998</v>
      </c>
      <c r="E5285">
        <v>0.48450120000000002</v>
      </c>
      <c r="F5285" t="s">
        <v>53</v>
      </c>
      <c r="G5285">
        <v>-365.99349999999998</v>
      </c>
      <c r="H5285" s="1">
        <v>-2.207063E-6</v>
      </c>
      <c r="I5285">
        <v>17.853279999999899</v>
      </c>
      <c r="J5285">
        <v>-381.05470000000003</v>
      </c>
      <c r="K5285">
        <v>1.1116980000000001</v>
      </c>
      <c r="L5285">
        <v>18.38541</v>
      </c>
      <c r="M5285">
        <v>0.98255329999999996</v>
      </c>
      <c r="N5285">
        <v>0</v>
      </c>
      <c r="O5285">
        <v>-0.18554680000000001</v>
      </c>
      <c r="P5285">
        <v>0.98364439999999997</v>
      </c>
      <c r="Q5285">
        <v>0.1539247</v>
      </c>
      <c r="R5285">
        <v>-9.3545970000000006E-2</v>
      </c>
      <c r="S5285">
        <v>3.0749819999999999</v>
      </c>
      <c r="T5285">
        <v>-0.22548840000000001</v>
      </c>
      <c r="U5285">
        <v>-0.1114807</v>
      </c>
      <c r="V5285">
        <v>-9.1115500000000002E-2</v>
      </c>
      <c r="W5285">
        <v>0.16613229999999901</v>
      </c>
      <c r="X5285">
        <v>0.98188500000000001</v>
      </c>
      <c r="Y5285">
        <v>-0.14894779999999999</v>
      </c>
      <c r="Z5285">
        <v>1.8965659999999999E-2</v>
      </c>
      <c r="AA5285">
        <v>0.98866319999999996</v>
      </c>
      <c r="AB5285">
        <v>19</v>
      </c>
      <c r="AC5285">
        <v>15.061199999999999</v>
      </c>
      <c r="AD5285">
        <v>-1.11170020706299</v>
      </c>
      <c r="AE5285">
        <v>-0.53213000000000199</v>
      </c>
      <c r="AF5285">
        <v>-2.2595992329699799</v>
      </c>
      <c r="AG5285">
        <v>-1.11170020706299</v>
      </c>
      <c r="AH5285">
        <v>14.817739162309399</v>
      </c>
      <c r="AI5285">
        <v>94.241721972162097</v>
      </c>
      <c r="AJ5285">
        <v>98.670400938674902</v>
      </c>
      <c r="AK5285">
        <v>15.030204919636301</v>
      </c>
      <c r="AL5285">
        <v>80.436982233010596</v>
      </c>
      <c r="AM5285">
        <v>95.301665207886998</v>
      </c>
      <c r="AN5285">
        <v>1.0000000643342599</v>
      </c>
    </row>
    <row r="5286" spans="1:40" x14ac:dyDescent="0.25">
      <c r="A5286" t="str">
        <f>"20190312172516381"</f>
        <v>20190312172516381</v>
      </c>
      <c r="B5286" t="str">
        <f>"1552382716375828"</f>
        <v>1552382716375828</v>
      </c>
      <c r="C5286" t="s">
        <v>40</v>
      </c>
      <c r="D5286">
        <v>4.0799159999999999</v>
      </c>
      <c r="E5286">
        <v>0.48459190000000002</v>
      </c>
      <c r="F5286" t="s">
        <v>53</v>
      </c>
      <c r="G5286">
        <v>-364.6207</v>
      </c>
      <c r="H5286" s="1">
        <v>-2.9028910000000002E-6</v>
      </c>
      <c r="I5286">
        <v>17.589020000000001</v>
      </c>
      <c r="J5286">
        <v>-380.9502</v>
      </c>
      <c r="K5286">
        <v>1.111504</v>
      </c>
      <c r="L5286">
        <v>18.367280000000001</v>
      </c>
      <c r="M5286">
        <v>0.98296300000000003</v>
      </c>
      <c r="N5286">
        <v>0</v>
      </c>
      <c r="O5286">
        <v>-0.18336549999999999</v>
      </c>
      <c r="P5286">
        <v>0.98382380000000003</v>
      </c>
      <c r="Q5286">
        <v>0.15386279999999999</v>
      </c>
      <c r="R5286">
        <v>-9.1745820000000006E-2</v>
      </c>
      <c r="S5286">
        <v>3.0681759999999998</v>
      </c>
      <c r="T5286">
        <v>-0.20755019999999999</v>
      </c>
      <c r="U5286">
        <v>-0.1486816</v>
      </c>
      <c r="V5286">
        <v>-9.0670260000000003E-2</v>
      </c>
      <c r="W5286">
        <v>0.16609939999999901</v>
      </c>
      <c r="X5286">
        <v>0.98193169999999996</v>
      </c>
      <c r="Y5286">
        <v>-0.13486319999999999</v>
      </c>
      <c r="Z5286">
        <v>1.6870469999999999E-2</v>
      </c>
      <c r="AA5286">
        <v>0.99072059999999995</v>
      </c>
      <c r="AB5286">
        <v>19</v>
      </c>
      <c r="AC5286">
        <v>16.3294999999999</v>
      </c>
      <c r="AD5286">
        <v>-1.1115069028910001</v>
      </c>
      <c r="AE5286">
        <v>-0.77825999999999596</v>
      </c>
      <c r="AF5286">
        <v>-2.2191868647568902</v>
      </c>
      <c r="AG5286">
        <v>-1.1115069028910001</v>
      </c>
      <c r="AH5286">
        <v>16.120781667253301</v>
      </c>
      <c r="AI5286">
        <v>93.907492602378099</v>
      </c>
      <c r="AJ5286">
        <v>97.838073747563996</v>
      </c>
      <c r="AK5286">
        <v>16.3107277427813</v>
      </c>
      <c r="AL5286">
        <v>80.438893058491104</v>
      </c>
      <c r="AM5286">
        <v>95.275655430750504</v>
      </c>
      <c r="AN5286">
        <v>0.99999998509685795</v>
      </c>
    </row>
    <row r="5287" spans="1:40" x14ac:dyDescent="0.25">
      <c r="A5287" t="str">
        <f>"20190312172516393"</f>
        <v>20190312172516393</v>
      </c>
      <c r="B5287" t="str">
        <f>"1552382716385588"</f>
        <v>1552382716385588</v>
      </c>
      <c r="C5287" t="s">
        <v>40</v>
      </c>
      <c r="D5287">
        <v>4.0862740000000004</v>
      </c>
      <c r="E5287">
        <v>0.48456670000000002</v>
      </c>
      <c r="F5287" t="s">
        <v>53</v>
      </c>
      <c r="G5287">
        <v>-364.50360000000001</v>
      </c>
      <c r="H5287" s="1">
        <v>-2.9569739999999999E-6</v>
      </c>
      <c r="I5287">
        <v>17.596170000000001</v>
      </c>
      <c r="J5287">
        <v>-380.85500000000002</v>
      </c>
      <c r="K5287">
        <v>1.111483</v>
      </c>
      <c r="L5287">
        <v>18.350950000000001</v>
      </c>
      <c r="M5287">
        <v>0.98329540000000004</v>
      </c>
      <c r="N5287">
        <v>0</v>
      </c>
      <c r="O5287">
        <v>-0.181561</v>
      </c>
      <c r="P5287">
        <v>0.98399329999999996</v>
      </c>
      <c r="Q5287">
        <v>0.15367639999999999</v>
      </c>
      <c r="R5287">
        <v>-9.0225639999999996E-2</v>
      </c>
      <c r="S5287">
        <v>3.0683289999999999</v>
      </c>
      <c r="T5287">
        <v>-0.2073663</v>
      </c>
      <c r="U5287">
        <v>-0.14385990000000001</v>
      </c>
      <c r="V5287">
        <v>-9.0388650000000001E-2</v>
      </c>
      <c r="W5287">
        <v>0.16608299999999901</v>
      </c>
      <c r="X5287">
        <v>0.98196050000000001</v>
      </c>
      <c r="Y5287">
        <v>-0.1346067</v>
      </c>
      <c r="Z5287">
        <v>1.6727240000000001E-2</v>
      </c>
      <c r="AA5287">
        <v>0.99075789999999997</v>
      </c>
      <c r="AB5287">
        <v>19</v>
      </c>
      <c r="AC5287">
        <v>16.351400000000002</v>
      </c>
      <c r="AD5287">
        <v>-1.1114859569740001</v>
      </c>
      <c r="AE5287">
        <v>-0.75478000000000001</v>
      </c>
      <c r="AF5287">
        <v>-2.2165693002532501</v>
      </c>
      <c r="AG5287">
        <v>-1.1114859569740001</v>
      </c>
      <c r="AH5287">
        <v>16.142211040842401</v>
      </c>
      <c r="AI5287">
        <v>93.902429045881206</v>
      </c>
      <c r="AJ5287">
        <v>97.818678756929003</v>
      </c>
      <c r="AK5287">
        <v>16.331550991331799</v>
      </c>
      <c r="AL5287">
        <v>80.439846544259396</v>
      </c>
      <c r="AM5287">
        <v>95.259208575443395</v>
      </c>
      <c r="AN5287">
        <v>1.00000004724903</v>
      </c>
    </row>
    <row r="5288" spans="1:40" x14ac:dyDescent="0.25">
      <c r="A5288" t="str">
        <f>"20190312172516405"</f>
        <v>20190312172516405</v>
      </c>
      <c r="B5288" t="str">
        <f>"1552382716396325"</f>
        <v>1552382716396325</v>
      </c>
      <c r="C5288" t="s">
        <v>40</v>
      </c>
      <c r="D5288">
        <v>4.0941340000000004</v>
      </c>
      <c r="E5288">
        <v>0.48465390000000003</v>
      </c>
      <c r="F5288" t="s">
        <v>53</v>
      </c>
      <c r="G5288">
        <v>-364.32369999999997</v>
      </c>
      <c r="H5288" s="1">
        <v>-3.0406550000000002E-6</v>
      </c>
      <c r="I5288">
        <v>17.603649999999998</v>
      </c>
      <c r="J5288">
        <v>-380.75830000000002</v>
      </c>
      <c r="K5288">
        <v>1.1114949999999999</v>
      </c>
      <c r="L5288">
        <v>18.334440000000001</v>
      </c>
      <c r="M5288">
        <v>0.98360219999999998</v>
      </c>
      <c r="N5288">
        <v>0</v>
      </c>
      <c r="O5288">
        <v>-0.1798804</v>
      </c>
      <c r="P5288">
        <v>0.98415280000000005</v>
      </c>
      <c r="Q5288">
        <v>0.1532945</v>
      </c>
      <c r="R5288">
        <v>-8.9131890000000005E-2</v>
      </c>
      <c r="S5288">
        <v>3.068298</v>
      </c>
      <c r="T5288">
        <v>-0.2062978</v>
      </c>
      <c r="U5288">
        <v>-0.138702399999999</v>
      </c>
      <c r="V5288">
        <v>-8.9825349999999998E-2</v>
      </c>
      <c r="W5288">
        <v>0.16586809999999999</v>
      </c>
      <c r="X5288">
        <v>0.98204849999999999</v>
      </c>
      <c r="Y5288">
        <v>-0.13458619999999999</v>
      </c>
      <c r="Z5288">
        <v>1.6530670000000001E-2</v>
      </c>
      <c r="AA5288">
        <v>0.99076399999999998</v>
      </c>
      <c r="AB5288">
        <v>19</v>
      </c>
      <c r="AC5288">
        <v>16.4346</v>
      </c>
      <c r="AD5288">
        <v>-1.1114980406549999</v>
      </c>
      <c r="AE5288">
        <v>-0.73079000000000205</v>
      </c>
      <c r="AF5288">
        <v>-2.22747725789349</v>
      </c>
      <c r="AG5288">
        <v>-1.1114980406549999</v>
      </c>
      <c r="AH5288">
        <v>16.223884777300501</v>
      </c>
      <c r="AI5288">
        <v>93.882895771082005</v>
      </c>
      <c r="AJ5288">
        <v>97.817614351231995</v>
      </c>
      <c r="AK5288">
        <v>16.4137600840251</v>
      </c>
      <c r="AL5288">
        <v>80.452332502850297</v>
      </c>
      <c r="AM5288">
        <v>95.226149637233704</v>
      </c>
      <c r="AN5288">
        <v>1.00000003822624</v>
      </c>
    </row>
    <row r="5289" spans="1:40" x14ac:dyDescent="0.25">
      <c r="A5289" t="str">
        <f>"20190312172516416"</f>
        <v>20190312172516416</v>
      </c>
      <c r="B5289" t="str">
        <f>"1552382716406084"</f>
        <v>1552382716406084</v>
      </c>
      <c r="C5289" t="s">
        <v>40</v>
      </c>
      <c r="D5289">
        <v>4.0895440000000001</v>
      </c>
      <c r="E5289">
        <v>0.48465390000000003</v>
      </c>
      <c r="F5289" t="s">
        <v>53</v>
      </c>
      <c r="G5289">
        <v>-364.31259999999997</v>
      </c>
      <c r="H5289" s="1">
        <v>-3.045228E-6</v>
      </c>
      <c r="I5289">
        <v>17.60754</v>
      </c>
      <c r="J5289">
        <v>-380.65030000000002</v>
      </c>
      <c r="K5289">
        <v>1.1116109999999999</v>
      </c>
      <c r="L5289">
        <v>18.31625</v>
      </c>
      <c r="M5289">
        <v>0.9838616</v>
      </c>
      <c r="N5289">
        <v>0</v>
      </c>
      <c r="O5289">
        <v>-0.178441299999999</v>
      </c>
      <c r="P5289">
        <v>0.98427430000000005</v>
      </c>
      <c r="Q5289">
        <v>0.1532134</v>
      </c>
      <c r="R5289">
        <v>-8.7917720000000005E-2</v>
      </c>
      <c r="S5289">
        <v>3.0683289999999999</v>
      </c>
      <c r="T5289">
        <v>-0.20737610000000001</v>
      </c>
      <c r="U5289">
        <v>-0.13562009999999999</v>
      </c>
      <c r="V5289">
        <v>-8.9661619999999997E-2</v>
      </c>
      <c r="W5289">
        <v>0.16594900000000001</v>
      </c>
      <c r="X5289">
        <v>0.98204979999999997</v>
      </c>
      <c r="Y5289">
        <v>-0.13412779999999999</v>
      </c>
      <c r="Z5289">
        <v>1.650621E-2</v>
      </c>
      <c r="AA5289">
        <v>0.99082650000000005</v>
      </c>
      <c r="AB5289">
        <v>19</v>
      </c>
      <c r="AC5289">
        <v>16.337700000000002</v>
      </c>
      <c r="AD5289">
        <v>-1.1116140452279999</v>
      </c>
      <c r="AE5289">
        <v>-0.70870999999999995</v>
      </c>
      <c r="AF5289">
        <v>-2.2080393036194699</v>
      </c>
      <c r="AG5289">
        <v>-1.1116140452279999</v>
      </c>
      <c r="AH5289">
        <v>16.127396763535</v>
      </c>
      <c r="AI5289">
        <v>93.906662486301201</v>
      </c>
      <c r="AJ5289">
        <v>97.796027090017603</v>
      </c>
      <c r="AK5289">
        <v>16.3157607766342</v>
      </c>
      <c r="AL5289">
        <v>80.447632180578594</v>
      </c>
      <c r="AM5289">
        <v>95.216669362374304</v>
      </c>
      <c r="AN5289">
        <v>1.0000000431910301</v>
      </c>
    </row>
    <row r="5290" spans="1:40" x14ac:dyDescent="0.25">
      <c r="A5290" t="str">
        <f>"20190312172516437"</f>
        <v>20190312172516437</v>
      </c>
      <c r="B5290" t="str">
        <f>"1552382716425603"</f>
        <v>1552382716425603</v>
      </c>
      <c r="C5290" t="s">
        <v>40</v>
      </c>
      <c r="D5290">
        <v>4.1015560000000004</v>
      </c>
      <c r="E5290">
        <v>0.48402400000000001</v>
      </c>
      <c r="F5290" t="s">
        <v>53</v>
      </c>
      <c r="G5290">
        <v>-364.21519999999998</v>
      </c>
      <c r="H5290" s="1">
        <v>-3.0904199999999998E-6</v>
      </c>
      <c r="I5290">
        <v>17.61243</v>
      </c>
      <c r="J5290">
        <v>-380.48340000000002</v>
      </c>
      <c r="K5290">
        <v>1.111756</v>
      </c>
      <c r="L5290">
        <v>18.28876</v>
      </c>
      <c r="M5290">
        <v>0.98416979999999998</v>
      </c>
      <c r="N5290">
        <v>0</v>
      </c>
      <c r="O5290">
        <v>-0.17672650000000001</v>
      </c>
      <c r="P5290">
        <v>0.98442549999999995</v>
      </c>
      <c r="Q5290">
        <v>0.15274380000000001</v>
      </c>
      <c r="R5290">
        <v>-8.7040930000000002E-2</v>
      </c>
      <c r="S5290">
        <v>3.0685419999999999</v>
      </c>
      <c r="T5290">
        <v>-0.20754590000000001</v>
      </c>
      <c r="U5290">
        <v>-0.13140869999999999</v>
      </c>
      <c r="V5290">
        <v>-8.8934230000000003E-2</v>
      </c>
      <c r="W5290">
        <v>0.1655257</v>
      </c>
      <c r="X5290">
        <v>0.98218729999999999</v>
      </c>
      <c r="Y5290">
        <v>-0.1337651</v>
      </c>
      <c r="Z5290">
        <v>1.639299E-2</v>
      </c>
      <c r="AA5290">
        <v>0.99087740000000002</v>
      </c>
      <c r="AB5290">
        <v>19</v>
      </c>
      <c r="AC5290">
        <v>16.2682</v>
      </c>
      <c r="AD5290">
        <v>-1.1117590904200001</v>
      </c>
      <c r="AE5290">
        <v>-0.67632999999999999</v>
      </c>
      <c r="AF5290">
        <v>-2.19934084856853</v>
      </c>
      <c r="AG5290">
        <v>-1.1117590904200001</v>
      </c>
      <c r="AH5290">
        <v>16.056768590266302</v>
      </c>
      <c r="AI5290">
        <v>93.924271552431406</v>
      </c>
      <c r="AJ5290">
        <v>97.799429596268396</v>
      </c>
      <c r="AK5290">
        <v>16.244781500675099</v>
      </c>
      <c r="AL5290">
        <v>80.472224941416101</v>
      </c>
      <c r="AM5290">
        <v>95.173858750887405</v>
      </c>
      <c r="AN5290">
        <v>0.99999997345373604</v>
      </c>
    </row>
    <row r="5291" spans="1:40" x14ac:dyDescent="0.25">
      <c r="A5291" t="str">
        <f>"20190312172516458"</f>
        <v>20190312172516458</v>
      </c>
      <c r="B5291" t="str">
        <f>"1552382716446099"</f>
        <v>1552382716446099</v>
      </c>
      <c r="C5291" t="s">
        <v>40</v>
      </c>
      <c r="D5291">
        <v>4.094049</v>
      </c>
      <c r="E5291">
        <v>0.48418539999999999</v>
      </c>
      <c r="F5291" t="s">
        <v>53</v>
      </c>
      <c r="G5291">
        <v>-365.76859999999999</v>
      </c>
      <c r="H5291" s="1">
        <v>-2.340304E-6</v>
      </c>
      <c r="I5291">
        <v>17.70139</v>
      </c>
      <c r="J5291">
        <v>-380.30250000000001</v>
      </c>
      <c r="K5291">
        <v>1.1117669999999999</v>
      </c>
      <c r="L5291">
        <v>18.259550000000001</v>
      </c>
      <c r="M5291">
        <v>0.98449560000000003</v>
      </c>
      <c r="N5291">
        <v>0</v>
      </c>
      <c r="O5291">
        <v>-0.1749116</v>
      </c>
      <c r="P5291">
        <v>0.98452870000000003</v>
      </c>
      <c r="Q5291">
        <v>0.1528842</v>
      </c>
      <c r="R5291">
        <v>-8.5614190000000007E-2</v>
      </c>
      <c r="S5291">
        <v>3.072632</v>
      </c>
      <c r="T5291">
        <v>-0.23214899999999999</v>
      </c>
      <c r="U5291">
        <v>-0.1226501</v>
      </c>
      <c r="V5291">
        <v>-8.8601460000000007E-2</v>
      </c>
      <c r="W5291">
        <v>0.16551109999999999</v>
      </c>
      <c r="X5291">
        <v>0.98221990000000003</v>
      </c>
      <c r="Y5291">
        <v>-0.13464189999999901</v>
      </c>
      <c r="Z5291">
        <v>1.820666E-2</v>
      </c>
      <c r="AA5291">
        <v>0.99072709999999997</v>
      </c>
      <c r="AB5291">
        <v>19</v>
      </c>
      <c r="AC5291">
        <v>14.533899999999999</v>
      </c>
      <c r="AD5291">
        <v>-1.1117693403040001</v>
      </c>
      <c r="AE5291">
        <v>-0.55815999999999999</v>
      </c>
      <c r="AF5291">
        <v>-1.9812392753799299</v>
      </c>
      <c r="AG5291">
        <v>-1.1117693403040001</v>
      </c>
      <c r="AH5291">
        <v>14.3237536588521</v>
      </c>
      <c r="AI5291">
        <v>94.396546757927297</v>
      </c>
      <c r="AJ5291">
        <v>97.875094508683404</v>
      </c>
      <c r="AK5291">
        <v>14.502801764205</v>
      </c>
      <c r="AL5291">
        <v>80.473073774882593</v>
      </c>
      <c r="AM5291">
        <v>95.154433768192902</v>
      </c>
      <c r="AN5291">
        <v>1.00000003744667</v>
      </c>
    </row>
    <row r="5292" spans="1:40" x14ac:dyDescent="0.25">
      <c r="A5292" t="str">
        <f>"20190312172516470"</f>
        <v>20190312172516470</v>
      </c>
      <c r="B5292" t="str">
        <f>"1552382716465619"</f>
        <v>1552382716465619</v>
      </c>
      <c r="C5292" t="s">
        <v>40</v>
      </c>
      <c r="D5292">
        <v>4.141108</v>
      </c>
      <c r="E5292">
        <v>0.48429519999999998</v>
      </c>
      <c r="F5292" t="s">
        <v>53</v>
      </c>
      <c r="G5292">
        <v>-365.46539999999999</v>
      </c>
      <c r="H5292" s="1">
        <v>-2.4867810000000002E-6</v>
      </c>
      <c r="I5292">
        <v>17.683779999999999</v>
      </c>
      <c r="J5292">
        <v>-380.19900000000001</v>
      </c>
      <c r="K5292">
        <v>1.1116999999999999</v>
      </c>
      <c r="L5292">
        <v>18.243069999999999</v>
      </c>
      <c r="M5292">
        <v>0.98472539999999997</v>
      </c>
      <c r="N5292">
        <v>0</v>
      </c>
      <c r="O5292">
        <v>-0.17362079999999999</v>
      </c>
      <c r="P5292">
        <v>0.98460170000000002</v>
      </c>
      <c r="Q5292">
        <v>0.1528899</v>
      </c>
      <c r="R5292">
        <v>-8.4761580000000003E-2</v>
      </c>
      <c r="S5292">
        <v>3.0725099999999999</v>
      </c>
      <c r="T5292">
        <v>-0.2302283</v>
      </c>
      <c r="U5292">
        <v>-0.119232199999999</v>
      </c>
      <c r="V5292">
        <v>-8.8156700000000005E-2</v>
      </c>
      <c r="W5292">
        <v>0.16543640000000001</v>
      </c>
      <c r="X5292">
        <v>0.98227240000000005</v>
      </c>
      <c r="Y5292">
        <v>-0.13445989999999999</v>
      </c>
      <c r="Z5292">
        <v>1.7955780000000001E-2</v>
      </c>
      <c r="AA5292">
        <v>0.99075630000000003</v>
      </c>
      <c r="AB5292">
        <v>19</v>
      </c>
      <c r="AC5292">
        <v>14.733599999999999</v>
      </c>
      <c r="AD5292">
        <v>-1.1117024867809999</v>
      </c>
      <c r="AE5292">
        <v>-0.55928999999999995</v>
      </c>
      <c r="AF5292">
        <v>-1.9961365743709201</v>
      </c>
      <c r="AG5292">
        <v>-1.1117024867809999</v>
      </c>
      <c r="AH5292">
        <v>14.524337083139899</v>
      </c>
      <c r="AI5292">
        <v>94.336320129264394</v>
      </c>
      <c r="AJ5292">
        <v>97.825360600002099</v>
      </c>
      <c r="AK5292">
        <v>14.7029524704166</v>
      </c>
      <c r="AL5292">
        <v>80.477412631986198</v>
      </c>
      <c r="AM5292">
        <v>95.128425315962104</v>
      </c>
      <c r="AN5292">
        <v>0.99999993700080303</v>
      </c>
    </row>
    <row r="5293" spans="1:40" x14ac:dyDescent="0.25">
      <c r="A5293" t="str">
        <f>"20190312172516483"</f>
        <v>20190312172516483</v>
      </c>
      <c r="B5293" t="str">
        <f>"1552382716476357"</f>
        <v>1552382716476357</v>
      </c>
      <c r="C5293" t="s">
        <v>40</v>
      </c>
      <c r="D5293">
        <v>4.0720499999999999</v>
      </c>
      <c r="E5293">
        <v>0.48452030000000001</v>
      </c>
      <c r="F5293" t="s">
        <v>53</v>
      </c>
      <c r="G5293">
        <v>-365.39769999999999</v>
      </c>
      <c r="H5293" s="1">
        <v>-2.5198669999999999E-6</v>
      </c>
      <c r="I5293">
        <v>17.677689999999998</v>
      </c>
      <c r="J5293">
        <v>-380.09089999999998</v>
      </c>
      <c r="K5293">
        <v>1.111604</v>
      </c>
      <c r="L5293">
        <v>18.225950000000001</v>
      </c>
      <c r="M5293">
        <v>0.98498410000000003</v>
      </c>
      <c r="N5293">
        <v>0</v>
      </c>
      <c r="O5293">
        <v>-0.17215129999999901</v>
      </c>
      <c r="P5293">
        <v>0.98471019999999998</v>
      </c>
      <c r="Q5293">
        <v>0.15297189999999999</v>
      </c>
      <c r="R5293">
        <v>-8.3337750000000002E-2</v>
      </c>
      <c r="S5293">
        <v>3.0726930000000001</v>
      </c>
      <c r="T5293">
        <v>-0.23078499999999999</v>
      </c>
      <c r="U5293">
        <v>-0.11737060000000001</v>
      </c>
      <c r="V5293">
        <v>-8.808945E-2</v>
      </c>
      <c r="W5293">
        <v>0.16545379999999901</v>
      </c>
      <c r="X5293">
        <v>0.98227549999999997</v>
      </c>
      <c r="Y5293">
        <v>-0.1335855</v>
      </c>
      <c r="Z5293">
        <v>1.7856859999999999E-2</v>
      </c>
      <c r="AA5293">
        <v>0.99087639999999999</v>
      </c>
      <c r="AB5293">
        <v>19</v>
      </c>
      <c r="AC5293">
        <v>14.6931999999999</v>
      </c>
      <c r="AD5293">
        <v>-1.111606519867</v>
      </c>
      <c r="AE5293">
        <v>-0.54826000000000197</v>
      </c>
      <c r="AF5293">
        <v>-1.97828828211235</v>
      </c>
      <c r="AG5293">
        <v>-1.111606519867</v>
      </c>
      <c r="AH5293">
        <v>14.4853988635927</v>
      </c>
      <c r="AI5293">
        <v>94.348060552057206</v>
      </c>
      <c r="AJ5293">
        <v>97.776841019395405</v>
      </c>
      <c r="AK5293">
        <v>14.6620623999329</v>
      </c>
      <c r="AL5293">
        <v>80.476401730590894</v>
      </c>
      <c r="AM5293">
        <v>95.1245178681298</v>
      </c>
      <c r="AN5293">
        <v>0.99999993451799396</v>
      </c>
    </row>
    <row r="5294" spans="1:40" x14ac:dyDescent="0.25">
      <c r="A5294" t="str">
        <f>"20190312172516495"</f>
        <v>20190312172516495</v>
      </c>
      <c r="B5294" t="str">
        <f>"1552382716486116"</f>
        <v>1552382716486116</v>
      </c>
      <c r="C5294" t="s">
        <v>40</v>
      </c>
      <c r="D5294">
        <v>4.103478</v>
      </c>
      <c r="E5294">
        <v>0.48459469999999999</v>
      </c>
      <c r="F5294" t="s">
        <v>53</v>
      </c>
      <c r="G5294">
        <v>-365.23779999999999</v>
      </c>
      <c r="H5294" s="1">
        <v>-2.5965750000000002E-6</v>
      </c>
      <c r="I5294">
        <v>17.671410000000002</v>
      </c>
      <c r="J5294">
        <v>-379.98160000000001</v>
      </c>
      <c r="K5294">
        <v>1.111504</v>
      </c>
      <c r="L5294">
        <v>18.208739999999999</v>
      </c>
      <c r="M5294">
        <v>0.98528389999999999</v>
      </c>
      <c r="N5294">
        <v>0</v>
      </c>
      <c r="O5294">
        <v>-0.170429</v>
      </c>
      <c r="P5294">
        <v>0.98484130000000003</v>
      </c>
      <c r="Q5294">
        <v>0.15294769999999999</v>
      </c>
      <c r="R5294">
        <v>-8.1820229999999994E-2</v>
      </c>
      <c r="S5294">
        <v>3.0726010000000001</v>
      </c>
      <c r="T5294">
        <v>-0.2299523</v>
      </c>
      <c r="U5294">
        <v>-0.1147156</v>
      </c>
      <c r="V5294">
        <v>-8.7851319999999997E-2</v>
      </c>
      <c r="W5294">
        <v>0.165435</v>
      </c>
      <c r="X5294">
        <v>0.98229999999999995</v>
      </c>
      <c r="Y5294">
        <v>-0.13272</v>
      </c>
      <c r="Z5294">
        <v>1.7634319999999998E-2</v>
      </c>
      <c r="AA5294">
        <v>0.99099669999999895</v>
      </c>
      <c r="AB5294">
        <v>19</v>
      </c>
      <c r="AC5294">
        <v>14.7438</v>
      </c>
      <c r="AD5294">
        <v>-1.1115065965749999</v>
      </c>
      <c r="AE5294">
        <v>-0.53732999999999698</v>
      </c>
      <c r="AF5294">
        <v>-1.9723221442336101</v>
      </c>
      <c r="AG5294">
        <v>-1.1115065965749999</v>
      </c>
      <c r="AH5294">
        <v>14.5371349293154</v>
      </c>
      <c r="AI5294">
        <v>94.332774417699099</v>
      </c>
      <c r="AJ5294">
        <v>97.726412710267297</v>
      </c>
      <c r="AK5294">
        <v>14.7123687252592</v>
      </c>
      <c r="AL5294">
        <v>80.477494013199504</v>
      </c>
      <c r="AM5294">
        <v>95.110611555860999</v>
      </c>
      <c r="AN5294">
        <v>0.999999941825369</v>
      </c>
    </row>
    <row r="5295" spans="1:40" x14ac:dyDescent="0.25">
      <c r="A5295" t="str">
        <f>"20190312172516514"</f>
        <v>20190312172516514</v>
      </c>
      <c r="B5295" t="str">
        <f>"1552382716505635"</f>
        <v>1552382716505635</v>
      </c>
      <c r="C5295" t="s">
        <v>40</v>
      </c>
      <c r="D5295">
        <v>4.103936</v>
      </c>
      <c r="E5295">
        <v>0.4849638</v>
      </c>
      <c r="F5295" t="s">
        <v>53</v>
      </c>
      <c r="G5295">
        <v>-365.1601</v>
      </c>
      <c r="H5295" s="1">
        <v>-2.6325589999999999E-6</v>
      </c>
      <c r="I5295">
        <v>17.675429999999999</v>
      </c>
      <c r="J5295">
        <v>-379.8254</v>
      </c>
      <c r="K5295">
        <v>1.1113999999999999</v>
      </c>
      <c r="L5295">
        <v>18.184419999999999</v>
      </c>
      <c r="M5295">
        <v>0.98572020000000005</v>
      </c>
      <c r="N5295">
        <v>0</v>
      </c>
      <c r="O5295">
        <v>-0.1678867</v>
      </c>
      <c r="P5295">
        <v>0.98507169999999999</v>
      </c>
      <c r="Q5295">
        <v>0.15273989999999901</v>
      </c>
      <c r="R5295">
        <v>-7.9401749999999993E-2</v>
      </c>
      <c r="S5295">
        <v>3.0727540000000002</v>
      </c>
      <c r="T5295">
        <v>-0.23043540000000001</v>
      </c>
      <c r="U5295">
        <v>-0.1105652</v>
      </c>
      <c r="V5295">
        <v>-8.7692900000000004E-2</v>
      </c>
      <c r="W5295">
        <v>0.1652535</v>
      </c>
      <c r="X5295">
        <v>0.98234469999999996</v>
      </c>
      <c r="Y5295">
        <v>-0.13150870000000001</v>
      </c>
      <c r="Z5295">
        <v>1.7437890000000001E-2</v>
      </c>
      <c r="AA5295">
        <v>0.99116159999999998</v>
      </c>
      <c r="AB5295">
        <v>19</v>
      </c>
      <c r="AC5295">
        <v>14.6653</v>
      </c>
      <c r="AD5295">
        <v>-1.1114026325589901</v>
      </c>
      <c r="AE5295">
        <v>-0.50899000000000405</v>
      </c>
      <c r="AF5295">
        <v>-1.9493711605357</v>
      </c>
      <c r="AG5295">
        <v>-1.1114026325589901</v>
      </c>
      <c r="AH5295">
        <v>14.4596234719346</v>
      </c>
      <c r="AI5295">
        <v>94.356001014194305</v>
      </c>
      <c r="AJ5295">
        <v>97.678025928724793</v>
      </c>
      <c r="AK5295">
        <v>14.632702234492101</v>
      </c>
      <c r="AL5295">
        <v>80.488038282417506</v>
      </c>
      <c r="AM5295">
        <v>95.101213487460001</v>
      </c>
      <c r="AN5295">
        <v>0.99999993679537302</v>
      </c>
    </row>
    <row r="5296" spans="1:40" x14ac:dyDescent="0.25">
      <c r="A5296" t="str">
        <f>"20190312172516526"</f>
        <v>20190312172516526</v>
      </c>
      <c r="B5296" t="str">
        <f>"1552382716515396"</f>
        <v>1552382716515396</v>
      </c>
      <c r="C5296" t="s">
        <v>40</v>
      </c>
      <c r="D5296">
        <v>4.0808939999999998</v>
      </c>
      <c r="E5296">
        <v>0.48512899999999998</v>
      </c>
      <c r="F5296" t="s">
        <v>53</v>
      </c>
      <c r="G5296">
        <v>-364.99189999999999</v>
      </c>
      <c r="H5296" s="1">
        <v>-2.7126379999999999E-6</v>
      </c>
      <c r="I5296">
        <v>17.672160000000002</v>
      </c>
      <c r="J5296">
        <v>-379.72519999999997</v>
      </c>
      <c r="K5296">
        <v>1.1113690000000001</v>
      </c>
      <c r="L5296">
        <v>18.168949999999999</v>
      </c>
      <c r="M5296">
        <v>0.98599409999999998</v>
      </c>
      <c r="N5296">
        <v>0</v>
      </c>
      <c r="O5296">
        <v>-0.16627110000000001</v>
      </c>
      <c r="P5296">
        <v>0.98521179999999997</v>
      </c>
      <c r="Q5296">
        <v>0.1527299</v>
      </c>
      <c r="R5296">
        <v>-7.7662980000000006E-2</v>
      </c>
      <c r="S5296">
        <v>3.0726010000000001</v>
      </c>
      <c r="T5296">
        <v>-0.23021530000000001</v>
      </c>
      <c r="U5296">
        <v>-0.1061096</v>
      </c>
      <c r="V5296">
        <v>-8.7801660000000004E-2</v>
      </c>
      <c r="W5296">
        <v>0.1652469</v>
      </c>
      <c r="X5296">
        <v>0.98233619999999999</v>
      </c>
      <c r="Y5296">
        <v>-0.13132439999999901</v>
      </c>
      <c r="Z5296">
        <v>1.7296679999999998E-2</v>
      </c>
      <c r="AA5296">
        <v>0.99118850000000003</v>
      </c>
      <c r="AB5296">
        <v>19</v>
      </c>
      <c r="AC5296">
        <v>14.7332999999999</v>
      </c>
      <c r="AD5296">
        <v>-1.1113717126380001</v>
      </c>
      <c r="AE5296">
        <v>-0.49678999999999701</v>
      </c>
      <c r="AF5296">
        <v>-1.9489789078061901</v>
      </c>
      <c r="AG5296">
        <v>-1.1113717126380001</v>
      </c>
      <c r="AH5296">
        <v>14.528214552912001</v>
      </c>
      <c r="AI5296">
        <v>94.335772297122404</v>
      </c>
      <c r="AJ5296">
        <v>97.640685992454294</v>
      </c>
      <c r="AK5296">
        <v>14.700431420953899</v>
      </c>
      <c r="AL5296">
        <v>80.4884226933614</v>
      </c>
      <c r="AM5296">
        <v>95.107550720275597</v>
      </c>
      <c r="AN5296">
        <v>1.0000000396444</v>
      </c>
    </row>
    <row r="5297" spans="1:40" x14ac:dyDescent="0.25">
      <c r="A5297" t="str">
        <f>"20190312172516537"</f>
        <v>20190312172516537</v>
      </c>
      <c r="B5297" t="str">
        <f>"1552382716526132"</f>
        <v>1552382716526132</v>
      </c>
      <c r="C5297" t="s">
        <v>40</v>
      </c>
      <c r="D5297">
        <v>4.101839</v>
      </c>
      <c r="E5297">
        <v>0.48512899999999998</v>
      </c>
      <c r="F5297" t="s">
        <v>53</v>
      </c>
      <c r="G5297">
        <v>-364.86509999999998</v>
      </c>
      <c r="H5297" s="1">
        <v>-2.7719099999999999E-6</v>
      </c>
      <c r="I5297">
        <v>17.676130000000001</v>
      </c>
      <c r="J5297">
        <v>-379.63</v>
      </c>
      <c r="K5297">
        <v>1.111364</v>
      </c>
      <c r="L5297">
        <v>18.154389999999999</v>
      </c>
      <c r="M5297">
        <v>0.98624460000000003</v>
      </c>
      <c r="N5297">
        <v>0</v>
      </c>
      <c r="O5297">
        <v>-0.16478010000000001</v>
      </c>
      <c r="P5297">
        <v>0.98531329999999995</v>
      </c>
      <c r="Q5297">
        <v>0.15278340000000001</v>
      </c>
      <c r="R5297">
        <v>-7.6257740000000004E-2</v>
      </c>
      <c r="S5297">
        <v>3.0726010000000001</v>
      </c>
      <c r="T5297">
        <v>-0.2297959</v>
      </c>
      <c r="U5297">
        <v>-0.10189819999999999</v>
      </c>
      <c r="V5297">
        <v>-8.7711650000000002E-2</v>
      </c>
      <c r="W5297">
        <v>0.16528309999999999</v>
      </c>
      <c r="X5297">
        <v>0.98233809999999999</v>
      </c>
      <c r="Y5297">
        <v>-0.13119</v>
      </c>
      <c r="Z5297">
        <v>1.715098E-2</v>
      </c>
      <c r="AA5297">
        <v>0.99120889999999995</v>
      </c>
      <c r="AB5297">
        <v>19</v>
      </c>
      <c r="AC5297">
        <v>14.764900000000001</v>
      </c>
      <c r="AD5297">
        <v>-1.11136677191</v>
      </c>
      <c r="AE5297">
        <v>-0.47825999999999802</v>
      </c>
      <c r="AF5297">
        <v>-1.95040736441049</v>
      </c>
      <c r="AG5297">
        <v>-1.11136677191</v>
      </c>
      <c r="AH5297">
        <v>14.559445667247401</v>
      </c>
      <c r="AI5297">
        <v>94.326595574703802</v>
      </c>
      <c r="AJ5297">
        <v>97.630011525966907</v>
      </c>
      <c r="AK5297">
        <v>14.7314861139798</v>
      </c>
      <c r="AL5297">
        <v>80.486319188383902</v>
      </c>
      <c r="AM5297">
        <v>95.102332543101397</v>
      </c>
      <c r="AN5297">
        <v>0.99999998970147097</v>
      </c>
    </row>
    <row r="5298" spans="1:40" x14ac:dyDescent="0.25">
      <c r="A5298" t="str">
        <f>"20190312172516550"</f>
        <v>20190312172516550</v>
      </c>
      <c r="B5298" t="str">
        <f>"1552382716545651"</f>
        <v>1552382716545651</v>
      </c>
      <c r="C5298" t="s">
        <v>40</v>
      </c>
      <c r="D5298">
        <v>4.0686549999999997</v>
      </c>
      <c r="E5298">
        <v>0.4828171</v>
      </c>
      <c r="F5298" t="s">
        <v>53</v>
      </c>
      <c r="G5298">
        <v>-364.75549999999998</v>
      </c>
      <c r="H5298" s="1">
        <v>-2.822537E-6</v>
      </c>
      <c r="I5298">
        <v>17.682690000000001</v>
      </c>
      <c r="J5298">
        <v>-379.52539999999999</v>
      </c>
      <c r="K5298">
        <v>1.1113850000000001</v>
      </c>
      <c r="L5298">
        <v>18.138580000000001</v>
      </c>
      <c r="M5298">
        <v>0.9865022</v>
      </c>
      <c r="N5298">
        <v>0</v>
      </c>
      <c r="O5298">
        <v>-0.1632333</v>
      </c>
      <c r="P5298">
        <v>0.98546199999999995</v>
      </c>
      <c r="Q5298">
        <v>0.1526159</v>
      </c>
      <c r="R5298">
        <v>-7.4649750000000001E-2</v>
      </c>
      <c r="S5298">
        <v>3.072784</v>
      </c>
      <c r="T5298">
        <v>-0.2295865</v>
      </c>
      <c r="U5298">
        <v>-9.7442630000000002E-2</v>
      </c>
      <c r="V5298">
        <v>-8.7783710000000001E-2</v>
      </c>
      <c r="W5298">
        <v>0.16506860000000001</v>
      </c>
      <c r="X5298">
        <v>0.98236780000000001</v>
      </c>
      <c r="Y5298">
        <v>-0.13107920000000001</v>
      </c>
      <c r="Z5298">
        <v>1.7016960000000001E-2</v>
      </c>
      <c r="AA5298">
        <v>0.99122580000000005</v>
      </c>
      <c r="AB5298">
        <v>19</v>
      </c>
      <c r="AC5298">
        <v>14.7699</v>
      </c>
      <c r="AD5298">
        <v>-1.111387822537</v>
      </c>
      <c r="AE5298">
        <v>-0.45588999999999602</v>
      </c>
      <c r="AF5298">
        <v>-1.9503356354127499</v>
      </c>
      <c r="AG5298">
        <v>-1.111387822537</v>
      </c>
      <c r="AH5298">
        <v>14.5638048254444</v>
      </c>
      <c r="AI5298">
        <v>94.325412618667002</v>
      </c>
      <c r="AJ5298">
        <v>97.627477426569996</v>
      </c>
      <c r="AK5298">
        <v>14.735786472953601</v>
      </c>
      <c r="AL5298">
        <v>80.498780956755795</v>
      </c>
      <c r="AM5298">
        <v>95.106348670221195</v>
      </c>
      <c r="AN5298">
        <v>1.0000000584620801</v>
      </c>
    </row>
    <row r="5299" spans="1:40" x14ac:dyDescent="0.25">
      <c r="A5299" t="str">
        <f>"20190312172516562"</f>
        <v>20190312172516562</v>
      </c>
      <c r="B5299" t="str">
        <f>"1552382716556388"</f>
        <v>1552382716556388</v>
      </c>
      <c r="C5299" t="s">
        <v>40</v>
      </c>
      <c r="D5299">
        <v>4.110214</v>
      </c>
      <c r="E5299">
        <v>0.48187960000000002</v>
      </c>
      <c r="F5299" t="s">
        <v>53</v>
      </c>
      <c r="G5299">
        <v>-364.50510000000003</v>
      </c>
      <c r="H5299" s="1">
        <v>-2.9241960000000002E-6</v>
      </c>
      <c r="I5299">
        <v>17.776810000000001</v>
      </c>
      <c r="J5299">
        <v>-379.42399999999998</v>
      </c>
      <c r="K5299">
        <v>1.1114139999999999</v>
      </c>
      <c r="L5299">
        <v>18.123380000000001</v>
      </c>
      <c r="M5299">
        <v>0.98674309999999998</v>
      </c>
      <c r="N5299">
        <v>0</v>
      </c>
      <c r="O5299">
        <v>-0.16177639999999999</v>
      </c>
      <c r="P5299">
        <v>0.98551730000000004</v>
      </c>
      <c r="Q5299">
        <v>0.15288470000000001</v>
      </c>
      <c r="R5299">
        <v>-7.3364059999999995E-2</v>
      </c>
      <c r="S5299">
        <v>3.0738829999999999</v>
      </c>
      <c r="T5299">
        <v>-0.22744510000000001</v>
      </c>
      <c r="U5299">
        <v>-7.403564E-2</v>
      </c>
      <c r="V5299">
        <v>-8.7619420000000003E-2</v>
      </c>
      <c r="W5299">
        <v>0.1652807</v>
      </c>
      <c r="X5299">
        <v>0.98234670000000002</v>
      </c>
      <c r="Y5299">
        <v>-0.1371687</v>
      </c>
      <c r="Z5299">
        <v>1.697481E-2</v>
      </c>
      <c r="AA5299">
        <v>0.99040220000000001</v>
      </c>
      <c r="AB5299">
        <v>19</v>
      </c>
      <c r="AC5299">
        <v>14.918900000000001</v>
      </c>
      <c r="AD5299">
        <v>-1.1114169241959999</v>
      </c>
      <c r="AE5299">
        <v>-0.34656999999999599</v>
      </c>
      <c r="AF5299">
        <v>-2.0602946680223599</v>
      </c>
      <c r="AG5299">
        <v>-1.1114169241959999</v>
      </c>
      <c r="AH5299">
        <v>14.6968970502712</v>
      </c>
      <c r="AI5299">
        <v>94.282901022454695</v>
      </c>
      <c r="AJ5299">
        <v>97.980044914881105</v>
      </c>
      <c r="AK5299">
        <v>14.8821653197625</v>
      </c>
      <c r="AL5299">
        <v>80.486458290152697</v>
      </c>
      <c r="AM5299">
        <v>95.096951259579598</v>
      </c>
      <c r="AN5299">
        <v>0.99999995577725698</v>
      </c>
    </row>
    <row r="5300" spans="1:40" x14ac:dyDescent="0.25">
      <c r="A5300" t="str">
        <f>"20190312172516573"</f>
        <v>20190312172516573</v>
      </c>
      <c r="B5300" t="str">
        <f>"1552382716566148"</f>
        <v>1552382716566148</v>
      </c>
      <c r="C5300" t="s">
        <v>40</v>
      </c>
      <c r="D5300">
        <v>4.2432439999999998</v>
      </c>
      <c r="E5300">
        <v>0.48108770000000001</v>
      </c>
      <c r="F5300" t="s">
        <v>53</v>
      </c>
      <c r="G5300">
        <v>-364.14789999999999</v>
      </c>
      <c r="H5300" s="1">
        <v>-3.086562E-6</v>
      </c>
      <c r="I5300">
        <v>17.813410000000001</v>
      </c>
      <c r="J5300">
        <v>-379.32159999999999</v>
      </c>
      <c r="K5300">
        <v>1.111459</v>
      </c>
      <c r="L5300">
        <v>18.108309999999999</v>
      </c>
      <c r="M5300">
        <v>0.98697319999999999</v>
      </c>
      <c r="N5300">
        <v>0</v>
      </c>
      <c r="O5300">
        <v>-0.1603704</v>
      </c>
      <c r="P5300">
        <v>0.9856222</v>
      </c>
      <c r="Q5300">
        <v>0.15282399999999999</v>
      </c>
      <c r="R5300">
        <v>-7.2067210000000007E-2</v>
      </c>
      <c r="S5300">
        <v>3.0740970000000001</v>
      </c>
      <c r="T5300">
        <v>-0.22365640000000001</v>
      </c>
      <c r="U5300">
        <v>-6.2377929999999998E-2</v>
      </c>
      <c r="V5300">
        <v>-8.7527060000000004E-2</v>
      </c>
      <c r="W5300">
        <v>0.16515940000000001</v>
      </c>
      <c r="X5300">
        <v>0.98237540000000001</v>
      </c>
      <c r="Y5300">
        <v>-0.13953699999999999</v>
      </c>
      <c r="Z5300">
        <v>1.6678209999999999E-2</v>
      </c>
      <c r="AA5300">
        <v>0.99007639999999997</v>
      </c>
      <c r="AB5300">
        <v>19</v>
      </c>
      <c r="AC5300">
        <v>15.173699999999901</v>
      </c>
      <c r="AD5300">
        <v>-1.111462086562</v>
      </c>
      <c r="AE5300">
        <v>-0.294899999999998</v>
      </c>
      <c r="AF5300">
        <v>-2.1311009593786299</v>
      </c>
      <c r="AG5300">
        <v>-1.111462086562</v>
      </c>
      <c r="AH5300">
        <v>14.9444165612231</v>
      </c>
      <c r="AI5300">
        <v>94.210987190647003</v>
      </c>
      <c r="AJ5300">
        <v>98.115765343900406</v>
      </c>
      <c r="AK5300">
        <v>15.1364634450815</v>
      </c>
      <c r="AL5300">
        <v>80.493505731946101</v>
      </c>
      <c r="AM5300">
        <v>95.0914588286916</v>
      </c>
      <c r="AN5300">
        <v>1.00000002008288</v>
      </c>
    </row>
    <row r="5301" spans="1:40" x14ac:dyDescent="0.25">
      <c r="A5301" t="str">
        <f>"20190312172516592"</f>
        <v>20190312172516592</v>
      </c>
      <c r="B5301" t="str">
        <f>"1552382716585670"</f>
        <v>1552382716585670</v>
      </c>
      <c r="C5301" t="s">
        <v>40</v>
      </c>
      <c r="D5301">
        <v>4.0766499999999999</v>
      </c>
      <c r="E5301">
        <v>0.47951559999999999</v>
      </c>
      <c r="F5301" t="s">
        <v>53</v>
      </c>
      <c r="G5301">
        <v>-363.9042</v>
      </c>
      <c r="H5301" s="1">
        <v>-3.1955979999999999E-6</v>
      </c>
      <c r="I5301">
        <v>17.848140000000001</v>
      </c>
      <c r="J5301">
        <v>-379.17200000000003</v>
      </c>
      <c r="K5301">
        <v>1.1115170000000001</v>
      </c>
      <c r="L5301">
        <v>18.086580000000001</v>
      </c>
      <c r="M5301">
        <v>0.98730649999999998</v>
      </c>
      <c r="N5301">
        <v>0</v>
      </c>
      <c r="O5301">
        <v>-0.1583117</v>
      </c>
      <c r="P5301">
        <v>0.98581909999999895</v>
      </c>
      <c r="Q5301">
        <v>0.15248529999999999</v>
      </c>
      <c r="R5301">
        <v>-7.0066320000000001E-2</v>
      </c>
      <c r="S5301">
        <v>3.074341</v>
      </c>
      <c r="T5301">
        <v>-0.22163359999999999</v>
      </c>
      <c r="U5301">
        <v>-5.1879880000000003E-2</v>
      </c>
      <c r="V5301">
        <v>-8.7494749999999996E-2</v>
      </c>
      <c r="W5301">
        <v>0.16474739999999999</v>
      </c>
      <c r="X5301">
        <v>0.98244739999999997</v>
      </c>
      <c r="Y5301">
        <v>-0.1408691</v>
      </c>
      <c r="Z5301">
        <v>1.6429019999999999E-2</v>
      </c>
      <c r="AA5301">
        <v>0.98989190000000005</v>
      </c>
      <c r="AB5301">
        <v>19</v>
      </c>
      <c r="AC5301">
        <v>15.2677999999999</v>
      </c>
      <c r="AD5301">
        <v>-1.1115201955980001</v>
      </c>
      <c r="AE5301">
        <v>-0.23843999999999699</v>
      </c>
      <c r="AF5301">
        <v>-2.1703360116729198</v>
      </c>
      <c r="AG5301">
        <v>-1.1115201955980001</v>
      </c>
      <c r="AH5301">
        <v>15.0333216390442</v>
      </c>
      <c r="AI5301">
        <v>94.18535493681</v>
      </c>
      <c r="AJ5301">
        <v>98.214939059645104</v>
      </c>
      <c r="AK5301">
        <v>15.229793007514701</v>
      </c>
      <c r="AL5301">
        <v>80.517438929107897</v>
      </c>
      <c r="AM5301">
        <v>95.089218186991104</v>
      </c>
      <c r="AN5301">
        <v>0.99999996542554004</v>
      </c>
    </row>
    <row r="5302" spans="1:40" x14ac:dyDescent="0.25">
      <c r="A5302" t="str">
        <f>"20190312172516604"</f>
        <v>20190312172516604</v>
      </c>
      <c r="B5302" t="str">
        <f>"1552382716596404"</f>
        <v>1552382716596404</v>
      </c>
      <c r="C5302" t="s">
        <v>40</v>
      </c>
      <c r="D5302">
        <v>4.097906</v>
      </c>
      <c r="E5302">
        <v>0.47892620000000002</v>
      </c>
      <c r="F5302" t="s">
        <v>53</v>
      </c>
      <c r="G5302">
        <v>-363.7047</v>
      </c>
      <c r="H5302" s="1">
        <v>-3.2766940000000002E-6</v>
      </c>
      <c r="I5302">
        <v>17.922639999999902</v>
      </c>
      <c r="J5302">
        <v>-379.06459999999998</v>
      </c>
      <c r="K5302">
        <v>1.111551</v>
      </c>
      <c r="L5302">
        <v>18.071169999999999</v>
      </c>
      <c r="M5302">
        <v>0.98754509999999995</v>
      </c>
      <c r="N5302">
        <v>0</v>
      </c>
      <c r="O5302">
        <v>-0.15682009999999999</v>
      </c>
      <c r="P5302">
        <v>0.98590520000000004</v>
      </c>
      <c r="Q5302">
        <v>0.15249579999999999</v>
      </c>
      <c r="R5302">
        <v>-6.8824109999999994E-2</v>
      </c>
      <c r="S5302">
        <v>3.075043</v>
      </c>
      <c r="T5302">
        <v>-0.22098019999999999</v>
      </c>
      <c r="U5302">
        <v>-3.259277E-2</v>
      </c>
      <c r="V5302">
        <v>-8.7253960000000005E-2</v>
      </c>
      <c r="W5302">
        <v>0.1647168</v>
      </c>
      <c r="X5302">
        <v>0.98247399999999996</v>
      </c>
      <c r="Y5302">
        <v>-0.14557979999999901</v>
      </c>
      <c r="Z5302">
        <v>1.6442129999999999E-2</v>
      </c>
      <c r="AA5302">
        <v>0.98920989999999998</v>
      </c>
      <c r="AB5302">
        <v>19</v>
      </c>
      <c r="AC5302">
        <v>15.3598999999999</v>
      </c>
      <c r="AD5302">
        <v>-1.1115542766940001</v>
      </c>
      <c r="AE5302">
        <v>-0.14853000000000399</v>
      </c>
      <c r="AF5302">
        <v>-2.2504597684341801</v>
      </c>
      <c r="AG5302">
        <v>-1.1115542766940001</v>
      </c>
      <c r="AH5302">
        <v>15.113973322301399</v>
      </c>
      <c r="AI5302">
        <v>94.160529473523397</v>
      </c>
      <c r="AJ5302">
        <v>98.469076920569705</v>
      </c>
      <c r="AK5302">
        <v>15.320976198226299</v>
      </c>
      <c r="AL5302">
        <v>80.519216978684298</v>
      </c>
      <c r="AM5302">
        <v>95.075148956026098</v>
      </c>
      <c r="AN5302">
        <v>1.00000001920696</v>
      </c>
    </row>
    <row r="5303" spans="1:40" x14ac:dyDescent="0.25">
      <c r="A5303" t="str">
        <f>"20190312172516616"</f>
        <v>20190312172516616</v>
      </c>
      <c r="B5303" t="str">
        <f>"1552382716606165"</f>
        <v>1552382716606165</v>
      </c>
      <c r="C5303" t="s">
        <v>40</v>
      </c>
      <c r="D5303">
        <v>4.1024500000000002</v>
      </c>
      <c r="E5303">
        <v>0.478408</v>
      </c>
      <c r="F5303" t="s">
        <v>53</v>
      </c>
      <c r="G5303">
        <v>-363.48140000000001</v>
      </c>
      <c r="H5303" s="1">
        <v>-3.3772699999999999E-6</v>
      </c>
      <c r="I5303">
        <v>17.950859999999999</v>
      </c>
      <c r="J5303">
        <v>-378.96089999999998</v>
      </c>
      <c r="K5303">
        <v>1.1115729999999999</v>
      </c>
      <c r="L5303">
        <v>18.05649</v>
      </c>
      <c r="M5303">
        <v>0.98777809999999999</v>
      </c>
      <c r="N5303">
        <v>0</v>
      </c>
      <c r="O5303">
        <v>-0.15534719999999999</v>
      </c>
      <c r="P5303">
        <v>0.98602599999999996</v>
      </c>
      <c r="Q5303">
        <v>0.1522703</v>
      </c>
      <c r="R5303">
        <v>-6.7576670000000005E-2</v>
      </c>
      <c r="S5303">
        <v>3.0752259999999998</v>
      </c>
      <c r="T5303">
        <v>-0.2193561</v>
      </c>
      <c r="U5303">
        <v>-2.3742679999999999E-2</v>
      </c>
      <c r="V5303">
        <v>-8.7035619999999994E-2</v>
      </c>
      <c r="W5303">
        <v>0.16446329999999901</v>
      </c>
      <c r="X5303">
        <v>0.98253579999999996</v>
      </c>
      <c r="Y5303">
        <v>-0.14696310000000001</v>
      </c>
      <c r="Z5303">
        <v>1.6266820000000001E-2</v>
      </c>
      <c r="AA5303">
        <v>0.9890082</v>
      </c>
      <c r="AB5303">
        <v>19</v>
      </c>
      <c r="AC5303">
        <v>15.4794999999999</v>
      </c>
      <c r="AD5303">
        <v>-1.11157637727</v>
      </c>
      <c r="AE5303">
        <v>-0.105629999999997</v>
      </c>
      <c r="AF5303">
        <v>-2.2887423417054298</v>
      </c>
      <c r="AG5303">
        <v>-1.11157637727</v>
      </c>
      <c r="AH5303">
        <v>15.2294292562643</v>
      </c>
      <c r="AI5303">
        <v>94.128345636644895</v>
      </c>
      <c r="AJ5303">
        <v>98.546689168679606</v>
      </c>
      <c r="AK5303">
        <v>15.440513560784799</v>
      </c>
      <c r="AL5303">
        <v>80.533941975928599</v>
      </c>
      <c r="AM5303">
        <v>95.062198461726098</v>
      </c>
      <c r="AN5303">
        <v>0.99999998723865702</v>
      </c>
    </row>
    <row r="5304" spans="1:40" x14ac:dyDescent="0.25">
      <c r="A5304" t="str">
        <f>"20190312172516629"</f>
        <v>20190312172516629</v>
      </c>
      <c r="B5304" t="str">
        <f>"1552382716625685"</f>
        <v>1552382716625685</v>
      </c>
      <c r="C5304" t="s">
        <v>40</v>
      </c>
      <c r="D5304">
        <v>4.2752800000000004</v>
      </c>
      <c r="E5304">
        <v>0.47763679999999997</v>
      </c>
      <c r="F5304" t="s">
        <v>53</v>
      </c>
      <c r="G5304">
        <v>-363.3279</v>
      </c>
      <c r="H5304" s="1">
        <v>-3.4450189999999999E-6</v>
      </c>
      <c r="I5304">
        <v>17.977989999999998</v>
      </c>
      <c r="J5304">
        <v>-378.85480000000001</v>
      </c>
      <c r="K5304">
        <v>1.1115790000000001</v>
      </c>
      <c r="L5304">
        <v>18.04166</v>
      </c>
      <c r="M5304">
        <v>0.98799820000000005</v>
      </c>
      <c r="N5304">
        <v>0</v>
      </c>
      <c r="O5304">
        <v>-0.153948</v>
      </c>
      <c r="P5304">
        <v>0.98608709999999999</v>
      </c>
      <c r="Q5304">
        <v>0.15235889999999999</v>
      </c>
      <c r="R5304">
        <v>-6.6478079999999995E-2</v>
      </c>
      <c r="S5304">
        <v>3.075256</v>
      </c>
      <c r="T5304">
        <v>-0.2186642</v>
      </c>
      <c r="U5304">
        <v>-1.544189E-2</v>
      </c>
      <c r="V5304">
        <v>-8.673517E-2</v>
      </c>
      <c r="W5304">
        <v>0.1644727</v>
      </c>
      <c r="X5304">
        <v>0.98256080000000001</v>
      </c>
      <c r="Y5304">
        <v>-0.14823639999999999</v>
      </c>
      <c r="Z5304">
        <v>1.6162949999999999E-2</v>
      </c>
      <c r="AA5304">
        <v>0.98881980000000003</v>
      </c>
      <c r="AB5304">
        <v>19</v>
      </c>
      <c r="AC5304">
        <v>15.526899999999999</v>
      </c>
      <c r="AD5304">
        <v>-1.1115824450189999</v>
      </c>
      <c r="AE5304">
        <v>-6.3670000000001795E-2</v>
      </c>
      <c r="AF5304">
        <v>-2.3157465247822699</v>
      </c>
      <c r="AG5304">
        <v>-1.1115824450189999</v>
      </c>
      <c r="AH5304">
        <v>15.273298058806599</v>
      </c>
      <c r="AI5304">
        <v>94.115742114715204</v>
      </c>
      <c r="AJ5304">
        <v>98.6215539248807</v>
      </c>
      <c r="AK5304">
        <v>15.487799427041301</v>
      </c>
      <c r="AL5304">
        <v>80.533396007851394</v>
      </c>
      <c r="AM5304">
        <v>95.044686211040201</v>
      </c>
      <c r="AN5304">
        <v>0.99999999222842895</v>
      </c>
    </row>
    <row r="5305" spans="1:40" x14ac:dyDescent="0.25">
      <c r="A5305" t="str">
        <f>"20190312172516649"</f>
        <v>20190312172516649</v>
      </c>
      <c r="B5305" t="str">
        <f>"1552382716635443"</f>
        <v>1552382716635443</v>
      </c>
      <c r="C5305" t="s">
        <v>40</v>
      </c>
      <c r="D5305">
        <v>4.0744959999999999</v>
      </c>
      <c r="E5305">
        <v>0.47739989999999999</v>
      </c>
      <c r="F5305" t="s">
        <v>53</v>
      </c>
      <c r="G5305">
        <v>-363.04689999999999</v>
      </c>
      <c r="H5305" s="1">
        <v>-3.571721E-6</v>
      </c>
      <c r="I5305">
        <v>18.01248</v>
      </c>
      <c r="J5305">
        <v>-378.68689999999998</v>
      </c>
      <c r="K5305">
        <v>1.111524</v>
      </c>
      <c r="L5305">
        <v>18.018519999999999</v>
      </c>
      <c r="M5305">
        <v>0.98834370000000005</v>
      </c>
      <c r="N5305">
        <v>0</v>
      </c>
      <c r="O5305">
        <v>-0.15172569999999999</v>
      </c>
      <c r="P5305">
        <v>0.98618969999999995</v>
      </c>
      <c r="Q5305">
        <v>0.1523919</v>
      </c>
      <c r="R5305">
        <v>-6.4858360000000004E-2</v>
      </c>
      <c r="S5305">
        <v>3.075348</v>
      </c>
      <c r="T5305">
        <v>-0.21625220000000001</v>
      </c>
      <c r="U5305">
        <v>-5.6762699999999998E-3</v>
      </c>
      <c r="V5305">
        <v>-8.6119459999999995E-2</v>
      </c>
      <c r="W5305">
        <v>0.16438050000000001</v>
      </c>
      <c r="X5305">
        <v>0.98263040000000001</v>
      </c>
      <c r="Y5305">
        <v>-0.1491721</v>
      </c>
      <c r="Z5305">
        <v>1.5863530000000001E-2</v>
      </c>
      <c r="AA5305">
        <v>0.98868400000000001</v>
      </c>
      <c r="AB5305">
        <v>19</v>
      </c>
      <c r="AC5305">
        <v>15.639999999999899</v>
      </c>
      <c r="AD5305">
        <v>-1.111527571721</v>
      </c>
      <c r="AE5305">
        <v>-6.0400000000022597E-3</v>
      </c>
      <c r="AF5305">
        <v>-2.3553086738734899</v>
      </c>
      <c r="AG5305">
        <v>-1.111527571721</v>
      </c>
      <c r="AH5305">
        <v>15.3821248904299</v>
      </c>
      <c r="AI5305">
        <v>94.085612486144996</v>
      </c>
      <c r="AJ5305">
        <v>98.7055059286442</v>
      </c>
      <c r="AK5305">
        <v>15.6010492799908</v>
      </c>
      <c r="AL5305">
        <v>80.5387517087281</v>
      </c>
      <c r="AM5305">
        <v>95.008705168432797</v>
      </c>
      <c r="AN5305">
        <v>1.0000000065875501</v>
      </c>
    </row>
    <row r="5306" spans="1:40" x14ac:dyDescent="0.25">
      <c r="A5306" t="str">
        <f>"20190312172516663"</f>
        <v>20190312172516663</v>
      </c>
      <c r="B5306" t="str">
        <f>"1552382716655939"</f>
        <v>1552382716655939</v>
      </c>
      <c r="C5306" t="s">
        <v>40</v>
      </c>
      <c r="D5306">
        <v>4.1072749999999996</v>
      </c>
      <c r="E5306">
        <v>0.4771186</v>
      </c>
      <c r="F5306" t="s">
        <v>53</v>
      </c>
      <c r="G5306">
        <v>-362.77050000000003</v>
      </c>
      <c r="H5306" s="1">
        <v>-3.6997700000000002E-6</v>
      </c>
      <c r="I5306">
        <v>18.02721</v>
      </c>
      <c r="J5306">
        <v>-378.56880000000001</v>
      </c>
      <c r="K5306">
        <v>1.111437</v>
      </c>
      <c r="L5306">
        <v>18.00244</v>
      </c>
      <c r="M5306">
        <v>0.98860440000000005</v>
      </c>
      <c r="N5306">
        <v>0</v>
      </c>
      <c r="O5306">
        <v>-0.15002170000000001</v>
      </c>
      <c r="P5306">
        <v>0.98627529999999997</v>
      </c>
      <c r="Q5306">
        <v>0.1524742</v>
      </c>
      <c r="R5306">
        <v>-6.3348760000000004E-2</v>
      </c>
      <c r="S5306">
        <v>3.0753170000000001</v>
      </c>
      <c r="T5306">
        <v>-0.21476609999999999</v>
      </c>
      <c r="U5306">
        <v>1.6784669999999999E-3</v>
      </c>
      <c r="V5306">
        <v>-8.5896570000000005E-2</v>
      </c>
      <c r="W5306">
        <v>0.16443459999999999</v>
      </c>
      <c r="X5306">
        <v>0.98264090000000004</v>
      </c>
      <c r="Y5306">
        <v>-0.14984459999999999</v>
      </c>
      <c r="Z5306">
        <v>1.5661049999999999E-2</v>
      </c>
      <c r="AA5306">
        <v>0.98858550000000001</v>
      </c>
      <c r="AB5306">
        <v>19</v>
      </c>
      <c r="AC5306">
        <v>15.7982999999999</v>
      </c>
      <c r="AD5306">
        <v>-1.1114406997699999</v>
      </c>
      <c r="AE5306">
        <v>2.4770000000000101E-2</v>
      </c>
      <c r="AF5306">
        <v>-2.38296674321044</v>
      </c>
      <c r="AG5306">
        <v>-1.1114406997699999</v>
      </c>
      <c r="AH5306">
        <v>15.5388540987627</v>
      </c>
      <c r="AI5306">
        <v>94.044084125542298</v>
      </c>
      <c r="AJ5306">
        <v>98.718690649833903</v>
      </c>
      <c r="AK5306">
        <v>15.7597530954958</v>
      </c>
      <c r="AL5306">
        <v>80.535609645219296</v>
      </c>
      <c r="AM5306">
        <v>94.995754468589695</v>
      </c>
      <c r="AN5306">
        <v>1.00000004838386</v>
      </c>
    </row>
    <row r="5307" spans="1:40" x14ac:dyDescent="0.25">
      <c r="A5307" t="str">
        <f>"20190312172516682"</f>
        <v>20190312172516682</v>
      </c>
      <c r="B5307" t="str">
        <f>"1552382716675460"</f>
        <v>1552382716675460</v>
      </c>
      <c r="C5307" t="s">
        <v>40</v>
      </c>
      <c r="D5307">
        <v>4.080349</v>
      </c>
      <c r="E5307">
        <v>0.47661019999999998</v>
      </c>
      <c r="F5307" t="s">
        <v>53</v>
      </c>
      <c r="G5307">
        <v>-362.46749999999997</v>
      </c>
      <c r="H5307" s="1">
        <v>-3.8394970000000004E-6</v>
      </c>
      <c r="I5307">
        <v>18.046859999999999</v>
      </c>
      <c r="J5307">
        <v>-378.40890000000002</v>
      </c>
      <c r="K5307">
        <v>1.1112899999999999</v>
      </c>
      <c r="L5307">
        <v>17.98096</v>
      </c>
      <c r="M5307">
        <v>0.98899389999999998</v>
      </c>
      <c r="N5307">
        <v>0</v>
      </c>
      <c r="O5307">
        <v>-0.14742849999999999</v>
      </c>
      <c r="P5307">
        <v>0.98648939999999996</v>
      </c>
      <c r="Q5307">
        <v>0.1519963</v>
      </c>
      <c r="R5307">
        <v>-6.1120109999999998E-2</v>
      </c>
      <c r="S5307">
        <v>3.0751040000000001</v>
      </c>
      <c r="T5307">
        <v>-0.21226780000000001</v>
      </c>
      <c r="U5307">
        <v>8.4838869999999903E-3</v>
      </c>
      <c r="V5307">
        <v>-8.5490280000000002E-2</v>
      </c>
      <c r="W5307">
        <v>0.16401459999999901</v>
      </c>
      <c r="X5307">
        <v>0.98274649999999997</v>
      </c>
      <c r="Y5307">
        <v>-0.1494636</v>
      </c>
      <c r="Z5307">
        <v>1.5290339999999999E-2</v>
      </c>
      <c r="AA5307">
        <v>0.988649</v>
      </c>
      <c r="AB5307">
        <v>19</v>
      </c>
      <c r="AC5307">
        <v>15.9414</v>
      </c>
      <c r="AD5307">
        <v>-1.11129383949699</v>
      </c>
      <c r="AE5307">
        <v>6.5900000000002706E-2</v>
      </c>
      <c r="AF5307">
        <v>-2.4038977938070598</v>
      </c>
      <c r="AG5307">
        <v>-1.11129383949699</v>
      </c>
      <c r="AH5307">
        <v>15.6812560890704</v>
      </c>
      <c r="AI5307">
        <v>94.006986674333604</v>
      </c>
      <c r="AJ5307">
        <v>98.715452582240502</v>
      </c>
      <c r="AK5307">
        <v>15.903316985200901</v>
      </c>
      <c r="AL5307">
        <v>80.560004915287394</v>
      </c>
      <c r="AM5307">
        <v>94.971711726165793</v>
      </c>
      <c r="AN5307">
        <v>1.0000000301249401</v>
      </c>
    </row>
    <row r="5308" spans="1:40" x14ac:dyDescent="0.25">
      <c r="A5308" t="str">
        <f>"20190312172516694"</f>
        <v>20190312172516694</v>
      </c>
      <c r="B5308" t="str">
        <f>"1552382716686196"</f>
        <v>1552382716686196</v>
      </c>
      <c r="C5308" t="s">
        <v>40</v>
      </c>
      <c r="D5308">
        <v>4.3041179999999999</v>
      </c>
      <c r="E5308">
        <v>0.47653459999999997</v>
      </c>
      <c r="F5308" t="s">
        <v>53</v>
      </c>
      <c r="G5308">
        <v>-362.40339999999998</v>
      </c>
      <c r="H5308" s="1">
        <v>-3.8633559999999998E-6</v>
      </c>
      <c r="I5308">
        <v>18.08325</v>
      </c>
      <c r="J5308">
        <v>-378.30419999999998</v>
      </c>
      <c r="K5308">
        <v>1.1112489999999999</v>
      </c>
      <c r="L5308">
        <v>17.967129999999901</v>
      </c>
      <c r="M5308">
        <v>0.98925209999999997</v>
      </c>
      <c r="N5308">
        <v>0</v>
      </c>
      <c r="O5308">
        <v>-0.14568610000000001</v>
      </c>
      <c r="P5308">
        <v>0.98657470000000003</v>
      </c>
      <c r="Q5308">
        <v>0.15202199999999999</v>
      </c>
      <c r="R5308">
        <v>-5.9663130000000002E-2</v>
      </c>
      <c r="S5308">
        <v>3.0751949999999999</v>
      </c>
      <c r="T5308">
        <v>-0.21351609999999999</v>
      </c>
      <c r="U5308">
        <v>1.9653319999999998E-2</v>
      </c>
      <c r="V5308">
        <v>-8.518974E-2</v>
      </c>
      <c r="W5308">
        <v>0.16405829999999999</v>
      </c>
      <c r="X5308">
        <v>0.98276529999999995</v>
      </c>
      <c r="Y5308">
        <v>-0.15130379999999999</v>
      </c>
      <c r="Z5308">
        <v>1.532408E-2</v>
      </c>
      <c r="AA5308">
        <v>0.98836849999999998</v>
      </c>
      <c r="AB5308">
        <v>19</v>
      </c>
      <c r="AC5308">
        <v>15.9008</v>
      </c>
      <c r="AD5308">
        <v>-1.1112528633559999</v>
      </c>
      <c r="AE5308">
        <v>0.116120000000002</v>
      </c>
      <c r="AF5308">
        <v>-2.4197691193183499</v>
      </c>
      <c r="AG5308">
        <v>-1.1112528633559999</v>
      </c>
      <c r="AH5308">
        <v>15.6378339930531</v>
      </c>
      <c r="AI5308">
        <v>94.017061057542705</v>
      </c>
      <c r="AJ5308">
        <v>98.796080124229704</v>
      </c>
      <c r="AK5308">
        <v>15.8629132731479</v>
      </c>
      <c r="AL5308">
        <v>80.557466670950404</v>
      </c>
      <c r="AM5308">
        <v>94.954226576522103</v>
      </c>
      <c r="AN5308">
        <v>1.00000002624212</v>
      </c>
    </row>
    <row r="5309" spans="1:40" x14ac:dyDescent="0.25">
      <c r="A5309" t="str">
        <f>"20190312172516706"</f>
        <v>20190312172516706</v>
      </c>
      <c r="B5309" t="str">
        <f>"1552382716695957"</f>
        <v>1552382716695957</v>
      </c>
      <c r="C5309" t="s">
        <v>40</v>
      </c>
      <c r="D5309">
        <v>4.1292989999999996</v>
      </c>
      <c r="E5309">
        <v>0.47649069999999999</v>
      </c>
      <c r="F5309" t="s">
        <v>53</v>
      </c>
      <c r="G5309">
        <v>-362.21460000000002</v>
      </c>
      <c r="H5309" s="1">
        <v>-3.9500469999999997E-6</v>
      </c>
      <c r="I5309">
        <v>18.09759</v>
      </c>
      <c r="J5309">
        <v>-378.19880000000001</v>
      </c>
      <c r="K5309">
        <v>1.1112229999999901</v>
      </c>
      <c r="L5309">
        <v>17.953309999999998</v>
      </c>
      <c r="M5309">
        <v>0.98950070000000001</v>
      </c>
      <c r="N5309">
        <v>0</v>
      </c>
      <c r="O5309">
        <v>-0.14398939999999999</v>
      </c>
      <c r="P5309">
        <v>0.98662499999999997</v>
      </c>
      <c r="Q5309">
        <v>0.15227789999999999</v>
      </c>
      <c r="R5309">
        <v>-5.8164140000000003E-2</v>
      </c>
      <c r="S5309">
        <v>3.075043</v>
      </c>
      <c r="T5309">
        <v>-0.2123826</v>
      </c>
      <c r="U5309">
        <v>2.4932860000000001E-2</v>
      </c>
      <c r="V5309">
        <v>-8.4983710000000004E-2</v>
      </c>
      <c r="W5309">
        <v>0.16430899999999901</v>
      </c>
      <c r="X5309">
        <v>0.98274119999999998</v>
      </c>
      <c r="Y5309">
        <v>-0.15131739999999999</v>
      </c>
      <c r="Z5309">
        <v>1.512821E-2</v>
      </c>
      <c r="AA5309">
        <v>0.98836950000000001</v>
      </c>
      <c r="AB5309">
        <v>19</v>
      </c>
      <c r="AC5309">
        <v>15.9841999999999</v>
      </c>
      <c r="AD5309">
        <v>-1.11122695004699</v>
      </c>
      <c r="AE5309">
        <v>0.14427999999999799</v>
      </c>
      <c r="AF5309">
        <v>-2.4327537670016</v>
      </c>
      <c r="AG5309">
        <v>-1.11122695004699</v>
      </c>
      <c r="AH5309">
        <v>15.7208559784205</v>
      </c>
      <c r="AI5309">
        <v>93.995817663201294</v>
      </c>
      <c r="AJ5309">
        <v>98.796571246820605</v>
      </c>
      <c r="AK5309">
        <v>15.9467372499709</v>
      </c>
      <c r="AL5309">
        <v>80.542904499920496</v>
      </c>
      <c r="AM5309">
        <v>94.942424879014197</v>
      </c>
      <c r="AN5309">
        <v>0.99999997231190096</v>
      </c>
    </row>
    <row r="5310" spans="1:40" x14ac:dyDescent="0.25">
      <c r="A5310" t="str">
        <f>"20190312172516718"</f>
        <v>20190312172516718</v>
      </c>
      <c r="B5310" t="str">
        <f>"1552382716705716"</f>
        <v>1552382716705716</v>
      </c>
      <c r="C5310" t="s">
        <v>40</v>
      </c>
      <c r="D5310">
        <v>4.133464</v>
      </c>
      <c r="E5310">
        <v>0.47636240000000002</v>
      </c>
      <c r="F5310" t="s">
        <v>53</v>
      </c>
      <c r="G5310">
        <v>-361.96879999999999</v>
      </c>
      <c r="H5310" s="1">
        <v>-4.0637609999999999E-6</v>
      </c>
      <c r="I5310">
        <v>18.11148</v>
      </c>
      <c r="J5310">
        <v>-378.09859999999998</v>
      </c>
      <c r="K5310">
        <v>1.1112299999999999</v>
      </c>
      <c r="L5310">
        <v>17.940339999999999</v>
      </c>
      <c r="M5310">
        <v>0.98972329999999997</v>
      </c>
      <c r="N5310">
        <v>0</v>
      </c>
      <c r="O5310">
        <v>-0.142454</v>
      </c>
      <c r="P5310">
        <v>0.98667519999999997</v>
      </c>
      <c r="Q5310">
        <v>0.1524557</v>
      </c>
      <c r="R5310">
        <v>-5.6831060000000003E-2</v>
      </c>
      <c r="S5310">
        <v>3.0749209999999998</v>
      </c>
      <c r="T5310">
        <v>-0.21053240000000001</v>
      </c>
      <c r="U5310">
        <v>2.996826E-2</v>
      </c>
      <c r="V5310">
        <v>-8.4788580000000002E-2</v>
      </c>
      <c r="W5310">
        <v>0.16445199999999999</v>
      </c>
      <c r="X5310">
        <v>0.98273410000000005</v>
      </c>
      <c r="Y5310">
        <v>-0.15141789999999999</v>
      </c>
      <c r="Z5310">
        <v>1.489672E-2</v>
      </c>
      <c r="AA5310">
        <v>0.98835759999999995</v>
      </c>
      <c r="AB5310">
        <v>19</v>
      </c>
      <c r="AC5310">
        <v>16.1297999999999</v>
      </c>
      <c r="AD5310">
        <v>-1.1112340637610001</v>
      </c>
      <c r="AE5310">
        <v>0.17114000000000101</v>
      </c>
      <c r="AF5310">
        <v>-2.4556725733285401</v>
      </c>
      <c r="AG5310">
        <v>-1.1112340637610001</v>
      </c>
      <c r="AH5310">
        <v>15.8655979084234</v>
      </c>
      <c r="AI5310">
        <v>93.9594859769782</v>
      </c>
      <c r="AJ5310">
        <v>98.798406763048604</v>
      </c>
      <c r="AK5310">
        <v>16.092929066010001</v>
      </c>
      <c r="AL5310">
        <v>80.534597879834294</v>
      </c>
      <c r="AM5310">
        <v>94.931168110778302</v>
      </c>
      <c r="AN5310">
        <v>0.99999993745261095</v>
      </c>
    </row>
    <row r="5311" spans="1:40" x14ac:dyDescent="0.25">
      <c r="A5311" t="str">
        <f>"20190312172516731"</f>
        <v>20190312172516731</v>
      </c>
      <c r="B5311" t="str">
        <f>"1552382716726212"</f>
        <v>1552382716726212</v>
      </c>
      <c r="C5311" t="s">
        <v>40</v>
      </c>
      <c r="D5311">
        <v>4.2695790000000002</v>
      </c>
      <c r="E5311">
        <v>0.4760317</v>
      </c>
      <c r="F5311" t="s">
        <v>53</v>
      </c>
      <c r="G5311">
        <v>-361.80250000000001</v>
      </c>
      <c r="H5311" s="1">
        <v>-4.1394499999999998E-6</v>
      </c>
      <c r="I5311">
        <v>18.12811</v>
      </c>
      <c r="J5311">
        <v>-377.99509999999998</v>
      </c>
      <c r="K5311">
        <v>1.111262</v>
      </c>
      <c r="L5311">
        <v>17.927150000000001</v>
      </c>
      <c r="M5311">
        <v>0.98993249999999999</v>
      </c>
      <c r="N5311">
        <v>0</v>
      </c>
      <c r="O5311">
        <v>-0.14099719999999999</v>
      </c>
      <c r="P5311">
        <v>0.9866798</v>
      </c>
      <c r="Q5311">
        <v>0.1527664</v>
      </c>
      <c r="R5311">
        <v>-5.5907470000000001E-2</v>
      </c>
      <c r="S5311">
        <v>3.074951</v>
      </c>
      <c r="T5311">
        <v>-0.20968100000000001</v>
      </c>
      <c r="U5311">
        <v>3.5430910000000003E-2</v>
      </c>
      <c r="V5311">
        <v>-8.4270349999999994E-2</v>
      </c>
      <c r="W5311">
        <v>0.1647121</v>
      </c>
      <c r="X5311">
        <v>0.98273520000000003</v>
      </c>
      <c r="Y5311">
        <v>-0.1517269</v>
      </c>
      <c r="Z5311">
        <v>1.474865E-2</v>
      </c>
      <c r="AA5311">
        <v>0.98831239999999998</v>
      </c>
      <c r="AB5311">
        <v>19</v>
      </c>
      <c r="AC5311">
        <v>16.192599999999899</v>
      </c>
      <c r="AD5311">
        <v>-1.1112661394499901</v>
      </c>
      <c r="AE5311">
        <v>0.200959999999998</v>
      </c>
      <c r="AF5311">
        <v>-2.47060426041952</v>
      </c>
      <c r="AG5311">
        <v>-1.1112661394499901</v>
      </c>
      <c r="AH5311">
        <v>15.9274701824398</v>
      </c>
      <c r="AI5311">
        <v>93.944066954537902</v>
      </c>
      <c r="AJ5311">
        <v>98.8172190202839</v>
      </c>
      <c r="AK5311">
        <v>16.1562094643763</v>
      </c>
      <c r="AL5311">
        <v>80.5194900107563</v>
      </c>
      <c r="AM5311">
        <v>94.9011704846356</v>
      </c>
      <c r="AN5311">
        <v>1.0000000205472801</v>
      </c>
    </row>
    <row r="5312" spans="1:40" x14ac:dyDescent="0.25">
      <c r="A5312" t="str">
        <f>"20190312172516748"</f>
        <v>20190312172516748</v>
      </c>
      <c r="B5312" t="str">
        <f>"1552382716735972"</f>
        <v>1552382716735972</v>
      </c>
      <c r="C5312" t="s">
        <v>40</v>
      </c>
      <c r="D5312">
        <v>4.1393269999999998</v>
      </c>
      <c r="E5312">
        <v>0.47593580000000002</v>
      </c>
      <c r="F5312" t="s">
        <v>53</v>
      </c>
      <c r="G5312">
        <v>-361.62490000000003</v>
      </c>
      <c r="H5312" s="1">
        <v>-4.2199809999999999E-6</v>
      </c>
      <c r="I5312">
        <v>18.147279999999999</v>
      </c>
      <c r="J5312">
        <v>-377.84690000000001</v>
      </c>
      <c r="K5312">
        <v>1.1113280000000001</v>
      </c>
      <c r="L5312">
        <v>17.908570000000001</v>
      </c>
      <c r="M5312">
        <v>0.99021369999999997</v>
      </c>
      <c r="N5312">
        <v>0</v>
      </c>
      <c r="O5312">
        <v>-0.1390141</v>
      </c>
      <c r="P5312">
        <v>0.98668750000000005</v>
      </c>
      <c r="Q5312">
        <v>0.15318419999999999</v>
      </c>
      <c r="R5312">
        <v>-5.461411E-2</v>
      </c>
      <c r="S5312">
        <v>3.0751949999999999</v>
      </c>
      <c r="T5312">
        <v>-0.208755</v>
      </c>
      <c r="U5312">
        <v>4.1351319999999997E-2</v>
      </c>
      <c r="V5312">
        <v>-8.3606089999999994E-2</v>
      </c>
      <c r="W5312">
        <v>0.1650578</v>
      </c>
      <c r="X5312">
        <v>0.98273390000000005</v>
      </c>
      <c r="Y5312">
        <v>-0.1516595</v>
      </c>
      <c r="Z5312">
        <v>1.454683E-2</v>
      </c>
      <c r="AA5312">
        <v>0.98832580000000003</v>
      </c>
      <c r="AB5312">
        <v>19</v>
      </c>
      <c r="AC5312">
        <v>16.221999999999898</v>
      </c>
      <c r="AD5312">
        <v>-1.1113322199810001</v>
      </c>
      <c r="AE5312">
        <v>0.23870999999999701</v>
      </c>
      <c r="AF5312">
        <v>-2.4800129571210698</v>
      </c>
      <c r="AG5312">
        <v>-1.1113322199810001</v>
      </c>
      <c r="AH5312">
        <v>15.956408155579201</v>
      </c>
      <c r="AI5312">
        <v>93.936986545341796</v>
      </c>
      <c r="AJ5312">
        <v>98.834469557903802</v>
      </c>
      <c r="AK5312">
        <v>16.186181909211701</v>
      </c>
      <c r="AL5312">
        <v>80.499407671180194</v>
      </c>
      <c r="AM5312">
        <v>94.862729451175298</v>
      </c>
      <c r="AN5312">
        <v>0.99999998691756897</v>
      </c>
    </row>
    <row r="5313" spans="1:40" x14ac:dyDescent="0.25">
      <c r="A5313" t="str">
        <f>"20190312172516770"</f>
        <v>20190312172516770</v>
      </c>
      <c r="B5313" t="str">
        <f>"1552382716766228"</f>
        <v>1552382716766228</v>
      </c>
      <c r="C5313" t="s">
        <v>40</v>
      </c>
      <c r="D5313">
        <v>4.0963900000000004</v>
      </c>
      <c r="E5313">
        <v>0.47577950000000002</v>
      </c>
      <c r="F5313" t="s">
        <v>53</v>
      </c>
      <c r="G5313">
        <v>-361.33760000000001</v>
      </c>
      <c r="H5313" s="1">
        <v>-4.353129E-6</v>
      </c>
      <c r="I5313">
        <v>18.162179999999999</v>
      </c>
      <c r="J5313">
        <v>-377.66180000000003</v>
      </c>
      <c r="K5313">
        <v>1.1113919999999999</v>
      </c>
      <c r="L5313">
        <v>17.885829999999999</v>
      </c>
      <c r="M5313">
        <v>0.99054900000000001</v>
      </c>
      <c r="N5313">
        <v>0</v>
      </c>
      <c r="O5313">
        <v>-0.13660829999999999</v>
      </c>
      <c r="P5313">
        <v>0.98684539999999998</v>
      </c>
      <c r="Q5313">
        <v>0.15278539999999999</v>
      </c>
      <c r="R5313">
        <v>-5.2850179999999997E-2</v>
      </c>
      <c r="S5313">
        <v>3.0751949999999999</v>
      </c>
      <c r="T5313">
        <v>-0.20700879999999999</v>
      </c>
      <c r="U5313">
        <v>4.7241209999999999E-2</v>
      </c>
      <c r="V5313">
        <v>-8.3001899999999906E-2</v>
      </c>
      <c r="W5313">
        <v>0.16460159999999999</v>
      </c>
      <c r="X5313">
        <v>0.9828616</v>
      </c>
      <c r="Y5313">
        <v>-0.15116869999999999</v>
      </c>
      <c r="Z5313">
        <v>1.424835E-2</v>
      </c>
      <c r="AA5313">
        <v>0.98840530000000004</v>
      </c>
      <c r="AB5313">
        <v>19</v>
      </c>
      <c r="AC5313">
        <v>16.324200000000001</v>
      </c>
      <c r="AD5313">
        <v>-1.1113963531290001</v>
      </c>
      <c r="AE5313">
        <v>0.27634999999999998</v>
      </c>
      <c r="AF5313">
        <v>-2.4923986890916301</v>
      </c>
      <c r="AG5313">
        <v>-1.1113963531290001</v>
      </c>
      <c r="AH5313">
        <v>16.058969022641001</v>
      </c>
      <c r="AI5313">
        <v>93.912277205855304</v>
      </c>
      <c r="AJ5313">
        <v>98.822085643566496</v>
      </c>
      <c r="AK5313">
        <v>16.2891908684648</v>
      </c>
      <c r="AL5313">
        <v>80.525908258927004</v>
      </c>
      <c r="AM5313">
        <v>94.8271307240326</v>
      </c>
      <c r="AN5313">
        <v>0.99999996344036401</v>
      </c>
    </row>
    <row r="5314" spans="1:40" x14ac:dyDescent="0.25">
      <c r="A5314" t="str">
        <f>"20190312172516782"</f>
        <v>20190312172516782</v>
      </c>
      <c r="B5314" t="str">
        <f>"1552382716775989"</f>
        <v>1552382716775989</v>
      </c>
      <c r="C5314" t="s">
        <v>40</v>
      </c>
      <c r="D5314">
        <v>3.6112500000000001</v>
      </c>
      <c r="E5314">
        <v>0.47577950000000002</v>
      </c>
      <c r="F5314" t="s">
        <v>53</v>
      </c>
      <c r="G5314">
        <v>-361.2321</v>
      </c>
      <c r="H5314" s="1">
        <v>-4.4001999999999998E-6</v>
      </c>
      <c r="I5314">
        <v>18.17801</v>
      </c>
      <c r="J5314">
        <v>-377.55610000000001</v>
      </c>
      <c r="K5314">
        <v>1.1114170000000001</v>
      </c>
      <c r="L5314">
        <v>17.87302</v>
      </c>
      <c r="M5314">
        <v>0.99074110000000004</v>
      </c>
      <c r="N5314">
        <v>0</v>
      </c>
      <c r="O5314">
        <v>-0.13521029999999901</v>
      </c>
      <c r="P5314">
        <v>0.98693909999999996</v>
      </c>
      <c r="Q5314">
        <v>0.1525764</v>
      </c>
      <c r="R5314">
        <v>-5.1690590000000002E-2</v>
      </c>
      <c r="S5314">
        <v>3.0751949999999999</v>
      </c>
      <c r="T5314">
        <v>-0.20802380000000001</v>
      </c>
      <c r="U5314">
        <v>5.46875E-2</v>
      </c>
      <c r="V5314">
        <v>-8.2777320000000001E-2</v>
      </c>
      <c r="W5314">
        <v>0.16437389999999999</v>
      </c>
      <c r="X5314">
        <v>0.98291870000000003</v>
      </c>
      <c r="Y5314">
        <v>-0.15216089999999999</v>
      </c>
      <c r="Z5314">
        <v>1.4257809999999999E-2</v>
      </c>
      <c r="AA5314">
        <v>0.98825289999999999</v>
      </c>
      <c r="AB5314">
        <v>19</v>
      </c>
      <c r="AC5314">
        <v>16.324000000000002</v>
      </c>
      <c r="AD5314">
        <v>-1.1114214002</v>
      </c>
      <c r="AE5314">
        <v>0.30498999999999998</v>
      </c>
      <c r="AF5314">
        <v>-2.4979521742451301</v>
      </c>
      <c r="AG5314">
        <v>-1.1114214002</v>
      </c>
      <c r="AH5314">
        <v>16.0584177834542</v>
      </c>
      <c r="AI5314">
        <v>93.912291194470896</v>
      </c>
      <c r="AJ5314">
        <v>98.841731212126803</v>
      </c>
      <c r="AK5314">
        <v>16.289499817416001</v>
      </c>
      <c r="AL5314">
        <v>80.539135177482606</v>
      </c>
      <c r="AM5314">
        <v>94.813852971545799</v>
      </c>
      <c r="AN5314">
        <v>1.0000000172586401</v>
      </c>
    </row>
    <row r="5315" spans="1:40" x14ac:dyDescent="0.25">
      <c r="A5315" t="str">
        <f>"20190312172516870"</f>
        <v>20190312172516870</v>
      </c>
      <c r="B5315" t="str">
        <f>"1552382716865781"</f>
        <v>1552382716865781</v>
      </c>
      <c r="C5315" t="s">
        <v>40</v>
      </c>
      <c r="D5315">
        <v>3.2651439999999998</v>
      </c>
      <c r="E5315">
        <v>0.47765099999999999</v>
      </c>
      <c r="F5315" t="s">
        <v>53</v>
      </c>
      <c r="G5315">
        <v>-361.16980000000001</v>
      </c>
      <c r="H5315" s="1">
        <v>-4.428454E-6</v>
      </c>
      <c r="I5315">
        <v>18.184930000000001</v>
      </c>
      <c r="J5315">
        <v>-376.80619999999999</v>
      </c>
      <c r="K5315">
        <v>1.111483</v>
      </c>
      <c r="L5315">
        <v>17.78668</v>
      </c>
      <c r="M5315">
        <v>0.99215529999999996</v>
      </c>
      <c r="N5315">
        <v>0</v>
      </c>
      <c r="O5315">
        <v>-0.1244136</v>
      </c>
      <c r="P5315">
        <v>0.98753590000000002</v>
      </c>
      <c r="Q5315">
        <v>0.15137539999999999</v>
      </c>
      <c r="R5315">
        <v>-4.3111110000000001E-2</v>
      </c>
      <c r="S5315">
        <v>3.0749819999999999</v>
      </c>
      <c r="T5315">
        <v>-0.20856420000000001</v>
      </c>
      <c r="U5315">
        <v>5.8532710000000002E-2</v>
      </c>
      <c r="V5315">
        <v>-8.061256E-2</v>
      </c>
      <c r="W5315">
        <v>0.16313910000000001</v>
      </c>
      <c r="X5315">
        <v>0.98330430000000002</v>
      </c>
      <c r="Y5315">
        <v>-0.1426714</v>
      </c>
      <c r="Z5315">
        <v>1.3247149999999999E-2</v>
      </c>
      <c r="AA5315">
        <v>0.98968149999999999</v>
      </c>
      <c r="AB5315">
        <v>19</v>
      </c>
      <c r="AC5315">
        <v>15.636399999999901</v>
      </c>
      <c r="AD5315">
        <v>-1.1114874284539999</v>
      </c>
      <c r="AE5315">
        <v>0.398249999999997</v>
      </c>
      <c r="AF5315">
        <v>-2.3289211493847501</v>
      </c>
      <c r="AG5315">
        <v>-1.1114874284539999</v>
      </c>
      <c r="AH5315">
        <v>15.387641640144</v>
      </c>
      <c r="AI5315">
        <v>94.0850775560058</v>
      </c>
      <c r="AJ5315">
        <v>98.606403604354</v>
      </c>
      <c r="AK5315">
        <v>15.602525220910801</v>
      </c>
      <c r="AL5315">
        <v>80.6108524288219</v>
      </c>
      <c r="AM5315">
        <v>94.686701292737496</v>
      </c>
      <c r="AN5315">
        <v>1.0000000485885201</v>
      </c>
    </row>
    <row r="5316" spans="1:40" x14ac:dyDescent="0.25">
      <c r="A5316" t="str">
        <f>"20190312172516883"</f>
        <v>20190312172516883</v>
      </c>
      <c r="B5316" t="str">
        <f>"1552382716875540"</f>
        <v>1552382716875540</v>
      </c>
      <c r="C5316" t="s">
        <v>40</v>
      </c>
      <c r="D5316">
        <v>3.9149189999999998</v>
      </c>
      <c r="E5316">
        <v>0.47765099999999999</v>
      </c>
      <c r="F5316" t="s">
        <v>52</v>
      </c>
      <c r="G5316">
        <v>-371.77530000000002</v>
      </c>
      <c r="H5316" s="1">
        <v>-4.1667439999999998E-6</v>
      </c>
      <c r="I5316">
        <v>17.93404</v>
      </c>
      <c r="J5316">
        <v>-376.70339999999999</v>
      </c>
      <c r="K5316">
        <v>1.1115139999999999</v>
      </c>
      <c r="L5316">
        <v>17.77542</v>
      </c>
      <c r="M5316">
        <v>0.99233720000000003</v>
      </c>
      <c r="N5316">
        <v>0</v>
      </c>
      <c r="O5316">
        <v>-0.1229562</v>
      </c>
      <c r="P5316">
        <v>0.9876393</v>
      </c>
      <c r="Q5316">
        <v>0.15099389999999999</v>
      </c>
      <c r="R5316">
        <v>-4.2068920000000003E-2</v>
      </c>
      <c r="S5316">
        <v>3.14859</v>
      </c>
      <c r="T5316">
        <v>-0.69562570000000001</v>
      </c>
      <c r="U5316">
        <v>9.2224120000000007E-2</v>
      </c>
      <c r="V5316">
        <v>-8.0216399999999993E-2</v>
      </c>
      <c r="W5316">
        <v>0.16275239999999999</v>
      </c>
      <c r="X5316">
        <v>0.98340070000000002</v>
      </c>
      <c r="Y5316">
        <v>-0.14550539999999901</v>
      </c>
      <c r="Z5316">
        <v>4.267671E-2</v>
      </c>
      <c r="AA5316">
        <v>0.9884366</v>
      </c>
      <c r="AB5316">
        <v>19</v>
      </c>
      <c r="AC5316">
        <v>4.9280999999999704</v>
      </c>
      <c r="AD5316">
        <v>-1.1115181667439999</v>
      </c>
      <c r="AE5316">
        <v>0.15861999999999901</v>
      </c>
      <c r="AF5316">
        <v>-0.72648273786958895</v>
      </c>
      <c r="AG5316">
        <v>-1.1115181667439999</v>
      </c>
      <c r="AH5316">
        <v>4.6356191137381497</v>
      </c>
      <c r="AI5316">
        <v>103.326931773222</v>
      </c>
      <c r="AJ5316">
        <v>98.906805896005196</v>
      </c>
      <c r="AK5316">
        <v>4.8220549946137004</v>
      </c>
      <c r="AL5316">
        <v>80.633308145633094</v>
      </c>
      <c r="AM5316">
        <v>94.663315795506307</v>
      </c>
      <c r="AN5316">
        <v>0.99999997564760401</v>
      </c>
    </row>
    <row r="5317" spans="1:40" x14ac:dyDescent="0.25">
      <c r="A5317" t="str">
        <f>"20190312172516895"</f>
        <v>20190312172516895</v>
      </c>
      <c r="B5317" t="str">
        <f>"1552382716886276"</f>
        <v>1552382716886276</v>
      </c>
      <c r="C5317" t="s">
        <v>40</v>
      </c>
      <c r="D5317">
        <v>4.16418</v>
      </c>
      <c r="E5317">
        <v>0.47921239999999998</v>
      </c>
      <c r="F5317" t="s">
        <v>52</v>
      </c>
      <c r="G5317">
        <v>-371.68079999999998</v>
      </c>
      <c r="H5317" s="1">
        <v>-4.2122829999999996E-6</v>
      </c>
      <c r="I5317">
        <v>17.92933</v>
      </c>
      <c r="J5317">
        <v>-376.59379999999999</v>
      </c>
      <c r="K5317">
        <v>1.11155</v>
      </c>
      <c r="L5317">
        <v>17.763639999999999</v>
      </c>
      <c r="M5317">
        <v>0.9925271</v>
      </c>
      <c r="N5317">
        <v>0</v>
      </c>
      <c r="O5317">
        <v>-0.12141440000000001</v>
      </c>
      <c r="P5317">
        <v>0.98768089999999997</v>
      </c>
      <c r="Q5317">
        <v>0.15099899999999999</v>
      </c>
      <c r="R5317">
        <v>-4.1063990000000002E-2</v>
      </c>
      <c r="S5317">
        <v>3.1481629999999998</v>
      </c>
      <c r="T5317">
        <v>-0.69668830000000004</v>
      </c>
      <c r="U5317">
        <v>9.6466060000000006E-2</v>
      </c>
      <c r="V5317">
        <v>-7.9694020000000004E-2</v>
      </c>
      <c r="W5317">
        <v>0.16275049999999999</v>
      </c>
      <c r="X5317">
        <v>0.98344350000000003</v>
      </c>
      <c r="Y5317">
        <v>-0.1453247</v>
      </c>
      <c r="Z5317">
        <v>4.2390530000000003E-2</v>
      </c>
      <c r="AA5317">
        <v>0.98847549999999995</v>
      </c>
      <c r="AB5317">
        <v>19</v>
      </c>
      <c r="AC5317">
        <v>4.91300000000001</v>
      </c>
      <c r="AD5317">
        <v>-1.111554212283</v>
      </c>
      <c r="AE5317">
        <v>0.165690000000001</v>
      </c>
      <c r="AF5317">
        <v>-0.72399932839922898</v>
      </c>
      <c r="AG5317">
        <v>-1.111554212283</v>
      </c>
      <c r="AH5317">
        <v>4.6202943690985396</v>
      </c>
      <c r="AI5317">
        <v>103.370003175649</v>
      </c>
      <c r="AJ5317">
        <v>98.905816380012098</v>
      </c>
      <c r="AK5317">
        <v>4.8069582743654298</v>
      </c>
      <c r="AL5317">
        <v>80.633418613215298</v>
      </c>
      <c r="AM5317">
        <v>94.632879535498503</v>
      </c>
      <c r="AN5317">
        <v>0.99999998988312999</v>
      </c>
    </row>
    <row r="5318" spans="1:40" x14ac:dyDescent="0.25">
      <c r="A5318" t="str">
        <f>"20190312172516907"</f>
        <v>20190312172516907</v>
      </c>
      <c r="B5318" t="str">
        <f>"1552382716896036"</f>
        <v>1552382716896036</v>
      </c>
      <c r="C5318" t="s">
        <v>40</v>
      </c>
      <c r="D5318">
        <v>4.0183650000000002</v>
      </c>
      <c r="E5318">
        <v>0.47846050000000001</v>
      </c>
      <c r="F5318" t="s">
        <v>43</v>
      </c>
      <c r="G5318">
        <v>-357.79590000000002</v>
      </c>
      <c r="H5318" s="1">
        <v>-1.182887E-6</v>
      </c>
      <c r="I5318">
        <v>18.178470000000001</v>
      </c>
      <c r="J5318">
        <v>-376.49400000000003</v>
      </c>
      <c r="K5318">
        <v>1.111577</v>
      </c>
      <c r="L5318">
        <v>17.753050000000002</v>
      </c>
      <c r="M5318">
        <v>0.99269759999999996</v>
      </c>
      <c r="N5318">
        <v>0</v>
      </c>
      <c r="O5318">
        <v>-0.12001240000000001</v>
      </c>
      <c r="P5318">
        <v>0.98773109999999997</v>
      </c>
      <c r="Q5318">
        <v>0.15088029999999999</v>
      </c>
      <c r="R5318">
        <v>-4.0283439999999997E-2</v>
      </c>
      <c r="S5318">
        <v>3.0679630000000002</v>
      </c>
      <c r="T5318">
        <v>-0.18141450000000001</v>
      </c>
      <c r="U5318">
        <v>6.7718509999999996E-2</v>
      </c>
      <c r="V5318">
        <v>-7.9086989999999996E-2</v>
      </c>
      <c r="W5318">
        <v>0.16262679999999999</v>
      </c>
      <c r="X5318">
        <v>0.98351299999999997</v>
      </c>
      <c r="Y5318">
        <v>-0.14144389999999901</v>
      </c>
      <c r="Z5318">
        <v>1.125728E-2</v>
      </c>
      <c r="AA5318">
        <v>0.98988229999999999</v>
      </c>
      <c r="AB5318">
        <v>19</v>
      </c>
      <c r="AC5318">
        <v>18.6981</v>
      </c>
      <c r="AD5318">
        <v>-1.1115781828869999</v>
      </c>
      <c r="AE5318">
        <v>0.42541999999999802</v>
      </c>
      <c r="AF5318">
        <v>-2.6571294265793499</v>
      </c>
      <c r="AG5318">
        <v>-1.1115781828869999</v>
      </c>
      <c r="AH5318">
        <v>18.446718113603499</v>
      </c>
      <c r="AI5318">
        <v>93.413264723691597</v>
      </c>
      <c r="AJ5318">
        <v>98.196703794439301</v>
      </c>
      <c r="AK5318">
        <v>18.670226351306201</v>
      </c>
      <c r="AL5318">
        <v>80.640602127545094</v>
      </c>
      <c r="AM5318">
        <v>94.597419220528806</v>
      </c>
      <c r="AN5318">
        <v>1.00000002461724</v>
      </c>
    </row>
    <row r="5319" spans="1:40" x14ac:dyDescent="0.25">
      <c r="A5319" t="str">
        <f>"20190312172516920"</f>
        <v>20190312172516920</v>
      </c>
      <c r="B5319" t="str">
        <f>"1552382716915556"</f>
        <v>1552382716915556</v>
      </c>
      <c r="C5319" t="s">
        <v>40</v>
      </c>
      <c r="D5319">
        <v>4.0852969999999997</v>
      </c>
      <c r="E5319">
        <v>0.47842020000000002</v>
      </c>
      <c r="F5319" t="s">
        <v>53</v>
      </c>
      <c r="G5319">
        <v>-363.0514</v>
      </c>
      <c r="H5319" s="1">
        <v>-3.5540519999999999E-6</v>
      </c>
      <c r="I5319">
        <v>18.09995</v>
      </c>
      <c r="J5319">
        <v>-376.3843</v>
      </c>
      <c r="K5319">
        <v>1.111604</v>
      </c>
      <c r="L5319">
        <v>17.74155</v>
      </c>
      <c r="M5319">
        <v>0.99288270000000001</v>
      </c>
      <c r="N5319">
        <v>0</v>
      </c>
      <c r="O5319">
        <v>-0.1184718</v>
      </c>
      <c r="P5319">
        <v>0.98776920000000001</v>
      </c>
      <c r="Q5319">
        <v>0.15092169999999999</v>
      </c>
      <c r="R5319">
        <v>-3.9173760000000002E-2</v>
      </c>
      <c r="S5319">
        <v>3.079437</v>
      </c>
      <c r="T5319">
        <v>-0.25464239999999999</v>
      </c>
      <c r="U5319">
        <v>7.9467769999999993E-2</v>
      </c>
      <c r="V5319">
        <v>-7.8668639999999998E-2</v>
      </c>
      <c r="W5319">
        <v>0.1626621</v>
      </c>
      <c r="X5319">
        <v>0.98354070000000005</v>
      </c>
      <c r="Y5319">
        <v>-0.14316509999999999</v>
      </c>
      <c r="Z5319">
        <v>1.5673599999999999E-2</v>
      </c>
      <c r="AA5319">
        <v>0.98957470000000003</v>
      </c>
      <c r="AB5319">
        <v>19</v>
      </c>
      <c r="AC5319">
        <v>13.332899999999899</v>
      </c>
      <c r="AD5319">
        <v>-1.1116075540520001</v>
      </c>
      <c r="AE5319">
        <v>0.358399999999999</v>
      </c>
      <c r="AF5319">
        <v>-1.9222135665437401</v>
      </c>
      <c r="AG5319">
        <v>-1.1116075540520001</v>
      </c>
      <c r="AH5319">
        <v>13.1054926681845</v>
      </c>
      <c r="AI5319">
        <v>94.797140068032405</v>
      </c>
      <c r="AJ5319">
        <v>98.34421103807</v>
      </c>
      <c r="AK5319">
        <v>13.292272733640001</v>
      </c>
      <c r="AL5319">
        <v>80.638552165067793</v>
      </c>
      <c r="AM5319">
        <v>94.573075224149804</v>
      </c>
      <c r="AN5319">
        <v>1.00000001112617</v>
      </c>
    </row>
    <row r="5320" spans="1:40" x14ac:dyDescent="0.25">
      <c r="A5320" t="str">
        <f>"20190312172516938"</f>
        <v>20190312172516938</v>
      </c>
      <c r="B5320" t="str">
        <f>"1552382716926292"</f>
        <v>1552382716926292</v>
      </c>
      <c r="C5320" t="s">
        <v>40</v>
      </c>
      <c r="D5320">
        <v>4.1134120000000003</v>
      </c>
      <c r="E5320">
        <v>0.47892780000000001</v>
      </c>
      <c r="F5320" t="s">
        <v>53</v>
      </c>
      <c r="G5320">
        <v>-360.05149999999998</v>
      </c>
      <c r="H5320" s="1">
        <v>-4.9585409999999997E-6</v>
      </c>
      <c r="I5320">
        <v>18.176659999999998</v>
      </c>
      <c r="J5320">
        <v>-376.24029999999999</v>
      </c>
      <c r="K5320">
        <v>1.1116250000000001</v>
      </c>
      <c r="L5320">
        <v>17.726779999999899</v>
      </c>
      <c r="M5320">
        <v>0.99312230000000001</v>
      </c>
      <c r="N5320">
        <v>0</v>
      </c>
      <c r="O5320">
        <v>-0.1164466</v>
      </c>
      <c r="P5320">
        <v>0.98772990000000005</v>
      </c>
      <c r="Q5320">
        <v>0.15131429999999901</v>
      </c>
      <c r="R5320">
        <v>-3.8647729999999998E-2</v>
      </c>
      <c r="S5320">
        <v>3.072327</v>
      </c>
      <c r="T5320">
        <v>-0.2091017</v>
      </c>
      <c r="U5320">
        <v>8.184814E-2</v>
      </c>
      <c r="V5320">
        <v>-7.7179150000000002E-2</v>
      </c>
      <c r="W5320">
        <v>0.16305310000000001</v>
      </c>
      <c r="X5320">
        <v>0.98359390000000002</v>
      </c>
      <c r="Y5320">
        <v>-0.14226610000000001</v>
      </c>
      <c r="Z5320">
        <v>1.2739749999999999E-2</v>
      </c>
      <c r="AA5320">
        <v>0.98974649999999997</v>
      </c>
      <c r="AB5320">
        <v>19</v>
      </c>
      <c r="AC5320">
        <v>16.188800000000001</v>
      </c>
      <c r="AD5320">
        <v>-1.1116299585410001</v>
      </c>
      <c r="AE5320">
        <v>0.449880000000003</v>
      </c>
      <c r="AF5320">
        <v>-2.3211534618012801</v>
      </c>
      <c r="AG5320">
        <v>-1.1116299585410001</v>
      </c>
      <c r="AH5320">
        <v>15.9511065077415</v>
      </c>
      <c r="AI5320">
        <v>93.945071365055398</v>
      </c>
      <c r="AJ5320">
        <v>98.279384010074907</v>
      </c>
      <c r="AK5320">
        <v>16.157390673598002</v>
      </c>
      <c r="AL5320">
        <v>80.615845780009707</v>
      </c>
      <c r="AM5320">
        <v>94.486605152068705</v>
      </c>
      <c r="AN5320">
        <v>0.99999994736576903</v>
      </c>
    </row>
    <row r="5321" spans="1:40" x14ac:dyDescent="0.25">
      <c r="A5321" t="str">
        <f>"20190312172516960"</f>
        <v>20190312172516960</v>
      </c>
      <c r="B5321" t="str">
        <f>"1552382716955573"</f>
        <v>1552382716955573</v>
      </c>
      <c r="C5321" t="s">
        <v>40</v>
      </c>
      <c r="D5321">
        <v>4.0842429999999998</v>
      </c>
      <c r="E5321">
        <v>0.47890300000000002</v>
      </c>
      <c r="F5321" t="s">
        <v>43</v>
      </c>
      <c r="G5321">
        <v>-358.87759999999997</v>
      </c>
      <c r="H5321" s="1">
        <v>-7.506658E-7</v>
      </c>
      <c r="I5321">
        <v>18.178129999999999</v>
      </c>
      <c r="J5321">
        <v>-376.04899999999998</v>
      </c>
      <c r="K5321">
        <v>1.1116429999999999</v>
      </c>
      <c r="L5321">
        <v>17.70749</v>
      </c>
      <c r="M5321">
        <v>0.99343250000000005</v>
      </c>
      <c r="N5321">
        <v>0</v>
      </c>
      <c r="O5321">
        <v>-0.1137719</v>
      </c>
      <c r="P5321">
        <v>0.98768389999999995</v>
      </c>
      <c r="Q5321">
        <v>0.1519131</v>
      </c>
      <c r="R5321">
        <v>-3.7458989999999998E-2</v>
      </c>
      <c r="S5321">
        <v>3.070465</v>
      </c>
      <c r="T5321">
        <v>-0.19658300000000001</v>
      </c>
      <c r="U5321">
        <v>7.9833979999999999E-2</v>
      </c>
      <c r="V5321">
        <v>-7.569969E-2</v>
      </c>
      <c r="W5321">
        <v>0.1636505</v>
      </c>
      <c r="X5321">
        <v>0.98360970000000003</v>
      </c>
      <c r="Y5321">
        <v>-0.139048</v>
      </c>
      <c r="Z5321">
        <v>1.17127E-2</v>
      </c>
      <c r="AA5321">
        <v>0.9902164</v>
      </c>
      <c r="AB5321">
        <v>19</v>
      </c>
      <c r="AC5321">
        <v>17.171399999999998</v>
      </c>
      <c r="AD5321">
        <v>-1.1116437506657999</v>
      </c>
      <c r="AE5321">
        <v>0.470639999999999</v>
      </c>
      <c r="AF5321">
        <v>-2.4112528216713498</v>
      </c>
      <c r="AG5321">
        <v>-1.1116437506657999</v>
      </c>
      <c r="AH5321">
        <v>16.9354148288568</v>
      </c>
      <c r="AI5321">
        <v>93.718127155743801</v>
      </c>
      <c r="AJ5321">
        <v>98.103270787992201</v>
      </c>
      <c r="AK5321">
        <v>17.142291778635499</v>
      </c>
      <c r="AL5321">
        <v>80.581151621229296</v>
      </c>
      <c r="AM5321">
        <v>94.400871414954395</v>
      </c>
      <c r="AN5321">
        <v>0.99999998557521796</v>
      </c>
    </row>
    <row r="5322" spans="1:40" x14ac:dyDescent="0.25">
      <c r="A5322" t="str">
        <f>"20190312172516971"</f>
        <v>20190312172516971</v>
      </c>
      <c r="B5322" t="str">
        <f>"1552382716966308"</f>
        <v>1552382716966308</v>
      </c>
      <c r="C5322" t="s">
        <v>40</v>
      </c>
      <c r="D5322">
        <v>4.0954860000000002</v>
      </c>
      <c r="E5322">
        <v>0.47926819999999998</v>
      </c>
      <c r="F5322" t="s">
        <v>43</v>
      </c>
      <c r="G5322">
        <v>-357.68529999999998</v>
      </c>
      <c r="H5322" s="1">
        <v>-1.2250279999999901E-6</v>
      </c>
      <c r="I5322">
        <v>18.208449999999999</v>
      </c>
      <c r="J5322">
        <v>-375.95620000000002</v>
      </c>
      <c r="K5322">
        <v>1.1116429999999999</v>
      </c>
      <c r="L5322">
        <v>17.69839</v>
      </c>
      <c r="M5322">
        <v>0.99357830000000003</v>
      </c>
      <c r="N5322">
        <v>0</v>
      </c>
      <c r="O5322">
        <v>-0.11249049999999999</v>
      </c>
      <c r="P5322">
        <v>0.98766600000000004</v>
      </c>
      <c r="Q5322">
        <v>0.15218999999999999</v>
      </c>
      <c r="R5322">
        <v>-3.6797459999999997E-2</v>
      </c>
      <c r="S5322">
        <v>3.069153</v>
      </c>
      <c r="T5322">
        <v>-0.18579029999999999</v>
      </c>
      <c r="U5322">
        <v>8.3740229999999999E-2</v>
      </c>
      <c r="V5322">
        <v>-7.5080820000000006E-2</v>
      </c>
      <c r="W5322">
        <v>0.16392809999999999</v>
      </c>
      <c r="X5322">
        <v>0.98361089999999995</v>
      </c>
      <c r="Y5322">
        <v>-0.13909820000000001</v>
      </c>
      <c r="Z5322">
        <v>1.099987E-2</v>
      </c>
      <c r="AA5322">
        <v>0.99021749999999997</v>
      </c>
      <c r="AB5322">
        <v>19</v>
      </c>
      <c r="AC5322">
        <v>18.270900000000001</v>
      </c>
      <c r="AD5322">
        <v>-1.1116442250280001</v>
      </c>
      <c r="AE5322">
        <v>0.51005999999999896</v>
      </c>
      <c r="AF5322">
        <v>-2.5528342061102101</v>
      </c>
      <c r="AG5322">
        <v>-1.1116442250280001</v>
      </c>
      <c r="AH5322">
        <v>18.030838173817902</v>
      </c>
      <c r="AI5322">
        <v>93.493206213932893</v>
      </c>
      <c r="AJ5322">
        <v>98.058465823793398</v>
      </c>
      <c r="AK5322">
        <v>18.244556465349699</v>
      </c>
      <c r="AL5322">
        <v>80.5650284952128</v>
      </c>
      <c r="AM5322">
        <v>94.365027152866304</v>
      </c>
      <c r="AN5322">
        <v>0.99999997705014598</v>
      </c>
    </row>
    <row r="5323" spans="1:40" x14ac:dyDescent="0.25">
      <c r="A5323" t="str">
        <f>"20190312172516984"</f>
        <v>20190312172516984</v>
      </c>
      <c r="B5323" t="str">
        <f>"1552382716976069"</f>
        <v>1552382716976069</v>
      </c>
      <c r="C5323" t="s">
        <v>40</v>
      </c>
      <c r="D5323">
        <v>4.1298760000000003</v>
      </c>
      <c r="E5323">
        <v>0.4793483</v>
      </c>
      <c r="F5323" t="s">
        <v>43</v>
      </c>
      <c r="G5323">
        <v>-357.4778</v>
      </c>
      <c r="H5323" s="1">
        <v>-1.3161979999999999E-6</v>
      </c>
      <c r="I5323">
        <v>18.196439999999999</v>
      </c>
      <c r="J5323">
        <v>-375.84469999999999</v>
      </c>
      <c r="K5323">
        <v>1.11164</v>
      </c>
      <c r="L5323">
        <v>17.6875</v>
      </c>
      <c r="M5323">
        <v>0.99375060000000004</v>
      </c>
      <c r="N5323">
        <v>0</v>
      </c>
      <c r="O5323">
        <v>-0.1109593</v>
      </c>
      <c r="P5323">
        <v>0.98765930000000002</v>
      </c>
      <c r="Q5323">
        <v>0.152438299999999</v>
      </c>
      <c r="R5323">
        <v>-3.5942929999999998E-2</v>
      </c>
      <c r="S5323">
        <v>3.069</v>
      </c>
      <c r="T5323">
        <v>-0.18462809999999999</v>
      </c>
      <c r="U5323">
        <v>8.2733150000000005E-2</v>
      </c>
      <c r="V5323">
        <v>-7.44065E-2</v>
      </c>
      <c r="W5323">
        <v>0.1641773</v>
      </c>
      <c r="X5323">
        <v>0.98362059999999996</v>
      </c>
      <c r="Y5323">
        <v>-0.13726050000000001</v>
      </c>
      <c r="Z5323">
        <v>1.078487E-2</v>
      </c>
      <c r="AA5323">
        <v>0.99047629999999998</v>
      </c>
      <c r="AB5323">
        <v>19</v>
      </c>
      <c r="AC5323">
        <v>18.366899999999902</v>
      </c>
      <c r="AD5323">
        <v>-1.1116413161980001</v>
      </c>
      <c r="AE5323">
        <v>0.50893999999999895</v>
      </c>
      <c r="AF5323">
        <v>-2.5346480385320498</v>
      </c>
      <c r="AG5323">
        <v>-1.1116413161980001</v>
      </c>
      <c r="AH5323">
        <v>18.130626187278001</v>
      </c>
      <c r="AI5323">
        <v>93.474870548988406</v>
      </c>
      <c r="AJ5323">
        <v>97.958329359823395</v>
      </c>
      <c r="AK5323">
        <v>18.340659558421599</v>
      </c>
      <c r="AL5323">
        <v>80.550554492292093</v>
      </c>
      <c r="AM5323">
        <v>94.325930721347106</v>
      </c>
      <c r="AN5323">
        <v>0.99999999891094904</v>
      </c>
    </row>
    <row r="5324" spans="1:40" x14ac:dyDescent="0.25">
      <c r="A5324" t="str">
        <f>"20190312172517006"</f>
        <v>20190312172517006</v>
      </c>
      <c r="B5324" t="str">
        <f>"1552382716995589"</f>
        <v>1552382716995589</v>
      </c>
      <c r="C5324" t="s">
        <v>40</v>
      </c>
      <c r="D5324">
        <v>4.0928339999999999</v>
      </c>
      <c r="E5324">
        <v>0.47976160000000001</v>
      </c>
      <c r="F5324" t="s">
        <v>43</v>
      </c>
      <c r="G5324">
        <v>-357.39359999999999</v>
      </c>
      <c r="H5324" s="1">
        <v>-1.3520290000000001E-6</v>
      </c>
      <c r="I5324">
        <v>18.19781</v>
      </c>
      <c r="J5324">
        <v>-375.6558</v>
      </c>
      <c r="K5324">
        <v>1.1116250000000001</v>
      </c>
      <c r="L5324">
        <v>17.669529999999899</v>
      </c>
      <c r="M5324">
        <v>0.99403140000000001</v>
      </c>
      <c r="N5324">
        <v>0</v>
      </c>
      <c r="O5324">
        <v>-0.1084152</v>
      </c>
      <c r="P5324">
        <v>0.98767519999999998</v>
      </c>
      <c r="Q5324">
        <v>0.152503</v>
      </c>
      <c r="R5324">
        <v>-3.5223190000000001E-2</v>
      </c>
      <c r="S5324">
        <v>3.069153</v>
      </c>
      <c r="T5324">
        <v>-0.18491089999999999</v>
      </c>
      <c r="U5324">
        <v>8.4899899999999903E-2</v>
      </c>
      <c r="V5324">
        <v>-7.25885E-2</v>
      </c>
      <c r="W5324">
        <v>0.1642479</v>
      </c>
      <c r="X5324">
        <v>0.98374459999999997</v>
      </c>
      <c r="Y5324">
        <v>-0.13542899999999999</v>
      </c>
      <c r="Z5324">
        <v>1.0593129999999999E-2</v>
      </c>
      <c r="AA5324">
        <v>0.99073040000000001</v>
      </c>
      <c r="AB5324">
        <v>19</v>
      </c>
      <c r="AC5324">
        <v>18.2622</v>
      </c>
      <c r="AD5324">
        <v>-1.111626352029</v>
      </c>
      <c r="AE5324">
        <v>0.52828000000000197</v>
      </c>
      <c r="AF5324">
        <v>-2.4959716773524798</v>
      </c>
      <c r="AG5324">
        <v>-1.111626352029</v>
      </c>
      <c r="AH5324">
        <v>18.0305125956477</v>
      </c>
      <c r="AI5324">
        <v>93.494721182807595</v>
      </c>
      <c r="AJ5324">
        <v>97.881390658724001</v>
      </c>
      <c r="AK5324">
        <v>18.2363640077314</v>
      </c>
      <c r="AL5324">
        <v>80.546453280673603</v>
      </c>
      <c r="AM5324">
        <v>94.220090367882094</v>
      </c>
      <c r="AN5324">
        <v>0.99999995050790802</v>
      </c>
    </row>
    <row r="5325" spans="1:40" x14ac:dyDescent="0.25">
      <c r="A5325" t="str">
        <f>"20190312172517019"</f>
        <v>20190312172517019</v>
      </c>
      <c r="B5325" t="str">
        <f>"1552382717016084"</f>
        <v>1552382717016084</v>
      </c>
      <c r="C5325" t="s">
        <v>40</v>
      </c>
      <c r="D5325">
        <v>4.224869</v>
      </c>
      <c r="E5325">
        <v>0.48019889999999998</v>
      </c>
      <c r="F5325" t="s">
        <v>43</v>
      </c>
      <c r="G5325">
        <v>-357.48329999999999</v>
      </c>
      <c r="H5325" s="1">
        <v>-1.3183369999999999E-6</v>
      </c>
      <c r="I5325">
        <v>18.170999999999999</v>
      </c>
      <c r="J5325">
        <v>-375.54579999999999</v>
      </c>
      <c r="K5325">
        <v>1.1116140000000001</v>
      </c>
      <c r="L5325">
        <v>17.659210000000002</v>
      </c>
      <c r="M5325">
        <v>0.99418949999999995</v>
      </c>
      <c r="N5325">
        <v>0</v>
      </c>
      <c r="O5325">
        <v>-0.1069565</v>
      </c>
      <c r="P5325">
        <v>0.98767939999999999</v>
      </c>
      <c r="Q5325">
        <v>0.15265100000000001</v>
      </c>
      <c r="R5325">
        <v>-3.4459669999999998E-2</v>
      </c>
      <c r="S5325">
        <v>3.0694270000000001</v>
      </c>
      <c r="T5325">
        <v>-0.18775890000000001</v>
      </c>
      <c r="U5325">
        <v>8.4716799999999995E-2</v>
      </c>
      <c r="V5325">
        <v>-7.1894769999999997E-2</v>
      </c>
      <c r="W5325">
        <v>0.1643984</v>
      </c>
      <c r="X5325">
        <v>0.98377040000000004</v>
      </c>
      <c r="Y5325">
        <v>-0.13390539999999901</v>
      </c>
      <c r="Z5325">
        <v>1.0619669999999999E-2</v>
      </c>
      <c r="AA5325">
        <v>0.99093719999999996</v>
      </c>
      <c r="AB5325">
        <v>19</v>
      </c>
      <c r="AC5325">
        <v>18.0625</v>
      </c>
      <c r="AD5325">
        <v>-1.1116153183369999</v>
      </c>
      <c r="AE5325">
        <v>0.51178999999999697</v>
      </c>
      <c r="AF5325">
        <v>-2.4316954307998002</v>
      </c>
      <c r="AG5325">
        <v>-1.1116153183369999</v>
      </c>
      <c r="AH5325">
        <v>17.836627320406102</v>
      </c>
      <c r="AI5325">
        <v>93.533575702028102</v>
      </c>
      <c r="AJ5325">
        <v>97.763362361665997</v>
      </c>
      <c r="AK5325">
        <v>18.035911550326201</v>
      </c>
      <c r="AL5325">
        <v>80.537711389599494</v>
      </c>
      <c r="AM5325">
        <v>94.179793266679098</v>
      </c>
      <c r="AN5325">
        <v>0.99999994589603503</v>
      </c>
    </row>
    <row r="5326" spans="1:40" x14ac:dyDescent="0.25">
      <c r="A5326" t="str">
        <f>"20190312172517040"</f>
        <v>20190312172517040</v>
      </c>
      <c r="B5326" t="str">
        <f>"1552382717035604"</f>
        <v>1552382717035604</v>
      </c>
      <c r="C5326" t="s">
        <v>40</v>
      </c>
      <c r="D5326">
        <v>4.1041670000000003</v>
      </c>
      <c r="E5326">
        <v>0.48034840000000001</v>
      </c>
      <c r="F5326" t="s">
        <v>43</v>
      </c>
      <c r="G5326">
        <v>-357.47859999999997</v>
      </c>
      <c r="H5326" s="1">
        <v>-1.3232159999999999E-6</v>
      </c>
      <c r="I5326">
        <v>18.154890000000002</v>
      </c>
      <c r="J5326">
        <v>-375.36959999999999</v>
      </c>
      <c r="K5326">
        <v>1.1115980000000001</v>
      </c>
      <c r="L5326">
        <v>17.64301</v>
      </c>
      <c r="M5326">
        <v>0.99443409999999999</v>
      </c>
      <c r="N5326">
        <v>0</v>
      </c>
      <c r="O5326">
        <v>-0.10465820000000001</v>
      </c>
      <c r="P5326">
        <v>0.9877669</v>
      </c>
      <c r="Q5326">
        <v>0.15230289999999999</v>
      </c>
      <c r="R5326">
        <v>-3.3473849999999999E-2</v>
      </c>
      <c r="S5326">
        <v>3.06955</v>
      </c>
      <c r="T5326">
        <v>-0.1888592</v>
      </c>
      <c r="U5326">
        <v>8.4228520000000001E-2</v>
      </c>
      <c r="V5326">
        <v>-7.05924E-2</v>
      </c>
      <c r="W5326">
        <v>0.164051799999999</v>
      </c>
      <c r="X5326">
        <v>0.98392259999999998</v>
      </c>
      <c r="Y5326">
        <v>-0.13145970000000001</v>
      </c>
      <c r="Z5326">
        <v>1.0465459999999999E-2</v>
      </c>
      <c r="AA5326">
        <v>0.99126630000000004</v>
      </c>
      <c r="AB5326">
        <v>19</v>
      </c>
      <c r="AC5326">
        <v>17.890999999999998</v>
      </c>
      <c r="AD5326">
        <v>-1.111599323216</v>
      </c>
      <c r="AE5326">
        <v>0.511879999999997</v>
      </c>
      <c r="AF5326">
        <v>-2.37249523043418</v>
      </c>
      <c r="AG5326">
        <v>-1.111599323216</v>
      </c>
      <c r="AH5326">
        <v>17.670995662332199</v>
      </c>
      <c r="AI5326">
        <v>93.567539486664302</v>
      </c>
      <c r="AJ5326">
        <v>97.646763422704296</v>
      </c>
      <c r="AK5326">
        <v>17.864167329376802</v>
      </c>
      <c r="AL5326">
        <v>80.557843781470893</v>
      </c>
      <c r="AM5326">
        <v>94.103704944703907</v>
      </c>
      <c r="AN5326">
        <v>0.99999998140587898</v>
      </c>
    </row>
    <row r="5327" spans="1:40" x14ac:dyDescent="0.25">
      <c r="A5327" t="str">
        <f>"20190312172517063"</f>
        <v>20190312172517063</v>
      </c>
      <c r="B5327" t="str">
        <f>"1552382717056100"</f>
        <v>1552382717056100</v>
      </c>
      <c r="C5327" t="s">
        <v>40</v>
      </c>
      <c r="D5327">
        <v>4.0882370000000003</v>
      </c>
      <c r="E5327">
        <v>0.48042770000000001</v>
      </c>
      <c r="F5327" t="s">
        <v>43</v>
      </c>
      <c r="G5327">
        <v>-357.5478</v>
      </c>
      <c r="H5327" s="1">
        <v>-1.2949099999999999E-6</v>
      </c>
      <c r="I5327">
        <v>18.146999999999998</v>
      </c>
      <c r="J5327">
        <v>-375.1773</v>
      </c>
      <c r="K5327">
        <v>1.1115729999999999</v>
      </c>
      <c r="L5327">
        <v>17.625729999999901</v>
      </c>
      <c r="M5327">
        <v>0.99468889999999999</v>
      </c>
      <c r="N5327">
        <v>0</v>
      </c>
      <c r="O5327">
        <v>-0.10221089999999999</v>
      </c>
      <c r="P5327">
        <v>0.98786549999999995</v>
      </c>
      <c r="Q5327">
        <v>0.15190670000000001</v>
      </c>
      <c r="R5327">
        <v>-3.2348839999999997E-2</v>
      </c>
      <c r="S5327">
        <v>3.0696110000000001</v>
      </c>
      <c r="T5327">
        <v>-0.1914613</v>
      </c>
      <c r="U5327">
        <v>8.6822510000000006E-2</v>
      </c>
      <c r="V5327">
        <v>-6.9280040000000001E-2</v>
      </c>
      <c r="W5327">
        <v>0.16365189999999999</v>
      </c>
      <c r="X5327">
        <v>0.98408249999999997</v>
      </c>
      <c r="Y5327">
        <v>-0.1298523</v>
      </c>
      <c r="Z5327">
        <v>1.0407069999999999E-2</v>
      </c>
      <c r="AA5327">
        <v>0.99147870000000005</v>
      </c>
      <c r="AB5327">
        <v>19</v>
      </c>
      <c r="AC5327">
        <v>17.6295</v>
      </c>
      <c r="AD5327">
        <v>-1.11157429490999</v>
      </c>
      <c r="AE5327">
        <v>0.52127000000000401</v>
      </c>
      <c r="AF5327">
        <v>-2.31141790072054</v>
      </c>
      <c r="AG5327">
        <v>-1.11157429490999</v>
      </c>
      <c r="AH5327">
        <v>17.414700433549001</v>
      </c>
      <c r="AI5327">
        <v>93.620548859514599</v>
      </c>
      <c r="AJ5327">
        <v>97.560561960071894</v>
      </c>
      <c r="AK5327">
        <v>17.602557806044199</v>
      </c>
      <c r="AL5327">
        <v>80.581070614949496</v>
      </c>
      <c r="AM5327">
        <v>94.027015478886597</v>
      </c>
      <c r="AN5327">
        <v>1.0000000175611301</v>
      </c>
    </row>
    <row r="5328" spans="1:40" x14ac:dyDescent="0.25">
      <c r="A5328" t="str">
        <f>"20190312172517085"</f>
        <v>20190312172517085</v>
      </c>
      <c r="B5328" t="str">
        <f>"1552382717075620"</f>
        <v>1552382717075620</v>
      </c>
      <c r="C5328" t="s">
        <v>40</v>
      </c>
      <c r="D5328">
        <v>4.0633759999999999</v>
      </c>
      <c r="E5328">
        <v>0.48055740000000002</v>
      </c>
      <c r="F5328" t="s">
        <v>43</v>
      </c>
      <c r="G5328">
        <v>-357.72210000000001</v>
      </c>
      <c r="H5328" s="1">
        <v>-1.221206E-6</v>
      </c>
      <c r="I5328">
        <v>18.140999999999998</v>
      </c>
      <c r="J5328">
        <v>-374.98759999999999</v>
      </c>
      <c r="K5328">
        <v>1.1115429999999999</v>
      </c>
      <c r="L5328">
        <v>17.60913</v>
      </c>
      <c r="M5328">
        <v>0.99492780000000003</v>
      </c>
      <c r="N5328">
        <v>0</v>
      </c>
      <c r="O5328">
        <v>-9.9860950000000004E-2</v>
      </c>
      <c r="P5328">
        <v>0.98796070000000002</v>
      </c>
      <c r="Q5328">
        <v>0.15146850000000001</v>
      </c>
      <c r="R5328">
        <v>-3.1485220000000001E-2</v>
      </c>
      <c r="S5328">
        <v>3.0698850000000002</v>
      </c>
      <c r="T5328">
        <v>-0.195495</v>
      </c>
      <c r="U5328">
        <v>9.0637209999999996E-2</v>
      </c>
      <c r="V5328">
        <v>-6.7804519999999993E-2</v>
      </c>
      <c r="W5328">
        <v>0.16320970000000001</v>
      </c>
      <c r="X5328">
        <v>0.98425870000000004</v>
      </c>
      <c r="Y5328">
        <v>-0.12872649999999999</v>
      </c>
      <c r="Z5328">
        <v>1.0440039999999999E-2</v>
      </c>
      <c r="AA5328">
        <v>0.99162519999999998</v>
      </c>
      <c r="AB5328">
        <v>19</v>
      </c>
      <c r="AC5328">
        <v>17.2654999999999</v>
      </c>
      <c r="AD5328">
        <v>-1.111544221206</v>
      </c>
      <c r="AE5328">
        <v>0.53186999999999696</v>
      </c>
      <c r="AF5328">
        <v>-2.2441937782138401</v>
      </c>
      <c r="AG5328">
        <v>-1.111544221206</v>
      </c>
      <c r="AH5328">
        <v>17.0554440879772</v>
      </c>
      <c r="AI5328">
        <v>93.697051785619607</v>
      </c>
      <c r="AJ5328">
        <v>97.4960438785386</v>
      </c>
      <c r="AK5328">
        <v>17.238332555905298</v>
      </c>
      <c r="AL5328">
        <v>80.606752160424605</v>
      </c>
      <c r="AM5328">
        <v>93.940818349330996</v>
      </c>
      <c r="AN5328">
        <v>1.0000000238161</v>
      </c>
    </row>
    <row r="5329" spans="1:40" x14ac:dyDescent="0.25">
      <c r="A5329" t="str">
        <f>"20190312172517096"</f>
        <v>20190312172517096</v>
      </c>
      <c r="B5329" t="str">
        <f>"1552382717085382"</f>
        <v>1552382717085382</v>
      </c>
      <c r="C5329" t="s">
        <v>40</v>
      </c>
      <c r="D5329">
        <v>4.0767249999999997</v>
      </c>
      <c r="E5329">
        <v>0.48055049999999999</v>
      </c>
      <c r="F5329" t="s">
        <v>43</v>
      </c>
      <c r="G5329">
        <v>-357.88810000000001</v>
      </c>
      <c r="H5329" s="1">
        <v>-1.152231E-6</v>
      </c>
      <c r="I5329">
        <v>18.128319999999999</v>
      </c>
      <c r="J5329">
        <v>-374.88690000000003</v>
      </c>
      <c r="K5329">
        <v>1.111534</v>
      </c>
      <c r="L5329">
        <v>17.600460000000002</v>
      </c>
      <c r="M5329">
        <v>0.9950504</v>
      </c>
      <c r="N5329">
        <v>0</v>
      </c>
      <c r="O5329">
        <v>-9.8632220000000007E-2</v>
      </c>
      <c r="P5329">
        <v>0.98801240000000001</v>
      </c>
      <c r="Q5329">
        <v>0.15127470000000001</v>
      </c>
      <c r="R5329">
        <v>-3.0778280000000002E-2</v>
      </c>
      <c r="S5329">
        <v>3.070068</v>
      </c>
      <c r="T5329">
        <v>-0.199568</v>
      </c>
      <c r="U5329">
        <v>9.32312E-2</v>
      </c>
      <c r="V5329">
        <v>-6.7288570000000006E-2</v>
      </c>
      <c r="W5329">
        <v>0.16301350000000001</v>
      </c>
      <c r="X5329">
        <v>0.98432660000000005</v>
      </c>
      <c r="Y5329">
        <v>-0.1283213</v>
      </c>
      <c r="Z5329">
        <v>1.056371E-2</v>
      </c>
      <c r="AA5329">
        <v>0.99167640000000001</v>
      </c>
      <c r="AB5329">
        <v>19</v>
      </c>
      <c r="AC5329">
        <v>16.998799999999999</v>
      </c>
      <c r="AD5329">
        <v>-1.111535152231</v>
      </c>
      <c r="AE5329">
        <v>0.52786</v>
      </c>
      <c r="AF5329">
        <v>-2.1926716341644501</v>
      </c>
      <c r="AG5329">
        <v>-1.111535152231</v>
      </c>
      <c r="AH5329">
        <v>16.792103831364599</v>
      </c>
      <c r="AI5329">
        <v>93.755320034305399</v>
      </c>
      <c r="AJ5329">
        <v>97.439450471835698</v>
      </c>
      <c r="AK5329">
        <v>16.971095143603598</v>
      </c>
      <c r="AL5329">
        <v>80.618145999000902</v>
      </c>
      <c r="AM5329">
        <v>93.910655655632297</v>
      </c>
      <c r="AN5329">
        <v>1.00000000415122</v>
      </c>
    </row>
    <row r="5330" spans="1:40" x14ac:dyDescent="0.25">
      <c r="A5330" t="str">
        <f>"20190312172517108"</f>
        <v>20190312172517108</v>
      </c>
      <c r="B5330" t="str">
        <f>"1552382717096117"</f>
        <v>1552382717096117</v>
      </c>
      <c r="C5330" t="s">
        <v>40</v>
      </c>
      <c r="D5330">
        <v>3.9880559999999998</v>
      </c>
      <c r="E5330">
        <v>0.48063640000000002</v>
      </c>
      <c r="F5330" t="s">
        <v>43</v>
      </c>
      <c r="G5330">
        <v>-357.90870000000001</v>
      </c>
      <c r="H5330" s="1">
        <v>-1.1431229999999999E-6</v>
      </c>
      <c r="I5330">
        <v>18.129960000000001</v>
      </c>
      <c r="J5330">
        <v>-374.7903</v>
      </c>
      <c r="K5330">
        <v>1.1115219999999999</v>
      </c>
      <c r="L5330">
        <v>17.592220000000001</v>
      </c>
      <c r="M5330">
        <v>0.99516530000000003</v>
      </c>
      <c r="N5330">
        <v>0</v>
      </c>
      <c r="O5330">
        <v>-9.7467120000000004E-2</v>
      </c>
      <c r="P5330">
        <v>0.98805739999999997</v>
      </c>
      <c r="Q5330">
        <v>0.15108160000000001</v>
      </c>
      <c r="R5330">
        <v>-3.0280990000000001E-2</v>
      </c>
      <c r="S5330">
        <v>3.07016</v>
      </c>
      <c r="T5330">
        <v>-0.20099839999999999</v>
      </c>
      <c r="U5330">
        <v>9.5764160000000001E-2</v>
      </c>
      <c r="V5330">
        <v>-6.6626099999999994E-2</v>
      </c>
      <c r="W5330">
        <v>0.16281970000000001</v>
      </c>
      <c r="X5330">
        <v>0.98440369999999999</v>
      </c>
      <c r="Y5330">
        <v>-0.12797320000000001</v>
      </c>
      <c r="Z5330">
        <v>1.055153E-2</v>
      </c>
      <c r="AA5330">
        <v>0.99172150000000003</v>
      </c>
      <c r="AB5330">
        <v>19</v>
      </c>
      <c r="AC5330">
        <v>16.881599999999899</v>
      </c>
      <c r="AD5330">
        <v>-1.1115231431229999</v>
      </c>
      <c r="AE5330">
        <v>0.537739999999999</v>
      </c>
      <c r="AF5330">
        <v>-2.1712970412119099</v>
      </c>
      <c r="AG5330">
        <v>-1.1115231431229999</v>
      </c>
      <c r="AH5330">
        <v>16.6765717215503</v>
      </c>
      <c r="AI5330">
        <v>93.781402511053201</v>
      </c>
      <c r="AJ5330">
        <v>97.418205565630799</v>
      </c>
      <c r="AK5330">
        <v>16.854022039943001</v>
      </c>
      <c r="AL5330">
        <v>80.629399940465703</v>
      </c>
      <c r="AM5330">
        <v>93.871969786469606</v>
      </c>
      <c r="AN5330">
        <v>0.99999996824149395</v>
      </c>
    </row>
    <row r="5331" spans="1:40" x14ac:dyDescent="0.25">
      <c r="A5331" t="str">
        <f>"20190312172517120"</f>
        <v>20190312172517120</v>
      </c>
      <c r="B5331" t="str">
        <f>"1552382717115612"</f>
        <v>1552382717115612</v>
      </c>
      <c r="C5331" t="s">
        <v>40</v>
      </c>
      <c r="D5331">
        <v>4.2974269999999999</v>
      </c>
      <c r="E5331">
        <v>0.48036859999999998</v>
      </c>
      <c r="F5331" t="s">
        <v>43</v>
      </c>
      <c r="G5331">
        <v>-357.93630000000002</v>
      </c>
      <c r="H5331" s="1">
        <v>-1.1322200000000001E-6</v>
      </c>
      <c r="I5331">
        <v>18.12454</v>
      </c>
      <c r="J5331">
        <v>-374.67860000000002</v>
      </c>
      <c r="K5331">
        <v>1.111507</v>
      </c>
      <c r="L5331">
        <v>17.582820000000002</v>
      </c>
      <c r="M5331">
        <v>0.9952955</v>
      </c>
      <c r="N5331">
        <v>0</v>
      </c>
      <c r="O5331">
        <v>-9.6130129999999994E-2</v>
      </c>
      <c r="P5331">
        <v>0.98811059999999995</v>
      </c>
      <c r="Q5331">
        <v>0.15088360000000001</v>
      </c>
      <c r="R5331">
        <v>-2.952892E-2</v>
      </c>
      <c r="S5331">
        <v>3.0701900000000002</v>
      </c>
      <c r="T5331">
        <v>-0.2024803</v>
      </c>
      <c r="U5331">
        <v>9.6984860000000006E-2</v>
      </c>
      <c r="V5331">
        <v>-6.6048579999999996E-2</v>
      </c>
      <c r="W5331">
        <v>0.16261979999999901</v>
      </c>
      <c r="X5331">
        <v>0.98447569999999995</v>
      </c>
      <c r="Y5331">
        <v>-0.12703219999999901</v>
      </c>
      <c r="Z5331">
        <v>1.0510210000000001E-2</v>
      </c>
      <c r="AA5331">
        <v>0.99184289999999997</v>
      </c>
      <c r="AB5331">
        <v>19</v>
      </c>
      <c r="AC5331">
        <v>16.7423</v>
      </c>
      <c r="AD5331">
        <v>-1.11150813222</v>
      </c>
      <c r="AE5331">
        <v>0.54171999999999798</v>
      </c>
      <c r="AF5331">
        <v>-2.13934829990863</v>
      </c>
      <c r="AG5331">
        <v>-1.11150813222</v>
      </c>
      <c r="AH5331">
        <v>16.539848292178601</v>
      </c>
      <c r="AI5331">
        <v>93.812932566123493</v>
      </c>
      <c r="AJ5331">
        <v>97.370009530923895</v>
      </c>
      <c r="AK5331">
        <v>16.714629610152802</v>
      </c>
      <c r="AL5331">
        <v>80.641008462270904</v>
      </c>
      <c r="AM5331">
        <v>93.838228143933094</v>
      </c>
      <c r="AN5331">
        <v>1.00000000908127</v>
      </c>
    </row>
    <row r="5332" spans="1:40" x14ac:dyDescent="0.25">
      <c r="A5332" t="str">
        <f>"20190312172517139"</f>
        <v>20190312172517139</v>
      </c>
      <c r="B5332" t="str">
        <f>"1552382717136108"</f>
        <v>1552382717136108</v>
      </c>
      <c r="C5332" t="s">
        <v>40</v>
      </c>
      <c r="D5332">
        <v>4.0983510000000001</v>
      </c>
      <c r="E5332">
        <v>0.48045500000000002</v>
      </c>
      <c r="F5332" t="s">
        <v>43</v>
      </c>
      <c r="G5332">
        <v>-357.95609999999999</v>
      </c>
      <c r="H5332" s="1">
        <v>-1.1212200000000001E-6</v>
      </c>
      <c r="I5332">
        <v>18.138719999999999</v>
      </c>
      <c r="J5332">
        <v>-374.53280000000001</v>
      </c>
      <c r="K5332">
        <v>1.111491</v>
      </c>
      <c r="L5332">
        <v>17.570799999999998</v>
      </c>
      <c r="M5332">
        <v>0.99545950000000005</v>
      </c>
      <c r="N5332">
        <v>0</v>
      </c>
      <c r="O5332">
        <v>-9.4416249999999993E-2</v>
      </c>
      <c r="P5332">
        <v>0.98813130000000005</v>
      </c>
      <c r="Q5332">
        <v>0.1507627</v>
      </c>
      <c r="R5332">
        <v>-2.944219E-2</v>
      </c>
      <c r="S5332">
        <v>3.0703130000000001</v>
      </c>
      <c r="T5332">
        <v>-0.2040776</v>
      </c>
      <c r="U5332">
        <v>0.1020813</v>
      </c>
      <c r="V5332">
        <v>-6.443024E-2</v>
      </c>
      <c r="W5332">
        <v>0.16249930000000001</v>
      </c>
      <c r="X5332">
        <v>0.9846028</v>
      </c>
      <c r="Y5332">
        <v>-0.1269641</v>
      </c>
      <c r="Z5332">
        <v>1.0476630000000001E-2</v>
      </c>
      <c r="AA5332">
        <v>0.99185199999999996</v>
      </c>
      <c r="AB5332">
        <v>19</v>
      </c>
      <c r="AC5332">
        <v>16.576699999999999</v>
      </c>
      <c r="AD5332">
        <v>-1.11149212122</v>
      </c>
      <c r="AE5332">
        <v>0.56792000000000398</v>
      </c>
      <c r="AF5332">
        <v>-2.1210817124966201</v>
      </c>
      <c r="AG5332">
        <v>-1.11149212122</v>
      </c>
      <c r="AH5332">
        <v>16.375476884219701</v>
      </c>
      <c r="AI5332">
        <v>93.850946202018207</v>
      </c>
      <c r="AJ5332">
        <v>97.380312720557697</v>
      </c>
      <c r="AK5332">
        <v>16.549641855709002</v>
      </c>
      <c r="AL5332">
        <v>80.648005363726597</v>
      </c>
      <c r="AM5332">
        <v>93.743971757558896</v>
      </c>
      <c r="AN5332">
        <v>0.99999997604739299</v>
      </c>
    </row>
    <row r="5333" spans="1:40" x14ac:dyDescent="0.25">
      <c r="A5333" t="str">
        <f>"20190312172517149"</f>
        <v>20190312172517149</v>
      </c>
      <c r="B5333" t="str">
        <f>"1552382717145868"</f>
        <v>1552382717145868</v>
      </c>
      <c r="C5333" t="s">
        <v>40</v>
      </c>
      <c r="D5333">
        <v>4.097658</v>
      </c>
      <c r="E5333">
        <v>0.48053829999999997</v>
      </c>
      <c r="F5333" t="s">
        <v>43</v>
      </c>
      <c r="G5333">
        <v>-357.8347</v>
      </c>
      <c r="H5333" s="1">
        <v>-1.1749730000000001E-6</v>
      </c>
      <c r="I5333">
        <v>18.129380000000001</v>
      </c>
      <c r="J5333">
        <v>-374.43560000000002</v>
      </c>
      <c r="K5333">
        <v>1.1114809999999999</v>
      </c>
      <c r="L5333">
        <v>17.562929999999898</v>
      </c>
      <c r="M5333">
        <v>0.99556560000000005</v>
      </c>
      <c r="N5333">
        <v>0</v>
      </c>
      <c r="O5333">
        <v>-9.3292020000000003E-2</v>
      </c>
      <c r="P5333">
        <v>0.98814020000000002</v>
      </c>
      <c r="Q5333">
        <v>0.15072720000000001</v>
      </c>
      <c r="R5333">
        <v>-2.9331320000000001E-2</v>
      </c>
      <c r="S5333">
        <v>3.0702820000000002</v>
      </c>
      <c r="T5333">
        <v>-0.2043701</v>
      </c>
      <c r="U5333">
        <v>0.1027222</v>
      </c>
      <c r="V5333">
        <v>-6.3422590000000001E-2</v>
      </c>
      <c r="W5333">
        <v>0.16246350000000001</v>
      </c>
      <c r="X5333">
        <v>0.98467420000000005</v>
      </c>
      <c r="Y5333">
        <v>-0.12605420000000001</v>
      </c>
      <c r="Z5333">
        <v>1.0386909999999999E-2</v>
      </c>
      <c r="AA5333">
        <v>0.99196899999999999</v>
      </c>
      <c r="AB5333">
        <v>19</v>
      </c>
      <c r="AC5333">
        <v>16.600899999999999</v>
      </c>
      <c r="AD5333">
        <v>-1.1114821749729999</v>
      </c>
      <c r="AE5333">
        <v>0.56644999999999901</v>
      </c>
      <c r="AF5333">
        <v>-2.103405575149</v>
      </c>
      <c r="AG5333">
        <v>-1.1114821749729999</v>
      </c>
      <c r="AH5333">
        <v>16.4021993059667</v>
      </c>
      <c r="AI5333">
        <v>93.845283078852702</v>
      </c>
      <c r="AJ5333">
        <v>97.307682388040405</v>
      </c>
      <c r="AK5333">
        <v>16.573830266764102</v>
      </c>
      <c r="AL5333">
        <v>80.650084845651506</v>
      </c>
      <c r="AM5333">
        <v>93.685314456383693</v>
      </c>
      <c r="AN5333">
        <v>1.00000004695009</v>
      </c>
    </row>
    <row r="5334" spans="1:40" x14ac:dyDescent="0.25">
      <c r="A5334" t="str">
        <f>"20190312172517162"</f>
        <v>20190312172517162</v>
      </c>
      <c r="B5334" t="str">
        <f>"1552382717155629"</f>
        <v>1552382717155629</v>
      </c>
      <c r="C5334" t="s">
        <v>40</v>
      </c>
      <c r="D5334">
        <v>4.2328950000000001</v>
      </c>
      <c r="E5334">
        <v>0.48051300000000002</v>
      </c>
      <c r="F5334" t="s">
        <v>43</v>
      </c>
      <c r="G5334">
        <v>-357.76240000000001</v>
      </c>
      <c r="H5334" s="1">
        <v>-1.2073089999999999E-6</v>
      </c>
      <c r="I5334">
        <v>18.121849999999998</v>
      </c>
      <c r="J5334">
        <v>-374.33429999999998</v>
      </c>
      <c r="K5334">
        <v>1.11147</v>
      </c>
      <c r="L5334">
        <v>17.554779999999901</v>
      </c>
      <c r="M5334">
        <v>0.99567430000000001</v>
      </c>
      <c r="N5334">
        <v>0</v>
      </c>
      <c r="O5334">
        <v>-9.2126189999999997E-2</v>
      </c>
      <c r="P5334">
        <v>0.98815410000000004</v>
      </c>
      <c r="Q5334">
        <v>0.1507029</v>
      </c>
      <c r="R5334">
        <v>-2.8988900000000001E-2</v>
      </c>
      <c r="S5334">
        <v>3.0702210000000001</v>
      </c>
      <c r="T5334">
        <v>-0.20466960000000001</v>
      </c>
      <c r="U5334">
        <v>0.10293579999999999</v>
      </c>
      <c r="V5334">
        <v>-6.2603980000000004E-2</v>
      </c>
      <c r="W5334">
        <v>0.16243769999999999</v>
      </c>
      <c r="X5334">
        <v>0.98473080000000002</v>
      </c>
      <c r="Y5334">
        <v>-0.1249657</v>
      </c>
      <c r="Z5334">
        <v>1.028864E-2</v>
      </c>
      <c r="AA5334">
        <v>0.99210770000000004</v>
      </c>
      <c r="AB5334">
        <v>19</v>
      </c>
      <c r="AC5334">
        <v>16.5718999999999</v>
      </c>
      <c r="AD5334">
        <v>-1.1114712073090001</v>
      </c>
      <c r="AE5334">
        <v>0.56707000000000096</v>
      </c>
      <c r="AF5334">
        <v>-2.0821200251097798</v>
      </c>
      <c r="AG5334">
        <v>-1.1114712073090001</v>
      </c>
      <c r="AH5334">
        <v>16.375592517848101</v>
      </c>
      <c r="AI5334">
        <v>93.852000779348003</v>
      </c>
      <c r="AJ5334">
        <v>97.246148943733402</v>
      </c>
      <c r="AK5334">
        <v>16.544806507005202</v>
      </c>
      <c r="AL5334">
        <v>80.651582596077802</v>
      </c>
      <c r="AM5334">
        <v>93.637667285987803</v>
      </c>
      <c r="AN5334">
        <v>1.0000000065808801</v>
      </c>
    </row>
    <row r="5335" spans="1:40" x14ac:dyDescent="0.25">
      <c r="A5335" t="str">
        <f>"20190312172517173"</f>
        <v>20190312172517173</v>
      </c>
      <c r="B5335" t="str">
        <f>"1552382717165388"</f>
        <v>1552382717165388</v>
      </c>
      <c r="C5335" t="s">
        <v>40</v>
      </c>
      <c r="D5335">
        <v>4.1143380000000001</v>
      </c>
      <c r="E5335">
        <v>0.48057749999999999</v>
      </c>
      <c r="F5335" t="s">
        <v>43</v>
      </c>
      <c r="G5335">
        <v>-357.76530000000002</v>
      </c>
      <c r="H5335" s="1">
        <v>-1.2065940000000001E-6</v>
      </c>
      <c r="I5335">
        <v>18.1189</v>
      </c>
      <c r="J5335">
        <v>-374.23309999999998</v>
      </c>
      <c r="K5335">
        <v>1.1114580000000001</v>
      </c>
      <c r="L5335">
        <v>17.546779999999998</v>
      </c>
      <c r="M5335">
        <v>0.99577939999999998</v>
      </c>
      <c r="N5335">
        <v>0</v>
      </c>
      <c r="O5335">
        <v>-9.0982540000000001E-2</v>
      </c>
      <c r="P5335">
        <v>0.98817089999999996</v>
      </c>
      <c r="Q5335">
        <v>0.15067420000000001</v>
      </c>
      <c r="R5335">
        <v>-2.8564829999999999E-2</v>
      </c>
      <c r="S5335">
        <v>3.0704039999999999</v>
      </c>
      <c r="T5335">
        <v>-0.2059667</v>
      </c>
      <c r="U5335">
        <v>0.1045532</v>
      </c>
      <c r="V5335">
        <v>-6.189008E-2</v>
      </c>
      <c r="W5335">
        <v>0.1624081</v>
      </c>
      <c r="X5335">
        <v>0.98478080000000001</v>
      </c>
      <c r="Y5335">
        <v>-0.1243442</v>
      </c>
      <c r="Z5335">
        <v>1.0255780000000001E-2</v>
      </c>
      <c r="AA5335">
        <v>0.99218609999999896</v>
      </c>
      <c r="AB5335">
        <v>19</v>
      </c>
      <c r="AC5335">
        <v>16.467799999999901</v>
      </c>
      <c r="AD5335">
        <v>-1.1114592065940001</v>
      </c>
      <c r="AE5335">
        <v>0.57212000000000096</v>
      </c>
      <c r="AF5335">
        <v>-2.0587711206321799</v>
      </c>
      <c r="AG5335">
        <v>-1.1114592065940001</v>
      </c>
      <c r="AH5335">
        <v>16.273392283736499</v>
      </c>
      <c r="AI5335">
        <v>93.876383811342393</v>
      </c>
      <c r="AJ5335">
        <v>97.210270139189802</v>
      </c>
      <c r="AK5335">
        <v>16.440717031670001</v>
      </c>
      <c r="AL5335">
        <v>80.653301298165502</v>
      </c>
      <c r="AM5335">
        <v>93.596112783957395</v>
      </c>
      <c r="AN5335">
        <v>0.99999999849832799</v>
      </c>
    </row>
    <row r="5336" spans="1:40" x14ac:dyDescent="0.25">
      <c r="A5336" t="str">
        <f>"20190312172517184"</f>
        <v>20190312172517184</v>
      </c>
      <c r="B5336" t="str">
        <f>"1552382717176125"</f>
        <v>1552382717176125</v>
      </c>
      <c r="C5336" t="s">
        <v>40</v>
      </c>
      <c r="D5336">
        <v>4.1046950000000004</v>
      </c>
      <c r="E5336">
        <v>0.48064180000000001</v>
      </c>
      <c r="F5336" t="s">
        <v>43</v>
      </c>
      <c r="G5336">
        <v>-357.6995</v>
      </c>
      <c r="H5336" s="1">
        <v>-1.2354230000000001E-6</v>
      </c>
      <c r="I5336">
        <v>18.11544</v>
      </c>
      <c r="J5336">
        <v>-374.13409999999999</v>
      </c>
      <c r="K5336">
        <v>1.1114470000000001</v>
      </c>
      <c r="L5336">
        <v>17.53903</v>
      </c>
      <c r="M5336">
        <v>0.9958806</v>
      </c>
      <c r="N5336">
        <v>0</v>
      </c>
      <c r="O5336">
        <v>-8.9869640000000001E-2</v>
      </c>
      <c r="P5336">
        <v>0.9882166</v>
      </c>
      <c r="Q5336">
        <v>0.15043299999999901</v>
      </c>
      <c r="R5336">
        <v>-2.8248100000000002E-2</v>
      </c>
      <c r="S5336">
        <v>3.0704349999999998</v>
      </c>
      <c r="T5336">
        <v>-0.2064078</v>
      </c>
      <c r="U5336">
        <v>0.1056213</v>
      </c>
      <c r="V5336">
        <v>-6.1100799999999997E-2</v>
      </c>
      <c r="W5336">
        <v>0.1621667</v>
      </c>
      <c r="X5336">
        <v>0.98486989999999996</v>
      </c>
      <c r="Y5336">
        <v>-0.12358189999999999</v>
      </c>
      <c r="Z5336">
        <v>1.0177429999999999E-2</v>
      </c>
      <c r="AA5336">
        <v>0.9922822</v>
      </c>
      <c r="AB5336">
        <v>19</v>
      </c>
      <c r="AC5336">
        <v>16.4345999999999</v>
      </c>
      <c r="AD5336">
        <v>-1.11144823542299</v>
      </c>
      <c r="AE5336">
        <v>0.57640999999999898</v>
      </c>
      <c r="AF5336">
        <v>-2.04182904238148</v>
      </c>
      <c r="AG5336">
        <v>-1.11144823542299</v>
      </c>
      <c r="AH5336">
        <v>16.242088896514399</v>
      </c>
      <c r="AI5336">
        <v>93.884177893667399</v>
      </c>
      <c r="AJ5336">
        <v>97.165192182043796</v>
      </c>
      <c r="AK5336">
        <v>16.4076151448226</v>
      </c>
      <c r="AL5336">
        <v>80.667318641696099</v>
      </c>
      <c r="AM5336">
        <v>93.550049485455304</v>
      </c>
      <c r="AN5336">
        <v>1.0000000331377601</v>
      </c>
    </row>
    <row r="5337" spans="1:40" x14ac:dyDescent="0.25">
      <c r="A5337" t="str">
        <f>"20190312172517196"</f>
        <v>20190312172517196</v>
      </c>
      <c r="B5337" t="str">
        <f>"1552382717185886"</f>
        <v>1552382717185886</v>
      </c>
      <c r="C5337" t="s">
        <v>40</v>
      </c>
      <c r="D5337">
        <v>4.1081390000000004</v>
      </c>
      <c r="E5337">
        <v>0.48071720000000001</v>
      </c>
      <c r="F5337" t="s">
        <v>43</v>
      </c>
      <c r="G5337">
        <v>-357.69040000000001</v>
      </c>
      <c r="H5337" s="1">
        <v>-1.240797E-6</v>
      </c>
      <c r="I5337">
        <v>18.107220000000002</v>
      </c>
      <c r="J5337">
        <v>-374.03390000000002</v>
      </c>
      <c r="K5337">
        <v>1.1114360000000001</v>
      </c>
      <c r="L5337">
        <v>17.53125</v>
      </c>
      <c r="M5337">
        <v>0.99598050000000005</v>
      </c>
      <c r="N5337">
        <v>0</v>
      </c>
      <c r="O5337">
        <v>-8.8756139999999997E-2</v>
      </c>
      <c r="P5337">
        <v>0.98825819999999998</v>
      </c>
      <c r="Q5337">
        <v>0.15023359999999999</v>
      </c>
      <c r="R5337">
        <v>-2.7847819999999999E-2</v>
      </c>
      <c r="S5337">
        <v>3.0704039999999999</v>
      </c>
      <c r="T5337">
        <v>-0.20753250000000001</v>
      </c>
      <c r="U5337">
        <v>0.1061096</v>
      </c>
      <c r="V5337">
        <v>-6.0394129999999997E-2</v>
      </c>
      <c r="W5337">
        <v>0.16196669999999999</v>
      </c>
      <c r="X5337">
        <v>0.9849464</v>
      </c>
      <c r="Y5337">
        <v>-0.1226298</v>
      </c>
      <c r="Z5337">
        <v>1.012572E-2</v>
      </c>
      <c r="AA5337">
        <v>0.99240079999999997</v>
      </c>
      <c r="AB5337">
        <v>19</v>
      </c>
      <c r="AC5337">
        <v>16.343499999999999</v>
      </c>
      <c r="AD5337">
        <v>-1.1114372407969999</v>
      </c>
      <c r="AE5337">
        <v>0.57597000000000098</v>
      </c>
      <c r="AF5337">
        <v>-2.0150803290737902</v>
      </c>
      <c r="AG5337">
        <v>-1.1114372407969999</v>
      </c>
      <c r="AH5337">
        <v>16.153253908473499</v>
      </c>
      <c r="AI5337">
        <v>93.905897590795703</v>
      </c>
      <c r="AJ5337">
        <v>97.110779282395299</v>
      </c>
      <c r="AK5337">
        <v>16.316355392809601</v>
      </c>
      <c r="AL5337">
        <v>80.678931354088405</v>
      </c>
      <c r="AM5337">
        <v>93.508822209361696</v>
      </c>
      <c r="AN5337">
        <v>1.00000003686015</v>
      </c>
    </row>
    <row r="5338" spans="1:40" x14ac:dyDescent="0.25">
      <c r="A5338" t="str">
        <f>"20190312172517208"</f>
        <v>20190312172517208</v>
      </c>
      <c r="B5338" t="str">
        <f>"1552382717206381"</f>
        <v>1552382717206381</v>
      </c>
      <c r="C5338" t="s">
        <v>40</v>
      </c>
      <c r="D5338">
        <v>4.1645649999999996</v>
      </c>
      <c r="E5338">
        <v>0.48081970000000002</v>
      </c>
      <c r="F5338" t="s">
        <v>43</v>
      </c>
      <c r="G5338">
        <v>-357.6533</v>
      </c>
      <c r="H5338" s="1">
        <v>-1.2577700000000001E-6</v>
      </c>
      <c r="I5338">
        <v>18.10134</v>
      </c>
      <c r="J5338">
        <v>-373.93779999999998</v>
      </c>
      <c r="K5338">
        <v>1.111424</v>
      </c>
      <c r="L5338">
        <v>17.523959999999999</v>
      </c>
      <c r="M5338">
        <v>0.99607420000000002</v>
      </c>
      <c r="N5338">
        <v>0</v>
      </c>
      <c r="O5338">
        <v>-8.7698429999999994E-2</v>
      </c>
      <c r="P5338">
        <v>0.98823669999999997</v>
      </c>
      <c r="Q5338">
        <v>0.1504219</v>
      </c>
      <c r="R5338">
        <v>-2.7596949999999999E-2</v>
      </c>
      <c r="S5338">
        <v>3.0703429999999998</v>
      </c>
      <c r="T5338">
        <v>-0.20832439999999999</v>
      </c>
      <c r="U5338">
        <v>0.1068726</v>
      </c>
      <c r="V5338">
        <v>-5.959006E-2</v>
      </c>
      <c r="W5338">
        <v>0.162154399999999</v>
      </c>
      <c r="X5338">
        <v>0.98496439999999996</v>
      </c>
      <c r="Y5338">
        <v>-0.1218235</v>
      </c>
      <c r="Z5338">
        <v>1.0065620000000001E-2</v>
      </c>
      <c r="AA5338">
        <v>0.99250070000000001</v>
      </c>
      <c r="AB5338">
        <v>19</v>
      </c>
      <c r="AC5338">
        <v>16.284499999999898</v>
      </c>
      <c r="AD5338">
        <v>-1.1114252577699999</v>
      </c>
      <c r="AE5338">
        <v>0.577380000000001</v>
      </c>
      <c r="AF5338">
        <v>-1.99410668223299</v>
      </c>
      <c r="AG5338">
        <v>-1.1114252577699999</v>
      </c>
      <c r="AH5338">
        <v>16.096224661144898</v>
      </c>
      <c r="AI5338">
        <v>93.920062985914996</v>
      </c>
      <c r="AJ5338">
        <v>97.062196554519701</v>
      </c>
      <c r="AK5338">
        <v>16.257311459948902</v>
      </c>
      <c r="AL5338">
        <v>80.668032021294096</v>
      </c>
      <c r="AM5338">
        <v>93.462158046475096</v>
      </c>
      <c r="AN5338">
        <v>0.99999994697876005</v>
      </c>
    </row>
    <row r="5339" spans="1:40" x14ac:dyDescent="0.25">
      <c r="A5339" t="str">
        <f>"20190312172517221"</f>
        <v>20190312172517221</v>
      </c>
      <c r="B5339" t="str">
        <f>"1552382717216141"</f>
        <v>1552382717216141</v>
      </c>
      <c r="C5339" t="s">
        <v>40</v>
      </c>
      <c r="D5339">
        <v>4.1139549999999998</v>
      </c>
      <c r="E5339">
        <v>0.48089599999999999</v>
      </c>
      <c r="F5339" t="s">
        <v>43</v>
      </c>
      <c r="G5339">
        <v>-357.55849999999998</v>
      </c>
      <c r="H5339" s="1">
        <v>-1.29963E-6</v>
      </c>
      <c r="I5339">
        <v>18.094639999999998</v>
      </c>
      <c r="J5339">
        <v>-373.82810000000001</v>
      </c>
      <c r="K5339">
        <v>1.1114139999999999</v>
      </c>
      <c r="L5339">
        <v>17.51566</v>
      </c>
      <c r="M5339">
        <v>0.99617929999999999</v>
      </c>
      <c r="N5339">
        <v>0</v>
      </c>
      <c r="O5339">
        <v>-8.6498169999999999E-2</v>
      </c>
      <c r="P5339">
        <v>0.98828640000000001</v>
      </c>
      <c r="Q5339">
        <v>0.150173</v>
      </c>
      <c r="R5339">
        <v>-2.7172999999999999E-2</v>
      </c>
      <c r="S5339">
        <v>3.0704039999999999</v>
      </c>
      <c r="T5339">
        <v>-0.20834330000000001</v>
      </c>
      <c r="U5339">
        <v>0.1069946</v>
      </c>
      <c r="V5339">
        <v>-5.8821289999999998E-2</v>
      </c>
      <c r="W5339">
        <v>0.16190599999999999</v>
      </c>
      <c r="X5339">
        <v>0.98505149999999997</v>
      </c>
      <c r="Y5339">
        <v>-0.1206715</v>
      </c>
      <c r="Z5339">
        <v>9.9461359999999995E-3</v>
      </c>
      <c r="AA5339">
        <v>0.99264260000000004</v>
      </c>
      <c r="AB5339">
        <v>19</v>
      </c>
      <c r="AC5339">
        <v>16.269600000000001</v>
      </c>
      <c r="AD5339">
        <v>-1.11141529963</v>
      </c>
      <c r="AE5339">
        <v>0.57897999999999705</v>
      </c>
      <c r="AF5339">
        <v>-1.97499741527557</v>
      </c>
      <c r="AG5339">
        <v>-1.11141529963</v>
      </c>
      <c r="AH5339">
        <v>16.083568130259</v>
      </c>
      <c r="AI5339">
        <v>93.923621343517695</v>
      </c>
      <c r="AJ5339">
        <v>97.000644213912096</v>
      </c>
      <c r="AK5339">
        <v>16.2424450917736</v>
      </c>
      <c r="AL5339">
        <v>80.682455165540404</v>
      </c>
      <c r="AM5339">
        <v>93.417297908291403</v>
      </c>
      <c r="AN5339">
        <v>0.99999997732275603</v>
      </c>
    </row>
    <row r="5340" spans="1:40" x14ac:dyDescent="0.25">
      <c r="A5340" t="str">
        <f>"20190312172517240"</f>
        <v>20190312172517240</v>
      </c>
      <c r="B5340" t="str">
        <f>"1552382717235660"</f>
        <v>1552382717235660</v>
      </c>
      <c r="C5340" t="s">
        <v>40</v>
      </c>
      <c r="D5340">
        <v>4.1581289999999997</v>
      </c>
      <c r="E5340">
        <v>0.48105320000000001</v>
      </c>
      <c r="F5340" t="s">
        <v>43</v>
      </c>
      <c r="G5340">
        <v>-357.5428</v>
      </c>
      <c r="H5340" s="1">
        <v>-1.3076439999999999E-6</v>
      </c>
      <c r="I5340">
        <v>18.087440000000001</v>
      </c>
      <c r="J5340">
        <v>-373.66660000000002</v>
      </c>
      <c r="K5340">
        <v>1.1113900000000001</v>
      </c>
      <c r="L5340">
        <v>17.503720000000001</v>
      </c>
      <c r="M5340">
        <v>0.99632810000000005</v>
      </c>
      <c r="N5340">
        <v>0</v>
      </c>
      <c r="O5340">
        <v>-8.4767869999999995E-2</v>
      </c>
      <c r="P5340">
        <v>0.98831139999999995</v>
      </c>
      <c r="Q5340">
        <v>0.15007429999999999</v>
      </c>
      <c r="R5340">
        <v>-2.6810380000000002E-2</v>
      </c>
      <c r="S5340">
        <v>3.0703740000000002</v>
      </c>
      <c r="T5340">
        <v>-0.20954229999999999</v>
      </c>
      <c r="U5340">
        <v>0.1078186</v>
      </c>
      <c r="V5340">
        <v>-5.7462359999999997E-2</v>
      </c>
      <c r="W5340">
        <v>0.16180810000000001</v>
      </c>
      <c r="X5340">
        <v>0.98514780000000002</v>
      </c>
      <c r="Y5340">
        <v>-0.11921569999999999</v>
      </c>
      <c r="Z5340">
        <v>9.8360219999999998E-3</v>
      </c>
      <c r="AA5340">
        <v>0.99281969999999997</v>
      </c>
      <c r="AB5340">
        <v>19</v>
      </c>
      <c r="AC5340">
        <v>16.123799999999999</v>
      </c>
      <c r="AD5340">
        <v>-1.1113913076439901</v>
      </c>
      <c r="AE5340">
        <v>0.58371999999999902</v>
      </c>
      <c r="AF5340">
        <v>-1.9392959889405099</v>
      </c>
      <c r="AG5340">
        <v>-1.1113913076439901</v>
      </c>
      <c r="AH5340">
        <v>15.9406360408809</v>
      </c>
      <c r="AI5340">
        <v>93.959147148589395</v>
      </c>
      <c r="AJ5340">
        <v>96.9363677361914</v>
      </c>
      <c r="AK5340">
        <v>16.0965815302274</v>
      </c>
      <c r="AL5340">
        <v>80.688139454217605</v>
      </c>
      <c r="AM5340">
        <v>93.338204206720405</v>
      </c>
      <c r="AN5340">
        <v>0.99999998594360895</v>
      </c>
    </row>
    <row r="5341" spans="1:40" x14ac:dyDescent="0.25">
      <c r="A5341" t="str">
        <f>"20190312172517264"</f>
        <v>20190312172517264</v>
      </c>
      <c r="B5341" t="str">
        <f>"1552382717256158"</f>
        <v>1552382717256158</v>
      </c>
      <c r="C5341" t="s">
        <v>40</v>
      </c>
      <c r="D5341">
        <v>4.0891299999999999</v>
      </c>
      <c r="E5341">
        <v>0.48114679999999999</v>
      </c>
      <c r="F5341" t="s">
        <v>43</v>
      </c>
      <c r="G5341">
        <v>-357.48469999999998</v>
      </c>
      <c r="H5341" s="1">
        <v>-1.3351210000000001E-6</v>
      </c>
      <c r="I5341">
        <v>18.07283</v>
      </c>
      <c r="J5341">
        <v>-373.46550000000002</v>
      </c>
      <c r="K5341">
        <v>1.111367</v>
      </c>
      <c r="L5341">
        <v>17.4892</v>
      </c>
      <c r="M5341">
        <v>0.99650470000000002</v>
      </c>
      <c r="N5341">
        <v>0</v>
      </c>
      <c r="O5341">
        <v>-8.2666340000000005E-2</v>
      </c>
      <c r="P5341">
        <v>0.98834350000000004</v>
      </c>
      <c r="Q5341">
        <v>0.15006149999999999</v>
      </c>
      <c r="R5341">
        <v>-2.567827E-2</v>
      </c>
      <c r="S5341">
        <v>3.0704349999999998</v>
      </c>
      <c r="T5341">
        <v>-0.2108816</v>
      </c>
      <c r="U5341">
        <v>0.10800170000000001</v>
      </c>
      <c r="V5341">
        <v>-5.6499929999999997E-2</v>
      </c>
      <c r="W5341">
        <v>0.16179489999999999</v>
      </c>
      <c r="X5341">
        <v>0.98520569999999996</v>
      </c>
      <c r="Y5341">
        <v>-0.1171836</v>
      </c>
      <c r="Z5341">
        <v>9.685005E-3</v>
      </c>
      <c r="AA5341">
        <v>0.99306300000000003</v>
      </c>
      <c r="AB5341">
        <v>19</v>
      </c>
      <c r="AC5341">
        <v>15.9808</v>
      </c>
      <c r="AD5341">
        <v>-1.111368335121</v>
      </c>
      <c r="AE5341">
        <v>0.58362999999999898</v>
      </c>
      <c r="AF5341">
        <v>-1.89365570816318</v>
      </c>
      <c r="AG5341">
        <v>-1.111368335121</v>
      </c>
      <c r="AH5341">
        <v>15.801524098819399</v>
      </c>
      <c r="AI5341">
        <v>93.9946688085424</v>
      </c>
      <c r="AJ5341">
        <v>96.833739842133895</v>
      </c>
      <c r="AK5341">
        <v>15.953345585266399</v>
      </c>
      <c r="AL5341">
        <v>80.688906473314901</v>
      </c>
      <c r="AM5341">
        <v>93.282223842901601</v>
      </c>
      <c r="AN5341">
        <v>1.00000005153425</v>
      </c>
    </row>
    <row r="5342" spans="1:40" x14ac:dyDescent="0.25">
      <c r="A5342" t="str">
        <f>"20190312172517285"</f>
        <v>20190312172517285</v>
      </c>
      <c r="B5342" t="str">
        <f>"1552382717275676"</f>
        <v>1552382717275676</v>
      </c>
      <c r="C5342" t="s">
        <v>40</v>
      </c>
      <c r="D5342">
        <v>4.1249209999999996</v>
      </c>
      <c r="E5342">
        <v>0.48132560000000002</v>
      </c>
      <c r="F5342" t="s">
        <v>43</v>
      </c>
      <c r="G5342">
        <v>-357.40929999999997</v>
      </c>
      <c r="H5342" s="1">
        <v>-1.3684319999999999E-6</v>
      </c>
      <c r="I5342">
        <v>18.067430000000002</v>
      </c>
      <c r="J5342">
        <v>-373.28230000000002</v>
      </c>
      <c r="K5342">
        <v>1.111337</v>
      </c>
      <c r="L5342">
        <v>17.476229999999902</v>
      </c>
      <c r="M5342">
        <v>0.99665760000000003</v>
      </c>
      <c r="N5342">
        <v>0</v>
      </c>
      <c r="O5342">
        <v>-8.0804780000000007E-2</v>
      </c>
      <c r="P5342">
        <v>0.98841440000000003</v>
      </c>
      <c r="Q5342">
        <v>0.14977480000000001</v>
      </c>
      <c r="R5342">
        <v>-2.4593819999999999E-2</v>
      </c>
      <c r="S5342">
        <v>3.0705260000000001</v>
      </c>
      <c r="T5342">
        <v>-0.2125349</v>
      </c>
      <c r="U5342">
        <v>0.11059570000000001</v>
      </c>
      <c r="V5342">
        <v>-5.5730700000000001E-2</v>
      </c>
      <c r="W5342">
        <v>0.16150889999999901</v>
      </c>
      <c r="X5342">
        <v>0.98529639999999996</v>
      </c>
      <c r="Y5342">
        <v>-0.116165</v>
      </c>
      <c r="Z5342">
        <v>9.5967299999999995E-3</v>
      </c>
      <c r="AA5342">
        <v>0.99318360000000006</v>
      </c>
      <c r="AB5342">
        <v>19</v>
      </c>
      <c r="AC5342">
        <v>15.872999999999999</v>
      </c>
      <c r="AD5342">
        <v>-1.111338368432</v>
      </c>
      <c r="AE5342">
        <v>0.59119999999999995</v>
      </c>
      <c r="AF5342">
        <v>-1.8628541475207501</v>
      </c>
      <c r="AG5342">
        <v>-1.111338368432</v>
      </c>
      <c r="AH5342">
        <v>15.6964739714573</v>
      </c>
      <c r="AI5342">
        <v>94.021754880572502</v>
      </c>
      <c r="AJ5342">
        <v>96.768192821178104</v>
      </c>
      <c r="AK5342">
        <v>15.8456490457387</v>
      </c>
      <c r="AL5342">
        <v>80.705511121528801</v>
      </c>
      <c r="AM5342">
        <v>93.237335643162396</v>
      </c>
      <c r="AN5342">
        <v>1.0000000157773199</v>
      </c>
    </row>
    <row r="5343" spans="1:40" x14ac:dyDescent="0.25">
      <c r="A5343" t="str">
        <f>"20190312172517297"</f>
        <v>20190312172517297</v>
      </c>
      <c r="B5343" t="str">
        <f>"1552382717286413"</f>
        <v>1552382717286413</v>
      </c>
      <c r="C5343" t="s">
        <v>40</v>
      </c>
      <c r="D5343">
        <v>4.0901509999999996</v>
      </c>
      <c r="E5343">
        <v>0.48142069999999998</v>
      </c>
      <c r="F5343" t="s">
        <v>43</v>
      </c>
      <c r="G5343">
        <v>-357.36</v>
      </c>
      <c r="H5343" s="1">
        <v>-1.391296E-6</v>
      </c>
      <c r="I5343">
        <v>18.057880000000001</v>
      </c>
      <c r="J5343">
        <v>-373.17939999999999</v>
      </c>
      <c r="K5343">
        <v>1.111318</v>
      </c>
      <c r="L5343">
        <v>17.46912</v>
      </c>
      <c r="M5343">
        <v>0.99674039999999997</v>
      </c>
      <c r="N5343">
        <v>0</v>
      </c>
      <c r="O5343">
        <v>-7.9775600000000002E-2</v>
      </c>
      <c r="P5343">
        <v>0.98848550000000002</v>
      </c>
      <c r="Q5343">
        <v>0.14940709999999999</v>
      </c>
      <c r="R5343">
        <v>-2.395893E-2</v>
      </c>
      <c r="S5343">
        <v>3.070465</v>
      </c>
      <c r="T5343">
        <v>-0.214311</v>
      </c>
      <c r="U5343">
        <v>0.11218259999999999</v>
      </c>
      <c r="V5343">
        <v>-5.5343160000000002E-2</v>
      </c>
      <c r="W5343">
        <v>0.16114220000000001</v>
      </c>
      <c r="X5343">
        <v>0.98537830000000004</v>
      </c>
      <c r="Y5343">
        <v>-0.1156486</v>
      </c>
      <c r="Z5343">
        <v>9.587267E-3</v>
      </c>
      <c r="AA5343">
        <v>0.99324389999999996</v>
      </c>
      <c r="AB5343">
        <v>19</v>
      </c>
      <c r="AC5343">
        <v>15.8193999999999</v>
      </c>
      <c r="AD5343">
        <v>-1.111319391296</v>
      </c>
      <c r="AE5343">
        <v>0.58875999999999695</v>
      </c>
      <c r="AF5343">
        <v>-1.8399089195517599</v>
      </c>
      <c r="AG5343">
        <v>-1.111319391296</v>
      </c>
      <c r="AH5343">
        <v>15.6448991310341</v>
      </c>
      <c r="AI5343">
        <v>94.0354045027604</v>
      </c>
      <c r="AJ5343">
        <v>96.707425791175893</v>
      </c>
      <c r="AK5343">
        <v>15.791870200896</v>
      </c>
      <c r="AL5343">
        <v>80.726800516904007</v>
      </c>
      <c r="AM5343">
        <v>93.214604607137602</v>
      </c>
      <c r="AN5343">
        <v>1.00000003404525</v>
      </c>
    </row>
    <row r="5344" spans="1:40" x14ac:dyDescent="0.25">
      <c r="A5344" t="str">
        <f>"20190312172517309"</f>
        <v>20190312172517309</v>
      </c>
      <c r="B5344" t="str">
        <f>"1552382717296173"</f>
        <v>1552382717296173</v>
      </c>
      <c r="C5344" t="s">
        <v>40</v>
      </c>
      <c r="D5344">
        <v>4.0932649999999997</v>
      </c>
      <c r="E5344">
        <v>0.4814794</v>
      </c>
      <c r="F5344" t="s">
        <v>43</v>
      </c>
      <c r="G5344">
        <v>-357.36939999999998</v>
      </c>
      <c r="H5344" s="1">
        <v>-1.388156E-6</v>
      </c>
      <c r="I5344">
        <v>18.052820000000001</v>
      </c>
      <c r="J5344">
        <v>-373.0813</v>
      </c>
      <c r="K5344">
        <v>1.1113040000000001</v>
      </c>
      <c r="L5344">
        <v>17.462399999999999</v>
      </c>
      <c r="M5344">
        <v>0.99681739999999996</v>
      </c>
      <c r="N5344">
        <v>0</v>
      </c>
      <c r="O5344">
        <v>-7.8809100000000007E-2</v>
      </c>
      <c r="P5344">
        <v>0.98847629999999997</v>
      </c>
      <c r="Q5344">
        <v>0.14953239999999901</v>
      </c>
      <c r="R5344">
        <v>-2.3558610000000001E-2</v>
      </c>
      <c r="S5344">
        <v>3.0703130000000001</v>
      </c>
      <c r="T5344">
        <v>-0.2158196</v>
      </c>
      <c r="U5344">
        <v>0.1133728</v>
      </c>
      <c r="V5344">
        <v>-5.4780059999999998E-2</v>
      </c>
      <c r="W5344">
        <v>0.16126789999999999</v>
      </c>
      <c r="X5344">
        <v>0.98538919999999997</v>
      </c>
      <c r="Y5344">
        <v>-0.1150689</v>
      </c>
      <c r="Z5344">
        <v>9.5669499999999994E-3</v>
      </c>
      <c r="AA5344">
        <v>0.99331150000000001</v>
      </c>
      <c r="AB5344">
        <v>19</v>
      </c>
      <c r="AC5344">
        <v>15.7119</v>
      </c>
      <c r="AD5344">
        <v>-1.111305388156</v>
      </c>
      <c r="AE5344">
        <v>0.59042000000000106</v>
      </c>
      <c r="AF5344">
        <v>-1.8178320014701701</v>
      </c>
      <c r="AG5344">
        <v>-1.111305388156</v>
      </c>
      <c r="AH5344">
        <v>15.5388632602493</v>
      </c>
      <c r="AI5344">
        <v>94.063088484740007</v>
      </c>
      <c r="AJ5344">
        <v>96.672484397437699</v>
      </c>
      <c r="AK5344">
        <v>15.6842527482835</v>
      </c>
      <c r="AL5344">
        <v>80.719502983184697</v>
      </c>
      <c r="AM5344">
        <v>93.181929401715195</v>
      </c>
      <c r="AN5344">
        <v>1.00000003301032</v>
      </c>
    </row>
    <row r="5345" spans="1:40" x14ac:dyDescent="0.25">
      <c r="A5345" t="str">
        <f>"20190312172517322"</f>
        <v>20190312172517322</v>
      </c>
      <c r="B5345" t="str">
        <f>"1552382717315693"</f>
        <v>1552382717315693</v>
      </c>
      <c r="C5345" t="s">
        <v>40</v>
      </c>
      <c r="D5345">
        <v>4.1213620000000004</v>
      </c>
      <c r="E5345">
        <v>0.4816513</v>
      </c>
      <c r="F5345" t="s">
        <v>43</v>
      </c>
      <c r="G5345">
        <v>-357.24200000000002</v>
      </c>
      <c r="H5345" s="1">
        <v>-1.4429939999999901E-6</v>
      </c>
      <c r="I5345">
        <v>18.051760000000002</v>
      </c>
      <c r="J5345">
        <v>-372.96879999999999</v>
      </c>
      <c r="K5345">
        <v>1.1112869999999999</v>
      </c>
      <c r="L5345">
        <v>17.454740000000001</v>
      </c>
      <c r="M5345">
        <v>0.99690369999999995</v>
      </c>
      <c r="N5345">
        <v>0</v>
      </c>
      <c r="O5345">
        <v>-7.7710669999999996E-2</v>
      </c>
      <c r="P5345">
        <v>0.9884655</v>
      </c>
      <c r="Q5345">
        <v>0.1497193</v>
      </c>
      <c r="R5345">
        <v>-2.281561E-2</v>
      </c>
      <c r="S5345">
        <v>3.0702820000000002</v>
      </c>
      <c r="T5345">
        <v>-0.21541550000000001</v>
      </c>
      <c r="U5345">
        <v>0.11425780000000001</v>
      </c>
      <c r="V5345">
        <v>-5.442644E-2</v>
      </c>
      <c r="W5345">
        <v>0.16145379999999901</v>
      </c>
      <c r="X5345">
        <v>0.98537830000000004</v>
      </c>
      <c r="Y5345">
        <v>-0.1142671</v>
      </c>
      <c r="Z5345">
        <v>9.4442269999999995E-3</v>
      </c>
      <c r="AA5345">
        <v>0.99340519999999999</v>
      </c>
      <c r="AB5345">
        <v>19</v>
      </c>
      <c r="AC5345">
        <v>15.726800000000001</v>
      </c>
      <c r="AD5345">
        <v>-1.111288442994</v>
      </c>
      <c r="AE5345">
        <v>0.59702</v>
      </c>
      <c r="AF5345">
        <v>-1.80842582026149</v>
      </c>
      <c r="AG5345">
        <v>-1.111288442994</v>
      </c>
      <c r="AH5345">
        <v>15.5552786371848</v>
      </c>
      <c r="AI5345">
        <v>94.059092306655003</v>
      </c>
      <c r="AJ5345">
        <v>96.631324367567899</v>
      </c>
      <c r="AK5345">
        <v>15.6994286339146</v>
      </c>
      <c r="AL5345">
        <v>80.708709772519896</v>
      </c>
      <c r="AM5345">
        <v>93.161465892728401</v>
      </c>
      <c r="AN5345">
        <v>0.99999998050820105</v>
      </c>
    </row>
    <row r="5346" spans="1:40" x14ac:dyDescent="0.25">
      <c r="A5346" t="str">
        <f>"20190312172517340"</f>
        <v>20190312172517340</v>
      </c>
      <c r="B5346" t="str">
        <f>"1552382717336189"</f>
        <v>1552382717336189</v>
      </c>
      <c r="C5346" t="s">
        <v>40</v>
      </c>
      <c r="D5346">
        <v>4.1371019999999996</v>
      </c>
      <c r="E5346">
        <v>0.48182930000000002</v>
      </c>
      <c r="F5346" t="s">
        <v>43</v>
      </c>
      <c r="G5346">
        <v>-357.13080000000002</v>
      </c>
      <c r="H5346" s="1">
        <v>-1.4911809999999999E-6</v>
      </c>
      <c r="I5346">
        <v>18.049099999999999</v>
      </c>
      <c r="J5346">
        <v>-372.81619999999998</v>
      </c>
      <c r="K5346">
        <v>1.11127</v>
      </c>
      <c r="L5346">
        <v>17.444579999999998</v>
      </c>
      <c r="M5346">
        <v>0.99701589999999995</v>
      </c>
      <c r="N5346">
        <v>0</v>
      </c>
      <c r="O5346">
        <v>-7.6257899999999906E-2</v>
      </c>
      <c r="P5346">
        <v>0.98847119999999999</v>
      </c>
      <c r="Q5346">
        <v>0.14974999999999999</v>
      </c>
      <c r="R5346">
        <v>-2.2360430000000001E-2</v>
      </c>
      <c r="S5346">
        <v>3.0702509999999998</v>
      </c>
      <c r="T5346">
        <v>-0.21542720000000001</v>
      </c>
      <c r="U5346">
        <v>0.1152344</v>
      </c>
      <c r="V5346">
        <v>-5.343378E-2</v>
      </c>
      <c r="W5346">
        <v>0.1614862</v>
      </c>
      <c r="X5346">
        <v>0.98542730000000001</v>
      </c>
      <c r="Y5346">
        <v>-0.11314159999999999</v>
      </c>
      <c r="Z5346">
        <v>9.3037429999999997E-3</v>
      </c>
      <c r="AA5346">
        <v>0.99353530000000001</v>
      </c>
      <c r="AB5346">
        <v>19</v>
      </c>
      <c r="AC5346">
        <v>15.6853999999999</v>
      </c>
      <c r="AD5346">
        <v>-1.111271491181</v>
      </c>
      <c r="AE5346">
        <v>0.60451999999999995</v>
      </c>
      <c r="AF5346">
        <v>-1.7900098779704501</v>
      </c>
      <c r="AG5346">
        <v>-1.111271491181</v>
      </c>
      <c r="AH5346">
        <v>15.515852484059</v>
      </c>
      <c r="AI5346">
        <v>94.069723292176903</v>
      </c>
      <c r="AJ5346">
        <v>96.580921384098502</v>
      </c>
      <c r="AK5346">
        <v>15.6582482416592</v>
      </c>
      <c r="AL5346">
        <v>80.706828537346297</v>
      </c>
      <c r="AM5346">
        <v>93.103765053462695</v>
      </c>
      <c r="AN5346">
        <v>0.99999996261040802</v>
      </c>
    </row>
    <row r="5347" spans="1:40" x14ac:dyDescent="0.25">
      <c r="A5347" t="str">
        <f>"20190312172517351"</f>
        <v>20190312172517351</v>
      </c>
      <c r="B5347" t="str">
        <f>"1552382717345949"</f>
        <v>1552382717345949</v>
      </c>
      <c r="C5347" t="s">
        <v>40</v>
      </c>
      <c r="D5347">
        <v>4.2855179999999997</v>
      </c>
      <c r="E5347">
        <v>0.48182930000000002</v>
      </c>
      <c r="F5347" t="s">
        <v>43</v>
      </c>
      <c r="G5347">
        <v>-357.0052</v>
      </c>
      <c r="H5347" s="1">
        <v>-1.5465970000000001E-6</v>
      </c>
      <c r="I5347">
        <v>18.04026</v>
      </c>
      <c r="J5347">
        <v>-372.72</v>
      </c>
      <c r="K5347">
        <v>1.111256</v>
      </c>
      <c r="L5347">
        <v>17.438320000000001</v>
      </c>
      <c r="M5347">
        <v>0.99708390000000002</v>
      </c>
      <c r="N5347">
        <v>0</v>
      </c>
      <c r="O5347">
        <v>-7.5363869999999999E-2</v>
      </c>
      <c r="P5347">
        <v>0.98851440000000002</v>
      </c>
      <c r="Q5347">
        <v>0.14950289999999999</v>
      </c>
      <c r="R5347">
        <v>-2.2101949999999999E-2</v>
      </c>
      <c r="S5347">
        <v>3.0703429999999998</v>
      </c>
      <c r="T5347">
        <v>-0.2157992</v>
      </c>
      <c r="U5347">
        <v>0.11569210000000001</v>
      </c>
      <c r="V5347">
        <v>-5.2803929999999999E-2</v>
      </c>
      <c r="W5347">
        <v>0.16123870000000001</v>
      </c>
      <c r="X5347">
        <v>0.98550179999999998</v>
      </c>
      <c r="Y5347">
        <v>-0.1123999</v>
      </c>
      <c r="Z5347">
        <v>9.2308019999999998E-3</v>
      </c>
      <c r="AA5347">
        <v>0.99362019999999995</v>
      </c>
      <c r="AB5347">
        <v>19</v>
      </c>
      <c r="AC5347">
        <v>15.7148</v>
      </c>
      <c r="AD5347">
        <v>-1.111257546597</v>
      </c>
      <c r="AE5347">
        <v>0.60193999999999903</v>
      </c>
      <c r="AF5347">
        <v>-1.77577459423872</v>
      </c>
      <c r="AG5347">
        <v>-1.111257546597</v>
      </c>
      <c r="AH5347">
        <v>15.547105337536699</v>
      </c>
      <c r="AI5347">
        <v>94.062045255125199</v>
      </c>
      <c r="AJ5347">
        <v>96.516027720583807</v>
      </c>
      <c r="AK5347">
        <v>15.687598704737299</v>
      </c>
      <c r="AL5347">
        <v>80.721197761393896</v>
      </c>
      <c r="AM5347">
        <v>93.067018307809093</v>
      </c>
      <c r="AN5347">
        <v>0.99999998560218695</v>
      </c>
    </row>
    <row r="5348" spans="1:40" x14ac:dyDescent="0.25">
      <c r="A5348" t="str">
        <f>"20190312172517364"</f>
        <v>20190312172517364</v>
      </c>
      <c r="B5348" t="str">
        <f>"1552382717355709"</f>
        <v>1552382717355709</v>
      </c>
      <c r="C5348" t="s">
        <v>40</v>
      </c>
      <c r="D5348">
        <v>4.2359589999999896</v>
      </c>
      <c r="E5348">
        <v>0.48185499999999998</v>
      </c>
      <c r="F5348" t="s">
        <v>43</v>
      </c>
      <c r="G5348">
        <v>-356.96730000000002</v>
      </c>
      <c r="H5348" s="1">
        <v>-1.56360899999999E-6</v>
      </c>
      <c r="I5348">
        <v>18.036059999999999</v>
      </c>
      <c r="J5348">
        <v>-372.61090000000002</v>
      </c>
      <c r="K5348">
        <v>1.1112420000000001</v>
      </c>
      <c r="L5348">
        <v>17.43121</v>
      </c>
      <c r="M5348">
        <v>0.99715940000000003</v>
      </c>
      <c r="N5348">
        <v>0</v>
      </c>
      <c r="O5348">
        <v>-7.436007E-2</v>
      </c>
      <c r="P5348">
        <v>0.98857399999999995</v>
      </c>
      <c r="Q5348">
        <v>0.1492115</v>
      </c>
      <c r="R5348">
        <v>-2.139638E-2</v>
      </c>
      <c r="S5348">
        <v>3.0702210000000001</v>
      </c>
      <c r="T5348">
        <v>-0.21658659999999999</v>
      </c>
      <c r="U5348">
        <v>0.1165161</v>
      </c>
      <c r="V5348">
        <v>-5.2511389999999998E-2</v>
      </c>
      <c r="W5348">
        <v>0.16094269999999999</v>
      </c>
      <c r="X5348">
        <v>0.98556580000000005</v>
      </c>
      <c r="Y5348">
        <v>-0.1116683</v>
      </c>
      <c r="Z5348">
        <v>9.1683589999999992E-3</v>
      </c>
      <c r="AA5348">
        <v>0.99370320000000001</v>
      </c>
      <c r="AB5348">
        <v>19</v>
      </c>
      <c r="AC5348">
        <v>15.6435999999999</v>
      </c>
      <c r="AD5348">
        <v>-1.1112435636089999</v>
      </c>
      <c r="AE5348">
        <v>0.604849999999999</v>
      </c>
      <c r="AF5348">
        <v>-1.7576621122479601</v>
      </c>
      <c r="AG5348">
        <v>-1.1112435636089999</v>
      </c>
      <c r="AH5348">
        <v>15.477322268675501</v>
      </c>
      <c r="AI5348">
        <v>94.080546637010698</v>
      </c>
      <c r="AJ5348">
        <v>96.478963888851297</v>
      </c>
      <c r="AK5348">
        <v>15.616393404590401</v>
      </c>
      <c r="AL5348">
        <v>80.738381619085104</v>
      </c>
      <c r="AM5348">
        <v>93.049861147609406</v>
      </c>
      <c r="AN5348">
        <v>0.99999997244632999</v>
      </c>
    </row>
    <row r="5349" spans="1:40" x14ac:dyDescent="0.25">
      <c r="A5349" t="str">
        <f>"20190312172517376"</f>
        <v>20190312172517376</v>
      </c>
      <c r="B5349" t="str">
        <f>"1552382717365469"</f>
        <v>1552382717365469</v>
      </c>
      <c r="C5349" t="s">
        <v>40</v>
      </c>
      <c r="D5349">
        <v>4.142811</v>
      </c>
      <c r="E5349">
        <v>0.48191679999999998</v>
      </c>
      <c r="F5349" t="s">
        <v>43</v>
      </c>
      <c r="G5349">
        <v>-356.97820000000002</v>
      </c>
      <c r="H5349" s="1">
        <v>-1.5593470000000001E-6</v>
      </c>
      <c r="I5349">
        <v>18.033729999999998</v>
      </c>
      <c r="J5349">
        <v>-372.50700000000001</v>
      </c>
      <c r="K5349">
        <v>1.111224</v>
      </c>
      <c r="L5349">
        <v>17.424589999999998</v>
      </c>
      <c r="M5349">
        <v>0.99722900000000003</v>
      </c>
      <c r="N5349">
        <v>0</v>
      </c>
      <c r="O5349">
        <v>-7.3422269999999998E-2</v>
      </c>
      <c r="P5349">
        <v>0.98862649999999996</v>
      </c>
      <c r="Q5349">
        <v>0.14894969999999999</v>
      </c>
      <c r="R5349">
        <v>-2.0781919999999999E-2</v>
      </c>
      <c r="S5349">
        <v>3.0701900000000002</v>
      </c>
      <c r="T5349">
        <v>-0.2182432</v>
      </c>
      <c r="U5349">
        <v>0.1183472</v>
      </c>
      <c r="V5349">
        <v>-5.2193209999999997E-2</v>
      </c>
      <c r="W5349">
        <v>0.16067110000000001</v>
      </c>
      <c r="X5349">
        <v>0.98562709999999998</v>
      </c>
      <c r="Y5349">
        <v>-0.11132209999999999</v>
      </c>
      <c r="Z5349">
        <v>9.1595740000000002E-3</v>
      </c>
      <c r="AA5349">
        <v>0.99374220000000002</v>
      </c>
      <c r="AB5349">
        <v>19</v>
      </c>
      <c r="AC5349">
        <v>15.528799999999899</v>
      </c>
      <c r="AD5349">
        <v>-1.111225559347</v>
      </c>
      <c r="AE5349">
        <v>0.60914000000000001</v>
      </c>
      <c r="AF5349">
        <v>-1.7388467979542399</v>
      </c>
      <c r="AG5349">
        <v>-1.111225559347</v>
      </c>
      <c r="AH5349">
        <v>15.363601800910599</v>
      </c>
      <c r="AI5349">
        <v>94.110757184032195</v>
      </c>
      <c r="AJ5349">
        <v>96.457237190853405</v>
      </c>
      <c r="AK5349">
        <v>15.5015699439587</v>
      </c>
      <c r="AL5349">
        <v>80.754149130919402</v>
      </c>
      <c r="AM5349">
        <v>93.031227643877699</v>
      </c>
      <c r="AN5349">
        <v>1.0000000568998599</v>
      </c>
    </row>
    <row r="5350" spans="1:40" x14ac:dyDescent="0.25">
      <c r="A5350" t="str">
        <f>"20190312172517387"</f>
        <v>20190312172517387</v>
      </c>
      <c r="B5350" t="str">
        <f>"1552382717376205"</f>
        <v>1552382717376205</v>
      </c>
      <c r="C5350" t="s">
        <v>40</v>
      </c>
      <c r="D5350">
        <v>4.1640649999999999</v>
      </c>
      <c r="E5350">
        <v>0.4819947</v>
      </c>
      <c r="F5350" t="s">
        <v>43</v>
      </c>
      <c r="G5350">
        <v>-356.94099999999997</v>
      </c>
      <c r="H5350" s="1">
        <v>-1.575884E-6</v>
      </c>
      <c r="I5350">
        <v>18.03059</v>
      </c>
      <c r="J5350">
        <v>-372.40839999999997</v>
      </c>
      <c r="K5350">
        <v>1.111208</v>
      </c>
      <c r="L5350">
        <v>17.418369999999999</v>
      </c>
      <c r="M5350">
        <v>0.9972934</v>
      </c>
      <c r="N5350">
        <v>0</v>
      </c>
      <c r="O5350">
        <v>-7.2544399999999995E-2</v>
      </c>
      <c r="P5350">
        <v>0.98867340000000004</v>
      </c>
      <c r="Q5350">
        <v>0.1487117</v>
      </c>
      <c r="R5350">
        <v>-2.0245590000000001E-2</v>
      </c>
      <c r="S5350">
        <v>3.0700379999999998</v>
      </c>
      <c r="T5350">
        <v>-0.21916430000000001</v>
      </c>
      <c r="U5350">
        <v>0.1195374</v>
      </c>
      <c r="V5350">
        <v>-5.18565E-2</v>
      </c>
      <c r="W5350">
        <v>0.16042029999999999</v>
      </c>
      <c r="X5350">
        <v>0.98568560000000005</v>
      </c>
      <c r="Y5350">
        <v>-0.110833399999999</v>
      </c>
      <c r="Z5350">
        <v>9.1186300000000008E-3</v>
      </c>
      <c r="AA5350">
        <v>0.99379720000000005</v>
      </c>
      <c r="AB5350">
        <v>19</v>
      </c>
      <c r="AC5350">
        <v>15.4673999999999</v>
      </c>
      <c r="AD5350">
        <v>-1.1112095758839999</v>
      </c>
      <c r="AE5350">
        <v>0.61221999999999999</v>
      </c>
      <c r="AF5350">
        <v>-1.72387678336687</v>
      </c>
      <c r="AG5350">
        <v>-1.1112095758839999</v>
      </c>
      <c r="AH5350">
        <v>15.303362718296301</v>
      </c>
      <c r="AI5350">
        <v>94.127067788657797</v>
      </c>
      <c r="AJ5350">
        <v>96.427099680432406</v>
      </c>
      <c r="AK5350">
        <v>15.4401893891723</v>
      </c>
      <c r="AL5350">
        <v>80.768706631104706</v>
      </c>
      <c r="AM5350">
        <v>93.011530223141705</v>
      </c>
      <c r="AN5350">
        <v>0.99999993564584799</v>
      </c>
    </row>
    <row r="5351" spans="1:40" x14ac:dyDescent="0.25">
      <c r="A5351" t="str">
        <f>"20190312172517400"</f>
        <v>20190312172517400</v>
      </c>
      <c r="B5351" t="str">
        <f>"1552382717395725"</f>
        <v>1552382717395725</v>
      </c>
      <c r="C5351" t="s">
        <v>40</v>
      </c>
      <c r="D5351">
        <v>4.1605689999999997</v>
      </c>
      <c r="E5351">
        <v>0.48216560000000003</v>
      </c>
      <c r="F5351" t="s">
        <v>43</v>
      </c>
      <c r="G5351">
        <v>-356.91379999999998</v>
      </c>
      <c r="H5351" s="1">
        <v>-1.588343E-6</v>
      </c>
      <c r="I5351">
        <v>18.02609</v>
      </c>
      <c r="J5351">
        <v>-372.29719999999998</v>
      </c>
      <c r="K5351">
        <v>1.1111899999999999</v>
      </c>
      <c r="L5351">
        <v>17.41141</v>
      </c>
      <c r="M5351">
        <v>0.99736469999999999</v>
      </c>
      <c r="N5351">
        <v>0</v>
      </c>
      <c r="O5351">
        <v>-7.1562219999999996E-2</v>
      </c>
      <c r="P5351">
        <v>0.9886817</v>
      </c>
      <c r="Q5351">
        <v>0.14874780000000001</v>
      </c>
      <c r="R5351">
        <v>-1.956109E-2</v>
      </c>
      <c r="S5351">
        <v>3.0698850000000002</v>
      </c>
      <c r="T5351">
        <v>-0.2201592</v>
      </c>
      <c r="U5351">
        <v>0.1204224</v>
      </c>
      <c r="V5351">
        <v>-5.1562120000000003E-2</v>
      </c>
      <c r="W5351">
        <v>0.1604382</v>
      </c>
      <c r="X5351">
        <v>0.98569819999999997</v>
      </c>
      <c r="Y5351">
        <v>-0.11014259999999999</v>
      </c>
      <c r="Z5351">
        <v>9.0653690000000002E-3</v>
      </c>
      <c r="AA5351">
        <v>0.99387440000000005</v>
      </c>
      <c r="AB5351">
        <v>19</v>
      </c>
      <c r="AC5351">
        <v>15.3833999999999</v>
      </c>
      <c r="AD5351">
        <v>-1.1111915883429999</v>
      </c>
      <c r="AE5351">
        <v>0.614679999999999</v>
      </c>
      <c r="AF5351">
        <v>-1.70516976117868</v>
      </c>
      <c r="AG5351">
        <v>-1.1111915883429999</v>
      </c>
      <c r="AH5351">
        <v>15.220673212385901</v>
      </c>
      <c r="AI5351">
        <v>94.149626985316701</v>
      </c>
      <c r="AJ5351">
        <v>96.392184490454696</v>
      </c>
      <c r="AK5351">
        <v>15.356146772503999</v>
      </c>
      <c r="AL5351">
        <v>80.767668222688499</v>
      </c>
      <c r="AM5351">
        <v>92.994427303700405</v>
      </c>
      <c r="AN5351">
        <v>1.0000000048606801</v>
      </c>
    </row>
    <row r="5352" spans="1:40" x14ac:dyDescent="0.25">
      <c r="A5352" t="str">
        <f>"20190312172517418"</f>
        <v>20190312172517418</v>
      </c>
      <c r="B5352" t="str">
        <f>"1552382717405484"</f>
        <v>1552382717405484</v>
      </c>
      <c r="C5352" t="s">
        <v>40</v>
      </c>
      <c r="D5352">
        <v>4.1609959999999999</v>
      </c>
      <c r="E5352">
        <v>0.48228460000000001</v>
      </c>
      <c r="F5352" t="s">
        <v>43</v>
      </c>
      <c r="G5352">
        <v>-356.82639999999998</v>
      </c>
      <c r="H5352" s="1">
        <v>-1.626647E-6</v>
      </c>
      <c r="I5352">
        <v>18.021419999999999</v>
      </c>
      <c r="J5352">
        <v>-372.15480000000002</v>
      </c>
      <c r="K5352">
        <v>1.1111690000000001</v>
      </c>
      <c r="L5352">
        <v>17.402650000000001</v>
      </c>
      <c r="M5352">
        <v>0.99745309999999998</v>
      </c>
      <c r="N5352">
        <v>0</v>
      </c>
      <c r="O5352">
        <v>-7.0322860000000001E-2</v>
      </c>
      <c r="P5352">
        <v>0.98867660000000002</v>
      </c>
      <c r="Q5352">
        <v>0.1487975</v>
      </c>
      <c r="R5352">
        <v>-1.9440530000000001E-2</v>
      </c>
      <c r="S5352">
        <v>3.0699160000000001</v>
      </c>
      <c r="T5352">
        <v>-0.2204971</v>
      </c>
      <c r="U5352">
        <v>0.1210632</v>
      </c>
      <c r="V5352">
        <v>-5.0449380000000002E-2</v>
      </c>
      <c r="W5352">
        <v>0.160459299999999</v>
      </c>
      <c r="X5352">
        <v>0.98575230000000003</v>
      </c>
      <c r="Y5352">
        <v>-0.1091188</v>
      </c>
      <c r="Z5352">
        <v>8.9536559999999904E-3</v>
      </c>
      <c r="AA5352">
        <v>0.99398839999999999</v>
      </c>
      <c r="AB5352">
        <v>19</v>
      </c>
      <c r="AC5352">
        <v>15.3284</v>
      </c>
      <c r="AD5352">
        <v>-1.1111706266470001</v>
      </c>
      <c r="AE5352">
        <v>0.61877000000000104</v>
      </c>
      <c r="AF5352">
        <v>-1.6864038209797501</v>
      </c>
      <c r="AG5352">
        <v>-1.1111706266470001</v>
      </c>
      <c r="AH5352">
        <v>15.1673551686698</v>
      </c>
      <c r="AI5352">
        <v>94.164470550777494</v>
      </c>
      <c r="AJ5352">
        <v>96.344453594436004</v>
      </c>
      <c r="AK5352">
        <v>15.3012195860824</v>
      </c>
      <c r="AL5352">
        <v>80.766443013430205</v>
      </c>
      <c r="AM5352">
        <v>92.929759167254403</v>
      </c>
      <c r="AN5352">
        <v>0.99999996192708096</v>
      </c>
    </row>
    <row r="5353" spans="1:40" x14ac:dyDescent="0.25">
      <c r="A5353" t="str">
        <f>"20190312172517429"</f>
        <v>20190312172517429</v>
      </c>
      <c r="B5353" t="str">
        <f>"1552382717416220"</f>
        <v>1552382717416220</v>
      </c>
      <c r="C5353" t="s">
        <v>40</v>
      </c>
      <c r="D5353">
        <v>4.1424589999999997</v>
      </c>
      <c r="E5353">
        <v>0.48240529999999998</v>
      </c>
      <c r="F5353" t="s">
        <v>43</v>
      </c>
      <c r="G5353">
        <v>-356.64760000000001</v>
      </c>
      <c r="H5353" s="1">
        <v>-1.7048669999999999E-6</v>
      </c>
      <c r="I5353">
        <v>18.013030000000001</v>
      </c>
      <c r="J5353">
        <v>-372.05579999999998</v>
      </c>
      <c r="K5353">
        <v>1.1111530000000001</v>
      </c>
      <c r="L5353">
        <v>17.396699999999999</v>
      </c>
      <c r="M5353">
        <v>0.99751319999999999</v>
      </c>
      <c r="N5353">
        <v>0</v>
      </c>
      <c r="O5353">
        <v>-6.9470030000000002E-2</v>
      </c>
      <c r="P5353">
        <v>0.98862890000000003</v>
      </c>
      <c r="Q5353">
        <v>0.14913940000000001</v>
      </c>
      <c r="R5353">
        <v>-1.924236E-2</v>
      </c>
      <c r="S5353">
        <v>3.069855</v>
      </c>
      <c r="T5353">
        <v>-0.21997140000000001</v>
      </c>
      <c r="U5353">
        <v>0.1208496</v>
      </c>
      <c r="V5353">
        <v>-4.9797149999999998E-2</v>
      </c>
      <c r="W5353">
        <v>0.16077659999999999</v>
      </c>
      <c r="X5353">
        <v>0.98573379999999999</v>
      </c>
      <c r="Y5353">
        <v>-0.10820730000000001</v>
      </c>
      <c r="Z5353">
        <v>8.8390029999999998E-3</v>
      </c>
      <c r="AA5353">
        <v>0.99408909999999995</v>
      </c>
      <c r="AB5353">
        <v>19</v>
      </c>
      <c r="AC5353">
        <v>15.4081999999999</v>
      </c>
      <c r="AD5353">
        <v>-1.1111547048670001</v>
      </c>
      <c r="AE5353">
        <v>0.61633000000000104</v>
      </c>
      <c r="AF5353">
        <v>-1.6766191927198599</v>
      </c>
      <c r="AG5353">
        <v>-1.1111547048670001</v>
      </c>
      <c r="AH5353">
        <v>15.2489739986339</v>
      </c>
      <c r="AI5353">
        <v>94.142756910413496</v>
      </c>
      <c r="AJ5353">
        <v>96.274447521996095</v>
      </c>
      <c r="AK5353">
        <v>15.3810573338297</v>
      </c>
      <c r="AL5353">
        <v>80.748024255688094</v>
      </c>
      <c r="AM5353">
        <v>92.892000956579295</v>
      </c>
      <c r="AN5353">
        <v>0.99999999785906102</v>
      </c>
    </row>
    <row r="5354" spans="1:40" x14ac:dyDescent="0.25">
      <c r="A5354" t="str">
        <f>"20190312172517442"</f>
        <v>20190312172517442</v>
      </c>
      <c r="B5354" t="str">
        <f>"1552382717435741"</f>
        <v>1552382717435741</v>
      </c>
      <c r="C5354" t="s">
        <v>40</v>
      </c>
      <c r="D5354">
        <v>4.1395470000000003</v>
      </c>
      <c r="E5354">
        <v>0.48264410000000002</v>
      </c>
      <c r="F5354" t="s">
        <v>43</v>
      </c>
      <c r="G5354">
        <v>-356.4443</v>
      </c>
      <c r="H5354" s="1">
        <v>-1.792538E-6</v>
      </c>
      <c r="I5354">
        <v>18.01042</v>
      </c>
      <c r="J5354">
        <v>-371.9443</v>
      </c>
      <c r="K5354">
        <v>1.1111420000000001</v>
      </c>
      <c r="L5354">
        <v>17.389979999999898</v>
      </c>
      <c r="M5354">
        <v>0.99758000000000002</v>
      </c>
      <c r="N5354">
        <v>0</v>
      </c>
      <c r="O5354">
        <v>-6.8511660000000002E-2</v>
      </c>
      <c r="P5354">
        <v>0.9886644</v>
      </c>
      <c r="Q5354">
        <v>0.1489463</v>
      </c>
      <c r="R5354">
        <v>-1.892481E-2</v>
      </c>
      <c r="S5354">
        <v>3.0698240000000001</v>
      </c>
      <c r="T5354">
        <v>-0.21849540000000001</v>
      </c>
      <c r="U5354">
        <v>0.120697</v>
      </c>
      <c r="V5354">
        <v>-4.9165340000000002E-2</v>
      </c>
      <c r="W5354">
        <v>0.1605549</v>
      </c>
      <c r="X5354">
        <v>0.98580159999999994</v>
      </c>
      <c r="Y5354">
        <v>-0.1072142</v>
      </c>
      <c r="Z5354">
        <v>8.6766180000000005E-3</v>
      </c>
      <c r="AA5354">
        <v>0.99419809999999997</v>
      </c>
      <c r="AB5354">
        <v>19</v>
      </c>
      <c r="AC5354">
        <v>15.5</v>
      </c>
      <c r="AD5354">
        <v>-1.1111437925380001</v>
      </c>
      <c r="AE5354">
        <v>0.62044000000000199</v>
      </c>
      <c r="AF5354">
        <v>-1.6724064684564399</v>
      </c>
      <c r="AG5354">
        <v>-1.1111437925380001</v>
      </c>
      <c r="AH5354">
        <v>15.342346499260399</v>
      </c>
      <c r="AI5354">
        <v>94.118010008570806</v>
      </c>
      <c r="AJ5354">
        <v>96.221016306406895</v>
      </c>
      <c r="AK5354">
        <v>15.4731761454072</v>
      </c>
      <c r="AL5354">
        <v>80.760893480753097</v>
      </c>
      <c r="AM5354">
        <v>92.855173246207301</v>
      </c>
      <c r="AN5354">
        <v>0.99999995056694102</v>
      </c>
    </row>
    <row r="5355" spans="1:40" x14ac:dyDescent="0.25">
      <c r="A5355" t="str">
        <f>"20190312172517465"</f>
        <v>20190312172517465</v>
      </c>
      <c r="B5355" t="str">
        <f>"1552382717456236"</f>
        <v>1552382717456236</v>
      </c>
      <c r="C5355" t="s">
        <v>40</v>
      </c>
      <c r="D5355">
        <v>4.2764059999999997</v>
      </c>
      <c r="E5355">
        <v>0.48282730000000001</v>
      </c>
      <c r="F5355" t="s">
        <v>43</v>
      </c>
      <c r="G5355">
        <v>-356.32819999999998</v>
      </c>
      <c r="H5355" s="1">
        <v>-1.8440770000000001E-6</v>
      </c>
      <c r="I5355">
        <v>18.00066</v>
      </c>
      <c r="J5355">
        <v>-371.75729999999999</v>
      </c>
      <c r="K5355">
        <v>1.1111359999999999</v>
      </c>
      <c r="L5355">
        <v>17.379059999999999</v>
      </c>
      <c r="M5355">
        <v>0.99768889999999999</v>
      </c>
      <c r="N5355">
        <v>0</v>
      </c>
      <c r="O5355">
        <v>-6.6916290000000003E-2</v>
      </c>
      <c r="P5355">
        <v>0.98864819999999998</v>
      </c>
      <c r="Q5355">
        <v>0.14908740000000001</v>
      </c>
      <c r="R5355">
        <v>-1.865588E-2</v>
      </c>
      <c r="S5355">
        <v>3.0696110000000001</v>
      </c>
      <c r="T5355">
        <v>-0.2184142</v>
      </c>
      <c r="U5355">
        <v>0.1200562</v>
      </c>
      <c r="V5355">
        <v>-4.7852680000000002E-2</v>
      </c>
      <c r="W5355">
        <v>0.16063859999999999</v>
      </c>
      <c r="X5355">
        <v>0.98585259999999997</v>
      </c>
      <c r="Y5355">
        <v>-0.10542840000000001</v>
      </c>
      <c r="Z5355">
        <v>8.4973830000000007E-3</v>
      </c>
      <c r="AA5355">
        <v>0.99439060000000001</v>
      </c>
      <c r="AB5355">
        <v>19</v>
      </c>
      <c r="AC5355">
        <v>15.4291</v>
      </c>
      <c r="AD5355">
        <v>-1.1111378440769999</v>
      </c>
      <c r="AE5355">
        <v>0.62160000000000004</v>
      </c>
      <c r="AF5355">
        <v>-1.64422291912332</v>
      </c>
      <c r="AG5355">
        <v>-1.1111378440769999</v>
      </c>
      <c r="AH5355">
        <v>15.2738284781197</v>
      </c>
      <c r="AI5355">
        <v>94.136995868096605</v>
      </c>
      <c r="AJ5355">
        <v>96.144211897397199</v>
      </c>
      <c r="AK5355">
        <v>15.402205449068999</v>
      </c>
      <c r="AL5355">
        <v>80.7560351617511</v>
      </c>
      <c r="AM5355">
        <v>92.778920887928507</v>
      </c>
      <c r="AN5355">
        <v>0.99999999385995098</v>
      </c>
    </row>
    <row r="5356" spans="1:40" x14ac:dyDescent="0.25">
      <c r="A5356" t="str">
        <f>"20190312172517485"</f>
        <v>20190312172517485</v>
      </c>
      <c r="B5356" t="str">
        <f>"1552382717475757"</f>
        <v>1552382717475757</v>
      </c>
      <c r="C5356" t="s">
        <v>40</v>
      </c>
      <c r="D5356">
        <v>4.1548119999999997</v>
      </c>
      <c r="E5356">
        <v>0.48301179999999999</v>
      </c>
      <c r="F5356" t="s">
        <v>43</v>
      </c>
      <c r="G5356">
        <v>-356.12290000000002</v>
      </c>
      <c r="H5356" s="1">
        <v>-1.934237E-6</v>
      </c>
      <c r="I5356">
        <v>17.988889999999898</v>
      </c>
      <c r="J5356">
        <v>-371.5729</v>
      </c>
      <c r="K5356">
        <v>1.1111340000000001</v>
      </c>
      <c r="L5356">
        <v>17.368559999999999</v>
      </c>
      <c r="M5356">
        <v>0.99779370000000001</v>
      </c>
      <c r="N5356">
        <v>0</v>
      </c>
      <c r="O5356">
        <v>-6.5345990000000007E-2</v>
      </c>
      <c r="P5356">
        <v>0.98864399999999997</v>
      </c>
      <c r="Q5356">
        <v>0.149120899999999</v>
      </c>
      <c r="R5356">
        <v>-1.8605710000000001E-2</v>
      </c>
      <c r="S5356">
        <v>3.0696409999999998</v>
      </c>
      <c r="T5356">
        <v>-0.2181594</v>
      </c>
      <c r="U5356">
        <v>0.119751</v>
      </c>
      <c r="V5356">
        <v>-4.6351339999999998E-2</v>
      </c>
      <c r="W5356">
        <v>0.16061420000000001</v>
      </c>
      <c r="X5356">
        <v>0.98592829999999998</v>
      </c>
      <c r="Y5356">
        <v>-0.1037732</v>
      </c>
      <c r="Z5356">
        <v>8.3173880000000002E-3</v>
      </c>
      <c r="AA5356">
        <v>0.99456619999999996</v>
      </c>
      <c r="AB5356">
        <v>19</v>
      </c>
      <c r="AC5356">
        <v>15.4499999999999</v>
      </c>
      <c r="AD5356">
        <v>-1.111135934237</v>
      </c>
      <c r="AE5356">
        <v>0.62032999999999505</v>
      </c>
      <c r="AF5356">
        <v>-1.6203019174523801</v>
      </c>
      <c r="AG5356">
        <v>-1.111135934237</v>
      </c>
      <c r="AH5356">
        <v>15.2974403232668</v>
      </c>
      <c r="AI5356">
        <v>94.131377277126603</v>
      </c>
      <c r="AJ5356">
        <v>96.046214287627905</v>
      </c>
      <c r="AK5356">
        <v>15.4230892434674</v>
      </c>
      <c r="AL5356">
        <v>80.757451537738405</v>
      </c>
      <c r="AM5356">
        <v>92.691658376609894</v>
      </c>
      <c r="AN5356">
        <v>0.99999999035116205</v>
      </c>
    </row>
    <row r="5357" spans="1:40" x14ac:dyDescent="0.25">
      <c r="A5357" t="str">
        <f>"20190312172517497"</f>
        <v>20190312172517497</v>
      </c>
      <c r="B5357" t="str">
        <f>"1552382717485517"</f>
        <v>1552382717485517</v>
      </c>
      <c r="C5357" t="s">
        <v>40</v>
      </c>
      <c r="D5357">
        <v>4.167065</v>
      </c>
      <c r="E5357">
        <v>0.48309800000000003</v>
      </c>
      <c r="F5357" t="s">
        <v>43</v>
      </c>
      <c r="G5357">
        <v>-355.96039999999999</v>
      </c>
      <c r="H5357" s="1">
        <v>-2.0069499999999999E-6</v>
      </c>
      <c r="I5357">
        <v>17.97195</v>
      </c>
      <c r="J5357">
        <v>-371.47539999999998</v>
      </c>
      <c r="K5357">
        <v>1.111138</v>
      </c>
      <c r="L5357">
        <v>17.363129999999899</v>
      </c>
      <c r="M5357">
        <v>0.99784799999999996</v>
      </c>
      <c r="N5357">
        <v>0</v>
      </c>
      <c r="O5357">
        <v>-6.4515160000000002E-2</v>
      </c>
      <c r="P5357">
        <v>0.98867510000000003</v>
      </c>
      <c r="Q5357">
        <v>0.14894189999999999</v>
      </c>
      <c r="R5357">
        <v>-1.8385749999999999E-2</v>
      </c>
      <c r="S5357">
        <v>3.0696409999999998</v>
      </c>
      <c r="T5357">
        <v>-0.21846570000000001</v>
      </c>
      <c r="U5357">
        <v>0.1186523</v>
      </c>
      <c r="V5357">
        <v>-4.5752069999999999E-2</v>
      </c>
      <c r="W5357">
        <v>0.16040660000000001</v>
      </c>
      <c r="X5357">
        <v>0.98599009999999998</v>
      </c>
      <c r="Y5357">
        <v>-0.1025935</v>
      </c>
      <c r="Z5357">
        <v>8.2281839999999995E-3</v>
      </c>
      <c r="AA5357">
        <v>0.9946893</v>
      </c>
      <c r="AB5357">
        <v>19</v>
      </c>
      <c r="AC5357">
        <v>15.514999999999899</v>
      </c>
      <c r="AD5357">
        <v>-1.1111400069499999</v>
      </c>
      <c r="AE5357">
        <v>0.60882000000000103</v>
      </c>
      <c r="AF5357">
        <v>-1.60037711002134</v>
      </c>
      <c r="AG5357">
        <v>-1.1111400069499999</v>
      </c>
      <c r="AH5357">
        <v>15.364708103580901</v>
      </c>
      <c r="AI5357">
        <v>94.114116903353107</v>
      </c>
      <c r="AJ5357">
        <v>95.946445023087904</v>
      </c>
      <c r="AK5357">
        <v>15.487740122999501</v>
      </c>
      <c r="AL5357">
        <v>80.769502511524195</v>
      </c>
      <c r="AM5357">
        <v>92.656742202510898</v>
      </c>
      <c r="AN5357">
        <v>1.0000000032654199</v>
      </c>
    </row>
    <row r="5358" spans="1:40" x14ac:dyDescent="0.25">
      <c r="A5358" t="str">
        <f>"20190312172517508"</f>
        <v>20190312172517508</v>
      </c>
      <c r="B5358" t="str">
        <f>"1552382717496253"</f>
        <v>1552382717496253</v>
      </c>
      <c r="C5358" t="s">
        <v>40</v>
      </c>
      <c r="D5358">
        <v>4.1780989999999996</v>
      </c>
      <c r="E5358">
        <v>0.48319079999999898</v>
      </c>
      <c r="F5358" t="s">
        <v>43</v>
      </c>
      <c r="G5358">
        <v>-355.91340000000002</v>
      </c>
      <c r="H5358" s="1">
        <v>-2.0284389999999999E-6</v>
      </c>
      <c r="I5358">
        <v>17.964579999999899</v>
      </c>
      <c r="J5358">
        <v>-371.38350000000003</v>
      </c>
      <c r="K5358">
        <v>1.1111409999999999</v>
      </c>
      <c r="L5358">
        <v>17.358090000000001</v>
      </c>
      <c r="M5358">
        <v>0.99789890000000003</v>
      </c>
      <c r="N5358">
        <v>0</v>
      </c>
      <c r="O5358">
        <v>-6.3729750000000002E-2</v>
      </c>
      <c r="P5358">
        <v>0.98871869999999995</v>
      </c>
      <c r="Q5358">
        <v>0.1486992</v>
      </c>
      <c r="R5358">
        <v>-1.7999749999999998E-2</v>
      </c>
      <c r="S5358">
        <v>3.0695800000000002</v>
      </c>
      <c r="T5358">
        <v>-0.21917010000000001</v>
      </c>
      <c r="U5358">
        <v>0.1186523</v>
      </c>
      <c r="V5358">
        <v>-4.5364330000000001E-2</v>
      </c>
      <c r="W5358">
        <v>0.160136</v>
      </c>
      <c r="X5358">
        <v>0.98605200000000004</v>
      </c>
      <c r="Y5358">
        <v>-0.1018125</v>
      </c>
      <c r="Z5358">
        <v>8.1710350000000001E-3</v>
      </c>
      <c r="AA5358">
        <v>0.99477009999999999</v>
      </c>
      <c r="AB5358">
        <v>19</v>
      </c>
      <c r="AC5358">
        <v>15.4701</v>
      </c>
      <c r="AD5358">
        <v>-1.111143028439</v>
      </c>
      <c r="AE5358">
        <v>0.60648999999999698</v>
      </c>
      <c r="AF5358">
        <v>-1.5830754281216</v>
      </c>
      <c r="AG5358">
        <v>-1.111143028439</v>
      </c>
      <c r="AH5358">
        <v>15.3210759128931</v>
      </c>
      <c r="AI5358">
        <v>94.126155479165405</v>
      </c>
      <c r="AJ5358">
        <v>95.899246089774095</v>
      </c>
      <c r="AK5358">
        <v>15.4426724944034</v>
      </c>
      <c r="AL5358">
        <v>80.785209802660304</v>
      </c>
      <c r="AM5358">
        <v>92.634093539775293</v>
      </c>
      <c r="AN5358">
        <v>1.00000000381817</v>
      </c>
    </row>
    <row r="5359" spans="1:40" x14ac:dyDescent="0.25">
      <c r="A5359" t="str">
        <f>"20190312172517519"</f>
        <v>20190312172517519</v>
      </c>
      <c r="B5359" t="str">
        <f>"1552382717515599"</f>
        <v>1552382717515599</v>
      </c>
      <c r="C5359" t="s">
        <v>40</v>
      </c>
      <c r="D5359">
        <v>4.1643499999999998</v>
      </c>
      <c r="E5359">
        <v>0.48333759999999998</v>
      </c>
      <c r="F5359" t="s">
        <v>43</v>
      </c>
      <c r="G5359">
        <v>-355.89460000000003</v>
      </c>
      <c r="H5359" s="1">
        <v>-2.0375310000000002E-6</v>
      </c>
      <c r="I5359">
        <v>17.958729999999999</v>
      </c>
      <c r="J5359">
        <v>-371.28429999999997</v>
      </c>
      <c r="K5359">
        <v>1.111145</v>
      </c>
      <c r="L5359">
        <v>17.352689999999999</v>
      </c>
      <c r="M5359">
        <v>0.99795319999999998</v>
      </c>
      <c r="N5359">
        <v>0</v>
      </c>
      <c r="O5359">
        <v>-6.2881370000000006E-2</v>
      </c>
      <c r="P5359">
        <v>0.98870860000000005</v>
      </c>
      <c r="Q5359">
        <v>0.14880639999999901</v>
      </c>
      <c r="R5359">
        <v>-1.7675690000000001E-2</v>
      </c>
      <c r="S5359">
        <v>3.06955</v>
      </c>
      <c r="T5359">
        <v>-0.22020410000000001</v>
      </c>
      <c r="U5359">
        <v>0.1190491</v>
      </c>
      <c r="V5359">
        <v>-4.4850790000000001E-2</v>
      </c>
      <c r="W5359">
        <v>0.1602132</v>
      </c>
      <c r="X5359">
        <v>0.98606289999999996</v>
      </c>
      <c r="Y5359">
        <v>-0.10109559999999999</v>
      </c>
      <c r="Z5359">
        <v>8.1231689999999995E-3</v>
      </c>
      <c r="AA5359">
        <v>0.99484349999999999</v>
      </c>
      <c r="AB5359">
        <v>19</v>
      </c>
      <c r="AC5359">
        <v>15.3896999999999</v>
      </c>
      <c r="AD5359">
        <v>-1.111147037531</v>
      </c>
      <c r="AE5359">
        <v>0.60604000000000002</v>
      </c>
      <c r="AF5359">
        <v>-1.56448844658165</v>
      </c>
      <c r="AG5359">
        <v>-1.111147037531</v>
      </c>
      <c r="AH5359">
        <v>15.241797026871501</v>
      </c>
      <c r="AI5359">
        <v>94.147844796601206</v>
      </c>
      <c r="AJ5359">
        <v>95.860578768752902</v>
      </c>
      <c r="AK5359">
        <v>15.3621173165306</v>
      </c>
      <c r="AL5359">
        <v>80.780728237208095</v>
      </c>
      <c r="AM5359">
        <v>92.604287224907097</v>
      </c>
      <c r="AN5359">
        <v>0.99999995278713505</v>
      </c>
    </row>
    <row r="5360" spans="1:40" x14ac:dyDescent="0.25">
      <c r="A5360" t="str">
        <f>"20190312172517532"</f>
        <v>20190312172517532</v>
      </c>
      <c r="B5360" t="str">
        <f>"1552382717526334"</f>
        <v>1552382717526334</v>
      </c>
      <c r="C5360" t="s">
        <v>40</v>
      </c>
      <c r="D5360">
        <v>4.1592719999999996</v>
      </c>
      <c r="E5360">
        <v>0.48341830000000002</v>
      </c>
      <c r="F5360" t="s">
        <v>43</v>
      </c>
      <c r="G5360">
        <v>-355.8374</v>
      </c>
      <c r="H5360" s="1">
        <v>-2.06363E-6</v>
      </c>
      <c r="I5360">
        <v>17.949839999999998</v>
      </c>
      <c r="J5360">
        <v>-371.17770000000002</v>
      </c>
      <c r="K5360">
        <v>1.111146</v>
      </c>
      <c r="L5360">
        <v>17.347049999999999</v>
      </c>
      <c r="M5360">
        <v>0.99801090000000003</v>
      </c>
      <c r="N5360">
        <v>0</v>
      </c>
      <c r="O5360">
        <v>-6.1963949999999997E-2</v>
      </c>
      <c r="P5360">
        <v>0.988676</v>
      </c>
      <c r="Q5360">
        <v>0.14907519999999999</v>
      </c>
      <c r="R5360">
        <v>-1.7222600000000001E-2</v>
      </c>
      <c r="S5360">
        <v>3.0696110000000001</v>
      </c>
      <c r="T5360">
        <v>-0.22080810000000001</v>
      </c>
      <c r="U5360">
        <v>0.11868289999999999</v>
      </c>
      <c r="V5360">
        <v>-4.43963E-2</v>
      </c>
      <c r="W5360">
        <v>0.16044340000000001</v>
      </c>
      <c r="X5360">
        <v>0.98604610000000004</v>
      </c>
      <c r="Y5360">
        <v>-0.100064399999999</v>
      </c>
      <c r="Z5360">
        <v>8.0423890000000005E-3</v>
      </c>
      <c r="AA5360">
        <v>0.99494839999999996</v>
      </c>
      <c r="AB5360">
        <v>19</v>
      </c>
      <c r="AC5360">
        <v>15.340299999999999</v>
      </c>
      <c r="AD5360">
        <v>-1.11114806363</v>
      </c>
      <c r="AE5360">
        <v>0.60278999999999805</v>
      </c>
      <c r="AF5360">
        <v>-1.54415210413411</v>
      </c>
      <c r="AG5360">
        <v>-1.11114806363</v>
      </c>
      <c r="AH5360">
        <v>15.1938712176085</v>
      </c>
      <c r="AI5360">
        <v>94.161311526542406</v>
      </c>
      <c r="AJ5360">
        <v>95.803041746988995</v>
      </c>
      <c r="AK5360">
        <v>15.312503985869901</v>
      </c>
      <c r="AL5360">
        <v>80.767366456573598</v>
      </c>
      <c r="AM5360">
        <v>92.577976645236305</v>
      </c>
      <c r="AN5360">
        <v>1.0000000136912299</v>
      </c>
    </row>
    <row r="5361" spans="1:40" x14ac:dyDescent="0.25">
      <c r="A5361" t="str">
        <f>"20190312172517544"</f>
        <v>20190312172517544</v>
      </c>
      <c r="B5361" t="str">
        <f>"1552382717536095"</f>
        <v>1552382717536095</v>
      </c>
      <c r="C5361" t="s">
        <v>40</v>
      </c>
      <c r="D5361">
        <v>4.156123</v>
      </c>
      <c r="E5361">
        <v>0.48351499999999997</v>
      </c>
      <c r="F5361" t="s">
        <v>43</v>
      </c>
      <c r="G5361">
        <v>-355.68560000000002</v>
      </c>
      <c r="H5361" s="1">
        <v>-2.1288490000000001E-6</v>
      </c>
      <c r="I5361">
        <v>17.94933</v>
      </c>
      <c r="J5361">
        <v>-371.0684</v>
      </c>
      <c r="K5361">
        <v>1.111148</v>
      </c>
      <c r="L5361">
        <v>17.341339999999999</v>
      </c>
      <c r="M5361">
        <v>0.99806950000000005</v>
      </c>
      <c r="N5361">
        <v>0</v>
      </c>
      <c r="O5361">
        <v>-6.1020999999999999E-2</v>
      </c>
      <c r="P5361">
        <v>0.98867780000000005</v>
      </c>
      <c r="Q5361">
        <v>0.14910670000000001</v>
      </c>
      <c r="R5361">
        <v>-1.6841399999999999E-2</v>
      </c>
      <c r="S5361">
        <v>3.0696110000000001</v>
      </c>
      <c r="T5361">
        <v>-0.22016359999999999</v>
      </c>
      <c r="U5361">
        <v>0.11935419999999999</v>
      </c>
      <c r="V5361">
        <v>-4.3846250000000003E-2</v>
      </c>
      <c r="W5361">
        <v>0.1604344</v>
      </c>
      <c r="X5361">
        <v>0.98607219999999995</v>
      </c>
      <c r="Y5361">
        <v>-9.9348309999999995E-2</v>
      </c>
      <c r="Z5361">
        <v>7.9258360000000003E-3</v>
      </c>
      <c r="AA5361">
        <v>0.99502120000000005</v>
      </c>
      <c r="AB5361">
        <v>19</v>
      </c>
      <c r="AC5361">
        <v>15.3827999999999</v>
      </c>
      <c r="AD5361">
        <v>-1.111150128849</v>
      </c>
      <c r="AE5361">
        <v>0.60799000000000003</v>
      </c>
      <c r="AF5361">
        <v>-1.5375833942541199</v>
      </c>
      <c r="AG5361">
        <v>-1.111150128849</v>
      </c>
      <c r="AH5361">
        <v>15.2376467487359</v>
      </c>
      <c r="AI5361">
        <v>94.149705893642505</v>
      </c>
      <c r="AJ5361">
        <v>95.762034450460007</v>
      </c>
      <c r="AK5361">
        <v>15.3552823400415</v>
      </c>
      <c r="AL5361">
        <v>80.767889103117</v>
      </c>
      <c r="AM5361">
        <v>92.546011676582296</v>
      </c>
      <c r="AN5361">
        <v>1.0000000369776301</v>
      </c>
    </row>
    <row r="5362" spans="1:40" x14ac:dyDescent="0.25">
      <c r="A5362" t="str">
        <f>"20190312172517556"</f>
        <v>20190312172517556</v>
      </c>
      <c r="B5362" t="str">
        <f>"1552382717545855"</f>
        <v>1552382717545855</v>
      </c>
      <c r="C5362" t="s">
        <v>40</v>
      </c>
      <c r="D5362">
        <v>4.179297</v>
      </c>
      <c r="E5362">
        <v>0.48361340000000003</v>
      </c>
      <c r="F5362" t="s">
        <v>43</v>
      </c>
      <c r="G5362">
        <v>-355.57560000000001</v>
      </c>
      <c r="H5362" s="1">
        <v>-2.176543E-6</v>
      </c>
      <c r="I5362">
        <v>17.946579999999901</v>
      </c>
      <c r="J5362">
        <v>-370.9658</v>
      </c>
      <c r="K5362">
        <v>1.1111470000000001</v>
      </c>
      <c r="L5362">
        <v>17.336089999999999</v>
      </c>
      <c r="M5362">
        <v>0.99812409999999996</v>
      </c>
      <c r="N5362">
        <v>0</v>
      </c>
      <c r="O5362">
        <v>-6.0131110000000002E-2</v>
      </c>
      <c r="P5362">
        <v>0.98869830000000003</v>
      </c>
      <c r="Q5362">
        <v>0.1490012</v>
      </c>
      <c r="R5362">
        <v>-1.657341E-2</v>
      </c>
      <c r="S5362">
        <v>3.0696409999999998</v>
      </c>
      <c r="T5362">
        <v>-0.2201554</v>
      </c>
      <c r="U5362">
        <v>0.1199341</v>
      </c>
      <c r="V5362">
        <v>-4.323602E-2</v>
      </c>
      <c r="W5362">
        <v>0.1602885</v>
      </c>
      <c r="X5362">
        <v>0.98612279999999997</v>
      </c>
      <c r="Y5362">
        <v>-9.8652500000000004E-2</v>
      </c>
      <c r="Z5362">
        <v>7.8368559999999997E-3</v>
      </c>
      <c r="AA5362">
        <v>0.99509110000000001</v>
      </c>
      <c r="AB5362">
        <v>19</v>
      </c>
      <c r="AC5362">
        <v>15.390199999999901</v>
      </c>
      <c r="AD5362">
        <v>-1.1111491765429999</v>
      </c>
      <c r="AE5362">
        <v>0.61048999999999798</v>
      </c>
      <c r="AF5362">
        <v>-1.5269295017897699</v>
      </c>
      <c r="AG5362">
        <v>-1.1111491765429999</v>
      </c>
      <c r="AH5362">
        <v>15.246287400066</v>
      </c>
      <c r="AI5362">
        <v>94.147669720973596</v>
      </c>
      <c r="AJ5362">
        <v>95.719153700333095</v>
      </c>
      <c r="AK5362">
        <v>15.3627942016216</v>
      </c>
      <c r="AL5362">
        <v>80.776357506369493</v>
      </c>
      <c r="AM5362">
        <v>92.51049456861</v>
      </c>
      <c r="AN5362">
        <v>0.99999996666876401</v>
      </c>
    </row>
    <row r="5363" spans="1:40" x14ac:dyDescent="0.25">
      <c r="A5363" t="str">
        <f>"20190312172517575"</f>
        <v>20190312172517575</v>
      </c>
      <c r="B5363" t="str">
        <f>"1552382717566354"</f>
        <v>1552382717566354</v>
      </c>
      <c r="C5363" t="s">
        <v>40</v>
      </c>
      <c r="D5363">
        <v>4.3140359999999998</v>
      </c>
      <c r="E5363">
        <v>0.50821519999999998</v>
      </c>
      <c r="F5363" t="s">
        <v>43</v>
      </c>
      <c r="G5363">
        <v>-355.5095</v>
      </c>
      <c r="H5363" s="1">
        <v>-2.2059739999999998E-6</v>
      </c>
      <c r="I5363">
        <v>17.940370000000001</v>
      </c>
      <c r="J5363">
        <v>-370.80869999999999</v>
      </c>
      <c r="K5363">
        <v>1.1111420000000001</v>
      </c>
      <c r="L5363">
        <v>17.328189999999999</v>
      </c>
      <c r="M5363">
        <v>0.99820629999999999</v>
      </c>
      <c r="N5363">
        <v>0</v>
      </c>
      <c r="O5363">
        <v>-5.8762040000000001E-2</v>
      </c>
      <c r="P5363">
        <v>0.98877499999999996</v>
      </c>
      <c r="Q5363">
        <v>0.14852070000000001</v>
      </c>
      <c r="R5363">
        <v>-1.6307680000000001E-2</v>
      </c>
      <c r="S5363">
        <v>3.06955</v>
      </c>
      <c r="T5363">
        <v>-0.2206699</v>
      </c>
      <c r="U5363">
        <v>0.1200256</v>
      </c>
      <c r="V5363">
        <v>-4.215257E-2</v>
      </c>
      <c r="W5363">
        <v>0.15974949999999999</v>
      </c>
      <c r="X5363">
        <v>0.98625719999999995</v>
      </c>
      <c r="Y5363">
        <v>-9.7323350000000003E-2</v>
      </c>
      <c r="Z5363">
        <v>7.7094629999999997E-3</v>
      </c>
      <c r="AA5363">
        <v>0.99522290000000002</v>
      </c>
      <c r="AB5363">
        <v>19</v>
      </c>
      <c r="AC5363">
        <v>15.2991999999999</v>
      </c>
      <c r="AD5363">
        <v>-1.111144205974</v>
      </c>
      <c r="AE5363">
        <v>0.61218000000000194</v>
      </c>
      <c r="AF5363">
        <v>-1.50228169002161</v>
      </c>
      <c r="AG5363">
        <v>-1.111144205974</v>
      </c>
      <c r="AH5363">
        <v>15.156962817919799</v>
      </c>
      <c r="AI5363">
        <v>94.172433438551295</v>
      </c>
      <c r="AJ5363">
        <v>95.660381488855094</v>
      </c>
      <c r="AK5363">
        <v>15.2717063089377</v>
      </c>
      <c r="AL5363">
        <v>80.8076434199575</v>
      </c>
      <c r="AM5363">
        <v>92.447328517363502</v>
      </c>
      <c r="AN5363">
        <v>1.00000000322984</v>
      </c>
    </row>
    <row r="5364" spans="1:40" x14ac:dyDescent="0.25">
      <c r="A5364" t="str">
        <f>"20190312172517586"</f>
        <v>20190312172517586</v>
      </c>
      <c r="B5364" t="str">
        <f>"1552382717576111"</f>
        <v>1552382717576111</v>
      </c>
      <c r="C5364" t="s">
        <v>40</v>
      </c>
      <c r="D5364">
        <v>4.3104209999999998</v>
      </c>
      <c r="E5364">
        <v>0.51725069999999995</v>
      </c>
      <c r="F5364" t="s">
        <v>43</v>
      </c>
      <c r="G5364">
        <v>-359.92599999999999</v>
      </c>
      <c r="H5364" s="1">
        <v>-6.8605549999999897E-7</v>
      </c>
      <c r="I5364">
        <v>17.080100000000002</v>
      </c>
      <c r="J5364">
        <v>-370.7081</v>
      </c>
      <c r="K5364">
        <v>1.1111390000000001</v>
      </c>
      <c r="L5364">
        <v>17.323270000000001</v>
      </c>
      <c r="M5364">
        <v>0.99825810000000004</v>
      </c>
      <c r="N5364">
        <v>0</v>
      </c>
      <c r="O5364">
        <v>-5.7882450000000002E-2</v>
      </c>
      <c r="P5364">
        <v>0.98881949999999996</v>
      </c>
      <c r="Q5364">
        <v>0.14825469999999999</v>
      </c>
      <c r="R5364">
        <v>-1.6017859999999998E-2</v>
      </c>
      <c r="S5364">
        <v>3.080139</v>
      </c>
      <c r="T5364">
        <v>-0.31448779999999998</v>
      </c>
      <c r="U5364">
        <v>-7.0190429999999998E-2</v>
      </c>
      <c r="V5364">
        <v>-4.1574750000000001E-2</v>
      </c>
      <c r="W5364">
        <v>0.159447799999999</v>
      </c>
      <c r="X5364">
        <v>0.98633059999999995</v>
      </c>
      <c r="Y5364">
        <v>-3.4646830000000003E-2</v>
      </c>
      <c r="Z5364">
        <v>7.6546969999999898E-3</v>
      </c>
      <c r="AA5364">
        <v>0.99937030000000004</v>
      </c>
      <c r="AB5364">
        <v>19</v>
      </c>
      <c r="AC5364">
        <v>10.7821</v>
      </c>
      <c r="AD5364">
        <v>-1.1111396860554901</v>
      </c>
      <c r="AE5364">
        <v>-0.243169999999999</v>
      </c>
      <c r="AF5364">
        <v>-0.37736714808206001</v>
      </c>
      <c r="AG5364">
        <v>-1.1111396860554901</v>
      </c>
      <c r="AH5364">
        <v>10.664891469353099</v>
      </c>
      <c r="AI5364">
        <v>95.944304292213602</v>
      </c>
      <c r="AJ5364">
        <v>92.026511767833199</v>
      </c>
      <c r="AK5364">
        <v>10.7292566107564</v>
      </c>
      <c r="AL5364">
        <v>80.825154501796106</v>
      </c>
      <c r="AM5364">
        <v>92.413641507955404</v>
      </c>
      <c r="AN5364">
        <v>1.0000000566293701</v>
      </c>
    </row>
    <row r="5365" spans="1:40" x14ac:dyDescent="0.25">
      <c r="A5365" t="str">
        <f>"20190312172517608"</f>
        <v>20190312172517608</v>
      </c>
      <c r="B5365" t="str">
        <f>"1552382717595631"</f>
        <v>1552382717595631</v>
      </c>
      <c r="C5365" t="s">
        <v>40</v>
      </c>
      <c r="D5365">
        <v>4.1963509999999999</v>
      </c>
      <c r="E5365">
        <v>0.5349045</v>
      </c>
      <c r="F5365" t="s">
        <v>41</v>
      </c>
      <c r="G5365">
        <v>-369.86869999999999</v>
      </c>
      <c r="H5365">
        <v>1.013603</v>
      </c>
      <c r="I5365">
        <v>17.28518</v>
      </c>
      <c r="J5365">
        <v>-370.52440000000001</v>
      </c>
      <c r="K5365">
        <v>1.1111340000000001</v>
      </c>
      <c r="L5365">
        <v>17.31448</v>
      </c>
      <c r="M5365">
        <v>0.99835099999999999</v>
      </c>
      <c r="N5365">
        <v>0</v>
      </c>
      <c r="O5365">
        <v>-5.6270779999999999E-2</v>
      </c>
      <c r="P5365">
        <v>0.9888884</v>
      </c>
      <c r="Q5365">
        <v>0.14784050000000001</v>
      </c>
      <c r="R5365">
        <v>-1.559023E-2</v>
      </c>
      <c r="S5365">
        <v>3.0854490000000001</v>
      </c>
      <c r="T5365">
        <v>-0.3587631</v>
      </c>
      <c r="U5365">
        <v>-0.1387939</v>
      </c>
      <c r="V5365">
        <v>-4.0411500000000003E-2</v>
      </c>
      <c r="W5365">
        <v>0.1589691</v>
      </c>
      <c r="X5365">
        <v>0.98645620000000001</v>
      </c>
      <c r="Y5365">
        <v>-1.089975E-2</v>
      </c>
      <c r="Z5365">
        <v>7.1447200000000002E-3</v>
      </c>
      <c r="AA5365">
        <v>0.99991509999999995</v>
      </c>
      <c r="AB5365">
        <v>19</v>
      </c>
      <c r="AC5365">
        <v>0.65570000000002404</v>
      </c>
      <c r="AD5365">
        <v>-9.7531000000000007E-2</v>
      </c>
      <c r="AE5365">
        <v>-2.9299999999999202E-2</v>
      </c>
      <c r="AF5365">
        <v>-7.4803882182559499E-3</v>
      </c>
      <c r="AG5365">
        <v>-9.7531000000000007E-2</v>
      </c>
      <c r="AH5365">
        <v>0.64213120798824397</v>
      </c>
      <c r="AI5365">
        <v>98.635863756149504</v>
      </c>
      <c r="AJ5365">
        <v>90.667426349280007</v>
      </c>
      <c r="AK5365">
        <v>0.64953886753706802</v>
      </c>
      <c r="AL5365">
        <v>80.852936280289001</v>
      </c>
      <c r="AM5365">
        <v>92.345886644935305</v>
      </c>
      <c r="AN5365">
        <v>1.0000000493027399</v>
      </c>
    </row>
    <row r="5366" spans="1:40" x14ac:dyDescent="0.25">
      <c r="A5366" t="str">
        <f>"20190312172517620"</f>
        <v>20190312172517620</v>
      </c>
      <c r="B5366" t="str">
        <f>"1552382717616127"</f>
        <v>1552382717616127</v>
      </c>
      <c r="C5366" t="s">
        <v>40</v>
      </c>
      <c r="D5366">
        <v>4.2002079999999999</v>
      </c>
      <c r="E5366">
        <v>0.581746599999999</v>
      </c>
      <c r="F5366" t="s">
        <v>41</v>
      </c>
      <c r="G5366">
        <v>-369.7088</v>
      </c>
      <c r="H5366">
        <v>0.99442140000000001</v>
      </c>
      <c r="I5366">
        <v>17.242429999999999</v>
      </c>
      <c r="J5366">
        <v>-370.42219999999998</v>
      </c>
      <c r="K5366">
        <v>1.1111279999999999</v>
      </c>
      <c r="L5366">
        <v>17.309719999999999</v>
      </c>
      <c r="M5366">
        <v>0.99840150000000005</v>
      </c>
      <c r="N5366">
        <v>0</v>
      </c>
      <c r="O5366">
        <v>-5.5374399999999997E-2</v>
      </c>
      <c r="P5366">
        <v>0.98895010000000005</v>
      </c>
      <c r="Q5366">
        <v>0.14746429999999999</v>
      </c>
      <c r="R5366">
        <v>-1.524645E-2</v>
      </c>
      <c r="S5366">
        <v>3.095612</v>
      </c>
      <c r="T5366">
        <v>-0.44301200000000002</v>
      </c>
      <c r="U5366">
        <v>-0.27371220000000002</v>
      </c>
      <c r="V5366">
        <v>-3.9871360000000002E-2</v>
      </c>
      <c r="W5366">
        <v>0.15855669999999999</v>
      </c>
      <c r="X5366">
        <v>0.98654450000000005</v>
      </c>
      <c r="Y5366">
        <v>3.3003390000000001E-2</v>
      </c>
      <c r="Z5366">
        <v>5.5169420000000004E-3</v>
      </c>
      <c r="AA5366">
        <v>0.99944</v>
      </c>
      <c r="AB5366">
        <v>19</v>
      </c>
      <c r="AC5366">
        <v>0.71339999999997805</v>
      </c>
      <c r="AD5366">
        <v>-0.11670659999999999</v>
      </c>
      <c r="AE5366">
        <v>-6.7290000000003403E-2</v>
      </c>
      <c r="AF5366">
        <v>2.6964833987060899E-2</v>
      </c>
      <c r="AG5366">
        <v>-0.11670659999999999</v>
      </c>
      <c r="AH5366">
        <v>0.69752873677800797</v>
      </c>
      <c r="AI5366">
        <v>99.491467276744004</v>
      </c>
      <c r="AJ5366">
        <v>87.786181154781104</v>
      </c>
      <c r="AK5366">
        <v>0.70773856146647396</v>
      </c>
      <c r="AL5366">
        <v>80.876868158513602</v>
      </c>
      <c r="AM5366">
        <v>92.3143589237295</v>
      </c>
      <c r="AN5366">
        <v>1.0000000014716901</v>
      </c>
    </row>
    <row r="5367" spans="1:40" x14ac:dyDescent="0.25">
      <c r="A5367" t="str">
        <f>"20190312172517632"</f>
        <v>20190312172517632</v>
      </c>
      <c r="B5367" t="str">
        <f>"1552382717625887"</f>
        <v>1552382717625887</v>
      </c>
      <c r="C5367" t="s">
        <v>40</v>
      </c>
      <c r="D5367">
        <v>4.2046929999999998</v>
      </c>
      <c r="E5367">
        <v>0.58152349999999997</v>
      </c>
      <c r="F5367" t="s">
        <v>41</v>
      </c>
      <c r="G5367">
        <v>-369.7321</v>
      </c>
      <c r="H5367">
        <v>0.95508300000000002</v>
      </c>
      <c r="I5367">
        <v>17.170500000000001</v>
      </c>
      <c r="J5367">
        <v>-370.31819999999999</v>
      </c>
      <c r="K5367">
        <v>1.111116</v>
      </c>
      <c r="L5367">
        <v>17.305019999999999</v>
      </c>
      <c r="M5367">
        <v>0.99845229999999996</v>
      </c>
      <c r="N5367">
        <v>0</v>
      </c>
      <c r="O5367">
        <v>-5.4460939999999999E-2</v>
      </c>
      <c r="P5367">
        <v>0.98900379999999999</v>
      </c>
      <c r="Q5367">
        <v>0.1471488</v>
      </c>
      <c r="R5367">
        <v>-1.478426E-2</v>
      </c>
      <c r="S5367">
        <v>3.1292719999999998</v>
      </c>
      <c r="T5367">
        <v>-0.70747419999999905</v>
      </c>
      <c r="U5367">
        <v>-0.63153079999999995</v>
      </c>
      <c r="V5367">
        <v>-3.9431910000000001E-2</v>
      </c>
      <c r="W5367">
        <v>0.15820020000000001</v>
      </c>
      <c r="X5367">
        <v>0.98661940000000004</v>
      </c>
      <c r="Y5367">
        <v>0.1420244</v>
      </c>
      <c r="Z5367">
        <v>-3.679664E-3</v>
      </c>
      <c r="AA5367">
        <v>0.98985630000000002</v>
      </c>
      <c r="AB5367">
        <v>19</v>
      </c>
      <c r="AC5367">
        <v>0.58609999999998696</v>
      </c>
      <c r="AD5367">
        <v>-0.15603299999999901</v>
      </c>
      <c r="AE5367">
        <v>-0.134520000000001</v>
      </c>
      <c r="AF5367">
        <v>9.5939370876711894E-2</v>
      </c>
      <c r="AG5367">
        <v>-0.15603299999999901</v>
      </c>
      <c r="AH5367">
        <v>0.55517776014466103</v>
      </c>
      <c r="AI5367">
        <v>105.479845418322</v>
      </c>
      <c r="AJ5367">
        <v>80.195638762797103</v>
      </c>
      <c r="AK5367">
        <v>0.58461355212863697</v>
      </c>
      <c r="AL5367">
        <v>80.897555280845495</v>
      </c>
      <c r="AM5367">
        <v>92.2887044674289</v>
      </c>
      <c r="AN5367">
        <v>1.00000000963132</v>
      </c>
    </row>
    <row r="5368" spans="1:40" x14ac:dyDescent="0.25">
      <c r="A5368" t="str">
        <f>"20190312172517645"</f>
        <v>20190312172517645</v>
      </c>
      <c r="B5368" t="str">
        <f>"1552382717635647"</f>
        <v>1552382717635647</v>
      </c>
      <c r="C5368" t="s">
        <v>40</v>
      </c>
      <c r="D5368">
        <v>4.1223179999999999</v>
      </c>
      <c r="E5368">
        <v>0.58096590000000004</v>
      </c>
      <c r="F5368" t="s">
        <v>41</v>
      </c>
      <c r="G5368">
        <v>-369.5659</v>
      </c>
      <c r="H5368">
        <v>0.94276649999999995</v>
      </c>
      <c r="I5368">
        <v>17.15362</v>
      </c>
      <c r="J5368">
        <v>-370.21010000000001</v>
      </c>
      <c r="K5368">
        <v>1.11111</v>
      </c>
      <c r="L5368">
        <v>17.300170000000001</v>
      </c>
      <c r="M5368">
        <v>0.99850410000000001</v>
      </c>
      <c r="N5368">
        <v>0</v>
      </c>
      <c r="O5368">
        <v>-5.351243E-2</v>
      </c>
      <c r="P5368">
        <v>0.98901950000000005</v>
      </c>
      <c r="Q5368">
        <v>0.1470571</v>
      </c>
      <c r="R5368">
        <v>-1.466398E-2</v>
      </c>
      <c r="S5368">
        <v>3.128082</v>
      </c>
      <c r="T5368">
        <v>-0.70010850000000002</v>
      </c>
      <c r="U5368">
        <v>-0.62863159999999996</v>
      </c>
      <c r="V5368">
        <v>-3.8615099999999999E-2</v>
      </c>
      <c r="W5368">
        <v>0.1580646</v>
      </c>
      <c r="X5368">
        <v>0.98667340000000003</v>
      </c>
      <c r="Y5368">
        <v>0.14217109999999999</v>
      </c>
      <c r="Z5368">
        <v>-3.8668399999999999E-3</v>
      </c>
      <c r="AA5368">
        <v>0.98983449999999995</v>
      </c>
      <c r="AB5368">
        <v>19</v>
      </c>
      <c r="AC5368">
        <v>0.64420000000001199</v>
      </c>
      <c r="AD5368">
        <v>-0.16834349999999901</v>
      </c>
      <c r="AE5368">
        <v>-0.14655000000000101</v>
      </c>
      <c r="AF5368">
        <v>0.105044683787579</v>
      </c>
      <c r="AG5368">
        <v>-0.16834349999999901</v>
      </c>
      <c r="AH5368">
        <v>0.61142075246303795</v>
      </c>
      <c r="AI5368">
        <v>105.181966149769</v>
      </c>
      <c r="AJ5368">
        <v>80.251512469716403</v>
      </c>
      <c r="AK5368">
        <v>0.64281354693779602</v>
      </c>
      <c r="AL5368">
        <v>80.905423233800093</v>
      </c>
      <c r="AM5368">
        <v>92.241221552091403</v>
      </c>
      <c r="AN5368">
        <v>0.999999970994364</v>
      </c>
    </row>
    <row r="5369" spans="1:40" x14ac:dyDescent="0.25">
      <c r="A5369" t="str">
        <f>"20190312172517658"</f>
        <v>20190312172517658</v>
      </c>
      <c r="B5369" t="str">
        <f>"1552382717646382"</f>
        <v>1552382717646382</v>
      </c>
      <c r="C5369" t="s">
        <v>40</v>
      </c>
      <c r="D5369">
        <v>4.2275960000000001</v>
      </c>
      <c r="E5369">
        <v>0.58130859999999995</v>
      </c>
      <c r="F5369" t="s">
        <v>41</v>
      </c>
      <c r="G5369">
        <v>-369.39920000000001</v>
      </c>
      <c r="H5369">
        <v>0.93010619999999999</v>
      </c>
      <c r="I5369">
        <v>17.138300000000001</v>
      </c>
      <c r="J5369">
        <v>-370.09719999999999</v>
      </c>
      <c r="K5369">
        <v>1.111103</v>
      </c>
      <c r="L5369">
        <v>17.29523</v>
      </c>
      <c r="M5369">
        <v>0.99855729999999998</v>
      </c>
      <c r="N5369">
        <v>0</v>
      </c>
      <c r="O5369">
        <v>-5.2522529999999998E-2</v>
      </c>
      <c r="P5369">
        <v>0.9890795</v>
      </c>
      <c r="Q5369">
        <v>0.14666689999999999</v>
      </c>
      <c r="R5369">
        <v>-1.450194E-2</v>
      </c>
      <c r="S5369">
        <v>3.1278990000000002</v>
      </c>
      <c r="T5369">
        <v>-0.69819929999999997</v>
      </c>
      <c r="U5369">
        <v>-0.62393189999999998</v>
      </c>
      <c r="V5369">
        <v>-3.7800069999999998E-2</v>
      </c>
      <c r="W5369">
        <v>0.1576244</v>
      </c>
      <c r="X5369">
        <v>0.98677539999999997</v>
      </c>
      <c r="Y5369">
        <v>0.14173069999999999</v>
      </c>
      <c r="Z5369">
        <v>-4.0245469999999998E-3</v>
      </c>
      <c r="AA5369">
        <v>0.98989709999999997</v>
      </c>
      <c r="AB5369">
        <v>19</v>
      </c>
      <c r="AC5369">
        <v>0.69799999999997897</v>
      </c>
      <c r="AD5369">
        <v>-0.18099680000000001</v>
      </c>
      <c r="AE5369">
        <v>-0.15692999999999899</v>
      </c>
      <c r="AF5369">
        <v>0.112828732306177</v>
      </c>
      <c r="AG5369">
        <v>-0.18099680000000001</v>
      </c>
      <c r="AH5369">
        <v>0.66285328264033405</v>
      </c>
      <c r="AI5369">
        <v>105.066058990187</v>
      </c>
      <c r="AJ5369">
        <v>80.339885012257696</v>
      </c>
      <c r="AK5369">
        <v>0.69632222336438898</v>
      </c>
      <c r="AL5369">
        <v>80.930965234319501</v>
      </c>
      <c r="AM5369">
        <v>92.193737349435594</v>
      </c>
      <c r="AN5369">
        <v>0.999999993406262</v>
      </c>
    </row>
    <row r="5370" spans="1:40" x14ac:dyDescent="0.25">
      <c r="A5370" t="str">
        <f>"20190312172517677"</f>
        <v>20190312172517677</v>
      </c>
      <c r="B5370" t="str">
        <f>"1552382717665903"</f>
        <v>1552382717665903</v>
      </c>
      <c r="C5370" t="s">
        <v>40</v>
      </c>
      <c r="D5370">
        <v>4.1685400000000001</v>
      </c>
      <c r="E5370">
        <v>0.58168109999999995</v>
      </c>
      <c r="F5370" t="s">
        <v>41</v>
      </c>
      <c r="G5370">
        <v>-369.38819999999998</v>
      </c>
      <c r="H5370">
        <v>0.9527622</v>
      </c>
      <c r="I5370">
        <v>17.153189999999999</v>
      </c>
      <c r="J5370">
        <v>-369.93329999999997</v>
      </c>
      <c r="K5370">
        <v>1.1110930000000001</v>
      </c>
      <c r="L5370">
        <v>17.2883</v>
      </c>
      <c r="M5370">
        <v>0.99863270000000004</v>
      </c>
      <c r="N5370">
        <v>0</v>
      </c>
      <c r="O5370">
        <v>-5.1086899999999998E-2</v>
      </c>
      <c r="P5370">
        <v>0.98916000000000004</v>
      </c>
      <c r="Q5370">
        <v>0.14611499999999999</v>
      </c>
      <c r="R5370">
        <v>-1.4604209999999999E-2</v>
      </c>
      <c r="S5370">
        <v>3.1275330000000001</v>
      </c>
      <c r="T5370">
        <v>-0.69850400000000001</v>
      </c>
      <c r="U5370">
        <v>-0.62609859999999995</v>
      </c>
      <c r="V5370">
        <v>-3.6281069999999999E-2</v>
      </c>
      <c r="W5370">
        <v>0.15699479999999999</v>
      </c>
      <c r="X5370">
        <v>0.98693280000000005</v>
      </c>
      <c r="Y5370">
        <v>0.14375109999999999</v>
      </c>
      <c r="Z5370">
        <v>-4.5599109999999998E-3</v>
      </c>
      <c r="AA5370">
        <v>0.98960329999999996</v>
      </c>
      <c r="AB5370">
        <v>19</v>
      </c>
      <c r="AC5370">
        <v>0.54509999999999004</v>
      </c>
      <c r="AD5370">
        <v>-0.15833079999999999</v>
      </c>
      <c r="AE5370">
        <v>-0.13511000000000001</v>
      </c>
      <c r="AF5370">
        <v>9.9199509767375502E-2</v>
      </c>
      <c r="AG5370">
        <v>-0.15833079999999999</v>
      </c>
      <c r="AH5370">
        <v>0.51069811213003202</v>
      </c>
      <c r="AI5370">
        <v>106.92709765459099</v>
      </c>
      <c r="AJ5370">
        <v>79.007583552549306</v>
      </c>
      <c r="AK5370">
        <v>0.54380304035551996</v>
      </c>
      <c r="AL5370">
        <v>80.9674936780454</v>
      </c>
      <c r="AM5370">
        <v>92.105327267308596</v>
      </c>
      <c r="AN5370">
        <v>1.0000000174916099</v>
      </c>
    </row>
    <row r="5371" spans="1:40" x14ac:dyDescent="0.25">
      <c r="A5371" t="str">
        <f>"20190312172517698"</f>
        <v>20190312172517698</v>
      </c>
      <c r="B5371" t="str">
        <f>"1552382717686399"</f>
        <v>1552382717686399</v>
      </c>
      <c r="C5371" t="s">
        <v>40</v>
      </c>
      <c r="D5371">
        <v>4.1849829999999999</v>
      </c>
      <c r="E5371">
        <v>0.58204659999999997</v>
      </c>
      <c r="F5371" t="s">
        <v>41</v>
      </c>
      <c r="G5371">
        <v>-369.2165</v>
      </c>
      <c r="H5371">
        <v>0.95047999999999999</v>
      </c>
      <c r="I5371">
        <v>17.143740000000001</v>
      </c>
      <c r="J5371">
        <v>-369.7516</v>
      </c>
      <c r="K5371">
        <v>1.1110799999999901</v>
      </c>
      <c r="L5371">
        <v>17.280819999999999</v>
      </c>
      <c r="M5371">
        <v>0.99871390000000004</v>
      </c>
      <c r="N5371">
        <v>0</v>
      </c>
      <c r="O5371">
        <v>-4.9496110000000003E-2</v>
      </c>
      <c r="P5371">
        <v>0.98921899999999996</v>
      </c>
      <c r="Q5371">
        <v>0.1456991</v>
      </c>
      <c r="R5371">
        <v>-1.474025E-2</v>
      </c>
      <c r="S5371">
        <v>3.127075</v>
      </c>
      <c r="T5371">
        <v>-0.70084440000000003</v>
      </c>
      <c r="U5371">
        <v>-0.62918090000000004</v>
      </c>
      <c r="V5371">
        <v>-3.4573220000000002E-2</v>
      </c>
      <c r="W5371">
        <v>0.15648190000000001</v>
      </c>
      <c r="X5371">
        <v>0.98707549999999999</v>
      </c>
      <c r="Y5371">
        <v>0.1461817</v>
      </c>
      <c r="Z5371">
        <v>-5.1892049999999997E-3</v>
      </c>
      <c r="AA5371">
        <v>0.98924420000000002</v>
      </c>
      <c r="AB5371">
        <v>19</v>
      </c>
      <c r="AC5371">
        <v>0.53509999999999902</v>
      </c>
      <c r="AD5371">
        <v>-0.16059999999999899</v>
      </c>
      <c r="AE5371">
        <v>-0.13708000000000001</v>
      </c>
      <c r="AF5371">
        <v>0.101818197815187</v>
      </c>
      <c r="AG5371">
        <v>-0.16059999999999899</v>
      </c>
      <c r="AH5371">
        <v>0.49904463065800803</v>
      </c>
      <c r="AI5371">
        <v>107.501051788089</v>
      </c>
      <c r="AJ5371">
        <v>78.468426439917394</v>
      </c>
      <c r="AK5371">
        <v>0.53404573661337296</v>
      </c>
      <c r="AL5371">
        <v>80.997247994731296</v>
      </c>
      <c r="AM5371">
        <v>92.006016885701499</v>
      </c>
      <c r="AN5371">
        <v>0.99999996763451304</v>
      </c>
    </row>
    <row r="5372" spans="1:40" x14ac:dyDescent="0.25">
      <c r="A5372" t="str">
        <f>"20190312172517709"</f>
        <v>20190312172517709</v>
      </c>
      <c r="B5372" t="str">
        <f>"1552382717705919"</f>
        <v>1552382717705919</v>
      </c>
      <c r="C5372" t="s">
        <v>40</v>
      </c>
      <c r="D5372">
        <v>4.2030209999999997</v>
      </c>
      <c r="E5372">
        <v>0.58215640000000002</v>
      </c>
      <c r="F5372" t="s">
        <v>41</v>
      </c>
      <c r="G5372">
        <v>-369.04250000000002</v>
      </c>
      <c r="H5372">
        <v>0.95202730000000002</v>
      </c>
      <c r="I5372">
        <v>17.137409999999999</v>
      </c>
      <c r="J5372">
        <v>-369.65190000000001</v>
      </c>
      <c r="K5372">
        <v>1.11107</v>
      </c>
      <c r="L5372">
        <v>17.276889999999899</v>
      </c>
      <c r="M5372">
        <v>0.99875749999999996</v>
      </c>
      <c r="N5372">
        <v>0</v>
      </c>
      <c r="O5372">
        <v>-4.8623600000000003E-2</v>
      </c>
      <c r="P5372">
        <v>0.98925129999999994</v>
      </c>
      <c r="Q5372">
        <v>0.14549860000000001</v>
      </c>
      <c r="R5372">
        <v>-1.457931E-2</v>
      </c>
      <c r="S5372">
        <v>3.1265869999999998</v>
      </c>
      <c r="T5372">
        <v>-0.70133269999999903</v>
      </c>
      <c r="U5372">
        <v>-0.63217159999999994</v>
      </c>
      <c r="V5372">
        <v>-3.3871449999999997E-2</v>
      </c>
      <c r="W5372">
        <v>0.156221</v>
      </c>
      <c r="X5372">
        <v>0.98714120000000005</v>
      </c>
      <c r="Y5372">
        <v>0.14791899999999999</v>
      </c>
      <c r="Z5372">
        <v>-5.5745369999999897E-3</v>
      </c>
      <c r="AA5372">
        <v>0.98898379999999997</v>
      </c>
      <c r="AB5372">
        <v>19</v>
      </c>
      <c r="AC5372">
        <v>0.60939999999999295</v>
      </c>
      <c r="AD5372">
        <v>-0.15904269999999901</v>
      </c>
      <c r="AE5372">
        <v>-0.13947999999999799</v>
      </c>
      <c r="AF5372">
        <v>0.10301476082168801</v>
      </c>
      <c r="AG5372">
        <v>-0.15904269999999901</v>
      </c>
      <c r="AH5372">
        <v>0.57804940573605401</v>
      </c>
      <c r="AI5372">
        <v>105.155982251019</v>
      </c>
      <c r="AJ5372">
        <v>79.895342637804305</v>
      </c>
      <c r="AK5372">
        <v>0.60831549120686101</v>
      </c>
      <c r="AL5372">
        <v>81.012383002511498</v>
      </c>
      <c r="AM5372">
        <v>91.965200154050393</v>
      </c>
      <c r="AN5372">
        <v>1.0000000123517701</v>
      </c>
    </row>
    <row r="5373" spans="1:40" x14ac:dyDescent="0.25">
      <c r="A5373" t="str">
        <f>"20190312172517722"</f>
        <v>20190312172517722</v>
      </c>
      <c r="B5373" t="str">
        <f>"1552382717715512"</f>
        <v>1552382717715512</v>
      </c>
      <c r="C5373" t="s">
        <v>40</v>
      </c>
      <c r="D5373">
        <v>4.3155609999999998</v>
      </c>
      <c r="E5373">
        <v>0.58271790000000001</v>
      </c>
      <c r="F5373" t="s">
        <v>41</v>
      </c>
      <c r="G5373">
        <v>-368.87619999999998</v>
      </c>
      <c r="H5373">
        <v>0.93714520000000001</v>
      </c>
      <c r="I5373">
        <v>17.119610000000002</v>
      </c>
      <c r="J5373">
        <v>-369.53969999999998</v>
      </c>
      <c r="K5373">
        <v>1.111056</v>
      </c>
      <c r="L5373">
        <v>17.272489999999902</v>
      </c>
      <c r="M5373">
        <v>0.99880559999999996</v>
      </c>
      <c r="N5373">
        <v>0</v>
      </c>
      <c r="O5373">
        <v>-4.7641849999999999E-2</v>
      </c>
      <c r="P5373">
        <v>0.98922310000000002</v>
      </c>
      <c r="Q5373">
        <v>0.14570520000000001</v>
      </c>
      <c r="R5373">
        <v>-1.4416699999999999E-2</v>
      </c>
      <c r="S5373">
        <v>3.1264340000000002</v>
      </c>
      <c r="T5373">
        <v>-0.70134790000000002</v>
      </c>
      <c r="U5373">
        <v>-0.63250729999999999</v>
      </c>
      <c r="V5373">
        <v>-3.3061569999999998E-2</v>
      </c>
      <c r="W5373">
        <v>0.15635569999999999</v>
      </c>
      <c r="X5373">
        <v>0.98714729999999995</v>
      </c>
      <c r="Y5373">
        <v>0.14895369999999999</v>
      </c>
      <c r="Z5373">
        <v>-5.903134E-3</v>
      </c>
      <c r="AA5373">
        <v>0.9888266</v>
      </c>
      <c r="AB5373">
        <v>19</v>
      </c>
      <c r="AC5373">
        <v>0.66349999999999898</v>
      </c>
      <c r="AD5373">
        <v>-0.1739108</v>
      </c>
      <c r="AE5373">
        <v>-0.15287999999999599</v>
      </c>
      <c r="AF5373">
        <v>0.113677951022294</v>
      </c>
      <c r="AG5373">
        <v>-0.1739108</v>
      </c>
      <c r="AH5373">
        <v>0.62899554642411304</v>
      </c>
      <c r="AI5373">
        <v>105.22069597102301</v>
      </c>
      <c r="AJ5373">
        <v>79.755554678375901</v>
      </c>
      <c r="AK5373">
        <v>0.66242210132711898</v>
      </c>
      <c r="AL5373">
        <v>81.004568967233197</v>
      </c>
      <c r="AM5373">
        <v>91.918235117161203</v>
      </c>
      <c r="AN5373">
        <v>0.99999998211532204</v>
      </c>
    </row>
    <row r="5374" spans="1:40" x14ac:dyDescent="0.25">
      <c r="A5374" t="str">
        <f>"20190312172517742"</f>
        <v>20190312172517742</v>
      </c>
      <c r="B5374" t="str">
        <f>"1552382717736008"</f>
        <v>1552382717736008</v>
      </c>
      <c r="C5374" t="s">
        <v>40</v>
      </c>
      <c r="D5374">
        <v>4.1786260000000004</v>
      </c>
      <c r="E5374">
        <v>0.58272619999999997</v>
      </c>
      <c r="F5374" t="s">
        <v>41</v>
      </c>
      <c r="G5374">
        <v>-368.70830000000001</v>
      </c>
      <c r="H5374">
        <v>0.92324050000000002</v>
      </c>
      <c r="I5374">
        <v>17.103289999999902</v>
      </c>
      <c r="J5374">
        <v>-369.3664</v>
      </c>
      <c r="K5374">
        <v>1.1110359999999999</v>
      </c>
      <c r="L5374">
        <v>17.265989999999999</v>
      </c>
      <c r="M5374">
        <v>0.99887789999999999</v>
      </c>
      <c r="N5374">
        <v>0</v>
      </c>
      <c r="O5374">
        <v>-4.61267E-2</v>
      </c>
      <c r="P5374">
        <v>0.98924800000000002</v>
      </c>
      <c r="Q5374">
        <v>0.145594899999999</v>
      </c>
      <c r="R5374">
        <v>-1.379728E-2</v>
      </c>
      <c r="S5374">
        <v>3.127472</v>
      </c>
      <c r="T5374">
        <v>-0.70653319999999997</v>
      </c>
      <c r="U5374">
        <v>-0.63635249999999999</v>
      </c>
      <c r="V5374">
        <v>-3.2182040000000002E-2</v>
      </c>
      <c r="W5374">
        <v>0.15612679999999901</v>
      </c>
      <c r="X5374">
        <v>0.9872126</v>
      </c>
      <c r="Y5374">
        <v>0.15142710000000001</v>
      </c>
      <c r="Z5374">
        <v>-6.5501329999999997E-3</v>
      </c>
      <c r="AA5374">
        <v>0.98844670000000001</v>
      </c>
      <c r="AB5374">
        <v>19</v>
      </c>
      <c r="AC5374">
        <v>0.65809999999999003</v>
      </c>
      <c r="AD5374">
        <v>-0.1877955</v>
      </c>
      <c r="AE5374">
        <v>-0.16270000000000001</v>
      </c>
      <c r="AF5374">
        <v>0.12274929370415601</v>
      </c>
      <c r="AG5374">
        <v>-0.1877955</v>
      </c>
      <c r="AH5374">
        <v>0.61751648622098998</v>
      </c>
      <c r="AI5374">
        <v>106.60869985450699</v>
      </c>
      <c r="AJ5374">
        <v>78.757352162625295</v>
      </c>
      <c r="AK5374">
        <v>0.65700924626662405</v>
      </c>
      <c r="AL5374">
        <v>81.0178471072376</v>
      </c>
      <c r="AM5374">
        <v>91.867117906084104</v>
      </c>
      <c r="AN5374">
        <v>0.99999998948778002</v>
      </c>
    </row>
    <row r="5375" spans="1:40" x14ac:dyDescent="0.25">
      <c r="A5375" t="str">
        <f>"20190312172517753"</f>
        <v>20190312172517753</v>
      </c>
      <c r="B5375" t="str">
        <f>"1552382717745768"</f>
        <v>1552382717745768</v>
      </c>
      <c r="C5375" t="s">
        <v>40</v>
      </c>
      <c r="D5375">
        <v>4.1202230000000002</v>
      </c>
      <c r="E5375">
        <v>0.58272619999999997</v>
      </c>
      <c r="F5375" t="s">
        <v>41</v>
      </c>
      <c r="G5375">
        <v>-368.53390000000002</v>
      </c>
      <c r="H5375">
        <v>0.92334579999999999</v>
      </c>
      <c r="I5375">
        <v>17.096689999999999</v>
      </c>
      <c r="J5375">
        <v>-369.26089999999999</v>
      </c>
      <c r="K5375">
        <v>1.111027</v>
      </c>
      <c r="L5375">
        <v>17.26221</v>
      </c>
      <c r="M5375">
        <v>0.99892099999999995</v>
      </c>
      <c r="N5375">
        <v>0</v>
      </c>
      <c r="O5375">
        <v>-4.5205040000000002E-2</v>
      </c>
      <c r="P5375">
        <v>0.98927100000000001</v>
      </c>
      <c r="Q5375">
        <v>0.14549010000000001</v>
      </c>
      <c r="R5375">
        <v>-1.324374E-2</v>
      </c>
      <c r="S5375">
        <v>3.1275330000000001</v>
      </c>
      <c r="T5375">
        <v>-0.70532109999999903</v>
      </c>
      <c r="U5375">
        <v>-0.63461299999999998</v>
      </c>
      <c r="V5375">
        <v>-3.1823299999999999E-2</v>
      </c>
      <c r="W5375">
        <v>0.15594920000000001</v>
      </c>
      <c r="X5375">
        <v>0.98725229999999997</v>
      </c>
      <c r="Y5375">
        <v>0.15178449999999999</v>
      </c>
      <c r="Z5375">
        <v>-6.781451E-3</v>
      </c>
      <c r="AA5375">
        <v>0.98839030000000005</v>
      </c>
      <c r="AB5375">
        <v>20</v>
      </c>
      <c r="AC5375">
        <v>0.726999999999975</v>
      </c>
      <c r="AD5375">
        <v>-0.18768119999999899</v>
      </c>
      <c r="AE5375">
        <v>-0.16552</v>
      </c>
      <c r="AF5375">
        <v>0.124590614166351</v>
      </c>
      <c r="AG5375">
        <v>-0.18768119999999899</v>
      </c>
      <c r="AH5375">
        <v>0.69001893255422697</v>
      </c>
      <c r="AI5375">
        <v>104.98486029341301</v>
      </c>
      <c r="AJ5375">
        <v>79.764886643048797</v>
      </c>
      <c r="AK5375">
        <v>0.72586030422875703</v>
      </c>
      <c r="AL5375">
        <v>81.028149026735605</v>
      </c>
      <c r="AM5375">
        <v>91.846245040801605</v>
      </c>
      <c r="AN5375">
        <v>0.99999998962940995</v>
      </c>
    </row>
    <row r="5376" spans="1:40" x14ac:dyDescent="0.25">
      <c r="A5376" t="str">
        <f>"20190312172517767"</f>
        <v>20190312172517767</v>
      </c>
      <c r="B5376" t="str">
        <f>"1552382717755528"</f>
        <v>1552382717755528</v>
      </c>
      <c r="C5376" t="s">
        <v>40</v>
      </c>
      <c r="D5376">
        <v>4.1587310000000004</v>
      </c>
      <c r="E5376">
        <v>0.60133249999999905</v>
      </c>
      <c r="F5376" t="s">
        <v>41</v>
      </c>
      <c r="G5376">
        <v>-368.52420000000001</v>
      </c>
      <c r="H5376">
        <v>0.94481649999999995</v>
      </c>
      <c r="I5376">
        <v>17.112839999999998</v>
      </c>
      <c r="J5376">
        <v>-369.15170000000001</v>
      </c>
      <c r="K5376">
        <v>1.111013</v>
      </c>
      <c r="L5376">
        <v>17.258299999999998</v>
      </c>
      <c r="M5376">
        <v>0.99896459999999998</v>
      </c>
      <c r="N5376">
        <v>0</v>
      </c>
      <c r="O5376">
        <v>-4.4251779999999998E-2</v>
      </c>
      <c r="P5376">
        <v>0.98925660000000004</v>
      </c>
      <c r="Q5376">
        <v>0.14564739999999901</v>
      </c>
      <c r="R5376">
        <v>-1.2602820000000001E-2</v>
      </c>
      <c r="S5376">
        <v>3.127869</v>
      </c>
      <c r="T5376">
        <v>-0.70595940000000001</v>
      </c>
      <c r="U5376">
        <v>-0.63256840000000003</v>
      </c>
      <c r="V5376">
        <v>-3.1520649999999997E-2</v>
      </c>
      <c r="W5376">
        <v>0.15603210000000001</v>
      </c>
      <c r="X5376">
        <v>0.98724889999999998</v>
      </c>
      <c r="Y5376">
        <v>0.1520521</v>
      </c>
      <c r="Z5376">
        <v>-7.0264809999999898E-3</v>
      </c>
      <c r="AA5376">
        <v>0.98834750000000005</v>
      </c>
      <c r="AB5376">
        <v>20</v>
      </c>
      <c r="AC5376">
        <v>0.62749999999999695</v>
      </c>
      <c r="AD5376">
        <v>-0.166196499999999</v>
      </c>
      <c r="AE5376">
        <v>-0.14545999999999901</v>
      </c>
      <c r="AF5376">
        <v>0.11021109536493801</v>
      </c>
      <c r="AG5376">
        <v>-0.166196499999999</v>
      </c>
      <c r="AH5376">
        <v>0.59379309129325597</v>
      </c>
      <c r="AI5376">
        <v>105.38635404327</v>
      </c>
      <c r="AJ5376">
        <v>79.485256652834096</v>
      </c>
      <c r="AK5376">
        <v>0.62638486365922896</v>
      </c>
      <c r="AL5376">
        <v>81.023340245700894</v>
      </c>
      <c r="AM5376">
        <v>91.828704918753601</v>
      </c>
      <c r="AN5376">
        <v>0.99999997907902105</v>
      </c>
    </row>
    <row r="5377" spans="1:40" x14ac:dyDescent="0.25">
      <c r="A5377" t="str">
        <f>"20190312172517779"</f>
        <v>20190312172517779</v>
      </c>
      <c r="B5377" t="str">
        <f>"1552382717776025"</f>
        <v>1552382717776025</v>
      </c>
      <c r="C5377" t="s">
        <v>40</v>
      </c>
      <c r="D5377">
        <v>4.1448390000000002</v>
      </c>
      <c r="E5377">
        <v>0.60151769999999904</v>
      </c>
      <c r="F5377" t="s">
        <v>41</v>
      </c>
      <c r="G5377">
        <v>-368.35939999999999</v>
      </c>
      <c r="H5377">
        <v>0.92183409999999999</v>
      </c>
      <c r="I5377">
        <v>17.061769999999999</v>
      </c>
      <c r="J5377">
        <v>-369.0378</v>
      </c>
      <c r="K5377">
        <v>1.1110059999999999</v>
      </c>
      <c r="L5377">
        <v>17.254359999999998</v>
      </c>
      <c r="M5377">
        <v>0.99900889999999998</v>
      </c>
      <c r="N5377">
        <v>0</v>
      </c>
      <c r="O5377">
        <v>-4.3257749999999998E-2</v>
      </c>
      <c r="P5377">
        <v>0.98931029999999998</v>
      </c>
      <c r="Q5377">
        <v>0.14534420000000001</v>
      </c>
      <c r="R5377">
        <v>-1.186008E-2</v>
      </c>
      <c r="S5377">
        <v>3.1329039999999999</v>
      </c>
      <c r="T5377">
        <v>-0.74826769999999998</v>
      </c>
      <c r="U5377">
        <v>-0.77633669999999899</v>
      </c>
      <c r="V5377">
        <v>-3.1280589999999997E-2</v>
      </c>
      <c r="W5377">
        <v>0.1556516</v>
      </c>
      <c r="X5377">
        <v>0.98731659999999999</v>
      </c>
      <c r="Y5377">
        <v>0.19431509999999999</v>
      </c>
      <c r="Z5377">
        <v>-1.25282E-2</v>
      </c>
      <c r="AA5377">
        <v>0.98085919999999904</v>
      </c>
      <c r="AB5377">
        <v>20</v>
      </c>
      <c r="AC5377">
        <v>0.67840000000001</v>
      </c>
      <c r="AD5377">
        <v>-0.189171899999999</v>
      </c>
      <c r="AE5377">
        <v>-0.19258999999999901</v>
      </c>
      <c r="AF5377">
        <v>0.15211605532627501</v>
      </c>
      <c r="AG5377">
        <v>-0.189171899999999</v>
      </c>
      <c r="AH5377">
        <v>0.64004031020246299</v>
      </c>
      <c r="AI5377">
        <v>106.04273640824</v>
      </c>
      <c r="AJ5377">
        <v>76.630758723016598</v>
      </c>
      <c r="AK5377">
        <v>0.68452677136960904</v>
      </c>
      <c r="AL5377">
        <v>81.045410978612395</v>
      </c>
      <c r="AM5377">
        <v>91.814662568442699</v>
      </c>
      <c r="AN5377">
        <v>0.99999998226443398</v>
      </c>
    </row>
    <row r="5378" spans="1:40" x14ac:dyDescent="0.25">
      <c r="A5378" t="str">
        <f>"20190312172517799"</f>
        <v>20190312172517799</v>
      </c>
      <c r="B5378" t="str">
        <f>"1552382717795544"</f>
        <v>1552382717795544</v>
      </c>
      <c r="C5378" t="s">
        <v>40</v>
      </c>
      <c r="D5378">
        <v>4.1390089999999997</v>
      </c>
      <c r="E5378">
        <v>0.6016475</v>
      </c>
      <c r="F5378" t="s">
        <v>41</v>
      </c>
      <c r="G5378">
        <v>-368.34930000000003</v>
      </c>
      <c r="H5378">
        <v>0.94531319999999996</v>
      </c>
      <c r="I5378">
        <v>17.083829999999999</v>
      </c>
      <c r="J5378">
        <v>-368.87709999999998</v>
      </c>
      <c r="K5378">
        <v>1.110995</v>
      </c>
      <c r="L5378">
        <v>17.249020000000002</v>
      </c>
      <c r="M5378">
        <v>0.9990696</v>
      </c>
      <c r="N5378">
        <v>0</v>
      </c>
      <c r="O5378">
        <v>-4.185767E-2</v>
      </c>
      <c r="P5378">
        <v>0.98930220000000002</v>
      </c>
      <c r="Q5378">
        <v>0.14548510000000001</v>
      </c>
      <c r="R5378">
        <v>-1.074604E-2</v>
      </c>
      <c r="S5378">
        <v>3.1340029999999999</v>
      </c>
      <c r="T5378">
        <v>-0.75448680000000001</v>
      </c>
      <c r="U5378">
        <v>-0.7753601</v>
      </c>
      <c r="V5378">
        <v>-3.10088E-2</v>
      </c>
      <c r="W5378">
        <v>0.1556794</v>
      </c>
      <c r="X5378">
        <v>0.9873208</v>
      </c>
      <c r="Y5378">
        <v>0.19519520000000001</v>
      </c>
      <c r="Z5378">
        <v>-1.3055310000000001E-2</v>
      </c>
      <c r="AA5378">
        <v>0.98067749999999998</v>
      </c>
      <c r="AB5378">
        <v>20</v>
      </c>
      <c r="AC5378">
        <v>0.52779999999995597</v>
      </c>
      <c r="AD5378">
        <v>-0.16568179999999999</v>
      </c>
      <c r="AE5378">
        <v>-0.165190000000002</v>
      </c>
      <c r="AF5378">
        <v>0.13117849568419701</v>
      </c>
      <c r="AG5378">
        <v>-0.16568179999999999</v>
      </c>
      <c r="AH5378">
        <v>0.49025287000399997</v>
      </c>
      <c r="AI5378">
        <v>108.08015000613899</v>
      </c>
      <c r="AJ5378">
        <v>75.020105234757906</v>
      </c>
      <c r="AK5378">
        <v>0.53385965677167302</v>
      </c>
      <c r="AL5378">
        <v>81.043798584598505</v>
      </c>
      <c r="AM5378">
        <v>91.798898131866594</v>
      </c>
      <c r="AN5378">
        <v>0.99999999168721998</v>
      </c>
    </row>
    <row r="5379" spans="1:40" x14ac:dyDescent="0.25">
      <c r="A5379" t="str">
        <f>"20190312172517811"</f>
        <v>20190312172517811</v>
      </c>
      <c r="B5379" t="str">
        <f>"1552382717806280"</f>
        <v>1552382717806280</v>
      </c>
      <c r="C5379" t="s">
        <v>40</v>
      </c>
      <c r="D5379">
        <v>4.1293800000000003</v>
      </c>
      <c r="E5379">
        <v>0.6018521</v>
      </c>
      <c r="F5379" t="s">
        <v>41</v>
      </c>
      <c r="G5379">
        <v>-368.17570000000001</v>
      </c>
      <c r="H5379">
        <v>0.94151640000000003</v>
      </c>
      <c r="I5379">
        <v>17.075769999999999</v>
      </c>
      <c r="J5379">
        <v>-368.7602</v>
      </c>
      <c r="K5379">
        <v>1.1109849999999999</v>
      </c>
      <c r="L5379">
        <v>17.245270000000001</v>
      </c>
      <c r="M5379">
        <v>0.99911269999999996</v>
      </c>
      <c r="N5379">
        <v>0</v>
      </c>
      <c r="O5379">
        <v>-4.0841799999999998E-2</v>
      </c>
      <c r="P5379">
        <v>0.98935039999999996</v>
      </c>
      <c r="Q5379">
        <v>0.14522669999999999</v>
      </c>
      <c r="R5379">
        <v>-9.7581579999999994E-3</v>
      </c>
      <c r="S5379">
        <v>3.135529</v>
      </c>
      <c r="T5379">
        <v>-0.75795400000000002</v>
      </c>
      <c r="U5379">
        <v>-0.77273559999999997</v>
      </c>
      <c r="V5379">
        <v>-3.0991680000000001E-2</v>
      </c>
      <c r="W5379">
        <v>0.1553341</v>
      </c>
      <c r="X5379">
        <v>0.98737569999999997</v>
      </c>
      <c r="Y5379">
        <v>0.195243</v>
      </c>
      <c r="Z5379">
        <v>-1.335241E-2</v>
      </c>
      <c r="AA5379">
        <v>0.98066399999999998</v>
      </c>
      <c r="AB5379">
        <v>20</v>
      </c>
      <c r="AC5379">
        <v>0.58449999999999103</v>
      </c>
      <c r="AD5379">
        <v>-0.1694686</v>
      </c>
      <c r="AE5379">
        <v>-0.16949999999999901</v>
      </c>
      <c r="AF5379">
        <v>0.135015749865217</v>
      </c>
      <c r="AG5379">
        <v>-0.1694686</v>
      </c>
      <c r="AH5379">
        <v>0.54841000039660803</v>
      </c>
      <c r="AI5379">
        <v>106.702307889068</v>
      </c>
      <c r="AJ5379">
        <v>76.169130759964801</v>
      </c>
      <c r="AK5379">
        <v>0.58966294408978603</v>
      </c>
      <c r="AL5379">
        <v>81.0638262637802</v>
      </c>
      <c r="AM5379">
        <v>91.797805708385795</v>
      </c>
      <c r="AN5379">
        <v>0.99999996990126006</v>
      </c>
    </row>
    <row r="5380" spans="1:40" x14ac:dyDescent="0.25">
      <c r="A5380" t="str">
        <f>"20190312172517823"</f>
        <v>20190312172517823</v>
      </c>
      <c r="B5380" t="str">
        <f>"1552382717815571"</f>
        <v>1552382717815571</v>
      </c>
      <c r="C5380" t="s">
        <v>40</v>
      </c>
      <c r="D5380">
        <v>4.138083</v>
      </c>
      <c r="E5380">
        <v>0.60215529999999995</v>
      </c>
      <c r="F5380" t="s">
        <v>41</v>
      </c>
      <c r="G5380">
        <v>-368.00569999999999</v>
      </c>
      <c r="H5380">
        <v>0.92837720000000001</v>
      </c>
      <c r="I5380">
        <v>17.059729999999998</v>
      </c>
      <c r="J5380">
        <v>-368.65730000000002</v>
      </c>
      <c r="K5380">
        <v>1.1109739999999999</v>
      </c>
      <c r="L5380">
        <v>17.242069999999998</v>
      </c>
      <c r="M5380">
        <v>0.99914950000000002</v>
      </c>
      <c r="N5380">
        <v>0</v>
      </c>
      <c r="O5380">
        <v>-3.9949220000000001E-2</v>
      </c>
      <c r="P5380">
        <v>0.98936500000000005</v>
      </c>
      <c r="Q5380">
        <v>0.1451962</v>
      </c>
      <c r="R5380">
        <v>-8.6628750000000004E-3</v>
      </c>
      <c r="S5380">
        <v>3.1361080000000001</v>
      </c>
      <c r="T5380">
        <v>-0.75898409999999905</v>
      </c>
      <c r="U5380">
        <v>-0.77127080000000003</v>
      </c>
      <c r="V5380">
        <v>-3.1203620000000001E-2</v>
      </c>
      <c r="W5380">
        <v>0.1552239</v>
      </c>
      <c r="X5380">
        <v>0.9873864</v>
      </c>
      <c r="Y5380">
        <v>0.19559989999999999</v>
      </c>
      <c r="Z5380">
        <v>-1.361972E-2</v>
      </c>
      <c r="AA5380">
        <v>0.98058920000000005</v>
      </c>
      <c r="AB5380">
        <v>20</v>
      </c>
      <c r="AC5380">
        <v>0.65160000000003004</v>
      </c>
      <c r="AD5380">
        <v>-0.182596799999999</v>
      </c>
      <c r="AE5380">
        <v>-0.182340000000003</v>
      </c>
      <c r="AF5380">
        <v>0.145561602696371</v>
      </c>
      <c r="AG5380">
        <v>-0.182596799999999</v>
      </c>
      <c r="AH5380">
        <v>0.61367360108758295</v>
      </c>
      <c r="AI5380">
        <v>106.146478094857</v>
      </c>
      <c r="AJ5380">
        <v>76.656210541232298</v>
      </c>
      <c r="AK5380">
        <v>0.65660114241568202</v>
      </c>
      <c r="AL5380">
        <v>81.070218180558399</v>
      </c>
      <c r="AM5380">
        <v>91.810072446347405</v>
      </c>
      <c r="AN5380">
        <v>1.00000001396863</v>
      </c>
    </row>
    <row r="5381" spans="1:40" x14ac:dyDescent="0.25">
      <c r="A5381" t="str">
        <f>"20190312172517835"</f>
        <v>20190312172517835</v>
      </c>
      <c r="B5381" t="str">
        <f>"1552382717826308"</f>
        <v>1552382717826308</v>
      </c>
      <c r="C5381" t="s">
        <v>40</v>
      </c>
      <c r="D5381">
        <v>4.1223140000000003</v>
      </c>
      <c r="E5381">
        <v>0.6023889</v>
      </c>
      <c r="F5381" t="s">
        <v>41</v>
      </c>
      <c r="G5381">
        <v>-367.8365</v>
      </c>
      <c r="H5381">
        <v>0.91202519999999998</v>
      </c>
      <c r="I5381">
        <v>17.040209999999998</v>
      </c>
      <c r="J5381">
        <v>-368.54880000000003</v>
      </c>
      <c r="K5381">
        <v>1.1109629999999999</v>
      </c>
      <c r="L5381">
        <v>17.238800000000001</v>
      </c>
      <c r="M5381">
        <v>0.99918750000000001</v>
      </c>
      <c r="N5381">
        <v>0</v>
      </c>
      <c r="O5381">
        <v>-3.9013010000000001E-2</v>
      </c>
      <c r="P5381">
        <v>0.98939730000000004</v>
      </c>
      <c r="Q5381">
        <v>0.145044799999999</v>
      </c>
      <c r="R5381">
        <v>-7.4300099999999999E-3</v>
      </c>
      <c r="S5381">
        <v>3.1370849999999999</v>
      </c>
      <c r="T5381">
        <v>-0.76058029999999999</v>
      </c>
      <c r="U5381">
        <v>-0.77029419999999904</v>
      </c>
      <c r="V5381">
        <v>-3.1508950000000001E-2</v>
      </c>
      <c r="W5381">
        <v>0.1549855</v>
      </c>
      <c r="X5381">
        <v>0.98741409999999996</v>
      </c>
      <c r="Y5381">
        <v>0.19610440000000001</v>
      </c>
      <c r="Z5381">
        <v>-1.392344E-2</v>
      </c>
      <c r="AA5381">
        <v>0.98048420000000003</v>
      </c>
      <c r="AB5381">
        <v>20</v>
      </c>
      <c r="AC5381">
        <v>0.71230000000002702</v>
      </c>
      <c r="AD5381">
        <v>-0.198937799999999</v>
      </c>
      <c r="AE5381">
        <v>-0.19858999999999899</v>
      </c>
      <c r="AF5381">
        <v>0.15913103150525301</v>
      </c>
      <c r="AG5381">
        <v>-0.198937799999999</v>
      </c>
      <c r="AH5381">
        <v>0.67094488901649596</v>
      </c>
      <c r="AI5381">
        <v>106.092883165763</v>
      </c>
      <c r="AJ5381">
        <v>76.6574357830346</v>
      </c>
      <c r="AK5381">
        <v>0.71768097198833702</v>
      </c>
      <c r="AL5381">
        <v>81.0840443567145</v>
      </c>
      <c r="AM5381">
        <v>91.827720959314505</v>
      </c>
      <c r="AN5381">
        <v>0.99999996200957997</v>
      </c>
    </row>
    <row r="5382" spans="1:40" x14ac:dyDescent="0.25">
      <c r="A5382" t="str">
        <f>"20190312172517847"</f>
        <v>20190312172517847</v>
      </c>
      <c r="B5382" t="str">
        <f>"1552382717836067"</f>
        <v>1552382717836067</v>
      </c>
      <c r="C5382" t="s">
        <v>40</v>
      </c>
      <c r="D5382">
        <v>4.0916449999999998</v>
      </c>
      <c r="E5382">
        <v>0.60245070000000001</v>
      </c>
      <c r="F5382" t="s">
        <v>41</v>
      </c>
      <c r="G5382">
        <v>-367.82639999999998</v>
      </c>
      <c r="H5382">
        <v>0.93583700000000003</v>
      </c>
      <c r="I5382">
        <v>17.061579999999999</v>
      </c>
      <c r="J5382">
        <v>-368.4443</v>
      </c>
      <c r="K5382">
        <v>1.1109500000000001</v>
      </c>
      <c r="L5382">
        <v>17.235720000000001</v>
      </c>
      <c r="M5382">
        <v>0.99922290000000002</v>
      </c>
      <c r="N5382">
        <v>0</v>
      </c>
      <c r="O5382">
        <v>-3.8115089999999997E-2</v>
      </c>
      <c r="P5382">
        <v>0.98942379999999996</v>
      </c>
      <c r="Q5382">
        <v>0.14490910000000001</v>
      </c>
      <c r="R5382">
        <v>-6.4914350000000003E-3</v>
      </c>
      <c r="S5382">
        <v>3.1379389999999998</v>
      </c>
      <c r="T5382">
        <v>-0.76090290000000005</v>
      </c>
      <c r="U5382">
        <v>-0.76843260000000002</v>
      </c>
      <c r="V5382">
        <v>-3.1558070000000001E-2</v>
      </c>
      <c r="W5382">
        <v>0.1547693</v>
      </c>
      <c r="X5382">
        <v>0.9874465</v>
      </c>
      <c r="Y5382">
        <v>0.19634099999999999</v>
      </c>
      <c r="Z5382">
        <v>-1.416542E-2</v>
      </c>
      <c r="AA5382">
        <v>0.98043329999999995</v>
      </c>
      <c r="AB5382">
        <v>20</v>
      </c>
      <c r="AC5382">
        <v>0.61790000000001999</v>
      </c>
      <c r="AD5382">
        <v>-0.17511299999999999</v>
      </c>
      <c r="AE5382">
        <v>-0.17414000000000099</v>
      </c>
      <c r="AF5382">
        <v>0.14004105989962101</v>
      </c>
      <c r="AG5382">
        <v>-0.17511299999999999</v>
      </c>
      <c r="AH5382">
        <v>0.580868579981482</v>
      </c>
      <c r="AI5382">
        <v>106.33430899997001</v>
      </c>
      <c r="AJ5382">
        <v>76.445281186712805</v>
      </c>
      <c r="AK5382">
        <v>0.62264305058075897</v>
      </c>
      <c r="AL5382">
        <v>81.096583512992396</v>
      </c>
      <c r="AM5382">
        <v>91.830508273369105</v>
      </c>
      <c r="AN5382">
        <v>1.00000001918343</v>
      </c>
    </row>
    <row r="5383" spans="1:40" x14ac:dyDescent="0.25">
      <c r="A5383" t="str">
        <f>"20190312172517867"</f>
        <v>20190312172517867</v>
      </c>
      <c r="B5383" t="str">
        <f>"1552382717855587"</f>
        <v>1552382717855587</v>
      </c>
      <c r="C5383" t="s">
        <v>40</v>
      </c>
      <c r="D5383">
        <v>4.092886</v>
      </c>
      <c r="E5383">
        <v>0.60253049999999997</v>
      </c>
      <c r="F5383" t="s">
        <v>41</v>
      </c>
      <c r="G5383">
        <v>-367.65649999999999</v>
      </c>
      <c r="H5383">
        <v>0.91988440000000005</v>
      </c>
      <c r="I5383">
        <v>17.04317</v>
      </c>
      <c r="J5383">
        <v>-368.27289999999999</v>
      </c>
      <c r="K5383">
        <v>1.1109279999999999</v>
      </c>
      <c r="L5383">
        <v>17.230869999999999</v>
      </c>
      <c r="M5383">
        <v>0.99927889999999997</v>
      </c>
      <c r="N5383">
        <v>0</v>
      </c>
      <c r="O5383">
        <v>-3.6652230000000001E-2</v>
      </c>
      <c r="P5383">
        <v>0.9894172</v>
      </c>
      <c r="Q5383">
        <v>0.14501839999999999</v>
      </c>
      <c r="R5383">
        <v>-4.8490369999999996E-3</v>
      </c>
      <c r="S5383">
        <v>3.13855</v>
      </c>
      <c r="T5383">
        <v>-0.76125430000000005</v>
      </c>
      <c r="U5383">
        <v>-0.76626590000000006</v>
      </c>
      <c r="V5383">
        <v>-3.1748850000000002E-2</v>
      </c>
      <c r="W5383">
        <v>0.1547499</v>
      </c>
      <c r="X5383">
        <v>0.98744339999999997</v>
      </c>
      <c r="Y5383">
        <v>0.19703010000000001</v>
      </c>
      <c r="Z5383">
        <v>-1.4595449999999999E-2</v>
      </c>
      <c r="AA5383">
        <v>0.98028879999999996</v>
      </c>
      <c r="AB5383">
        <v>20</v>
      </c>
      <c r="AC5383">
        <v>0.61639999999999795</v>
      </c>
      <c r="AD5383">
        <v>-0.19104360000000001</v>
      </c>
      <c r="AE5383">
        <v>-0.18769999999999901</v>
      </c>
      <c r="AF5383">
        <v>0.151649152765612</v>
      </c>
      <c r="AG5383">
        <v>-0.19104360000000001</v>
      </c>
      <c r="AH5383">
        <v>0.57253532628677195</v>
      </c>
      <c r="AI5383">
        <v>107.877463395928</v>
      </c>
      <c r="AJ5383">
        <v>75.164571945967495</v>
      </c>
      <c r="AK5383">
        <v>0.62232774522898104</v>
      </c>
      <c r="AL5383">
        <v>81.097708385543598</v>
      </c>
      <c r="AM5383">
        <v>91.841572541563806</v>
      </c>
      <c r="AN5383">
        <v>0.99999999461494604</v>
      </c>
    </row>
    <row r="5384" spans="1:40" x14ac:dyDescent="0.25">
      <c r="A5384" t="str">
        <f>"20190312172517887"</f>
        <v>20190312172517887</v>
      </c>
      <c r="B5384" t="str">
        <f>"1552382717876083"</f>
        <v>1552382717876083</v>
      </c>
      <c r="C5384" t="s">
        <v>40</v>
      </c>
      <c r="D5384">
        <v>4.0558059999999996</v>
      </c>
      <c r="E5384">
        <v>0.60267899999999996</v>
      </c>
      <c r="F5384" t="s">
        <v>41</v>
      </c>
      <c r="G5384">
        <v>-367.4796</v>
      </c>
      <c r="H5384">
        <v>0.91887609999999997</v>
      </c>
      <c r="I5384">
        <v>17.038139999999999</v>
      </c>
      <c r="J5384">
        <v>-368.09339999999997</v>
      </c>
      <c r="K5384">
        <v>1.1109020000000001</v>
      </c>
      <c r="L5384">
        <v>17.226009999999999</v>
      </c>
      <c r="M5384">
        <v>0.99933459999999996</v>
      </c>
      <c r="N5384">
        <v>0</v>
      </c>
      <c r="O5384">
        <v>-3.5138610000000001E-2</v>
      </c>
      <c r="P5384">
        <v>0.98939250000000001</v>
      </c>
      <c r="Q5384">
        <v>0.14522879999999999</v>
      </c>
      <c r="R5384">
        <v>-3.3570499999999999E-3</v>
      </c>
      <c r="S5384">
        <v>3.1398009999999998</v>
      </c>
      <c r="T5384">
        <v>-0.76040419999999997</v>
      </c>
      <c r="U5384">
        <v>-0.76156619999999997</v>
      </c>
      <c r="V5384">
        <v>-3.1738099999999998E-2</v>
      </c>
      <c r="W5384">
        <v>0.1548291</v>
      </c>
      <c r="X5384">
        <v>0.98743130000000001</v>
      </c>
      <c r="Y5384">
        <v>0.1970084</v>
      </c>
      <c r="Z5384">
        <v>-1.4929420000000001E-2</v>
      </c>
      <c r="AA5384">
        <v>0.9802881</v>
      </c>
      <c r="AB5384">
        <v>20</v>
      </c>
      <c r="AC5384">
        <v>0.61379999999996904</v>
      </c>
      <c r="AD5384">
        <v>-0.1920259</v>
      </c>
      <c r="AE5384">
        <v>-0.18787000000000301</v>
      </c>
      <c r="AF5384">
        <v>0.15253454720877699</v>
      </c>
      <c r="AG5384">
        <v>-0.1920259</v>
      </c>
      <c r="AH5384">
        <v>0.56909446991031498</v>
      </c>
      <c r="AI5384">
        <v>108.051801912565</v>
      </c>
      <c r="AJ5384">
        <v>74.995665606882199</v>
      </c>
      <c r="AK5384">
        <v>0.619684798946608</v>
      </c>
      <c r="AL5384">
        <v>81.093114931758507</v>
      </c>
      <c r="AM5384">
        <v>91.840971967060895</v>
      </c>
      <c r="AN5384">
        <v>0.99999996470905395</v>
      </c>
    </row>
    <row r="5385" spans="1:40" x14ac:dyDescent="0.25">
      <c r="A5385" t="str">
        <f>"20190312172517899"</f>
        <v>20190312172517899</v>
      </c>
      <c r="B5385" t="str">
        <f>"1552382717895603"</f>
        <v>1552382717895603</v>
      </c>
      <c r="C5385" t="s">
        <v>40</v>
      </c>
      <c r="D5385">
        <v>4.0364069999999996</v>
      </c>
      <c r="E5385">
        <v>0.60270919999999994</v>
      </c>
      <c r="F5385" t="s">
        <v>41</v>
      </c>
      <c r="G5385">
        <v>-367.30169999999998</v>
      </c>
      <c r="H5385">
        <v>0.91960719999999996</v>
      </c>
      <c r="I5385">
        <v>17.034829999999999</v>
      </c>
      <c r="J5385">
        <v>-367.98509999999999</v>
      </c>
      <c r="K5385">
        <v>1.1108819999999999</v>
      </c>
      <c r="L5385">
        <v>17.223240000000001</v>
      </c>
      <c r="M5385">
        <v>0.99936659999999999</v>
      </c>
      <c r="N5385">
        <v>0</v>
      </c>
      <c r="O5385">
        <v>-3.4234550000000002E-2</v>
      </c>
      <c r="P5385">
        <v>0.98936190000000002</v>
      </c>
      <c r="Q5385">
        <v>0.14545279999999899</v>
      </c>
      <c r="R5385">
        <v>-2.5380369999999999E-3</v>
      </c>
      <c r="S5385">
        <v>3.141022</v>
      </c>
      <c r="T5385">
        <v>-0.75911830000000002</v>
      </c>
      <c r="U5385">
        <v>-0.75811770000000001</v>
      </c>
      <c r="V5385">
        <v>-3.1658739999999998E-2</v>
      </c>
      <c r="W5385">
        <v>0.15497420000000001</v>
      </c>
      <c r="X5385">
        <v>0.98741109999999999</v>
      </c>
      <c r="Y5385">
        <v>0.1967883</v>
      </c>
      <c r="Z5385">
        <v>-1.508725E-2</v>
      </c>
      <c r="AA5385">
        <v>0.98032989999999998</v>
      </c>
      <c r="AB5385">
        <v>20</v>
      </c>
      <c r="AC5385">
        <v>0.683400000000006</v>
      </c>
      <c r="AD5385">
        <v>-0.19127479999999999</v>
      </c>
      <c r="AE5385">
        <v>-0.18841000000000099</v>
      </c>
      <c r="AF5385">
        <v>0.15371184642699601</v>
      </c>
      <c r="AG5385">
        <v>-0.19127479999999999</v>
      </c>
      <c r="AH5385">
        <v>0.64266199073679697</v>
      </c>
      <c r="AI5385">
        <v>106.143846543493</v>
      </c>
      <c r="AJ5385">
        <v>76.548702801958697</v>
      </c>
      <c r="AK5385">
        <v>0.68791555817906802</v>
      </c>
      <c r="AL5385">
        <v>81.084699874053499</v>
      </c>
      <c r="AM5385">
        <v>91.836409379271799</v>
      </c>
      <c r="AN5385">
        <v>0.99999997944361796</v>
      </c>
    </row>
    <row r="5386" spans="1:40" x14ac:dyDescent="0.25">
      <c r="A5386" t="str">
        <f>"20190312172517912"</f>
        <v>20190312172517912</v>
      </c>
      <c r="B5386" t="str">
        <f>"1552382717906339"</f>
        <v>1552382717906339</v>
      </c>
      <c r="C5386" t="s">
        <v>40</v>
      </c>
      <c r="D5386">
        <v>4.0363660000000001</v>
      </c>
      <c r="E5386">
        <v>0.60276809999999903</v>
      </c>
      <c r="F5386" t="s">
        <v>41</v>
      </c>
      <c r="G5386">
        <v>-367.29169999999999</v>
      </c>
      <c r="H5386">
        <v>0.94353339999999997</v>
      </c>
      <c r="I5386">
        <v>17.05631</v>
      </c>
      <c r="J5386">
        <v>-367.87490000000003</v>
      </c>
      <c r="K5386">
        <v>1.110862</v>
      </c>
      <c r="L5386">
        <v>17.220489999999899</v>
      </c>
      <c r="M5386">
        <v>0.99939829999999996</v>
      </c>
      <c r="N5386">
        <v>0</v>
      </c>
      <c r="O5386">
        <v>-3.3326809999999998E-2</v>
      </c>
      <c r="P5386">
        <v>0.98934509999999998</v>
      </c>
      <c r="Q5386">
        <v>0.14558199999999999</v>
      </c>
      <c r="R5386">
        <v>-1.5779360000000001E-3</v>
      </c>
      <c r="S5386">
        <v>3.141724</v>
      </c>
      <c r="T5386">
        <v>-0.75825430000000005</v>
      </c>
      <c r="U5386">
        <v>-0.75573729999999995</v>
      </c>
      <c r="V5386">
        <v>-3.1716870000000001E-2</v>
      </c>
      <c r="W5386">
        <v>0.15502460000000001</v>
      </c>
      <c r="X5386">
        <v>0.98740139999999998</v>
      </c>
      <c r="Y5386">
        <v>0.19690879999999999</v>
      </c>
      <c r="Z5386">
        <v>-1.52953E-2</v>
      </c>
      <c r="AA5386">
        <v>0.98030249999999997</v>
      </c>
      <c r="AB5386">
        <v>20</v>
      </c>
      <c r="AC5386">
        <v>0.58320000000003303</v>
      </c>
      <c r="AD5386">
        <v>-0.16732859999999899</v>
      </c>
      <c r="AE5386">
        <v>-0.16417999999999799</v>
      </c>
      <c r="AF5386">
        <v>0.134400300614338</v>
      </c>
      <c r="AG5386">
        <v>-0.16732859999999899</v>
      </c>
      <c r="AH5386">
        <v>0.546651922703277</v>
      </c>
      <c r="AI5386">
        <v>106.554323386527</v>
      </c>
      <c r="AJ5386">
        <v>76.187179047268401</v>
      </c>
      <c r="AK5386">
        <v>0.58727389332267599</v>
      </c>
      <c r="AL5386">
        <v>81.0817775251532</v>
      </c>
      <c r="AM5386">
        <v>91.839797036978496</v>
      </c>
      <c r="AN5386">
        <v>1.0000000555848501</v>
      </c>
    </row>
    <row r="5387" spans="1:40" x14ac:dyDescent="0.25">
      <c r="A5387" t="str">
        <f>"20190312172517924"</f>
        <v>20190312172517924</v>
      </c>
      <c r="B5387" t="str">
        <f>"1552382717915631"</f>
        <v>1552382717915631</v>
      </c>
      <c r="C5387" t="s">
        <v>40</v>
      </c>
      <c r="D5387">
        <v>4.0116199999999997</v>
      </c>
      <c r="E5387">
        <v>0.60284919999999997</v>
      </c>
      <c r="F5387" t="s">
        <v>41</v>
      </c>
      <c r="G5387">
        <v>-367.11970000000002</v>
      </c>
      <c r="H5387">
        <v>0.9288402</v>
      </c>
      <c r="I5387">
        <v>17.039010000000001</v>
      </c>
      <c r="J5387">
        <v>-367.75869999999998</v>
      </c>
      <c r="K5387">
        <v>1.1108420000000001</v>
      </c>
      <c r="L5387">
        <v>17.217649999999999</v>
      </c>
      <c r="M5387">
        <v>0.99943020000000005</v>
      </c>
      <c r="N5387">
        <v>0</v>
      </c>
      <c r="O5387">
        <v>-3.2380220000000001E-2</v>
      </c>
      <c r="P5387">
        <v>0.98935200000000001</v>
      </c>
      <c r="Q5387">
        <v>0.1455427</v>
      </c>
      <c r="R5387">
        <v>-6.3089099999999996E-4</v>
      </c>
      <c r="S5387">
        <v>3.1425779999999999</v>
      </c>
      <c r="T5387">
        <v>-0.75769229999999999</v>
      </c>
      <c r="U5387">
        <v>-0.75311280000000003</v>
      </c>
      <c r="V5387">
        <v>-3.1723139999999997E-2</v>
      </c>
      <c r="W5387">
        <v>0.15490309999999999</v>
      </c>
      <c r="X5387">
        <v>0.98742019999999997</v>
      </c>
      <c r="Y5387">
        <v>0.19698170000000001</v>
      </c>
      <c r="Z5387">
        <v>-1.5511769999999999E-2</v>
      </c>
      <c r="AA5387">
        <v>0.9802845</v>
      </c>
      <c r="AB5387">
        <v>20</v>
      </c>
      <c r="AC5387">
        <v>0.63899999999995305</v>
      </c>
      <c r="AD5387">
        <v>-0.18200179999999999</v>
      </c>
      <c r="AE5387">
        <v>-0.178639999999997</v>
      </c>
      <c r="AF5387">
        <v>0.14680807520839301</v>
      </c>
      <c r="AG5387">
        <v>-0.18200179999999999</v>
      </c>
      <c r="AH5387">
        <v>0.59935224531180697</v>
      </c>
      <c r="AI5387">
        <v>106.433160846105</v>
      </c>
      <c r="AJ5387">
        <v>76.236695671442803</v>
      </c>
      <c r="AK5387">
        <v>0.64335089967290604</v>
      </c>
      <c r="AL5387">
        <v>81.088823491371201</v>
      </c>
      <c r="AM5387">
        <v>91.840125478486797</v>
      </c>
      <c r="AN5387">
        <v>0.99999998968455395</v>
      </c>
    </row>
    <row r="5388" spans="1:40" x14ac:dyDescent="0.25">
      <c r="A5388" t="str">
        <f>"20190312172517937"</f>
        <v>20190312172517937</v>
      </c>
      <c r="B5388" t="str">
        <f>"1552382717926369"</f>
        <v>1552382717926369</v>
      </c>
      <c r="C5388" t="s">
        <v>40</v>
      </c>
      <c r="D5388">
        <v>3.9770029999999998</v>
      </c>
      <c r="E5388">
        <v>0.60280259999999997</v>
      </c>
      <c r="F5388" t="s">
        <v>41</v>
      </c>
      <c r="G5388">
        <v>-366.94650000000001</v>
      </c>
      <c r="H5388">
        <v>0.91525210000000001</v>
      </c>
      <c r="I5388">
        <v>17.023260000000001</v>
      </c>
      <c r="J5388">
        <v>-367.64760000000001</v>
      </c>
      <c r="K5388">
        <v>1.110814</v>
      </c>
      <c r="L5388">
        <v>17.21509</v>
      </c>
      <c r="M5388">
        <v>0.99945930000000005</v>
      </c>
      <c r="N5388">
        <v>0</v>
      </c>
      <c r="O5388">
        <v>-3.1491699999999997E-2</v>
      </c>
      <c r="P5388">
        <v>0.98935989999999996</v>
      </c>
      <c r="Q5388">
        <v>0.14548939999999999</v>
      </c>
      <c r="R5388" s="1">
        <v>8.7345949999999997E-5</v>
      </c>
      <c r="S5388">
        <v>3.1431580000000001</v>
      </c>
      <c r="T5388">
        <v>-0.75703659999999995</v>
      </c>
      <c r="U5388">
        <v>-0.75137330000000002</v>
      </c>
      <c r="V5388">
        <v>-3.1557580000000002E-2</v>
      </c>
      <c r="W5388">
        <v>0.1547721</v>
      </c>
      <c r="X5388">
        <v>0.98744609999999999</v>
      </c>
      <c r="Y5388">
        <v>0.1972747</v>
      </c>
      <c r="Z5388">
        <v>-1.573896E-2</v>
      </c>
      <c r="AA5388">
        <v>0.98022189999999998</v>
      </c>
      <c r="AB5388">
        <v>20</v>
      </c>
      <c r="AC5388">
        <v>0.70109999999999595</v>
      </c>
      <c r="AD5388">
        <v>-0.19556190000000001</v>
      </c>
      <c r="AE5388">
        <v>-0.191829999999999</v>
      </c>
      <c r="AF5388">
        <v>0.158203311703803</v>
      </c>
      <c r="AG5388">
        <v>-0.19556190000000001</v>
      </c>
      <c r="AH5388">
        <v>0.65908497969746904</v>
      </c>
      <c r="AI5388">
        <v>106.09400564924699</v>
      </c>
      <c r="AJ5388">
        <v>76.502383043716307</v>
      </c>
      <c r="AK5388">
        <v>0.70545428982214997</v>
      </c>
      <c r="AL5388">
        <v>81.096421333837299</v>
      </c>
      <c r="AM5388">
        <v>91.830480611524195</v>
      </c>
      <c r="AN5388">
        <v>1.0000000420995301</v>
      </c>
    </row>
    <row r="5389" spans="1:40" x14ac:dyDescent="0.25">
      <c r="A5389" t="str">
        <f>"20190312172517955"</f>
        <v>20190312172517955</v>
      </c>
      <c r="B5389" t="str">
        <f>"1552382717945890"</f>
        <v>1552382717945890</v>
      </c>
      <c r="C5389" t="s">
        <v>40</v>
      </c>
      <c r="D5389">
        <v>3.97133</v>
      </c>
      <c r="E5389">
        <v>0.60281870000000004</v>
      </c>
      <c r="F5389" t="s">
        <v>41</v>
      </c>
      <c r="G5389">
        <v>-366.93630000000002</v>
      </c>
      <c r="H5389">
        <v>0.93969069999999999</v>
      </c>
      <c r="I5389">
        <v>17.04533</v>
      </c>
      <c r="J5389">
        <v>-367.4864</v>
      </c>
      <c r="K5389">
        <v>1.110779</v>
      </c>
      <c r="L5389">
        <v>17.211459999999999</v>
      </c>
      <c r="M5389">
        <v>0.99949929999999998</v>
      </c>
      <c r="N5389">
        <v>0</v>
      </c>
      <c r="O5389">
        <v>-3.0230150000000001E-2</v>
      </c>
      <c r="P5389">
        <v>0.98934219999999895</v>
      </c>
      <c r="Q5389">
        <v>0.1456027</v>
      </c>
      <c r="R5389">
        <v>1.34280799999999E-3</v>
      </c>
      <c r="S5389">
        <v>3.1435550000000001</v>
      </c>
      <c r="T5389">
        <v>-0.75643590000000005</v>
      </c>
      <c r="U5389">
        <v>-0.7492065</v>
      </c>
      <c r="V5389">
        <v>-3.1556620000000001E-2</v>
      </c>
      <c r="W5389">
        <v>0.15477489999999999</v>
      </c>
      <c r="X5389">
        <v>0.98744569999999998</v>
      </c>
      <c r="Y5389">
        <v>0.19780239999999999</v>
      </c>
      <c r="Z5389">
        <v>-1.6082579999999999E-2</v>
      </c>
      <c r="AA5389">
        <v>0.98011000000000004</v>
      </c>
      <c r="AB5389">
        <v>20</v>
      </c>
      <c r="AC5389">
        <v>0.55009999999998604</v>
      </c>
      <c r="AD5389">
        <v>-0.1710883</v>
      </c>
      <c r="AE5389">
        <v>-0.166129999999999</v>
      </c>
      <c r="AF5389">
        <v>0.13725669291206699</v>
      </c>
      <c r="AG5389">
        <v>-0.1710883</v>
      </c>
      <c r="AH5389">
        <v>0.50968975697538899</v>
      </c>
      <c r="AI5389">
        <v>107.958777066273</v>
      </c>
      <c r="AJ5389">
        <v>74.928102502093296</v>
      </c>
      <c r="AK5389">
        <v>0.554882198769864</v>
      </c>
      <c r="AL5389">
        <v>81.0962590215604</v>
      </c>
      <c r="AM5389">
        <v>91.830425706090793</v>
      </c>
      <c r="AN5389">
        <v>1.00000005019216</v>
      </c>
    </row>
    <row r="5390" spans="1:40" x14ac:dyDescent="0.25">
      <c r="A5390" t="str">
        <f>"20190312172517977"</f>
        <v>20190312172517977</v>
      </c>
      <c r="B5390" t="str">
        <f>"1552382717966386"</f>
        <v>1552382717966386</v>
      </c>
      <c r="C5390" t="s">
        <v>40</v>
      </c>
      <c r="D5390">
        <v>4.1061610000000002</v>
      </c>
      <c r="E5390">
        <v>0.60286819999999997</v>
      </c>
      <c r="F5390" t="s">
        <v>41</v>
      </c>
      <c r="G5390">
        <v>-366.75850000000003</v>
      </c>
      <c r="H5390">
        <v>0.9360948</v>
      </c>
      <c r="I5390">
        <v>17.03837</v>
      </c>
      <c r="J5390">
        <v>-367.29379999999998</v>
      </c>
      <c r="K5390">
        <v>1.1107389999999999</v>
      </c>
      <c r="L5390">
        <v>17.20731</v>
      </c>
      <c r="M5390">
        <v>0.99954370000000003</v>
      </c>
      <c r="N5390">
        <v>0</v>
      </c>
      <c r="O5390">
        <v>-2.877E-2</v>
      </c>
      <c r="P5390">
        <v>0.98928210000000005</v>
      </c>
      <c r="Q5390">
        <v>0.14599770000000001</v>
      </c>
      <c r="R5390">
        <v>2.4008369999999998E-3</v>
      </c>
      <c r="S5390">
        <v>3.144409</v>
      </c>
      <c r="T5390">
        <v>-0.75482629999999995</v>
      </c>
      <c r="U5390">
        <v>-0.74609380000000003</v>
      </c>
      <c r="V5390">
        <v>-3.1157440000000002E-2</v>
      </c>
      <c r="W5390">
        <v>0.15504019999999999</v>
      </c>
      <c r="X5390">
        <v>0.98741670000000004</v>
      </c>
      <c r="Y5390">
        <v>0.1982237</v>
      </c>
      <c r="Z5390">
        <v>-1.643646E-2</v>
      </c>
      <c r="AA5390">
        <v>0.98001899999999997</v>
      </c>
      <c r="AB5390">
        <v>20</v>
      </c>
      <c r="AC5390">
        <v>0.53529999999994904</v>
      </c>
      <c r="AD5390">
        <v>-0.174644199999999</v>
      </c>
      <c r="AE5390">
        <v>-0.16893999999999901</v>
      </c>
      <c r="AF5390">
        <v>0.139924091791123</v>
      </c>
      <c r="AG5390">
        <v>-0.174644199999999</v>
      </c>
      <c r="AH5390">
        <v>0.49228547229616598</v>
      </c>
      <c r="AI5390">
        <v>108.841968308319</v>
      </c>
      <c r="AJ5390">
        <v>74.133066856892498</v>
      </c>
      <c r="AK5390">
        <v>0.54076273382239404</v>
      </c>
      <c r="AL5390">
        <v>81.080872223305093</v>
      </c>
      <c r="AM5390">
        <v>91.807339970761205</v>
      </c>
      <c r="AN5390">
        <v>0.99999999456114097</v>
      </c>
    </row>
    <row r="5391" spans="1:40" x14ac:dyDescent="0.25">
      <c r="A5391" t="str">
        <f>"20190312172517991"</f>
        <v>20190312172517991</v>
      </c>
      <c r="B5391" t="str">
        <f>"1552382717985905"</f>
        <v>1552382717985905</v>
      </c>
      <c r="C5391" t="s">
        <v>40</v>
      </c>
      <c r="D5391">
        <v>4.0376539999999999</v>
      </c>
      <c r="E5391">
        <v>0.59990730000000003</v>
      </c>
      <c r="F5391" t="s">
        <v>41</v>
      </c>
      <c r="G5391">
        <v>-366.57729999999998</v>
      </c>
      <c r="H5391">
        <v>0.939276</v>
      </c>
      <c r="I5391">
        <v>17.037929999999999</v>
      </c>
      <c r="J5391">
        <v>-367.15969999999999</v>
      </c>
      <c r="K5391">
        <v>1.1107049999999901</v>
      </c>
      <c r="L5391">
        <v>17.20459</v>
      </c>
      <c r="M5391">
        <v>0.99957229999999997</v>
      </c>
      <c r="N5391">
        <v>0</v>
      </c>
      <c r="O5391">
        <v>-2.7791179999999999E-2</v>
      </c>
      <c r="P5391">
        <v>0.98923300000000003</v>
      </c>
      <c r="Q5391">
        <v>0.14631669999999999</v>
      </c>
      <c r="R5391">
        <v>3.1006620000000001E-3</v>
      </c>
      <c r="S5391">
        <v>3.1453549999999999</v>
      </c>
      <c r="T5391">
        <v>-0.7527701</v>
      </c>
      <c r="U5391">
        <v>-0.74359129999999996</v>
      </c>
      <c r="V5391">
        <v>-3.0879469999999999E-2</v>
      </c>
      <c r="W5391">
        <v>0.15526909999999999</v>
      </c>
      <c r="X5391">
        <v>0.98738939999999997</v>
      </c>
      <c r="Y5391">
        <v>0.19837379999999999</v>
      </c>
      <c r="Z5391">
        <v>-1.6634630000000001E-2</v>
      </c>
      <c r="AA5391">
        <v>0.97998529999999995</v>
      </c>
      <c r="AB5391">
        <v>20</v>
      </c>
      <c r="AC5391">
        <v>0.58240000000000602</v>
      </c>
      <c r="AD5391">
        <v>-0.171428999999999</v>
      </c>
      <c r="AE5391">
        <v>-0.16666</v>
      </c>
      <c r="AF5391">
        <v>0.13925715472654601</v>
      </c>
      <c r="AG5391">
        <v>-0.171428999999999</v>
      </c>
      <c r="AH5391">
        <v>0.54329766870956497</v>
      </c>
      <c r="AI5391">
        <v>106.995947628339</v>
      </c>
      <c r="AJ5391">
        <v>75.623547235676099</v>
      </c>
      <c r="AK5391">
        <v>0.58647490484144404</v>
      </c>
      <c r="AL5391">
        <v>81.067595881270606</v>
      </c>
      <c r="AM5391">
        <v>91.791275895080005</v>
      </c>
      <c r="AN5391">
        <v>0.999999931157323</v>
      </c>
    </row>
    <row r="5392" spans="1:40" x14ac:dyDescent="0.25">
      <c r="A5392" t="str">
        <f>"20190312172518012"</f>
        <v>20190312172518012</v>
      </c>
      <c r="B5392" t="str">
        <f>"1552382718006399"</f>
        <v>1552382718006399</v>
      </c>
      <c r="C5392" t="s">
        <v>40</v>
      </c>
      <c r="D5392">
        <v>3.9710909999999999</v>
      </c>
      <c r="E5392">
        <v>0.52027389999999996</v>
      </c>
      <c r="F5392" t="s">
        <v>41</v>
      </c>
      <c r="G5392">
        <v>-366.3999</v>
      </c>
      <c r="H5392">
        <v>0.93191500000000005</v>
      </c>
      <c r="I5392">
        <v>17.030670000000001</v>
      </c>
      <c r="J5392">
        <v>-366.98430000000002</v>
      </c>
      <c r="K5392">
        <v>1.1106590000000001</v>
      </c>
      <c r="L5392">
        <v>17.201170000000001</v>
      </c>
      <c r="M5392">
        <v>0.99960700000000002</v>
      </c>
      <c r="N5392">
        <v>0</v>
      </c>
      <c r="O5392">
        <v>-2.6554620000000001E-2</v>
      </c>
      <c r="P5392">
        <v>0.9892147</v>
      </c>
      <c r="Q5392">
        <v>0.1464203</v>
      </c>
      <c r="R5392">
        <v>3.9251349999999997E-3</v>
      </c>
      <c r="S5392">
        <v>3.1443180000000002</v>
      </c>
      <c r="T5392">
        <v>-0.74001070000000002</v>
      </c>
      <c r="U5392">
        <v>-0.71817019999999998</v>
      </c>
      <c r="V5392">
        <v>-3.0467089999999999E-2</v>
      </c>
      <c r="W5392">
        <v>0.1552549</v>
      </c>
      <c r="X5392">
        <v>0.98740450000000002</v>
      </c>
      <c r="Y5392">
        <v>0.19239809999999999</v>
      </c>
      <c r="Z5392">
        <v>-1.5977000000000002E-2</v>
      </c>
      <c r="AA5392">
        <v>0.98118689999999997</v>
      </c>
      <c r="AB5392">
        <v>20</v>
      </c>
      <c r="AC5392">
        <v>0.58440000000001602</v>
      </c>
      <c r="AD5392">
        <v>-0.17874399999999999</v>
      </c>
      <c r="AE5392">
        <v>-0.17050000000000001</v>
      </c>
      <c r="AF5392">
        <v>0.14262482928669901</v>
      </c>
      <c r="AG5392">
        <v>-0.17874399999999999</v>
      </c>
      <c r="AH5392">
        <v>0.54199542900865205</v>
      </c>
      <c r="AI5392">
        <v>107.68910051536299</v>
      </c>
      <c r="AJ5392">
        <v>75.256985551623302</v>
      </c>
      <c r="AK5392">
        <v>0.588260405374468</v>
      </c>
      <c r="AL5392">
        <v>81.068419972369398</v>
      </c>
      <c r="AM5392">
        <v>91.767342557708005</v>
      </c>
      <c r="AN5392">
        <v>0.999999987083663</v>
      </c>
    </row>
    <row r="5393" spans="1:40" x14ac:dyDescent="0.25">
      <c r="A5393" t="str">
        <f>"20190312172518026"</f>
        <v>20190312172518026</v>
      </c>
      <c r="B5393" t="str">
        <f>"1552382718015692"</f>
        <v>1552382718015692</v>
      </c>
      <c r="C5393" t="s">
        <v>40</v>
      </c>
      <c r="D5393">
        <v>3.967066</v>
      </c>
      <c r="E5393">
        <v>0.51843329999999999</v>
      </c>
      <c r="F5393" t="s">
        <v>41</v>
      </c>
      <c r="G5393">
        <v>-366.16660000000002</v>
      </c>
      <c r="H5393">
        <v>1.0364880000000001</v>
      </c>
      <c r="I5393">
        <v>17.17259</v>
      </c>
      <c r="J5393">
        <v>-366.84899999999999</v>
      </c>
      <c r="K5393">
        <v>1.1106199999999999</v>
      </c>
      <c r="L5393">
        <v>17.198609999999999</v>
      </c>
      <c r="M5393">
        <v>0.99963190000000002</v>
      </c>
      <c r="N5393">
        <v>0</v>
      </c>
      <c r="O5393">
        <v>-2.5636389999999998E-2</v>
      </c>
      <c r="P5393">
        <v>0.98917200000000005</v>
      </c>
      <c r="Q5393">
        <v>0.14669170000000001</v>
      </c>
      <c r="R5393">
        <v>4.5630410000000003E-3</v>
      </c>
      <c r="S5393">
        <v>3.0744319999999998</v>
      </c>
      <c r="T5393">
        <v>-0.27891739999999998</v>
      </c>
      <c r="U5393">
        <v>-0.1071777</v>
      </c>
      <c r="V5393">
        <v>-3.0185610000000002E-2</v>
      </c>
      <c r="W5393">
        <v>0.1554354</v>
      </c>
      <c r="X5393">
        <v>0.9873847</v>
      </c>
      <c r="Y5393">
        <v>9.2736180000000008E-3</v>
      </c>
      <c r="Z5393">
        <v>1.9002800000000001E-3</v>
      </c>
      <c r="AA5393">
        <v>0.99995520000000004</v>
      </c>
      <c r="AB5393">
        <v>20</v>
      </c>
      <c r="AC5393">
        <v>0.68239999999997203</v>
      </c>
      <c r="AD5393">
        <v>-7.4132000000000295E-2</v>
      </c>
      <c r="AE5393">
        <v>-2.60200000000026E-2</v>
      </c>
      <c r="AF5393">
        <v>8.4172936252595709E-3</v>
      </c>
      <c r="AG5393">
        <v>-7.4132000000000295E-2</v>
      </c>
      <c r="AH5393">
        <v>0.67488970769875101</v>
      </c>
      <c r="AI5393">
        <v>96.267934380402096</v>
      </c>
      <c r="AJ5393">
        <v>89.285438213139798</v>
      </c>
      <c r="AK5393">
        <v>0.67900112062770601</v>
      </c>
      <c r="AL5393">
        <v>81.057950570692796</v>
      </c>
      <c r="AM5393">
        <v>91.751059699305799</v>
      </c>
      <c r="AN5393">
        <v>0.99999994020915906</v>
      </c>
    </row>
    <row r="5394" spans="1:40" x14ac:dyDescent="0.25">
      <c r="A5394" t="str">
        <f>"20190312172518046"</f>
        <v>20190312172518046</v>
      </c>
      <c r="B5394" t="str">
        <f>"1552382718036188"</f>
        <v>1552382718036188</v>
      </c>
      <c r="C5394" t="s">
        <v>40</v>
      </c>
      <c r="D5394">
        <v>3.9723609999999998</v>
      </c>
      <c r="E5394">
        <v>0.51603589999999999</v>
      </c>
      <c r="F5394" t="s">
        <v>41</v>
      </c>
      <c r="G5394">
        <v>-365.98379999999997</v>
      </c>
      <c r="H5394">
        <v>1.0374639999999999</v>
      </c>
      <c r="I5394">
        <v>17.172539999999898</v>
      </c>
      <c r="J5394">
        <v>-366.6671</v>
      </c>
      <c r="K5394">
        <v>1.110573</v>
      </c>
      <c r="L5394">
        <v>17.195309999999999</v>
      </c>
      <c r="M5394">
        <v>0.99966239999999995</v>
      </c>
      <c r="N5394">
        <v>0</v>
      </c>
      <c r="O5394">
        <v>-2.4457449999999999E-2</v>
      </c>
      <c r="P5394">
        <v>0.98917750000000004</v>
      </c>
      <c r="Q5394">
        <v>0.1466375</v>
      </c>
      <c r="R5394">
        <v>5.0519179999999999E-3</v>
      </c>
      <c r="S5394">
        <v>3.0718079999999999</v>
      </c>
      <c r="T5394">
        <v>-0.2598203</v>
      </c>
      <c r="U5394">
        <v>-9.1674800000000001E-2</v>
      </c>
      <c r="V5394">
        <v>-2.949382E-2</v>
      </c>
      <c r="W5394">
        <v>0.15526389999999901</v>
      </c>
      <c r="X5394">
        <v>0.98743270000000005</v>
      </c>
      <c r="Y5394">
        <v>5.4420329999999998E-3</v>
      </c>
      <c r="Z5394">
        <v>1.8345690000000001E-3</v>
      </c>
      <c r="AA5394">
        <v>0.99998350000000003</v>
      </c>
      <c r="AB5394">
        <v>20</v>
      </c>
      <c r="AC5394">
        <v>0.68330000000003099</v>
      </c>
      <c r="AD5394">
        <v>-7.3108999999999993E-2</v>
      </c>
      <c r="AE5394">
        <v>-2.2770000000001199E-2</v>
      </c>
      <c r="AF5394">
        <v>5.9823615663602099E-3</v>
      </c>
      <c r="AG5394">
        <v>-7.3108999999999993E-2</v>
      </c>
      <c r="AH5394">
        <v>0.67592331242002901</v>
      </c>
      <c r="AI5394">
        <v>96.1729690706849</v>
      </c>
      <c r="AJ5394">
        <v>89.492908273222596</v>
      </c>
      <c r="AK5394">
        <v>0.67989193170957296</v>
      </c>
      <c r="AL5394">
        <v>81.067898552019599</v>
      </c>
      <c r="AM5394">
        <v>91.710870144740795</v>
      </c>
      <c r="AN5394">
        <v>1.0000000505453399</v>
      </c>
    </row>
    <row r="5395" spans="1:40" x14ac:dyDescent="0.25">
      <c r="A5395" t="str">
        <f>"20190312172518068"</f>
        <v>20190312172518068</v>
      </c>
      <c r="B5395" t="str">
        <f>"1552382718055707"</f>
        <v>1552382718055707</v>
      </c>
      <c r="C5395" t="s">
        <v>40</v>
      </c>
      <c r="D5395">
        <v>3.9659620000000002</v>
      </c>
      <c r="E5395">
        <v>0.51540829999999904</v>
      </c>
      <c r="F5395" t="s">
        <v>41</v>
      </c>
      <c r="G5395">
        <v>-365.79739999999998</v>
      </c>
      <c r="H5395">
        <v>1.041261</v>
      </c>
      <c r="I5395">
        <v>17.174589999999998</v>
      </c>
      <c r="J5395">
        <v>-366.46499999999997</v>
      </c>
      <c r="K5395">
        <v>1.110517</v>
      </c>
      <c r="L5395">
        <v>17.191859999999998</v>
      </c>
      <c r="M5395">
        <v>0.9996929</v>
      </c>
      <c r="N5395">
        <v>0</v>
      </c>
      <c r="O5395">
        <v>-2.3222130000000001E-2</v>
      </c>
      <c r="P5395">
        <v>0.98912440000000001</v>
      </c>
      <c r="Q5395">
        <v>0.14697539999999901</v>
      </c>
      <c r="R5395">
        <v>5.5657279999999998E-3</v>
      </c>
      <c r="S5395">
        <v>3.069458</v>
      </c>
      <c r="T5395">
        <v>-0.2447271</v>
      </c>
      <c r="U5395">
        <v>-7.2387699999999999E-2</v>
      </c>
      <c r="V5395">
        <v>-2.8769619999999999E-2</v>
      </c>
      <c r="W5395">
        <v>0.15547820000000001</v>
      </c>
      <c r="X5395">
        <v>0.98742030000000003</v>
      </c>
      <c r="Y5395">
        <v>4.260453E-4</v>
      </c>
      <c r="Z5395">
        <v>1.8311689999999999E-3</v>
      </c>
      <c r="AA5395">
        <v>0.99999819999999995</v>
      </c>
      <c r="AB5395">
        <v>20</v>
      </c>
      <c r="AC5395">
        <v>0.66759999999999298</v>
      </c>
      <c r="AD5395">
        <v>-6.9255999999999901E-2</v>
      </c>
      <c r="AE5395">
        <v>-1.7270000000003401E-2</v>
      </c>
      <c r="AF5395">
        <v>1.7429239801001E-3</v>
      </c>
      <c r="AG5395">
        <v>-6.9255999999999901E-2</v>
      </c>
      <c r="AH5395">
        <v>0.66071533010199501</v>
      </c>
      <c r="AI5395">
        <v>95.983855796067203</v>
      </c>
      <c r="AJ5395">
        <v>89.848857818358098</v>
      </c>
      <c r="AK5395">
        <v>0.66433739827875804</v>
      </c>
      <c r="AL5395">
        <v>81.055468718212197</v>
      </c>
      <c r="AM5395">
        <v>91.668905933454099</v>
      </c>
      <c r="AN5395">
        <v>1.00000000528113</v>
      </c>
    </row>
    <row r="5396" spans="1:40" x14ac:dyDescent="0.25">
      <c r="A5396" t="str">
        <f>"20190312172518089"</f>
        <v>20190312172518089</v>
      </c>
      <c r="B5396" t="str">
        <f>"1552382718085965"</f>
        <v>1552382718085965</v>
      </c>
      <c r="C5396" t="s">
        <v>40</v>
      </c>
      <c r="D5396">
        <v>3.996597</v>
      </c>
      <c r="E5396">
        <v>0.51455410000000001</v>
      </c>
      <c r="F5396" t="s">
        <v>41</v>
      </c>
      <c r="G5396">
        <v>-365.61009999999999</v>
      </c>
      <c r="H5396">
        <v>1.044082</v>
      </c>
      <c r="I5396">
        <v>17.173159999999999</v>
      </c>
      <c r="J5396">
        <v>-366.26979999999998</v>
      </c>
      <c r="K5396">
        <v>1.1104639999999999</v>
      </c>
      <c r="L5396">
        <v>17.18863</v>
      </c>
      <c r="M5396">
        <v>0.99971929999999998</v>
      </c>
      <c r="N5396">
        <v>0</v>
      </c>
      <c r="O5396">
        <v>-2.2100310000000001E-2</v>
      </c>
      <c r="P5396">
        <v>0.9890949</v>
      </c>
      <c r="Q5396">
        <v>0.1471546</v>
      </c>
      <c r="R5396">
        <v>6.07539E-3</v>
      </c>
      <c r="S5396">
        <v>3.0688780000000002</v>
      </c>
      <c r="T5396">
        <v>-0.23859540000000001</v>
      </c>
      <c r="U5396">
        <v>-6.6284179999999998E-2</v>
      </c>
      <c r="V5396">
        <v>-2.8154869999999999E-2</v>
      </c>
      <c r="W5396">
        <v>0.15554460000000001</v>
      </c>
      <c r="X5396">
        <v>0.98742750000000001</v>
      </c>
      <c r="Y5396">
        <v>-4.3947320000000003E-4</v>
      </c>
      <c r="Z5396">
        <v>1.7323519999999999E-3</v>
      </c>
      <c r="AA5396">
        <v>0.99999839999999995</v>
      </c>
      <c r="AB5396">
        <v>20</v>
      </c>
      <c r="AC5396">
        <v>0.65969999999998596</v>
      </c>
      <c r="AD5396">
        <v>-6.6381999999999899E-2</v>
      </c>
      <c r="AE5396">
        <v>-1.5470000000000501E-2</v>
      </c>
      <c r="AF5396">
        <v>8.7723795082765999E-4</v>
      </c>
      <c r="AG5396">
        <v>-6.6381999999999899E-2</v>
      </c>
      <c r="AH5396">
        <v>0.65326985149744199</v>
      </c>
      <c r="AI5396">
        <v>95.802188349846901</v>
      </c>
      <c r="AJ5396">
        <v>89.923060888414298</v>
      </c>
      <c r="AK5396">
        <v>0.65663447849310497</v>
      </c>
      <c r="AL5396">
        <v>81.051616866848704</v>
      </c>
      <c r="AM5396">
        <v>91.633252330620905</v>
      </c>
      <c r="AN5396">
        <v>0.99999994352506105</v>
      </c>
    </row>
    <row r="5397" spans="1:40" x14ac:dyDescent="0.25">
      <c r="A5397" t="str">
        <f>"20190312172518103"</f>
        <v>20190312172518103</v>
      </c>
      <c r="B5397" t="str">
        <f>"1552382718095723"</f>
        <v>1552382718095723</v>
      </c>
      <c r="C5397" t="s">
        <v>40</v>
      </c>
      <c r="D5397">
        <v>4.0105360000000001</v>
      </c>
      <c r="E5397">
        <v>0.51432739999999999</v>
      </c>
      <c r="F5397" t="s">
        <v>43</v>
      </c>
      <c r="G5397">
        <v>-351.72820000000002</v>
      </c>
      <c r="H5397" s="1">
        <v>-4.0105400000000002E-6</v>
      </c>
      <c r="I5397">
        <v>16.91215</v>
      </c>
      <c r="J5397">
        <v>-366.1395</v>
      </c>
      <c r="K5397">
        <v>1.1104270000000001</v>
      </c>
      <c r="L5397">
        <v>17.186579999999999</v>
      </c>
      <c r="M5397">
        <v>0.99973559999999995</v>
      </c>
      <c r="N5397">
        <v>0</v>
      </c>
      <c r="O5397">
        <v>-2.1386570000000001E-2</v>
      </c>
      <c r="P5397">
        <v>0.98909130000000001</v>
      </c>
      <c r="Q5397">
        <v>0.14717649999999999</v>
      </c>
      <c r="R5397">
        <v>6.1193609999999898E-3</v>
      </c>
      <c r="S5397">
        <v>3.0682680000000002</v>
      </c>
      <c r="T5397">
        <v>-0.2343085</v>
      </c>
      <c r="U5397">
        <v>-5.8319089999999997E-2</v>
      </c>
      <c r="V5397">
        <v>-2.748271E-2</v>
      </c>
      <c r="W5397">
        <v>0.1554952</v>
      </c>
      <c r="X5397">
        <v>0.98745430000000001</v>
      </c>
      <c r="Y5397">
        <v>-2.3151140000000001E-3</v>
      </c>
      <c r="Z5397">
        <v>1.718809E-3</v>
      </c>
      <c r="AA5397">
        <v>0.99999579999999999</v>
      </c>
      <c r="AB5397">
        <v>21</v>
      </c>
      <c r="AC5397">
        <v>14.411299999999899</v>
      </c>
      <c r="AD5397">
        <v>-1.1104310105399999</v>
      </c>
      <c r="AE5397">
        <v>-0.27442999999999801</v>
      </c>
      <c r="AF5397">
        <v>-3.3652317247892E-2</v>
      </c>
      <c r="AG5397">
        <v>-1.1104310105399999</v>
      </c>
      <c r="AH5397">
        <v>14.3288316005852</v>
      </c>
      <c r="AI5397">
        <v>94.431340138516802</v>
      </c>
      <c r="AJ5397">
        <v>90.134563114273902</v>
      </c>
      <c r="AK5397">
        <v>14.371833722443199</v>
      </c>
      <c r="AL5397">
        <v>81.054482881049495</v>
      </c>
      <c r="AM5397">
        <v>91.594237729708894</v>
      </c>
      <c r="AN5397">
        <v>1.0000000255802299</v>
      </c>
    </row>
    <row r="5398" spans="1:40" x14ac:dyDescent="0.25">
      <c r="A5398" t="str">
        <f>"20190312172518123"</f>
        <v>20190312172518123</v>
      </c>
      <c r="B5398" t="str">
        <f>"1552382718115751"</f>
        <v>1552382718115751</v>
      </c>
      <c r="C5398" t="s">
        <v>40</v>
      </c>
      <c r="D5398">
        <v>4.0057210000000003</v>
      </c>
      <c r="E5398">
        <v>0.51394240000000002</v>
      </c>
      <c r="F5398" t="s">
        <v>41</v>
      </c>
      <c r="G5398">
        <v>-365.24549999999999</v>
      </c>
      <c r="H5398">
        <v>1.0421450000000001</v>
      </c>
      <c r="I5398">
        <v>17.169920000000001</v>
      </c>
      <c r="J5398">
        <v>-365.96249999999998</v>
      </c>
      <c r="K5398">
        <v>1.1103799999999999</v>
      </c>
      <c r="L5398">
        <v>17.18384</v>
      </c>
      <c r="M5398">
        <v>0.99975550000000002</v>
      </c>
      <c r="N5398">
        <v>0</v>
      </c>
      <c r="O5398">
        <v>-2.0474719999999998E-2</v>
      </c>
      <c r="P5398">
        <v>0.9890523</v>
      </c>
      <c r="Q5398">
        <v>0.1474299</v>
      </c>
      <c r="R5398">
        <v>6.3469370000000004E-3</v>
      </c>
      <c r="S5398">
        <v>3.068298</v>
      </c>
      <c r="T5398">
        <v>-0.23442299999999999</v>
      </c>
      <c r="U5398">
        <v>-5.6579589999999999E-2</v>
      </c>
      <c r="V5398">
        <v>-2.6795050000000001E-2</v>
      </c>
      <c r="W5398">
        <v>0.1556544</v>
      </c>
      <c r="X5398">
        <v>0.98744810000000005</v>
      </c>
      <c r="Y5398">
        <v>-1.9735080000000001E-3</v>
      </c>
      <c r="Z5398">
        <v>1.637066E-3</v>
      </c>
      <c r="AA5398">
        <v>0.99999669999999896</v>
      </c>
      <c r="AB5398">
        <v>21</v>
      </c>
      <c r="AC5398">
        <v>0.71699999999998398</v>
      </c>
      <c r="AD5398">
        <v>-6.8234999999999796E-2</v>
      </c>
      <c r="AE5398">
        <v>-1.39199999999988E-2</v>
      </c>
      <c r="AF5398">
        <v>-7.5695131473814403E-4</v>
      </c>
      <c r="AG5398">
        <v>-6.8234999999999796E-2</v>
      </c>
      <c r="AH5398">
        <v>0.71070043764409296</v>
      </c>
      <c r="AI5398">
        <v>95.484207079890396</v>
      </c>
      <c r="AJ5398">
        <v>90.061024444244893</v>
      </c>
      <c r="AK5398">
        <v>0.71396897710460605</v>
      </c>
      <c r="AL5398">
        <v>81.045248808454602</v>
      </c>
      <c r="AM5398">
        <v>91.554377005727105</v>
      </c>
      <c r="AN5398">
        <v>1.0000000085687299</v>
      </c>
    </row>
    <row r="5399" spans="1:40" x14ac:dyDescent="0.25">
      <c r="A5399" t="str">
        <f>"20190312172518135"</f>
        <v>20190312172518135</v>
      </c>
      <c r="B5399" t="str">
        <f>"1552382718125511"</f>
        <v>1552382718125511</v>
      </c>
      <c r="C5399" t="s">
        <v>40</v>
      </c>
      <c r="D5399">
        <v>4.0119400000000001</v>
      </c>
      <c r="E5399">
        <v>0.5137967</v>
      </c>
      <c r="F5399" t="s">
        <v>41</v>
      </c>
      <c r="G5399">
        <v>-365.0607</v>
      </c>
      <c r="H5399">
        <v>1.0417240000000001</v>
      </c>
      <c r="I5399">
        <v>17.16825</v>
      </c>
      <c r="J5399">
        <v>-365.84399999999999</v>
      </c>
      <c r="K5399">
        <v>1.1103479999999999</v>
      </c>
      <c r="L5399">
        <v>17.182099999999998</v>
      </c>
      <c r="M5399">
        <v>0.99976759999999998</v>
      </c>
      <c r="N5399">
        <v>0</v>
      </c>
      <c r="O5399">
        <v>-1.9903589999999999E-2</v>
      </c>
      <c r="P5399">
        <v>0.98905330000000002</v>
      </c>
      <c r="Q5399">
        <v>0.14741399999999999</v>
      </c>
      <c r="R5399">
        <v>6.5735350000000001E-3</v>
      </c>
      <c r="S5399">
        <v>3.0683289999999999</v>
      </c>
      <c r="T5399">
        <v>-0.23363410000000001</v>
      </c>
      <c r="U5399">
        <v>-5.3009029999999999E-2</v>
      </c>
      <c r="V5399">
        <v>-2.6447410000000001E-2</v>
      </c>
      <c r="W5399">
        <v>0.155579</v>
      </c>
      <c r="X5399">
        <v>0.98746929999999999</v>
      </c>
      <c r="Y5399">
        <v>-2.5660980000000002E-3</v>
      </c>
      <c r="Z5399">
        <v>1.610691E-3</v>
      </c>
      <c r="AA5399">
        <v>0.99999539999999998</v>
      </c>
      <c r="AB5399">
        <v>21</v>
      </c>
      <c r="AC5399">
        <v>0.783299999999997</v>
      </c>
      <c r="AD5399">
        <v>-6.8624000000000004E-2</v>
      </c>
      <c r="AE5399">
        <v>-1.38499999999979E-2</v>
      </c>
      <c r="AF5399">
        <v>-1.73048275625208E-3</v>
      </c>
      <c r="AG5399">
        <v>-6.8624000000000004E-2</v>
      </c>
      <c r="AH5399">
        <v>0.77745515223290096</v>
      </c>
      <c r="AI5399">
        <v>95.044267982632803</v>
      </c>
      <c r="AJ5399">
        <v>90.127530436231496</v>
      </c>
      <c r="AK5399">
        <v>0.78047982784954395</v>
      </c>
      <c r="AL5399">
        <v>81.049621701732207</v>
      </c>
      <c r="AM5399">
        <v>91.534187238512999</v>
      </c>
      <c r="AN5399">
        <v>0.99999995458959801</v>
      </c>
    </row>
    <row r="5400" spans="1:40" x14ac:dyDescent="0.25">
      <c r="A5400" t="str">
        <f>"20190312172518147"</f>
        <v>20190312172518147</v>
      </c>
      <c r="B5400" t="str">
        <f>"1552382718136247"</f>
        <v>1552382718136247</v>
      </c>
      <c r="C5400" t="s">
        <v>40</v>
      </c>
      <c r="D5400">
        <v>3.9948630000000001</v>
      </c>
      <c r="E5400">
        <v>0.51367099999999999</v>
      </c>
      <c r="F5400" t="s">
        <v>43</v>
      </c>
      <c r="G5400">
        <v>-351.25560000000002</v>
      </c>
      <c r="H5400" s="1">
        <v>-4.208516E-6</v>
      </c>
      <c r="I5400">
        <v>16.938979999999901</v>
      </c>
      <c r="J5400">
        <v>-365.73540000000003</v>
      </c>
      <c r="K5400">
        <v>1.1103190000000001</v>
      </c>
      <c r="L5400">
        <v>17.180510000000002</v>
      </c>
      <c r="M5400">
        <v>0.99977800000000006</v>
      </c>
      <c r="N5400">
        <v>0</v>
      </c>
      <c r="O5400">
        <v>-1.9398510000000001E-2</v>
      </c>
      <c r="P5400">
        <v>0.98904579999999997</v>
      </c>
      <c r="Q5400">
        <v>0.1474599</v>
      </c>
      <c r="R5400">
        <v>6.6485299999999997E-3</v>
      </c>
      <c r="S5400">
        <v>3.0683590000000001</v>
      </c>
      <c r="T5400">
        <v>-0.2335391</v>
      </c>
      <c r="U5400">
        <v>-5.111694E-2</v>
      </c>
      <c r="V5400">
        <v>-2.6013769999999999E-2</v>
      </c>
      <c r="W5400">
        <v>0.15557289999999999</v>
      </c>
      <c r="X5400">
        <v>0.98748179999999997</v>
      </c>
      <c r="Y5400">
        <v>-2.678719E-3</v>
      </c>
      <c r="Z5400">
        <v>1.575934E-3</v>
      </c>
      <c r="AA5400">
        <v>0.99999519999999997</v>
      </c>
      <c r="AB5400">
        <v>21</v>
      </c>
      <c r="AC5400">
        <v>14.479799999999999</v>
      </c>
      <c r="AD5400">
        <v>-1.110323208516</v>
      </c>
      <c r="AE5400">
        <v>-0.24153000000000399</v>
      </c>
      <c r="AF5400">
        <v>-3.9181178518214899E-2</v>
      </c>
      <c r="AG5400">
        <v>-1.110323208516</v>
      </c>
      <c r="AH5400">
        <v>14.397129779209299</v>
      </c>
      <c r="AI5400">
        <v>94.409970924381099</v>
      </c>
      <c r="AJ5400">
        <v>90.155927650698203</v>
      </c>
      <c r="AK5400">
        <v>14.439934164376</v>
      </c>
      <c r="AL5400">
        <v>81.049975692694005</v>
      </c>
      <c r="AM5400">
        <v>91.509024859988102</v>
      </c>
      <c r="AN5400">
        <v>0.999999974387631</v>
      </c>
    </row>
    <row r="5401" spans="1:40" x14ac:dyDescent="0.25">
      <c r="A5401" t="str">
        <f>"20190312172518159"</f>
        <v>20190312172518159</v>
      </c>
      <c r="B5401" t="str">
        <f>"1552382718155768"</f>
        <v>1552382718155768</v>
      </c>
      <c r="C5401" t="s">
        <v>40</v>
      </c>
      <c r="D5401">
        <v>4.0397780000000001</v>
      </c>
      <c r="E5401">
        <v>0.5134763</v>
      </c>
      <c r="F5401" t="s">
        <v>41</v>
      </c>
      <c r="G5401">
        <v>-364.86599999999999</v>
      </c>
      <c r="H5401">
        <v>1.0441100000000001</v>
      </c>
      <c r="I5401">
        <v>17.16602</v>
      </c>
      <c r="J5401">
        <v>-365.62509999999997</v>
      </c>
      <c r="K5401">
        <v>1.1102909999999999</v>
      </c>
      <c r="L5401">
        <v>17.17896</v>
      </c>
      <c r="M5401">
        <v>0.9997878</v>
      </c>
      <c r="N5401">
        <v>0</v>
      </c>
      <c r="O5401">
        <v>-1.8902849999999999E-2</v>
      </c>
      <c r="P5401">
        <v>0.98901950000000005</v>
      </c>
      <c r="Q5401">
        <v>0.1476285</v>
      </c>
      <c r="R5401">
        <v>6.8183970000000003E-3</v>
      </c>
      <c r="S5401">
        <v>3.068451</v>
      </c>
      <c r="T5401">
        <v>-0.23384559999999999</v>
      </c>
      <c r="U5401">
        <v>-4.9987789999999997E-2</v>
      </c>
      <c r="V5401">
        <v>-2.5685090000000001E-2</v>
      </c>
      <c r="W5401">
        <v>0.15569069999999999</v>
      </c>
      <c r="X5401">
        <v>0.98747189999999996</v>
      </c>
      <c r="Y5401">
        <v>-2.5529699999999999E-3</v>
      </c>
      <c r="Z5401">
        <v>1.5354609999999999E-3</v>
      </c>
      <c r="AA5401">
        <v>0.99999559999999998</v>
      </c>
      <c r="AB5401">
        <v>21</v>
      </c>
      <c r="AC5401">
        <v>0.75909999999998901</v>
      </c>
      <c r="AD5401">
        <v>-6.6180999999999796E-2</v>
      </c>
      <c r="AE5401">
        <v>-1.29400000000003E-2</v>
      </c>
      <c r="AF5401">
        <v>-1.40129850516883E-3</v>
      </c>
      <c r="AG5401">
        <v>-6.6180999999999796E-2</v>
      </c>
      <c r="AH5401">
        <v>0.75348343332262402</v>
      </c>
      <c r="AI5401">
        <v>95.019591793197307</v>
      </c>
      <c r="AJ5401">
        <v>90.106556287860897</v>
      </c>
      <c r="AK5401">
        <v>0.75638559788652104</v>
      </c>
      <c r="AL5401">
        <v>81.043143546984098</v>
      </c>
      <c r="AM5401">
        <v>91.489982142597896</v>
      </c>
      <c r="AN5401">
        <v>1.0000000356022001</v>
      </c>
    </row>
    <row r="5402" spans="1:40" x14ac:dyDescent="0.25">
      <c r="A5402" t="str">
        <f>"20190312172518177"</f>
        <v>20190312172518177</v>
      </c>
      <c r="B5402" t="str">
        <f>"1552382718165527"</f>
        <v>1552382718165527</v>
      </c>
      <c r="C5402" t="s">
        <v>40</v>
      </c>
      <c r="D5402">
        <v>4.0403529999999996</v>
      </c>
      <c r="E5402">
        <v>0.51346170000000002</v>
      </c>
      <c r="F5402" t="s">
        <v>43</v>
      </c>
      <c r="G5402">
        <v>-351.02929999999998</v>
      </c>
      <c r="H5402" s="1">
        <v>-4.3035490000000003E-6</v>
      </c>
      <c r="I5402">
        <v>16.950679999999998</v>
      </c>
      <c r="J5402">
        <v>-365.45639999999997</v>
      </c>
      <c r="K5402">
        <v>1.1102479999999999</v>
      </c>
      <c r="L5402">
        <v>17.176570000000002</v>
      </c>
      <c r="M5402">
        <v>0.99980170000000002</v>
      </c>
      <c r="N5402">
        <v>0</v>
      </c>
      <c r="O5402">
        <v>-1.819552E-2</v>
      </c>
      <c r="P5402">
        <v>0.98898220000000003</v>
      </c>
      <c r="Q5402">
        <v>0.14788189999999901</v>
      </c>
      <c r="R5402">
        <v>6.7301369999999998E-3</v>
      </c>
      <c r="S5402">
        <v>3.0684809999999998</v>
      </c>
      <c r="T5402">
        <v>-0.23341700000000001</v>
      </c>
      <c r="U5402">
        <v>-4.7973630000000003E-2</v>
      </c>
      <c r="V5402">
        <v>-2.4883410000000002E-2</v>
      </c>
      <c r="W5402">
        <v>0.1558744</v>
      </c>
      <c r="X5402">
        <v>0.98746339999999999</v>
      </c>
      <c r="Y5402">
        <v>-2.5042850000000002E-3</v>
      </c>
      <c r="Z5402">
        <v>1.477084E-3</v>
      </c>
      <c r="AA5402">
        <v>0.99999579999999999</v>
      </c>
      <c r="AB5402">
        <v>21</v>
      </c>
      <c r="AC5402">
        <v>14.4270999999999</v>
      </c>
      <c r="AD5402">
        <v>-1.110252303549</v>
      </c>
      <c r="AE5402">
        <v>-0.22589000000000301</v>
      </c>
      <c r="AF5402">
        <v>-3.6448775930402397E-2</v>
      </c>
      <c r="AG5402">
        <v>-1.110252303549</v>
      </c>
      <c r="AH5402">
        <v>14.3438947005878</v>
      </c>
      <c r="AI5402">
        <v>94.425993461788593</v>
      </c>
      <c r="AJ5402">
        <v>90.145592015138206</v>
      </c>
      <c r="AK5402">
        <v>14.3868448199163</v>
      </c>
      <c r="AL5402">
        <v>81.0324878090222</v>
      </c>
      <c r="AM5402">
        <v>91.443509408851995</v>
      </c>
      <c r="AN5402">
        <v>0.99999998950407398</v>
      </c>
    </row>
    <row r="5403" spans="1:40" x14ac:dyDescent="0.25">
      <c r="A5403" t="str">
        <f>"20190312172518189"</f>
        <v>20190312172518189</v>
      </c>
      <c r="B5403" t="str">
        <f>"1552382718186024"</f>
        <v>1552382718186024</v>
      </c>
      <c r="C5403" t="s">
        <v>40</v>
      </c>
      <c r="D5403">
        <v>4.032775</v>
      </c>
      <c r="E5403">
        <v>0.51338170000000005</v>
      </c>
      <c r="F5403" t="s">
        <v>43</v>
      </c>
      <c r="G5403">
        <v>-350.82900000000001</v>
      </c>
      <c r="H5403" s="1">
        <v>-4.3902419999999998E-6</v>
      </c>
      <c r="I5403">
        <v>16.946349999999999</v>
      </c>
      <c r="J5403">
        <v>-365.3433</v>
      </c>
      <c r="K5403">
        <v>1.11022</v>
      </c>
      <c r="L5403">
        <v>17.175079999999902</v>
      </c>
      <c r="M5403">
        <v>0.99980999999999998</v>
      </c>
      <c r="N5403">
        <v>0</v>
      </c>
      <c r="O5403">
        <v>-1.7751869999999999E-2</v>
      </c>
      <c r="P5403">
        <v>0.98894309999999996</v>
      </c>
      <c r="Q5403">
        <v>0.14813570000000001</v>
      </c>
      <c r="R5403">
        <v>6.9081530000000002E-3</v>
      </c>
      <c r="S5403">
        <v>3.0685419999999999</v>
      </c>
      <c r="T5403">
        <v>-0.23290859999999999</v>
      </c>
      <c r="U5403">
        <v>-4.8278809999999998E-2</v>
      </c>
      <c r="V5403">
        <v>-2.4613719999999999E-2</v>
      </c>
      <c r="W5403">
        <v>0.1560849</v>
      </c>
      <c r="X5403">
        <v>0.98743700000000001</v>
      </c>
      <c r="Y5403">
        <v>-1.9645190000000001E-3</v>
      </c>
      <c r="Z5403">
        <v>1.4197729999999901E-3</v>
      </c>
      <c r="AA5403">
        <v>0.99999709999999997</v>
      </c>
      <c r="AB5403">
        <v>21</v>
      </c>
      <c r="AC5403">
        <v>14.514299999999899</v>
      </c>
      <c r="AD5403">
        <v>-1.1102243902419999</v>
      </c>
      <c r="AE5403">
        <v>-0.22872999999999799</v>
      </c>
      <c r="AF5403">
        <v>-2.8801886898648699E-2</v>
      </c>
      <c r="AG5403">
        <v>-1.1102243902419999</v>
      </c>
      <c r="AH5403">
        <v>14.4316547515722</v>
      </c>
      <c r="AI5403">
        <v>94.399079868535495</v>
      </c>
      <c r="AJ5403">
        <v>90.114347550490194</v>
      </c>
      <c r="AK5403">
        <v>14.4743250831932</v>
      </c>
      <c r="AL5403">
        <v>81.020278417779906</v>
      </c>
      <c r="AM5403">
        <v>91.427909116767097</v>
      </c>
      <c r="AN5403">
        <v>1.00000008009462</v>
      </c>
    </row>
    <row r="5404" spans="1:40" x14ac:dyDescent="0.25">
      <c r="A5404" t="str">
        <f>"20190312172518203"</f>
        <v>20190312172518203</v>
      </c>
      <c r="B5404" t="str">
        <f>"1552382718195783"</f>
        <v>1552382718195783</v>
      </c>
      <c r="C5404" t="s">
        <v>40</v>
      </c>
      <c r="D5404">
        <v>4.0320470000000004</v>
      </c>
      <c r="E5404">
        <v>0.51337790000000005</v>
      </c>
      <c r="F5404" t="s">
        <v>43</v>
      </c>
      <c r="G5404">
        <v>-350.69799999999998</v>
      </c>
      <c r="H5404" s="1">
        <v>-4.4457639999999997E-6</v>
      </c>
      <c r="I5404">
        <v>16.950119999999998</v>
      </c>
      <c r="J5404">
        <v>-365.2133</v>
      </c>
      <c r="K5404">
        <v>1.1101909999999999</v>
      </c>
      <c r="L5404">
        <v>17.173310000000001</v>
      </c>
      <c r="M5404">
        <v>0.99981900000000001</v>
      </c>
      <c r="N5404">
        <v>0</v>
      </c>
      <c r="O5404">
        <v>-1.726246E-2</v>
      </c>
      <c r="P5404">
        <v>0.98894729999999997</v>
      </c>
      <c r="Q5404">
        <v>0.14810100000000001</v>
      </c>
      <c r="R5404">
        <v>7.0425180000000002E-3</v>
      </c>
      <c r="S5404">
        <v>3.0687259999999998</v>
      </c>
      <c r="T5404">
        <v>-0.23263259999999999</v>
      </c>
      <c r="U5404">
        <v>-4.7119139999999997E-2</v>
      </c>
      <c r="V5404">
        <v>-2.4253839999999999E-2</v>
      </c>
      <c r="W5404">
        <v>0.1560029</v>
      </c>
      <c r="X5404">
        <v>0.98745879999999997</v>
      </c>
      <c r="Y5404">
        <v>-1.855612E-3</v>
      </c>
      <c r="Z5404">
        <v>1.3768539999999901E-3</v>
      </c>
      <c r="AA5404">
        <v>0.99999729999999998</v>
      </c>
      <c r="AB5404">
        <v>21</v>
      </c>
      <c r="AC5404">
        <v>14.5152999999999</v>
      </c>
      <c r="AD5404">
        <v>-1.110195445764</v>
      </c>
      <c r="AE5404">
        <v>-0.223189999999998</v>
      </c>
      <c r="AF5404">
        <v>-2.7261620694677E-2</v>
      </c>
      <c r="AG5404">
        <v>-1.110195445764</v>
      </c>
      <c r="AH5404">
        <v>14.4325810170088</v>
      </c>
      <c r="AI5404">
        <v>94.398685328100996</v>
      </c>
      <c r="AJ5404">
        <v>90.108225545311996</v>
      </c>
      <c r="AK5404">
        <v>14.475243415441399</v>
      </c>
      <c r="AL5404">
        <v>81.025034372869101</v>
      </c>
      <c r="AM5404">
        <v>91.407008899579196</v>
      </c>
      <c r="AN5404">
        <v>1.0000000176302899</v>
      </c>
    </row>
    <row r="5405" spans="1:40" x14ac:dyDescent="0.25">
      <c r="A5405" t="str">
        <f>"20190312172518223"</f>
        <v>20190312172518223</v>
      </c>
      <c r="B5405" t="str">
        <f>"1552382718215800"</f>
        <v>1552382718215800</v>
      </c>
      <c r="C5405" t="s">
        <v>40</v>
      </c>
      <c r="D5405">
        <v>4.0703909999999999</v>
      </c>
      <c r="E5405">
        <v>0.51330450000000005</v>
      </c>
      <c r="F5405" t="s">
        <v>41</v>
      </c>
      <c r="G5405">
        <v>-364.31400000000002</v>
      </c>
      <c r="H5405">
        <v>1.0418419999999999</v>
      </c>
      <c r="I5405">
        <v>17.159549999999999</v>
      </c>
      <c r="J5405">
        <v>-365.02760000000001</v>
      </c>
      <c r="K5405">
        <v>1.1101449999999999</v>
      </c>
      <c r="L5405">
        <v>17.1709</v>
      </c>
      <c r="M5405">
        <v>0.99983049999999996</v>
      </c>
      <c r="N5405">
        <v>0</v>
      </c>
      <c r="O5405">
        <v>-1.66175E-2</v>
      </c>
      <c r="P5405">
        <v>0.98890069999999997</v>
      </c>
      <c r="Q5405">
        <v>0.1484116</v>
      </c>
      <c r="R5405">
        <v>7.06955E-3</v>
      </c>
      <c r="S5405">
        <v>3.0687869999999999</v>
      </c>
      <c r="T5405">
        <v>-0.23329849999999999</v>
      </c>
      <c r="U5405">
        <v>-4.669189E-2</v>
      </c>
      <c r="V5405">
        <v>-2.3629020000000001E-2</v>
      </c>
      <c r="W5405">
        <v>0.15624930000000001</v>
      </c>
      <c r="X5405">
        <v>0.98743499999999995</v>
      </c>
      <c r="Y5405">
        <v>-1.3530199999999999E-3</v>
      </c>
      <c r="Z5405">
        <v>1.31273E-3</v>
      </c>
      <c r="AA5405">
        <v>0.99999819999999995</v>
      </c>
      <c r="AB5405">
        <v>21</v>
      </c>
      <c r="AC5405">
        <v>0.71359999999998502</v>
      </c>
      <c r="AD5405">
        <v>-6.8303000000000197E-2</v>
      </c>
      <c r="AE5405">
        <v>-1.13500000000001E-2</v>
      </c>
      <c r="AF5405">
        <v>-5.0555732569021201E-4</v>
      </c>
      <c r="AG5405">
        <v>-6.8303000000000197E-2</v>
      </c>
      <c r="AH5405">
        <v>0.70721253628119096</v>
      </c>
      <c r="AI5405">
        <v>95.516548480544003</v>
      </c>
      <c r="AJ5405">
        <v>90.040958403087799</v>
      </c>
      <c r="AK5405">
        <v>0.71050343199064503</v>
      </c>
      <c r="AL5405">
        <v>81.010741503354197</v>
      </c>
      <c r="AM5405">
        <v>91.370809006715803</v>
      </c>
      <c r="AN5405">
        <v>1.00000002678082</v>
      </c>
    </row>
    <row r="5406" spans="1:40" x14ac:dyDescent="0.25">
      <c r="A5406" t="str">
        <f>"20190312172518235"</f>
        <v>20190312172518235</v>
      </c>
      <c r="B5406" t="str">
        <f>"1552382718225561"</f>
        <v>1552382718225561</v>
      </c>
      <c r="C5406" t="s">
        <v>40</v>
      </c>
      <c r="D5406">
        <v>4.0663369999999999</v>
      </c>
      <c r="E5406">
        <v>0.51328770000000001</v>
      </c>
      <c r="F5406" t="s">
        <v>41</v>
      </c>
      <c r="G5406">
        <v>-364.1259</v>
      </c>
      <c r="H5406">
        <v>1.0415909999999999</v>
      </c>
      <c r="I5406">
        <v>17.156790000000001</v>
      </c>
      <c r="J5406">
        <v>-364.90780000000001</v>
      </c>
      <c r="K5406">
        <v>1.1101209999999999</v>
      </c>
      <c r="L5406">
        <v>17.169339999999998</v>
      </c>
      <c r="M5406">
        <v>0.99983699999999998</v>
      </c>
      <c r="N5406">
        <v>0</v>
      </c>
      <c r="O5406">
        <v>-1.6230089999999999E-2</v>
      </c>
      <c r="P5406">
        <v>0.98891079999999998</v>
      </c>
      <c r="Q5406">
        <v>0.14834629999999999</v>
      </c>
      <c r="R5406">
        <v>7.0123709999999999E-3</v>
      </c>
      <c r="S5406">
        <v>3.0690309999999998</v>
      </c>
      <c r="T5406">
        <v>-0.23344909999999999</v>
      </c>
      <c r="U5406">
        <v>-4.6386719999999999E-2</v>
      </c>
      <c r="V5406">
        <v>-2.3182100000000001E-2</v>
      </c>
      <c r="W5406">
        <v>0.15614420000000001</v>
      </c>
      <c r="X5406">
        <v>0.98746219999999996</v>
      </c>
      <c r="Y5406">
        <v>-1.0680539999999999E-3</v>
      </c>
      <c r="Z5406">
        <v>1.2732290000000001E-3</v>
      </c>
      <c r="AA5406">
        <v>0.99999859999999896</v>
      </c>
      <c r="AB5406">
        <v>21</v>
      </c>
      <c r="AC5406">
        <v>0.78190000000000703</v>
      </c>
      <c r="AD5406">
        <v>-6.8529999999999897E-2</v>
      </c>
      <c r="AE5406">
        <v>-1.2549999999997299E-2</v>
      </c>
      <c r="AF5406">
        <v>-1.4127253587470701E-4</v>
      </c>
      <c r="AG5406">
        <v>-6.8529999999999897E-2</v>
      </c>
      <c r="AH5406">
        <v>0.776040897115581</v>
      </c>
      <c r="AI5406">
        <v>95.046539130760706</v>
      </c>
      <c r="AJ5406">
        <v>90.0104302750117</v>
      </c>
      <c r="AK5406">
        <v>0.77906088006899998</v>
      </c>
      <c r="AL5406">
        <v>81.016837955877406</v>
      </c>
      <c r="AM5406">
        <v>91.344854065972896</v>
      </c>
      <c r="AN5406">
        <v>1.00000000869144</v>
      </c>
    </row>
    <row r="5407" spans="1:40" x14ac:dyDescent="0.25">
      <c r="A5407" t="str">
        <f>"20190312172518248"</f>
        <v>20190312172518248</v>
      </c>
      <c r="B5407" t="str">
        <f>"1552382718236297"</f>
        <v>1552382718236297</v>
      </c>
      <c r="C5407" t="s">
        <v>40</v>
      </c>
      <c r="D5407">
        <v>4.0851350000000002</v>
      </c>
      <c r="E5407">
        <v>0.51328109999999905</v>
      </c>
      <c r="F5407" t="s">
        <v>43</v>
      </c>
      <c r="G5407">
        <v>-350.3544</v>
      </c>
      <c r="H5407" s="1">
        <v>-4.5933739999999996E-6</v>
      </c>
      <c r="I5407">
        <v>16.949010000000001</v>
      </c>
      <c r="J5407">
        <v>-364.79829999999998</v>
      </c>
      <c r="K5407">
        <v>1.110098</v>
      </c>
      <c r="L5407">
        <v>17.16797</v>
      </c>
      <c r="M5407">
        <v>0.99984289999999998</v>
      </c>
      <c r="N5407">
        <v>0</v>
      </c>
      <c r="O5407">
        <v>-1.5888800000000002E-2</v>
      </c>
      <c r="P5407">
        <v>0.98886220000000002</v>
      </c>
      <c r="Q5407">
        <v>0.1486759</v>
      </c>
      <c r="R5407">
        <v>6.8871089999999998E-3</v>
      </c>
      <c r="S5407">
        <v>3.0691220000000001</v>
      </c>
      <c r="T5407">
        <v>-0.23411100000000001</v>
      </c>
      <c r="U5407">
        <v>-4.6447750000000003E-2</v>
      </c>
      <c r="V5407">
        <v>-2.2713009999999999E-2</v>
      </c>
      <c r="W5407">
        <v>0.15643670000000001</v>
      </c>
      <c r="X5407">
        <v>0.98742680000000005</v>
      </c>
      <c r="Y5407">
        <v>-7.0902129999999999E-4</v>
      </c>
      <c r="Z5407">
        <v>1.2371260000000001E-3</v>
      </c>
      <c r="AA5407">
        <v>0.99999899999999997</v>
      </c>
      <c r="AB5407">
        <v>21</v>
      </c>
      <c r="AC5407">
        <v>14.4438999999999</v>
      </c>
      <c r="AD5407">
        <v>-1.1101025933740001</v>
      </c>
      <c r="AE5407">
        <v>-0.21895999999999899</v>
      </c>
      <c r="AF5407">
        <v>-1.05089027254942E-2</v>
      </c>
      <c r="AG5407">
        <v>-1.1101025933740001</v>
      </c>
      <c r="AH5407">
        <v>14.3607481227563</v>
      </c>
      <c r="AI5407">
        <v>94.420239106804402</v>
      </c>
      <c r="AJ5407">
        <v>90.041927875961505</v>
      </c>
      <c r="AK5407">
        <v>14.403594164308499</v>
      </c>
      <c r="AL5407">
        <v>80.999870383078999</v>
      </c>
      <c r="AM5407">
        <v>91.317697847034694</v>
      </c>
      <c r="AN5407">
        <v>1.0000000036441901</v>
      </c>
    </row>
    <row r="5408" spans="1:40" x14ac:dyDescent="0.25">
      <c r="A5408" t="str">
        <f>"20190312172518268"</f>
        <v>20190312172518268</v>
      </c>
      <c r="B5408" t="str">
        <f>"1552382718255816"</f>
        <v>1552382718255816</v>
      </c>
      <c r="C5408" t="s">
        <v>40</v>
      </c>
      <c r="D5408">
        <v>4.09795</v>
      </c>
      <c r="E5408">
        <v>0.51328859999999998</v>
      </c>
      <c r="F5408" t="s">
        <v>41</v>
      </c>
      <c r="G5408">
        <v>-363.93389999999999</v>
      </c>
      <c r="H5408">
        <v>1.0443899999999999</v>
      </c>
      <c r="I5408">
        <v>17.15466</v>
      </c>
      <c r="J5408">
        <v>-364.60050000000001</v>
      </c>
      <c r="K5408">
        <v>1.110066</v>
      </c>
      <c r="L5408">
        <v>17.16553</v>
      </c>
      <c r="M5408">
        <v>0.99985239999999997</v>
      </c>
      <c r="N5408">
        <v>0</v>
      </c>
      <c r="O5408">
        <v>-1.5304979999999999E-2</v>
      </c>
      <c r="P5408">
        <v>0.98880109999999999</v>
      </c>
      <c r="Q5408">
        <v>0.14910309999999999</v>
      </c>
      <c r="R5408">
        <v>6.3736969999999898E-3</v>
      </c>
      <c r="S5408">
        <v>3.0692750000000002</v>
      </c>
      <c r="T5408">
        <v>-0.23335900000000001</v>
      </c>
      <c r="U5408">
        <v>-4.6844480000000001E-2</v>
      </c>
      <c r="V5408">
        <v>-2.1613259999999999E-2</v>
      </c>
      <c r="W5408">
        <v>0.15679749999999901</v>
      </c>
      <c r="X5408">
        <v>0.98739429999999995</v>
      </c>
      <c r="Y5408" s="1">
        <v>-6.765913E-7</v>
      </c>
      <c r="Z5408">
        <v>1.1618970000000001E-3</v>
      </c>
      <c r="AA5408">
        <v>0.99999930000000004</v>
      </c>
      <c r="AB5408">
        <v>21</v>
      </c>
      <c r="AC5408">
        <v>0.66660000000001596</v>
      </c>
      <c r="AD5408">
        <v>-6.5675999999999998E-2</v>
      </c>
      <c r="AE5408">
        <v>-1.08700000000006E-2</v>
      </c>
      <c r="AF5408">
        <v>6.5971410632561698E-4</v>
      </c>
      <c r="AG5408">
        <v>-6.5675999999999998E-2</v>
      </c>
      <c r="AH5408">
        <v>0.66028068048328803</v>
      </c>
      <c r="AI5408">
        <v>95.680340544315598</v>
      </c>
      <c r="AJ5408">
        <v>89.9427534039432</v>
      </c>
      <c r="AK5408">
        <v>0.66353925974140804</v>
      </c>
      <c r="AL5408">
        <v>80.978940157790703</v>
      </c>
      <c r="AM5408">
        <v>91.253957873760996</v>
      </c>
      <c r="AN5408">
        <v>1.0000000463432801</v>
      </c>
    </row>
    <row r="5409" spans="1:40" x14ac:dyDescent="0.25">
      <c r="A5409" t="str">
        <f>"20190312172518290"</f>
        <v>20190312172518290</v>
      </c>
      <c r="B5409" t="str">
        <f>"1552382718286073"</f>
        <v>1552382718286073</v>
      </c>
      <c r="C5409" t="s">
        <v>40</v>
      </c>
      <c r="D5409">
        <v>4.0723760000000002</v>
      </c>
      <c r="E5409">
        <v>0.51335520000000001</v>
      </c>
      <c r="F5409" t="s">
        <v>41</v>
      </c>
      <c r="G5409">
        <v>-363.74239999999998</v>
      </c>
      <c r="H5409">
        <v>1.044926</v>
      </c>
      <c r="I5409">
        <v>17.151579999999999</v>
      </c>
      <c r="J5409">
        <v>-364.3888</v>
      </c>
      <c r="K5409">
        <v>1.1100380000000001</v>
      </c>
      <c r="L5409">
        <v>17.162960000000002</v>
      </c>
      <c r="M5409">
        <v>0.99986180000000002</v>
      </c>
      <c r="N5409">
        <v>0</v>
      </c>
      <c r="O5409">
        <v>-1.472385E-2</v>
      </c>
      <c r="P5409">
        <v>0.98885179999999995</v>
      </c>
      <c r="Q5409">
        <v>0.14878739999999999</v>
      </c>
      <c r="R5409">
        <v>5.9055459999999898E-3</v>
      </c>
      <c r="S5409">
        <v>3.0694270000000001</v>
      </c>
      <c r="T5409">
        <v>-0.23304559999999999</v>
      </c>
      <c r="U5409">
        <v>-4.8492430000000003E-2</v>
      </c>
      <c r="V5409">
        <v>-2.0565529999999999E-2</v>
      </c>
      <c r="W5409">
        <v>0.156411299999999</v>
      </c>
      <c r="X5409">
        <v>0.98747790000000002</v>
      </c>
      <c r="Y5409">
        <v>1.111562E-3</v>
      </c>
      <c r="Z5409">
        <v>1.0740649999999999E-3</v>
      </c>
      <c r="AA5409">
        <v>0.99999879999999997</v>
      </c>
      <c r="AB5409">
        <v>21</v>
      </c>
      <c r="AC5409">
        <v>0.64640000000002795</v>
      </c>
      <c r="AD5409">
        <v>-6.5111999999999795E-2</v>
      </c>
      <c r="AE5409">
        <v>-1.13800000000026E-2</v>
      </c>
      <c r="AF5409">
        <v>1.8422988645499299E-3</v>
      </c>
      <c r="AG5409">
        <v>-6.5111999999999795E-2</v>
      </c>
      <c r="AH5409">
        <v>0.640005635668907</v>
      </c>
      <c r="AI5409">
        <v>95.809067140096303</v>
      </c>
      <c r="AJ5409">
        <v>89.8350707367117</v>
      </c>
      <c r="AK5409">
        <v>0.64331188415656404</v>
      </c>
      <c r="AL5409">
        <v>81.001343976926705</v>
      </c>
      <c r="AM5409">
        <v>91.193087721033706</v>
      </c>
      <c r="AN5409">
        <v>1.0000000193901399</v>
      </c>
    </row>
    <row r="5410" spans="1:40" x14ac:dyDescent="0.25">
      <c r="A5410" t="str">
        <f>"20190312172518313"</f>
        <v>20190312172518313</v>
      </c>
      <c r="B5410" t="str">
        <f>"1552382718305593"</f>
        <v>1552382718305593</v>
      </c>
      <c r="C5410" t="s">
        <v>40</v>
      </c>
      <c r="D5410">
        <v>4.1023860000000001</v>
      </c>
      <c r="E5410">
        <v>0.51341199999999998</v>
      </c>
      <c r="F5410" t="s">
        <v>41</v>
      </c>
      <c r="G5410">
        <v>-363.5471</v>
      </c>
      <c r="H5410">
        <v>1.045531</v>
      </c>
      <c r="I5410">
        <v>17.14894</v>
      </c>
      <c r="J5410">
        <v>-364.17329999999998</v>
      </c>
      <c r="K5410">
        <v>1.110012</v>
      </c>
      <c r="L5410">
        <v>17.16046</v>
      </c>
      <c r="M5410">
        <v>0.99987029999999999</v>
      </c>
      <c r="N5410">
        <v>0</v>
      </c>
      <c r="O5410">
        <v>-1.4167580000000001E-2</v>
      </c>
      <c r="P5410">
        <v>0.98888770000000004</v>
      </c>
      <c r="Q5410">
        <v>0.14855460000000001</v>
      </c>
      <c r="R5410">
        <v>5.7231620000000004E-3</v>
      </c>
      <c r="S5410">
        <v>3.06955</v>
      </c>
      <c r="T5410">
        <v>-0.2353247</v>
      </c>
      <c r="U5410">
        <v>-5.0506589999999997E-2</v>
      </c>
      <c r="V5410">
        <v>-1.982911E-2</v>
      </c>
      <c r="W5410">
        <v>0.15610750000000001</v>
      </c>
      <c r="X5410">
        <v>0.987541</v>
      </c>
      <c r="Y5410">
        <v>2.3188710000000001E-3</v>
      </c>
      <c r="Z5410">
        <v>9.9570480000000009E-4</v>
      </c>
      <c r="AA5410">
        <v>0.99999680000000002</v>
      </c>
      <c r="AB5410">
        <v>21</v>
      </c>
      <c r="AC5410">
        <v>0.62619999999998299</v>
      </c>
      <c r="AD5410">
        <v>-6.4480999999999997E-2</v>
      </c>
      <c r="AE5410">
        <v>-1.15200000000008E-2</v>
      </c>
      <c r="AF5410">
        <v>2.6190835964914798E-3</v>
      </c>
      <c r="AG5410">
        <v>-6.4480999999999997E-2</v>
      </c>
      <c r="AH5410">
        <v>0.61973144288626403</v>
      </c>
      <c r="AI5410">
        <v>95.940009449292702</v>
      </c>
      <c r="AJ5410">
        <v>89.757860369018999</v>
      </c>
      <c r="AK5410">
        <v>0.62308243456365797</v>
      </c>
      <c r="AL5410">
        <v>81.018966610624901</v>
      </c>
      <c r="AM5410">
        <v>91.1503032936143</v>
      </c>
      <c r="AN5410">
        <v>0.99999998592032002</v>
      </c>
    </row>
    <row r="5411" spans="1:40" x14ac:dyDescent="0.25">
      <c r="A5411" t="str">
        <f>"20190312172518334"</f>
        <v>20190312172518334</v>
      </c>
      <c r="B5411" t="str">
        <f>"1552382718326088"</f>
        <v>1552382718326088</v>
      </c>
      <c r="C5411" t="s">
        <v>40</v>
      </c>
      <c r="D5411">
        <v>4.0499530000000004</v>
      </c>
      <c r="E5411">
        <v>0.51329619999999998</v>
      </c>
      <c r="F5411" t="s">
        <v>43</v>
      </c>
      <c r="G5411">
        <v>-349.79730000000001</v>
      </c>
      <c r="H5411" s="1">
        <v>-7.7299629999999997E-7</v>
      </c>
      <c r="I5411">
        <v>16.91798</v>
      </c>
      <c r="J5411">
        <v>-363.96570000000003</v>
      </c>
      <c r="K5411">
        <v>1.1099870000000001</v>
      </c>
      <c r="L5411">
        <v>17.158110000000001</v>
      </c>
      <c r="M5411">
        <v>0.99987800000000004</v>
      </c>
      <c r="N5411">
        <v>0</v>
      </c>
      <c r="O5411">
        <v>-1.36572E-2</v>
      </c>
      <c r="P5411">
        <v>0.98897800000000002</v>
      </c>
      <c r="Q5411">
        <v>0.14795329999999901</v>
      </c>
      <c r="R5411">
        <v>5.7009390000000004E-3</v>
      </c>
      <c r="S5411">
        <v>3.0696409999999998</v>
      </c>
      <c r="T5411">
        <v>-0.2370148</v>
      </c>
      <c r="U5411">
        <v>-5.1757810000000001E-2</v>
      </c>
      <c r="V5411">
        <v>-1.929999E-2</v>
      </c>
      <c r="W5411">
        <v>0.1554401</v>
      </c>
      <c r="X5411">
        <v>0.9876568</v>
      </c>
      <c r="Y5411">
        <v>3.2325919999999998E-3</v>
      </c>
      <c r="Z5411">
        <v>9.2823690000000002E-4</v>
      </c>
      <c r="AA5411">
        <v>0.9999943</v>
      </c>
      <c r="AB5411">
        <v>21</v>
      </c>
      <c r="AC5411">
        <v>14.1684</v>
      </c>
      <c r="AD5411">
        <v>-1.1099877729962999</v>
      </c>
      <c r="AE5411">
        <v>-0.24013000000000001</v>
      </c>
      <c r="AF5411">
        <v>4.6317178488275497E-2</v>
      </c>
      <c r="AG5411">
        <v>-1.1099877729962999</v>
      </c>
      <c r="AH5411">
        <v>14.083942099219801</v>
      </c>
      <c r="AI5411">
        <v>94.506272801573502</v>
      </c>
      <c r="AJ5411">
        <v>89.811574823254503</v>
      </c>
      <c r="AK5411">
        <v>14.127690653160499</v>
      </c>
      <c r="AL5411">
        <v>81.057678816793995</v>
      </c>
      <c r="AM5411">
        <v>91.1194852806764</v>
      </c>
      <c r="AN5411">
        <v>1.00000003444412</v>
      </c>
    </row>
    <row r="5412" spans="1:40" x14ac:dyDescent="0.25">
      <c r="A5412" t="str">
        <f>"20190312172518347"</f>
        <v>20190312172518347</v>
      </c>
      <c r="B5412" t="str">
        <f>"1552382718335850"</f>
        <v>1552382718335850</v>
      </c>
      <c r="C5412" t="s">
        <v>40</v>
      </c>
      <c r="D5412">
        <v>4.0088990000000004</v>
      </c>
      <c r="E5412">
        <v>0.51329619999999998</v>
      </c>
      <c r="F5412" t="s">
        <v>43</v>
      </c>
      <c r="G5412">
        <v>-349.65789999999998</v>
      </c>
      <c r="H5412" s="1">
        <v>-8.2018410000000003E-7</v>
      </c>
      <c r="I5412">
        <v>16.918900000000001</v>
      </c>
      <c r="J5412">
        <v>-363.84399999999999</v>
      </c>
      <c r="K5412">
        <v>1.109977</v>
      </c>
      <c r="L5412">
        <v>17.156770000000002</v>
      </c>
      <c r="M5412">
        <v>0.99988220000000005</v>
      </c>
      <c r="N5412">
        <v>0</v>
      </c>
      <c r="O5412">
        <v>-1.336683E-2</v>
      </c>
      <c r="P5412">
        <v>0.98902440000000003</v>
      </c>
      <c r="Q5412">
        <v>0.14763789999999999</v>
      </c>
      <c r="R5412">
        <v>5.8501739999999997E-3</v>
      </c>
      <c r="S5412">
        <v>3.0694270000000001</v>
      </c>
      <c r="T5412">
        <v>-0.23812249999999999</v>
      </c>
      <c r="U5412">
        <v>-5.130005E-2</v>
      </c>
      <c r="V5412">
        <v>-1.9161669999999999E-2</v>
      </c>
      <c r="W5412">
        <v>0.1550877</v>
      </c>
      <c r="X5412">
        <v>0.9877148</v>
      </c>
      <c r="Y5412">
        <v>3.374078E-3</v>
      </c>
      <c r="Z5412">
        <v>9.0465930000000003E-4</v>
      </c>
      <c r="AA5412">
        <v>0.99999389999999999</v>
      </c>
      <c r="AB5412">
        <v>21</v>
      </c>
      <c r="AC5412">
        <v>14.1861</v>
      </c>
      <c r="AD5412">
        <v>-1.1099778201841</v>
      </c>
      <c r="AE5412">
        <v>-0.23787</v>
      </c>
      <c r="AF5412">
        <v>4.7926832233300902E-2</v>
      </c>
      <c r="AG5412">
        <v>-1.1099778201841</v>
      </c>
      <c r="AH5412">
        <v>14.1017039964307</v>
      </c>
      <c r="AI5412">
        <v>94.500578390473905</v>
      </c>
      <c r="AJ5412">
        <v>89.805272140142606</v>
      </c>
      <c r="AK5412">
        <v>14.145402198081801</v>
      </c>
      <c r="AL5412">
        <v>81.078116908171594</v>
      </c>
      <c r="AM5412">
        <v>91.111398874873302</v>
      </c>
      <c r="AN5412">
        <v>0.99999994521375801</v>
      </c>
    </row>
    <row r="5413" spans="1:40" x14ac:dyDescent="0.25">
      <c r="A5413" t="str">
        <f>"20190312172518360"</f>
        <v>20190312172518360</v>
      </c>
      <c r="B5413" t="str">
        <f>"1552382718356345"</f>
        <v>1552382718356345</v>
      </c>
      <c r="C5413" t="s">
        <v>40</v>
      </c>
      <c r="D5413">
        <v>4.0636640000000002</v>
      </c>
      <c r="E5413">
        <v>0.49900070000000002</v>
      </c>
      <c r="F5413" t="s">
        <v>41</v>
      </c>
      <c r="G5413">
        <v>-362.97989999999999</v>
      </c>
      <c r="H5413">
        <v>1.042681</v>
      </c>
      <c r="I5413">
        <v>17.142289999999999</v>
      </c>
      <c r="J5413">
        <v>-363.72370000000001</v>
      </c>
      <c r="K5413">
        <v>1.109966</v>
      </c>
      <c r="L5413">
        <v>17.15549</v>
      </c>
      <c r="M5413">
        <v>0.99988619999999995</v>
      </c>
      <c r="N5413">
        <v>0</v>
      </c>
      <c r="O5413">
        <v>-1.308456E-2</v>
      </c>
      <c r="P5413">
        <v>0.98902769999999995</v>
      </c>
      <c r="Q5413">
        <v>0.1476102</v>
      </c>
      <c r="R5413">
        <v>5.9721119999999999E-3</v>
      </c>
      <c r="S5413">
        <v>3.0692750000000002</v>
      </c>
      <c r="T5413">
        <v>-0.23907390000000001</v>
      </c>
      <c r="U5413">
        <v>-5.0903320000000002E-2</v>
      </c>
      <c r="V5413">
        <v>-1.9002660000000001E-2</v>
      </c>
      <c r="W5413">
        <v>0.15502460000000001</v>
      </c>
      <c r="X5413">
        <v>0.98772780000000004</v>
      </c>
      <c r="Y5413">
        <v>3.5269089999999999E-3</v>
      </c>
      <c r="Z5413">
        <v>8.8041649999999905E-4</v>
      </c>
      <c r="AA5413">
        <v>0.99999340000000003</v>
      </c>
      <c r="AB5413">
        <v>22</v>
      </c>
      <c r="AC5413">
        <v>0.743800000000021</v>
      </c>
      <c r="AD5413">
        <v>-6.7284999999999998E-2</v>
      </c>
      <c r="AE5413">
        <v>-1.32000000000012E-2</v>
      </c>
      <c r="AF5413">
        <v>3.4381733639521198E-3</v>
      </c>
      <c r="AG5413">
        <v>-6.7284999999999998E-2</v>
      </c>
      <c r="AH5413">
        <v>0.73787277008583896</v>
      </c>
      <c r="AI5413">
        <v>95.210210639297202</v>
      </c>
      <c r="AJ5413">
        <v>89.733027961845593</v>
      </c>
      <c r="AK5413">
        <v>0.740942182019104</v>
      </c>
      <c r="AL5413">
        <v>81.081776731321398</v>
      </c>
      <c r="AM5413">
        <v>91.102163894013103</v>
      </c>
      <c r="AN5413">
        <v>0.99999996729253704</v>
      </c>
    </row>
    <row r="5414" spans="1:40" x14ac:dyDescent="0.25">
      <c r="A5414" t="str">
        <f>"20190312172518378"</f>
        <v>20190312172518378</v>
      </c>
      <c r="B5414" t="str">
        <f>"1552382718366105"</f>
        <v>1552382718366105</v>
      </c>
      <c r="C5414" t="s">
        <v>40</v>
      </c>
      <c r="D5414">
        <v>4.0320510000000001</v>
      </c>
      <c r="E5414">
        <v>0.4987663</v>
      </c>
      <c r="F5414" t="s">
        <v>43</v>
      </c>
      <c r="G5414">
        <v>-347.7405</v>
      </c>
      <c r="H5414" s="1">
        <v>-1.330851E-6</v>
      </c>
      <c r="I5414">
        <v>17.47833</v>
      </c>
      <c r="J5414">
        <v>-363.54640000000001</v>
      </c>
      <c r="K5414">
        <v>1.1099460000000001</v>
      </c>
      <c r="L5414">
        <v>17.15363</v>
      </c>
      <c r="M5414">
        <v>0.99989170000000005</v>
      </c>
      <c r="N5414">
        <v>0</v>
      </c>
      <c r="O5414">
        <v>-1.267972E-2</v>
      </c>
      <c r="P5414">
        <v>0.98910120000000001</v>
      </c>
      <c r="Q5414">
        <v>0.14709939999999999</v>
      </c>
      <c r="R5414">
        <v>6.3571139999999996E-3</v>
      </c>
      <c r="S5414">
        <v>3.064667</v>
      </c>
      <c r="T5414">
        <v>-0.21282889999999999</v>
      </c>
      <c r="U5414">
        <v>6.1920169999999997E-2</v>
      </c>
      <c r="V5414">
        <v>-1.898644E-2</v>
      </c>
      <c r="W5414">
        <v>0.15446679999999999</v>
      </c>
      <c r="X5414">
        <v>0.98781549999999996</v>
      </c>
      <c r="Y5414">
        <v>-3.2766869999999997E-2</v>
      </c>
      <c r="Z5414">
        <v>2.0157230000000001E-3</v>
      </c>
      <c r="AA5414">
        <v>0.99946100000000004</v>
      </c>
      <c r="AB5414">
        <v>22</v>
      </c>
      <c r="AC5414">
        <v>15.805899999999999</v>
      </c>
      <c r="AD5414">
        <v>-1.1099473308509999</v>
      </c>
      <c r="AE5414">
        <v>0.32469999999999999</v>
      </c>
      <c r="AF5414">
        <v>-0.52251823900246697</v>
      </c>
      <c r="AG5414">
        <v>-1.1099473308509999</v>
      </c>
      <c r="AH5414">
        <v>15.7230090243915</v>
      </c>
      <c r="AI5414">
        <v>94.035808622116605</v>
      </c>
      <c r="AJ5414">
        <v>91.903393664926895</v>
      </c>
      <c r="AK5414">
        <v>15.7707964658875</v>
      </c>
      <c r="AL5414">
        <v>81.114126007829597</v>
      </c>
      <c r="AM5414">
        <v>91.1011256130964</v>
      </c>
      <c r="AN5414">
        <v>0.99999996962318105</v>
      </c>
    </row>
    <row r="5415" spans="1:40" x14ac:dyDescent="0.25">
      <c r="A5415" t="str">
        <f>"20190312172518391"</f>
        <v>20190312172518391</v>
      </c>
      <c r="B5415" t="str">
        <f>"1552382718385625"</f>
        <v>1552382718385625</v>
      </c>
      <c r="C5415" t="s">
        <v>40</v>
      </c>
      <c r="D5415">
        <v>4.0353389999999996</v>
      </c>
      <c r="E5415">
        <v>0.49904470000000001</v>
      </c>
      <c r="F5415" t="s">
        <v>43</v>
      </c>
      <c r="G5415">
        <v>-347.38639999999998</v>
      </c>
      <c r="H5415" s="1">
        <v>-1.4798359999999999E-6</v>
      </c>
      <c r="I5415">
        <v>17.494769999999999</v>
      </c>
      <c r="J5415">
        <v>-363.42669999999998</v>
      </c>
      <c r="K5415">
        <v>1.109937</v>
      </c>
      <c r="L5415">
        <v>17.152439999999999</v>
      </c>
      <c r="M5415">
        <v>0.99989539999999999</v>
      </c>
      <c r="N5415">
        <v>0</v>
      </c>
      <c r="O5415">
        <v>-1.2413449999999999E-2</v>
      </c>
      <c r="P5415">
        <v>0.98916519999999997</v>
      </c>
      <c r="Q5415">
        <v>0.14665159999999999</v>
      </c>
      <c r="R5415">
        <v>6.7573889999999999E-3</v>
      </c>
      <c r="S5415">
        <v>3.0639340000000002</v>
      </c>
      <c r="T5415">
        <v>-0.21044589999999999</v>
      </c>
      <c r="U5415">
        <v>6.4697270000000001E-2</v>
      </c>
      <c r="V5415">
        <v>-1.9123540000000001E-2</v>
      </c>
      <c r="W5415">
        <v>0.15398999999999999</v>
      </c>
      <c r="X5415">
        <v>0.98788730000000002</v>
      </c>
      <c r="Y5415">
        <v>-3.3412509999999999E-2</v>
      </c>
      <c r="Z5415">
        <v>1.9975430000000001E-3</v>
      </c>
      <c r="AA5415">
        <v>0.99943970000000004</v>
      </c>
      <c r="AB5415">
        <v>22</v>
      </c>
      <c r="AC5415">
        <v>16.040299999999998</v>
      </c>
      <c r="AD5415">
        <v>-1.1099384798359999</v>
      </c>
      <c r="AE5415">
        <v>0.34233000000000302</v>
      </c>
      <c r="AF5415">
        <v>-0.53884564011719305</v>
      </c>
      <c r="AG5415">
        <v>-1.1099384798359999</v>
      </c>
      <c r="AH5415">
        <v>15.9584369177794</v>
      </c>
      <c r="AI5415">
        <v>93.9763602336171</v>
      </c>
      <c r="AJ5415">
        <v>91.933889643380297</v>
      </c>
      <c r="AK5415">
        <v>16.006062192545699</v>
      </c>
      <c r="AL5415">
        <v>81.141775492466607</v>
      </c>
      <c r="AM5415">
        <v>91.108994211604298</v>
      </c>
      <c r="AN5415">
        <v>0.99999997369171001</v>
      </c>
    </row>
    <row r="5416" spans="1:40" x14ac:dyDescent="0.25">
      <c r="A5416" t="str">
        <f>"20190312172518403"</f>
        <v>20190312172518403</v>
      </c>
      <c r="B5416" t="str">
        <f>"1552382718396361"</f>
        <v>1552382718396361</v>
      </c>
      <c r="C5416" t="s">
        <v>40</v>
      </c>
      <c r="D5416">
        <v>4.0765449999999896</v>
      </c>
      <c r="E5416">
        <v>0.49895260000000002</v>
      </c>
      <c r="F5416" t="s">
        <v>43</v>
      </c>
      <c r="G5416">
        <v>-347.47579999999999</v>
      </c>
      <c r="H5416" s="1">
        <v>-1.443607E-6</v>
      </c>
      <c r="I5416">
        <v>17.482959999999999</v>
      </c>
      <c r="J5416">
        <v>-363.3082</v>
      </c>
      <c r="K5416">
        <v>1.109936</v>
      </c>
      <c r="L5416">
        <v>17.151209999999999</v>
      </c>
      <c r="M5416">
        <v>0.99989899999999998</v>
      </c>
      <c r="N5416">
        <v>0</v>
      </c>
      <c r="O5416">
        <v>-1.215303E-2</v>
      </c>
      <c r="P5416">
        <v>0.98918410000000001</v>
      </c>
      <c r="Q5416">
        <v>0.1464983</v>
      </c>
      <c r="R5416">
        <v>7.3023709999999898E-3</v>
      </c>
      <c r="S5416">
        <v>3.0639949999999998</v>
      </c>
      <c r="T5416">
        <v>-0.21320620000000001</v>
      </c>
      <c r="U5416">
        <v>6.3507079999999994E-2</v>
      </c>
      <c r="V5416">
        <v>-1.9409559999999999E-2</v>
      </c>
      <c r="W5416">
        <v>0.15380869999999999</v>
      </c>
      <c r="X5416">
        <v>0.98790999999999995</v>
      </c>
      <c r="Y5416">
        <v>-3.276308E-2</v>
      </c>
      <c r="Z5416">
        <v>1.9829840000000001E-3</v>
      </c>
      <c r="AA5416">
        <v>0.99946120000000005</v>
      </c>
      <c r="AB5416">
        <v>22</v>
      </c>
      <c r="AC5416">
        <v>15.8324</v>
      </c>
      <c r="AD5416">
        <v>-1.109937443607</v>
      </c>
      <c r="AE5416">
        <v>0.33175000000000299</v>
      </c>
      <c r="AF5416">
        <v>-0.521580031785422</v>
      </c>
      <c r="AG5416">
        <v>-1.109937443607</v>
      </c>
      <c r="AH5416">
        <v>15.7498259701926</v>
      </c>
      <c r="AI5416">
        <v>94.028939258076605</v>
      </c>
      <c r="AJ5416">
        <v>91.896745840783694</v>
      </c>
      <c r="AK5416">
        <v>15.797500591854201</v>
      </c>
      <c r="AL5416">
        <v>81.152288766488894</v>
      </c>
      <c r="AM5416">
        <v>91.125550720093003</v>
      </c>
      <c r="AN5416">
        <v>1.0000000076575399</v>
      </c>
    </row>
    <row r="5417" spans="1:40" x14ac:dyDescent="0.25">
      <c r="A5417" t="str">
        <f>"20190312172518414"</f>
        <v>20190312172518414</v>
      </c>
      <c r="B5417" t="str">
        <f>"1552382718406121"</f>
        <v>1552382718406121</v>
      </c>
      <c r="C5417" t="s">
        <v>40</v>
      </c>
      <c r="D5417">
        <v>3.9924789999999999</v>
      </c>
      <c r="E5417">
        <v>0.49895260000000002</v>
      </c>
      <c r="F5417" t="s">
        <v>43</v>
      </c>
      <c r="G5417">
        <v>-347.38170000000002</v>
      </c>
      <c r="H5417" s="1">
        <v>-1.482125E-6</v>
      </c>
      <c r="I5417">
        <v>17.493449999999999</v>
      </c>
      <c r="J5417">
        <v>-363.18799999999999</v>
      </c>
      <c r="K5417">
        <v>1.1099270000000001</v>
      </c>
      <c r="L5417">
        <v>17.15005</v>
      </c>
      <c r="M5417">
        <v>0.99990210000000002</v>
      </c>
      <c r="N5417">
        <v>0</v>
      </c>
      <c r="O5417">
        <v>-1.189643E-2</v>
      </c>
      <c r="P5417">
        <v>0.9891759</v>
      </c>
      <c r="Q5417">
        <v>0.1465312</v>
      </c>
      <c r="R5417">
        <v>7.721098E-3</v>
      </c>
      <c r="S5417">
        <v>3.063965</v>
      </c>
      <c r="T5417">
        <v>-0.213531</v>
      </c>
      <c r="U5417">
        <v>6.5856929999999994E-2</v>
      </c>
      <c r="V5417">
        <v>-1.9573E-2</v>
      </c>
      <c r="W5417">
        <v>0.1538157</v>
      </c>
      <c r="X5417">
        <v>0.9879057</v>
      </c>
      <c r="Y5417">
        <v>-3.3272040000000003E-2</v>
      </c>
      <c r="Z5417">
        <v>1.9858549999999999E-3</v>
      </c>
      <c r="AA5417">
        <v>0.99944440000000001</v>
      </c>
      <c r="AB5417">
        <v>22</v>
      </c>
      <c r="AC5417">
        <v>15.8063</v>
      </c>
      <c r="AD5417">
        <v>-1.1099284821249999</v>
      </c>
      <c r="AE5417">
        <v>0.34339999999999898</v>
      </c>
      <c r="AF5417">
        <v>-0.528813027544905</v>
      </c>
      <c r="AG5417">
        <v>-1.1099284821249999</v>
      </c>
      <c r="AH5417">
        <v>15.723600537826</v>
      </c>
      <c r="AI5417">
        <v>94.035535386597701</v>
      </c>
      <c r="AJ5417">
        <v>91.926234305039202</v>
      </c>
      <c r="AK5417">
        <v>15.771594666572399</v>
      </c>
      <c r="AL5417">
        <v>81.151882993727099</v>
      </c>
      <c r="AM5417">
        <v>91.135030994318797</v>
      </c>
      <c r="AN5417">
        <v>1.00000002199398</v>
      </c>
    </row>
    <row r="5418" spans="1:40" x14ac:dyDescent="0.25">
      <c r="A5418" t="str">
        <f>"20190312172518427"</f>
        <v>20190312172518427</v>
      </c>
      <c r="B5418" t="str">
        <f>"1552382718415881"</f>
        <v>1552382718415881</v>
      </c>
      <c r="C5418" t="s">
        <v>40</v>
      </c>
      <c r="D5418">
        <v>3.9965570000000001</v>
      </c>
      <c r="E5418">
        <v>0.49992019999999998</v>
      </c>
      <c r="F5418" t="s">
        <v>43</v>
      </c>
      <c r="G5418">
        <v>-347.25569999999999</v>
      </c>
      <c r="H5418" s="1">
        <v>-1.535449E-6</v>
      </c>
      <c r="I5418">
        <v>17.497499999999999</v>
      </c>
      <c r="J5418">
        <v>-363.07100000000003</v>
      </c>
      <c r="K5418">
        <v>1.10992</v>
      </c>
      <c r="L5418">
        <v>17.148959999999999</v>
      </c>
      <c r="M5418">
        <v>0.99990520000000005</v>
      </c>
      <c r="N5418">
        <v>0</v>
      </c>
      <c r="O5418">
        <v>-1.165068E-2</v>
      </c>
      <c r="P5418">
        <v>0.98910719999999996</v>
      </c>
      <c r="Q5418">
        <v>0.1469732</v>
      </c>
      <c r="R5418">
        <v>8.1426940000000007E-3</v>
      </c>
      <c r="S5418">
        <v>3.0639340000000002</v>
      </c>
      <c r="T5418">
        <v>-0.2134498</v>
      </c>
      <c r="U5418">
        <v>6.6833500000000004E-2</v>
      </c>
      <c r="V5418">
        <v>-1.9750230000000001E-2</v>
      </c>
      <c r="W5418">
        <v>0.1542336</v>
      </c>
      <c r="X5418">
        <v>0.98783699999999997</v>
      </c>
      <c r="Y5418">
        <v>-3.3345510000000002E-2</v>
      </c>
      <c r="Z5418">
        <v>1.9705719999999999E-3</v>
      </c>
      <c r="AA5418">
        <v>0.99944189999999999</v>
      </c>
      <c r="AB5418">
        <v>22</v>
      </c>
      <c r="AC5418">
        <v>15.815299999999899</v>
      </c>
      <c r="AD5418">
        <v>-1.109921535449</v>
      </c>
      <c r="AE5418">
        <v>0.34853999999999902</v>
      </c>
      <c r="AF5418">
        <v>-0.53017034149657605</v>
      </c>
      <c r="AG5418">
        <v>-1.109921535449</v>
      </c>
      <c r="AH5418">
        <v>15.7327155049753</v>
      </c>
      <c r="AI5418">
        <v>94.033170873869693</v>
      </c>
      <c r="AJ5418">
        <v>91.930056660167907</v>
      </c>
      <c r="AK5418">
        <v>15.780726965711899</v>
      </c>
      <c r="AL5418">
        <v>81.127649778376096</v>
      </c>
      <c r="AM5418">
        <v>91.145385400971193</v>
      </c>
      <c r="AN5418">
        <v>1.0000000067615</v>
      </c>
    </row>
    <row r="5419" spans="1:40" x14ac:dyDescent="0.25">
      <c r="A5419" t="str">
        <f>"20190312172518438"</f>
        <v>20190312172518438</v>
      </c>
      <c r="B5419" t="str">
        <f>"1552382718425641"</f>
        <v>1552382718425641</v>
      </c>
      <c r="C5419" t="s">
        <v>40</v>
      </c>
      <c r="D5419">
        <v>4.0621970000000003</v>
      </c>
      <c r="E5419">
        <v>0.49992019999999998</v>
      </c>
      <c r="F5419" t="s">
        <v>43</v>
      </c>
      <c r="G5419">
        <v>-349.78840000000002</v>
      </c>
      <c r="H5419" s="1">
        <v>-6.4246790000000001E-7</v>
      </c>
      <c r="I5419">
        <v>17.419889999999999</v>
      </c>
      <c r="J5419">
        <v>-362.95569999999998</v>
      </c>
      <c r="K5419">
        <v>1.1099129999999999</v>
      </c>
      <c r="L5419">
        <v>17.147829999999999</v>
      </c>
      <c r="M5419">
        <v>0.99990800000000002</v>
      </c>
      <c r="N5419">
        <v>0</v>
      </c>
      <c r="O5419">
        <v>-1.141269E-2</v>
      </c>
      <c r="P5419">
        <v>0.98910900000000002</v>
      </c>
      <c r="Q5419">
        <v>0.1469396</v>
      </c>
      <c r="R5419">
        <v>8.4980619999999903E-3</v>
      </c>
      <c r="S5419">
        <v>3.0706479999999998</v>
      </c>
      <c r="T5419">
        <v>-0.25658979999999998</v>
      </c>
      <c r="U5419">
        <v>6.2652589999999994E-2</v>
      </c>
      <c r="V5419">
        <v>-1.986864E-2</v>
      </c>
      <c r="W5419">
        <v>0.1541775</v>
      </c>
      <c r="X5419">
        <v>0.98784340000000004</v>
      </c>
      <c r="Y5419">
        <v>-3.1658690000000003E-2</v>
      </c>
      <c r="Z5419">
        <v>2.2722440000000001E-3</v>
      </c>
      <c r="AA5419">
        <v>0.99949619999999995</v>
      </c>
      <c r="AB5419">
        <v>22</v>
      </c>
      <c r="AC5419">
        <v>13.1672999999999</v>
      </c>
      <c r="AD5419">
        <v>-1.1099136424678999</v>
      </c>
      <c r="AE5419">
        <v>0.27205999999999902</v>
      </c>
      <c r="AF5419">
        <v>-0.41934233309896601</v>
      </c>
      <c r="AG5419">
        <v>-1.1099136424678999</v>
      </c>
      <c r="AH5419">
        <v>13.0705066144266</v>
      </c>
      <c r="AI5419">
        <v>94.851280882788203</v>
      </c>
      <c r="AJ5419">
        <v>91.8375957370842</v>
      </c>
      <c r="AK5419">
        <v>13.1242485287286</v>
      </c>
      <c r="AL5419">
        <v>81.130903134790302</v>
      </c>
      <c r="AM5419">
        <v>91.152243104944802</v>
      </c>
      <c r="AN5419">
        <v>1.0000000236426201</v>
      </c>
    </row>
    <row r="5420" spans="1:40" x14ac:dyDescent="0.25">
      <c r="A5420" t="str">
        <f>"20190312172518458"</f>
        <v>20190312172518458</v>
      </c>
      <c r="B5420" t="str">
        <f>"1552382718446136"</f>
        <v>1552382718446136</v>
      </c>
      <c r="C5420" t="s">
        <v>40</v>
      </c>
      <c r="D5420">
        <v>4.0635269999999997</v>
      </c>
      <c r="E5420">
        <v>0.49906830000000002</v>
      </c>
      <c r="F5420" t="s">
        <v>43</v>
      </c>
      <c r="G5420">
        <v>-349.6771</v>
      </c>
      <c r="H5420" s="1">
        <v>-6.7962650000000001E-7</v>
      </c>
      <c r="I5420">
        <v>17.422629999999899</v>
      </c>
      <c r="J5420">
        <v>-362.767</v>
      </c>
      <c r="K5420">
        <v>1.1099079999999999</v>
      </c>
      <c r="L5420">
        <v>17.14612</v>
      </c>
      <c r="M5420">
        <v>0.99991249999999998</v>
      </c>
      <c r="N5420">
        <v>0</v>
      </c>
      <c r="O5420">
        <v>-1.10376E-2</v>
      </c>
      <c r="P5420">
        <v>0.98904479999999995</v>
      </c>
      <c r="Q5420">
        <v>0.1473323</v>
      </c>
      <c r="R5420">
        <v>9.1506650000000005E-3</v>
      </c>
      <c r="S5420">
        <v>3.0706479999999998</v>
      </c>
      <c r="T5420">
        <v>-0.25666420000000001</v>
      </c>
      <c r="U5420">
        <v>6.3568120000000006E-2</v>
      </c>
      <c r="V5420">
        <v>-2.014823E-2</v>
      </c>
      <c r="W5420">
        <v>0.15453789999999901</v>
      </c>
      <c r="X5420">
        <v>0.98778140000000003</v>
      </c>
      <c r="Y5420">
        <v>-3.1583119999999999E-2</v>
      </c>
      <c r="Z5420">
        <v>2.2384449999999999E-3</v>
      </c>
      <c r="AA5420">
        <v>0.99949860000000001</v>
      </c>
      <c r="AB5420">
        <v>22</v>
      </c>
      <c r="AC5420">
        <v>13.0899</v>
      </c>
      <c r="AD5420">
        <v>-1.1099086796265001</v>
      </c>
      <c r="AE5420">
        <v>0.27650999999999798</v>
      </c>
      <c r="AF5420">
        <v>-0.41797436794862503</v>
      </c>
      <c r="AG5420">
        <v>-1.1099086796265001</v>
      </c>
      <c r="AH5420">
        <v>12.9926805921626</v>
      </c>
      <c r="AI5420">
        <v>94.880164817644996</v>
      </c>
      <c r="AJ5420">
        <v>91.842569037273293</v>
      </c>
      <c r="AK5420">
        <v>13.046698770927801</v>
      </c>
      <c r="AL5420">
        <v>81.110003075259499</v>
      </c>
      <c r="AM5420">
        <v>91.168526238660505</v>
      </c>
      <c r="AN5420">
        <v>1.0000000039472501</v>
      </c>
    </row>
    <row r="5421" spans="1:40" x14ac:dyDescent="0.25">
      <c r="A5421" t="str">
        <f>"20190312172518481"</f>
        <v>20190312172518481</v>
      </c>
      <c r="B5421" t="str">
        <f>"1552382718476393"</f>
        <v>1552382718476393</v>
      </c>
      <c r="C5421" t="s">
        <v>40</v>
      </c>
      <c r="D5421">
        <v>4.0359769999999999</v>
      </c>
      <c r="E5421">
        <v>0.49998199999999998</v>
      </c>
      <c r="F5421" t="s">
        <v>43</v>
      </c>
      <c r="G5421">
        <v>-347.29860000000002</v>
      </c>
      <c r="H5421" s="1">
        <v>-1.5170039999999999E-6</v>
      </c>
      <c r="I5421">
        <v>17.49776</v>
      </c>
      <c r="J5421">
        <v>-362.54689999999999</v>
      </c>
      <c r="K5421">
        <v>1.109891</v>
      </c>
      <c r="L5421">
        <v>17.144130000000001</v>
      </c>
      <c r="M5421">
        <v>0.99991730000000001</v>
      </c>
      <c r="N5421">
        <v>0</v>
      </c>
      <c r="O5421">
        <v>-1.062164E-2</v>
      </c>
      <c r="P5421">
        <v>0.98897610000000002</v>
      </c>
      <c r="Q5421">
        <v>0.14776</v>
      </c>
      <c r="R5421">
        <v>9.6745619999999994E-3</v>
      </c>
      <c r="S5421">
        <v>3.065369</v>
      </c>
      <c r="T5421">
        <v>-0.21994920000000001</v>
      </c>
      <c r="U5421">
        <v>6.9702150000000004E-2</v>
      </c>
      <c r="V5421">
        <v>-2.0256710000000001E-2</v>
      </c>
      <c r="W5421">
        <v>0.15493180000000001</v>
      </c>
      <c r="X5421">
        <v>0.98771739999999997</v>
      </c>
      <c r="Y5421">
        <v>-3.3237900000000001E-2</v>
      </c>
      <c r="Z5421">
        <v>1.951864E-3</v>
      </c>
      <c r="AA5421">
        <v>0.99944560000000005</v>
      </c>
      <c r="AB5421">
        <v>22</v>
      </c>
      <c r="AC5421">
        <v>15.248299999999899</v>
      </c>
      <c r="AD5421">
        <v>-1.1098925170039999</v>
      </c>
      <c r="AE5421">
        <v>0.353629999999998</v>
      </c>
      <c r="AF5421">
        <v>-0.51286054257049196</v>
      </c>
      <c r="AG5421">
        <v>-1.1098925170039999</v>
      </c>
      <c r="AH5421">
        <v>15.163389794992</v>
      </c>
      <c r="AI5421">
        <v>94.183946091723797</v>
      </c>
      <c r="AJ5421">
        <v>91.937135942836605</v>
      </c>
      <c r="AK5421">
        <v>15.2126025850377</v>
      </c>
      <c r="AL5421">
        <v>81.087158468045502</v>
      </c>
      <c r="AM5421">
        <v>91.174892039171496</v>
      </c>
      <c r="AN5421">
        <v>0.99999992960700901</v>
      </c>
    </row>
    <row r="5422" spans="1:40" x14ac:dyDescent="0.25">
      <c r="A5422" t="str">
        <f>"20190312172518503"</f>
        <v>20190312172518503</v>
      </c>
      <c r="B5422" t="str">
        <f>"1552382718495913"</f>
        <v>1552382718495913</v>
      </c>
      <c r="C5422" t="s">
        <v>40</v>
      </c>
      <c r="D5422">
        <v>4.0588790000000001</v>
      </c>
      <c r="E5422">
        <v>0.50028499999999998</v>
      </c>
      <c r="F5422" t="s">
        <v>43</v>
      </c>
      <c r="G5422">
        <v>-346.71289999999999</v>
      </c>
      <c r="H5422" s="1">
        <v>-1.77294E-6</v>
      </c>
      <c r="I5422">
        <v>17.471350000000001</v>
      </c>
      <c r="J5422">
        <v>-362.33010000000002</v>
      </c>
      <c r="K5422">
        <v>1.1098779999999999</v>
      </c>
      <c r="L5422">
        <v>17.142299999999999</v>
      </c>
      <c r="M5422">
        <v>0.99992139999999996</v>
      </c>
      <c r="N5422">
        <v>0</v>
      </c>
      <c r="O5422">
        <v>-1.0237670000000001E-2</v>
      </c>
      <c r="P5422">
        <v>0.98889130000000003</v>
      </c>
      <c r="Q5422">
        <v>0.1483197</v>
      </c>
      <c r="R5422">
        <v>9.7676310000000006E-3</v>
      </c>
      <c r="S5422">
        <v>3.0649109999999999</v>
      </c>
      <c r="T5422">
        <v>-0.214836</v>
      </c>
      <c r="U5422">
        <v>6.3354489999999999E-2</v>
      </c>
      <c r="V5422">
        <v>-1.996537E-2</v>
      </c>
      <c r="W5422">
        <v>0.15546309999999999</v>
      </c>
      <c r="X5422">
        <v>0.98763990000000002</v>
      </c>
      <c r="Y5422">
        <v>-3.0800500000000001E-2</v>
      </c>
      <c r="Z5422">
        <v>1.7947340000000001E-3</v>
      </c>
      <c r="AA5422">
        <v>0.99952390000000002</v>
      </c>
      <c r="AB5422">
        <v>22</v>
      </c>
      <c r="AC5422">
        <v>15.6172</v>
      </c>
      <c r="AD5422">
        <v>-1.1098797729400001</v>
      </c>
      <c r="AE5422">
        <v>0.32905000000000201</v>
      </c>
      <c r="AF5422">
        <v>-0.48646481912675199</v>
      </c>
      <c r="AG5422">
        <v>-1.1098797729400001</v>
      </c>
      <c r="AH5422">
        <v>15.5345880868026</v>
      </c>
      <c r="AI5422">
        <v>94.084598660777402</v>
      </c>
      <c r="AJ5422">
        <v>91.793628220143603</v>
      </c>
      <c r="AK5422">
        <v>15.5817812896106</v>
      </c>
      <c r="AL5422">
        <v>81.056344321916797</v>
      </c>
      <c r="AM5422">
        <v>91.158089756139006</v>
      </c>
      <c r="AN5422">
        <v>0.99999998176642801</v>
      </c>
    </row>
    <row r="5423" spans="1:40" x14ac:dyDescent="0.25">
      <c r="A5423" t="str">
        <f>"20190312172518525"</f>
        <v>20190312172518525</v>
      </c>
      <c r="B5423" t="str">
        <f>"1552382718516412"</f>
        <v>1552382718516412</v>
      </c>
      <c r="C5423" t="s">
        <v>40</v>
      </c>
      <c r="D5423">
        <v>4.0523129999999998</v>
      </c>
      <c r="E5423">
        <v>0.50051869999999998</v>
      </c>
      <c r="F5423" t="s">
        <v>43</v>
      </c>
      <c r="G5423">
        <v>-346.28879999999998</v>
      </c>
      <c r="H5423" s="1">
        <v>-1.9564349999999999E-6</v>
      </c>
      <c r="I5423">
        <v>17.462629999999901</v>
      </c>
      <c r="J5423">
        <v>-362.10640000000001</v>
      </c>
      <c r="K5423">
        <v>1.109858</v>
      </c>
      <c r="L5423">
        <v>17.140439999999899</v>
      </c>
      <c r="M5423">
        <v>0.99992530000000002</v>
      </c>
      <c r="N5423">
        <v>0</v>
      </c>
      <c r="O5423">
        <v>-9.8674250000000008E-3</v>
      </c>
      <c r="P5423">
        <v>0.98886669999999999</v>
      </c>
      <c r="Q5423">
        <v>0.14847650000000001</v>
      </c>
      <c r="R5423">
        <v>9.8700609999999994E-3</v>
      </c>
      <c r="S5423">
        <v>3.0649410000000001</v>
      </c>
      <c r="T5423">
        <v>-0.21205940000000001</v>
      </c>
      <c r="U5423">
        <v>6.1218259999999997E-2</v>
      </c>
      <c r="V5423">
        <v>-1.9696979999999999E-2</v>
      </c>
      <c r="W5423">
        <v>0.15559600000000001</v>
      </c>
      <c r="X5423">
        <v>0.98762439999999996</v>
      </c>
      <c r="Y5423">
        <v>-2.973982E-2</v>
      </c>
      <c r="Z5423">
        <v>1.7093570000000001E-3</v>
      </c>
      <c r="AA5423">
        <v>0.99955620000000001</v>
      </c>
      <c r="AB5423">
        <v>22</v>
      </c>
      <c r="AC5423">
        <v>15.817600000000001</v>
      </c>
      <c r="AD5423">
        <v>-1.109859956435</v>
      </c>
      <c r="AE5423">
        <v>0.32218999999999898</v>
      </c>
      <c r="AF5423">
        <v>-0.47591525985800098</v>
      </c>
      <c r="AG5423">
        <v>-1.109859956435</v>
      </c>
      <c r="AH5423">
        <v>15.736208875921401</v>
      </c>
      <c r="AI5423">
        <v>94.032499020370906</v>
      </c>
      <c r="AJ5423">
        <v>91.732286788549203</v>
      </c>
      <c r="AK5423">
        <v>15.7824761759393</v>
      </c>
      <c r="AL5423">
        <v>81.048636263650494</v>
      </c>
      <c r="AM5423">
        <v>91.142543895774494</v>
      </c>
      <c r="AN5423">
        <v>1.0000000208562401</v>
      </c>
    </row>
    <row r="5424" spans="1:40" x14ac:dyDescent="0.25">
      <c r="A5424" t="str">
        <f>"20190312172518535"</f>
        <v>20190312172518535</v>
      </c>
      <c r="B5424" t="str">
        <f>"1552382718526169"</f>
        <v>1552382718526169</v>
      </c>
      <c r="C5424" t="s">
        <v>40</v>
      </c>
      <c r="D5424">
        <v>4.064686</v>
      </c>
      <c r="E5424">
        <v>0.50059670000000001</v>
      </c>
      <c r="F5424" t="s">
        <v>43</v>
      </c>
      <c r="G5424">
        <v>-346.04360000000003</v>
      </c>
      <c r="H5424" s="1">
        <v>-2.0634110000000001E-6</v>
      </c>
      <c r="I5424">
        <v>17.452400000000001</v>
      </c>
      <c r="J5424">
        <v>-361.99169999999998</v>
      </c>
      <c r="K5424">
        <v>1.1098570000000001</v>
      </c>
      <c r="L5424">
        <v>17.139500000000002</v>
      </c>
      <c r="M5424">
        <v>0.99992729999999996</v>
      </c>
      <c r="N5424">
        <v>0</v>
      </c>
      <c r="O5424">
        <v>-9.6858780000000002E-3</v>
      </c>
      <c r="P5424">
        <v>0.98888770000000004</v>
      </c>
      <c r="Q5424">
        <v>0.14833550000000001</v>
      </c>
      <c r="R5424">
        <v>9.9000059999999994E-3</v>
      </c>
      <c r="S5424">
        <v>3.0649410000000001</v>
      </c>
      <c r="T5424">
        <v>-0.21177270000000001</v>
      </c>
      <c r="U5424">
        <v>5.9539790000000002E-2</v>
      </c>
      <c r="V5424">
        <v>-1.9545340000000001E-2</v>
      </c>
      <c r="W5424">
        <v>0.15544379999999999</v>
      </c>
      <c r="X5424">
        <v>0.98765130000000001</v>
      </c>
      <c r="Y5424">
        <v>-2.9013569999999999E-2</v>
      </c>
      <c r="Z5424">
        <v>1.669474E-3</v>
      </c>
      <c r="AA5424">
        <v>0.99957759999999996</v>
      </c>
      <c r="AB5424">
        <v>22</v>
      </c>
      <c r="AC5424">
        <v>15.948099999999901</v>
      </c>
      <c r="AD5424">
        <v>-1.1098590634109999</v>
      </c>
      <c r="AE5424">
        <v>0.31289999999999901</v>
      </c>
      <c r="AF5424">
        <v>-0.465108982990728</v>
      </c>
      <c r="AG5424">
        <v>-1.1098590634109999</v>
      </c>
      <c r="AH5424">
        <v>15.867503725373499</v>
      </c>
      <c r="AI5424">
        <v>93.999348272983497</v>
      </c>
      <c r="AJ5424">
        <v>91.678975720239194</v>
      </c>
      <c r="AK5424">
        <v>15.913069722132001</v>
      </c>
      <c r="AL5424">
        <v>81.057463387971396</v>
      </c>
      <c r="AM5424">
        <v>91.133719292862096</v>
      </c>
      <c r="AN5424">
        <v>0.99999994283292104</v>
      </c>
    </row>
    <row r="5425" spans="1:40" x14ac:dyDescent="0.25">
      <c r="A5425" t="str">
        <f>"20190312172518548"</f>
        <v>20190312172518548</v>
      </c>
      <c r="B5425" t="str">
        <f>"1552382718535930"</f>
        <v>1552382718535930</v>
      </c>
      <c r="C5425" t="s">
        <v>40</v>
      </c>
      <c r="D5425">
        <v>4.0493790000000001</v>
      </c>
      <c r="E5425">
        <v>0.5007083</v>
      </c>
      <c r="F5425" t="s">
        <v>43</v>
      </c>
      <c r="G5425">
        <v>-345.90179999999998</v>
      </c>
      <c r="H5425" s="1">
        <v>-2.12523E-6</v>
      </c>
      <c r="I5425">
        <v>17.447009999999999</v>
      </c>
      <c r="J5425">
        <v>-361.87450000000001</v>
      </c>
      <c r="K5425">
        <v>1.1098490000000001</v>
      </c>
      <c r="L5425">
        <v>17.138579999999902</v>
      </c>
      <c r="M5425">
        <v>0.99992899999999996</v>
      </c>
      <c r="N5425">
        <v>0</v>
      </c>
      <c r="O5425">
        <v>-9.5046790000000003E-3</v>
      </c>
      <c r="P5425">
        <v>0.98888989999999999</v>
      </c>
      <c r="Q5425">
        <v>0.14832870000000001</v>
      </c>
      <c r="R5425">
        <v>9.7683720000000009E-3</v>
      </c>
      <c r="S5425">
        <v>3.06488</v>
      </c>
      <c r="T5425">
        <v>-0.2114104</v>
      </c>
      <c r="U5425">
        <v>5.859375E-2</v>
      </c>
      <c r="V5425">
        <v>-1.923269E-2</v>
      </c>
      <c r="W5425">
        <v>0.15542549999999999</v>
      </c>
      <c r="X5425">
        <v>0.98766039999999999</v>
      </c>
      <c r="Y5425">
        <v>-2.8526289999999999E-2</v>
      </c>
      <c r="Z5425">
        <v>1.637395E-3</v>
      </c>
      <c r="AA5425">
        <v>0.99959169999999997</v>
      </c>
      <c r="AB5425">
        <v>22</v>
      </c>
      <c r="AC5425">
        <v>15.9727</v>
      </c>
      <c r="AD5425">
        <v>-1.1098511252299901</v>
      </c>
      <c r="AE5425">
        <v>0.30843000000000398</v>
      </c>
      <c r="AF5425">
        <v>-0.45802482711536402</v>
      </c>
      <c r="AG5425">
        <v>-1.1098511252299901</v>
      </c>
      <c r="AH5425">
        <v>15.892346240308701</v>
      </c>
      <c r="AI5425">
        <v>93.993145186558493</v>
      </c>
      <c r="AJ5425">
        <v>91.650834104561795</v>
      </c>
      <c r="AK5425">
        <v>15.9376354985388</v>
      </c>
      <c r="AL5425">
        <v>81.058525533372006</v>
      </c>
      <c r="AM5425">
        <v>91.115578504285807</v>
      </c>
      <c r="AN5425">
        <v>1.0000000240715201</v>
      </c>
    </row>
    <row r="5426" spans="1:40" x14ac:dyDescent="0.25">
      <c r="A5426" t="str">
        <f>"20190312172518560"</f>
        <v>20190312172518560</v>
      </c>
      <c r="B5426" t="str">
        <f>"1552382718556425"</f>
        <v>1552382718556425</v>
      </c>
      <c r="C5426" t="s">
        <v>40</v>
      </c>
      <c r="D5426">
        <v>4.043971</v>
      </c>
      <c r="E5426">
        <v>0.5007952</v>
      </c>
      <c r="F5426" t="s">
        <v>43</v>
      </c>
      <c r="G5426">
        <v>-345.83269999999999</v>
      </c>
      <c r="H5426" s="1">
        <v>-2.1565290000000002E-6</v>
      </c>
      <c r="I5426">
        <v>17.437670000000001</v>
      </c>
      <c r="J5426">
        <v>-361.75130000000001</v>
      </c>
      <c r="K5426">
        <v>1.109839</v>
      </c>
      <c r="L5426">
        <v>17.137599999999999</v>
      </c>
      <c r="M5426">
        <v>0.99993100000000001</v>
      </c>
      <c r="N5426">
        <v>0</v>
      </c>
      <c r="O5426">
        <v>-9.3176309999999998E-3</v>
      </c>
      <c r="P5426">
        <v>0.98890270000000002</v>
      </c>
      <c r="Q5426">
        <v>0.14823699999999901</v>
      </c>
      <c r="R5426">
        <v>9.8812009999999992E-3</v>
      </c>
      <c r="S5426">
        <v>3.0649410000000001</v>
      </c>
      <c r="T5426">
        <v>-0.21204729999999999</v>
      </c>
      <c r="U5426">
        <v>5.7159420000000002E-2</v>
      </c>
      <c r="V5426">
        <v>-1.915907E-2</v>
      </c>
      <c r="W5426">
        <v>0.1553214</v>
      </c>
      <c r="X5426">
        <v>0.98767819999999995</v>
      </c>
      <c r="Y5426">
        <v>-2.787276E-2</v>
      </c>
      <c r="Z5426">
        <v>1.6067879999999901E-3</v>
      </c>
      <c r="AA5426">
        <v>0.9996102</v>
      </c>
      <c r="AB5426">
        <v>22</v>
      </c>
      <c r="AC5426">
        <v>15.9186</v>
      </c>
      <c r="AD5426">
        <v>-1.1098411565290001</v>
      </c>
      <c r="AE5426">
        <v>0.300070000000001</v>
      </c>
      <c r="AF5426">
        <v>-0.44621619163728798</v>
      </c>
      <c r="AG5426">
        <v>-1.1098411565290001</v>
      </c>
      <c r="AH5426">
        <v>15.8381534367446</v>
      </c>
      <c r="AI5426">
        <v>94.006801651513598</v>
      </c>
      <c r="AJ5426">
        <v>91.613795665566201</v>
      </c>
      <c r="AK5426">
        <v>15.8832603884803</v>
      </c>
      <c r="AL5426">
        <v>81.064563284647804</v>
      </c>
      <c r="AM5426">
        <v>91.111289278458301</v>
      </c>
      <c r="AN5426">
        <v>1.0000000170082299</v>
      </c>
    </row>
    <row r="5427" spans="1:40" x14ac:dyDescent="0.25">
      <c r="A5427" t="str">
        <f>"20190312172518573"</f>
        <v>20190312172518573</v>
      </c>
      <c r="B5427" t="str">
        <f>"1552382718566185"</f>
        <v>1552382718566185</v>
      </c>
      <c r="C5427" t="s">
        <v>40</v>
      </c>
      <c r="D5427">
        <v>4.0599800000000004</v>
      </c>
      <c r="E5427">
        <v>0.50085179999999996</v>
      </c>
      <c r="F5427" t="s">
        <v>43</v>
      </c>
      <c r="G5427">
        <v>-345.75830000000002</v>
      </c>
      <c r="H5427" s="1">
        <v>-2.1892339999999998E-6</v>
      </c>
      <c r="I5427">
        <v>17.433229999999998</v>
      </c>
      <c r="J5427">
        <v>-361.63189999999997</v>
      </c>
      <c r="K5427">
        <v>1.109836</v>
      </c>
      <c r="L5427">
        <v>17.136659999999999</v>
      </c>
      <c r="M5427">
        <v>0.99993259999999995</v>
      </c>
      <c r="N5427">
        <v>0</v>
      </c>
      <c r="O5427">
        <v>-9.1420080000000001E-3</v>
      </c>
      <c r="P5427">
        <v>0.98896240000000002</v>
      </c>
      <c r="Q5427">
        <v>0.1478401</v>
      </c>
      <c r="R5427">
        <v>9.8447180000000006E-3</v>
      </c>
      <c r="S5427">
        <v>3.0649410000000001</v>
      </c>
      <c r="T5427">
        <v>-0.21269289999999999</v>
      </c>
      <c r="U5427">
        <v>5.6671140000000002E-2</v>
      </c>
      <c r="V5427">
        <v>-1.8948840000000002E-2</v>
      </c>
      <c r="W5427">
        <v>0.15491150000000001</v>
      </c>
      <c r="X5427">
        <v>0.98774660000000003</v>
      </c>
      <c r="Y5427">
        <v>-2.7538679999999999E-2</v>
      </c>
      <c r="Z5427">
        <v>1.587921E-3</v>
      </c>
      <c r="AA5427">
        <v>0.99961949999999999</v>
      </c>
      <c r="AB5427">
        <v>22</v>
      </c>
      <c r="AC5427">
        <v>15.8735999999999</v>
      </c>
      <c r="AD5427">
        <v>-1.1098381892339999</v>
      </c>
      <c r="AE5427">
        <v>0.296569999999999</v>
      </c>
      <c r="AF5427">
        <v>-0.43953004321636202</v>
      </c>
      <c r="AG5427">
        <v>-1.1098381892339999</v>
      </c>
      <c r="AH5427">
        <v>15.793049199132</v>
      </c>
      <c r="AI5427">
        <v>94.018235183198698</v>
      </c>
      <c r="AJ5427">
        <v>91.594164453336504</v>
      </c>
      <c r="AK5427">
        <v>15.8380974384986</v>
      </c>
      <c r="AL5427">
        <v>81.088336316424304</v>
      </c>
      <c r="AM5427">
        <v>91.099022160331899</v>
      </c>
      <c r="AN5427">
        <v>0.99999998859057704</v>
      </c>
    </row>
    <row r="5428" spans="1:40" x14ac:dyDescent="0.25">
      <c r="A5428" t="str">
        <f>"20190312172518591"</f>
        <v>20190312172518591</v>
      </c>
      <c r="B5428" t="str">
        <f>"1552382718585705"</f>
        <v>1552382718585705</v>
      </c>
      <c r="C5428" t="s">
        <v>40</v>
      </c>
      <c r="D5428">
        <v>4.0613199999999896</v>
      </c>
      <c r="E5428">
        <v>0.50098940000000003</v>
      </c>
      <c r="F5428" t="s">
        <v>43</v>
      </c>
      <c r="G5428">
        <v>-345.76819999999998</v>
      </c>
      <c r="H5428" s="1">
        <v>-2.1858969999999998E-6</v>
      </c>
      <c r="I5428">
        <v>17.428000000000001</v>
      </c>
      <c r="J5428">
        <v>-361.44299999999998</v>
      </c>
      <c r="K5428">
        <v>1.109828</v>
      </c>
      <c r="L5428">
        <v>17.13522</v>
      </c>
      <c r="M5428">
        <v>0.99993520000000002</v>
      </c>
      <c r="N5428">
        <v>0</v>
      </c>
      <c r="O5428">
        <v>-8.8681279999999994E-3</v>
      </c>
      <c r="P5428">
        <v>0.98901340000000004</v>
      </c>
      <c r="Q5428">
        <v>0.1474906</v>
      </c>
      <c r="R5428">
        <v>9.9586009999999992E-3</v>
      </c>
      <c r="S5428">
        <v>3.064972</v>
      </c>
      <c r="T5428">
        <v>-0.21442829999999999</v>
      </c>
      <c r="U5428">
        <v>5.6304930000000003E-2</v>
      </c>
      <c r="V5428">
        <v>-1.879169E-2</v>
      </c>
      <c r="W5428">
        <v>0.15454129999999899</v>
      </c>
      <c r="X5428">
        <v>0.98780760000000001</v>
      </c>
      <c r="Y5428">
        <v>-2.7145499999999999E-2</v>
      </c>
      <c r="Z5428">
        <v>1.5679589999999901E-3</v>
      </c>
      <c r="AA5428">
        <v>0.99963029999999997</v>
      </c>
      <c r="AB5428">
        <v>22</v>
      </c>
      <c r="AC5428">
        <v>15.674799999999999</v>
      </c>
      <c r="AD5428">
        <v>-1.1098301858969899</v>
      </c>
      <c r="AE5428">
        <v>0.29277999999999998</v>
      </c>
      <c r="AF5428">
        <v>-0.42962514481188502</v>
      </c>
      <c r="AG5428">
        <v>-1.1098301858969899</v>
      </c>
      <c r="AH5428">
        <v>15.593442412217501</v>
      </c>
      <c r="AI5428">
        <v>94.069501687202603</v>
      </c>
      <c r="AJ5428">
        <v>91.578194295549494</v>
      </c>
      <c r="AK5428">
        <v>15.6387898211379</v>
      </c>
      <c r="AL5428">
        <v>81.109805845944607</v>
      </c>
      <c r="AM5428">
        <v>91.089842466850797</v>
      </c>
      <c r="AN5428">
        <v>0.99999999781825299</v>
      </c>
    </row>
    <row r="5429" spans="1:40" x14ac:dyDescent="0.25">
      <c r="A5429" t="str">
        <f>"20190312172518603"</f>
        <v>20190312172518603</v>
      </c>
      <c r="B5429" t="str">
        <f>"1552382718596441"</f>
        <v>1552382718596441</v>
      </c>
      <c r="C5429" t="s">
        <v>40</v>
      </c>
      <c r="D5429">
        <v>4.0782449999999999</v>
      </c>
      <c r="E5429">
        <v>0.50103129999999996</v>
      </c>
      <c r="F5429" t="s">
        <v>43</v>
      </c>
      <c r="G5429">
        <v>-345.68880000000001</v>
      </c>
      <c r="H5429" s="1">
        <v>-2.2211830000000002E-6</v>
      </c>
      <c r="I5429">
        <v>17.42126</v>
      </c>
      <c r="J5429">
        <v>-361.3245</v>
      </c>
      <c r="K5429">
        <v>1.1098220000000001</v>
      </c>
      <c r="L5429">
        <v>17.134399999999999</v>
      </c>
      <c r="M5429">
        <v>0.99993690000000002</v>
      </c>
      <c r="N5429">
        <v>0</v>
      </c>
      <c r="O5429">
        <v>-8.6983319999999996E-3</v>
      </c>
      <c r="P5429">
        <v>0.98901470000000002</v>
      </c>
      <c r="Q5429">
        <v>0.1474733</v>
      </c>
      <c r="R5429">
        <v>1.0085739999999999E-2</v>
      </c>
      <c r="S5429">
        <v>3.0649109999999999</v>
      </c>
      <c r="T5429">
        <v>-0.21591160000000001</v>
      </c>
      <c r="U5429">
        <v>5.5664060000000001E-2</v>
      </c>
      <c r="V5429">
        <v>-1.8750800000000001E-2</v>
      </c>
      <c r="W5429">
        <v>0.1545116</v>
      </c>
      <c r="X5429">
        <v>0.9878131</v>
      </c>
      <c r="Y5429">
        <v>-2.6767289999999999E-2</v>
      </c>
      <c r="Z5429">
        <v>1.55356299999999E-3</v>
      </c>
      <c r="AA5429">
        <v>0.99964050000000004</v>
      </c>
      <c r="AB5429">
        <v>22</v>
      </c>
      <c r="AC5429">
        <v>15.6356999999999</v>
      </c>
      <c r="AD5429">
        <v>-1.1098242211829901</v>
      </c>
      <c r="AE5429">
        <v>0.28686</v>
      </c>
      <c r="AF5429">
        <v>-0.42073805239331702</v>
      </c>
      <c r="AG5429">
        <v>-1.1098242211829901</v>
      </c>
      <c r="AH5429">
        <v>15.554274309958799</v>
      </c>
      <c r="AI5429">
        <v>94.079748599228907</v>
      </c>
      <c r="AJ5429">
        <v>91.549454338070404</v>
      </c>
      <c r="AK5429">
        <v>15.599492928300601</v>
      </c>
      <c r="AL5429">
        <v>81.111528899301106</v>
      </c>
      <c r="AM5429">
        <v>91.087465527928202</v>
      </c>
      <c r="AN5429">
        <v>1.0000000737834001</v>
      </c>
    </row>
    <row r="5430" spans="1:40" x14ac:dyDescent="0.25">
      <c r="A5430" t="str">
        <f>"20190312172518614"</f>
        <v>20190312172518614</v>
      </c>
      <c r="B5430" t="str">
        <f>"1552382718606202"</f>
        <v>1552382718606202</v>
      </c>
      <c r="C5430" t="s">
        <v>40</v>
      </c>
      <c r="D5430">
        <v>4.1014809999999997</v>
      </c>
      <c r="E5430">
        <v>0.50100319999999998</v>
      </c>
      <c r="F5430" t="s">
        <v>43</v>
      </c>
      <c r="G5430">
        <v>-345.58879999999999</v>
      </c>
      <c r="H5430" s="1">
        <v>-2.264013E-6</v>
      </c>
      <c r="I5430">
        <v>17.421500000000002</v>
      </c>
      <c r="J5430">
        <v>-361.20359999999999</v>
      </c>
      <c r="K5430">
        <v>1.1098209999999999</v>
      </c>
      <c r="L5430">
        <v>17.133510000000001</v>
      </c>
      <c r="M5430">
        <v>0.99993840000000001</v>
      </c>
      <c r="N5430">
        <v>0</v>
      </c>
      <c r="O5430">
        <v>-8.5265040000000007E-3</v>
      </c>
      <c r="P5430">
        <v>0.9890717</v>
      </c>
      <c r="Q5430">
        <v>0.14707200000000001</v>
      </c>
      <c r="R5430">
        <v>1.037075E-2</v>
      </c>
      <c r="S5430">
        <v>3.064972</v>
      </c>
      <c r="T5430">
        <v>-0.216169</v>
      </c>
      <c r="U5430">
        <v>5.5938719999999997E-2</v>
      </c>
      <c r="V5430">
        <v>-1.8867430000000001E-2</v>
      </c>
      <c r="W5430">
        <v>0.1540994</v>
      </c>
      <c r="X5430">
        <v>0.98787519999999995</v>
      </c>
      <c r="Y5430">
        <v>-2.6685130000000001E-2</v>
      </c>
      <c r="Z5430">
        <v>1.540381E-3</v>
      </c>
      <c r="AA5430">
        <v>0.9996427</v>
      </c>
      <c r="AB5430">
        <v>23</v>
      </c>
      <c r="AC5430">
        <v>15.614800000000001</v>
      </c>
      <c r="AD5430">
        <v>-1.1098232640129999</v>
      </c>
      <c r="AE5430">
        <v>0.28799000000000002</v>
      </c>
      <c r="AF5430">
        <v>-0.41900658451647899</v>
      </c>
      <c r="AG5430">
        <v>-1.1098232640129999</v>
      </c>
      <c r="AH5430">
        <v>15.5333341797255</v>
      </c>
      <c r="AI5430">
        <v>94.085234537080893</v>
      </c>
      <c r="AJ5430">
        <v>91.545160125199601</v>
      </c>
      <c r="AK5430">
        <v>15.5785668446825</v>
      </c>
      <c r="AL5430">
        <v>81.135431918255094</v>
      </c>
      <c r="AM5430">
        <v>91.094159156568296</v>
      </c>
      <c r="AN5430">
        <v>1.0000000078850999</v>
      </c>
    </row>
    <row r="5431" spans="1:40" x14ac:dyDescent="0.25">
      <c r="A5431" t="str">
        <f>"20190312172518625"</f>
        <v>20190312172518625</v>
      </c>
      <c r="B5431" t="str">
        <f>"1552382718615961"</f>
        <v>1552382718615961</v>
      </c>
      <c r="C5431" t="s">
        <v>40</v>
      </c>
      <c r="D5431">
        <v>4.1193339999999896</v>
      </c>
      <c r="E5431">
        <v>0.50099309999999997</v>
      </c>
      <c r="F5431" t="s">
        <v>43</v>
      </c>
      <c r="G5431">
        <v>-345.56799999999998</v>
      </c>
      <c r="H5431" s="1">
        <v>-2.2724189999999999E-6</v>
      </c>
      <c r="I5431">
        <v>17.424399999999999</v>
      </c>
      <c r="J5431">
        <v>-361.09399999999999</v>
      </c>
      <c r="K5431">
        <v>1.1098190000000001</v>
      </c>
      <c r="L5431">
        <v>17.132750000000001</v>
      </c>
      <c r="M5431">
        <v>0.99993969999999999</v>
      </c>
      <c r="N5431">
        <v>0</v>
      </c>
      <c r="O5431">
        <v>-8.3708930000000008E-3</v>
      </c>
      <c r="P5431">
        <v>0.98910989999999999</v>
      </c>
      <c r="Q5431">
        <v>0.14680199999999999</v>
      </c>
      <c r="R5431">
        <v>1.053217E-2</v>
      </c>
      <c r="S5431">
        <v>3.0649410000000001</v>
      </c>
      <c r="T5431">
        <v>-0.2175512</v>
      </c>
      <c r="U5431">
        <v>5.7037350000000001E-2</v>
      </c>
      <c r="V5431">
        <v>-1.8875329999999999E-2</v>
      </c>
      <c r="W5431">
        <v>0.15381989999999901</v>
      </c>
      <c r="X5431">
        <v>0.98791859999999998</v>
      </c>
      <c r="Y5431">
        <v>-2.6886710000000001E-2</v>
      </c>
      <c r="Z5431">
        <v>1.5463300000000001E-3</v>
      </c>
      <c r="AA5431">
        <v>0.99963729999999995</v>
      </c>
      <c r="AB5431">
        <v>23</v>
      </c>
      <c r="AC5431">
        <v>15.5259999999999</v>
      </c>
      <c r="AD5431">
        <v>-1.109821272419</v>
      </c>
      <c r="AE5431">
        <v>0.29164999999999702</v>
      </c>
      <c r="AF5431">
        <v>-0.41946699651309599</v>
      </c>
      <c r="AG5431">
        <v>-1.109821272419</v>
      </c>
      <c r="AH5431">
        <v>15.444129072208</v>
      </c>
      <c r="AI5431">
        <v>94.108722316502593</v>
      </c>
      <c r="AJ5431">
        <v>91.555787400724896</v>
      </c>
      <c r="AK5431">
        <v>15.489634554013801</v>
      </c>
      <c r="AL5431">
        <v>81.151639256717601</v>
      </c>
      <c r="AM5431">
        <v>91.094569105921096</v>
      </c>
      <c r="AN5431">
        <v>0.99999999997228906</v>
      </c>
    </row>
    <row r="5432" spans="1:40" x14ac:dyDescent="0.25">
      <c r="A5432" t="str">
        <f>"20190312172518636"</f>
        <v>20190312172518636</v>
      </c>
      <c r="B5432" t="str">
        <f>"1552382718625721"</f>
        <v>1552382718625721</v>
      </c>
      <c r="C5432" t="s">
        <v>40</v>
      </c>
      <c r="D5432">
        <v>4.0802290000000001</v>
      </c>
      <c r="E5432">
        <v>0.50108209999999997</v>
      </c>
      <c r="F5432" t="s">
        <v>43</v>
      </c>
      <c r="G5432">
        <v>-345.55669999999998</v>
      </c>
      <c r="H5432" s="1">
        <v>-2.27717E-6</v>
      </c>
      <c r="I5432">
        <v>17.425059999999998</v>
      </c>
      <c r="J5432">
        <v>-360.98050000000001</v>
      </c>
      <c r="K5432">
        <v>1.1098190000000001</v>
      </c>
      <c r="L5432">
        <v>17.131989999999998</v>
      </c>
      <c r="M5432">
        <v>0.99994110000000003</v>
      </c>
      <c r="N5432">
        <v>0</v>
      </c>
      <c r="O5432">
        <v>-8.2096759999999904E-3</v>
      </c>
      <c r="P5432">
        <v>0.98914369999999996</v>
      </c>
      <c r="Q5432">
        <v>0.14655779999999999</v>
      </c>
      <c r="R5432">
        <v>1.0754619999999999E-2</v>
      </c>
      <c r="S5432">
        <v>3.0649410000000001</v>
      </c>
      <c r="T5432">
        <v>-0.21892629999999999</v>
      </c>
      <c r="U5432">
        <v>5.7678220000000002E-2</v>
      </c>
      <c r="V5432">
        <v>-1.89392E-2</v>
      </c>
      <c r="W5432">
        <v>0.15356700000000001</v>
      </c>
      <c r="X5432">
        <v>0.98795670000000002</v>
      </c>
      <c r="Y5432">
        <v>-2.6933660000000002E-2</v>
      </c>
      <c r="Z5432">
        <v>1.5462500000000001E-3</v>
      </c>
      <c r="AA5432">
        <v>0.99963610000000003</v>
      </c>
      <c r="AB5432">
        <v>23</v>
      </c>
      <c r="AC5432">
        <v>15.4238</v>
      </c>
      <c r="AD5432">
        <v>-1.10982127717</v>
      </c>
      <c r="AE5432">
        <v>0.29307000000000299</v>
      </c>
      <c r="AF5432">
        <v>-0.41752673419355502</v>
      </c>
      <c r="AG5432">
        <v>-1.10982127717</v>
      </c>
      <c r="AH5432">
        <v>15.3414717317377</v>
      </c>
      <c r="AI5432">
        <v>94.136114526895497</v>
      </c>
      <c r="AJ5432">
        <v>91.558951864660202</v>
      </c>
      <c r="AK5432">
        <v>15.387228039407701</v>
      </c>
      <c r="AL5432">
        <v>81.166303405201703</v>
      </c>
      <c r="AM5432">
        <v>91.098229639517299</v>
      </c>
      <c r="AN5432">
        <v>0.99999997893026404</v>
      </c>
    </row>
    <row r="5433" spans="1:40" x14ac:dyDescent="0.25">
      <c r="A5433" t="str">
        <f>"20190312172518658"</f>
        <v>20190312172518658</v>
      </c>
      <c r="B5433" t="str">
        <f>"1552382718646217"</f>
        <v>1552382718646217</v>
      </c>
      <c r="C5433" t="s">
        <v>40</v>
      </c>
      <c r="D5433">
        <v>4.0985180000000003</v>
      </c>
      <c r="E5433">
        <v>0.50126040000000005</v>
      </c>
      <c r="F5433" t="s">
        <v>43</v>
      </c>
      <c r="G5433">
        <v>-345.51490000000001</v>
      </c>
      <c r="H5433" s="1">
        <v>-2.2956000000000001E-6</v>
      </c>
      <c r="I5433">
        <v>17.422179999999901</v>
      </c>
      <c r="J5433">
        <v>-360.76179999999999</v>
      </c>
      <c r="K5433">
        <v>1.109818</v>
      </c>
      <c r="L5433">
        <v>17.130549999999999</v>
      </c>
      <c r="M5433">
        <v>0.9999439</v>
      </c>
      <c r="N5433">
        <v>0</v>
      </c>
      <c r="O5433">
        <v>-7.8972629999999999E-3</v>
      </c>
      <c r="P5433">
        <v>0.98915920000000002</v>
      </c>
      <c r="Q5433">
        <v>0.14640359999999999</v>
      </c>
      <c r="R5433">
        <v>1.1408410000000001E-2</v>
      </c>
      <c r="S5433">
        <v>3.06488</v>
      </c>
      <c r="T5433">
        <v>-0.2199372</v>
      </c>
      <c r="U5433">
        <v>5.7525630000000001E-2</v>
      </c>
      <c r="V5433">
        <v>-1.9285500000000001E-2</v>
      </c>
      <c r="W5433">
        <v>0.15339639999999999</v>
      </c>
      <c r="X5433">
        <v>0.98797659999999998</v>
      </c>
      <c r="Y5433">
        <v>-2.657286E-2</v>
      </c>
      <c r="Z5433">
        <v>1.5180860000000001E-3</v>
      </c>
      <c r="AA5433">
        <v>0.99964569999999997</v>
      </c>
      <c r="AB5433">
        <v>23</v>
      </c>
      <c r="AC5433">
        <v>15.246899999999901</v>
      </c>
      <c r="AD5433">
        <v>-1.1098202956000001</v>
      </c>
      <c r="AE5433">
        <v>0.291629999999997</v>
      </c>
      <c r="AF5433">
        <v>-0.40986187934062002</v>
      </c>
      <c r="AG5433">
        <v>-1.1098202956000001</v>
      </c>
      <c r="AH5433">
        <v>15.163807315210899</v>
      </c>
      <c r="AI5433">
        <v>94.184420938873501</v>
      </c>
      <c r="AJ5433">
        <v>91.548268135118903</v>
      </c>
      <c r="AK5433">
        <v>15.209889550601799</v>
      </c>
      <c r="AL5433">
        <v>81.176196115678394</v>
      </c>
      <c r="AM5433">
        <v>91.118283005529904</v>
      </c>
      <c r="AN5433">
        <v>1.0000000740953801</v>
      </c>
    </row>
    <row r="5434" spans="1:40" x14ac:dyDescent="0.25">
      <c r="A5434" t="str">
        <f>"20190312172518681"</f>
        <v>20190312172518681</v>
      </c>
      <c r="B5434" t="str">
        <f>"1552382718675497"</f>
        <v>1552382718675497</v>
      </c>
      <c r="C5434" t="s">
        <v>40</v>
      </c>
      <c r="D5434">
        <v>4.1346809999999996</v>
      </c>
      <c r="E5434">
        <v>0.50134650000000003</v>
      </c>
      <c r="F5434" t="s">
        <v>43</v>
      </c>
      <c r="G5434">
        <v>-345.38209999999998</v>
      </c>
      <c r="H5434" s="1">
        <v>-2.3526219999999999E-6</v>
      </c>
      <c r="I5434">
        <v>17.421889999999902</v>
      </c>
      <c r="J5434">
        <v>-360.53210000000001</v>
      </c>
      <c r="K5434">
        <v>1.1098140000000001</v>
      </c>
      <c r="L5434">
        <v>17.12912</v>
      </c>
      <c r="M5434">
        <v>0.99994649999999996</v>
      </c>
      <c r="N5434">
        <v>0</v>
      </c>
      <c r="O5434">
        <v>-7.5654210000000001E-3</v>
      </c>
      <c r="P5434">
        <v>0.98907599999999996</v>
      </c>
      <c r="Q5434">
        <v>0.14691870000000001</v>
      </c>
      <c r="R5434">
        <v>1.199222E-2</v>
      </c>
      <c r="S5434">
        <v>3.0649410000000001</v>
      </c>
      <c r="T5434">
        <v>-0.2211697</v>
      </c>
      <c r="U5434">
        <v>5.807495E-2</v>
      </c>
      <c r="V5434">
        <v>-1.95426E-2</v>
      </c>
      <c r="W5434">
        <v>0.1538958</v>
      </c>
      <c r="X5434">
        <v>0.98789380000000004</v>
      </c>
      <c r="Y5434">
        <v>-2.642011E-2</v>
      </c>
      <c r="Z5434">
        <v>1.497122E-3</v>
      </c>
      <c r="AA5434">
        <v>0.99964980000000003</v>
      </c>
      <c r="AB5434">
        <v>23</v>
      </c>
      <c r="AC5434">
        <v>15.15</v>
      </c>
      <c r="AD5434">
        <v>-1.109816352622</v>
      </c>
      <c r="AE5434">
        <v>0.29276999999999698</v>
      </c>
      <c r="AF5434">
        <v>-0.405206940622097</v>
      </c>
      <c r="AG5434">
        <v>-1.109816352622</v>
      </c>
      <c r="AH5434">
        <v>15.0665297161997</v>
      </c>
      <c r="AI5434">
        <v>94.211341205918302</v>
      </c>
      <c r="AJ5434">
        <v>91.540570572316</v>
      </c>
      <c r="AK5434">
        <v>15.112782757996801</v>
      </c>
      <c r="AL5434">
        <v>81.147238060560696</v>
      </c>
      <c r="AM5434">
        <v>91.133282217323199</v>
      </c>
      <c r="AN5434">
        <v>0.99999999527542005</v>
      </c>
    </row>
    <row r="5435" spans="1:40" x14ac:dyDescent="0.25">
      <c r="A5435" t="str">
        <f>"20190312172518703"</f>
        <v>20190312172518703</v>
      </c>
      <c r="B5435" t="str">
        <f>"1552382718695996"</f>
        <v>1552382718695996</v>
      </c>
      <c r="C5435" t="s">
        <v>40</v>
      </c>
      <c r="D5435">
        <v>4.0976509999999999</v>
      </c>
      <c r="E5435">
        <v>0.50144670000000002</v>
      </c>
      <c r="F5435" t="s">
        <v>43</v>
      </c>
      <c r="G5435">
        <v>-345.09179999999998</v>
      </c>
      <c r="H5435" s="1">
        <v>-2.4758979999999998E-6</v>
      </c>
      <c r="I5435">
        <v>17.42896</v>
      </c>
      <c r="J5435">
        <v>-360.30340000000001</v>
      </c>
      <c r="K5435">
        <v>1.1098209999999999</v>
      </c>
      <c r="L5435">
        <v>17.127779999999898</v>
      </c>
      <c r="M5435">
        <v>0.99994899999999998</v>
      </c>
      <c r="N5435">
        <v>0</v>
      </c>
      <c r="O5435">
        <v>-7.2308490000000001E-3</v>
      </c>
      <c r="P5435">
        <v>0.98904570000000003</v>
      </c>
      <c r="Q5435">
        <v>0.14707890000000001</v>
      </c>
      <c r="R5435">
        <v>1.251331E-2</v>
      </c>
      <c r="S5435">
        <v>3.0651250000000001</v>
      </c>
      <c r="T5435">
        <v>-0.22031400000000001</v>
      </c>
      <c r="U5435">
        <v>5.9539790000000002E-2</v>
      </c>
      <c r="V5435">
        <v>-1.9733870000000001E-2</v>
      </c>
      <c r="W5435">
        <v>0.15404229999999899</v>
      </c>
      <c r="X5435">
        <v>0.98786719999999895</v>
      </c>
      <c r="Y5435">
        <v>-2.6563260000000002E-2</v>
      </c>
      <c r="Z5435">
        <v>1.47237E-3</v>
      </c>
      <c r="AA5435">
        <v>0.99964609999999998</v>
      </c>
      <c r="AB5435">
        <v>23</v>
      </c>
      <c r="AC5435">
        <v>15.211600000000001</v>
      </c>
      <c r="AD5435">
        <v>-1.1098234758979999</v>
      </c>
      <c r="AE5435">
        <v>0.301180000000002</v>
      </c>
      <c r="AF5435">
        <v>-0.40899142657674697</v>
      </c>
      <c r="AG5435">
        <v>-1.1098234758979999</v>
      </c>
      <c r="AH5435">
        <v>15.1285265843063</v>
      </c>
      <c r="AI5435">
        <v>94.194155860081693</v>
      </c>
      <c r="AJ5435">
        <v>91.548582811019202</v>
      </c>
      <c r="AK5435">
        <v>15.174692706830299</v>
      </c>
      <c r="AL5435">
        <v>81.138743243167497</v>
      </c>
      <c r="AM5435">
        <v>91.1444019022139</v>
      </c>
      <c r="AN5435">
        <v>1.0000000303251499</v>
      </c>
    </row>
    <row r="5436" spans="1:40" x14ac:dyDescent="0.25">
      <c r="A5436" t="str">
        <f>"20190312172518715"</f>
        <v>20190312172518715</v>
      </c>
      <c r="B5436" t="str">
        <f>"1552382718705753"</f>
        <v>1552382718705753</v>
      </c>
      <c r="C5436" t="s">
        <v>40</v>
      </c>
      <c r="D5436">
        <v>4.0942080000000001</v>
      </c>
      <c r="E5436">
        <v>0.50153840000000005</v>
      </c>
      <c r="F5436" t="s">
        <v>43</v>
      </c>
      <c r="G5436">
        <v>-344.88139999999999</v>
      </c>
      <c r="H5436" s="1">
        <v>-2.5656099999999999E-6</v>
      </c>
      <c r="I5436">
        <v>17.432009999999998</v>
      </c>
      <c r="J5436">
        <v>-360.17610000000002</v>
      </c>
      <c r="K5436">
        <v>1.109823</v>
      </c>
      <c r="L5436">
        <v>17.127040000000001</v>
      </c>
      <c r="M5436">
        <v>0.99995049999999996</v>
      </c>
      <c r="N5436">
        <v>0</v>
      </c>
      <c r="O5436">
        <v>-7.0428230000000001E-3</v>
      </c>
      <c r="P5436">
        <v>0.98903019999999997</v>
      </c>
      <c r="Q5436">
        <v>0.147162299999999</v>
      </c>
      <c r="R5436">
        <v>1.275797E-2</v>
      </c>
      <c r="S5436">
        <v>3.065277</v>
      </c>
      <c r="T5436">
        <v>-0.2205886</v>
      </c>
      <c r="U5436">
        <v>6.0485839999999999E-2</v>
      </c>
      <c r="V5436">
        <v>-1.9793450000000001E-2</v>
      </c>
      <c r="W5436">
        <v>0.15412010000000001</v>
      </c>
      <c r="X5436">
        <v>0.9878538</v>
      </c>
      <c r="Y5436">
        <v>-2.66827E-2</v>
      </c>
      <c r="Z5436">
        <v>1.464901E-3</v>
      </c>
      <c r="AA5436">
        <v>0.9996429</v>
      </c>
      <c r="AB5436">
        <v>23</v>
      </c>
      <c r="AC5436">
        <v>15.294700000000001</v>
      </c>
      <c r="AD5436">
        <v>-1.10982556561</v>
      </c>
      <c r="AE5436">
        <v>0.30497000000000002</v>
      </c>
      <c r="AF5436">
        <v>-0.41052227574067601</v>
      </c>
      <c r="AG5436">
        <v>-1.10982556561</v>
      </c>
      <c r="AH5436">
        <v>15.212107466282699</v>
      </c>
      <c r="AI5436">
        <v>94.171206394285306</v>
      </c>
      <c r="AJ5436">
        <v>91.545840139870705</v>
      </c>
      <c r="AK5436">
        <v>15.258061963784799</v>
      </c>
      <c r="AL5436">
        <v>81.134231110222004</v>
      </c>
      <c r="AM5436">
        <v>91.147871694619397</v>
      </c>
      <c r="AN5436">
        <v>0.99999995803067498</v>
      </c>
    </row>
    <row r="5437" spans="1:40" x14ac:dyDescent="0.25">
      <c r="A5437" t="str">
        <f>"20190312172518727"</f>
        <v>20190312172518727</v>
      </c>
      <c r="B5437" t="str">
        <f>"1552382718715513"</f>
        <v>1552382718715513</v>
      </c>
      <c r="C5437" t="s">
        <v>40</v>
      </c>
      <c r="D5437">
        <v>4.0793929999999996</v>
      </c>
      <c r="E5437">
        <v>0.50159039999999999</v>
      </c>
      <c r="F5437" t="s">
        <v>43</v>
      </c>
      <c r="G5437">
        <v>-344.75360000000001</v>
      </c>
      <c r="H5437" s="1">
        <v>-2.6206660000000001E-6</v>
      </c>
      <c r="I5437">
        <v>17.430669999999999</v>
      </c>
      <c r="J5437">
        <v>-360.06130000000002</v>
      </c>
      <c r="K5437">
        <v>1.1098220000000001</v>
      </c>
      <c r="L5437">
        <v>17.1264</v>
      </c>
      <c r="M5437">
        <v>0.99995160000000005</v>
      </c>
      <c r="N5437">
        <v>0</v>
      </c>
      <c r="O5437">
        <v>-6.8730409999999999E-3</v>
      </c>
      <c r="P5437">
        <v>0.98900220000000005</v>
      </c>
      <c r="Q5437">
        <v>0.14732400000000001</v>
      </c>
      <c r="R5437">
        <v>1.304687E-2</v>
      </c>
      <c r="S5437">
        <v>3.0653079999999999</v>
      </c>
      <c r="T5437">
        <v>-0.22058440000000001</v>
      </c>
      <c r="U5437">
        <v>6.0363769999999997E-2</v>
      </c>
      <c r="V5437">
        <v>-1.9914959999999999E-2</v>
      </c>
      <c r="W5437">
        <v>0.154276</v>
      </c>
      <c r="X5437">
        <v>0.98782709999999996</v>
      </c>
      <c r="Y5437">
        <v>-2.6473960000000001E-2</v>
      </c>
      <c r="Z5437">
        <v>1.4451589999999999E-3</v>
      </c>
      <c r="AA5437">
        <v>0.99964850000000005</v>
      </c>
      <c r="AB5437">
        <v>23</v>
      </c>
      <c r="AC5437">
        <v>15.307700000000001</v>
      </c>
      <c r="AD5437">
        <v>-1.1098246206660001</v>
      </c>
      <c r="AE5437">
        <v>0.30427000000000198</v>
      </c>
      <c r="AF5437">
        <v>-0.40733559449539503</v>
      </c>
      <c r="AG5437">
        <v>-1.1098246206660001</v>
      </c>
      <c r="AH5437">
        <v>15.2252486405556</v>
      </c>
      <c r="AI5437">
        <v>94.167641246018405</v>
      </c>
      <c r="AJ5437">
        <v>91.532523045153198</v>
      </c>
      <c r="AK5437">
        <v>15.2710781918606</v>
      </c>
      <c r="AL5437">
        <v>81.125191258087597</v>
      </c>
      <c r="AM5437">
        <v>91.154947668608003</v>
      </c>
      <c r="AN5437">
        <v>1.0000000346511</v>
      </c>
    </row>
    <row r="5438" spans="1:40" x14ac:dyDescent="0.25">
      <c r="A5438" t="str">
        <f>"20190312172518737"</f>
        <v>20190312172518737</v>
      </c>
      <c r="B5438" t="str">
        <f>"1552382718726249"</f>
        <v>1552382718726249</v>
      </c>
      <c r="C5438" t="s">
        <v>40</v>
      </c>
      <c r="D5438">
        <v>4.1158539999999997</v>
      </c>
      <c r="E5438">
        <v>0.50167220000000001</v>
      </c>
      <c r="F5438" t="s">
        <v>43</v>
      </c>
      <c r="G5438">
        <v>-344.61110000000002</v>
      </c>
      <c r="H5438" s="1">
        <v>-2.681588E-6</v>
      </c>
      <c r="I5438">
        <v>17.432110000000002</v>
      </c>
      <c r="J5438">
        <v>-359.93830000000003</v>
      </c>
      <c r="K5438">
        <v>1.109823</v>
      </c>
      <c r="L5438">
        <v>17.12576</v>
      </c>
      <c r="M5438">
        <v>0.99995290000000003</v>
      </c>
      <c r="N5438">
        <v>0</v>
      </c>
      <c r="O5438">
        <v>-6.6905039999999999E-3</v>
      </c>
      <c r="P5438">
        <v>0.98900149999999998</v>
      </c>
      <c r="Q5438">
        <v>0.14729389999999901</v>
      </c>
      <c r="R5438">
        <v>1.344472E-2</v>
      </c>
      <c r="S5438">
        <v>3.0653990000000002</v>
      </c>
      <c r="T5438">
        <v>-0.2201931</v>
      </c>
      <c r="U5438">
        <v>6.0668949999999999E-2</v>
      </c>
      <c r="V5438">
        <v>-2.0132690000000002E-2</v>
      </c>
      <c r="W5438">
        <v>0.15424109999999999</v>
      </c>
      <c r="X5438">
        <v>0.98782809999999999</v>
      </c>
      <c r="Y5438">
        <v>-2.6391370000000001E-2</v>
      </c>
      <c r="Z5438">
        <v>1.4265009999999999E-3</v>
      </c>
      <c r="AA5438">
        <v>0.9996507</v>
      </c>
      <c r="AB5438">
        <v>23</v>
      </c>
      <c r="AC5438">
        <v>15.327199999999999</v>
      </c>
      <c r="AD5438">
        <v>-1.1098256815880001</v>
      </c>
      <c r="AE5438">
        <v>0.30635000000000101</v>
      </c>
      <c r="AF5438">
        <v>-0.406760556970238</v>
      </c>
      <c r="AG5438">
        <v>-1.1098256815880001</v>
      </c>
      <c r="AH5438">
        <v>15.2449093645956</v>
      </c>
      <c r="AI5438">
        <v>94.1622972778068</v>
      </c>
      <c r="AJ5438">
        <v>91.528387899361903</v>
      </c>
      <c r="AK5438">
        <v>15.2906647575884</v>
      </c>
      <c r="AL5438">
        <v>81.127214783054001</v>
      </c>
      <c r="AM5438">
        <v>91.167570038399504</v>
      </c>
      <c r="AN5438">
        <v>0.99999999864272704</v>
      </c>
    </row>
    <row r="5439" spans="1:40" x14ac:dyDescent="0.25">
      <c r="A5439" t="str">
        <f>"20190312172518750"</f>
        <v>20190312172518750</v>
      </c>
      <c r="B5439" t="str">
        <f>"1552382718745769"</f>
        <v>1552382718745769</v>
      </c>
      <c r="C5439" t="s">
        <v>40</v>
      </c>
      <c r="D5439">
        <v>4.1188789999999997</v>
      </c>
      <c r="E5439">
        <v>0.50182150000000003</v>
      </c>
      <c r="F5439" t="s">
        <v>43</v>
      </c>
      <c r="G5439">
        <v>-344.50850000000003</v>
      </c>
      <c r="H5439" s="1">
        <v>-2.725507E-6</v>
      </c>
      <c r="I5439">
        <v>17.432600000000001</v>
      </c>
      <c r="J5439">
        <v>-359.81380000000001</v>
      </c>
      <c r="K5439">
        <v>1.109823</v>
      </c>
      <c r="L5439">
        <v>17.125119999999999</v>
      </c>
      <c r="M5439">
        <v>0.99995409999999996</v>
      </c>
      <c r="N5439">
        <v>0</v>
      </c>
      <c r="O5439">
        <v>-6.5052219999999997E-3</v>
      </c>
      <c r="P5439">
        <v>0.98901740000000005</v>
      </c>
      <c r="Q5439">
        <v>0.14715739999999999</v>
      </c>
      <c r="R5439">
        <v>1.3753E-2</v>
      </c>
      <c r="S5439">
        <v>3.0653079999999999</v>
      </c>
      <c r="T5439">
        <v>-0.2204788</v>
      </c>
      <c r="U5439">
        <v>6.097412E-2</v>
      </c>
      <c r="V5439">
        <v>-2.0258439999999999E-2</v>
      </c>
      <c r="W5439">
        <v>0.1540984</v>
      </c>
      <c r="X5439">
        <v>0.98784780000000005</v>
      </c>
      <c r="Y5439">
        <v>-2.6306690000000001E-2</v>
      </c>
      <c r="Z5439">
        <v>1.41203799999999E-3</v>
      </c>
      <c r="AA5439">
        <v>0.99965289999999996</v>
      </c>
      <c r="AB5439">
        <v>23</v>
      </c>
      <c r="AC5439">
        <v>15.3052999999999</v>
      </c>
      <c r="AD5439">
        <v>-1.1098257255069901</v>
      </c>
      <c r="AE5439">
        <v>0.30747999999999798</v>
      </c>
      <c r="AF5439">
        <v>-0.40491213618684102</v>
      </c>
      <c r="AG5439">
        <v>-1.1098257255069901</v>
      </c>
      <c r="AH5439">
        <v>15.222964827742601</v>
      </c>
      <c r="AI5439">
        <v>94.168285606826103</v>
      </c>
      <c r="AJ5439">
        <v>91.52363799215</v>
      </c>
      <c r="AK5439">
        <v>15.2687368542953</v>
      </c>
      <c r="AL5439">
        <v>81.135489823882807</v>
      </c>
      <c r="AM5439">
        <v>91.174837290905501</v>
      </c>
      <c r="AN5439">
        <v>0.99999999861931599</v>
      </c>
    </row>
    <row r="5440" spans="1:40" x14ac:dyDescent="0.25">
      <c r="A5440" t="str">
        <f>"20190312172518770"</f>
        <v>20190312172518770</v>
      </c>
      <c r="B5440" t="str">
        <f>"1552382718766264"</f>
        <v>1552382718766264</v>
      </c>
      <c r="C5440" t="s">
        <v>40</v>
      </c>
      <c r="D5440">
        <v>4.1143140000000002</v>
      </c>
      <c r="E5440">
        <v>0.50190199999999996</v>
      </c>
      <c r="F5440" t="s">
        <v>43</v>
      </c>
      <c r="G5440">
        <v>-344.4615</v>
      </c>
      <c r="H5440" s="1">
        <v>-2.7466559999999999E-6</v>
      </c>
      <c r="I5440">
        <v>17.427050000000001</v>
      </c>
      <c r="J5440">
        <v>-359.6146</v>
      </c>
      <c r="K5440">
        <v>1.1098170000000001</v>
      </c>
      <c r="L5440">
        <v>17.12415</v>
      </c>
      <c r="M5440">
        <v>0.99995610000000001</v>
      </c>
      <c r="N5440">
        <v>0</v>
      </c>
      <c r="O5440">
        <v>-6.2083360000000001E-3</v>
      </c>
      <c r="P5440">
        <v>0.98903099999999999</v>
      </c>
      <c r="Q5440">
        <v>0.1470369</v>
      </c>
      <c r="R5440">
        <v>1.406281E-2</v>
      </c>
      <c r="S5440">
        <v>3.0654300000000001</v>
      </c>
      <c r="T5440">
        <v>-0.22159989999999999</v>
      </c>
      <c r="U5440">
        <v>6.0302729999999999E-2</v>
      </c>
      <c r="V5440">
        <v>-2.027582E-2</v>
      </c>
      <c r="W5440">
        <v>0.15396699999999999</v>
      </c>
      <c r="X5440">
        <v>0.98786799999999997</v>
      </c>
      <c r="Y5440">
        <v>-2.5791499999999998E-2</v>
      </c>
      <c r="Z5440">
        <v>1.3791179999999999E-3</v>
      </c>
      <c r="AA5440">
        <v>0.99966639999999996</v>
      </c>
      <c r="AB5440">
        <v>23</v>
      </c>
      <c r="AC5440">
        <v>15.153099999999901</v>
      </c>
      <c r="AD5440">
        <v>-1.109819746656</v>
      </c>
      <c r="AE5440">
        <v>0.302900000000001</v>
      </c>
      <c r="AF5440">
        <v>-0.39485479614278801</v>
      </c>
      <c r="AG5440">
        <v>-1.109819746656</v>
      </c>
      <c r="AH5440">
        <v>15.0701211162704</v>
      </c>
      <c r="AI5440">
        <v>94.2104311957672</v>
      </c>
      <c r="AJ5440">
        <v>91.500873036967903</v>
      </c>
      <c r="AK5440">
        <v>15.1160894625284</v>
      </c>
      <c r="AL5440">
        <v>81.143110022388697</v>
      </c>
      <c r="AM5440">
        <v>91.175820880435893</v>
      </c>
      <c r="AN5440">
        <v>1.00000006569483</v>
      </c>
    </row>
    <row r="5441" spans="1:40" x14ac:dyDescent="0.25">
      <c r="A5441" t="str">
        <f>"20190312172518783"</f>
        <v>20190312172518783</v>
      </c>
      <c r="B5441" t="str">
        <f>"1552382718776025"</f>
        <v>1552382718776025</v>
      </c>
      <c r="C5441" t="s">
        <v>40</v>
      </c>
      <c r="D5441">
        <v>4.1112070000000003</v>
      </c>
      <c r="E5441">
        <v>0.50468109999999999</v>
      </c>
      <c r="F5441" t="s">
        <v>43</v>
      </c>
      <c r="G5441">
        <v>-344.3021</v>
      </c>
      <c r="H5441" s="1">
        <v>-2.8153299999999999E-6</v>
      </c>
      <c r="I5441">
        <v>17.42529</v>
      </c>
      <c r="J5441">
        <v>-359.47280000000001</v>
      </c>
      <c r="K5441">
        <v>1.1098140000000001</v>
      </c>
      <c r="L5441">
        <v>17.1235</v>
      </c>
      <c r="M5441">
        <v>0.99995750000000005</v>
      </c>
      <c r="N5441">
        <v>0</v>
      </c>
      <c r="O5441">
        <v>-5.9972949999999997E-3</v>
      </c>
      <c r="P5441">
        <v>0.98897550000000001</v>
      </c>
      <c r="Q5441">
        <v>0.1473826</v>
      </c>
      <c r="R5441">
        <v>1.4355990000000001E-2</v>
      </c>
      <c r="S5441">
        <v>3.0654300000000001</v>
      </c>
      <c r="T5441">
        <v>-0.2221767</v>
      </c>
      <c r="U5441">
        <v>6.0302729999999999E-2</v>
      </c>
      <c r="V5441">
        <v>-2.0360469999999999E-2</v>
      </c>
      <c r="W5441">
        <v>0.15430239999999901</v>
      </c>
      <c r="X5441">
        <v>0.98781379999999996</v>
      </c>
      <c r="Y5441">
        <v>-2.558119E-2</v>
      </c>
      <c r="Z5441">
        <v>1.359812E-3</v>
      </c>
      <c r="AA5441">
        <v>0.9996718</v>
      </c>
      <c r="AB5441">
        <v>23</v>
      </c>
      <c r="AC5441">
        <v>15.1707</v>
      </c>
      <c r="AD5441">
        <v>-1.1098168153300001</v>
      </c>
      <c r="AE5441">
        <v>0.30179</v>
      </c>
      <c r="AF5441">
        <v>-0.39067999304999701</v>
      </c>
      <c r="AG5441">
        <v>-1.1098168153300001</v>
      </c>
      <c r="AH5441">
        <v>15.087903272885001</v>
      </c>
      <c r="AI5441">
        <v>94.205509201414998</v>
      </c>
      <c r="AJ5441">
        <v>91.483262029074396</v>
      </c>
      <c r="AK5441">
        <v>15.1337090428121</v>
      </c>
      <c r="AL5441">
        <v>81.1236594834984</v>
      </c>
      <c r="AM5441">
        <v>91.180793222638101</v>
      </c>
      <c r="AN5441">
        <v>0.999999941427408</v>
      </c>
    </row>
    <row r="5442" spans="1:40" x14ac:dyDescent="0.25">
      <c r="A5442" t="str">
        <f>"20190312172518804"</f>
        <v>20190312172518804</v>
      </c>
      <c r="B5442" t="str">
        <f>"1552382718795545"</f>
        <v>1552382718795545</v>
      </c>
      <c r="C5442" t="s">
        <v>40</v>
      </c>
      <c r="D5442">
        <v>4.1337619999999999</v>
      </c>
      <c r="E5442">
        <v>0.50458219999999998</v>
      </c>
      <c r="F5442" t="s">
        <v>43</v>
      </c>
      <c r="G5442">
        <v>-344.79730000000001</v>
      </c>
      <c r="H5442" s="1">
        <v>-2.6228570000000002E-6</v>
      </c>
      <c r="I5442">
        <v>17.31279</v>
      </c>
      <c r="J5442">
        <v>-359.24990000000003</v>
      </c>
      <c r="K5442">
        <v>1.1098079999999999</v>
      </c>
      <c r="L5442">
        <v>17.122529999999902</v>
      </c>
      <c r="M5442">
        <v>0.9999595</v>
      </c>
      <c r="N5442">
        <v>0</v>
      </c>
      <c r="O5442">
        <v>-5.6651139999999997E-3</v>
      </c>
      <c r="P5442">
        <v>0.98891269999999998</v>
      </c>
      <c r="Q5442">
        <v>0.147761</v>
      </c>
      <c r="R5442">
        <v>1.477024E-2</v>
      </c>
      <c r="S5442">
        <v>3.0674440000000001</v>
      </c>
      <c r="T5442">
        <v>-0.23197039999999999</v>
      </c>
      <c r="U5442">
        <v>3.95813E-2</v>
      </c>
      <c r="V5442">
        <v>-2.04469E-2</v>
      </c>
      <c r="W5442">
        <v>0.15466559999999999</v>
      </c>
      <c r="X5442">
        <v>0.98775520000000006</v>
      </c>
      <c r="Y5442">
        <v>-1.8498190000000001E-2</v>
      </c>
      <c r="Z5442">
        <v>1.1262209999999999E-3</v>
      </c>
      <c r="AA5442">
        <v>0.9998283</v>
      </c>
      <c r="AB5442">
        <v>23</v>
      </c>
      <c r="AC5442">
        <v>14.4526</v>
      </c>
      <c r="AD5442">
        <v>-1.1098106228569999</v>
      </c>
      <c r="AE5442">
        <v>0.19026000000000201</v>
      </c>
      <c r="AF5442">
        <v>-0.27053957313023702</v>
      </c>
      <c r="AG5442">
        <v>-1.1098106228569999</v>
      </c>
      <c r="AH5442">
        <v>14.3665900385261</v>
      </c>
      <c r="AI5442">
        <v>94.416512579782406</v>
      </c>
      <c r="AJ5442">
        <v>91.0788185521305</v>
      </c>
      <c r="AK5442">
        <v>14.411931883488499</v>
      </c>
      <c r="AL5442">
        <v>81.102596695184403</v>
      </c>
      <c r="AM5442">
        <v>91.185874579822297</v>
      </c>
      <c r="AN5442">
        <v>0.99999992933500204</v>
      </c>
    </row>
    <row r="5443" spans="1:40" x14ac:dyDescent="0.25">
      <c r="A5443" t="str">
        <f>"20190312172518827"</f>
        <v>20190312172518827</v>
      </c>
      <c r="B5443" t="str">
        <f>"1552382718816041"</f>
        <v>1552382718816041</v>
      </c>
      <c r="C5443" t="s">
        <v>40</v>
      </c>
      <c r="D5443">
        <v>4.106935</v>
      </c>
      <c r="E5443">
        <v>0.50452149999999996</v>
      </c>
      <c r="F5443" t="s">
        <v>43</v>
      </c>
      <c r="G5443">
        <v>-344.6619</v>
      </c>
      <c r="H5443" s="1">
        <v>-2.6797360000000001E-6</v>
      </c>
      <c r="I5443">
        <v>17.319649999999999</v>
      </c>
      <c r="J5443">
        <v>-359.01350000000002</v>
      </c>
      <c r="K5443">
        <v>1.1098079999999999</v>
      </c>
      <c r="L5443">
        <v>17.121579999999899</v>
      </c>
      <c r="M5443">
        <v>0.99996149999999995</v>
      </c>
      <c r="N5443">
        <v>0</v>
      </c>
      <c r="O5443">
        <v>-5.3143289999999996E-3</v>
      </c>
      <c r="P5443">
        <v>0.98886629999999998</v>
      </c>
      <c r="Q5443">
        <v>0.14802179999999901</v>
      </c>
      <c r="R5443">
        <v>1.5262349999999999E-2</v>
      </c>
      <c r="S5443">
        <v>3.0679020000000001</v>
      </c>
      <c r="T5443">
        <v>-0.23339550000000001</v>
      </c>
      <c r="U5443">
        <v>4.1473389999999999E-2</v>
      </c>
      <c r="V5443">
        <v>-2.0592590000000001E-2</v>
      </c>
      <c r="W5443">
        <v>0.15490779999999901</v>
      </c>
      <c r="X5443">
        <v>0.98771430000000005</v>
      </c>
      <c r="Y5443">
        <v>-1.8761480000000001E-2</v>
      </c>
      <c r="Z5443">
        <v>1.1162990000000001E-3</v>
      </c>
      <c r="AA5443">
        <v>0.99982340000000003</v>
      </c>
      <c r="AB5443">
        <v>23</v>
      </c>
      <c r="AC5443">
        <v>14.351599999999999</v>
      </c>
      <c r="AD5443">
        <v>-1.1098106797359999</v>
      </c>
      <c r="AE5443">
        <v>0.198070000000001</v>
      </c>
      <c r="AF5443">
        <v>-0.27270771985811099</v>
      </c>
      <c r="AG5443">
        <v>-1.1098106797359999</v>
      </c>
      <c r="AH5443">
        <v>14.265056691517</v>
      </c>
      <c r="AI5443">
        <v>94.447798165125505</v>
      </c>
      <c r="AJ5443">
        <v>91.095200577948006</v>
      </c>
      <c r="AK5443">
        <v>14.3107613933543</v>
      </c>
      <c r="AL5443">
        <v>81.088551092082</v>
      </c>
      <c r="AM5443">
        <v>91.1943712770247</v>
      </c>
      <c r="AN5443">
        <v>1.00000000984411</v>
      </c>
    </row>
    <row r="5444" spans="1:40" x14ac:dyDescent="0.25">
      <c r="A5444" t="str">
        <f>"20190312172518839"</f>
        <v>20190312172518839</v>
      </c>
      <c r="B5444" t="str">
        <f>"1552382718835561"</f>
        <v>1552382718835561</v>
      </c>
      <c r="C5444" t="s">
        <v>40</v>
      </c>
      <c r="D5444">
        <v>4.1343829999999997</v>
      </c>
      <c r="E5444">
        <v>0.50449630000000001</v>
      </c>
      <c r="F5444" t="s">
        <v>43</v>
      </c>
      <c r="G5444">
        <v>-344.39530000000002</v>
      </c>
      <c r="H5444" s="1">
        <v>-2.7928900000000001E-6</v>
      </c>
      <c r="I5444">
        <v>17.32638</v>
      </c>
      <c r="J5444">
        <v>-358.8809</v>
      </c>
      <c r="K5444">
        <v>1.109807</v>
      </c>
      <c r="L5444">
        <v>17.121089999999999</v>
      </c>
      <c r="M5444">
        <v>0.99996260000000003</v>
      </c>
      <c r="N5444">
        <v>0</v>
      </c>
      <c r="O5444">
        <v>-5.1186670000000004E-3</v>
      </c>
      <c r="P5444">
        <v>0.98885959999999995</v>
      </c>
      <c r="Q5444">
        <v>0.1480387</v>
      </c>
      <c r="R5444">
        <v>1.553949E-2</v>
      </c>
      <c r="S5444">
        <v>3.067993</v>
      </c>
      <c r="T5444">
        <v>-0.2329214</v>
      </c>
      <c r="U5444">
        <v>4.2999269999999999E-2</v>
      </c>
      <c r="V5444">
        <v>-2.0676880000000002E-2</v>
      </c>
      <c r="W5444">
        <v>0.154913</v>
      </c>
      <c r="X5444">
        <v>0.98771169999999997</v>
      </c>
      <c r="Y5444">
        <v>-1.9062590000000001E-2</v>
      </c>
      <c r="Z5444">
        <v>1.110581E-3</v>
      </c>
      <c r="AA5444">
        <v>0.99981770000000003</v>
      </c>
      <c r="AB5444">
        <v>23</v>
      </c>
      <c r="AC5444">
        <v>14.4855999999999</v>
      </c>
      <c r="AD5444">
        <v>-1.1098097928899999</v>
      </c>
      <c r="AE5444">
        <v>0.205290000000001</v>
      </c>
      <c r="AF5444">
        <v>-0.27780573517529999</v>
      </c>
      <c r="AG5444">
        <v>-1.1098097928899999</v>
      </c>
      <c r="AH5444">
        <v>14.399851947615501</v>
      </c>
      <c r="AI5444">
        <v>94.406309350534897</v>
      </c>
      <c r="AJ5444">
        <v>91.105228158823095</v>
      </c>
      <c r="AK5444">
        <v>14.4452272365697</v>
      </c>
      <c r="AL5444">
        <v>81.088249304936198</v>
      </c>
      <c r="AM5444">
        <v>91.199261832442005</v>
      </c>
      <c r="AN5444">
        <v>0.99999998662621203</v>
      </c>
    </row>
    <row r="5445" spans="1:40" x14ac:dyDescent="0.25">
      <c r="A5445" t="str">
        <f>"20190312172518861"</f>
        <v>20190312172518861</v>
      </c>
      <c r="B5445" t="str">
        <f>"1552382718856058"</f>
        <v>1552382718856058</v>
      </c>
      <c r="C5445" t="s">
        <v>40</v>
      </c>
      <c r="D5445">
        <v>4.1903280000000001</v>
      </c>
      <c r="E5445">
        <v>0.50461179999999894</v>
      </c>
      <c r="F5445" t="s">
        <v>43</v>
      </c>
      <c r="G5445">
        <v>-344.26409999999998</v>
      </c>
      <c r="H5445" s="1">
        <v>-2.8487060000000001E-6</v>
      </c>
      <c r="I5445">
        <v>17.329070000000002</v>
      </c>
      <c r="J5445">
        <v>-358.65859999999998</v>
      </c>
      <c r="K5445">
        <v>1.109801</v>
      </c>
      <c r="L5445">
        <v>17.1203</v>
      </c>
      <c r="M5445">
        <v>0.99996450000000003</v>
      </c>
      <c r="N5445">
        <v>0</v>
      </c>
      <c r="O5445">
        <v>-4.7945879999999998E-3</v>
      </c>
      <c r="P5445">
        <v>0.98877680000000001</v>
      </c>
      <c r="Q5445">
        <v>0.14859129999999901</v>
      </c>
      <c r="R5445">
        <v>1.5537820000000001E-2</v>
      </c>
      <c r="S5445">
        <v>3.067993</v>
      </c>
      <c r="T5445">
        <v>-0.2329426</v>
      </c>
      <c r="U5445">
        <v>4.3670649999999998E-2</v>
      </c>
      <c r="V5445">
        <v>-2.035443E-2</v>
      </c>
      <c r="W5445">
        <v>0.15544289999999999</v>
      </c>
      <c r="X5445">
        <v>0.98763509999999999</v>
      </c>
      <c r="Y5445">
        <v>-1.8958530000000001E-2</v>
      </c>
      <c r="Z5445">
        <v>1.0821649999999999E-3</v>
      </c>
      <c r="AA5445">
        <v>0.99981969999999998</v>
      </c>
      <c r="AB5445">
        <v>23</v>
      </c>
      <c r="AC5445">
        <v>14.394499999999899</v>
      </c>
      <c r="AD5445">
        <v>-1.109803848706</v>
      </c>
      <c r="AE5445">
        <v>0.20877000000000101</v>
      </c>
      <c r="AF5445">
        <v>-0.276143822938613</v>
      </c>
      <c r="AG5445">
        <v>-1.109803848706</v>
      </c>
      <c r="AH5445">
        <v>14.3082988968719</v>
      </c>
      <c r="AI5445">
        <v>94.4343671769835</v>
      </c>
      <c r="AJ5445">
        <v>91.105645873026603</v>
      </c>
      <c r="AK5445">
        <v>14.353931075345701</v>
      </c>
      <c r="AL5445">
        <v>81.057515602512296</v>
      </c>
      <c r="AM5445">
        <v>91.180656561287606</v>
      </c>
      <c r="AN5445">
        <v>0.99999994436652095</v>
      </c>
    </row>
    <row r="5446" spans="1:40" x14ac:dyDescent="0.25">
      <c r="A5446" t="str">
        <f>"20190312172518884"</f>
        <v>20190312172518884</v>
      </c>
      <c r="B5446" t="str">
        <f>"1552382718875577"</f>
        <v>1552382718875577</v>
      </c>
      <c r="C5446" t="s">
        <v>40</v>
      </c>
      <c r="D5446">
        <v>4.1791839999999896</v>
      </c>
      <c r="E5446">
        <v>0.53389869999999995</v>
      </c>
      <c r="F5446" t="s">
        <v>43</v>
      </c>
      <c r="G5446">
        <v>-343.89600000000002</v>
      </c>
      <c r="H5446" s="1">
        <v>-3.008091E-6</v>
      </c>
      <c r="I5446">
        <v>17.320799999999998</v>
      </c>
      <c r="J5446">
        <v>-358.41739999999999</v>
      </c>
      <c r="K5446">
        <v>1.109796</v>
      </c>
      <c r="L5446">
        <v>17.119540000000001</v>
      </c>
      <c r="M5446">
        <v>0.99996609999999997</v>
      </c>
      <c r="N5446">
        <v>0</v>
      </c>
      <c r="O5446">
        <v>-4.4585010000000001E-3</v>
      </c>
      <c r="P5446">
        <v>0.98870659999999999</v>
      </c>
      <c r="Q5446">
        <v>0.14914259999999999</v>
      </c>
      <c r="R5446">
        <v>1.469108E-2</v>
      </c>
      <c r="S5446">
        <v>3.0680239999999999</v>
      </c>
      <c r="T5446">
        <v>-0.2306433</v>
      </c>
      <c r="U5446">
        <v>4.1687009999999997E-2</v>
      </c>
      <c r="V5446">
        <v>-1.917311E-2</v>
      </c>
      <c r="W5446">
        <v>0.1559672</v>
      </c>
      <c r="X5446">
        <v>0.98757609999999996</v>
      </c>
      <c r="Y5446">
        <v>-1.798108E-2</v>
      </c>
      <c r="Z5446">
        <v>1.0095900000000001E-3</v>
      </c>
      <c r="AA5446">
        <v>0.9998378</v>
      </c>
      <c r="AB5446">
        <v>24</v>
      </c>
      <c r="AC5446">
        <v>14.5214</v>
      </c>
      <c r="AD5446">
        <v>-1.1097990080910001</v>
      </c>
      <c r="AE5446">
        <v>0.201259999999997</v>
      </c>
      <c r="AF5446">
        <v>-0.26445887486101699</v>
      </c>
      <c r="AG5446">
        <v>-1.1097990080910001</v>
      </c>
      <c r="AH5446">
        <v>14.4360565231772</v>
      </c>
      <c r="AI5446">
        <v>94.395339537286105</v>
      </c>
      <c r="AJ5446">
        <v>91.049502865704895</v>
      </c>
      <c r="AK5446">
        <v>14.481067649701099</v>
      </c>
      <c r="AL5446">
        <v>81.027104698992702</v>
      </c>
      <c r="AM5446">
        <v>91.112218385647594</v>
      </c>
      <c r="AN5446">
        <v>0.99999996445705996</v>
      </c>
    </row>
    <row r="5447" spans="1:40" x14ac:dyDescent="0.25">
      <c r="A5447" t="str">
        <f>"20190312172518906"</f>
        <v>20190312172518906</v>
      </c>
      <c r="B5447" t="str">
        <f>"1552382718896073"</f>
        <v>1552382718896073</v>
      </c>
      <c r="C5447" t="s">
        <v>40</v>
      </c>
      <c r="D5447">
        <v>4.1734450000000001</v>
      </c>
      <c r="E5447">
        <v>0.54251700000000003</v>
      </c>
      <c r="F5447" t="s">
        <v>41</v>
      </c>
      <c r="G5447">
        <v>-357.49869999999999</v>
      </c>
      <c r="H5447">
        <v>1.0443389999999999</v>
      </c>
      <c r="I5447">
        <v>17.060759999999998</v>
      </c>
      <c r="J5447">
        <v>-358.18020000000001</v>
      </c>
      <c r="K5447">
        <v>1.10978</v>
      </c>
      <c r="L5447">
        <v>17.118839999999999</v>
      </c>
      <c r="M5447">
        <v>0.99996779999999996</v>
      </c>
      <c r="N5447">
        <v>0</v>
      </c>
      <c r="O5447">
        <v>-4.1508420000000001E-3</v>
      </c>
      <c r="P5447">
        <v>0.98864390000000002</v>
      </c>
      <c r="Q5447">
        <v>0.14973599999999901</v>
      </c>
      <c r="R5447">
        <v>1.275943E-2</v>
      </c>
      <c r="S5447">
        <v>3.0701290000000001</v>
      </c>
      <c r="T5447">
        <v>-0.21868850000000001</v>
      </c>
      <c r="U5447">
        <v>-0.19638059999999999</v>
      </c>
      <c r="V5447">
        <v>-1.6932320000000001E-2</v>
      </c>
      <c r="W5447">
        <v>0.15653699999999901</v>
      </c>
      <c r="X5447">
        <v>0.98752700000000004</v>
      </c>
      <c r="Y5447">
        <v>5.9551670000000001E-2</v>
      </c>
      <c r="Z5447">
        <v>-1.821135E-3</v>
      </c>
      <c r="AA5447">
        <v>0.99822350000000004</v>
      </c>
      <c r="AB5447">
        <v>24</v>
      </c>
      <c r="AC5447">
        <v>0.68150000000002797</v>
      </c>
      <c r="AD5447">
        <v>-6.5440999999999999E-2</v>
      </c>
      <c r="AE5447">
        <v>-5.8079999999996801E-2</v>
      </c>
      <c r="AF5447">
        <v>5.4749441194694097E-2</v>
      </c>
      <c r="AG5447">
        <v>-6.5440999999999999E-2</v>
      </c>
      <c r="AH5447">
        <v>0.67555101762393299</v>
      </c>
      <c r="AI5447">
        <v>95.515039675791002</v>
      </c>
      <c r="AJ5447">
        <v>85.366640170864997</v>
      </c>
      <c r="AK5447">
        <v>0.68091791223675602</v>
      </c>
      <c r="AL5447">
        <v>80.994052406788995</v>
      </c>
      <c r="AM5447">
        <v>90.982307742562298</v>
      </c>
      <c r="AN5447">
        <v>1.0000000557792801</v>
      </c>
    </row>
    <row r="5448" spans="1:40" x14ac:dyDescent="0.25">
      <c r="A5448" t="str">
        <f>"20190312172518926"</f>
        <v>20190312172518926</v>
      </c>
      <c r="B5448" t="str">
        <f>"1552382718915597"</f>
        <v>1552382718915597</v>
      </c>
      <c r="C5448" t="s">
        <v>40</v>
      </c>
      <c r="D5448">
        <v>4.1917859999999996</v>
      </c>
      <c r="E5448">
        <v>0.54616929999999997</v>
      </c>
      <c r="F5448" t="s">
        <v>41</v>
      </c>
      <c r="G5448">
        <v>-357.28320000000002</v>
      </c>
      <c r="H5448">
        <v>1.0483929999999999</v>
      </c>
      <c r="I5448">
        <v>17.03884</v>
      </c>
      <c r="J5448">
        <v>-357.95850000000002</v>
      </c>
      <c r="K5448">
        <v>1.109769</v>
      </c>
      <c r="L5448">
        <v>17.118230000000001</v>
      </c>
      <c r="M5448">
        <v>0.999969</v>
      </c>
      <c r="N5448">
        <v>0</v>
      </c>
      <c r="O5448">
        <v>-3.8835079999999999E-3</v>
      </c>
      <c r="P5448">
        <v>0.98864410000000003</v>
      </c>
      <c r="Q5448">
        <v>0.149925</v>
      </c>
      <c r="R5448">
        <v>1.0281709999999999E-2</v>
      </c>
      <c r="S5448">
        <v>3.0697939999999999</v>
      </c>
      <c r="T5448">
        <v>-0.21010380000000001</v>
      </c>
      <c r="U5448">
        <v>-0.2729492</v>
      </c>
      <c r="V5448">
        <v>-1.418517E-2</v>
      </c>
      <c r="W5448">
        <v>0.1567075</v>
      </c>
      <c r="X5448">
        <v>0.98754319999999896</v>
      </c>
      <c r="Y5448">
        <v>8.4508990000000006E-2</v>
      </c>
      <c r="Z5448">
        <v>-2.6179889999999998E-3</v>
      </c>
      <c r="AA5448">
        <v>0.99641930000000001</v>
      </c>
      <c r="AB5448">
        <v>24</v>
      </c>
      <c r="AC5448">
        <v>0.67529999999999202</v>
      </c>
      <c r="AD5448">
        <v>-6.1375999999999799E-2</v>
      </c>
      <c r="AE5448">
        <v>-7.9390000000000002E-2</v>
      </c>
      <c r="AF5448">
        <v>7.6146378453764901E-2</v>
      </c>
      <c r="AG5448">
        <v>-6.1375999999999799E-2</v>
      </c>
      <c r="AH5448">
        <v>0.67014300951802797</v>
      </c>
      <c r="AI5448">
        <v>95.199642865523103</v>
      </c>
      <c r="AJ5448">
        <v>83.517452697379696</v>
      </c>
      <c r="AK5448">
        <v>0.67724215575634705</v>
      </c>
      <c r="AL5448">
        <v>80.984161043916998</v>
      </c>
      <c r="AM5448">
        <v>90.822945752692306</v>
      </c>
      <c r="AN5448">
        <v>1.0000000157352</v>
      </c>
    </row>
    <row r="5449" spans="1:40" x14ac:dyDescent="0.25">
      <c r="A5449" t="str">
        <f>"20190312172518948"</f>
        <v>20190312172518948</v>
      </c>
      <c r="B5449" t="str">
        <f>"1552382718936089"</f>
        <v>1552382718936089</v>
      </c>
      <c r="C5449" t="s">
        <v>40</v>
      </c>
      <c r="D5449">
        <v>4.1607289999999999</v>
      </c>
      <c r="E5449">
        <v>0.54828149999999998</v>
      </c>
      <c r="F5449" t="s">
        <v>41</v>
      </c>
      <c r="G5449">
        <v>-357.06699999999898</v>
      </c>
      <c r="H5449">
        <v>1.049963</v>
      </c>
      <c r="I5449">
        <v>17.02778</v>
      </c>
      <c r="J5449">
        <v>-357.72719999999998</v>
      </c>
      <c r="K5449">
        <v>1.1097459999999999</v>
      </c>
      <c r="L5449">
        <v>17.117609999999999</v>
      </c>
      <c r="M5449">
        <v>0.99997009999999997</v>
      </c>
      <c r="N5449">
        <v>0</v>
      </c>
      <c r="O5449">
        <v>-3.6327809999999999E-3</v>
      </c>
      <c r="P5449">
        <v>0.98865460000000005</v>
      </c>
      <c r="Q5449">
        <v>0.150033</v>
      </c>
      <c r="R5449">
        <v>7.2634619999999896E-3</v>
      </c>
      <c r="S5449">
        <v>3.0689700000000002</v>
      </c>
      <c r="T5449">
        <v>-0.20590349999999999</v>
      </c>
      <c r="U5449">
        <v>-0.31152340000000001</v>
      </c>
      <c r="V5449">
        <v>-1.091173E-2</v>
      </c>
      <c r="W5449">
        <v>0.15679699999999999</v>
      </c>
      <c r="X5449">
        <v>0.98757059999999997</v>
      </c>
      <c r="Y5449">
        <v>9.7165479999999999E-2</v>
      </c>
      <c r="Z5449">
        <v>-3.0047110000000002E-3</v>
      </c>
      <c r="AA5449">
        <v>0.99526369999999997</v>
      </c>
      <c r="AB5449">
        <v>24</v>
      </c>
      <c r="AC5449">
        <v>0.66020000000003098</v>
      </c>
      <c r="AD5449">
        <v>-5.9782999999999899E-2</v>
      </c>
      <c r="AE5449">
        <v>-8.9829999999999105E-2</v>
      </c>
      <c r="AF5449">
        <v>8.6732723945168094E-2</v>
      </c>
      <c r="AG5449">
        <v>-5.9782999999999899E-2</v>
      </c>
      <c r="AH5449">
        <v>0.65524674169804298</v>
      </c>
      <c r="AI5449">
        <v>95.168251829270801</v>
      </c>
      <c r="AJ5449">
        <v>82.459790847657402</v>
      </c>
      <c r="AK5449">
        <v>0.66366020296372297</v>
      </c>
      <c r="AL5449">
        <v>80.978968993268097</v>
      </c>
      <c r="AM5449">
        <v>90.633038930444698</v>
      </c>
      <c r="AN5449">
        <v>1.0000000275224701</v>
      </c>
    </row>
    <row r="5450" spans="1:40" x14ac:dyDescent="0.25">
      <c r="A5450" t="str">
        <f>"20190312172518960"</f>
        <v>20190312172518960</v>
      </c>
      <c r="B5450" t="str">
        <f>"1552382718945849"</f>
        <v>1552382718945849</v>
      </c>
      <c r="C5450" t="s">
        <v>40</v>
      </c>
      <c r="D5450">
        <v>4.1729520000000004</v>
      </c>
      <c r="E5450">
        <v>0.54900400000000005</v>
      </c>
      <c r="F5450" t="s">
        <v>41</v>
      </c>
      <c r="G5450">
        <v>-356.84969999999998</v>
      </c>
      <c r="H5450">
        <v>1.051839</v>
      </c>
      <c r="I5450">
        <v>17.020219999999998</v>
      </c>
      <c r="J5450">
        <v>-357.60579999999999</v>
      </c>
      <c r="K5450">
        <v>1.1097330000000001</v>
      </c>
      <c r="L5450">
        <v>17.117279999999901</v>
      </c>
      <c r="M5450">
        <v>0.99997060000000004</v>
      </c>
      <c r="N5450">
        <v>0</v>
      </c>
      <c r="O5450">
        <v>-3.5125540000000002E-3</v>
      </c>
      <c r="P5450">
        <v>0.9886568</v>
      </c>
      <c r="Q5450">
        <v>0.15008350000000001</v>
      </c>
      <c r="R5450">
        <v>5.7500950000000002E-3</v>
      </c>
      <c r="S5450">
        <v>3.0676269999999999</v>
      </c>
      <c r="T5450">
        <v>-0.20243739999999999</v>
      </c>
      <c r="U5450">
        <v>-0.339447</v>
      </c>
      <c r="V5450">
        <v>-9.2752479999999998E-3</v>
      </c>
      <c r="W5450">
        <v>0.156836999999999</v>
      </c>
      <c r="X5450">
        <v>0.98758100000000004</v>
      </c>
      <c r="Y5450">
        <v>0.1062705</v>
      </c>
      <c r="Z5450">
        <v>-3.2612079999999998E-3</v>
      </c>
      <c r="AA5450">
        <v>0.99433190000000005</v>
      </c>
      <c r="AB5450">
        <v>24</v>
      </c>
      <c r="AC5450">
        <v>0.75610000000000299</v>
      </c>
      <c r="AD5450">
        <v>-5.7894000000000098E-2</v>
      </c>
      <c r="AE5450">
        <v>-9.70599999999954E-2</v>
      </c>
      <c r="AF5450">
        <v>9.38621192763269E-2</v>
      </c>
      <c r="AG5450">
        <v>-5.7894000000000098E-2</v>
      </c>
      <c r="AH5450">
        <v>0.75209831735357402</v>
      </c>
      <c r="AI5450">
        <v>94.368004110833198</v>
      </c>
      <c r="AJ5450">
        <v>82.886248091375904</v>
      </c>
      <c r="AK5450">
        <v>0.760140573602752</v>
      </c>
      <c r="AL5450">
        <v>80.976648685091305</v>
      </c>
      <c r="AM5450">
        <v>90.538099598629998</v>
      </c>
      <c r="AN5450">
        <v>1.00000005317772</v>
      </c>
    </row>
    <row r="5451" spans="1:40" x14ac:dyDescent="0.25">
      <c r="A5451" t="str">
        <f>"20190312172518972"</f>
        <v>20190312172518972</v>
      </c>
      <c r="B5451" t="str">
        <f>"1552382718966345"</f>
        <v>1552382718966345</v>
      </c>
      <c r="C5451" t="s">
        <v>40</v>
      </c>
      <c r="D5451">
        <v>4.1787000000000001</v>
      </c>
      <c r="E5451">
        <v>0.5500661</v>
      </c>
      <c r="F5451" t="s">
        <v>43</v>
      </c>
      <c r="G5451">
        <v>-340.67579999999998</v>
      </c>
      <c r="H5451" s="1">
        <v>-4.7690130000000001E-6</v>
      </c>
      <c r="I5451">
        <v>15.18141</v>
      </c>
      <c r="J5451">
        <v>-357.46940000000001</v>
      </c>
      <c r="K5451">
        <v>1.109715</v>
      </c>
      <c r="L5451">
        <v>17.11694</v>
      </c>
      <c r="M5451">
        <v>0.99997100000000005</v>
      </c>
      <c r="N5451">
        <v>0</v>
      </c>
      <c r="O5451">
        <v>-3.396994E-3</v>
      </c>
      <c r="P5451">
        <v>0.98864980000000002</v>
      </c>
      <c r="Q5451">
        <v>0.1501836</v>
      </c>
      <c r="R5451">
        <v>4.0282410000000001E-3</v>
      </c>
      <c r="S5451">
        <v>3.0669559999999998</v>
      </c>
      <c r="T5451">
        <v>-0.20103470000000001</v>
      </c>
      <c r="U5451">
        <v>-0.35067749999999998</v>
      </c>
      <c r="V5451">
        <v>-7.4329089999999997E-3</v>
      </c>
      <c r="W5451">
        <v>0.1569237</v>
      </c>
      <c r="X5451">
        <v>0.98758270000000004</v>
      </c>
      <c r="Y5451">
        <v>0.1099989</v>
      </c>
      <c r="Z5451">
        <v>-3.3679119999999998E-3</v>
      </c>
      <c r="AA5451">
        <v>0.99392599999999998</v>
      </c>
      <c r="AB5451">
        <v>24</v>
      </c>
      <c r="AC5451">
        <v>16.793600000000001</v>
      </c>
      <c r="AD5451">
        <v>-1.1097197690130001</v>
      </c>
      <c r="AE5451">
        <v>-1.93552999999999</v>
      </c>
      <c r="AF5451">
        <v>1.8704095673443599</v>
      </c>
      <c r="AG5451">
        <v>-1.1097197690130001</v>
      </c>
      <c r="AH5451">
        <v>16.7279920775945</v>
      </c>
      <c r="AI5451">
        <v>93.771951622940506</v>
      </c>
      <c r="AJ5451">
        <v>83.620077720814393</v>
      </c>
      <c r="AK5451">
        <v>16.868776744726201</v>
      </c>
      <c r="AL5451">
        <v>80.971617852900707</v>
      </c>
      <c r="AM5451">
        <v>90.431220873039393</v>
      </c>
      <c r="AN5451">
        <v>0.99999994254858904</v>
      </c>
    </row>
    <row r="5452" spans="1:40" x14ac:dyDescent="0.25">
      <c r="A5452" t="str">
        <f>"20190312172518995"</f>
        <v>20190312172518995</v>
      </c>
      <c r="B5452" t="str">
        <f>"1552382718985865"</f>
        <v>1552382718985865</v>
      </c>
      <c r="C5452" t="s">
        <v>40</v>
      </c>
      <c r="D5452">
        <v>4.1680359999999999</v>
      </c>
      <c r="E5452">
        <v>0.55058289999999999</v>
      </c>
      <c r="F5452" t="s">
        <v>41</v>
      </c>
      <c r="G5452">
        <v>-356.63080000000002</v>
      </c>
      <c r="H5452">
        <v>1.0549010000000001</v>
      </c>
      <c r="I5452">
        <v>17.017150000000001</v>
      </c>
      <c r="J5452">
        <v>-357.21480000000003</v>
      </c>
      <c r="K5452">
        <v>1.1096809999999999</v>
      </c>
      <c r="L5452">
        <v>17.11627</v>
      </c>
      <c r="M5452">
        <v>0.99997170000000002</v>
      </c>
      <c r="N5452">
        <v>0</v>
      </c>
      <c r="O5452">
        <v>-3.219071E-3</v>
      </c>
      <c r="P5452">
        <v>0.98862309999999998</v>
      </c>
      <c r="Q5452">
        <v>0.15041209999999999</v>
      </c>
      <c r="R5452">
        <v>9.5798729999999998E-4</v>
      </c>
      <c r="S5452">
        <v>3.066376</v>
      </c>
      <c r="T5452">
        <v>-0.2004194</v>
      </c>
      <c r="U5452">
        <v>-0.3651123</v>
      </c>
      <c r="V5452">
        <v>-4.1744679999999998E-3</v>
      </c>
      <c r="W5452">
        <v>0.15712809999999999</v>
      </c>
      <c r="X5452">
        <v>0.98756940000000004</v>
      </c>
      <c r="Y5452">
        <v>0.1148026</v>
      </c>
      <c r="Z5452">
        <v>-3.5251890000000002E-3</v>
      </c>
      <c r="AA5452">
        <v>0.99338210000000005</v>
      </c>
      <c r="AB5452">
        <v>24</v>
      </c>
      <c r="AC5452">
        <v>0.58400000000000296</v>
      </c>
      <c r="AD5452">
        <v>-5.4779999999999801E-2</v>
      </c>
      <c r="AE5452">
        <v>-9.9119999999999195E-2</v>
      </c>
      <c r="AF5452">
        <v>9.6414933099762304E-2</v>
      </c>
      <c r="AG5452">
        <v>-5.4779999999999801E-2</v>
      </c>
      <c r="AH5452">
        <v>0.579361167452906</v>
      </c>
      <c r="AI5452">
        <v>95.328545631905001</v>
      </c>
      <c r="AJ5452">
        <v>80.551655698369999</v>
      </c>
      <c r="AK5452">
        <v>0.58987799592544998</v>
      </c>
      <c r="AL5452">
        <v>80.959759944748797</v>
      </c>
      <c r="AM5452">
        <v>90.242188522249094</v>
      </c>
      <c r="AN5452">
        <v>0.99999999290452601</v>
      </c>
    </row>
    <row r="5453" spans="1:40" x14ac:dyDescent="0.25">
      <c r="A5453" t="str">
        <f>"20190312172519017"</f>
        <v>20190312172519017</v>
      </c>
      <c r="B5453" t="str">
        <f>"1552382719006361"</f>
        <v>1552382719006361</v>
      </c>
      <c r="C5453" t="s">
        <v>40</v>
      </c>
      <c r="D5453">
        <v>4.1572290000000001</v>
      </c>
      <c r="E5453">
        <v>0.55096330000000004</v>
      </c>
      <c r="F5453" t="s">
        <v>43</v>
      </c>
      <c r="G5453">
        <v>-340.16759999999999</v>
      </c>
      <c r="H5453" s="1">
        <v>-5.0185429999999996E-6</v>
      </c>
      <c r="I5453">
        <v>15.003830000000001</v>
      </c>
      <c r="J5453">
        <v>-356.9819</v>
      </c>
      <c r="K5453">
        <v>1.1096459999999999</v>
      </c>
      <c r="L5453">
        <v>17.115659999999998</v>
      </c>
      <c r="M5453">
        <v>0.99997230000000004</v>
      </c>
      <c r="N5453">
        <v>0</v>
      </c>
      <c r="O5453">
        <v>-3.108768E-3</v>
      </c>
      <c r="P5453">
        <v>0.98865429999999999</v>
      </c>
      <c r="Q5453">
        <v>0.150195</v>
      </c>
      <c r="R5453">
        <v>-2.0953870000000002E-3</v>
      </c>
      <c r="S5453">
        <v>3.0652469999999998</v>
      </c>
      <c r="T5453">
        <v>-0.19953219999999999</v>
      </c>
      <c r="U5453">
        <v>-0.37982179999999999</v>
      </c>
      <c r="V5453">
        <v>-9.9961550000000009E-4</v>
      </c>
      <c r="W5453">
        <v>0.15689069999999999</v>
      </c>
      <c r="X5453">
        <v>0.98761549999999998</v>
      </c>
      <c r="Y5453">
        <v>0.1196431</v>
      </c>
      <c r="Z5453">
        <v>-3.6738159999999999E-3</v>
      </c>
      <c r="AA5453">
        <v>0.99281019999999998</v>
      </c>
      <c r="AB5453">
        <v>24</v>
      </c>
      <c r="AC5453">
        <v>16.814299999999999</v>
      </c>
      <c r="AD5453">
        <v>-1.109651018543</v>
      </c>
      <c r="AE5453">
        <v>-2.1118299999999999</v>
      </c>
      <c r="AF5453">
        <v>2.05075395585287</v>
      </c>
      <c r="AG5453">
        <v>-1.109651018543</v>
      </c>
      <c r="AH5453">
        <v>16.7489706025824</v>
      </c>
      <c r="AI5453">
        <v>93.7623987374797</v>
      </c>
      <c r="AJ5453">
        <v>83.019415798874206</v>
      </c>
      <c r="AK5453">
        <v>16.910497728232901</v>
      </c>
      <c r="AL5453">
        <v>80.973533154664693</v>
      </c>
      <c r="AM5453">
        <v>90.057991930794799</v>
      </c>
      <c r="AN5453">
        <v>1.0000000334089401</v>
      </c>
    </row>
    <row r="5454" spans="1:40" x14ac:dyDescent="0.25">
      <c r="A5454" t="str">
        <f>"20190312172519038"</f>
        <v>20190312172519038</v>
      </c>
      <c r="B5454" t="str">
        <f>"1552382719025882"</f>
        <v>1552382719025882</v>
      </c>
      <c r="C5454" t="s">
        <v>40</v>
      </c>
      <c r="D5454">
        <v>4.1993619999999998</v>
      </c>
      <c r="E5454">
        <v>0.55124649999999997</v>
      </c>
      <c r="F5454" t="s">
        <v>43</v>
      </c>
      <c r="G5454">
        <v>-339.90660000000003</v>
      </c>
      <c r="H5454" s="1">
        <v>-1.2668230000000001E-6</v>
      </c>
      <c r="I5454">
        <v>14.922219999999999</v>
      </c>
      <c r="J5454">
        <v>-356.74689999999998</v>
      </c>
      <c r="K5454">
        <v>1.109604</v>
      </c>
      <c r="L5454">
        <v>17.11505</v>
      </c>
      <c r="M5454">
        <v>0.99997250000000004</v>
      </c>
      <c r="N5454">
        <v>0</v>
      </c>
      <c r="O5454">
        <v>-3.042941E-3</v>
      </c>
      <c r="P5454">
        <v>0.98870270000000005</v>
      </c>
      <c r="Q5454">
        <v>0.149809</v>
      </c>
      <c r="R5454">
        <v>-4.9606800000000003E-3</v>
      </c>
      <c r="S5454">
        <v>3.0638429999999999</v>
      </c>
      <c r="T5454">
        <v>-0.19910439999999999</v>
      </c>
      <c r="U5454">
        <v>-0.39355469999999998</v>
      </c>
      <c r="V5454">
        <v>1.9437149999999999E-3</v>
      </c>
      <c r="W5454">
        <v>0.1564876</v>
      </c>
      <c r="X5454">
        <v>0.98767799999999994</v>
      </c>
      <c r="Y5454">
        <v>0.12413449999999999</v>
      </c>
      <c r="Z5454">
        <v>-3.8160440000000002E-3</v>
      </c>
      <c r="AA5454">
        <v>0.99225810000000003</v>
      </c>
      <c r="AB5454">
        <v>24</v>
      </c>
      <c r="AC5454">
        <v>16.8402999999999</v>
      </c>
      <c r="AD5454">
        <v>-1.1096052668230001</v>
      </c>
      <c r="AE5454">
        <v>-2.1928299999999901</v>
      </c>
      <c r="AF5454">
        <v>2.13247092322763</v>
      </c>
      <c r="AG5454">
        <v>-1.1096052668230001</v>
      </c>
      <c r="AH5454">
        <v>16.775279637140802</v>
      </c>
      <c r="AI5454">
        <v>93.754207733368006</v>
      </c>
      <c r="AJ5454">
        <v>82.755425514353405</v>
      </c>
      <c r="AK5454">
        <v>16.946641643430301</v>
      </c>
      <c r="AL5454">
        <v>80.9969175321515</v>
      </c>
      <c r="AM5454">
        <v>89.887244099487305</v>
      </c>
      <c r="AN5454">
        <v>0.99999998933288003</v>
      </c>
    </row>
    <row r="5455" spans="1:40" x14ac:dyDescent="0.25">
      <c r="A5455" t="str">
        <f>"20190312172519052"</f>
        <v>20190312172519052</v>
      </c>
      <c r="B5455" t="str">
        <f>"1552382719046377"</f>
        <v>1552382719046377</v>
      </c>
      <c r="C5455" t="s">
        <v>40</v>
      </c>
      <c r="D5455">
        <v>4.1786019999999997</v>
      </c>
      <c r="E5455">
        <v>0.55141010000000001</v>
      </c>
      <c r="F5455" t="s">
        <v>43</v>
      </c>
      <c r="G5455">
        <v>-339.70420000000001</v>
      </c>
      <c r="H5455" s="1">
        <v>-1.3537649999999999E-6</v>
      </c>
      <c r="I5455">
        <v>14.85432</v>
      </c>
      <c r="J5455">
        <v>-356.59719999999999</v>
      </c>
      <c r="K5455">
        <v>1.1095809999999999</v>
      </c>
      <c r="L5455">
        <v>17.114619999999999</v>
      </c>
      <c r="M5455">
        <v>0.99997270000000005</v>
      </c>
      <c r="N5455">
        <v>0</v>
      </c>
      <c r="O5455">
        <v>-3.0227909999999999E-3</v>
      </c>
      <c r="P5455">
        <v>0.98867669999999996</v>
      </c>
      <c r="Q5455">
        <v>0.14993110000000001</v>
      </c>
      <c r="R5455">
        <v>-6.2596669999999896E-3</v>
      </c>
      <c r="S5455">
        <v>3.0624389999999999</v>
      </c>
      <c r="T5455">
        <v>-0.1993867</v>
      </c>
      <c r="U5455">
        <v>-0.40621950000000001</v>
      </c>
      <c r="V5455">
        <v>3.2698419999999998E-3</v>
      </c>
      <c r="W5455">
        <v>0.15659970000000001</v>
      </c>
      <c r="X5455">
        <v>0.9876568</v>
      </c>
      <c r="Y5455">
        <v>0.1282363</v>
      </c>
      <c r="Z5455">
        <v>-3.9562709999999999E-3</v>
      </c>
      <c r="AA5455">
        <v>0.99173579999999995</v>
      </c>
      <c r="AB5455">
        <v>24</v>
      </c>
      <c r="AC5455">
        <v>16.892999999999901</v>
      </c>
      <c r="AD5455">
        <v>-1.109582353765</v>
      </c>
      <c r="AE5455">
        <v>-2.2603</v>
      </c>
      <c r="AF5455">
        <v>2.1999005033480499</v>
      </c>
      <c r="AG5455">
        <v>-1.109582353765</v>
      </c>
      <c r="AH5455">
        <v>16.828430211396199</v>
      </c>
      <c r="AI5455">
        <v>93.740601416651899</v>
      </c>
      <c r="AJ5455">
        <v>82.552229304248002</v>
      </c>
      <c r="AK5455">
        <v>17.007845207557899</v>
      </c>
      <c r="AL5455">
        <v>80.990415107456101</v>
      </c>
      <c r="AM5455">
        <v>89.8103111710614</v>
      </c>
      <c r="AN5455">
        <v>1.0000000562465099</v>
      </c>
    </row>
    <row r="5456" spans="1:40" x14ac:dyDescent="0.25">
      <c r="A5456" t="str">
        <f>"20190312172519071"</f>
        <v>20190312172519071</v>
      </c>
      <c r="B5456" t="str">
        <f>"1552382719065897"</f>
        <v>1552382719065897</v>
      </c>
      <c r="C5456" t="s">
        <v>40</v>
      </c>
      <c r="D5456">
        <v>4.1893149999999997</v>
      </c>
      <c r="E5456">
        <v>0.5515023</v>
      </c>
      <c r="F5456" t="s">
        <v>43</v>
      </c>
      <c r="G5456">
        <v>-339.51600000000002</v>
      </c>
      <c r="H5456" s="1">
        <v>-1.4285430000000001E-6</v>
      </c>
      <c r="I5456">
        <v>14.814030000000001</v>
      </c>
      <c r="J5456">
        <v>-356.38260000000002</v>
      </c>
      <c r="K5456">
        <v>1.1095549999999901</v>
      </c>
      <c r="L5456">
        <v>17.113979999999898</v>
      </c>
      <c r="M5456">
        <v>0.99997290000000005</v>
      </c>
      <c r="N5456">
        <v>0</v>
      </c>
      <c r="O5456">
        <v>-3.011353E-3</v>
      </c>
      <c r="P5456">
        <v>0.98870159999999996</v>
      </c>
      <c r="Q5456">
        <v>0.14962349999999999</v>
      </c>
      <c r="R5456">
        <v>-9.0604780000000003E-3</v>
      </c>
      <c r="S5456">
        <v>3.0619510000000001</v>
      </c>
      <c r="T5456">
        <v>-0.19890089999999999</v>
      </c>
      <c r="U5456">
        <v>-0.41238399999999997</v>
      </c>
      <c r="V5456">
        <v>6.0896969999999998E-3</v>
      </c>
      <c r="W5456">
        <v>0.1562789</v>
      </c>
      <c r="X5456">
        <v>0.98769419999999997</v>
      </c>
      <c r="Y5456">
        <v>0.1302267</v>
      </c>
      <c r="Z5456">
        <v>-4.0117820000000002E-3</v>
      </c>
      <c r="AA5456">
        <v>0.99147609999999997</v>
      </c>
      <c r="AB5456">
        <v>24</v>
      </c>
      <c r="AC5456">
        <v>16.866599999999998</v>
      </c>
      <c r="AD5456">
        <v>-1.10955642854299</v>
      </c>
      <c r="AE5456">
        <v>-2.2999499999999902</v>
      </c>
      <c r="AF5456">
        <v>2.2396319134288598</v>
      </c>
      <c r="AG5456">
        <v>-1.10955642854299</v>
      </c>
      <c r="AH5456">
        <v>16.802064948333399</v>
      </c>
      <c r="AI5456">
        <v>93.745121674775604</v>
      </c>
      <c r="AJ5456">
        <v>82.407512384559297</v>
      </c>
      <c r="AK5456">
        <v>16.986949493766801</v>
      </c>
      <c r="AL5456">
        <v>81.009024265206605</v>
      </c>
      <c r="AM5456">
        <v>89.646743379194504</v>
      </c>
      <c r="AN5456">
        <v>1.0000000058542</v>
      </c>
    </row>
    <row r="5457" spans="1:40" x14ac:dyDescent="0.25">
      <c r="A5457" t="str">
        <f>"20190312172519095"</f>
        <v>20190312172519095</v>
      </c>
      <c r="B5457" t="str">
        <f>"1552382719086393"</f>
        <v>1552382719086393</v>
      </c>
      <c r="C5457" t="s">
        <v>40</v>
      </c>
      <c r="D5457">
        <v>4.1876959999999999</v>
      </c>
      <c r="E5457">
        <v>0.55144169999999904</v>
      </c>
      <c r="F5457" t="s">
        <v>43</v>
      </c>
      <c r="G5457">
        <v>-339.32080000000002</v>
      </c>
      <c r="H5457" s="1">
        <v>-1.5098309999999999E-6</v>
      </c>
      <c r="I5457">
        <v>14.75811</v>
      </c>
      <c r="J5457">
        <v>-356.12240000000003</v>
      </c>
      <c r="K5457">
        <v>1.109537</v>
      </c>
      <c r="L5457">
        <v>17.113219999999998</v>
      </c>
      <c r="M5457">
        <v>0.999973</v>
      </c>
      <c r="N5457">
        <v>0</v>
      </c>
      <c r="O5457">
        <v>-3.020128E-3</v>
      </c>
      <c r="P5457">
        <v>0.98868080000000003</v>
      </c>
      <c r="Q5457">
        <v>0.1495841</v>
      </c>
      <c r="R5457">
        <v>-1.162709E-2</v>
      </c>
      <c r="S5457">
        <v>3.0605159999999998</v>
      </c>
      <c r="T5457">
        <v>-0.1990304</v>
      </c>
      <c r="U5457">
        <v>-0.42257689999999998</v>
      </c>
      <c r="V5457">
        <v>8.6530909999999999E-3</v>
      </c>
      <c r="W5457">
        <v>0.1562257</v>
      </c>
      <c r="X5457">
        <v>0.98768350000000005</v>
      </c>
      <c r="Y5457">
        <v>0.133513299999999</v>
      </c>
      <c r="Z5457">
        <v>-4.1210359999999998E-3</v>
      </c>
      <c r="AA5457">
        <v>0.99103839999999999</v>
      </c>
      <c r="AB5457">
        <v>25</v>
      </c>
      <c r="AC5457">
        <v>16.801600000000001</v>
      </c>
      <c r="AD5457">
        <v>-1.109538509831</v>
      </c>
      <c r="AE5457">
        <v>-2.3551099999999998</v>
      </c>
      <c r="AF5457">
        <v>2.2945415212260398</v>
      </c>
      <c r="AG5457">
        <v>-1.109538509831</v>
      </c>
      <c r="AH5457">
        <v>16.7370528941982</v>
      </c>
      <c r="AI5457">
        <v>93.757676648754398</v>
      </c>
      <c r="AJ5457">
        <v>82.193782096799794</v>
      </c>
      <c r="AK5457">
        <v>16.930001065582299</v>
      </c>
      <c r="AL5457">
        <v>81.012110440931195</v>
      </c>
      <c r="AM5457">
        <v>89.498044758321299</v>
      </c>
      <c r="AN5457">
        <v>1.00000002074829</v>
      </c>
    </row>
    <row r="5458" spans="1:40" x14ac:dyDescent="0.25">
      <c r="A5458" t="str">
        <f>"20190312172519116"</f>
        <v>20190312172519116</v>
      </c>
      <c r="B5458" t="str">
        <f>"1552382719105917"</f>
        <v>1552382719105917</v>
      </c>
      <c r="C5458" t="s">
        <v>40</v>
      </c>
      <c r="D5458">
        <v>4.2161600000000004</v>
      </c>
      <c r="E5458">
        <v>0.55128029999999995</v>
      </c>
      <c r="F5458" t="s">
        <v>43</v>
      </c>
      <c r="G5458">
        <v>-339.12240000000003</v>
      </c>
      <c r="H5458" s="1">
        <v>-1.586691E-6</v>
      </c>
      <c r="I5458">
        <v>14.723039999999999</v>
      </c>
      <c r="J5458">
        <v>-355.89</v>
      </c>
      <c r="K5458">
        <v>1.109531</v>
      </c>
      <c r="L5458">
        <v>17.112490000000001</v>
      </c>
      <c r="M5458">
        <v>0.99997290000000005</v>
      </c>
      <c r="N5458">
        <v>0</v>
      </c>
      <c r="O5458">
        <v>-3.0406370000000001E-3</v>
      </c>
      <c r="P5458">
        <v>0.98865650000000005</v>
      </c>
      <c r="Q5458">
        <v>0.14959349999999999</v>
      </c>
      <c r="R5458">
        <v>-1.34205E-2</v>
      </c>
      <c r="S5458">
        <v>3.0595089999999998</v>
      </c>
      <c r="T5458">
        <v>-0.19968369999999999</v>
      </c>
      <c r="U5458">
        <v>-0.43014530000000001</v>
      </c>
      <c r="V5458">
        <v>1.042829E-2</v>
      </c>
      <c r="W5458">
        <v>0.15622520000000001</v>
      </c>
      <c r="X5458">
        <v>0.98766640000000006</v>
      </c>
      <c r="Y5458">
        <v>0.13593469999999999</v>
      </c>
      <c r="Z5458">
        <v>-4.212398E-3</v>
      </c>
      <c r="AA5458">
        <v>0.99070879999999995</v>
      </c>
      <c r="AB5458">
        <v>25</v>
      </c>
      <c r="AC5458">
        <v>16.767599999999899</v>
      </c>
      <c r="AD5458">
        <v>-1.109532586691</v>
      </c>
      <c r="AE5458">
        <v>-2.3894500000000001</v>
      </c>
      <c r="AF5458">
        <v>2.3284610742354301</v>
      </c>
      <c r="AG5458">
        <v>-1.109532586691</v>
      </c>
      <c r="AH5458">
        <v>16.703107016640999</v>
      </c>
      <c r="AI5458">
        <v>93.764095429155702</v>
      </c>
      <c r="AJ5458">
        <v>82.063947636150203</v>
      </c>
      <c r="AK5458">
        <v>16.901082141227601</v>
      </c>
      <c r="AL5458">
        <v>81.012139166462205</v>
      </c>
      <c r="AM5458">
        <v>89.395064160741796</v>
      </c>
      <c r="AN5458">
        <v>0.99999999001816198</v>
      </c>
    </row>
    <row r="5459" spans="1:40" x14ac:dyDescent="0.25">
      <c r="A5459" t="str">
        <f>"20190312172519138"</f>
        <v>20190312172519138</v>
      </c>
      <c r="B5459" t="str">
        <f>"1552382719126409"</f>
        <v>1552382719126409</v>
      </c>
      <c r="C5459" t="s">
        <v>40</v>
      </c>
      <c r="D5459">
        <v>4.1968120000000004</v>
      </c>
      <c r="E5459">
        <v>0.55103939999999996</v>
      </c>
      <c r="F5459" t="s">
        <v>43</v>
      </c>
      <c r="G5459">
        <v>-338.91320000000002</v>
      </c>
      <c r="H5459" s="1">
        <v>-1.663376E-6</v>
      </c>
      <c r="I5459">
        <v>14.702299999999999</v>
      </c>
      <c r="J5459">
        <v>-355.65089999999998</v>
      </c>
      <c r="K5459">
        <v>1.109534</v>
      </c>
      <c r="L5459">
        <v>17.11176</v>
      </c>
      <c r="M5459">
        <v>0.99997290000000005</v>
      </c>
      <c r="N5459">
        <v>0</v>
      </c>
      <c r="O5459">
        <v>-3.0657599999999998E-3</v>
      </c>
      <c r="P5459">
        <v>0.9886722</v>
      </c>
      <c r="Q5459">
        <v>0.14938460000000001</v>
      </c>
      <c r="R5459">
        <v>-1.4547340000000001E-2</v>
      </c>
      <c r="S5459">
        <v>3.0587460000000002</v>
      </c>
      <c r="T5459">
        <v>-0.19990749999999999</v>
      </c>
      <c r="U5459">
        <v>-0.43423460000000003</v>
      </c>
      <c r="V5459">
        <v>1.152997E-2</v>
      </c>
      <c r="W5459">
        <v>0.1560086</v>
      </c>
      <c r="X5459">
        <v>0.98768840000000002</v>
      </c>
      <c r="Y5459">
        <v>0.137239</v>
      </c>
      <c r="Z5459">
        <v>-4.258492E-3</v>
      </c>
      <c r="AA5459">
        <v>0.99052879999999999</v>
      </c>
      <c r="AB5459">
        <v>25</v>
      </c>
      <c r="AC5459">
        <v>16.737699999999901</v>
      </c>
      <c r="AD5459">
        <v>-1.1095356633759901</v>
      </c>
      <c r="AE5459">
        <v>-2.4094600000000002</v>
      </c>
      <c r="AF5459">
        <v>2.34802527385812</v>
      </c>
      <c r="AG5459">
        <v>-1.1095356633759901</v>
      </c>
      <c r="AH5459">
        <v>16.673228426693001</v>
      </c>
      <c r="AI5459">
        <v>93.770096439641193</v>
      </c>
      <c r="AJ5459">
        <v>81.983974261597893</v>
      </c>
      <c r="AK5459">
        <v>16.8742655616078</v>
      </c>
      <c r="AL5459">
        <v>81.024703574521197</v>
      </c>
      <c r="AM5459">
        <v>89.331177107327207</v>
      </c>
      <c r="AN5459">
        <v>0.99999999948836005</v>
      </c>
    </row>
    <row r="5460" spans="1:40" x14ac:dyDescent="0.25">
      <c r="A5460" t="str">
        <f>"20190312172519148"</f>
        <v>20190312172519148</v>
      </c>
      <c r="B5460" t="str">
        <f>"1552382719145929"</f>
        <v>1552382719145929</v>
      </c>
      <c r="C5460" t="s">
        <v>40</v>
      </c>
      <c r="D5460">
        <v>4.1504529999999997</v>
      </c>
      <c r="E5460">
        <v>0.55092959999999902</v>
      </c>
      <c r="F5460" t="s">
        <v>43</v>
      </c>
      <c r="G5460">
        <v>-338.79300000000001</v>
      </c>
      <c r="H5460" s="1">
        <v>-1.7020289999999999E-6</v>
      </c>
      <c r="I5460">
        <v>14.710760000000001</v>
      </c>
      <c r="J5460">
        <v>-355.52690000000001</v>
      </c>
      <c r="K5460">
        <v>1.109534</v>
      </c>
      <c r="L5460">
        <v>17.111360000000001</v>
      </c>
      <c r="M5460">
        <v>0.999973</v>
      </c>
      <c r="N5460">
        <v>0</v>
      </c>
      <c r="O5460">
        <v>-3.0780159999999998E-3</v>
      </c>
      <c r="P5460">
        <v>0.98869560000000001</v>
      </c>
      <c r="Q5460">
        <v>0.14920990000000001</v>
      </c>
      <c r="R5460">
        <v>-1.47548E-2</v>
      </c>
      <c r="S5460">
        <v>3.0583800000000001</v>
      </c>
      <c r="T5460">
        <v>-0.20129369999999999</v>
      </c>
      <c r="U5460">
        <v>-0.4355774</v>
      </c>
      <c r="V5460">
        <v>1.172463E-2</v>
      </c>
      <c r="W5460">
        <v>0.155831</v>
      </c>
      <c r="X5460">
        <v>0.98771410000000004</v>
      </c>
      <c r="Y5460">
        <v>0.1376648</v>
      </c>
      <c r="Z5460">
        <v>-4.3014589999999997E-3</v>
      </c>
      <c r="AA5460">
        <v>0.9904695</v>
      </c>
      <c r="AB5460">
        <v>25</v>
      </c>
      <c r="AC5460">
        <v>16.733899999999998</v>
      </c>
      <c r="AD5460">
        <v>-1.109535702029</v>
      </c>
      <c r="AE5460">
        <v>-2.4005999999999998</v>
      </c>
      <c r="AF5460">
        <v>2.3390046379050902</v>
      </c>
      <c r="AG5460">
        <v>-1.109535702029</v>
      </c>
      <c r="AH5460">
        <v>16.669403892099201</v>
      </c>
      <c r="AI5460">
        <v>93.771222814648496</v>
      </c>
      <c r="AJ5460">
        <v>82.012563647208395</v>
      </c>
      <c r="AK5460">
        <v>16.8692334825312</v>
      </c>
      <c r="AL5460">
        <v>81.035004899674206</v>
      </c>
      <c r="AM5460">
        <v>89.319904144999299</v>
      </c>
      <c r="AN5460">
        <v>0.99999995542422204</v>
      </c>
    </row>
    <row r="5461" spans="1:40" x14ac:dyDescent="0.25">
      <c r="A5461" t="str">
        <f>"20190312172519160"</f>
        <v>20190312172519160</v>
      </c>
      <c r="B5461" t="str">
        <f>"1552382719155690"</f>
        <v>1552382719155690</v>
      </c>
      <c r="C5461" t="s">
        <v>40</v>
      </c>
      <c r="D5461">
        <v>4.1535129999999896</v>
      </c>
      <c r="E5461">
        <v>0.55088490000000001</v>
      </c>
      <c r="F5461" t="s">
        <v>43</v>
      </c>
      <c r="G5461">
        <v>-338.72579999999999</v>
      </c>
      <c r="H5461" s="1">
        <v>-1.7225109999999999E-6</v>
      </c>
      <c r="I5461">
        <v>14.719729999999901</v>
      </c>
      <c r="J5461">
        <v>-355.39550000000003</v>
      </c>
      <c r="K5461">
        <v>1.1095360000000001</v>
      </c>
      <c r="L5461">
        <v>17.110959999999999</v>
      </c>
      <c r="M5461">
        <v>0.9999728</v>
      </c>
      <c r="N5461">
        <v>0</v>
      </c>
      <c r="O5461">
        <v>-3.0903889999999998E-3</v>
      </c>
      <c r="P5461">
        <v>0.98869099999999999</v>
      </c>
      <c r="Q5461">
        <v>0.149204</v>
      </c>
      <c r="R5461">
        <v>-1.510743E-2</v>
      </c>
      <c r="S5461">
        <v>3.0582889999999998</v>
      </c>
      <c r="T5461">
        <v>-0.20196839999999999</v>
      </c>
      <c r="U5461">
        <v>-0.43533329999999998</v>
      </c>
      <c r="V5461">
        <v>1.206464E-2</v>
      </c>
      <c r="W5461">
        <v>0.1558216</v>
      </c>
      <c r="X5461">
        <v>0.98771149999999996</v>
      </c>
      <c r="Y5461">
        <v>0.13757739999999999</v>
      </c>
      <c r="Z5461">
        <v>-4.3123190000000002E-3</v>
      </c>
      <c r="AA5461">
        <v>0.99048159999999996</v>
      </c>
      <c r="AB5461">
        <v>25</v>
      </c>
      <c r="AC5461">
        <v>16.669699999999999</v>
      </c>
      <c r="AD5461">
        <v>-1.1095377225109999</v>
      </c>
      <c r="AE5461">
        <v>-2.3912300000000002</v>
      </c>
      <c r="AF5461">
        <v>2.3295889872392701</v>
      </c>
      <c r="AG5461">
        <v>-1.1095377225109999</v>
      </c>
      <c r="AH5461">
        <v>16.604929568103</v>
      </c>
      <c r="AI5461">
        <v>93.785841787167001</v>
      </c>
      <c r="AJ5461">
        <v>82.013811606973206</v>
      </c>
      <c r="AK5461">
        <v>16.804218064783701</v>
      </c>
      <c r="AL5461">
        <v>81.035550244138506</v>
      </c>
      <c r="AM5461">
        <v>89.300181704745896</v>
      </c>
      <c r="AN5461">
        <v>0.99999996689856896</v>
      </c>
    </row>
    <row r="5462" spans="1:40" x14ac:dyDescent="0.25">
      <c r="A5462" t="str">
        <f>"20190312172519173"</f>
        <v>20190312172519173</v>
      </c>
      <c r="B5462" t="str">
        <f>"1552382719166426"</f>
        <v>1552382719166426</v>
      </c>
      <c r="C5462" t="s">
        <v>40</v>
      </c>
      <c r="D5462">
        <v>4.1558820000000001</v>
      </c>
      <c r="E5462">
        <v>0.55083819999999994</v>
      </c>
      <c r="F5462" t="s">
        <v>43</v>
      </c>
      <c r="G5462">
        <v>-338.58569999999997</v>
      </c>
      <c r="H5462" s="1">
        <v>-1.771987E-6</v>
      </c>
      <c r="I5462">
        <v>14.71307</v>
      </c>
      <c r="J5462">
        <v>-355.26170000000002</v>
      </c>
      <c r="K5462">
        <v>1.1095389999999901</v>
      </c>
      <c r="L5462">
        <v>17.110529999999901</v>
      </c>
      <c r="M5462">
        <v>0.99997290000000005</v>
      </c>
      <c r="N5462">
        <v>0</v>
      </c>
      <c r="O5462">
        <v>-3.099784E-3</v>
      </c>
      <c r="P5462">
        <v>0.98871500000000001</v>
      </c>
      <c r="Q5462">
        <v>0.1489972</v>
      </c>
      <c r="R5462">
        <v>-1.557733E-2</v>
      </c>
      <c r="S5462">
        <v>3.0581049999999999</v>
      </c>
      <c r="T5462">
        <v>-0.201851</v>
      </c>
      <c r="U5462">
        <v>-0.4362183</v>
      </c>
      <c r="V5462">
        <v>1.2524220000000001E-2</v>
      </c>
      <c r="W5462">
        <v>0.1556129</v>
      </c>
      <c r="X5462">
        <v>0.98773869999999997</v>
      </c>
      <c r="Y5462">
        <v>0.13785710000000001</v>
      </c>
      <c r="Z5462">
        <v>-4.3185419999999999E-3</v>
      </c>
      <c r="AA5462">
        <v>0.99044270000000001</v>
      </c>
      <c r="AB5462">
        <v>25</v>
      </c>
      <c r="AC5462">
        <v>16.675999999999998</v>
      </c>
      <c r="AD5462">
        <v>-1.1095407719870001</v>
      </c>
      <c r="AE5462">
        <v>-2.3974599999999899</v>
      </c>
      <c r="AF5462">
        <v>2.3356250619177601</v>
      </c>
      <c r="AG5462">
        <v>-1.1095407719870001</v>
      </c>
      <c r="AH5462">
        <v>16.611303713889001</v>
      </c>
      <c r="AI5462">
        <v>93.784242794393606</v>
      </c>
      <c r="AJ5462">
        <v>81.996419520049997</v>
      </c>
      <c r="AK5462">
        <v>16.811354384154299</v>
      </c>
      <c r="AL5462">
        <v>81.047655702463601</v>
      </c>
      <c r="AM5462">
        <v>89.273546237539506</v>
      </c>
      <c r="AN5462">
        <v>0.99999998510535404</v>
      </c>
    </row>
    <row r="5463" spans="1:40" x14ac:dyDescent="0.25">
      <c r="A5463" t="str">
        <f>"20190312172519184"</f>
        <v>20190312172519184</v>
      </c>
      <c r="B5463" t="str">
        <f>"1552382719176186"</f>
        <v>1552382719176186</v>
      </c>
      <c r="C5463" t="s">
        <v>40</v>
      </c>
      <c r="D5463">
        <v>4.1472639999999998</v>
      </c>
      <c r="E5463">
        <v>0.5508035</v>
      </c>
      <c r="F5463" t="s">
        <v>43</v>
      </c>
      <c r="G5463">
        <v>-338.5204</v>
      </c>
      <c r="H5463" s="1">
        <v>-1.7935759999999901E-6</v>
      </c>
      <c r="I5463">
        <v>14.71541</v>
      </c>
      <c r="J5463">
        <v>-355.12049999999999</v>
      </c>
      <c r="K5463">
        <v>1.1095410000000001</v>
      </c>
      <c r="L5463">
        <v>17.11008</v>
      </c>
      <c r="M5463">
        <v>0.99997290000000005</v>
      </c>
      <c r="N5463">
        <v>0</v>
      </c>
      <c r="O5463">
        <v>-3.1083410000000001E-3</v>
      </c>
      <c r="P5463">
        <v>0.98866220000000005</v>
      </c>
      <c r="Q5463">
        <v>0.14930850000000001</v>
      </c>
      <c r="R5463">
        <v>-1.5938879999999999E-2</v>
      </c>
      <c r="S5463">
        <v>3.0578919999999998</v>
      </c>
      <c r="T5463">
        <v>-0.20266390000000001</v>
      </c>
      <c r="U5463">
        <v>-0.43746950000000001</v>
      </c>
      <c r="V5463">
        <v>1.2876800000000001E-2</v>
      </c>
      <c r="W5463">
        <v>0.155921</v>
      </c>
      <c r="X5463">
        <v>0.98768560000000005</v>
      </c>
      <c r="Y5463">
        <v>0.13825229999999999</v>
      </c>
      <c r="Z5463">
        <v>-4.348523E-3</v>
      </c>
      <c r="AA5463">
        <v>0.99038749999999998</v>
      </c>
      <c r="AB5463">
        <v>25</v>
      </c>
      <c r="AC5463">
        <v>16.600099999999902</v>
      </c>
      <c r="AD5463">
        <v>-1.1095427935759901</v>
      </c>
      <c r="AE5463">
        <v>-2.3946700000000001</v>
      </c>
      <c r="AF5463">
        <v>2.3328489171462699</v>
      </c>
      <c r="AG5463">
        <v>-1.1095427935759901</v>
      </c>
      <c r="AH5463">
        <v>16.535098411152099</v>
      </c>
      <c r="AI5463">
        <v>93.801387791317296</v>
      </c>
      <c r="AJ5463">
        <v>81.969446309174003</v>
      </c>
      <c r="AK5463">
        <v>16.735672939786198</v>
      </c>
      <c r="AL5463">
        <v>81.029784937495407</v>
      </c>
      <c r="AM5463">
        <v>89.253057352674304</v>
      </c>
      <c r="AN5463">
        <v>1.0000000073333</v>
      </c>
    </row>
    <row r="5464" spans="1:40" x14ac:dyDescent="0.25">
      <c r="A5464" t="str">
        <f>"20190312172519205"</f>
        <v>20190312172519205</v>
      </c>
      <c r="B5464" t="str">
        <f>"1552382719195708"</f>
        <v>1552382719195708</v>
      </c>
      <c r="C5464" t="s">
        <v>40</v>
      </c>
      <c r="D5464">
        <v>4.1375260000000003</v>
      </c>
      <c r="E5464">
        <v>0.55066910000000002</v>
      </c>
      <c r="F5464" t="s">
        <v>43</v>
      </c>
      <c r="G5464">
        <v>-338.28640000000001</v>
      </c>
      <c r="H5464" s="1">
        <v>-1.8786690000000001E-6</v>
      </c>
      <c r="I5464">
        <v>14.694850000000001</v>
      </c>
      <c r="J5464">
        <v>-354.89019999999999</v>
      </c>
      <c r="K5464">
        <v>1.1095379999999999</v>
      </c>
      <c r="L5464">
        <v>17.10941</v>
      </c>
      <c r="M5464">
        <v>0.999973</v>
      </c>
      <c r="N5464">
        <v>0</v>
      </c>
      <c r="O5464">
        <v>-3.116878E-3</v>
      </c>
      <c r="P5464">
        <v>0.98862669999999997</v>
      </c>
      <c r="Q5464">
        <v>0.14958689999999999</v>
      </c>
      <c r="R5464">
        <v>-1.553385E-2</v>
      </c>
      <c r="S5464">
        <v>3.0577700000000001</v>
      </c>
      <c r="T5464">
        <v>-0.201539</v>
      </c>
      <c r="U5464">
        <v>-0.43869019999999997</v>
      </c>
      <c r="V5464">
        <v>1.2462569999999999E-2</v>
      </c>
      <c r="W5464">
        <v>0.15619140000000001</v>
      </c>
      <c r="X5464">
        <v>0.98764819999999998</v>
      </c>
      <c r="Y5464">
        <v>0.13863919999999999</v>
      </c>
      <c r="Z5464">
        <v>-4.336599E-3</v>
      </c>
      <c r="AA5464">
        <v>0.99033349999999998</v>
      </c>
      <c r="AB5464">
        <v>25</v>
      </c>
      <c r="AC5464">
        <v>16.6037999999999</v>
      </c>
      <c r="AD5464">
        <v>-1.1095398786689901</v>
      </c>
      <c r="AE5464">
        <v>-2.4145599999999998</v>
      </c>
      <c r="AF5464">
        <v>2.3525075230653298</v>
      </c>
      <c r="AG5464">
        <v>-1.1095398786689901</v>
      </c>
      <c r="AH5464">
        <v>16.538920226945802</v>
      </c>
      <c r="AI5464">
        <v>93.799893675453205</v>
      </c>
      <c r="AJ5464">
        <v>81.904514040008195</v>
      </c>
      <c r="AK5464">
        <v>16.7421997557583</v>
      </c>
      <c r="AL5464">
        <v>81.014100086446007</v>
      </c>
      <c r="AM5464">
        <v>89.277055566736294</v>
      </c>
      <c r="AN5464">
        <v>1.0000000180241</v>
      </c>
    </row>
    <row r="5465" spans="1:40" x14ac:dyDescent="0.25">
      <c r="A5465" t="str">
        <f>"20190312172519227"</f>
        <v>20190312172519227</v>
      </c>
      <c r="B5465" t="str">
        <f>"1552382719216201"</f>
        <v>1552382719216201</v>
      </c>
      <c r="C5465" t="s">
        <v>40</v>
      </c>
      <c r="D5465">
        <v>4.1495739999999897</v>
      </c>
      <c r="E5465">
        <v>0.55056110000000003</v>
      </c>
      <c r="F5465" t="s">
        <v>43</v>
      </c>
      <c r="G5465">
        <v>-337.98500000000001</v>
      </c>
      <c r="H5465" s="1">
        <v>-1.9811649999999999E-6</v>
      </c>
      <c r="I5465">
        <v>14.69514</v>
      </c>
      <c r="J5465">
        <v>-354.6431</v>
      </c>
      <c r="K5465">
        <v>1.1095269999999999</v>
      </c>
      <c r="L5465">
        <v>17.108640000000001</v>
      </c>
      <c r="M5465">
        <v>0.99997290000000005</v>
      </c>
      <c r="N5465">
        <v>0</v>
      </c>
      <c r="O5465">
        <v>-3.1202830000000002E-3</v>
      </c>
      <c r="P5465">
        <v>0.98875179999999996</v>
      </c>
      <c r="Q5465">
        <v>0.14883350000000001</v>
      </c>
      <c r="R5465">
        <v>-1.479428E-2</v>
      </c>
      <c r="S5465">
        <v>3.058014</v>
      </c>
      <c r="T5465">
        <v>-0.20070660000000001</v>
      </c>
      <c r="U5465">
        <v>-0.4367065</v>
      </c>
      <c r="V5465">
        <v>1.171843E-2</v>
      </c>
      <c r="W5465">
        <v>0.15542879999999901</v>
      </c>
      <c r="X5465">
        <v>0.98777760000000003</v>
      </c>
      <c r="Y5465">
        <v>0.13799890000000001</v>
      </c>
      <c r="Z5465">
        <v>-4.2974759999999997E-3</v>
      </c>
      <c r="AA5465">
        <v>0.9904231</v>
      </c>
      <c r="AB5465">
        <v>25</v>
      </c>
      <c r="AC5465">
        <v>16.658099999999902</v>
      </c>
      <c r="AD5465">
        <v>-1.109528981165</v>
      </c>
      <c r="AE5465">
        <v>-2.4135</v>
      </c>
      <c r="AF5465">
        <v>2.3512924028448601</v>
      </c>
      <c r="AG5465">
        <v>-1.109528981165</v>
      </c>
      <c r="AH5465">
        <v>16.593448937409899</v>
      </c>
      <c r="AI5465">
        <v>93.787690081290705</v>
      </c>
      <c r="AJ5465">
        <v>81.934879229099494</v>
      </c>
      <c r="AK5465">
        <v>16.795897658718602</v>
      </c>
      <c r="AL5465">
        <v>81.058334006810298</v>
      </c>
      <c r="AM5465">
        <v>89.320307440081606</v>
      </c>
      <c r="AN5465">
        <v>1.0000000102664299</v>
      </c>
    </row>
    <row r="5466" spans="1:40" x14ac:dyDescent="0.25">
      <c r="A5466" t="str">
        <f>"20190312172519249"</f>
        <v>20190312172519249</v>
      </c>
      <c r="B5466" t="str">
        <f>"1552382719235721"</f>
        <v>1552382719235721</v>
      </c>
      <c r="C5466" t="s">
        <v>40</v>
      </c>
      <c r="D5466">
        <v>4.1401789999999998</v>
      </c>
      <c r="E5466">
        <v>0.55049490000000001</v>
      </c>
      <c r="F5466" t="s">
        <v>43</v>
      </c>
      <c r="G5466">
        <v>-337.9357</v>
      </c>
      <c r="H5466" s="1">
        <v>-1.9866039999999999E-6</v>
      </c>
      <c r="I5466">
        <v>14.73779</v>
      </c>
      <c r="J5466">
        <v>-354.39670000000001</v>
      </c>
      <c r="K5466">
        <v>1.1095250000000001</v>
      </c>
      <c r="L5466">
        <v>17.107849999999999</v>
      </c>
      <c r="M5466">
        <v>0.99997290000000005</v>
      </c>
      <c r="N5466">
        <v>0</v>
      </c>
      <c r="O5466">
        <v>-3.1199980000000001E-3</v>
      </c>
      <c r="P5466">
        <v>0.98873580000000005</v>
      </c>
      <c r="Q5466">
        <v>0.14894869999999999</v>
      </c>
      <c r="R5466">
        <v>-1.469385E-2</v>
      </c>
      <c r="S5466">
        <v>3.0582280000000002</v>
      </c>
      <c r="T5466">
        <v>-0.20309450000000001</v>
      </c>
      <c r="U5466">
        <v>-0.43396000000000001</v>
      </c>
      <c r="V5466">
        <v>1.1617529999999999E-2</v>
      </c>
      <c r="W5466">
        <v>0.15553429999999999</v>
      </c>
      <c r="X5466">
        <v>0.98776220000000003</v>
      </c>
      <c r="Y5466">
        <v>0.1371127</v>
      </c>
      <c r="Z5466">
        <v>-4.3192400000000002E-3</v>
      </c>
      <c r="AA5466">
        <v>0.99054600000000004</v>
      </c>
      <c r="AB5466">
        <v>25</v>
      </c>
      <c r="AC5466">
        <v>16.460999999999999</v>
      </c>
      <c r="AD5466">
        <v>-1.1095269866040001</v>
      </c>
      <c r="AE5466">
        <v>-2.3700600000000001</v>
      </c>
      <c r="AF5466">
        <v>2.3084144079520299</v>
      </c>
      <c r="AG5466">
        <v>-1.1095269866040001</v>
      </c>
      <c r="AH5466">
        <v>16.395339857878799</v>
      </c>
      <c r="AI5466">
        <v>93.833793191269294</v>
      </c>
      <c r="AJ5466">
        <v>81.9856084868903</v>
      </c>
      <c r="AK5466">
        <v>16.594185616299299</v>
      </c>
      <c r="AL5466">
        <v>81.052215015696802</v>
      </c>
      <c r="AM5466">
        <v>89.326148796734799</v>
      </c>
      <c r="AN5466">
        <v>1.0000000246143099</v>
      </c>
    </row>
    <row r="5467" spans="1:40" x14ac:dyDescent="0.25">
      <c r="A5467" t="str">
        <f>"20190312172519273"</f>
        <v>20190312172519273</v>
      </c>
      <c r="B5467" t="str">
        <f>"1552382719265978"</f>
        <v>1552382719265978</v>
      </c>
      <c r="C5467" t="s">
        <v>40</v>
      </c>
      <c r="D5467">
        <v>4.1173469999999996</v>
      </c>
      <c r="E5467">
        <v>0.55038609999999999</v>
      </c>
      <c r="F5467" t="s">
        <v>43</v>
      </c>
      <c r="G5467">
        <v>-337.65789999999998</v>
      </c>
      <c r="H5467" s="1">
        <v>-2.0820219999999999E-6</v>
      </c>
      <c r="I5467">
        <v>14.73442</v>
      </c>
      <c r="J5467">
        <v>-354.12599999999998</v>
      </c>
      <c r="K5467">
        <v>1.109524</v>
      </c>
      <c r="L5467">
        <v>17.10699</v>
      </c>
      <c r="M5467">
        <v>0.99997309999999995</v>
      </c>
      <c r="N5467">
        <v>0</v>
      </c>
      <c r="O5467">
        <v>-3.1179279999999998E-3</v>
      </c>
      <c r="P5467">
        <v>0.98874189999999995</v>
      </c>
      <c r="Q5467">
        <v>0.1489441</v>
      </c>
      <c r="R5467">
        <v>-1.4335860000000001E-2</v>
      </c>
      <c r="S5467">
        <v>3.0582889999999998</v>
      </c>
      <c r="T5467">
        <v>-0.20271739999999999</v>
      </c>
      <c r="U5467">
        <v>-0.43362430000000002</v>
      </c>
      <c r="V5467">
        <v>1.126099E-2</v>
      </c>
      <c r="W5467">
        <v>0.1555211</v>
      </c>
      <c r="X5467">
        <v>0.98776839999999999</v>
      </c>
      <c r="Y5467">
        <v>0.13700670000000001</v>
      </c>
      <c r="Z5467">
        <v>-4.3078320000000002E-3</v>
      </c>
      <c r="AA5467">
        <v>0.99056080000000002</v>
      </c>
      <c r="AB5467">
        <v>25</v>
      </c>
      <c r="AC5467">
        <v>16.4680999999999</v>
      </c>
      <c r="AD5467">
        <v>-1.1095260820220001</v>
      </c>
      <c r="AE5467">
        <v>-2.3725699999999899</v>
      </c>
      <c r="AF5467">
        <v>2.3109342884393098</v>
      </c>
      <c r="AG5467">
        <v>-1.1095260820220001</v>
      </c>
      <c r="AH5467">
        <v>16.4024760022231</v>
      </c>
      <c r="AI5467">
        <v>93.832078357430902</v>
      </c>
      <c r="AJ5467">
        <v>81.980418894276596</v>
      </c>
      <c r="AK5467">
        <v>16.6015868041485</v>
      </c>
      <c r="AL5467">
        <v>81.052980569876993</v>
      </c>
      <c r="AM5467">
        <v>89.346831453803503</v>
      </c>
      <c r="AN5467">
        <v>1.0000000172397701</v>
      </c>
    </row>
    <row r="5468" spans="1:40" x14ac:dyDescent="0.25">
      <c r="A5468" t="str">
        <f>"20190312172519296"</f>
        <v>20190312172519296</v>
      </c>
      <c r="B5468" t="str">
        <f>"1552382719285497"</f>
        <v>1552382719285497</v>
      </c>
      <c r="C5468" t="s">
        <v>40</v>
      </c>
      <c r="D5468">
        <v>4.1531949999999904</v>
      </c>
      <c r="E5468">
        <v>0.55034559999999999</v>
      </c>
      <c r="F5468" t="s">
        <v>43</v>
      </c>
      <c r="G5468">
        <v>-337.3698</v>
      </c>
      <c r="H5468" s="1">
        <v>-2.1784120000000001E-6</v>
      </c>
      <c r="I5468">
        <v>14.74072</v>
      </c>
      <c r="J5468">
        <v>-353.86430000000001</v>
      </c>
      <c r="K5468">
        <v>1.1095280000000001</v>
      </c>
      <c r="L5468">
        <v>17.106200000000001</v>
      </c>
      <c r="M5468">
        <v>0.99997320000000001</v>
      </c>
      <c r="N5468">
        <v>0</v>
      </c>
      <c r="O5468">
        <v>-3.1170630000000002E-3</v>
      </c>
      <c r="P5468">
        <v>0.98864390000000002</v>
      </c>
      <c r="Q5468">
        <v>0.1495447</v>
      </c>
      <c r="R5468">
        <v>-1.484654E-2</v>
      </c>
      <c r="S5468">
        <v>3.058411</v>
      </c>
      <c r="T5468">
        <v>-0.20251379999999999</v>
      </c>
      <c r="U5468">
        <v>-0.43188480000000001</v>
      </c>
      <c r="V5468">
        <v>1.177226E-2</v>
      </c>
      <c r="W5468">
        <v>0.15611459999999999</v>
      </c>
      <c r="X5468">
        <v>0.98766880000000001</v>
      </c>
      <c r="Y5468">
        <v>0.1364515</v>
      </c>
      <c r="Z5468">
        <v>-4.2852999999999997E-3</v>
      </c>
      <c r="AA5468">
        <v>0.99063749999999995</v>
      </c>
      <c r="AB5468">
        <v>25</v>
      </c>
      <c r="AC5468">
        <v>16.494499999999999</v>
      </c>
      <c r="AD5468">
        <v>-1.109530178412</v>
      </c>
      <c r="AE5468">
        <v>-2.3654799999999998</v>
      </c>
      <c r="AF5468">
        <v>2.3038386353765699</v>
      </c>
      <c r="AG5468">
        <v>-1.109530178412</v>
      </c>
      <c r="AH5468">
        <v>16.428953614046499</v>
      </c>
      <c r="AI5468">
        <v>93.826281344681703</v>
      </c>
      <c r="AJ5468">
        <v>82.017443179828007</v>
      </c>
      <c r="AK5468">
        <v>16.6267629599736</v>
      </c>
      <c r="AL5468">
        <v>81.018554947164503</v>
      </c>
      <c r="AM5468">
        <v>89.317110275896994</v>
      </c>
      <c r="AN5468">
        <v>1.0000000064660499</v>
      </c>
    </row>
    <row r="5469" spans="1:40" x14ac:dyDescent="0.25">
      <c r="A5469" t="str">
        <f>"20190312172519316"</f>
        <v>20190312172519316</v>
      </c>
      <c r="B5469" t="str">
        <f>"1552382719305993"</f>
        <v>1552382719305993</v>
      </c>
      <c r="C5469" t="s">
        <v>40</v>
      </c>
      <c r="D5469">
        <v>4.1047890000000002</v>
      </c>
      <c r="E5469">
        <v>0.55027749999999997</v>
      </c>
      <c r="F5469" t="s">
        <v>43</v>
      </c>
      <c r="G5469">
        <v>-336.952</v>
      </c>
      <c r="H5469" s="1">
        <v>-2.3293120000000002E-6</v>
      </c>
      <c r="I5469">
        <v>14.707850000000001</v>
      </c>
      <c r="J5469">
        <v>-353.62709999999998</v>
      </c>
      <c r="K5469">
        <v>1.109529</v>
      </c>
      <c r="L5469">
        <v>17.105439999999899</v>
      </c>
      <c r="M5469">
        <v>0.99997320000000001</v>
      </c>
      <c r="N5469">
        <v>0</v>
      </c>
      <c r="O5469">
        <v>-3.1223050000000001E-3</v>
      </c>
      <c r="P5469">
        <v>0.98861719999999997</v>
      </c>
      <c r="Q5469">
        <v>0.14955769999999999</v>
      </c>
      <c r="R5469">
        <v>-1.6399779999999999E-2</v>
      </c>
      <c r="S5469">
        <v>3.0582889999999998</v>
      </c>
      <c r="T5469">
        <v>-0.2006385</v>
      </c>
      <c r="U5469">
        <v>-0.4336853</v>
      </c>
      <c r="V5469">
        <v>1.332117E-2</v>
      </c>
      <c r="W5469">
        <v>0.1561226</v>
      </c>
      <c r="X5469">
        <v>0.98764779999999996</v>
      </c>
      <c r="Y5469">
        <v>0.1370276</v>
      </c>
      <c r="Z5469">
        <v>-4.2641390000000001E-3</v>
      </c>
      <c r="AA5469">
        <v>0.99055800000000005</v>
      </c>
      <c r="AB5469">
        <v>26</v>
      </c>
      <c r="AC5469">
        <v>16.675099999999901</v>
      </c>
      <c r="AD5469">
        <v>-1.1095313293119999</v>
      </c>
      <c r="AE5469">
        <v>-2.3975899999999899</v>
      </c>
      <c r="AF5469">
        <v>2.3353823303293901</v>
      </c>
      <c r="AG5469">
        <v>-1.1095313293119999</v>
      </c>
      <c r="AH5469">
        <v>16.6104543962484</v>
      </c>
      <c r="AI5469">
        <v>93.784407474908704</v>
      </c>
      <c r="AJ5469">
        <v>81.996836630099395</v>
      </c>
      <c r="AK5469">
        <v>16.810480827429799</v>
      </c>
      <c r="AL5469">
        <v>81.018090364262505</v>
      </c>
      <c r="AM5469">
        <v>89.227254350254597</v>
      </c>
      <c r="AN5469">
        <v>0.99999994832288297</v>
      </c>
    </row>
    <row r="5470" spans="1:40" x14ac:dyDescent="0.25">
      <c r="A5470" t="str">
        <f>"20190312172519339"</f>
        <v>20190312172519339</v>
      </c>
      <c r="B5470" t="str">
        <f>"1552382719325513"</f>
        <v>1552382719325513</v>
      </c>
      <c r="C5470" t="s">
        <v>40</v>
      </c>
      <c r="D5470">
        <v>4.123907</v>
      </c>
      <c r="E5470">
        <v>0.55023929999999999</v>
      </c>
      <c r="F5470" t="s">
        <v>43</v>
      </c>
      <c r="G5470">
        <v>-336.66500000000002</v>
      </c>
      <c r="H5470" s="1">
        <v>-2.437332E-6</v>
      </c>
      <c r="I5470">
        <v>14.66892</v>
      </c>
      <c r="J5470">
        <v>-353.37049999999999</v>
      </c>
      <c r="K5470">
        <v>1.1095219999999999</v>
      </c>
      <c r="L5470">
        <v>17.104610000000001</v>
      </c>
      <c r="M5470">
        <v>0.99997309999999995</v>
      </c>
      <c r="N5470">
        <v>0</v>
      </c>
      <c r="O5470">
        <v>-3.1398659999999998E-3</v>
      </c>
      <c r="P5470">
        <v>0.98864019999999997</v>
      </c>
      <c r="Q5470">
        <v>0.14907500000000001</v>
      </c>
      <c r="R5470">
        <v>-1.9169470000000001E-2</v>
      </c>
      <c r="S5470">
        <v>3.0574949999999999</v>
      </c>
      <c r="T5470">
        <v>-0.1999978</v>
      </c>
      <c r="U5470">
        <v>-0.43917850000000003</v>
      </c>
      <c r="V5470">
        <v>1.607575E-2</v>
      </c>
      <c r="W5470">
        <v>0.15563560000000001</v>
      </c>
      <c r="X5470">
        <v>0.98768370000000005</v>
      </c>
      <c r="Y5470">
        <v>0.13878789999999999</v>
      </c>
      <c r="Z5470">
        <v>-4.3071819999999997E-3</v>
      </c>
      <c r="AA5470">
        <v>0.99031279999999999</v>
      </c>
      <c r="AB5470">
        <v>26</v>
      </c>
      <c r="AC5470">
        <v>16.705499999999901</v>
      </c>
      <c r="AD5470">
        <v>-1.1095244373319999</v>
      </c>
      <c r="AE5470">
        <v>-2.4356899999999899</v>
      </c>
      <c r="AF5470">
        <v>2.3729740831247099</v>
      </c>
      <c r="AG5470">
        <v>-1.1095244373319999</v>
      </c>
      <c r="AH5470">
        <v>16.6411863057955</v>
      </c>
      <c r="AI5470">
        <v>93.776370349708301</v>
      </c>
      <c r="AJ5470">
        <v>81.884536074795093</v>
      </c>
      <c r="AK5470">
        <v>16.8461013929162</v>
      </c>
      <c r="AL5470">
        <v>81.046339004837293</v>
      </c>
      <c r="AM5470">
        <v>89.0675240412655</v>
      </c>
      <c r="AN5470">
        <v>0.99999998048555605</v>
      </c>
    </row>
    <row r="5471" spans="1:40" x14ac:dyDescent="0.25">
      <c r="A5471" t="str">
        <f>"20190312172519363"</f>
        <v>20190312172519363</v>
      </c>
      <c r="B5471" t="str">
        <f>"1552382719355770"</f>
        <v>1552382719355770</v>
      </c>
      <c r="C5471" t="s">
        <v>40</v>
      </c>
      <c r="D5471">
        <v>4.100867</v>
      </c>
      <c r="E5471">
        <v>0.55016609999999999</v>
      </c>
      <c r="F5471" t="s">
        <v>43</v>
      </c>
      <c r="G5471">
        <v>-336.49200000000002</v>
      </c>
      <c r="H5471" s="1">
        <v>-2.508041E-6</v>
      </c>
      <c r="I5471">
        <v>14.62452</v>
      </c>
      <c r="J5471">
        <v>-353.09620000000001</v>
      </c>
      <c r="K5471">
        <v>1.109515</v>
      </c>
      <c r="L5471">
        <v>17.1037</v>
      </c>
      <c r="M5471">
        <v>0.999973</v>
      </c>
      <c r="N5471">
        <v>0</v>
      </c>
      <c r="O5471">
        <v>-3.1803719999999999E-3</v>
      </c>
      <c r="P5471">
        <v>0.98865389999999997</v>
      </c>
      <c r="Q5471">
        <v>0.14868599999999901</v>
      </c>
      <c r="R5471">
        <v>-2.1364609999999999E-2</v>
      </c>
      <c r="S5471">
        <v>3.0560610000000001</v>
      </c>
      <c r="T5471">
        <v>-0.2008926</v>
      </c>
      <c r="U5471">
        <v>-0.44903559999999998</v>
      </c>
      <c r="V5471">
        <v>1.823545E-2</v>
      </c>
      <c r="W5471">
        <v>0.1552432</v>
      </c>
      <c r="X5471">
        <v>0.98770800000000003</v>
      </c>
      <c r="Y5471">
        <v>0.14193149999999999</v>
      </c>
      <c r="Z5471">
        <v>-4.4274370000000002E-3</v>
      </c>
      <c r="AA5471">
        <v>0.98986660000000004</v>
      </c>
      <c r="AB5471">
        <v>26</v>
      </c>
      <c r="AC5471">
        <v>16.604199999999999</v>
      </c>
      <c r="AD5471">
        <v>-1.109517508041</v>
      </c>
      <c r="AE5471">
        <v>-2.4791799999999902</v>
      </c>
      <c r="AF5471">
        <v>2.4158071525063298</v>
      </c>
      <c r="AG5471">
        <v>-1.109517508041</v>
      </c>
      <c r="AH5471">
        <v>16.5397595426825</v>
      </c>
      <c r="AI5471">
        <v>93.797581945549595</v>
      </c>
      <c r="AJ5471">
        <v>81.690105357737295</v>
      </c>
      <c r="AK5471">
        <v>16.752038652907501</v>
      </c>
      <c r="AL5471">
        <v>81.0690990192941</v>
      </c>
      <c r="AM5471">
        <v>88.942303155336205</v>
      </c>
      <c r="AN5471">
        <v>1.0000000380234699</v>
      </c>
    </row>
    <row r="5472" spans="1:40" x14ac:dyDescent="0.25">
      <c r="A5472" t="str">
        <f>"20190312172519385"</f>
        <v>20190312172519385</v>
      </c>
      <c r="B5472" t="str">
        <f>"1552382719376265"</f>
        <v>1552382719376265</v>
      </c>
      <c r="C5472" t="s">
        <v>40</v>
      </c>
      <c r="D5472">
        <v>4.1055330000000003</v>
      </c>
      <c r="E5472">
        <v>0.55013500000000004</v>
      </c>
      <c r="F5472" t="s">
        <v>43</v>
      </c>
      <c r="G5472">
        <v>-336.27760000000001</v>
      </c>
      <c r="H5472" s="1">
        <v>-2.5912459999999999E-6</v>
      </c>
      <c r="I5472">
        <v>14.58592</v>
      </c>
      <c r="J5472">
        <v>-352.8433</v>
      </c>
      <c r="K5472">
        <v>1.109499</v>
      </c>
      <c r="L5472">
        <v>17.102810000000002</v>
      </c>
      <c r="M5472">
        <v>0.9999728</v>
      </c>
      <c r="N5472">
        <v>0</v>
      </c>
      <c r="O5472">
        <v>-3.2434500000000002E-3</v>
      </c>
      <c r="P5472">
        <v>0.98859470000000005</v>
      </c>
      <c r="Q5472">
        <v>0.1487955</v>
      </c>
      <c r="R5472">
        <v>-2.3253610000000001E-2</v>
      </c>
      <c r="S5472">
        <v>3.0548709999999999</v>
      </c>
      <c r="T5472">
        <v>-0.20152929999999999</v>
      </c>
      <c r="U5472">
        <v>-0.45730589999999999</v>
      </c>
      <c r="V5472">
        <v>2.0068780000000001E-2</v>
      </c>
      <c r="W5472">
        <v>0.15535009999999999</v>
      </c>
      <c r="X5472">
        <v>0.98765559999999997</v>
      </c>
      <c r="Y5472">
        <v>0.1445388</v>
      </c>
      <c r="Z5472">
        <v>-4.5235730000000004E-3</v>
      </c>
      <c r="AA5472">
        <v>0.98948879999999995</v>
      </c>
      <c r="AB5472">
        <v>26</v>
      </c>
      <c r="AC5472">
        <v>16.5656999999999</v>
      </c>
      <c r="AD5472">
        <v>-1.109501591246</v>
      </c>
      <c r="AE5472">
        <v>-2.5168900000000001</v>
      </c>
      <c r="AF5472">
        <v>2.45239292257514</v>
      </c>
      <c r="AG5472">
        <v>-1.109501591246</v>
      </c>
      <c r="AH5472">
        <v>16.501425122429701</v>
      </c>
      <c r="AI5472">
        <v>93.804924893659305</v>
      </c>
      <c r="AJ5472">
        <v>81.5467443392767</v>
      </c>
      <c r="AK5472">
        <v>16.719517214884799</v>
      </c>
      <c r="AL5472">
        <v>81.062898508940094</v>
      </c>
      <c r="AM5472">
        <v>88.835932100519102</v>
      </c>
      <c r="AN5472">
        <v>0.99999999685602903</v>
      </c>
    </row>
    <row r="5473" spans="1:40" x14ac:dyDescent="0.25">
      <c r="A5473" t="str">
        <f>"20190312172519405"</f>
        <v>20190312172519405</v>
      </c>
      <c r="B5473" t="str">
        <f>"1552382719395785"</f>
        <v>1552382719395785</v>
      </c>
      <c r="C5473" t="s">
        <v>40</v>
      </c>
      <c r="D5473">
        <v>4.108981</v>
      </c>
      <c r="E5473">
        <v>0.550091</v>
      </c>
      <c r="F5473" t="s">
        <v>43</v>
      </c>
      <c r="G5473">
        <v>-335.9588</v>
      </c>
      <c r="H5473" s="1">
        <v>-2.7129680000000001E-6</v>
      </c>
      <c r="I5473">
        <v>14.536199999999999</v>
      </c>
      <c r="J5473">
        <v>-352.59309999999999</v>
      </c>
      <c r="K5473">
        <v>1.109477</v>
      </c>
      <c r="L5473">
        <v>17.101929999999999</v>
      </c>
      <c r="M5473">
        <v>0.99997239999999998</v>
      </c>
      <c r="N5473">
        <v>0</v>
      </c>
      <c r="O5473">
        <v>-3.3283560000000002E-3</v>
      </c>
      <c r="P5473">
        <v>0.98860959999999998</v>
      </c>
      <c r="Q5473">
        <v>0.1485332</v>
      </c>
      <c r="R5473">
        <v>-2.426944E-2</v>
      </c>
      <c r="S5473">
        <v>3.0538639999999999</v>
      </c>
      <c r="T5473">
        <v>-0.2006735</v>
      </c>
      <c r="U5473">
        <v>-0.46420289999999997</v>
      </c>
      <c r="V5473">
        <v>2.1007439999999999E-2</v>
      </c>
      <c r="W5473">
        <v>0.15508720000000001</v>
      </c>
      <c r="X5473">
        <v>0.98767740000000004</v>
      </c>
      <c r="Y5473">
        <v>0.14668529999999999</v>
      </c>
      <c r="Z5473">
        <v>-4.5696259999999898E-3</v>
      </c>
      <c r="AA5473">
        <v>0.98917259999999996</v>
      </c>
      <c r="AB5473">
        <v>26</v>
      </c>
      <c r="AC5473">
        <v>16.6342999999999</v>
      </c>
      <c r="AD5473">
        <v>-1.1094797129680001</v>
      </c>
      <c r="AE5473">
        <v>-2.5657299999999998</v>
      </c>
      <c r="AF5473">
        <v>2.4994887010600202</v>
      </c>
      <c r="AG5473">
        <v>-1.1094797129680001</v>
      </c>
      <c r="AH5473">
        <v>16.570743092878701</v>
      </c>
      <c r="AI5473">
        <v>93.787752006934696</v>
      </c>
      <c r="AJ5473">
        <v>81.422313429711295</v>
      </c>
      <c r="AK5473">
        <v>16.7948776610728</v>
      </c>
      <c r="AL5473">
        <v>81.078146393458994</v>
      </c>
      <c r="AM5473">
        <v>88.7815290763848</v>
      </c>
      <c r="AN5473">
        <v>0.99999999930497696</v>
      </c>
    </row>
    <row r="5474" spans="1:40" x14ac:dyDescent="0.25">
      <c r="A5474" t="str">
        <f>"20190312172519428"</f>
        <v>20190312172519428</v>
      </c>
      <c r="B5474" t="str">
        <f>"1552382719425787"</f>
        <v>1552382719425787</v>
      </c>
      <c r="C5474" t="s">
        <v>40</v>
      </c>
      <c r="D5474">
        <v>4.0969509999999998</v>
      </c>
      <c r="E5474">
        <v>0.51690769999999997</v>
      </c>
      <c r="F5474" t="s">
        <v>43</v>
      </c>
      <c r="G5474">
        <v>-335.83339999999998</v>
      </c>
      <c r="H5474" s="1">
        <v>-2.754859E-6</v>
      </c>
      <c r="I5474">
        <v>14.539210000000001</v>
      </c>
      <c r="J5474">
        <v>-352.32909999999998</v>
      </c>
      <c r="K5474">
        <v>1.1094520000000001</v>
      </c>
      <c r="L5474">
        <v>17.100919999999999</v>
      </c>
      <c r="M5474">
        <v>0.99997219999999998</v>
      </c>
      <c r="N5474">
        <v>0</v>
      </c>
      <c r="O5474">
        <v>-3.4469029999999999E-3</v>
      </c>
      <c r="P5474">
        <v>0.98881699999999995</v>
      </c>
      <c r="Q5474">
        <v>0.1476954</v>
      </c>
      <c r="R5474">
        <v>-2.0664510000000001E-2</v>
      </c>
      <c r="S5474">
        <v>3.0534669999999999</v>
      </c>
      <c r="T5474">
        <v>-0.2021366</v>
      </c>
      <c r="U5474">
        <v>-0.46688839999999998</v>
      </c>
      <c r="V5474">
        <v>1.7292189999999999E-2</v>
      </c>
      <c r="W5474">
        <v>0.15425150000000001</v>
      </c>
      <c r="X5474">
        <v>0.98788030000000004</v>
      </c>
      <c r="Y5474">
        <v>0.14743149999999999</v>
      </c>
      <c r="Z5474">
        <v>-4.6198979999999999E-3</v>
      </c>
      <c r="AA5474">
        <v>0.98906150000000004</v>
      </c>
      <c r="AB5474">
        <v>26</v>
      </c>
      <c r="AC5474">
        <v>16.495699999999999</v>
      </c>
      <c r="AD5474">
        <v>-1.1094547548589999</v>
      </c>
      <c r="AE5474">
        <v>-2.5617100000000002</v>
      </c>
      <c r="AF5474">
        <v>2.4938192398456098</v>
      </c>
      <c r="AG5474">
        <v>-1.1094547548589999</v>
      </c>
      <c r="AH5474">
        <v>16.4318525288144</v>
      </c>
      <c r="AI5474">
        <v>93.819064207145303</v>
      </c>
      <c r="AJ5474">
        <v>81.370224922141503</v>
      </c>
      <c r="AK5474">
        <v>16.6570045861436</v>
      </c>
      <c r="AL5474">
        <v>81.126611845603506</v>
      </c>
      <c r="AM5474">
        <v>88.997177762384197</v>
      </c>
      <c r="AN5474">
        <v>1.0000000161076601</v>
      </c>
    </row>
    <row r="5475" spans="1:40" x14ac:dyDescent="0.25">
      <c r="A5475" t="str">
        <f>"20190312172519451"</f>
        <v>20190312172519451</v>
      </c>
      <c r="B5475" t="str">
        <f>"1552382719446284"</f>
        <v>1552382719446284</v>
      </c>
      <c r="C5475" t="s">
        <v>40</v>
      </c>
      <c r="D5475">
        <v>4.0222449999999998</v>
      </c>
      <c r="E5475">
        <v>0.4931043</v>
      </c>
      <c r="F5475" t="s">
        <v>41</v>
      </c>
      <c r="G5475">
        <v>-351.45159999999998</v>
      </c>
      <c r="H5475">
        <v>1.039652</v>
      </c>
      <c r="I5475">
        <v>17.04637</v>
      </c>
      <c r="J5475">
        <v>-352.06229999999999</v>
      </c>
      <c r="K5475">
        <v>1.109416</v>
      </c>
      <c r="L5475">
        <v>17.099879999999999</v>
      </c>
      <c r="M5475">
        <v>0.99997139999999995</v>
      </c>
      <c r="N5475">
        <v>0</v>
      </c>
      <c r="O5475">
        <v>-3.6011149999999998E-3</v>
      </c>
      <c r="P5475">
        <v>0.98921179999999997</v>
      </c>
      <c r="Q5475">
        <v>0.1459328</v>
      </c>
      <c r="R5475">
        <v>-1.279539E-2</v>
      </c>
      <c r="S5475">
        <v>3.0664669999999998</v>
      </c>
      <c r="T5475">
        <v>-0.2438738</v>
      </c>
      <c r="U5475">
        <v>-0.18945310000000001</v>
      </c>
      <c r="V5475">
        <v>9.2768859999999998E-3</v>
      </c>
      <c r="W5475">
        <v>0.15249489999999999</v>
      </c>
      <c r="X5475">
        <v>0.98826069999999999</v>
      </c>
      <c r="Y5475">
        <v>5.7899109999999997E-2</v>
      </c>
      <c r="Z5475">
        <v>-2.0108589999999998E-3</v>
      </c>
      <c r="AA5475">
        <v>0.9983204</v>
      </c>
      <c r="AB5475">
        <v>26</v>
      </c>
      <c r="AC5475">
        <v>0.61070000000000801</v>
      </c>
      <c r="AD5475">
        <v>-6.9763999999999896E-2</v>
      </c>
      <c r="AE5475">
        <v>-5.3509999999999197E-2</v>
      </c>
      <c r="AF5475">
        <v>5.0654405311685302E-2</v>
      </c>
      <c r="AG5475">
        <v>-6.9763999999999896E-2</v>
      </c>
      <c r="AH5475">
        <v>0.60307859127974595</v>
      </c>
      <c r="AI5475">
        <v>96.575683143653507</v>
      </c>
      <c r="AJ5475">
        <v>85.1988225338592</v>
      </c>
      <c r="AK5475">
        <v>0.60920987494741297</v>
      </c>
      <c r="AL5475">
        <v>81.228462397992104</v>
      </c>
      <c r="AM5475">
        <v>89.462175513588903</v>
      </c>
      <c r="AN5475">
        <v>0.99999998315217797</v>
      </c>
    </row>
    <row r="5476" spans="1:40" x14ac:dyDescent="0.25">
      <c r="A5476" t="str">
        <f>"20190312172519474"</f>
        <v>20190312172519474</v>
      </c>
      <c r="B5476" t="str">
        <f>"1552382719465803"</f>
        <v>1552382719465803</v>
      </c>
      <c r="C5476" t="s">
        <v>40</v>
      </c>
      <c r="D5476">
        <v>4.0244869999999997</v>
      </c>
      <c r="E5476">
        <v>0.43263289999999999</v>
      </c>
      <c r="F5476" t="s">
        <v>43</v>
      </c>
      <c r="G5476">
        <v>-337.3879</v>
      </c>
      <c r="H5476" s="1">
        <v>-1.5272510000000001E-6</v>
      </c>
      <c r="I5476">
        <v>17.2239</v>
      </c>
      <c r="J5476">
        <v>-351.79629999999997</v>
      </c>
      <c r="K5476">
        <v>1.109381</v>
      </c>
      <c r="L5476">
        <v>17.098749999999999</v>
      </c>
      <c r="M5476">
        <v>0.9999709</v>
      </c>
      <c r="N5476">
        <v>0</v>
      </c>
      <c r="O5476">
        <v>-3.7895540000000001E-3</v>
      </c>
      <c r="P5476">
        <v>0.98972590000000005</v>
      </c>
      <c r="Q5476">
        <v>0.14296439999999999</v>
      </c>
      <c r="R5476">
        <v>-1.9863670000000002E-3</v>
      </c>
      <c r="S5476">
        <v>3.0672609999999998</v>
      </c>
      <c r="T5476">
        <v>-0.23189119999999999</v>
      </c>
      <c r="U5476">
        <v>2.5939940000000002E-2</v>
      </c>
      <c r="V5476">
        <v>-1.7126979999999999E-3</v>
      </c>
      <c r="W5476">
        <v>0.14953610000000001</v>
      </c>
      <c r="X5476">
        <v>0.98875480000000004</v>
      </c>
      <c r="Y5476">
        <v>-1.2200549999999999E-2</v>
      </c>
      <c r="Z5476">
        <v>7.4661919999999998E-4</v>
      </c>
      <c r="AA5476">
        <v>0.99992530000000002</v>
      </c>
      <c r="AB5476">
        <v>26</v>
      </c>
      <c r="AC5476">
        <v>14.408399999999901</v>
      </c>
      <c r="AD5476">
        <v>-1.1093825272510001</v>
      </c>
      <c r="AE5476">
        <v>0.12515000000000101</v>
      </c>
      <c r="AF5476">
        <v>-0.178692443219898</v>
      </c>
      <c r="AG5476">
        <v>-1.1093825272510001</v>
      </c>
      <c r="AH5476">
        <v>14.3229179287182</v>
      </c>
      <c r="AI5476">
        <v>94.4286621694893</v>
      </c>
      <c r="AJ5476">
        <v>90.714783937834696</v>
      </c>
      <c r="AK5476">
        <v>14.3669286409389</v>
      </c>
      <c r="AL5476">
        <v>81.399956302829196</v>
      </c>
      <c r="AM5476">
        <v>90.099246313480293</v>
      </c>
      <c r="AN5476">
        <v>1.00000001653034</v>
      </c>
    </row>
    <row r="5477" spans="1:40" x14ac:dyDescent="0.25">
      <c r="A5477" t="str">
        <f>"20190312172519487"</f>
        <v>20190312172519487</v>
      </c>
      <c r="B5477" t="str">
        <f>"1552382719475564"</f>
        <v>1552382719475564</v>
      </c>
      <c r="C5477" t="s">
        <v>40</v>
      </c>
      <c r="D5477">
        <v>3.9882780000000002</v>
      </c>
      <c r="E5477">
        <v>0.42820979999999997</v>
      </c>
      <c r="F5477" t="s">
        <v>43</v>
      </c>
      <c r="G5477">
        <v>-337.06540000000001</v>
      </c>
      <c r="H5477" s="1">
        <v>-1.2665240000000001E-6</v>
      </c>
      <c r="I5477">
        <v>19.711300000000001</v>
      </c>
      <c r="J5477">
        <v>-351.6438</v>
      </c>
      <c r="K5477">
        <v>1.1093679999999999</v>
      </c>
      <c r="L5477">
        <v>17.09808</v>
      </c>
      <c r="M5477">
        <v>0.99997040000000004</v>
      </c>
      <c r="N5477">
        <v>0</v>
      </c>
      <c r="O5477">
        <v>-3.9109080000000003E-3</v>
      </c>
      <c r="P5477">
        <v>0.98967329999999998</v>
      </c>
      <c r="Q5477">
        <v>0.143319</v>
      </c>
      <c r="R5477">
        <v>2.5856270000000001E-3</v>
      </c>
      <c r="S5477">
        <v>3.065582</v>
      </c>
      <c r="T5477">
        <v>-0.2308683</v>
      </c>
      <c r="U5477">
        <v>0.5437012</v>
      </c>
      <c r="V5477">
        <v>-6.3992440000000001E-3</v>
      </c>
      <c r="W5477">
        <v>0.149894</v>
      </c>
      <c r="X5477">
        <v>0.98868140000000004</v>
      </c>
      <c r="Y5477">
        <v>-0.17798139999999901</v>
      </c>
      <c r="Z5477">
        <v>6.9326700000000002E-3</v>
      </c>
      <c r="AA5477">
        <v>0.98400940000000003</v>
      </c>
      <c r="AB5477">
        <v>26</v>
      </c>
      <c r="AC5477">
        <v>14.578399999999901</v>
      </c>
      <c r="AD5477">
        <v>-1.109369266524</v>
      </c>
      <c r="AE5477">
        <v>2.6132200000000001</v>
      </c>
      <c r="AF5477">
        <v>-2.6553185231109899</v>
      </c>
      <c r="AG5477">
        <v>-1.109369266524</v>
      </c>
      <c r="AH5477">
        <v>14.4867908450549</v>
      </c>
      <c r="AI5477">
        <v>94.3075647996436</v>
      </c>
      <c r="AJ5477">
        <v>100.386588224226</v>
      </c>
      <c r="AK5477">
        <v>14.769851915880899</v>
      </c>
      <c r="AL5477">
        <v>81.379216558126203</v>
      </c>
      <c r="AM5477">
        <v>90.370841965215106</v>
      </c>
      <c r="AN5477">
        <v>1.00000003613286</v>
      </c>
    </row>
    <row r="5478" spans="1:40" x14ac:dyDescent="0.25">
      <c r="A5478" t="str">
        <f>"20190312172519507"</f>
        <v>20190312172519507</v>
      </c>
      <c r="B5478" t="str">
        <f>"1552382719496059"</f>
        <v>1552382719496059</v>
      </c>
      <c r="C5478" t="s">
        <v>40</v>
      </c>
      <c r="D5478">
        <v>3.9903879999999998</v>
      </c>
      <c r="E5478">
        <v>0.42408020000000002</v>
      </c>
      <c r="F5478" t="s">
        <v>43</v>
      </c>
      <c r="G5478">
        <v>-336.57010000000002</v>
      </c>
      <c r="H5478" s="1">
        <v>-1.560946E-6</v>
      </c>
      <c r="I5478">
        <v>20.019179999999999</v>
      </c>
      <c r="J5478">
        <v>-351.39359999999999</v>
      </c>
      <c r="K5478">
        <v>1.1093569999999999</v>
      </c>
      <c r="L5478">
        <v>17.096920000000001</v>
      </c>
      <c r="M5478">
        <v>0.99996940000000001</v>
      </c>
      <c r="N5478">
        <v>0</v>
      </c>
      <c r="O5478">
        <v>-4.1286450000000002E-3</v>
      </c>
      <c r="P5478">
        <v>0.98935329999999999</v>
      </c>
      <c r="Q5478">
        <v>0.14476729999999999</v>
      </c>
      <c r="R5478">
        <v>1.4910039999999999E-2</v>
      </c>
      <c r="S5478">
        <v>3.0624389999999999</v>
      </c>
      <c r="T5478">
        <v>-0.2253829</v>
      </c>
      <c r="U5478">
        <v>0.59347530000000004</v>
      </c>
      <c r="V5478">
        <v>-1.8930209999999999E-2</v>
      </c>
      <c r="W5478">
        <v>0.1513496</v>
      </c>
      <c r="X5478">
        <v>0.98829900000000004</v>
      </c>
      <c r="Y5478">
        <v>-0.19378790000000001</v>
      </c>
      <c r="Z5478">
        <v>7.3566830000000001E-3</v>
      </c>
      <c r="AA5478">
        <v>0.98101590000000005</v>
      </c>
      <c r="AB5478">
        <v>26</v>
      </c>
      <c r="AC5478">
        <v>14.8234999999999</v>
      </c>
      <c r="AD5478">
        <v>-1.1093585609459999</v>
      </c>
      <c r="AE5478">
        <v>2.9222599999999899</v>
      </c>
      <c r="AF5478">
        <v>-2.9674394036872598</v>
      </c>
      <c r="AG5478">
        <v>-1.1093585609459999</v>
      </c>
      <c r="AH5478">
        <v>14.731886118072101</v>
      </c>
      <c r="AI5478">
        <v>94.221946391237196</v>
      </c>
      <c r="AJ5478">
        <v>101.388675953026</v>
      </c>
      <c r="AK5478">
        <v>15.0686708646498</v>
      </c>
      <c r="AL5478">
        <v>81.294853908211294</v>
      </c>
      <c r="AM5478">
        <v>91.097328361623994</v>
      </c>
      <c r="AN5478">
        <v>0.99999998383590105</v>
      </c>
    </row>
    <row r="5479" spans="1:40" x14ac:dyDescent="0.25">
      <c r="A5479" t="str">
        <f>"20190312172519529"</f>
        <v>20190312172519529</v>
      </c>
      <c r="B5479" t="str">
        <f>"1552382719525776"</f>
        <v>1552382719525776</v>
      </c>
      <c r="C5479" t="s">
        <v>40</v>
      </c>
      <c r="D5479">
        <v>4.0137169999999998</v>
      </c>
      <c r="E5479">
        <v>0.42325400000000002</v>
      </c>
      <c r="F5479" t="s">
        <v>43</v>
      </c>
      <c r="G5479">
        <v>-335.23680000000002</v>
      </c>
      <c r="H5479" s="1">
        <v>-2.294018E-6</v>
      </c>
      <c r="I5479">
        <v>20.624759999999998</v>
      </c>
      <c r="J5479">
        <v>-351.14240000000001</v>
      </c>
      <c r="K5479">
        <v>1.109345</v>
      </c>
      <c r="L5479">
        <v>17.095700000000001</v>
      </c>
      <c r="M5479">
        <v>0.99996839999999998</v>
      </c>
      <c r="N5479">
        <v>0</v>
      </c>
      <c r="O5479">
        <v>-4.3638720000000004E-3</v>
      </c>
      <c r="P5479">
        <v>0.9888207</v>
      </c>
      <c r="Q5479">
        <v>0.14666860000000001</v>
      </c>
      <c r="R5479">
        <v>2.6873060000000001E-2</v>
      </c>
      <c r="S5479">
        <v>3.0529480000000002</v>
      </c>
      <c r="T5479">
        <v>-0.20962169999999999</v>
      </c>
      <c r="U5479">
        <v>0.66662600000000005</v>
      </c>
      <c r="V5479">
        <v>-3.111676E-2</v>
      </c>
      <c r="W5479">
        <v>0.1532578</v>
      </c>
      <c r="X5479">
        <v>0.98769620000000002</v>
      </c>
      <c r="Y5479">
        <v>-0.21709210000000001</v>
      </c>
      <c r="Z5479">
        <v>7.6536979999999996E-3</v>
      </c>
      <c r="AA5479">
        <v>0.97612109999999996</v>
      </c>
      <c r="AB5479">
        <v>26</v>
      </c>
      <c r="AC5479">
        <v>15.9055999999999</v>
      </c>
      <c r="AD5479">
        <v>-1.109347294018</v>
      </c>
      <c r="AE5479">
        <v>3.5290599999999999</v>
      </c>
      <c r="AF5479">
        <v>-3.5818317414999901</v>
      </c>
      <c r="AG5479">
        <v>-1.109347294018</v>
      </c>
      <c r="AH5479">
        <v>15.816717925167</v>
      </c>
      <c r="AI5479">
        <v>93.9132521916288</v>
      </c>
      <c r="AJ5479">
        <v>102.75990308145001</v>
      </c>
      <c r="AK5479">
        <v>16.255114148090801</v>
      </c>
      <c r="AL5479">
        <v>81.184231629440404</v>
      </c>
      <c r="AM5479">
        <v>91.804471381360599</v>
      </c>
      <c r="AN5479">
        <v>0.99999999475408796</v>
      </c>
    </row>
    <row r="5480" spans="1:40" x14ac:dyDescent="0.25">
      <c r="A5480" t="str">
        <f>"20190312172519552"</f>
        <v>20190312172519552</v>
      </c>
      <c r="B5480" t="str">
        <f>"1552382719546271"</f>
        <v>1552382719546271</v>
      </c>
      <c r="C5480" t="s">
        <v>40</v>
      </c>
      <c r="D5480">
        <v>3.9817719999999999</v>
      </c>
      <c r="E5480">
        <v>0.423815</v>
      </c>
      <c r="F5480" t="s">
        <v>43</v>
      </c>
      <c r="G5480">
        <v>-334.64510000000001</v>
      </c>
      <c r="H5480" s="1">
        <v>-2.634948E-6</v>
      </c>
      <c r="I5480">
        <v>20.952089999999998</v>
      </c>
      <c r="J5480">
        <v>-350.86739999999998</v>
      </c>
      <c r="K5480">
        <v>1.1093440000000001</v>
      </c>
      <c r="L5480">
        <v>17.094239999999999</v>
      </c>
      <c r="M5480">
        <v>0.99996719999999895</v>
      </c>
      <c r="N5480">
        <v>0</v>
      </c>
      <c r="O5480">
        <v>-4.6339939999999998E-3</v>
      </c>
      <c r="P5480">
        <v>0.98812339999999999</v>
      </c>
      <c r="Q5480">
        <v>0.14888689999999999</v>
      </c>
      <c r="R5480">
        <v>3.8015970000000003E-2</v>
      </c>
      <c r="S5480">
        <v>3.0449220000000001</v>
      </c>
      <c r="T5480">
        <v>-0.2047533</v>
      </c>
      <c r="U5480">
        <v>0.71179199999999998</v>
      </c>
      <c r="V5480">
        <v>-4.2518599999999997E-2</v>
      </c>
      <c r="W5480">
        <v>0.15548290000000001</v>
      </c>
      <c r="X5480">
        <v>0.98692310000000005</v>
      </c>
      <c r="Y5480">
        <v>-0.2316309</v>
      </c>
      <c r="Z5480">
        <v>7.9831840000000008E-3</v>
      </c>
      <c r="AA5480">
        <v>0.97277100000000005</v>
      </c>
      <c r="AB5480">
        <v>27</v>
      </c>
      <c r="AC5480">
        <v>16.222299999999901</v>
      </c>
      <c r="AD5480">
        <v>-1.1093466349479999</v>
      </c>
      <c r="AE5480">
        <v>3.8578499999999898</v>
      </c>
      <c r="AF5480">
        <v>-3.9156533371102</v>
      </c>
      <c r="AG5480">
        <v>-1.1093466349479999</v>
      </c>
      <c r="AH5480">
        <v>16.132843142246902</v>
      </c>
      <c r="AI5480">
        <v>93.823000519506095</v>
      </c>
      <c r="AJ5480">
        <v>103.642628721609</v>
      </c>
      <c r="AK5480">
        <v>16.638257687186901</v>
      </c>
      <c r="AL5480">
        <v>81.055195924808302</v>
      </c>
      <c r="AM5480">
        <v>92.466890079392797</v>
      </c>
      <c r="AN5480">
        <v>0.99999998442598903</v>
      </c>
    </row>
    <row r="5481" spans="1:40" x14ac:dyDescent="0.25">
      <c r="A5481" t="str">
        <f>"20190312172519585"</f>
        <v>20190312172519585</v>
      </c>
      <c r="B5481" t="str">
        <f>"1552382719576530"</f>
        <v>1552382719576530</v>
      </c>
      <c r="C5481" t="s">
        <v>40</v>
      </c>
      <c r="D5481">
        <v>4.0104319999999998</v>
      </c>
      <c r="E5481">
        <v>0.4250312</v>
      </c>
      <c r="F5481" t="s">
        <v>43</v>
      </c>
      <c r="G5481">
        <v>-333.98849999999999</v>
      </c>
      <c r="H5481" s="1">
        <v>-2.988437E-6</v>
      </c>
      <c r="I5481">
        <v>21.22193</v>
      </c>
      <c r="J5481">
        <v>-350.4699</v>
      </c>
      <c r="K5481">
        <v>1.109334</v>
      </c>
      <c r="L5481">
        <v>17.09198</v>
      </c>
      <c r="M5481">
        <v>0.9999652</v>
      </c>
      <c r="N5481">
        <v>0</v>
      </c>
      <c r="O5481">
        <v>-5.0360630000000003E-3</v>
      </c>
      <c r="P5481">
        <v>0.98739929999999998</v>
      </c>
      <c r="Q5481">
        <v>0.14952070000000001</v>
      </c>
      <c r="R5481">
        <v>5.1829699999999999E-2</v>
      </c>
      <c r="S5481">
        <v>3.0376280000000002</v>
      </c>
      <c r="T5481">
        <v>-0.19964460000000001</v>
      </c>
      <c r="U5481">
        <v>0.74285889999999999</v>
      </c>
      <c r="V5481">
        <v>-5.6722370000000001E-2</v>
      </c>
      <c r="W5481">
        <v>0.1561292</v>
      </c>
      <c r="X5481">
        <v>0.98610660000000006</v>
      </c>
      <c r="Y5481">
        <v>-0.24193799999999999</v>
      </c>
      <c r="Z5481">
        <v>8.1529199999999993E-3</v>
      </c>
      <c r="AA5481">
        <v>0.97025749999999999</v>
      </c>
      <c r="AB5481">
        <v>27</v>
      </c>
      <c r="AC5481">
        <v>16.481400000000001</v>
      </c>
      <c r="AD5481">
        <v>-1.1093369884369999</v>
      </c>
      <c r="AE5481">
        <v>4.12995</v>
      </c>
      <c r="AF5481">
        <v>-4.1950184813926796</v>
      </c>
      <c r="AG5481">
        <v>-1.1093369884369999</v>
      </c>
      <c r="AH5481">
        <v>16.3905230068316</v>
      </c>
      <c r="AI5481">
        <v>93.751406434882099</v>
      </c>
      <c r="AJ5481">
        <v>104.356202126982</v>
      </c>
      <c r="AK5481">
        <v>16.955177765232001</v>
      </c>
      <c r="AL5481">
        <v>81.017707898902898</v>
      </c>
      <c r="AM5481">
        <v>93.292113754997004</v>
      </c>
      <c r="AN5481">
        <v>0.99999999045730803</v>
      </c>
    </row>
    <row r="5482" spans="1:40" x14ac:dyDescent="0.25">
      <c r="A5482" t="str">
        <f>"20190312172519606"</f>
        <v>20190312172519606</v>
      </c>
      <c r="B5482" t="str">
        <f>"1552382719596047"</f>
        <v>1552382719596047</v>
      </c>
      <c r="C5482" t="s">
        <v>40</v>
      </c>
      <c r="D5482">
        <v>4.0288259999999996</v>
      </c>
      <c r="E5482">
        <v>0.42612949999999999</v>
      </c>
      <c r="F5482" t="s">
        <v>43</v>
      </c>
      <c r="G5482">
        <v>-333.58190000000002</v>
      </c>
      <c r="H5482" s="1">
        <v>-3.2151240000000002E-6</v>
      </c>
      <c r="I5482">
        <v>21.418340000000001</v>
      </c>
      <c r="J5482">
        <v>-350.20929999999998</v>
      </c>
      <c r="K5482">
        <v>1.109326</v>
      </c>
      <c r="L5482">
        <v>17.090450000000001</v>
      </c>
      <c r="M5482">
        <v>0.99996370000000001</v>
      </c>
      <c r="N5482">
        <v>0</v>
      </c>
      <c r="O5482">
        <v>-5.3011359999999997E-3</v>
      </c>
      <c r="P5482">
        <v>0.98721650000000005</v>
      </c>
      <c r="Q5482">
        <v>0.147594</v>
      </c>
      <c r="R5482">
        <v>6.0166369999999997E-2</v>
      </c>
      <c r="S5482">
        <v>3.0276489999999998</v>
      </c>
      <c r="T5482">
        <v>-0.19887940000000001</v>
      </c>
      <c r="U5482">
        <v>0.77563479999999996</v>
      </c>
      <c r="V5482">
        <v>-6.5320370000000003E-2</v>
      </c>
      <c r="W5482">
        <v>0.15422230000000001</v>
      </c>
      <c r="X5482">
        <v>0.98587460000000005</v>
      </c>
      <c r="Y5482">
        <v>-0.25277929999999998</v>
      </c>
      <c r="Z5482">
        <v>8.5043380000000002E-3</v>
      </c>
      <c r="AA5482">
        <v>0.96748659999999997</v>
      </c>
      <c r="AB5482">
        <v>27</v>
      </c>
      <c r="AC5482">
        <v>16.627399999999898</v>
      </c>
      <c r="AD5482">
        <v>-1.109329215124</v>
      </c>
      <c r="AE5482">
        <v>4.32789</v>
      </c>
      <c r="AF5482">
        <v>-4.3976427034196304</v>
      </c>
      <c r="AG5482">
        <v>-1.109329215124</v>
      </c>
      <c r="AH5482">
        <v>16.535292068217601</v>
      </c>
      <c r="AI5482">
        <v>93.709568491182793</v>
      </c>
      <c r="AJ5482">
        <v>104.893339120166</v>
      </c>
      <c r="AK5482">
        <v>17.146012843682499</v>
      </c>
      <c r="AL5482">
        <v>81.128304980259699</v>
      </c>
      <c r="AM5482">
        <v>93.790664032075398</v>
      </c>
      <c r="AN5482">
        <v>0.99999999773969295</v>
      </c>
    </row>
    <row r="5483" spans="1:40" x14ac:dyDescent="0.25">
      <c r="A5483" t="str">
        <f>"20190312172519630"</f>
        <v>20190312172519630</v>
      </c>
      <c r="B5483" t="str">
        <f>"1552382719625714"</f>
        <v>1552382719625714</v>
      </c>
      <c r="C5483" t="s">
        <v>40</v>
      </c>
      <c r="D5483">
        <v>4.0175650000000003</v>
      </c>
      <c r="E5483">
        <v>0.42798829999999999</v>
      </c>
      <c r="F5483" t="s">
        <v>43</v>
      </c>
      <c r="G5483">
        <v>-334.15980000000002</v>
      </c>
      <c r="H5483" s="1">
        <v>-2.9346670000000002E-6</v>
      </c>
      <c r="I5483">
        <v>21.296029999999998</v>
      </c>
      <c r="J5483">
        <v>-349.92919999999998</v>
      </c>
      <c r="K5483">
        <v>1.109318</v>
      </c>
      <c r="L5483">
        <v>17.08868</v>
      </c>
      <c r="M5483">
        <v>0.99996200000000002</v>
      </c>
      <c r="N5483">
        <v>0</v>
      </c>
      <c r="O5483">
        <v>-5.5838750000000003E-3</v>
      </c>
      <c r="P5483">
        <v>0.98697939999999995</v>
      </c>
      <c r="Q5483">
        <v>0.14574860000000001</v>
      </c>
      <c r="R5483">
        <v>6.8039150000000007E-2</v>
      </c>
      <c r="S5483">
        <v>3.0217900000000002</v>
      </c>
      <c r="T5483">
        <v>-0.2088641</v>
      </c>
      <c r="U5483">
        <v>0.79183959999999998</v>
      </c>
      <c r="V5483">
        <v>-7.3471750000000002E-2</v>
      </c>
      <c r="W5483">
        <v>0.15240490000000001</v>
      </c>
      <c r="X5483">
        <v>0.9855834</v>
      </c>
      <c r="Y5483">
        <v>-0.2582931</v>
      </c>
      <c r="Z5483">
        <v>9.1475710000000002E-3</v>
      </c>
      <c r="AA5483">
        <v>0.96602330000000003</v>
      </c>
      <c r="AB5483">
        <v>27</v>
      </c>
      <c r="AC5483">
        <v>15.7693999999999</v>
      </c>
      <c r="AD5483">
        <v>-1.1093209346670001</v>
      </c>
      <c r="AE5483">
        <v>4.2073499999999902</v>
      </c>
      <c r="AF5483">
        <v>-4.2755885305934198</v>
      </c>
      <c r="AG5483">
        <v>-1.1093209346670001</v>
      </c>
      <c r="AH5483">
        <v>15.6732535843598</v>
      </c>
      <c r="AI5483">
        <v>93.906254963560897</v>
      </c>
      <c r="AJ5483">
        <v>105.258741771614</v>
      </c>
      <c r="AK5483">
        <v>16.283799560872701</v>
      </c>
      <c r="AL5483">
        <v>81.233680110262199</v>
      </c>
      <c r="AM5483">
        <v>94.263311679250407</v>
      </c>
      <c r="AN5483">
        <v>0.99999999497381598</v>
      </c>
    </row>
    <row r="5484" spans="1:40" x14ac:dyDescent="0.25">
      <c r="A5484" t="str">
        <f>"20190312172519652"</f>
        <v>20190312172519652</v>
      </c>
      <c r="B5484" t="str">
        <f>"1552382719646209"</f>
        <v>1552382719646209</v>
      </c>
      <c r="C5484" t="s">
        <v>40</v>
      </c>
      <c r="D5484">
        <v>4.0041820000000001</v>
      </c>
      <c r="E5484">
        <v>0.42903770000000002</v>
      </c>
      <c r="F5484" t="s">
        <v>43</v>
      </c>
      <c r="G5484">
        <v>-334.72989999999999</v>
      </c>
      <c r="H5484" s="1">
        <v>-2.645035E-6</v>
      </c>
      <c r="I5484">
        <v>21.126740000000002</v>
      </c>
      <c r="J5484">
        <v>-349.66370000000001</v>
      </c>
      <c r="K5484">
        <v>1.1093200000000001</v>
      </c>
      <c r="L5484">
        <v>17.086980000000001</v>
      </c>
      <c r="M5484">
        <v>0.99996019999999997</v>
      </c>
      <c r="N5484">
        <v>0</v>
      </c>
      <c r="O5484">
        <v>-5.8483750000000003E-3</v>
      </c>
      <c r="P5484">
        <v>0.98677930000000003</v>
      </c>
      <c r="Q5484">
        <v>0.1446009</v>
      </c>
      <c r="R5484">
        <v>7.3193649999999999E-2</v>
      </c>
      <c r="S5484">
        <v>3.0168460000000001</v>
      </c>
      <c r="T5484">
        <v>-0.22018480000000001</v>
      </c>
      <c r="U5484">
        <v>0.8015137</v>
      </c>
      <c r="V5484">
        <v>-7.8886139999999993E-2</v>
      </c>
      <c r="W5484">
        <v>0.15128369999999999</v>
      </c>
      <c r="X5484">
        <v>0.98533760000000004</v>
      </c>
      <c r="Y5484">
        <v>-0.2617545</v>
      </c>
      <c r="Z5484">
        <v>9.7965069999999994E-3</v>
      </c>
      <c r="AA5484">
        <v>0.96508470000000002</v>
      </c>
      <c r="AB5484">
        <v>27</v>
      </c>
      <c r="AC5484">
        <v>14.9338</v>
      </c>
      <c r="AD5484">
        <v>-1.109322645035</v>
      </c>
      <c r="AE5484">
        <v>4.0397599999999896</v>
      </c>
      <c r="AF5484">
        <v>-4.1059200769348498</v>
      </c>
      <c r="AG5484">
        <v>-1.109322645035</v>
      </c>
      <c r="AH5484">
        <v>14.833648331285501</v>
      </c>
      <c r="AI5484">
        <v>94.122413964573795</v>
      </c>
      <c r="AJ5484">
        <v>105.471967233705</v>
      </c>
      <c r="AK5484">
        <v>15.4313414590312</v>
      </c>
      <c r="AL5484">
        <v>81.298673680357894</v>
      </c>
      <c r="AM5484">
        <v>94.577337807256299</v>
      </c>
      <c r="AN5484">
        <v>0.99999998347177399</v>
      </c>
    </row>
    <row r="5485" spans="1:40" x14ac:dyDescent="0.25">
      <c r="A5485" t="str">
        <f>"20190312172519674"</f>
        <v>20190312172519674</v>
      </c>
      <c r="B5485" t="str">
        <f>"1552382719665729"</f>
        <v>1552382719665729</v>
      </c>
      <c r="C5485" t="s">
        <v>40</v>
      </c>
      <c r="D5485">
        <v>4.0344199999999999</v>
      </c>
      <c r="E5485">
        <v>0.43000660000000002</v>
      </c>
      <c r="F5485" t="s">
        <v>43</v>
      </c>
      <c r="G5485">
        <v>-334.82119999999998</v>
      </c>
      <c r="H5485" s="1">
        <v>-2.5914100000000001E-6</v>
      </c>
      <c r="I5485">
        <v>21.072310000000002</v>
      </c>
      <c r="J5485">
        <v>-349.38650000000001</v>
      </c>
      <c r="K5485">
        <v>1.1093329999999999</v>
      </c>
      <c r="L5485">
        <v>17.085049999999999</v>
      </c>
      <c r="M5485">
        <v>0.99995840000000003</v>
      </c>
      <c r="N5485">
        <v>0</v>
      </c>
      <c r="O5485">
        <v>-6.1214679999999997E-3</v>
      </c>
      <c r="P5485">
        <v>0.98642269999999999</v>
      </c>
      <c r="Q5485">
        <v>0.14600009999999999</v>
      </c>
      <c r="R5485">
        <v>7.5194780000000003E-2</v>
      </c>
      <c r="S5485">
        <v>3.0131839999999999</v>
      </c>
      <c r="T5485">
        <v>-0.2252043</v>
      </c>
      <c r="U5485">
        <v>0.80908199999999997</v>
      </c>
      <c r="V5485">
        <v>-8.1153240000000001E-2</v>
      </c>
      <c r="W5485">
        <v>0.15270929999999999</v>
      </c>
      <c r="X5485">
        <v>0.98493350000000002</v>
      </c>
      <c r="Y5485">
        <v>-0.26453080000000001</v>
      </c>
      <c r="Z5485">
        <v>1.014966E-2</v>
      </c>
      <c r="AA5485">
        <v>0.96432379999999995</v>
      </c>
      <c r="AB5485">
        <v>27</v>
      </c>
      <c r="AC5485">
        <v>14.565300000000001</v>
      </c>
      <c r="AD5485">
        <v>-1.1093355914099901</v>
      </c>
      <c r="AE5485">
        <v>3.98726</v>
      </c>
      <c r="AF5485">
        <v>-4.05446886547624</v>
      </c>
      <c r="AG5485">
        <v>-1.1093355914099901</v>
      </c>
      <c r="AH5485">
        <v>14.462573011462601</v>
      </c>
      <c r="AI5485">
        <v>94.223997694819204</v>
      </c>
      <c r="AJ5485">
        <v>105.6604235886</v>
      </c>
      <c r="AK5485">
        <v>15.0610544566896</v>
      </c>
      <c r="AL5485">
        <v>81.2160326534284</v>
      </c>
      <c r="AM5485">
        <v>94.710225241862901</v>
      </c>
      <c r="AN5485">
        <v>0.99999998904561804</v>
      </c>
    </row>
    <row r="5486" spans="1:40" x14ac:dyDescent="0.25">
      <c r="A5486" t="str">
        <f>"20190312172519697"</f>
        <v>20190312172519697</v>
      </c>
      <c r="B5486" t="str">
        <f>"1552382719686225"</f>
        <v>1552382719686225</v>
      </c>
      <c r="C5486" t="s">
        <v>40</v>
      </c>
      <c r="D5486">
        <v>4.0524509999999996</v>
      </c>
      <c r="E5486">
        <v>0.43091420000000002</v>
      </c>
      <c r="F5486" t="s">
        <v>43</v>
      </c>
      <c r="G5486">
        <v>-334.26429999999999</v>
      </c>
      <c r="H5486" s="1">
        <v>-2.8480830000000001E-6</v>
      </c>
      <c r="I5486">
        <v>21.139119999999998</v>
      </c>
      <c r="J5486">
        <v>-349.1028</v>
      </c>
      <c r="K5486">
        <v>1.109343</v>
      </c>
      <c r="L5486">
        <v>17.08304</v>
      </c>
      <c r="M5486">
        <v>0.99995650000000003</v>
      </c>
      <c r="N5486">
        <v>0</v>
      </c>
      <c r="O5486">
        <v>-6.3982889999999997E-3</v>
      </c>
      <c r="P5486">
        <v>0.98642850000000004</v>
      </c>
      <c r="Q5486">
        <v>0.146234</v>
      </c>
      <c r="R5486">
        <v>7.4663439999999998E-2</v>
      </c>
      <c r="S5486">
        <v>3.012451</v>
      </c>
      <c r="T5486">
        <v>-0.22098799999999999</v>
      </c>
      <c r="U5486">
        <v>0.80761719999999904</v>
      </c>
      <c r="V5486">
        <v>-8.0894800000000003E-2</v>
      </c>
      <c r="W5486">
        <v>0.15297939999999999</v>
      </c>
      <c r="X5486">
        <v>0.98491289999999998</v>
      </c>
      <c r="Y5486">
        <v>-0.26444420000000002</v>
      </c>
      <c r="Z5486">
        <v>9.9798890000000005E-3</v>
      </c>
      <c r="AA5486">
        <v>0.96434929999999996</v>
      </c>
      <c r="AB5486">
        <v>27</v>
      </c>
      <c r="AC5486">
        <v>14.8385</v>
      </c>
      <c r="AD5486">
        <v>-1.1093458480830001</v>
      </c>
      <c r="AE5486">
        <v>4.0560799999999997</v>
      </c>
      <c r="AF5486">
        <v>-4.1294642101667298</v>
      </c>
      <c r="AG5486">
        <v>-1.1093458480830001</v>
      </c>
      <c r="AH5486">
        <v>14.7356087223278</v>
      </c>
      <c r="AI5486">
        <v>94.146157837432497</v>
      </c>
      <c r="AJ5486">
        <v>105.654842727831</v>
      </c>
      <c r="AK5486">
        <v>15.343444440256899</v>
      </c>
      <c r="AL5486">
        <v>81.200373546207402</v>
      </c>
      <c r="AM5486">
        <v>94.695390031548101</v>
      </c>
      <c r="AN5486">
        <v>1.0000000430389</v>
      </c>
    </row>
    <row r="5487" spans="1:40" x14ac:dyDescent="0.25">
      <c r="A5487" t="str">
        <f>"20190312172519719"</f>
        <v>20190312172519719</v>
      </c>
      <c r="B5487" t="str">
        <f>"1552382719716482"</f>
        <v>1552382719716482</v>
      </c>
      <c r="C5487" t="s">
        <v>40</v>
      </c>
      <c r="D5487">
        <v>4.0051600000000001</v>
      </c>
      <c r="E5487">
        <v>0.43181350000000002</v>
      </c>
      <c r="F5487" t="s">
        <v>43</v>
      </c>
      <c r="G5487">
        <v>-333.99540000000002</v>
      </c>
      <c r="H5487" s="1">
        <v>-2.9491470000000001E-6</v>
      </c>
      <c r="I5487">
        <v>21.085329999999999</v>
      </c>
      <c r="J5487">
        <v>-348.83940000000001</v>
      </c>
      <c r="K5487">
        <v>1.1093440000000001</v>
      </c>
      <c r="L5487">
        <v>17.08109</v>
      </c>
      <c r="M5487">
        <v>0.99995440000000002</v>
      </c>
      <c r="N5487">
        <v>0</v>
      </c>
      <c r="O5487">
        <v>-6.6539160000000002E-3</v>
      </c>
      <c r="P5487">
        <v>0.98680480000000004</v>
      </c>
      <c r="Q5487">
        <v>0.14448559999999999</v>
      </c>
      <c r="R5487">
        <v>7.307727E-2</v>
      </c>
      <c r="S5487">
        <v>3.0136720000000001</v>
      </c>
      <c r="T5487">
        <v>-0.22129450000000001</v>
      </c>
      <c r="U5487">
        <v>0.79840089999999997</v>
      </c>
      <c r="V5487">
        <v>-7.9563709999999996E-2</v>
      </c>
      <c r="W5487">
        <v>0.15127660000000001</v>
      </c>
      <c r="X5487">
        <v>0.98528419999999906</v>
      </c>
      <c r="Y5487">
        <v>-0.26184229999999997</v>
      </c>
      <c r="Z5487">
        <v>9.9182929999999999E-3</v>
      </c>
      <c r="AA5487">
        <v>0.96505969999999996</v>
      </c>
      <c r="AB5487">
        <v>27</v>
      </c>
      <c r="AC5487">
        <v>14.8439999999999</v>
      </c>
      <c r="AD5487">
        <v>-1.109346949147</v>
      </c>
      <c r="AE5487">
        <v>4.0042399999999896</v>
      </c>
      <c r="AF5487">
        <v>-4.0816740744855498</v>
      </c>
      <c r="AG5487">
        <v>-1.109346949147</v>
      </c>
      <c r="AH5487">
        <v>14.7402848743536</v>
      </c>
      <c r="AI5487">
        <v>94.148409454458005</v>
      </c>
      <c r="AJ5487">
        <v>105.477732125847</v>
      </c>
      <c r="AK5487">
        <v>15.3351463012586</v>
      </c>
      <c r="AL5487">
        <v>81.299085135617503</v>
      </c>
      <c r="AM5487">
        <v>94.616733446794598</v>
      </c>
      <c r="AN5487">
        <v>0.99999997421308096</v>
      </c>
    </row>
    <row r="5488" spans="1:40" x14ac:dyDescent="0.25">
      <c r="A5488" t="str">
        <f>"20190312172519742"</f>
        <v>20190312172519742</v>
      </c>
      <c r="B5488" t="str">
        <f>"1552382719736510"</f>
        <v>1552382719736510</v>
      </c>
      <c r="C5488" t="s">
        <v>40</v>
      </c>
      <c r="D5488">
        <v>4.0078189999999996</v>
      </c>
      <c r="E5488">
        <v>0.43228240000000001</v>
      </c>
      <c r="F5488" t="s">
        <v>43</v>
      </c>
      <c r="G5488">
        <v>-334.18939999999998</v>
      </c>
      <c r="H5488" s="1">
        <v>-2.8164080000000001E-6</v>
      </c>
      <c r="I5488">
        <v>20.899270000000001</v>
      </c>
      <c r="J5488">
        <v>-348.56580000000002</v>
      </c>
      <c r="K5488">
        <v>1.1093500000000001</v>
      </c>
      <c r="L5488">
        <v>17.078979999999898</v>
      </c>
      <c r="M5488">
        <v>0.99995239999999996</v>
      </c>
      <c r="N5488">
        <v>0</v>
      </c>
      <c r="O5488">
        <v>-6.9188820000000003E-3</v>
      </c>
      <c r="P5488">
        <v>0.98688509999999996</v>
      </c>
      <c r="Q5488">
        <v>0.14477789999999999</v>
      </c>
      <c r="R5488">
        <v>7.1397859999999994E-2</v>
      </c>
      <c r="S5488">
        <v>3.01532</v>
      </c>
      <c r="T5488">
        <v>-0.2283298</v>
      </c>
      <c r="U5488">
        <v>0.7858887</v>
      </c>
      <c r="V5488">
        <v>-7.8145759999999995E-2</v>
      </c>
      <c r="W5488">
        <v>0.15162210000000001</v>
      </c>
      <c r="X5488">
        <v>0.98534460000000001</v>
      </c>
      <c r="Y5488">
        <v>-0.25818479999999999</v>
      </c>
      <c r="Z5488">
        <v>1.011635E-2</v>
      </c>
      <c r="AA5488">
        <v>0.96604259999999997</v>
      </c>
      <c r="AB5488">
        <v>27</v>
      </c>
      <c r="AC5488">
        <v>14.3764</v>
      </c>
      <c r="AD5488">
        <v>-1.109352816408</v>
      </c>
      <c r="AE5488">
        <v>3.82029</v>
      </c>
      <c r="AF5488">
        <v>-3.8979901460271802</v>
      </c>
      <c r="AG5488">
        <v>-1.109352816408</v>
      </c>
      <c r="AH5488">
        <v>14.2702565001944</v>
      </c>
      <c r="AI5488">
        <v>94.288666154046894</v>
      </c>
      <c r="AJ5488">
        <v>105.27791994995501</v>
      </c>
      <c r="AK5488">
        <v>14.834595088209699</v>
      </c>
      <c r="AL5488">
        <v>81.279058669955802</v>
      </c>
      <c r="AM5488">
        <v>94.534525473302693</v>
      </c>
      <c r="AN5488">
        <v>1.00000000088177</v>
      </c>
    </row>
    <row r="5489" spans="1:40" x14ac:dyDescent="0.25">
      <c r="A5489" t="str">
        <f>"20190312172519753"</f>
        <v>20190312172519753</v>
      </c>
      <c r="B5489" t="str">
        <f>"1552382719746270"</f>
        <v>1552382719746270</v>
      </c>
      <c r="C5489" t="s">
        <v>40</v>
      </c>
      <c r="D5489">
        <v>3.998675</v>
      </c>
      <c r="E5489">
        <v>0.4325232</v>
      </c>
      <c r="F5489" t="s">
        <v>43</v>
      </c>
      <c r="G5489">
        <v>-333.70060000000001</v>
      </c>
      <c r="H5489" s="1">
        <v>-3.0284600000000001E-6</v>
      </c>
      <c r="I5489">
        <v>20.908080000000002</v>
      </c>
      <c r="J5489">
        <v>-348.41950000000003</v>
      </c>
      <c r="K5489">
        <v>1.1093580000000001</v>
      </c>
      <c r="L5489">
        <v>17.077819999999999</v>
      </c>
      <c r="M5489">
        <v>0.99995100000000003</v>
      </c>
      <c r="N5489">
        <v>0</v>
      </c>
      <c r="O5489">
        <v>-7.0605080000000001E-3</v>
      </c>
      <c r="P5489">
        <v>0.98686439999999997</v>
      </c>
      <c r="Q5489">
        <v>0.14560190000000001</v>
      </c>
      <c r="R5489">
        <v>6.9990079999999996E-2</v>
      </c>
      <c r="S5489">
        <v>3.0166629999999999</v>
      </c>
      <c r="T5489">
        <v>-0.22512470000000001</v>
      </c>
      <c r="U5489">
        <v>0.77706909999999996</v>
      </c>
      <c r="V5489">
        <v>-7.6876739999999999E-2</v>
      </c>
      <c r="W5489">
        <v>0.15247839999999999</v>
      </c>
      <c r="X5489">
        <v>0.98531230000000003</v>
      </c>
      <c r="Y5489">
        <v>-0.25559520000000002</v>
      </c>
      <c r="Z5489">
        <v>9.8894619999999999E-3</v>
      </c>
      <c r="AA5489">
        <v>0.96673330000000002</v>
      </c>
      <c r="AB5489">
        <v>27</v>
      </c>
      <c r="AC5489">
        <v>14.7189</v>
      </c>
      <c r="AD5489">
        <v>-1.10936102846</v>
      </c>
      <c r="AE5489">
        <v>3.8302599999999898</v>
      </c>
      <c r="AF5489">
        <v>-3.91327005523849</v>
      </c>
      <c r="AG5489">
        <v>-1.10936102846</v>
      </c>
      <c r="AH5489">
        <v>14.6137389823087</v>
      </c>
      <c r="AI5489">
        <v>94.193915791139801</v>
      </c>
      <c r="AJ5489">
        <v>104.990966067787</v>
      </c>
      <c r="AK5489">
        <v>15.169236350579499</v>
      </c>
      <c r="AL5489">
        <v>81.229419220587104</v>
      </c>
      <c r="AM5489">
        <v>94.461334024545906</v>
      </c>
      <c r="AN5489">
        <v>1.00000001207543</v>
      </c>
    </row>
    <row r="5490" spans="1:40" x14ac:dyDescent="0.25">
      <c r="A5490" t="str">
        <f>"20190312172519764"</f>
        <v>20190312172519764</v>
      </c>
      <c r="B5490" t="str">
        <f>"1552382719756030"</f>
        <v>1552382719756030</v>
      </c>
      <c r="C5490" t="s">
        <v>40</v>
      </c>
      <c r="D5490">
        <v>3.9774210000000001</v>
      </c>
      <c r="E5490">
        <v>0.43272379999999999</v>
      </c>
      <c r="F5490" t="s">
        <v>43</v>
      </c>
      <c r="G5490">
        <v>-333.28129999999999</v>
      </c>
      <c r="H5490" s="1">
        <v>-3.2185359999999999E-6</v>
      </c>
      <c r="I5490">
        <v>20.946459999999998</v>
      </c>
      <c r="J5490">
        <v>-348.2799</v>
      </c>
      <c r="K5490">
        <v>1.1093569999999999</v>
      </c>
      <c r="L5490">
        <v>17.076689999999999</v>
      </c>
      <c r="M5490">
        <v>0.9999498</v>
      </c>
      <c r="N5490">
        <v>0</v>
      </c>
      <c r="O5490">
        <v>-7.1955730000000002E-3</v>
      </c>
      <c r="P5490">
        <v>0.98700509999999997</v>
      </c>
      <c r="Q5490">
        <v>0.14575469999999999</v>
      </c>
      <c r="R5490">
        <v>6.7651009999999998E-2</v>
      </c>
      <c r="S5490">
        <v>3.0178530000000001</v>
      </c>
      <c r="T5490">
        <v>-0.2211542</v>
      </c>
      <c r="U5490">
        <v>0.77124019999999904</v>
      </c>
      <c r="V5490">
        <v>-7.4672269999999999E-2</v>
      </c>
      <c r="W5490">
        <v>0.1526632</v>
      </c>
      <c r="X5490">
        <v>0.98545320000000003</v>
      </c>
      <c r="Y5490">
        <v>-0.2539093</v>
      </c>
      <c r="Z5490">
        <v>9.6630880000000002E-3</v>
      </c>
      <c r="AA5490">
        <v>0.96717980000000003</v>
      </c>
      <c r="AB5490">
        <v>27</v>
      </c>
      <c r="AC5490">
        <v>14.9986</v>
      </c>
      <c r="AD5490">
        <v>-1.1093602185360001</v>
      </c>
      <c r="AE5490">
        <v>3.8697699999999999</v>
      </c>
      <c r="AF5490">
        <v>-3.9572979356309501</v>
      </c>
      <c r="AG5490">
        <v>-1.1093602185360001</v>
      </c>
      <c r="AH5490">
        <v>14.893970707308799</v>
      </c>
      <c r="AI5490">
        <v>94.117404555633101</v>
      </c>
      <c r="AJ5490">
        <v>104.879587808669</v>
      </c>
      <c r="AK5490">
        <v>15.450606799604699</v>
      </c>
      <c r="AL5490">
        <v>81.218705467658694</v>
      </c>
      <c r="AM5490">
        <v>94.333280824089002</v>
      </c>
      <c r="AN5490">
        <v>1.0000000049657101</v>
      </c>
    </row>
    <row r="5491" spans="1:40" x14ac:dyDescent="0.25">
      <c r="A5491" t="str">
        <f>"20190312172519776"</f>
        <v>20190312172519776</v>
      </c>
      <c r="B5491" t="str">
        <f>"1552382719765790"</f>
        <v>1552382719765790</v>
      </c>
      <c r="C5491" t="s">
        <v>40</v>
      </c>
      <c r="D5491">
        <v>4.0081730000000002</v>
      </c>
      <c r="E5491">
        <v>0.43293330000000002</v>
      </c>
      <c r="F5491" t="s">
        <v>43</v>
      </c>
      <c r="G5491">
        <v>-333.04430000000002</v>
      </c>
      <c r="H5491" s="1">
        <v>-3.3136840000000001E-6</v>
      </c>
      <c r="I5491">
        <v>20.922039999999999</v>
      </c>
      <c r="J5491">
        <v>-348.13069999999999</v>
      </c>
      <c r="K5491">
        <v>1.109354</v>
      </c>
      <c r="L5491">
        <v>17.075469999999999</v>
      </c>
      <c r="M5491">
        <v>0.99994850000000002</v>
      </c>
      <c r="N5491">
        <v>0</v>
      </c>
      <c r="O5491">
        <v>-7.3401859999999899E-3</v>
      </c>
      <c r="P5491">
        <v>0.98743829999999999</v>
      </c>
      <c r="Q5491">
        <v>0.143867299999999</v>
      </c>
      <c r="R5491">
        <v>6.5327410000000002E-2</v>
      </c>
      <c r="S5491">
        <v>3.0197449999999999</v>
      </c>
      <c r="T5491">
        <v>-0.21987870000000001</v>
      </c>
      <c r="U5491">
        <v>0.76217650000000003</v>
      </c>
      <c r="V5491">
        <v>-7.2495190000000001E-2</v>
      </c>
      <c r="W5491">
        <v>0.15081229999999901</v>
      </c>
      <c r="X5491">
        <v>0.98590060000000002</v>
      </c>
      <c r="Y5491">
        <v>-0.25118980000000002</v>
      </c>
      <c r="Z5491">
        <v>9.5181580000000005E-3</v>
      </c>
      <c r="AA5491">
        <v>0.96789099999999995</v>
      </c>
      <c r="AB5491">
        <v>28</v>
      </c>
      <c r="AC5491">
        <v>15.0863999999999</v>
      </c>
      <c r="AD5491">
        <v>-1.109357313684</v>
      </c>
      <c r="AE5491">
        <v>3.8465699999999901</v>
      </c>
      <c r="AF5491">
        <v>-3.9372163152977899</v>
      </c>
      <c r="AG5491">
        <v>-1.109357313684</v>
      </c>
      <c r="AH5491">
        <v>14.981694326330199</v>
      </c>
      <c r="AI5491">
        <v>94.096286381181201</v>
      </c>
      <c r="AJ5491">
        <v>104.72448014290499</v>
      </c>
      <c r="AK5491">
        <v>15.530084058061799</v>
      </c>
      <c r="AL5491">
        <v>81.325996088404693</v>
      </c>
      <c r="AM5491">
        <v>94.205501440314094</v>
      </c>
      <c r="AN5491">
        <v>0.99999994774239098</v>
      </c>
    </row>
    <row r="5492" spans="1:40" x14ac:dyDescent="0.25">
      <c r="A5492" t="str">
        <f>"20190312172519797"</f>
        <v>20190312172519797</v>
      </c>
      <c r="B5492" t="str">
        <f>"1552382719786286"</f>
        <v>1552382719786286</v>
      </c>
      <c r="C5492" t="s">
        <v>40</v>
      </c>
      <c r="D5492">
        <v>3.9777330000000002</v>
      </c>
      <c r="E5492">
        <v>0.4333149</v>
      </c>
      <c r="F5492" t="s">
        <v>43</v>
      </c>
      <c r="G5492">
        <v>-333.23500000000001</v>
      </c>
      <c r="H5492" s="1">
        <v>-3.1966489999999999E-6</v>
      </c>
      <c r="I5492">
        <v>20.789580000000001</v>
      </c>
      <c r="J5492">
        <v>-347.8809</v>
      </c>
      <c r="K5492">
        <v>1.1093599999999999</v>
      </c>
      <c r="L5492">
        <v>17.073360000000001</v>
      </c>
      <c r="M5492">
        <v>0.99994620000000001</v>
      </c>
      <c r="N5492">
        <v>0</v>
      </c>
      <c r="O5492">
        <v>-7.5822919999999896E-3</v>
      </c>
      <c r="P5492">
        <v>0.98804040000000004</v>
      </c>
      <c r="Q5492">
        <v>0.1421608</v>
      </c>
      <c r="R5492">
        <v>5.9721499999999997E-2</v>
      </c>
      <c r="S5492">
        <v>3.0210880000000002</v>
      </c>
      <c r="T5492">
        <v>-0.2249949</v>
      </c>
      <c r="U5492">
        <v>0.75329590000000002</v>
      </c>
      <c r="V5492">
        <v>-6.7133929999999994E-2</v>
      </c>
      <c r="W5492">
        <v>0.14916740000000001</v>
      </c>
      <c r="X5492">
        <v>0.98653040000000003</v>
      </c>
      <c r="Y5492">
        <v>-0.24862020000000001</v>
      </c>
      <c r="Z5492">
        <v>9.6619070000000008E-3</v>
      </c>
      <c r="AA5492">
        <v>0.96855279999999999</v>
      </c>
      <c r="AB5492">
        <v>28</v>
      </c>
      <c r="AC5492">
        <v>14.6458999999999</v>
      </c>
      <c r="AD5492">
        <v>-1.1093631966490001</v>
      </c>
      <c r="AE5492">
        <v>3.7162199999999901</v>
      </c>
      <c r="AF5492">
        <v>-3.8066462608606302</v>
      </c>
      <c r="AG5492">
        <v>-1.1093631966490001</v>
      </c>
      <c r="AH5492">
        <v>14.5389307784727</v>
      </c>
      <c r="AI5492">
        <v>94.221620348547901</v>
      </c>
      <c r="AJ5492">
        <v>104.67208212486</v>
      </c>
      <c r="AK5492">
        <v>15.069895508550299</v>
      </c>
      <c r="AL5492">
        <v>81.421321202276403</v>
      </c>
      <c r="AM5492">
        <v>93.893007000109705</v>
      </c>
      <c r="AN5492">
        <v>1.0000000539520799</v>
      </c>
    </row>
    <row r="5493" spans="1:40" x14ac:dyDescent="0.25">
      <c r="A5493" t="str">
        <f>"20190312172519808"</f>
        <v>20190312172519808</v>
      </c>
      <c r="B5493" t="str">
        <f>"1552382719805806"</f>
        <v>1552382719805806</v>
      </c>
      <c r="C5493" t="s">
        <v>40</v>
      </c>
      <c r="D5493">
        <v>3.9566750000000002</v>
      </c>
      <c r="E5493">
        <v>0.4335849</v>
      </c>
      <c r="F5493" t="s">
        <v>43</v>
      </c>
      <c r="G5493">
        <v>-333.24560000000002</v>
      </c>
      <c r="H5493" s="1">
        <v>-3.146412E-6</v>
      </c>
      <c r="I5493">
        <v>20.617840000000001</v>
      </c>
      <c r="J5493">
        <v>-347.74149999999997</v>
      </c>
      <c r="K5493">
        <v>1.109369</v>
      </c>
      <c r="L5493">
        <v>17.072140000000001</v>
      </c>
      <c r="M5493">
        <v>0.99994519999999998</v>
      </c>
      <c r="N5493">
        <v>0</v>
      </c>
      <c r="O5493">
        <v>-7.7173729999999996E-3</v>
      </c>
      <c r="P5493">
        <v>0.98805929999999997</v>
      </c>
      <c r="Q5493">
        <v>0.14321300000000001</v>
      </c>
      <c r="R5493">
        <v>5.6827120000000002E-2</v>
      </c>
      <c r="S5493">
        <v>3.0250240000000002</v>
      </c>
      <c r="T5493">
        <v>-0.2292978</v>
      </c>
      <c r="U5493">
        <v>0.7326355</v>
      </c>
      <c r="V5493">
        <v>-6.4372899999999997E-2</v>
      </c>
      <c r="W5493">
        <v>0.15025369999999999</v>
      </c>
      <c r="X5493">
        <v>0.98654949999999997</v>
      </c>
      <c r="Y5493">
        <v>-0.24220259999999999</v>
      </c>
      <c r="Z5493">
        <v>9.6122910000000002E-3</v>
      </c>
      <c r="AA5493">
        <v>0.97017810000000004</v>
      </c>
      <c r="AB5493">
        <v>28</v>
      </c>
      <c r="AC5493">
        <v>14.495899999999899</v>
      </c>
      <c r="AD5493">
        <v>-1.1093721464120001</v>
      </c>
      <c r="AE5493">
        <v>3.5457000000000001</v>
      </c>
      <c r="AF5493">
        <v>-3.6373665810486702</v>
      </c>
      <c r="AG5493">
        <v>-1.1093721464120001</v>
      </c>
      <c r="AH5493">
        <v>14.3885896007389</v>
      </c>
      <c r="AI5493">
        <v>94.274873193766396</v>
      </c>
      <c r="AJ5493">
        <v>104.18687716948099</v>
      </c>
      <c r="AK5493">
        <v>14.882629233527799</v>
      </c>
      <c r="AL5493">
        <v>81.358370702363501</v>
      </c>
      <c r="AM5493">
        <v>93.733288947857304</v>
      </c>
      <c r="AN5493">
        <v>0.99999998028417403</v>
      </c>
    </row>
    <row r="5494" spans="1:40" x14ac:dyDescent="0.25">
      <c r="A5494" t="str">
        <f>"20190312172519819"</f>
        <v>20190312172519819</v>
      </c>
      <c r="B5494" t="str">
        <f>"1552382719815566"</f>
        <v>1552382719815566</v>
      </c>
      <c r="C5494" t="s">
        <v>40</v>
      </c>
      <c r="D5494">
        <v>3.9711159999999999</v>
      </c>
      <c r="E5494">
        <v>0.4336914</v>
      </c>
      <c r="F5494" t="s">
        <v>43</v>
      </c>
      <c r="G5494">
        <v>-332.7903</v>
      </c>
      <c r="H5494" s="1">
        <v>-3.34659E-6</v>
      </c>
      <c r="I5494">
        <v>20.636150000000001</v>
      </c>
      <c r="J5494">
        <v>-347.59840000000003</v>
      </c>
      <c r="K5494">
        <v>1.1093770000000001</v>
      </c>
      <c r="L5494">
        <v>17.070889999999999</v>
      </c>
      <c r="M5494">
        <v>0.99994369999999999</v>
      </c>
      <c r="N5494">
        <v>0</v>
      </c>
      <c r="O5494">
        <v>-7.8560390000000004E-3</v>
      </c>
      <c r="P5494">
        <v>0.98806039999999995</v>
      </c>
      <c r="Q5494">
        <v>0.14432970000000001</v>
      </c>
      <c r="R5494">
        <v>5.3904689999999998E-2</v>
      </c>
      <c r="S5494">
        <v>3.0272830000000002</v>
      </c>
      <c r="T5494">
        <v>-0.2246234</v>
      </c>
      <c r="U5494">
        <v>0.72164919999999899</v>
      </c>
      <c r="V5494">
        <v>-6.1586210000000002E-2</v>
      </c>
      <c r="W5494">
        <v>0.15140619999999999</v>
      </c>
      <c r="X5494">
        <v>0.98655119999999996</v>
      </c>
      <c r="Y5494">
        <v>-0.23887720000000001</v>
      </c>
      <c r="Z5494">
        <v>9.3025969999999993E-3</v>
      </c>
      <c r="AA5494">
        <v>0.97100529999999996</v>
      </c>
      <c r="AB5494">
        <v>28</v>
      </c>
      <c r="AC5494">
        <v>14.8081</v>
      </c>
      <c r="AD5494">
        <v>-1.1093803465899901</v>
      </c>
      <c r="AE5494">
        <v>3.5652599999999999</v>
      </c>
      <c r="AF5494">
        <v>-3.66205851848588</v>
      </c>
      <c r="AG5494">
        <v>-1.1093803465899901</v>
      </c>
      <c r="AH5494">
        <v>14.701640450445</v>
      </c>
      <c r="AI5494">
        <v>94.187850115427196</v>
      </c>
      <c r="AJ5494">
        <v>103.987259526686</v>
      </c>
      <c r="AK5494">
        <v>15.191432759301399</v>
      </c>
      <c r="AL5494">
        <v>81.291573164881896</v>
      </c>
      <c r="AM5494">
        <v>93.572097358184706</v>
      </c>
      <c r="AN5494">
        <v>0.99999998444102101</v>
      </c>
    </row>
    <row r="5495" spans="1:40" x14ac:dyDescent="0.25">
      <c r="A5495" t="str">
        <f>"20190312172519832"</f>
        <v>20190312172519832</v>
      </c>
      <c r="B5495" t="str">
        <f>"1552382719826301"</f>
        <v>1552382719826301</v>
      </c>
      <c r="C5495" t="s">
        <v>40</v>
      </c>
      <c r="D5495">
        <v>3.959743</v>
      </c>
      <c r="E5495">
        <v>0.43380079999999999</v>
      </c>
      <c r="F5495" t="s">
        <v>43</v>
      </c>
      <c r="G5495">
        <v>-332.33600000000001</v>
      </c>
      <c r="H5495" s="1">
        <v>-3.547221E-6</v>
      </c>
      <c r="I5495">
        <v>20.657589999999999</v>
      </c>
      <c r="J5495">
        <v>-347.45479999999998</v>
      </c>
      <c r="K5495">
        <v>1.109383</v>
      </c>
      <c r="L5495">
        <v>17.069610000000001</v>
      </c>
      <c r="M5495">
        <v>0.99994240000000001</v>
      </c>
      <c r="N5495">
        <v>0</v>
      </c>
      <c r="O5495">
        <v>-7.9950760000000003E-3</v>
      </c>
      <c r="P5495">
        <v>0.98817140000000003</v>
      </c>
      <c r="Q5495">
        <v>0.14476989999999901</v>
      </c>
      <c r="R5495">
        <v>5.058795E-2</v>
      </c>
      <c r="S5495">
        <v>3.0296020000000001</v>
      </c>
      <c r="T5495">
        <v>-0.22021189999999999</v>
      </c>
      <c r="U5495">
        <v>0.71197509999999997</v>
      </c>
      <c r="V5495">
        <v>-5.8407590000000002E-2</v>
      </c>
      <c r="W5495">
        <v>0.15188599999999999</v>
      </c>
      <c r="X5495">
        <v>0.98667079999999996</v>
      </c>
      <c r="Y5495">
        <v>-0.23593939999999999</v>
      </c>
      <c r="Z5495">
        <v>9.0216399999999992E-3</v>
      </c>
      <c r="AA5495">
        <v>0.97172590000000003</v>
      </c>
      <c r="AB5495">
        <v>28</v>
      </c>
      <c r="AC5495">
        <v>15.118799999999901</v>
      </c>
      <c r="AD5495">
        <v>-1.1093865472210001</v>
      </c>
      <c r="AE5495">
        <v>3.5879799999999902</v>
      </c>
      <c r="AF5495">
        <v>-3.6899358656755998</v>
      </c>
      <c r="AG5495">
        <v>-1.1093865472210001</v>
      </c>
      <c r="AH5495">
        <v>15.013104383647001</v>
      </c>
      <c r="AI5495">
        <v>94.104447249775404</v>
      </c>
      <c r="AJ5495">
        <v>103.808507367164</v>
      </c>
      <c r="AK5495">
        <v>15.499666720231</v>
      </c>
      <c r="AL5495">
        <v>81.263761447524601</v>
      </c>
      <c r="AM5495">
        <v>93.387763786762804</v>
      </c>
      <c r="AN5495">
        <v>1.0000000355691201</v>
      </c>
    </row>
    <row r="5496" spans="1:40" x14ac:dyDescent="0.25">
      <c r="A5496" t="str">
        <f>"20190312172519843"</f>
        <v>20190312172519843</v>
      </c>
      <c r="B5496" t="str">
        <f>"1552382719836063"</f>
        <v>1552382719836063</v>
      </c>
      <c r="C5496" t="s">
        <v>40</v>
      </c>
      <c r="D5496">
        <v>3.9790100000000002</v>
      </c>
      <c r="E5496">
        <v>0.43389489999999997</v>
      </c>
      <c r="F5496" t="s">
        <v>43</v>
      </c>
      <c r="G5496">
        <v>-332.05560000000003</v>
      </c>
      <c r="H5496" s="1">
        <v>-3.6600429999999998E-6</v>
      </c>
      <c r="I5496">
        <v>20.629629999999999</v>
      </c>
      <c r="J5496">
        <v>-347.30779999999999</v>
      </c>
      <c r="K5496">
        <v>1.10938799999999</v>
      </c>
      <c r="L5496">
        <v>17.06833</v>
      </c>
      <c r="M5496">
        <v>0.99994090000000002</v>
      </c>
      <c r="N5496">
        <v>0</v>
      </c>
      <c r="O5496">
        <v>-8.1373390000000004E-3</v>
      </c>
      <c r="P5496">
        <v>0.98842699999999994</v>
      </c>
      <c r="Q5496">
        <v>0.14425669999999999</v>
      </c>
      <c r="R5496">
        <v>4.6926799999999998E-2</v>
      </c>
      <c r="S5496">
        <v>3.0319820000000002</v>
      </c>
      <c r="T5496">
        <v>-0.21842990000000001</v>
      </c>
      <c r="U5496">
        <v>0.70095830000000003</v>
      </c>
      <c r="V5496">
        <v>-5.4889220000000002E-2</v>
      </c>
      <c r="W5496">
        <v>0.1514152</v>
      </c>
      <c r="X5496">
        <v>0.98694510000000002</v>
      </c>
      <c r="Y5496">
        <v>-0.23257539999999999</v>
      </c>
      <c r="Z5496">
        <v>8.8362790000000007E-3</v>
      </c>
      <c r="AA5496">
        <v>0.97253820000000002</v>
      </c>
      <c r="AB5496">
        <v>28</v>
      </c>
      <c r="AC5496">
        <v>15.252199999999901</v>
      </c>
      <c r="AD5496">
        <v>-1.1093916600429901</v>
      </c>
      <c r="AE5496">
        <v>3.5612999999999899</v>
      </c>
      <c r="AF5496">
        <v>-3.6669005340593799</v>
      </c>
      <c r="AG5496">
        <v>-1.1093916600429901</v>
      </c>
      <c r="AH5496">
        <v>15.146722563765101</v>
      </c>
      <c r="AI5496">
        <v>94.071825576644301</v>
      </c>
      <c r="AJ5496">
        <v>103.60901467307301</v>
      </c>
      <c r="AK5496">
        <v>15.623703588001399</v>
      </c>
      <c r="AL5496">
        <v>81.291051711324698</v>
      </c>
      <c r="AM5496">
        <v>93.183241070380404</v>
      </c>
      <c r="AN5496">
        <v>1.0000000098386199</v>
      </c>
    </row>
    <row r="5497" spans="1:40" x14ac:dyDescent="0.25">
      <c r="A5497" t="str">
        <f>"20190312172519854"</f>
        <v>20190312172519854</v>
      </c>
      <c r="B5497" t="str">
        <f>"1552382719845822"</f>
        <v>1552382719845822</v>
      </c>
      <c r="C5497" t="s">
        <v>40</v>
      </c>
      <c r="D5497">
        <v>3.962885</v>
      </c>
      <c r="E5497">
        <v>0.43395539999999999</v>
      </c>
      <c r="F5497" t="s">
        <v>43</v>
      </c>
      <c r="G5497">
        <v>-331.9873</v>
      </c>
      <c r="H5497" s="1">
        <v>-3.666608E-6</v>
      </c>
      <c r="I5497">
        <v>20.5442</v>
      </c>
      <c r="J5497">
        <v>-347.15649999999999</v>
      </c>
      <c r="K5497">
        <v>1.1093930000000001</v>
      </c>
      <c r="L5497">
        <v>17.066929999999999</v>
      </c>
      <c r="M5497">
        <v>0.99993940000000003</v>
      </c>
      <c r="N5497">
        <v>0</v>
      </c>
      <c r="O5497">
        <v>-8.2839190000000007E-3</v>
      </c>
      <c r="P5497">
        <v>0.98864719999999995</v>
      </c>
      <c r="Q5497">
        <v>0.14385429999999999</v>
      </c>
      <c r="R5497">
        <v>4.3396610000000002E-2</v>
      </c>
      <c r="S5497">
        <v>3.0345149999999999</v>
      </c>
      <c r="T5497">
        <v>-0.2197356</v>
      </c>
      <c r="U5497">
        <v>0.68847659999999999</v>
      </c>
      <c r="V5497">
        <v>-5.1505670000000003E-2</v>
      </c>
      <c r="W5497">
        <v>0.15106120000000001</v>
      </c>
      <c r="X5497">
        <v>0.98718170000000005</v>
      </c>
      <c r="Y5497">
        <v>-0.22873930000000001</v>
      </c>
      <c r="Z5497">
        <v>8.7592629999999998E-3</v>
      </c>
      <c r="AA5497">
        <v>0.97344830000000004</v>
      </c>
      <c r="AB5497">
        <v>28</v>
      </c>
      <c r="AC5497">
        <v>15.169199999999901</v>
      </c>
      <c r="AD5497">
        <v>-1.109396666608</v>
      </c>
      <c r="AE5497">
        <v>3.4772699999999999</v>
      </c>
      <c r="AF5497">
        <v>-3.5845986513235801</v>
      </c>
      <c r="AG5497">
        <v>-1.109396666608</v>
      </c>
      <c r="AH5497">
        <v>15.063326409525599</v>
      </c>
      <c r="AI5497">
        <v>94.098130962981102</v>
      </c>
      <c r="AJ5497">
        <v>103.385630826151</v>
      </c>
      <c r="AK5497">
        <v>15.5236564950035</v>
      </c>
      <c r="AL5497">
        <v>81.311570477770104</v>
      </c>
      <c r="AM5497">
        <v>92.986668121025104</v>
      </c>
      <c r="AN5497">
        <v>1.00000001450123</v>
      </c>
    </row>
    <row r="5498" spans="1:40" x14ac:dyDescent="0.25">
      <c r="A5498" t="str">
        <f>"20190312172519866"</f>
        <v>20190312172519866</v>
      </c>
      <c r="B5498" t="str">
        <f>"1552382719855582"</f>
        <v>1552382719855582</v>
      </c>
      <c r="C5498" t="s">
        <v>40</v>
      </c>
      <c r="D5498">
        <v>3.9464939999999999</v>
      </c>
      <c r="E5498">
        <v>0.43399399999999999</v>
      </c>
      <c r="F5498" t="s">
        <v>43</v>
      </c>
      <c r="G5498">
        <v>-331.8793</v>
      </c>
      <c r="H5498" s="1">
        <v>-3.6937549999999999E-6</v>
      </c>
      <c r="I5498">
        <v>20.472110000000001</v>
      </c>
      <c r="J5498">
        <v>-347.02100000000002</v>
      </c>
      <c r="K5498">
        <v>1.1094010000000001</v>
      </c>
      <c r="L5498">
        <v>17.065639999999998</v>
      </c>
      <c r="M5498">
        <v>0.99993790000000005</v>
      </c>
      <c r="N5498">
        <v>0</v>
      </c>
      <c r="O5498">
        <v>-8.4151090000000005E-3</v>
      </c>
      <c r="P5498">
        <v>0.98891669999999998</v>
      </c>
      <c r="Q5498">
        <v>0.14314389999999999</v>
      </c>
      <c r="R5498">
        <v>3.9421419999999999E-2</v>
      </c>
      <c r="S5498">
        <v>3.0368650000000001</v>
      </c>
      <c r="T5498">
        <v>-0.22053030000000001</v>
      </c>
      <c r="U5498">
        <v>0.67691040000000002</v>
      </c>
      <c r="V5498">
        <v>-4.7662940000000001E-2</v>
      </c>
      <c r="W5498">
        <v>0.1503961</v>
      </c>
      <c r="X5498">
        <v>0.98747620000000003</v>
      </c>
      <c r="Y5498">
        <v>-0.2251785</v>
      </c>
      <c r="Z5498">
        <v>8.6696940000000004E-3</v>
      </c>
      <c r="AA5498">
        <v>0.97427889999999995</v>
      </c>
      <c r="AB5498">
        <v>28</v>
      </c>
      <c r="AC5498">
        <v>15.141699999999901</v>
      </c>
      <c r="AD5498">
        <v>-1.1094046937549999</v>
      </c>
      <c r="AE5498">
        <v>3.4064700000000001</v>
      </c>
      <c r="AF5498">
        <v>-3.5158074180412799</v>
      </c>
      <c r="AG5498">
        <v>-1.1094046937549999</v>
      </c>
      <c r="AH5498">
        <v>15.035670789676301</v>
      </c>
      <c r="AI5498">
        <v>94.109457419026199</v>
      </c>
      <c r="AJ5498">
        <v>103.161066597367</v>
      </c>
      <c r="AK5498">
        <v>15.481055412044901</v>
      </c>
      <c r="AL5498">
        <v>81.350118125799298</v>
      </c>
      <c r="AM5498">
        <v>92.763375467004707</v>
      </c>
      <c r="AN5498">
        <v>0.99999999415554597</v>
      </c>
    </row>
    <row r="5499" spans="1:40" x14ac:dyDescent="0.25">
      <c r="A5499" t="str">
        <f>"20190312172519879"</f>
        <v>20190312172519879</v>
      </c>
      <c r="B5499" t="str">
        <f>"1552382719876078"</f>
        <v>1552382719876078</v>
      </c>
      <c r="C5499" t="s">
        <v>40</v>
      </c>
      <c r="D5499">
        <v>3.951146</v>
      </c>
      <c r="E5499">
        <v>0.43398550000000002</v>
      </c>
      <c r="F5499" t="s">
        <v>43</v>
      </c>
      <c r="G5499">
        <v>-331.85629999999998</v>
      </c>
      <c r="H5499" s="1">
        <v>-3.6788970000000002E-6</v>
      </c>
      <c r="I5499">
        <v>20.37912</v>
      </c>
      <c r="J5499">
        <v>-346.86279999999999</v>
      </c>
      <c r="K5499">
        <v>1.1094079999999999</v>
      </c>
      <c r="L5499">
        <v>17.06418</v>
      </c>
      <c r="M5499">
        <v>0.99993620000000005</v>
      </c>
      <c r="N5499">
        <v>0</v>
      </c>
      <c r="O5499">
        <v>-8.5680389999999995E-3</v>
      </c>
      <c r="P5499">
        <v>0.98911729999999998</v>
      </c>
      <c r="Q5499">
        <v>0.14275539999999901</v>
      </c>
      <c r="R5499">
        <v>3.5610049999999997E-2</v>
      </c>
      <c r="S5499">
        <v>3.0392760000000001</v>
      </c>
      <c r="T5499">
        <v>-0.22234370000000001</v>
      </c>
      <c r="U5499">
        <v>0.66409300000000004</v>
      </c>
      <c r="V5499">
        <v>-4.4004840000000003E-2</v>
      </c>
      <c r="W5499">
        <v>0.15006269999999999</v>
      </c>
      <c r="X5499">
        <v>0.98769669999999998</v>
      </c>
      <c r="Y5499">
        <v>-0.22124369999999999</v>
      </c>
      <c r="Z5499">
        <v>8.6069379999999997E-3</v>
      </c>
      <c r="AA5499">
        <v>0.97518059999999995</v>
      </c>
      <c r="AB5499">
        <v>28</v>
      </c>
      <c r="AC5499">
        <v>15.006500000000001</v>
      </c>
      <c r="AD5499">
        <v>-1.1094116788970001</v>
      </c>
      <c r="AE5499">
        <v>3.31494</v>
      </c>
      <c r="AF5499">
        <v>-3.42554696770619</v>
      </c>
      <c r="AG5499">
        <v>-1.1094116788970001</v>
      </c>
      <c r="AH5499">
        <v>14.8998999219314</v>
      </c>
      <c r="AI5499">
        <v>94.150371876107698</v>
      </c>
      <c r="AJ5499">
        <v>102.94754173435101</v>
      </c>
      <c r="AK5499">
        <v>15.3288024315275</v>
      </c>
      <c r="AL5499">
        <v>81.369439916520506</v>
      </c>
      <c r="AM5499">
        <v>92.551011222131606</v>
      </c>
      <c r="AN5499">
        <v>1.0000000055328</v>
      </c>
    </row>
    <row r="5500" spans="1:40" x14ac:dyDescent="0.25">
      <c r="A5500" t="str">
        <f>"20190312172519892"</f>
        <v>20190312172519892</v>
      </c>
      <c r="B5500" t="str">
        <f>"1552382719885838"</f>
        <v>1552382719885838</v>
      </c>
      <c r="C5500" t="s">
        <v>40</v>
      </c>
      <c r="D5500">
        <v>3.9464769999999998</v>
      </c>
      <c r="E5500">
        <v>0.43398219999999998</v>
      </c>
      <c r="F5500" t="s">
        <v>43</v>
      </c>
      <c r="G5500">
        <v>-331.6653</v>
      </c>
      <c r="H5500" s="1">
        <v>-3.7455259999999998E-6</v>
      </c>
      <c r="I5500">
        <v>20.321490000000001</v>
      </c>
      <c r="J5500">
        <v>-346.70010000000002</v>
      </c>
      <c r="K5500">
        <v>1.109418</v>
      </c>
      <c r="L5500">
        <v>17.06259</v>
      </c>
      <c r="M5500">
        <v>0.99993430000000005</v>
      </c>
      <c r="N5500">
        <v>0</v>
      </c>
      <c r="O5500">
        <v>-8.7256450000000006E-3</v>
      </c>
      <c r="P5500">
        <v>0.98932750000000003</v>
      </c>
      <c r="Q5500">
        <v>0.14216199999999901</v>
      </c>
      <c r="R5500">
        <v>3.1952429999999997E-2</v>
      </c>
      <c r="S5500">
        <v>3.0415649999999999</v>
      </c>
      <c r="T5500">
        <v>-0.2220316</v>
      </c>
      <c r="U5500">
        <v>0.65191650000000001</v>
      </c>
      <c r="V5500">
        <v>-4.0504320000000003E-2</v>
      </c>
      <c r="W5500">
        <v>0.14953089999999999</v>
      </c>
      <c r="X5500">
        <v>0.98792709999999995</v>
      </c>
      <c r="Y5500">
        <v>-0.2175243</v>
      </c>
      <c r="Z5500">
        <v>8.4694680000000008E-3</v>
      </c>
      <c r="AA5500">
        <v>0.97601819999999895</v>
      </c>
      <c r="AB5500">
        <v>28</v>
      </c>
      <c r="AC5500">
        <v>15.034800000000001</v>
      </c>
      <c r="AD5500">
        <v>-1.109421745526</v>
      </c>
      <c r="AE5500">
        <v>3.2589000000000001</v>
      </c>
      <c r="AF5500">
        <v>-3.3724290380901798</v>
      </c>
      <c r="AG5500">
        <v>-1.109421745526</v>
      </c>
      <c r="AH5500">
        <v>14.928154617282299</v>
      </c>
      <c r="AI5500">
        <v>94.146154373290003</v>
      </c>
      <c r="AJ5500">
        <v>102.73003577303299</v>
      </c>
      <c r="AK5500">
        <v>15.3445069814539</v>
      </c>
      <c r="AL5500">
        <v>81.400257680115303</v>
      </c>
      <c r="AM5500">
        <v>92.347771978173398</v>
      </c>
      <c r="AN5500">
        <v>1.00000002245394</v>
      </c>
    </row>
    <row r="5501" spans="1:40" x14ac:dyDescent="0.25">
      <c r="A5501" t="str">
        <f>"20190312172519910"</f>
        <v>20190312172519910</v>
      </c>
      <c r="B5501" t="str">
        <f>"1552382719906335"</f>
        <v>1552382719906335</v>
      </c>
      <c r="C5501" t="s">
        <v>40</v>
      </c>
      <c r="D5501">
        <v>3.9493649999999998</v>
      </c>
      <c r="E5501">
        <v>0.45647979999999999</v>
      </c>
      <c r="F5501" t="s">
        <v>43</v>
      </c>
      <c r="G5501">
        <v>-331.62509999999997</v>
      </c>
      <c r="H5501" s="1">
        <v>-3.739049E-6</v>
      </c>
      <c r="I5501">
        <v>20.232389999999999</v>
      </c>
      <c r="J5501">
        <v>-346.47559999999999</v>
      </c>
      <c r="K5501">
        <v>1.1094280000000001</v>
      </c>
      <c r="L5501">
        <v>17.060389999999899</v>
      </c>
      <c r="M5501">
        <v>0.99993160000000003</v>
      </c>
      <c r="N5501">
        <v>0</v>
      </c>
      <c r="O5501">
        <v>-8.9428509999999999E-3</v>
      </c>
      <c r="P5501">
        <v>0.98949339999999997</v>
      </c>
      <c r="Q5501">
        <v>0.1425025</v>
      </c>
      <c r="R5501">
        <v>2.4407890000000002E-2</v>
      </c>
      <c r="S5501">
        <v>3.0438839999999998</v>
      </c>
      <c r="T5501">
        <v>-0.22400880000000001</v>
      </c>
      <c r="U5501">
        <v>0.64004519999999998</v>
      </c>
      <c r="V5501">
        <v>-3.3175799999999998E-2</v>
      </c>
      <c r="W5501">
        <v>0.14995899999999901</v>
      </c>
      <c r="X5501">
        <v>0.98813550000000006</v>
      </c>
      <c r="Y5501">
        <v>-0.21393860000000001</v>
      </c>
      <c r="Z5501">
        <v>8.4272010000000005E-3</v>
      </c>
      <c r="AA5501">
        <v>0.97681079999999998</v>
      </c>
      <c r="AB5501">
        <v>28</v>
      </c>
      <c r="AC5501">
        <v>14.8505</v>
      </c>
      <c r="AD5501">
        <v>-1.1094317390490001</v>
      </c>
      <c r="AE5501">
        <v>3.1720000000000002</v>
      </c>
      <c r="AF5501">
        <v>-3.28713739478661</v>
      </c>
      <c r="AG5501">
        <v>-1.1094317390490001</v>
      </c>
      <c r="AH5501">
        <v>14.742847559863799</v>
      </c>
      <c r="AI5501">
        <v>94.200754884318997</v>
      </c>
      <c r="AJ5501">
        <v>102.569350659284</v>
      </c>
      <c r="AK5501">
        <v>15.145549353166301</v>
      </c>
      <c r="AL5501">
        <v>81.375449885087704</v>
      </c>
      <c r="AM5501">
        <v>91.922934236935703</v>
      </c>
      <c r="AN5501">
        <v>1.0000000508734399</v>
      </c>
    </row>
    <row r="5502" spans="1:40" x14ac:dyDescent="0.25">
      <c r="A5502" t="str">
        <f>"20190312172519931"</f>
        <v>20190312172519931</v>
      </c>
      <c r="B5502" t="str">
        <f>"1552382719925854"</f>
        <v>1552382719925854</v>
      </c>
      <c r="C5502" t="s">
        <v>40</v>
      </c>
      <c r="D5502">
        <v>4.0888710000000001</v>
      </c>
      <c r="E5502">
        <v>0.50420540000000003</v>
      </c>
      <c r="F5502" t="s">
        <v>43</v>
      </c>
      <c r="G5502">
        <v>-329.10270000000003</v>
      </c>
      <c r="H5502" s="1">
        <v>-4.1712439999999999E-7</v>
      </c>
      <c r="I5502">
        <v>19.54599</v>
      </c>
      <c r="J5502">
        <v>-346.1986</v>
      </c>
      <c r="K5502">
        <v>1.1094379999999999</v>
      </c>
      <c r="L5502">
        <v>17.057590000000001</v>
      </c>
      <c r="M5502">
        <v>0.99992859999999995</v>
      </c>
      <c r="N5502">
        <v>0</v>
      </c>
      <c r="O5502">
        <v>-9.2110630000000002E-3</v>
      </c>
      <c r="P5502">
        <v>0.98952320000000005</v>
      </c>
      <c r="Q5502">
        <v>0.14335410000000001</v>
      </c>
      <c r="R5502">
        <v>1.7139419999999999E-2</v>
      </c>
      <c r="S5502">
        <v>3.0491329999999999</v>
      </c>
      <c r="T5502">
        <v>-0.1947161</v>
      </c>
      <c r="U5502">
        <v>0.43624879999999999</v>
      </c>
      <c r="V5502">
        <v>-2.6173189999999999E-2</v>
      </c>
      <c r="W5502">
        <v>0.15092120000000001</v>
      </c>
      <c r="X5502">
        <v>0.98819920000000006</v>
      </c>
      <c r="Y5502">
        <v>-0.15042449999999999</v>
      </c>
      <c r="Z5502">
        <v>5.3586500000000004E-3</v>
      </c>
      <c r="AA5502">
        <v>0.98860700000000001</v>
      </c>
      <c r="AB5502">
        <v>28</v>
      </c>
      <c r="AC5502">
        <v>17.095899999999901</v>
      </c>
      <c r="AD5502">
        <v>-1.1094384171243901</v>
      </c>
      <c r="AE5502">
        <v>2.4883999999999902</v>
      </c>
      <c r="AF5502">
        <v>-2.6349040896862399</v>
      </c>
      <c r="AG5502">
        <v>-1.1094384171243901</v>
      </c>
      <c r="AH5502">
        <v>17.002136612192</v>
      </c>
      <c r="AI5502">
        <v>93.6895027795602</v>
      </c>
      <c r="AJ5502">
        <v>98.809327505731602</v>
      </c>
      <c r="AK5502">
        <v>17.240830100168498</v>
      </c>
      <c r="AL5502">
        <v>81.3196843684822</v>
      </c>
      <c r="AM5502">
        <v>91.517166593575098</v>
      </c>
      <c r="AN5502">
        <v>0.99999995168242695</v>
      </c>
    </row>
    <row r="5503" spans="1:40" x14ac:dyDescent="0.25">
      <c r="A5503" t="str">
        <f>"20190312172519943"</f>
        <v>20190312172519943</v>
      </c>
      <c r="B5503" t="str">
        <f>"1552382719935614"</f>
        <v>1552382719935614</v>
      </c>
      <c r="C5503" t="s">
        <v>40</v>
      </c>
      <c r="D5503">
        <v>4.1142050000000001</v>
      </c>
      <c r="E5503">
        <v>0.51536700000000002</v>
      </c>
      <c r="F5503" t="s">
        <v>43</v>
      </c>
      <c r="G5503">
        <v>-330.28750000000002</v>
      </c>
      <c r="H5503" s="1">
        <v>-4.5714729999999997E-6</v>
      </c>
      <c r="I5503">
        <v>17.234159999999999</v>
      </c>
      <c r="J5503">
        <v>-346.0557</v>
      </c>
      <c r="K5503">
        <v>1.1094459999999999</v>
      </c>
      <c r="L5503">
        <v>17.056149999999999</v>
      </c>
      <c r="M5503">
        <v>0.99992669999999995</v>
      </c>
      <c r="N5503">
        <v>0</v>
      </c>
      <c r="O5503">
        <v>-9.3489909999999992E-3</v>
      </c>
      <c r="P5503">
        <v>0.98965199999999998</v>
      </c>
      <c r="Q5503">
        <v>0.14286380000000001</v>
      </c>
      <c r="R5503">
        <v>1.3378589999999999E-2</v>
      </c>
      <c r="S5503">
        <v>3.062103</v>
      </c>
      <c r="T5503">
        <v>-0.21351329999999999</v>
      </c>
      <c r="U5503">
        <v>3.3996579999999998E-2</v>
      </c>
      <c r="V5503">
        <v>-2.2549980000000001E-2</v>
      </c>
      <c r="W5503">
        <v>0.1504875</v>
      </c>
      <c r="X5503">
        <v>0.98835470000000003</v>
      </c>
      <c r="Y5503">
        <v>-2.0377719999999998E-2</v>
      </c>
      <c r="Z5503">
        <v>1.3606549999999999E-3</v>
      </c>
      <c r="AA5503">
        <v>0.9997914</v>
      </c>
      <c r="AB5503">
        <v>28</v>
      </c>
      <c r="AC5503">
        <v>15.768199999999901</v>
      </c>
      <c r="AD5503">
        <v>-1.1094505714730001</v>
      </c>
      <c r="AE5503">
        <v>0.17801</v>
      </c>
      <c r="AF5503">
        <v>-0.32382046439071699</v>
      </c>
      <c r="AG5503">
        <v>-1.1094505714730001</v>
      </c>
      <c r="AH5503">
        <v>15.6881916190948</v>
      </c>
      <c r="AI5503">
        <v>94.044297445890294</v>
      </c>
      <c r="AJ5503">
        <v>91.1824761022161</v>
      </c>
      <c r="AK5503">
        <v>15.7307055322111</v>
      </c>
      <c r="AL5503">
        <v>81.344821065131697</v>
      </c>
      <c r="AM5503">
        <v>91.307015146640197</v>
      </c>
      <c r="AN5503">
        <v>1.00000000113317</v>
      </c>
    </row>
    <row r="5504" spans="1:40" x14ac:dyDescent="0.25">
      <c r="A5504" t="str">
        <f>"20190312172519955"</f>
        <v>20190312172519955</v>
      </c>
      <c r="B5504" t="str">
        <f>"1552382719946350"</f>
        <v>1552382719946350</v>
      </c>
      <c r="C5504" t="s">
        <v>40</v>
      </c>
      <c r="D5504">
        <v>4.0107030000000004</v>
      </c>
      <c r="E5504">
        <v>0.52459180000000005</v>
      </c>
      <c r="F5504" t="s">
        <v>41</v>
      </c>
      <c r="G5504">
        <v>-345.09449999999998</v>
      </c>
      <c r="H5504">
        <v>1.0434239999999999</v>
      </c>
      <c r="I5504">
        <v>17.034749999999999</v>
      </c>
      <c r="J5504">
        <v>-345.90249999999997</v>
      </c>
      <c r="K5504">
        <v>1.1094489999999999</v>
      </c>
      <c r="L5504">
        <v>17.05453</v>
      </c>
      <c r="M5504">
        <v>0.99992499999999995</v>
      </c>
      <c r="N5504">
        <v>0</v>
      </c>
      <c r="O5504">
        <v>-9.4975340000000002E-3</v>
      </c>
      <c r="P5504">
        <v>0.98979850000000003</v>
      </c>
      <c r="Q5504">
        <v>0.14212230000000001</v>
      </c>
      <c r="R5504">
        <v>1.002027E-2</v>
      </c>
      <c r="S5504">
        <v>3.062592</v>
      </c>
      <c r="T5504">
        <v>-0.21034359999999999</v>
      </c>
      <c r="U5504">
        <v>-6.6528320000000002E-2</v>
      </c>
      <c r="V5504">
        <v>-1.9340090000000001E-2</v>
      </c>
      <c r="W5504">
        <v>0.14980439999999901</v>
      </c>
      <c r="X5504">
        <v>0.98852649999999997</v>
      </c>
      <c r="Y5504">
        <v>1.221481E-2</v>
      </c>
      <c r="Z5504">
        <v>2.3253370000000001E-4</v>
      </c>
      <c r="AA5504">
        <v>0.99992539999999996</v>
      </c>
      <c r="AB5504">
        <v>28</v>
      </c>
      <c r="AC5504">
        <v>0.80799999999999195</v>
      </c>
      <c r="AD5504">
        <v>-6.6025E-2</v>
      </c>
      <c r="AE5504">
        <v>-1.97800000000008E-2</v>
      </c>
      <c r="AF5504">
        <v>1.20246282092732E-2</v>
      </c>
      <c r="AG5504">
        <v>-6.6025E-2</v>
      </c>
      <c r="AH5504">
        <v>0.80279421821240404</v>
      </c>
      <c r="AI5504">
        <v>94.701126856098696</v>
      </c>
      <c r="AJ5504">
        <v>89.141861121926198</v>
      </c>
      <c r="AK5504">
        <v>0.80559446938508406</v>
      </c>
      <c r="AL5504">
        <v>81.384408740699996</v>
      </c>
      <c r="AM5504">
        <v>91.120823954522393</v>
      </c>
      <c r="AN5504">
        <v>1.0000000192714</v>
      </c>
    </row>
    <row r="5505" spans="1:40" x14ac:dyDescent="0.25">
      <c r="A5505" t="str">
        <f>"20190312172519965"</f>
        <v>20190312172519965</v>
      </c>
      <c r="B5505" t="str">
        <f>"1552382719956109"</f>
        <v>1552382719956109</v>
      </c>
      <c r="C5505" t="s">
        <v>40</v>
      </c>
      <c r="D5505">
        <v>4.0985620000000003</v>
      </c>
      <c r="E5505">
        <v>0.53023089999999995</v>
      </c>
      <c r="F5505" t="s">
        <v>41</v>
      </c>
      <c r="G5505">
        <v>-345.08440000000002</v>
      </c>
      <c r="H5505">
        <v>1.0541309999999999</v>
      </c>
      <c r="I5505">
        <v>17.013739999999999</v>
      </c>
      <c r="J5505">
        <v>-345.76429999999999</v>
      </c>
      <c r="K5505">
        <v>1.1094409999999999</v>
      </c>
      <c r="L5505">
        <v>17.053100000000001</v>
      </c>
      <c r="M5505">
        <v>0.99992320000000001</v>
      </c>
      <c r="N5505">
        <v>0</v>
      </c>
      <c r="O5505">
        <v>-9.6310270000000003E-3</v>
      </c>
      <c r="P5505">
        <v>0.99005849999999995</v>
      </c>
      <c r="Q5505">
        <v>0.14050550000000001</v>
      </c>
      <c r="R5505">
        <v>6.5162909999999996E-3</v>
      </c>
      <c r="S5505">
        <v>3.0621640000000001</v>
      </c>
      <c r="T5505">
        <v>-0.20700360000000001</v>
      </c>
      <c r="U5505">
        <v>-0.1507568</v>
      </c>
      <c r="V5505">
        <v>-1.597117E-2</v>
      </c>
      <c r="W5505">
        <v>0.14823989999999901</v>
      </c>
      <c r="X5505">
        <v>0.98882250000000005</v>
      </c>
      <c r="Y5505">
        <v>3.9482650000000001E-2</v>
      </c>
      <c r="Z5505">
        <v>-6.8229580000000003E-4</v>
      </c>
      <c r="AA5505">
        <v>0.99922</v>
      </c>
      <c r="AB5505">
        <v>28</v>
      </c>
      <c r="AC5505">
        <v>0.67989999999997497</v>
      </c>
      <c r="AD5505">
        <v>-5.5309999999999901E-2</v>
      </c>
      <c r="AE5505">
        <v>-3.9360000000001998E-2</v>
      </c>
      <c r="AF5505">
        <v>3.2594852440919198E-2</v>
      </c>
      <c r="AG5505">
        <v>-5.5309999999999901E-2</v>
      </c>
      <c r="AH5505">
        <v>0.67579021010958695</v>
      </c>
      <c r="AI5505">
        <v>94.673531158534601</v>
      </c>
      <c r="AJ5505">
        <v>87.238638142664499</v>
      </c>
      <c r="AK5505">
        <v>0.67883284288962098</v>
      </c>
      <c r="AL5505">
        <v>81.475060413037895</v>
      </c>
      <c r="AM5505">
        <v>90.925344106409597</v>
      </c>
      <c r="AN5505">
        <v>1.0000000413647101</v>
      </c>
    </row>
    <row r="5506" spans="1:40" x14ac:dyDescent="0.25">
      <c r="A5506" t="str">
        <f>"20190312172519977"</f>
        <v>20190312172519977</v>
      </c>
      <c r="B5506" t="str">
        <f>"1552382719965870"</f>
        <v>1552382719965870</v>
      </c>
      <c r="C5506" t="s">
        <v>40</v>
      </c>
      <c r="D5506">
        <v>4.0430780000000004</v>
      </c>
      <c r="E5506">
        <v>0.53369609999999901</v>
      </c>
      <c r="F5506" t="s">
        <v>41</v>
      </c>
      <c r="G5506">
        <v>-344.84359999999998</v>
      </c>
      <c r="H5506">
        <v>1.0457399999999999</v>
      </c>
      <c r="I5506">
        <v>16.99089</v>
      </c>
      <c r="J5506">
        <v>-345.61649999999997</v>
      </c>
      <c r="K5506">
        <v>1.1094379999999999</v>
      </c>
      <c r="L5506">
        <v>17.05151</v>
      </c>
      <c r="M5506">
        <v>0.99992130000000001</v>
      </c>
      <c r="N5506">
        <v>0</v>
      </c>
      <c r="O5506">
        <v>-9.7740650000000002E-3</v>
      </c>
      <c r="P5506">
        <v>0.99028649999999996</v>
      </c>
      <c r="Q5506">
        <v>0.1390111</v>
      </c>
      <c r="R5506">
        <v>2.9447420000000002E-3</v>
      </c>
      <c r="S5506">
        <v>3.0615230000000002</v>
      </c>
      <c r="T5506">
        <v>-0.21182139999999999</v>
      </c>
      <c r="U5506">
        <v>-0.206543</v>
      </c>
      <c r="V5506">
        <v>-1.2545000000000001E-2</v>
      </c>
      <c r="W5506">
        <v>0.1467987</v>
      </c>
      <c r="X5506">
        <v>0.98908689999999999</v>
      </c>
      <c r="Y5506">
        <v>5.7442269999999997E-2</v>
      </c>
      <c r="Z5506">
        <v>-1.3079109999999999E-3</v>
      </c>
      <c r="AA5506">
        <v>0.99834800000000001</v>
      </c>
      <c r="AB5506">
        <v>28</v>
      </c>
      <c r="AC5506">
        <v>0.77289999999999204</v>
      </c>
      <c r="AD5506">
        <v>-6.3698000000000005E-2</v>
      </c>
      <c r="AE5506">
        <v>-6.0620000000000097E-2</v>
      </c>
      <c r="AF5506">
        <v>5.2706694499320902E-2</v>
      </c>
      <c r="AG5506">
        <v>-6.3698000000000005E-2</v>
      </c>
      <c r="AH5506">
        <v>0.76826933113068596</v>
      </c>
      <c r="AI5506">
        <v>94.728547425530905</v>
      </c>
      <c r="AJ5506">
        <v>86.075404010603705</v>
      </c>
      <c r="AK5506">
        <v>0.77270511581394097</v>
      </c>
      <c r="AL5506">
        <v>81.558548729031102</v>
      </c>
      <c r="AM5506">
        <v>90.726667206697101</v>
      </c>
      <c r="AN5506">
        <v>1.0000000655491399</v>
      </c>
    </row>
    <row r="5507" spans="1:40" x14ac:dyDescent="0.25">
      <c r="A5507" t="str">
        <f>"20190312172519992"</f>
        <v>20190312172519992</v>
      </c>
      <c r="B5507" t="str">
        <f>"1552382719986366"</f>
        <v>1552382719986366</v>
      </c>
      <c r="C5507" t="s">
        <v>40</v>
      </c>
      <c r="D5507">
        <v>4.0663769999999904</v>
      </c>
      <c r="E5507">
        <v>0.53812700000000002</v>
      </c>
      <c r="F5507" t="s">
        <v>41</v>
      </c>
      <c r="G5507">
        <v>-344.83629999999999</v>
      </c>
      <c r="H5507">
        <v>1.0544530000000001</v>
      </c>
      <c r="I5507">
        <v>16.988869999999999</v>
      </c>
      <c r="J5507">
        <v>-345.44209999999998</v>
      </c>
      <c r="K5507">
        <v>1.1094349999999999</v>
      </c>
      <c r="L5507">
        <v>17.049620000000001</v>
      </c>
      <c r="M5507">
        <v>0.99991929999999996</v>
      </c>
      <c r="N5507">
        <v>0</v>
      </c>
      <c r="O5507">
        <v>-9.9425190000000004E-3</v>
      </c>
      <c r="P5507">
        <v>0.99062589999999995</v>
      </c>
      <c r="Q5507">
        <v>0.13660169999999999</v>
      </c>
      <c r="R5507">
        <v>-7.8364000000000005E-4</v>
      </c>
      <c r="S5507">
        <v>3.060425</v>
      </c>
      <c r="T5507">
        <v>-0.2156999</v>
      </c>
      <c r="U5507">
        <v>-0.2453613</v>
      </c>
      <c r="V5507">
        <v>-8.9877120000000001E-3</v>
      </c>
      <c r="W5507">
        <v>0.14444879999999999</v>
      </c>
      <c r="X5507">
        <v>0.9894714</v>
      </c>
      <c r="Y5507">
        <v>6.985326E-2</v>
      </c>
      <c r="Z5507">
        <v>-1.755958E-3</v>
      </c>
      <c r="AA5507">
        <v>0.99755570000000005</v>
      </c>
      <c r="AB5507">
        <v>28</v>
      </c>
      <c r="AC5507">
        <v>0.60579999999998702</v>
      </c>
      <c r="AD5507">
        <v>-5.4981999999999802E-2</v>
      </c>
      <c r="AE5507">
        <v>-6.0749999999998701E-2</v>
      </c>
      <c r="AF5507">
        <v>5.4280956221451897E-2</v>
      </c>
      <c r="AG5507">
        <v>-5.4981999999999802E-2</v>
      </c>
      <c r="AH5507">
        <v>0.60146895510263998</v>
      </c>
      <c r="AI5507">
        <v>95.202030589120497</v>
      </c>
      <c r="AJ5507">
        <v>84.843179694704702</v>
      </c>
      <c r="AK5507">
        <v>0.60641103756823</v>
      </c>
      <c r="AL5507">
        <v>81.694637796189895</v>
      </c>
      <c r="AM5507">
        <v>90.520423130170002</v>
      </c>
      <c r="AN5507">
        <v>0.99999994310319495</v>
      </c>
    </row>
    <row r="5508" spans="1:40" x14ac:dyDescent="0.25">
      <c r="A5508" t="str">
        <f>"20190312172520009"</f>
        <v>20190312172520009</v>
      </c>
      <c r="B5508" t="str">
        <f>"1552382720005886"</f>
        <v>1552382720005886</v>
      </c>
      <c r="C5508" t="s">
        <v>40</v>
      </c>
      <c r="D5508">
        <v>4.0533089999999996</v>
      </c>
      <c r="E5508">
        <v>0.54049799999999903</v>
      </c>
      <c r="F5508" t="s">
        <v>41</v>
      </c>
      <c r="G5508">
        <v>-344.59030000000001</v>
      </c>
      <c r="H5508">
        <v>1.0467949999999999</v>
      </c>
      <c r="I5508">
        <v>16.967749999999999</v>
      </c>
      <c r="J5508">
        <v>-345.21420000000001</v>
      </c>
      <c r="K5508">
        <v>1.1094329999999999</v>
      </c>
      <c r="L5508">
        <v>17.047090000000001</v>
      </c>
      <c r="M5508">
        <v>0.99991649999999999</v>
      </c>
      <c r="N5508">
        <v>0</v>
      </c>
      <c r="O5508">
        <v>-1.016325E-2</v>
      </c>
      <c r="P5508">
        <v>0.99108309999999999</v>
      </c>
      <c r="Q5508">
        <v>0.1328888</v>
      </c>
      <c r="R5508">
        <v>-9.7529699999999997E-3</v>
      </c>
      <c r="S5508">
        <v>3.0591740000000001</v>
      </c>
      <c r="T5508">
        <v>-0.2249881</v>
      </c>
      <c r="U5508">
        <v>-0.29248049999999998</v>
      </c>
      <c r="V5508">
        <v>-2.4436759999999999E-4</v>
      </c>
      <c r="W5508">
        <v>0.1408095</v>
      </c>
      <c r="X5508">
        <v>0.99003669999999999</v>
      </c>
      <c r="Y5508">
        <v>8.4851499999999996E-2</v>
      </c>
      <c r="Z5508">
        <v>-2.3642649999999999E-3</v>
      </c>
      <c r="AA5508">
        <v>0.99639080000000002</v>
      </c>
      <c r="AB5508">
        <v>28</v>
      </c>
      <c r="AC5508">
        <v>0.62389999999999102</v>
      </c>
      <c r="AD5508">
        <v>-6.2637999999999694E-2</v>
      </c>
      <c r="AE5508">
        <v>-7.9340000000001895E-2</v>
      </c>
      <c r="AF5508">
        <v>7.2277905984581101E-2</v>
      </c>
      <c r="AG5508">
        <v>-6.2637999999999694E-2</v>
      </c>
      <c r="AH5508">
        <v>0.618538714748884</v>
      </c>
      <c r="AI5508">
        <v>95.743682634925193</v>
      </c>
      <c r="AJ5508">
        <v>83.335060563834205</v>
      </c>
      <c r="AK5508">
        <v>0.62588957203385098</v>
      </c>
      <c r="AL5508">
        <v>81.905308952999903</v>
      </c>
      <c r="AM5508">
        <v>90.014142134170797</v>
      </c>
      <c r="AN5508">
        <v>1.00000002117633</v>
      </c>
    </row>
    <row r="5509" spans="1:40" x14ac:dyDescent="0.25">
      <c r="A5509" t="str">
        <f>"20190312172520022"</f>
        <v>20190312172520022</v>
      </c>
      <c r="B5509" t="str">
        <f>"1552382720015646"</f>
        <v>1552382720015646</v>
      </c>
      <c r="C5509" t="s">
        <v>40</v>
      </c>
      <c r="D5509">
        <v>4.0282739999999997</v>
      </c>
      <c r="E5509">
        <v>0.54122590000000004</v>
      </c>
      <c r="F5509" t="s">
        <v>41</v>
      </c>
      <c r="G5509">
        <v>-344.33940000000001</v>
      </c>
      <c r="H5509">
        <v>1.0415829999999999</v>
      </c>
      <c r="I5509">
        <v>16.949449999999999</v>
      </c>
      <c r="J5509">
        <v>-345.05250000000001</v>
      </c>
      <c r="K5509">
        <v>1.109434</v>
      </c>
      <c r="L5509">
        <v>17.045289999999898</v>
      </c>
      <c r="M5509">
        <v>0.99991450000000004</v>
      </c>
      <c r="N5509">
        <v>0</v>
      </c>
      <c r="O5509">
        <v>-1.031988E-2</v>
      </c>
      <c r="P5509">
        <v>0.99123209999999995</v>
      </c>
      <c r="Q5509">
        <v>0.13130439999999999</v>
      </c>
      <c r="R5509">
        <v>-1.477679E-2</v>
      </c>
      <c r="S5509">
        <v>3.05545</v>
      </c>
      <c r="T5509">
        <v>-0.23700750000000001</v>
      </c>
      <c r="U5509">
        <v>-0.34011839999999999</v>
      </c>
      <c r="V5509">
        <v>4.6221439999999999E-3</v>
      </c>
      <c r="W5509">
        <v>0.13927600000000001</v>
      </c>
      <c r="X5509">
        <v>0.99024279999999998</v>
      </c>
      <c r="Y5509">
        <v>0.10010289999999999</v>
      </c>
      <c r="Z5509">
        <v>-3.0679750000000001E-3</v>
      </c>
      <c r="AA5509">
        <v>0.99497230000000003</v>
      </c>
      <c r="AB5509">
        <v>28</v>
      </c>
      <c r="AC5509">
        <v>0.71309999999999696</v>
      </c>
      <c r="AD5509">
        <v>-6.7851000000000106E-2</v>
      </c>
      <c r="AE5509">
        <v>-9.5839999999998995E-2</v>
      </c>
      <c r="AF5509">
        <v>8.7695694906782307E-2</v>
      </c>
      <c r="AG5509">
        <v>-6.7851000000000106E-2</v>
      </c>
      <c r="AH5509">
        <v>0.70775719316446695</v>
      </c>
      <c r="AI5509">
        <v>95.434766106448905</v>
      </c>
      <c r="AJ5509">
        <v>82.936682708326899</v>
      </c>
      <c r="AK5509">
        <v>0.71638993403189899</v>
      </c>
      <c r="AL5509">
        <v>81.994046220116701</v>
      </c>
      <c r="AM5509">
        <v>89.732563144896602</v>
      </c>
      <c r="AN5509">
        <v>0.99999998567149795</v>
      </c>
    </row>
    <row r="5510" spans="1:40" x14ac:dyDescent="0.25">
      <c r="A5510" t="str">
        <f>"20190312172520035"</f>
        <v>20190312172520035</v>
      </c>
      <c r="B5510" t="str">
        <f>"1552382720026383"</f>
        <v>1552382720026383</v>
      </c>
      <c r="C5510" t="s">
        <v>40</v>
      </c>
      <c r="D5510">
        <v>4.0564030000000004</v>
      </c>
      <c r="E5510">
        <v>0.54176069999999998</v>
      </c>
      <c r="F5510" t="s">
        <v>41</v>
      </c>
      <c r="G5510">
        <v>-344.08940000000001</v>
      </c>
      <c r="H5510">
        <v>1.0333749999999999</v>
      </c>
      <c r="I5510">
        <v>16.930689999999998</v>
      </c>
      <c r="J5510">
        <v>-344.87990000000002</v>
      </c>
      <c r="K5510">
        <v>1.1094310000000001</v>
      </c>
      <c r="L5510">
        <v>17.043299999999999</v>
      </c>
      <c r="M5510">
        <v>0.99991220000000003</v>
      </c>
      <c r="N5510">
        <v>0</v>
      </c>
      <c r="O5510">
        <v>-1.048666E-2</v>
      </c>
      <c r="P5510">
        <v>0.99122770000000004</v>
      </c>
      <c r="Q5510">
        <v>0.13056309999999999</v>
      </c>
      <c r="R5510">
        <v>-2.0520150000000001E-2</v>
      </c>
      <c r="S5510">
        <v>3.05307</v>
      </c>
      <c r="T5510">
        <v>-0.2410755</v>
      </c>
      <c r="U5510">
        <v>-0.3620911</v>
      </c>
      <c r="V5510">
        <v>1.0199379999999999E-2</v>
      </c>
      <c r="W5510">
        <v>0.13858799999999999</v>
      </c>
      <c r="X5510">
        <v>0.9902976</v>
      </c>
      <c r="Y5510">
        <v>0.10705679999999999</v>
      </c>
      <c r="Z5510">
        <v>-3.3816829999999999E-3</v>
      </c>
      <c r="AA5510">
        <v>0.99424710000000005</v>
      </c>
      <c r="AB5510">
        <v>28</v>
      </c>
      <c r="AC5510">
        <v>0.79050000000000797</v>
      </c>
      <c r="AD5510">
        <v>-7.6056000000000096E-2</v>
      </c>
      <c r="AE5510">
        <v>-0.11261</v>
      </c>
      <c r="AF5510">
        <v>0.103375928413503</v>
      </c>
      <c r="AG5510">
        <v>-7.6056000000000096E-2</v>
      </c>
      <c r="AH5510">
        <v>0.78451973215536597</v>
      </c>
      <c r="AI5510">
        <v>95.490124440608696</v>
      </c>
      <c r="AJ5510">
        <v>82.493399400014695</v>
      </c>
      <c r="AK5510">
        <v>0.79494799065881105</v>
      </c>
      <c r="AL5510">
        <v>82.033851860477398</v>
      </c>
      <c r="AM5510">
        <v>89.409913983365499</v>
      </c>
      <c r="AN5510">
        <v>0.99999999883107205</v>
      </c>
    </row>
    <row r="5511" spans="1:40" x14ac:dyDescent="0.25">
      <c r="A5511" t="str">
        <f>"20190312172520055"</f>
        <v>20190312172520055</v>
      </c>
      <c r="B5511" t="str">
        <f>"1552382720045901"</f>
        <v>1552382720045901</v>
      </c>
      <c r="C5511" t="s">
        <v>40</v>
      </c>
      <c r="D5511">
        <v>4.0823510000000001</v>
      </c>
      <c r="E5511">
        <v>0.54229919999999998</v>
      </c>
      <c r="F5511" t="s">
        <v>41</v>
      </c>
      <c r="G5511">
        <v>-344.08330000000001</v>
      </c>
      <c r="H5511">
        <v>1.0458400000000001</v>
      </c>
      <c r="I5511">
        <v>16.942509999999999</v>
      </c>
      <c r="J5511">
        <v>-344.6404</v>
      </c>
      <c r="K5511">
        <v>1.1094389999999901</v>
      </c>
      <c r="L5511">
        <v>17.04053</v>
      </c>
      <c r="M5511">
        <v>0.99990900000000005</v>
      </c>
      <c r="N5511">
        <v>0</v>
      </c>
      <c r="O5511">
        <v>-1.071802E-2</v>
      </c>
      <c r="P5511">
        <v>0.99103540000000001</v>
      </c>
      <c r="Q5511">
        <v>0.1309178</v>
      </c>
      <c r="R5511">
        <v>-2.6634970000000001E-2</v>
      </c>
      <c r="S5511">
        <v>3.050659</v>
      </c>
      <c r="T5511">
        <v>-0.243502</v>
      </c>
      <c r="U5511">
        <v>-0.38458249999999999</v>
      </c>
      <c r="V5511">
        <v>1.608714E-2</v>
      </c>
      <c r="W5511">
        <v>0.13901440000000001</v>
      </c>
      <c r="X5511">
        <v>0.99015969999999998</v>
      </c>
      <c r="Y5511">
        <v>0.1141104</v>
      </c>
      <c r="Z5511">
        <v>-3.678377E-3</v>
      </c>
      <c r="AA5511">
        <v>0.99346129999999999</v>
      </c>
      <c r="AB5511">
        <v>28</v>
      </c>
      <c r="AC5511">
        <v>0.55709999999999105</v>
      </c>
      <c r="AD5511">
        <v>-6.3598999999999906E-2</v>
      </c>
      <c r="AE5511">
        <v>-9.8019999999998206E-2</v>
      </c>
      <c r="AF5511">
        <v>9.0894135161933898E-2</v>
      </c>
      <c r="AG5511">
        <v>-6.3598999999999906E-2</v>
      </c>
      <c r="AH5511">
        <v>0.55115131515940297</v>
      </c>
      <c r="AI5511">
        <v>96.4954456814406</v>
      </c>
      <c r="AJ5511">
        <v>80.635253208384299</v>
      </c>
      <c r="AK5511">
        <v>0.56220489931143003</v>
      </c>
      <c r="AL5511">
        <v>82.009182277544497</v>
      </c>
      <c r="AM5511">
        <v>89.069196476028694</v>
      </c>
      <c r="AN5511">
        <v>1.00000001549241</v>
      </c>
    </row>
    <row r="5512" spans="1:40" x14ac:dyDescent="0.25">
      <c r="A5512" t="str">
        <f>"20190312172520067"</f>
        <v>20190312172520067</v>
      </c>
      <c r="B5512" t="str">
        <f>"1552382720055662"</f>
        <v>1552382720055662</v>
      </c>
      <c r="C5512" t="s">
        <v>40</v>
      </c>
      <c r="D5512">
        <v>4.0508150000000001</v>
      </c>
      <c r="E5512">
        <v>0.54234919999999998</v>
      </c>
      <c r="F5512" t="s">
        <v>41</v>
      </c>
      <c r="G5512">
        <v>-343.82920000000001</v>
      </c>
      <c r="H5512">
        <v>1.045104</v>
      </c>
      <c r="I5512">
        <v>16.931799999999999</v>
      </c>
      <c r="J5512">
        <v>-344.48110000000003</v>
      </c>
      <c r="K5512">
        <v>1.1094440000000001</v>
      </c>
      <c r="L5512">
        <v>17.038640000000001</v>
      </c>
      <c r="M5512">
        <v>0.9999072</v>
      </c>
      <c r="N5512">
        <v>0</v>
      </c>
      <c r="O5512">
        <v>-1.0872140000000001E-2</v>
      </c>
      <c r="P5512">
        <v>0.99085000000000001</v>
      </c>
      <c r="Q5512">
        <v>0.1312712</v>
      </c>
      <c r="R5512">
        <v>-3.1380440000000002E-2</v>
      </c>
      <c r="S5512">
        <v>3.0481569999999998</v>
      </c>
      <c r="T5512">
        <v>-0.24183499999999999</v>
      </c>
      <c r="U5512">
        <v>-0.40805049999999998</v>
      </c>
      <c r="V5512">
        <v>2.0681890000000001E-2</v>
      </c>
      <c r="W5512">
        <v>0.13941339999999999</v>
      </c>
      <c r="X5512">
        <v>0.99001819999999896</v>
      </c>
      <c r="Y5512">
        <v>0.1215586</v>
      </c>
      <c r="Z5512">
        <v>-3.9359929999999996E-3</v>
      </c>
      <c r="AA5512">
        <v>0.99257649999999997</v>
      </c>
      <c r="AB5512">
        <v>28</v>
      </c>
      <c r="AC5512">
        <v>0.65190000000001103</v>
      </c>
      <c r="AD5512">
        <v>-6.4339999999999994E-2</v>
      </c>
      <c r="AE5512">
        <v>-0.106840000000001</v>
      </c>
      <c r="AF5512">
        <v>9.8808587299255499E-2</v>
      </c>
      <c r="AG5512">
        <v>-6.4339999999999994E-2</v>
      </c>
      <c r="AH5512">
        <v>0.64688663784439804</v>
      </c>
      <c r="AI5512">
        <v>95.615311331946003</v>
      </c>
      <c r="AJ5512">
        <v>81.315490331754503</v>
      </c>
      <c r="AK5512">
        <v>0.65754474733336898</v>
      </c>
      <c r="AL5512">
        <v>81.986095822552798</v>
      </c>
      <c r="AM5512">
        <v>88.803241521270493</v>
      </c>
      <c r="AN5512">
        <v>0.99999993650238295</v>
      </c>
    </row>
    <row r="5513" spans="1:40" x14ac:dyDescent="0.25">
      <c r="A5513" t="str">
        <f>"20190312172520078"</f>
        <v>20190312172520078</v>
      </c>
      <c r="B5513" t="str">
        <f>"1552382720066399"</f>
        <v>1552382720066399</v>
      </c>
      <c r="C5513" t="s">
        <v>40</v>
      </c>
      <c r="D5513">
        <v>4.0625140000000002</v>
      </c>
      <c r="E5513">
        <v>0.54233430000000005</v>
      </c>
      <c r="F5513" t="s">
        <v>41</v>
      </c>
      <c r="G5513">
        <v>-343.5779</v>
      </c>
      <c r="H5513">
        <v>1.0379</v>
      </c>
      <c r="I5513">
        <v>16.912800000000001</v>
      </c>
      <c r="J5513">
        <v>-344.33510000000001</v>
      </c>
      <c r="K5513">
        <v>1.109443</v>
      </c>
      <c r="L5513">
        <v>17.036899999999999</v>
      </c>
      <c r="M5513">
        <v>0.99990500000000004</v>
      </c>
      <c r="N5513">
        <v>0</v>
      </c>
      <c r="O5513">
        <v>-1.1012879999999999E-2</v>
      </c>
      <c r="P5513">
        <v>0.99071520000000002</v>
      </c>
      <c r="Q5513">
        <v>0.13112850000000001</v>
      </c>
      <c r="R5513">
        <v>-3.5898979999999997E-2</v>
      </c>
      <c r="S5513">
        <v>3.046265</v>
      </c>
      <c r="T5513">
        <v>-0.24125969999999999</v>
      </c>
      <c r="U5513">
        <v>-0.42288209999999998</v>
      </c>
      <c r="V5513">
        <v>2.5062149999999998E-2</v>
      </c>
      <c r="W5513">
        <v>0.13931289999999999</v>
      </c>
      <c r="X5513">
        <v>0.98993120000000001</v>
      </c>
      <c r="Y5513">
        <v>0.1262305</v>
      </c>
      <c r="Z5513">
        <v>-4.1005590000000001E-3</v>
      </c>
      <c r="AA5513">
        <v>0.99199250000000005</v>
      </c>
      <c r="AB5513">
        <v>28</v>
      </c>
      <c r="AC5513">
        <v>0.75720000000001098</v>
      </c>
      <c r="AD5513">
        <v>-7.1542999999999898E-2</v>
      </c>
      <c r="AE5513">
        <v>-0.124099999999998</v>
      </c>
      <c r="AF5513">
        <v>0.114755591123714</v>
      </c>
      <c r="AG5513">
        <v>-7.1542999999999898E-2</v>
      </c>
      <c r="AH5513">
        <v>0.75198335380562897</v>
      </c>
      <c r="AI5513">
        <v>95.372878187464806</v>
      </c>
      <c r="AJ5513">
        <v>81.3233810080702</v>
      </c>
      <c r="AK5513">
        <v>0.76404594818892602</v>
      </c>
      <c r="AL5513">
        <v>81.991911211026604</v>
      </c>
      <c r="AM5513">
        <v>88.549748967573507</v>
      </c>
      <c r="AN5513">
        <v>0.99999998810123603</v>
      </c>
    </row>
    <row r="5514" spans="1:40" x14ac:dyDescent="0.25">
      <c r="A5514" t="str">
        <f>"20190312172520090"</f>
        <v>20190312172520090</v>
      </c>
      <c r="B5514" t="str">
        <f>"1552382720085917"</f>
        <v>1552382720085917</v>
      </c>
      <c r="C5514" t="s">
        <v>40</v>
      </c>
      <c r="D5514">
        <v>4.0401490000000004</v>
      </c>
      <c r="E5514">
        <v>0.54191420000000001</v>
      </c>
      <c r="F5514" t="s">
        <v>41</v>
      </c>
      <c r="G5514">
        <v>-343.57100000000003</v>
      </c>
      <c r="H5514">
        <v>1.048657</v>
      </c>
      <c r="I5514">
        <v>16.926860000000001</v>
      </c>
      <c r="J5514">
        <v>-344.19080000000002</v>
      </c>
      <c r="K5514">
        <v>1.1094409999999999</v>
      </c>
      <c r="L5514">
        <v>17.035160000000001</v>
      </c>
      <c r="M5514">
        <v>0.99990319999999999</v>
      </c>
      <c r="N5514">
        <v>0</v>
      </c>
      <c r="O5514">
        <v>-1.115245E-2</v>
      </c>
      <c r="P5514">
        <v>0.9906239</v>
      </c>
      <c r="Q5514">
        <v>0.13051670000000001</v>
      </c>
      <c r="R5514">
        <v>-4.0371980000000002E-2</v>
      </c>
      <c r="S5514">
        <v>3.0443730000000002</v>
      </c>
      <c r="T5514">
        <v>-0.24216950000000001</v>
      </c>
      <c r="U5514">
        <v>-0.43664550000000002</v>
      </c>
      <c r="V5514">
        <v>2.9397530000000002E-2</v>
      </c>
      <c r="W5514">
        <v>0.13874529999999999</v>
      </c>
      <c r="X5514">
        <v>0.98989159999999998</v>
      </c>
      <c r="Y5514">
        <v>0.13055610000000001</v>
      </c>
      <c r="Z5514">
        <v>-4.2770960000000002E-3</v>
      </c>
      <c r="AA5514">
        <v>0.99143170000000003</v>
      </c>
      <c r="AB5514">
        <v>28</v>
      </c>
      <c r="AC5514">
        <v>0.61980000000005397</v>
      </c>
      <c r="AD5514">
        <v>-6.0783999999999901E-2</v>
      </c>
      <c r="AE5514">
        <v>-0.10829999999999899</v>
      </c>
      <c r="AF5514">
        <v>0.100443314857245</v>
      </c>
      <c r="AG5514">
        <v>-6.0783999999999901E-2</v>
      </c>
      <c r="AH5514">
        <v>0.61522748215338396</v>
      </c>
      <c r="AI5514">
        <v>95.569205678237907</v>
      </c>
      <c r="AJ5514">
        <v>80.727578589150895</v>
      </c>
      <c r="AK5514">
        <v>0.62632931350233301</v>
      </c>
      <c r="AL5514">
        <v>82.0247507335596</v>
      </c>
      <c r="AM5514">
        <v>88.298945577401597</v>
      </c>
      <c r="AN5514">
        <v>0.99999992639637203</v>
      </c>
    </row>
    <row r="5515" spans="1:40" x14ac:dyDescent="0.25">
      <c r="A5515" t="str">
        <f>"20190312172520104"</f>
        <v>20190312172520104</v>
      </c>
      <c r="B5515" t="str">
        <f>"1552382720095677"</f>
        <v>1552382720095677</v>
      </c>
      <c r="C5515" t="s">
        <v>40</v>
      </c>
      <c r="D5515">
        <v>4.0651359999999999</v>
      </c>
      <c r="E5515">
        <v>0.54161479999999995</v>
      </c>
      <c r="F5515" t="s">
        <v>41</v>
      </c>
      <c r="G5515">
        <v>-343.32170000000002</v>
      </c>
      <c r="H5515">
        <v>1.0397890000000001</v>
      </c>
      <c r="I5515">
        <v>16.907170000000001</v>
      </c>
      <c r="J5515">
        <v>-344.0154</v>
      </c>
      <c r="K5515">
        <v>1.1094440000000001</v>
      </c>
      <c r="L5515">
        <v>17.03302</v>
      </c>
      <c r="M5515">
        <v>0.99990080000000003</v>
      </c>
      <c r="N5515">
        <v>0</v>
      </c>
      <c r="O5515">
        <v>-1.132176E-2</v>
      </c>
      <c r="P5515">
        <v>0.99060859999999995</v>
      </c>
      <c r="Q5515">
        <v>0.1293974</v>
      </c>
      <c r="R5515">
        <v>-4.4171219999999997E-2</v>
      </c>
      <c r="S5515">
        <v>3.042297</v>
      </c>
      <c r="T5515">
        <v>-0.24379870000000001</v>
      </c>
      <c r="U5515">
        <v>-0.4468994</v>
      </c>
      <c r="V5515">
        <v>3.3028580000000002E-2</v>
      </c>
      <c r="W5515">
        <v>0.1376841</v>
      </c>
      <c r="X5515">
        <v>0.98992530000000001</v>
      </c>
      <c r="Y5515">
        <v>0.13374040000000001</v>
      </c>
      <c r="Z5515">
        <v>-4.4208900000000002E-3</v>
      </c>
      <c r="AA5515">
        <v>0.99100659999999896</v>
      </c>
      <c r="AB5515">
        <v>28</v>
      </c>
      <c r="AC5515">
        <v>0.693699999999978</v>
      </c>
      <c r="AD5515">
        <v>-6.9655000000000203E-2</v>
      </c>
      <c r="AE5515">
        <v>-0.12584999999999899</v>
      </c>
      <c r="AF5515">
        <v>0.116847198535539</v>
      </c>
      <c r="AG5515">
        <v>-6.9655000000000203E-2</v>
      </c>
      <c r="AH5515">
        <v>0.68836128358555404</v>
      </c>
      <c r="AI5515">
        <v>95.697121128448501</v>
      </c>
      <c r="AJ5515">
        <v>80.3660491418715</v>
      </c>
      <c r="AK5515">
        <v>0.70167395816729194</v>
      </c>
      <c r="AL5515">
        <v>82.086142420582902</v>
      </c>
      <c r="AM5515">
        <v>88.089051267597696</v>
      </c>
      <c r="AN5515">
        <v>0.99999994903485601</v>
      </c>
    </row>
    <row r="5516" spans="1:40" x14ac:dyDescent="0.25">
      <c r="A5516" t="str">
        <f>"20190312172520123"</f>
        <v>20190312172520123</v>
      </c>
      <c r="B5516" t="str">
        <f>"1552382720116175"</f>
        <v>1552382720116175</v>
      </c>
      <c r="C5516" t="s">
        <v>40</v>
      </c>
      <c r="D5516">
        <v>4.0242779999999998</v>
      </c>
      <c r="E5516">
        <v>0.54082280000000005</v>
      </c>
      <c r="F5516" t="s">
        <v>41</v>
      </c>
      <c r="G5516">
        <v>-343.06939999999997</v>
      </c>
      <c r="H5516">
        <v>1.0325869999999999</v>
      </c>
      <c r="I5516">
        <v>16.89086</v>
      </c>
      <c r="J5516">
        <v>-343.7826</v>
      </c>
      <c r="K5516">
        <v>1.1094409999999999</v>
      </c>
      <c r="L5516">
        <v>17.030149999999999</v>
      </c>
      <c r="M5516">
        <v>0.99989760000000005</v>
      </c>
      <c r="N5516">
        <v>0</v>
      </c>
      <c r="O5516">
        <v>-1.1546259999999999E-2</v>
      </c>
      <c r="P5516">
        <v>0.99076529999999996</v>
      </c>
      <c r="Q5516">
        <v>0.12530630000000001</v>
      </c>
      <c r="R5516">
        <v>-5.1794689999999997E-2</v>
      </c>
      <c r="S5516">
        <v>3.0404049999999998</v>
      </c>
      <c r="T5516">
        <v>-0.24702199999999999</v>
      </c>
      <c r="U5516">
        <v>-0.45617679999999999</v>
      </c>
      <c r="V5516">
        <v>4.0425080000000002E-2</v>
      </c>
      <c r="W5516">
        <v>0.1336774</v>
      </c>
      <c r="X5516">
        <v>0.99019999999999997</v>
      </c>
      <c r="Y5516">
        <v>0.136546</v>
      </c>
      <c r="Z5516">
        <v>-4.5759609999999999E-3</v>
      </c>
      <c r="AA5516">
        <v>0.99062320000000004</v>
      </c>
      <c r="AB5516">
        <v>29</v>
      </c>
      <c r="AC5516">
        <v>0.71320000000002803</v>
      </c>
      <c r="AD5516">
        <v>-7.68539999999997E-2</v>
      </c>
      <c r="AE5516">
        <v>-0.139289999999999</v>
      </c>
      <c r="AF5516">
        <v>0.129596038765077</v>
      </c>
      <c r="AG5516">
        <v>-7.68539999999997E-2</v>
      </c>
      <c r="AH5516">
        <v>0.70685431501426599</v>
      </c>
      <c r="AI5516">
        <v>96.104251397751099</v>
      </c>
      <c r="AJ5516">
        <v>79.610665302694898</v>
      </c>
      <c r="AK5516">
        <v>0.72273417881949298</v>
      </c>
      <c r="AL5516">
        <v>82.317852217635206</v>
      </c>
      <c r="AM5516">
        <v>87.662188482913393</v>
      </c>
      <c r="AN5516">
        <v>0.99999993718188096</v>
      </c>
    </row>
    <row r="5517" spans="1:40" x14ac:dyDescent="0.25">
      <c r="A5517" t="str">
        <f>"20190312172520144"</f>
        <v>20190312172520144</v>
      </c>
      <c r="B5517" t="str">
        <f>"1552382720135694"</f>
        <v>1552382720135694</v>
      </c>
      <c r="C5517" t="s">
        <v>40</v>
      </c>
      <c r="D5517">
        <v>4.256589</v>
      </c>
      <c r="E5517">
        <v>0.54004069999999904</v>
      </c>
      <c r="F5517" t="s">
        <v>41</v>
      </c>
      <c r="G5517">
        <v>-342.81630000000001</v>
      </c>
      <c r="H5517">
        <v>1.0263329999999999</v>
      </c>
      <c r="I5517">
        <v>16.87921</v>
      </c>
      <c r="J5517">
        <v>-343.49770000000001</v>
      </c>
      <c r="K5517">
        <v>1.1094550000000001</v>
      </c>
      <c r="L5517">
        <v>17.026520000000001</v>
      </c>
      <c r="M5517">
        <v>0.99989329999999998</v>
      </c>
      <c r="N5517">
        <v>0</v>
      </c>
      <c r="O5517">
        <v>-1.1820850000000001E-2</v>
      </c>
      <c r="P5517">
        <v>0.99065970000000003</v>
      </c>
      <c r="Q5517">
        <v>0.1226339</v>
      </c>
      <c r="R5517">
        <v>-5.9616849999999999E-2</v>
      </c>
      <c r="S5517">
        <v>3.0362550000000001</v>
      </c>
      <c r="T5517">
        <v>-0.2611232</v>
      </c>
      <c r="U5517">
        <v>-0.4736938</v>
      </c>
      <c r="V5517">
        <v>4.7974650000000001E-2</v>
      </c>
      <c r="W5517">
        <v>0.1311157</v>
      </c>
      <c r="X5517">
        <v>0.99020560000000002</v>
      </c>
      <c r="Y5517">
        <v>0.14198820000000001</v>
      </c>
      <c r="Z5517">
        <v>-5.0494659999999999E-3</v>
      </c>
      <c r="AA5517">
        <v>0.9898555</v>
      </c>
      <c r="AB5517">
        <v>29</v>
      </c>
      <c r="AC5517">
        <v>0.68139999999999601</v>
      </c>
      <c r="AD5517">
        <v>-8.3121999999999904E-2</v>
      </c>
      <c r="AE5517">
        <v>-0.14731</v>
      </c>
      <c r="AF5517">
        <v>0.137292870305292</v>
      </c>
      <c r="AG5517">
        <v>-8.3121999999999904E-2</v>
      </c>
      <c r="AH5517">
        <v>0.67351875780932102</v>
      </c>
      <c r="AI5517">
        <v>96.895165215425294</v>
      </c>
      <c r="AJ5517">
        <v>78.478441706837003</v>
      </c>
      <c r="AK5517">
        <v>0.69237714884423796</v>
      </c>
      <c r="AL5517">
        <v>82.465930993582504</v>
      </c>
      <c r="AM5517">
        <v>87.226235378021698</v>
      </c>
      <c r="AN5517">
        <v>1.0000000120502299</v>
      </c>
    </row>
    <row r="5518" spans="1:40" x14ac:dyDescent="0.25">
      <c r="A5518" t="str">
        <f>"20190312172520155"</f>
        <v>20190312172520155</v>
      </c>
      <c r="B5518" t="str">
        <f>"1552382720146430"</f>
        <v>1552382720146430</v>
      </c>
      <c r="C5518" t="s">
        <v>40</v>
      </c>
      <c r="D5518">
        <v>4.0419980000000004</v>
      </c>
      <c r="E5518">
        <v>0.53959550000000001</v>
      </c>
      <c r="F5518" t="s">
        <v>41</v>
      </c>
      <c r="G5518">
        <v>-342.5598</v>
      </c>
      <c r="H5518">
        <v>1.0267710000000001</v>
      </c>
      <c r="I5518">
        <v>16.874029999999902</v>
      </c>
      <c r="J5518">
        <v>-343.3546</v>
      </c>
      <c r="K5518">
        <v>1.109472</v>
      </c>
      <c r="L5518">
        <v>17.02469</v>
      </c>
      <c r="M5518">
        <v>0.99989119999999998</v>
      </c>
      <c r="N5518">
        <v>0</v>
      </c>
      <c r="O5518">
        <v>-1.195881E-2</v>
      </c>
      <c r="P5518">
        <v>0.99040819999999996</v>
      </c>
      <c r="Q5518">
        <v>0.1229185</v>
      </c>
      <c r="R5518">
        <v>-6.3110230000000003E-2</v>
      </c>
      <c r="S5518">
        <v>3.0317989999999999</v>
      </c>
      <c r="T5518">
        <v>-0.26723750000000002</v>
      </c>
      <c r="U5518">
        <v>-0.49182130000000002</v>
      </c>
      <c r="V5518">
        <v>5.1334169999999998E-2</v>
      </c>
      <c r="W5518">
        <v>0.13145519999999999</v>
      </c>
      <c r="X5518">
        <v>0.98999210000000004</v>
      </c>
      <c r="Y5518">
        <v>0.14779829999999999</v>
      </c>
      <c r="Z5518">
        <v>-5.4142080000000002E-3</v>
      </c>
      <c r="AA5518">
        <v>0.98900270000000001</v>
      </c>
      <c r="AB5518">
        <v>29</v>
      </c>
      <c r="AC5518">
        <v>0.79480000000000905</v>
      </c>
      <c r="AD5518">
        <v>-8.2701000000000094E-2</v>
      </c>
      <c r="AE5518">
        <v>-0.15066000000000199</v>
      </c>
      <c r="AF5518">
        <v>0.139684114032052</v>
      </c>
      <c r="AG5518">
        <v>-8.2701000000000094E-2</v>
      </c>
      <c r="AH5518">
        <v>0.78830603766094498</v>
      </c>
      <c r="AI5518">
        <v>95.897767834759406</v>
      </c>
      <c r="AJ5518">
        <v>79.9517570829222</v>
      </c>
      <c r="AK5518">
        <v>0.80484626862937003</v>
      </c>
      <c r="AL5518">
        <v>82.446309244816106</v>
      </c>
      <c r="AM5518">
        <v>87.031694034159599</v>
      </c>
      <c r="AN5518">
        <v>1.0000000123395101</v>
      </c>
    </row>
    <row r="5519" spans="1:40" x14ac:dyDescent="0.25">
      <c r="A5519" t="str">
        <f>"20190312172520166"</f>
        <v>20190312172520166</v>
      </c>
      <c r="B5519" t="str">
        <f>"1552382720156190"</f>
        <v>1552382720156190</v>
      </c>
      <c r="C5519" t="s">
        <v>40</v>
      </c>
      <c r="D5519">
        <v>4.0159060000000002</v>
      </c>
      <c r="E5519">
        <v>0.53959550000000001</v>
      </c>
      <c r="F5519" t="s">
        <v>41</v>
      </c>
      <c r="G5519">
        <v>-342.55369999999999</v>
      </c>
      <c r="H5519">
        <v>1.03921</v>
      </c>
      <c r="I5519">
        <v>16.892520000000001</v>
      </c>
      <c r="J5519">
        <v>-343.21140000000003</v>
      </c>
      <c r="K5519">
        <v>1.109494</v>
      </c>
      <c r="L5519">
        <v>17.022829999999999</v>
      </c>
      <c r="M5519">
        <v>0.99988900000000003</v>
      </c>
      <c r="N5519">
        <v>0</v>
      </c>
      <c r="O5519">
        <v>-1.209678E-2</v>
      </c>
      <c r="P5519">
        <v>0.99000350000000004</v>
      </c>
      <c r="Q5519">
        <v>0.1243771</v>
      </c>
      <c r="R5519">
        <v>-6.6510970000000003E-2</v>
      </c>
      <c r="S5519">
        <v>3.0302120000000001</v>
      </c>
      <c r="T5519">
        <v>-0.26577339999999999</v>
      </c>
      <c r="U5519">
        <v>-0.49874879999999999</v>
      </c>
      <c r="V5519">
        <v>5.4603859999999997E-2</v>
      </c>
      <c r="W5519">
        <v>0.13297049999999999</v>
      </c>
      <c r="X5519">
        <v>0.98961469999999896</v>
      </c>
      <c r="Y5519">
        <v>0.1499434</v>
      </c>
      <c r="Z5519">
        <v>-5.4677249999999997E-3</v>
      </c>
      <c r="AA5519">
        <v>0.98867950000000004</v>
      </c>
      <c r="AB5519">
        <v>29</v>
      </c>
      <c r="AC5519">
        <v>0.65770000000003304</v>
      </c>
      <c r="AD5519">
        <v>-7.0283999999999999E-2</v>
      </c>
      <c r="AE5519">
        <v>-0.13030999999999701</v>
      </c>
      <c r="AF5519">
        <v>0.121014355827654</v>
      </c>
      <c r="AG5519">
        <v>-7.0283999999999999E-2</v>
      </c>
      <c r="AH5519">
        <v>0.65206312576847303</v>
      </c>
      <c r="AI5519">
        <v>96.049482963489197</v>
      </c>
      <c r="AJ5519">
        <v>79.486272727885705</v>
      </c>
      <c r="AK5519">
        <v>0.66691126468169204</v>
      </c>
      <c r="AL5519">
        <v>82.358719893261593</v>
      </c>
      <c r="AM5519">
        <v>86.841799597543599</v>
      </c>
      <c r="AN5519">
        <v>0.99999999492661895</v>
      </c>
    </row>
    <row r="5520" spans="1:40" x14ac:dyDescent="0.25">
      <c r="A5520" t="str">
        <f>"20190312172520187"</f>
        <v>20190312172520187</v>
      </c>
      <c r="B5520" t="str">
        <f>"1552382720175710"</f>
        <v>1552382720175710</v>
      </c>
      <c r="C5520" t="s">
        <v>40</v>
      </c>
      <c r="D5520">
        <v>4.0173300000000003</v>
      </c>
      <c r="E5520">
        <v>0.52632489999999998</v>
      </c>
      <c r="F5520" t="s">
        <v>41</v>
      </c>
      <c r="G5520">
        <v>-342.30110000000002</v>
      </c>
      <c r="H5520">
        <v>1.030985</v>
      </c>
      <c r="I5520">
        <v>16.869520000000001</v>
      </c>
      <c r="J5520">
        <v>-342.9461</v>
      </c>
      <c r="K5520">
        <v>1.1095389999999901</v>
      </c>
      <c r="L5520">
        <v>17.01932</v>
      </c>
      <c r="M5520">
        <v>0.99988460000000001</v>
      </c>
      <c r="N5520">
        <v>0</v>
      </c>
      <c r="O5520">
        <v>-1.235201E-2</v>
      </c>
      <c r="P5520">
        <v>0.98915459999999999</v>
      </c>
      <c r="Q5520">
        <v>0.12738350000000001</v>
      </c>
      <c r="R5520">
        <v>-7.3122039999999999E-2</v>
      </c>
      <c r="S5520">
        <v>3.0289000000000001</v>
      </c>
      <c r="T5520">
        <v>-0.26128299999999999</v>
      </c>
      <c r="U5520">
        <v>-0.50930790000000004</v>
      </c>
      <c r="V5520">
        <v>6.097383E-2</v>
      </c>
      <c r="W5520">
        <v>0.1360951</v>
      </c>
      <c r="X5520">
        <v>0.98881759999999996</v>
      </c>
      <c r="Y5520">
        <v>0.15311920000000001</v>
      </c>
      <c r="Z5520">
        <v>-5.4904209999999997E-3</v>
      </c>
      <c r="AA5520">
        <v>0.98819250000000003</v>
      </c>
      <c r="AB5520">
        <v>29</v>
      </c>
      <c r="AC5520">
        <v>0.64499999999998103</v>
      </c>
      <c r="AD5520">
        <v>-7.8553999999999694E-2</v>
      </c>
      <c r="AE5520">
        <v>-0.14979999999999899</v>
      </c>
      <c r="AF5520">
        <v>0.13985299404339499</v>
      </c>
      <c r="AG5520">
        <v>-7.8553999999999694E-2</v>
      </c>
      <c r="AH5520">
        <v>0.63782477615892896</v>
      </c>
      <c r="AI5520">
        <v>96.859789793091693</v>
      </c>
      <c r="AJ5520">
        <v>77.632726389990196</v>
      </c>
      <c r="AK5520">
        <v>0.65768536241966802</v>
      </c>
      <c r="AL5520">
        <v>82.178050751304397</v>
      </c>
      <c r="AM5520">
        <v>86.4714166922396</v>
      </c>
      <c r="AN5520">
        <v>0.99999996512931799</v>
      </c>
    </row>
    <row r="5521" spans="1:40" x14ac:dyDescent="0.25">
      <c r="A5521" t="str">
        <f>"20190312172520198"</f>
        <v>20190312172520198</v>
      </c>
      <c r="B5521" t="str">
        <f>"1552382720186446"</f>
        <v>1552382720186446</v>
      </c>
      <c r="C5521" t="s">
        <v>40</v>
      </c>
      <c r="D5521">
        <v>3.9823219999999999</v>
      </c>
      <c r="E5521">
        <v>0.52596319999999996</v>
      </c>
      <c r="F5521" t="s">
        <v>41</v>
      </c>
      <c r="G5521">
        <v>-342.04270000000002</v>
      </c>
      <c r="H5521">
        <v>1.034449</v>
      </c>
      <c r="I5521">
        <v>16.89254</v>
      </c>
      <c r="J5521">
        <v>-342.79930000000002</v>
      </c>
      <c r="K5521">
        <v>1.1095569999999999</v>
      </c>
      <c r="L5521">
        <v>17.01736</v>
      </c>
      <c r="M5521">
        <v>0.9998823</v>
      </c>
      <c r="N5521">
        <v>0</v>
      </c>
      <c r="O5521">
        <v>-1.249332E-2</v>
      </c>
      <c r="P5521">
        <v>0.98886960000000002</v>
      </c>
      <c r="Q5521">
        <v>0.127884199999999</v>
      </c>
      <c r="R5521">
        <v>-7.6045509999999997E-2</v>
      </c>
      <c r="S5521">
        <v>3.0339360000000002</v>
      </c>
      <c r="T5521">
        <v>-0.252127299999999</v>
      </c>
      <c r="U5521">
        <v>-0.4247437</v>
      </c>
      <c r="V5521">
        <v>6.3761310000000002E-2</v>
      </c>
      <c r="W5521">
        <v>0.13667609999999999</v>
      </c>
      <c r="X5521">
        <v>0.98856160000000004</v>
      </c>
      <c r="Y5521">
        <v>0.1258783</v>
      </c>
      <c r="Z5521">
        <v>-4.1649579999999999E-3</v>
      </c>
      <c r="AA5521">
        <v>0.9920369</v>
      </c>
      <c r="AB5521">
        <v>29</v>
      </c>
      <c r="AC5521">
        <v>0.75659999999999095</v>
      </c>
      <c r="AD5521">
        <v>-7.5107999999999897E-2</v>
      </c>
      <c r="AE5521">
        <v>-0.124819999999999</v>
      </c>
      <c r="AF5521">
        <v>0.11426127004740599</v>
      </c>
      <c r="AG5521">
        <v>-7.5107999999999897E-2</v>
      </c>
      <c r="AH5521">
        <v>0.75089668809810795</v>
      </c>
      <c r="AI5521">
        <v>95.647397929648307</v>
      </c>
      <c r="AJ5521">
        <v>81.347877124099398</v>
      </c>
      <c r="AK5521">
        <v>0.76324483993902903</v>
      </c>
      <c r="AL5521">
        <v>82.144447783308195</v>
      </c>
      <c r="AM5521">
        <v>86.309587018044894</v>
      </c>
      <c r="AN5521">
        <v>0.99999994897934097</v>
      </c>
    </row>
    <row r="5522" spans="1:40" x14ac:dyDescent="0.25">
      <c r="A5522" t="str">
        <f>"20190312172520209"</f>
        <v>20190312172520209</v>
      </c>
      <c r="B5522" t="str">
        <f>"1552382720205966"</f>
        <v>1552382720205966</v>
      </c>
      <c r="C5522" t="s">
        <v>40</v>
      </c>
      <c r="D5522">
        <v>4.0008839999999903</v>
      </c>
      <c r="E5522">
        <v>0.52514700000000003</v>
      </c>
      <c r="F5522" t="s">
        <v>41</v>
      </c>
      <c r="G5522">
        <v>-342.03500000000003</v>
      </c>
      <c r="H5522">
        <v>1.0475190000000001</v>
      </c>
      <c r="I5522">
        <v>16.908279999999898</v>
      </c>
      <c r="J5522">
        <v>-342.65870000000001</v>
      </c>
      <c r="K5522">
        <v>1.10958</v>
      </c>
      <c r="L5522">
        <v>17.015439999999899</v>
      </c>
      <c r="M5522">
        <v>0.99987969999999904</v>
      </c>
      <c r="N5522">
        <v>0</v>
      </c>
      <c r="O5522">
        <v>-1.262836E-2</v>
      </c>
      <c r="P5522">
        <v>0.98858619999999997</v>
      </c>
      <c r="Q5522">
        <v>0.1281496</v>
      </c>
      <c r="R5522">
        <v>-7.9216309999999998E-2</v>
      </c>
      <c r="S5522">
        <v>3.0324399999999998</v>
      </c>
      <c r="T5522">
        <v>-0.2460628</v>
      </c>
      <c r="U5522">
        <v>-0.43164059999999999</v>
      </c>
      <c r="V5522">
        <v>6.6802050000000002E-2</v>
      </c>
      <c r="W5522">
        <v>0.13703129999999999</v>
      </c>
      <c r="X5522">
        <v>0.98831159999999996</v>
      </c>
      <c r="Y5522">
        <v>0.12803490000000001</v>
      </c>
      <c r="Z5522">
        <v>-4.1424809999999999E-3</v>
      </c>
      <c r="AA5522">
        <v>0.991761</v>
      </c>
      <c r="AB5522">
        <v>29</v>
      </c>
      <c r="AC5522">
        <v>0.62369999999998504</v>
      </c>
      <c r="AD5522">
        <v>-6.2060999999999901E-2</v>
      </c>
      <c r="AE5522">
        <v>-0.10716000000000001</v>
      </c>
      <c r="AF5522">
        <v>9.8329169560331206E-2</v>
      </c>
      <c r="AG5522">
        <v>-6.2060999999999901E-2</v>
      </c>
      <c r="AH5522">
        <v>0.61905000697234602</v>
      </c>
      <c r="AI5522">
        <v>95.654470055899296</v>
      </c>
      <c r="AJ5522">
        <v>80.974605122074806</v>
      </c>
      <c r="AK5522">
        <v>0.629875467405968</v>
      </c>
      <c r="AL5522">
        <v>82.123903067900699</v>
      </c>
      <c r="AM5522">
        <v>86.133139990587793</v>
      </c>
      <c r="AN5522">
        <v>0.99999995487922499</v>
      </c>
    </row>
    <row r="5523" spans="1:40" x14ac:dyDescent="0.25">
      <c r="A5523" t="str">
        <f>"20190312172520221"</f>
        <v>20190312172520221</v>
      </c>
      <c r="B5523" t="str">
        <f>"1552382720215726"</f>
        <v>1552382720215726</v>
      </c>
      <c r="C5523" t="s">
        <v>40</v>
      </c>
      <c r="D5523">
        <v>3.994294</v>
      </c>
      <c r="E5523">
        <v>0.52479869999999995</v>
      </c>
      <c r="F5523" t="s">
        <v>41</v>
      </c>
      <c r="G5523">
        <v>-341.78280000000001</v>
      </c>
      <c r="H5523">
        <v>1.040424</v>
      </c>
      <c r="I5523">
        <v>16.88917</v>
      </c>
      <c r="J5523">
        <v>-342.50630000000001</v>
      </c>
      <c r="K5523">
        <v>1.109605</v>
      </c>
      <c r="L5523">
        <v>17.013369999999998</v>
      </c>
      <c r="M5523">
        <v>0.99987669999999995</v>
      </c>
      <c r="N5523">
        <v>0</v>
      </c>
      <c r="O5523">
        <v>-1.277466E-2</v>
      </c>
      <c r="P5523">
        <v>0.98833570000000004</v>
      </c>
      <c r="Q5523">
        <v>0.1282142</v>
      </c>
      <c r="R5523">
        <v>-8.2180710000000004E-2</v>
      </c>
      <c r="S5523">
        <v>3.0307309999999998</v>
      </c>
      <c r="T5523">
        <v>-0.23924210000000001</v>
      </c>
      <c r="U5523">
        <v>-0.43573000000000001</v>
      </c>
      <c r="V5523">
        <v>6.9625000000000006E-2</v>
      </c>
      <c r="W5523">
        <v>0.13719809999999999</v>
      </c>
      <c r="X5523">
        <v>0.98809360000000002</v>
      </c>
      <c r="Y5523">
        <v>0.12929560000000001</v>
      </c>
      <c r="Z5523">
        <v>-4.0678320000000004E-3</v>
      </c>
      <c r="AA5523">
        <v>0.99159779999999997</v>
      </c>
      <c r="AB5523">
        <v>29</v>
      </c>
      <c r="AC5523">
        <v>0.72350000000000103</v>
      </c>
      <c r="AD5523">
        <v>-6.9180999999999895E-2</v>
      </c>
      <c r="AE5523">
        <v>-0.124200000000001</v>
      </c>
      <c r="AF5523">
        <v>0.113935104998402</v>
      </c>
      <c r="AG5523">
        <v>-6.9180999999999895E-2</v>
      </c>
      <c r="AH5523">
        <v>0.71864503533545498</v>
      </c>
      <c r="AI5523">
        <v>95.431263283004995</v>
      </c>
      <c r="AJ5523">
        <v>80.991218220014503</v>
      </c>
      <c r="AK5523">
        <v>0.73090211774511504</v>
      </c>
      <c r="AL5523">
        <v>82.114255054306796</v>
      </c>
      <c r="AM5523">
        <v>85.969373889747999</v>
      </c>
      <c r="AN5523">
        <v>0.99999996081478404</v>
      </c>
    </row>
    <row r="5524" spans="1:40" x14ac:dyDescent="0.25">
      <c r="A5524" t="str">
        <f>"20190312172520233"</f>
        <v>20190312172520233</v>
      </c>
      <c r="B5524" t="str">
        <f>"1552382720226462"</f>
        <v>1552382720226462</v>
      </c>
      <c r="C5524" t="s">
        <v>40</v>
      </c>
      <c r="D5524">
        <v>3.9856690000000001</v>
      </c>
      <c r="E5524">
        <v>0.52437979999999995</v>
      </c>
      <c r="F5524" t="s">
        <v>41</v>
      </c>
      <c r="G5524">
        <v>-341.52929999999998</v>
      </c>
      <c r="H5524">
        <v>1.033182</v>
      </c>
      <c r="I5524">
        <v>16.870259999999998</v>
      </c>
      <c r="J5524">
        <v>-342.351</v>
      </c>
      <c r="K5524">
        <v>1.109639</v>
      </c>
      <c r="L5524">
        <v>17.011199999999999</v>
      </c>
      <c r="M5524">
        <v>0.99987360000000003</v>
      </c>
      <c r="N5524">
        <v>0</v>
      </c>
      <c r="O5524">
        <v>-1.2928449999999999E-2</v>
      </c>
      <c r="P5524">
        <v>0.98798810000000004</v>
      </c>
      <c r="Q5524">
        <v>0.12877230000000001</v>
      </c>
      <c r="R5524">
        <v>-8.5424639999999996E-2</v>
      </c>
      <c r="S5524">
        <v>3.0293269999999999</v>
      </c>
      <c r="T5524">
        <v>-0.23693130000000001</v>
      </c>
      <c r="U5524">
        <v>-0.44311519999999999</v>
      </c>
      <c r="V5524">
        <v>7.2722369999999995E-2</v>
      </c>
      <c r="W5524">
        <v>0.13789289999999901</v>
      </c>
      <c r="X5524">
        <v>0.98777380000000004</v>
      </c>
      <c r="Y5524">
        <v>0.13157539999999901</v>
      </c>
      <c r="Z5524">
        <v>-4.1064140000000001E-3</v>
      </c>
      <c r="AA5524">
        <v>0.99129769999999995</v>
      </c>
      <c r="AB5524">
        <v>29</v>
      </c>
      <c r="AC5524">
        <v>0.82170000000002097</v>
      </c>
      <c r="AD5524">
        <v>-7.6456999999999997E-2</v>
      </c>
      <c r="AE5524">
        <v>-0.14093999999999601</v>
      </c>
      <c r="AF5524">
        <v>0.129217688331111</v>
      </c>
      <c r="AG5524">
        <v>-7.6456999999999997E-2</v>
      </c>
      <c r="AH5524">
        <v>0.81658574141183504</v>
      </c>
      <c r="AI5524">
        <v>95.283650536621394</v>
      </c>
      <c r="AJ5524">
        <v>81.007994032402394</v>
      </c>
      <c r="AK5524">
        <v>0.83027414563127999</v>
      </c>
      <c r="AL5524">
        <v>82.074064557277296</v>
      </c>
      <c r="AM5524">
        <v>85.789338532875504</v>
      </c>
      <c r="AN5524">
        <v>1.0000000374676301</v>
      </c>
    </row>
    <row r="5525" spans="1:40" x14ac:dyDescent="0.25">
      <c r="A5525" t="str">
        <f>"20190312172520245"</f>
        <v>20190312172520245</v>
      </c>
      <c r="B5525" t="str">
        <f>"1552382720236222"</f>
        <v>1552382720236222</v>
      </c>
      <c r="C5525" t="s">
        <v>40</v>
      </c>
      <c r="D5525">
        <v>3.996105</v>
      </c>
      <c r="E5525">
        <v>0.52394529999999995</v>
      </c>
      <c r="F5525" t="s">
        <v>41</v>
      </c>
      <c r="G5525">
        <v>-341.52140000000003</v>
      </c>
      <c r="H5525">
        <v>1.0459080000000001</v>
      </c>
      <c r="I5525">
        <v>16.887640000000001</v>
      </c>
      <c r="J5525">
        <v>-342.19979999999998</v>
      </c>
      <c r="K5525">
        <v>1.109667</v>
      </c>
      <c r="L5525">
        <v>17.00909</v>
      </c>
      <c r="M5525">
        <v>0.99987020000000004</v>
      </c>
      <c r="N5525">
        <v>0</v>
      </c>
      <c r="O5525">
        <v>-1.3075369999999999E-2</v>
      </c>
      <c r="P5525">
        <v>0.98758509999999999</v>
      </c>
      <c r="Q5525">
        <v>0.12977710000000001</v>
      </c>
      <c r="R5525">
        <v>-8.8507730000000007E-2</v>
      </c>
      <c r="S5525">
        <v>3.0278930000000002</v>
      </c>
      <c r="T5525">
        <v>-0.23264190000000001</v>
      </c>
      <c r="U5525">
        <v>-0.45028689999999999</v>
      </c>
      <c r="V5525">
        <v>7.5667010000000007E-2</v>
      </c>
      <c r="W5525">
        <v>0.1390409</v>
      </c>
      <c r="X5525">
        <v>0.98739160000000004</v>
      </c>
      <c r="Y5525">
        <v>0.133801</v>
      </c>
      <c r="Z5525">
        <v>-4.1071939999999998E-3</v>
      </c>
      <c r="AA5525">
        <v>0.99099970000000004</v>
      </c>
      <c r="AB5525">
        <v>29</v>
      </c>
      <c r="AC5525">
        <v>0.67839999999995304</v>
      </c>
      <c r="AD5525">
        <v>-6.3758999999999899E-2</v>
      </c>
      <c r="AE5525">
        <v>-0.121449999999999</v>
      </c>
      <c r="AF5525">
        <v>0.111613618800198</v>
      </c>
      <c r="AG5525">
        <v>-6.3758999999999899E-2</v>
      </c>
      <c r="AH5525">
        <v>0.67416010216242495</v>
      </c>
      <c r="AI5525">
        <v>95.330569636862805</v>
      </c>
      <c r="AJ5525">
        <v>80.599409568148502</v>
      </c>
      <c r="AK5525">
        <v>0.68630507307634503</v>
      </c>
      <c r="AL5525">
        <v>82.007649085831403</v>
      </c>
      <c r="AM5525">
        <v>85.617804188169799</v>
      </c>
      <c r="AN5525">
        <v>1.00000002001285</v>
      </c>
    </row>
    <row r="5526" spans="1:40" x14ac:dyDescent="0.25">
      <c r="A5526" t="str">
        <f>"20190312172520256"</f>
        <v>20190312172520256</v>
      </c>
      <c r="B5526" t="str">
        <f>"1552382720245983"</f>
        <v>1552382720245983</v>
      </c>
      <c r="C5526" t="s">
        <v>40</v>
      </c>
      <c r="D5526">
        <v>3.9655179999999999</v>
      </c>
      <c r="E5526">
        <v>0.52346219999999999</v>
      </c>
      <c r="F5526" t="s">
        <v>41</v>
      </c>
      <c r="G5526">
        <v>-341.26850000000002</v>
      </c>
      <c r="H5526">
        <v>1.0392520000000001</v>
      </c>
      <c r="I5526">
        <v>16.86844</v>
      </c>
      <c r="J5526">
        <v>-342.05149999999998</v>
      </c>
      <c r="K5526">
        <v>1.1096999999999999</v>
      </c>
      <c r="L5526">
        <v>17.006989999999998</v>
      </c>
      <c r="M5526">
        <v>0.99986679999999994</v>
      </c>
      <c r="N5526">
        <v>0</v>
      </c>
      <c r="O5526">
        <v>-1.321429E-2</v>
      </c>
      <c r="P5526">
        <v>0.98728729999999998</v>
      </c>
      <c r="Q5526">
        <v>0.12992670000000001</v>
      </c>
      <c r="R5526">
        <v>-9.156098E-2</v>
      </c>
      <c r="S5526">
        <v>3.0268860000000002</v>
      </c>
      <c r="T5526">
        <v>-0.2288858</v>
      </c>
      <c r="U5526">
        <v>-0.45651249999999999</v>
      </c>
      <c r="V5526">
        <v>7.8587370000000004E-2</v>
      </c>
      <c r="W5526">
        <v>0.13935159999999999</v>
      </c>
      <c r="X5526">
        <v>0.98711959999999999</v>
      </c>
      <c r="Y5526">
        <v>0.13571069999999999</v>
      </c>
      <c r="Z5526">
        <v>-4.1030550000000004E-3</v>
      </c>
      <c r="AA5526">
        <v>0.99073999999999995</v>
      </c>
      <c r="AB5526">
        <v>29</v>
      </c>
      <c r="AC5526">
        <v>0.78299999999995795</v>
      </c>
      <c r="AD5526">
        <v>-7.0447999999999802E-2</v>
      </c>
      <c r="AE5526">
        <v>-0.13854999999999801</v>
      </c>
      <c r="AF5526">
        <v>0.12719228255260101</v>
      </c>
      <c r="AG5526">
        <v>-7.0447999999999802E-2</v>
      </c>
      <c r="AH5526">
        <v>0.77865078037839996</v>
      </c>
      <c r="AI5526">
        <v>95.102466339504005</v>
      </c>
      <c r="AJ5526">
        <v>80.722694783529505</v>
      </c>
      <c r="AK5526">
        <v>0.79210973686026098</v>
      </c>
      <c r="AL5526">
        <v>81.989671908290404</v>
      </c>
      <c r="AM5526">
        <v>85.448122414348006</v>
      </c>
      <c r="AN5526">
        <v>0.99999997392511797</v>
      </c>
    </row>
    <row r="5527" spans="1:40" x14ac:dyDescent="0.25">
      <c r="A5527" t="str">
        <f>"20190312172520268"</f>
        <v>20190312172520268</v>
      </c>
      <c r="B5527" t="str">
        <f>"1552382720255743"</f>
        <v>1552382720255743</v>
      </c>
      <c r="C5527" t="s">
        <v>40</v>
      </c>
      <c r="D5527">
        <v>3.977109</v>
      </c>
      <c r="E5527">
        <v>0.52296409999999904</v>
      </c>
      <c r="F5527" t="s">
        <v>41</v>
      </c>
      <c r="G5527">
        <v>-341.26139999999998</v>
      </c>
      <c r="H5527">
        <v>1.0499309999999999</v>
      </c>
      <c r="I5527">
        <v>16.886089999999999</v>
      </c>
      <c r="J5527">
        <v>-341.90690000000001</v>
      </c>
      <c r="K5527">
        <v>1.1097360000000001</v>
      </c>
      <c r="L5527">
        <v>17.004909999999999</v>
      </c>
      <c r="M5527">
        <v>0.9998631</v>
      </c>
      <c r="N5527">
        <v>0</v>
      </c>
      <c r="O5527">
        <v>-1.334922E-2</v>
      </c>
      <c r="P5527">
        <v>0.98703810000000003</v>
      </c>
      <c r="Q5527">
        <v>0.1297266</v>
      </c>
      <c r="R5527">
        <v>-9.4483250000000005E-2</v>
      </c>
      <c r="S5527">
        <v>3.0259399999999999</v>
      </c>
      <c r="T5527">
        <v>-0.2289195</v>
      </c>
      <c r="U5527">
        <v>-0.4622192</v>
      </c>
      <c r="V5527">
        <v>8.1379670000000001E-2</v>
      </c>
      <c r="W5527">
        <v>0.13933029999999999</v>
      </c>
      <c r="X5527">
        <v>0.98689629999999995</v>
      </c>
      <c r="Y5527">
        <v>0.13744419999999999</v>
      </c>
      <c r="Z5527">
        <v>-4.1593200000000002E-3</v>
      </c>
      <c r="AA5527">
        <v>0.99050079999999996</v>
      </c>
      <c r="AB5527">
        <v>29</v>
      </c>
      <c r="AC5527">
        <v>0.64550000000002605</v>
      </c>
      <c r="AD5527">
        <v>-5.9805000000000101E-2</v>
      </c>
      <c r="AE5527">
        <v>-0.118819999999999</v>
      </c>
      <c r="AF5527">
        <v>0.109284737374194</v>
      </c>
      <c r="AG5527">
        <v>-5.9805000000000101E-2</v>
      </c>
      <c r="AH5527">
        <v>0.64170095996024301</v>
      </c>
      <c r="AI5527">
        <v>95.249300762802093</v>
      </c>
      <c r="AJ5527">
        <v>80.334983723712398</v>
      </c>
      <c r="AK5527">
        <v>0.65368181392925795</v>
      </c>
      <c r="AL5527">
        <v>81.990904098757397</v>
      </c>
      <c r="AM5527">
        <v>85.286043514544204</v>
      </c>
      <c r="AN5527">
        <v>0.99999994507054202</v>
      </c>
    </row>
    <row r="5528" spans="1:40" x14ac:dyDescent="0.25">
      <c r="A5528" t="str">
        <f>"20190312172520280"</f>
        <v>20190312172520280</v>
      </c>
      <c r="B5528" t="str">
        <f>"1552382720276238"</f>
        <v>1552382720276238</v>
      </c>
      <c r="C5528" t="s">
        <v>40</v>
      </c>
      <c r="D5528">
        <v>3.9487839999999998</v>
      </c>
      <c r="E5528">
        <v>0.52253090000000002</v>
      </c>
      <c r="F5528" t="s">
        <v>41</v>
      </c>
      <c r="G5528">
        <v>-341.01</v>
      </c>
      <c r="H5528">
        <v>1.0416240000000001</v>
      </c>
      <c r="I5528">
        <v>16.865960000000001</v>
      </c>
      <c r="J5528">
        <v>-341.7552</v>
      </c>
      <c r="K5528">
        <v>1.109777</v>
      </c>
      <c r="L5528">
        <v>17.00272</v>
      </c>
      <c r="M5528">
        <v>0.99985919999999895</v>
      </c>
      <c r="N5528">
        <v>0</v>
      </c>
      <c r="O5528">
        <v>-1.3490230000000001E-2</v>
      </c>
      <c r="P5528">
        <v>0.98696810000000001</v>
      </c>
      <c r="Q5528">
        <v>0.12808430000000001</v>
      </c>
      <c r="R5528">
        <v>-9.7407830000000001E-2</v>
      </c>
      <c r="S5528">
        <v>3.0248719999999998</v>
      </c>
      <c r="T5528">
        <v>-0.22970679999999999</v>
      </c>
      <c r="U5528">
        <v>-0.46737669999999998</v>
      </c>
      <c r="V5528">
        <v>8.4164420000000004E-2</v>
      </c>
      <c r="W5528">
        <v>0.1378914</v>
      </c>
      <c r="X5528">
        <v>0.98686490000000004</v>
      </c>
      <c r="Y5528">
        <v>0.13899990000000001</v>
      </c>
      <c r="Z5528">
        <v>-4.2225159999999999E-3</v>
      </c>
      <c r="AA5528">
        <v>0.99028340000000004</v>
      </c>
      <c r="AB5528">
        <v>29</v>
      </c>
      <c r="AC5528">
        <v>0.74520000000001096</v>
      </c>
      <c r="AD5528">
        <v>-6.8153000000000102E-2</v>
      </c>
      <c r="AE5528">
        <v>-0.13675999999999799</v>
      </c>
      <c r="AF5528">
        <v>0.12567719560195401</v>
      </c>
      <c r="AG5528">
        <v>-6.8153000000000102E-2</v>
      </c>
      <c r="AH5528">
        <v>0.74098142103023201</v>
      </c>
      <c r="AI5528">
        <v>95.181500258452402</v>
      </c>
      <c r="AJ5528">
        <v>80.373723643363107</v>
      </c>
      <c r="AK5528">
        <v>0.75464763646045696</v>
      </c>
      <c r="AL5528">
        <v>82.074151105331794</v>
      </c>
      <c r="AM5528">
        <v>85.125345653453095</v>
      </c>
      <c r="AN5528">
        <v>1.0000000093199499</v>
      </c>
    </row>
    <row r="5529" spans="1:40" x14ac:dyDescent="0.25">
      <c r="A5529" t="str">
        <f>"20190312172520292"</f>
        <v>20190312172520292</v>
      </c>
      <c r="B5529" t="str">
        <f>"1552382720285998"</f>
        <v>1552382720285998</v>
      </c>
      <c r="C5529" t="s">
        <v>40</v>
      </c>
      <c r="D5529">
        <v>3.9485899999999998</v>
      </c>
      <c r="E5529">
        <v>0.51538629999999996</v>
      </c>
      <c r="F5529" t="s">
        <v>41</v>
      </c>
      <c r="G5529">
        <v>-341.00369999999998</v>
      </c>
      <c r="H5529">
        <v>1.051447</v>
      </c>
      <c r="I5529">
        <v>16.88476</v>
      </c>
      <c r="J5529">
        <v>-341.59870000000001</v>
      </c>
      <c r="K5529">
        <v>1.10982</v>
      </c>
      <c r="L5529">
        <v>17.000429999999898</v>
      </c>
      <c r="M5529">
        <v>0.99985489999999999</v>
      </c>
      <c r="N5529">
        <v>0</v>
      </c>
      <c r="O5529">
        <v>-1.3639220000000001E-2</v>
      </c>
      <c r="P5529">
        <v>0.98686070000000004</v>
      </c>
      <c r="Q5529">
        <v>0.12656480000000001</v>
      </c>
      <c r="R5529">
        <v>-0.1004372</v>
      </c>
      <c r="S5529">
        <v>3.0233460000000001</v>
      </c>
      <c r="T5529">
        <v>-0.23465569999999999</v>
      </c>
      <c r="U5529">
        <v>-0.47308349999999999</v>
      </c>
      <c r="V5529">
        <v>8.7045940000000002E-2</v>
      </c>
      <c r="W5529">
        <v>0.13659769999999999</v>
      </c>
      <c r="X5529">
        <v>0.98679479999999997</v>
      </c>
      <c r="Y5529">
        <v>0.14073239999999901</v>
      </c>
      <c r="Z5529">
        <v>-4.3700099999999997E-3</v>
      </c>
      <c r="AA5529">
        <v>0.99003799999999997</v>
      </c>
      <c r="AB5529">
        <v>29</v>
      </c>
      <c r="AC5529">
        <v>0.59500000000002695</v>
      </c>
      <c r="AD5529">
        <v>-5.8373000000000001E-2</v>
      </c>
      <c r="AE5529">
        <v>-0.115669999999997</v>
      </c>
      <c r="AF5529">
        <v>0.106555259184032</v>
      </c>
      <c r="AG5529">
        <v>-5.8373000000000001E-2</v>
      </c>
      <c r="AH5529">
        <v>0.59104090899111394</v>
      </c>
      <c r="AI5529">
        <v>95.551489743428107</v>
      </c>
      <c r="AJ5529">
        <v>79.780261974282297</v>
      </c>
      <c r="AK5529">
        <v>0.60339935903994601</v>
      </c>
      <c r="AL5529">
        <v>82.148982327326294</v>
      </c>
      <c r="AM5529">
        <v>84.958942581500096</v>
      </c>
      <c r="AN5529">
        <v>0.99999995231140504</v>
      </c>
    </row>
    <row r="5530" spans="1:40" x14ac:dyDescent="0.25">
      <c r="A5530" t="str">
        <f>"20190312172520311"</f>
        <v>20190312172520311</v>
      </c>
      <c r="B5530" t="str">
        <f>"1552382720306494"</f>
        <v>1552382720306494</v>
      </c>
      <c r="C5530" t="s">
        <v>40</v>
      </c>
      <c r="D5530">
        <v>3.9577450000000001</v>
      </c>
      <c r="E5530">
        <v>0.51432800000000001</v>
      </c>
      <c r="F5530" t="s">
        <v>41</v>
      </c>
      <c r="G5530">
        <v>-340.75569999999999</v>
      </c>
      <c r="H5530">
        <v>1.0421199999999999</v>
      </c>
      <c r="I5530">
        <v>16.88167</v>
      </c>
      <c r="J5530">
        <v>-341.35239999999999</v>
      </c>
      <c r="K5530">
        <v>1.109888</v>
      </c>
      <c r="L5530">
        <v>16.9968</v>
      </c>
      <c r="M5530">
        <v>0.99984799999999996</v>
      </c>
      <c r="N5530">
        <v>0</v>
      </c>
      <c r="O5530">
        <v>-1.387701E-2</v>
      </c>
      <c r="P5530">
        <v>0.98657969999999895</v>
      </c>
      <c r="Q5530">
        <v>0.1244531</v>
      </c>
      <c r="R5530">
        <v>-0.1056989</v>
      </c>
      <c r="S5530">
        <v>3.027771</v>
      </c>
      <c r="T5530">
        <v>-0.2431914</v>
      </c>
      <c r="U5530">
        <v>-0.42590329999999899</v>
      </c>
      <c r="V5530">
        <v>9.2073080000000002E-2</v>
      </c>
      <c r="W5530">
        <v>0.13483889999999901</v>
      </c>
      <c r="X5530">
        <v>0.98658049999999997</v>
      </c>
      <c r="Y5530">
        <v>0.12518699999999999</v>
      </c>
      <c r="Z5530">
        <v>-3.8878210000000001E-3</v>
      </c>
      <c r="AA5530">
        <v>0.99212560000000005</v>
      </c>
      <c r="AB5530">
        <v>29</v>
      </c>
      <c r="AC5530">
        <v>0.59669999999999801</v>
      </c>
      <c r="AD5530">
        <v>-6.7767999999999801E-2</v>
      </c>
      <c r="AE5530">
        <v>-0.11513</v>
      </c>
      <c r="AF5530">
        <v>0.105525774100627</v>
      </c>
      <c r="AG5530">
        <v>-6.7767999999999801E-2</v>
      </c>
      <c r="AH5530">
        <v>0.59089224664262197</v>
      </c>
      <c r="AI5530">
        <v>96.4414914722867</v>
      </c>
      <c r="AJ5530">
        <v>79.874454301137703</v>
      </c>
      <c r="AK5530">
        <v>0.60405449916866105</v>
      </c>
      <c r="AL5530">
        <v>82.250695886842394</v>
      </c>
      <c r="AM5530">
        <v>84.668288273537897</v>
      </c>
      <c r="AN5530">
        <v>1.0000000319970701</v>
      </c>
    </row>
    <row r="5531" spans="1:40" x14ac:dyDescent="0.25">
      <c r="A5531" t="str">
        <f>"20190312172520326"</f>
        <v>20190312172520326</v>
      </c>
      <c r="B5531" t="str">
        <f>"1552382720316254"</f>
        <v>1552382720316254</v>
      </c>
      <c r="C5531" t="s">
        <v>40</v>
      </c>
      <c r="D5531">
        <v>3.982621</v>
      </c>
      <c r="E5531">
        <v>0.51367689999999999</v>
      </c>
      <c r="F5531" t="s">
        <v>41</v>
      </c>
      <c r="G5531">
        <v>-340.50139999999999</v>
      </c>
      <c r="H5531">
        <v>1.0389109999999999</v>
      </c>
      <c r="I5531">
        <v>16.874220000000001</v>
      </c>
      <c r="J5531">
        <v>-341.17039999999997</v>
      </c>
      <c r="K5531">
        <v>1.109936</v>
      </c>
      <c r="L5531">
        <v>16.99408</v>
      </c>
      <c r="M5531">
        <v>0.99984260000000003</v>
      </c>
      <c r="N5531">
        <v>0</v>
      </c>
      <c r="O5531">
        <v>-1.405434E-2</v>
      </c>
      <c r="P5531">
        <v>0.98642410000000003</v>
      </c>
      <c r="Q5531">
        <v>0.1237581</v>
      </c>
      <c r="R5531">
        <v>-0.1079422</v>
      </c>
      <c r="S5531">
        <v>3.026062</v>
      </c>
      <c r="T5531">
        <v>-0.25236380000000003</v>
      </c>
      <c r="U5531">
        <v>-0.43475340000000001</v>
      </c>
      <c r="V5531">
        <v>9.4141619999999995E-2</v>
      </c>
      <c r="W5531">
        <v>0.13439760000000001</v>
      </c>
      <c r="X5531">
        <v>0.98644549999999998</v>
      </c>
      <c r="Y5531">
        <v>0.12789610000000001</v>
      </c>
      <c r="Z5531">
        <v>-4.1329119999999999E-3</v>
      </c>
      <c r="AA5531">
        <v>0.99177899999999997</v>
      </c>
      <c r="AB5531">
        <v>29</v>
      </c>
      <c r="AC5531">
        <v>0.66899999999998205</v>
      </c>
      <c r="AD5531">
        <v>-7.1024999999999894E-2</v>
      </c>
      <c r="AE5531">
        <v>-0.119859999999999</v>
      </c>
      <c r="AF5531">
        <v>0.109252150465736</v>
      </c>
      <c r="AG5531">
        <v>-7.1024999999999894E-2</v>
      </c>
      <c r="AH5531">
        <v>0.66337408853412705</v>
      </c>
      <c r="AI5531">
        <v>96.030539825511397</v>
      </c>
      <c r="AJ5531">
        <v>80.647816580468103</v>
      </c>
      <c r="AK5531">
        <v>0.67605159887753596</v>
      </c>
      <c r="AL5531">
        <v>82.276212857967707</v>
      </c>
      <c r="AM5531">
        <v>84.548476625056594</v>
      </c>
      <c r="AN5531">
        <v>1.0000000419861099</v>
      </c>
    </row>
    <row r="5532" spans="1:40" x14ac:dyDescent="0.25">
      <c r="A5532" t="str">
        <f>"20190312172520345"</f>
        <v>20190312172520345</v>
      </c>
      <c r="B5532" t="str">
        <f>"1552382720335774"</f>
        <v>1552382720335774</v>
      </c>
      <c r="C5532" t="s">
        <v>40</v>
      </c>
      <c r="D5532">
        <v>3.9817339999999999</v>
      </c>
      <c r="E5532">
        <v>0.51319159999999997</v>
      </c>
      <c r="F5532" t="s">
        <v>41</v>
      </c>
      <c r="G5532">
        <v>-340.24889999999999</v>
      </c>
      <c r="H5532">
        <v>1.032713</v>
      </c>
      <c r="I5532">
        <v>16.86064</v>
      </c>
      <c r="J5532">
        <v>-340.91629999999998</v>
      </c>
      <c r="K5532">
        <v>1.1099969999999999</v>
      </c>
      <c r="L5532">
        <v>16.990200000000002</v>
      </c>
      <c r="M5532">
        <v>0.99983540000000004</v>
      </c>
      <c r="N5532">
        <v>0</v>
      </c>
      <c r="O5532">
        <v>-1.4301319999999999E-2</v>
      </c>
      <c r="P5532">
        <v>0.98593839999999999</v>
      </c>
      <c r="Q5532">
        <v>0.123501</v>
      </c>
      <c r="R5532">
        <v>-0.1125761</v>
      </c>
      <c r="S5532">
        <v>3.025299</v>
      </c>
      <c r="T5532">
        <v>-0.25355179999999999</v>
      </c>
      <c r="U5532">
        <v>-0.43722529999999998</v>
      </c>
      <c r="V5532">
        <v>9.8536810000000002E-2</v>
      </c>
      <c r="W5532">
        <v>0.13446939999999999</v>
      </c>
      <c r="X5532">
        <v>0.9860063</v>
      </c>
      <c r="Y5532">
        <v>0.12847529999999999</v>
      </c>
      <c r="Z5532">
        <v>-4.1566479999999998E-3</v>
      </c>
      <c r="AA5532">
        <v>0.99170400000000003</v>
      </c>
      <c r="AB5532">
        <v>29</v>
      </c>
      <c r="AC5532">
        <v>0.667399999999986</v>
      </c>
      <c r="AD5532">
        <v>-7.7283999999999894E-2</v>
      </c>
      <c r="AE5532">
        <v>-0.12956000000000101</v>
      </c>
      <c r="AF5532">
        <v>0.118470535797711</v>
      </c>
      <c r="AG5532">
        <v>-7.7283999999999894E-2</v>
      </c>
      <c r="AH5532">
        <v>0.66064761763767499</v>
      </c>
      <c r="AI5532">
        <v>96.568420733774204</v>
      </c>
      <c r="AJ5532">
        <v>79.833499853731695</v>
      </c>
      <c r="AK5532">
        <v>0.67562072140997298</v>
      </c>
      <c r="AL5532">
        <v>82.272060800238904</v>
      </c>
      <c r="AM5532">
        <v>84.293078680540305</v>
      </c>
      <c r="AN5532">
        <v>0.99999997305051203</v>
      </c>
    </row>
    <row r="5533" spans="1:40" x14ac:dyDescent="0.25">
      <c r="A5533" t="str">
        <f>"20190312172520357"</f>
        <v>20190312172520357</v>
      </c>
      <c r="B5533" t="str">
        <f>"1552382720346511"</f>
        <v>1552382720346511</v>
      </c>
      <c r="C5533" t="s">
        <v>40</v>
      </c>
      <c r="D5533">
        <v>3.9898069999999999</v>
      </c>
      <c r="E5533">
        <v>0.51261229999999902</v>
      </c>
      <c r="F5533" t="s">
        <v>41</v>
      </c>
      <c r="G5533">
        <v>-339.99380000000002</v>
      </c>
      <c r="H5533">
        <v>1.0323789999999999</v>
      </c>
      <c r="I5533">
        <v>16.852920000000001</v>
      </c>
      <c r="J5533">
        <v>-340.76819999999998</v>
      </c>
      <c r="K5533">
        <v>1.1100239999999999</v>
      </c>
      <c r="L5533">
        <v>16.987950000000001</v>
      </c>
      <c r="M5533">
        <v>0.99983140000000004</v>
      </c>
      <c r="N5533">
        <v>0</v>
      </c>
      <c r="O5533">
        <v>-1.444318E-2</v>
      </c>
      <c r="P5533">
        <v>0.98563710000000004</v>
      </c>
      <c r="Q5533">
        <v>0.12378210000000001</v>
      </c>
      <c r="R5533">
        <v>-0.1148819</v>
      </c>
      <c r="S5533">
        <v>3.0234380000000001</v>
      </c>
      <c r="T5533">
        <v>-0.25443399999999999</v>
      </c>
      <c r="U5533">
        <v>-0.44876100000000002</v>
      </c>
      <c r="V5533">
        <v>0.1007068</v>
      </c>
      <c r="W5533">
        <v>0.1349301</v>
      </c>
      <c r="X5533">
        <v>0.98572409999999999</v>
      </c>
      <c r="Y5533">
        <v>0.13210930000000001</v>
      </c>
      <c r="Z5533">
        <v>-4.3124219999999998E-3</v>
      </c>
      <c r="AA5533">
        <v>0.99122580000000005</v>
      </c>
      <c r="AB5533">
        <v>29</v>
      </c>
      <c r="AC5533">
        <v>0.77439999999995701</v>
      </c>
      <c r="AD5533">
        <v>-7.76449999999997E-2</v>
      </c>
      <c r="AE5533">
        <v>-0.13503000000000001</v>
      </c>
      <c r="AF5533">
        <v>0.122633932330503</v>
      </c>
      <c r="AG5533">
        <v>-7.76449999999997E-2</v>
      </c>
      <c r="AH5533">
        <v>0.76876919551532397</v>
      </c>
      <c r="AI5533">
        <v>95.695734399511096</v>
      </c>
      <c r="AJ5533">
        <v>80.936550012163195</v>
      </c>
      <c r="AK5533">
        <v>0.78235152160465604</v>
      </c>
      <c r="AL5533">
        <v>82.245422040665503</v>
      </c>
      <c r="AM5533">
        <v>84.166599077186305</v>
      </c>
      <c r="AN5533">
        <v>0.99999999638652903</v>
      </c>
    </row>
    <row r="5534" spans="1:40" x14ac:dyDescent="0.25">
      <c r="A5534" t="str">
        <f>"20190312172520368"</f>
        <v>20190312172520368</v>
      </c>
      <c r="B5534" t="str">
        <f>"1552382720366030"</f>
        <v>1552382720366030</v>
      </c>
      <c r="C5534" t="s">
        <v>40</v>
      </c>
      <c r="D5534">
        <v>3.967908</v>
      </c>
      <c r="E5534">
        <v>0.51163930000000002</v>
      </c>
      <c r="F5534" t="s">
        <v>41</v>
      </c>
      <c r="G5534">
        <v>-339.98719999999997</v>
      </c>
      <c r="H5534">
        <v>1.044273</v>
      </c>
      <c r="I5534">
        <v>16.870999999999999</v>
      </c>
      <c r="J5534">
        <v>-340.6284</v>
      </c>
      <c r="K5534">
        <v>1.1100429999999999</v>
      </c>
      <c r="L5534">
        <v>16.985779999999998</v>
      </c>
      <c r="M5534">
        <v>0.99982740000000003</v>
      </c>
      <c r="N5534">
        <v>0</v>
      </c>
      <c r="O5534">
        <v>-1.457542E-2</v>
      </c>
      <c r="P5534">
        <v>0.98536069999999998</v>
      </c>
      <c r="Q5534">
        <v>0.1240569</v>
      </c>
      <c r="R5534">
        <v>-0.11693820000000001</v>
      </c>
      <c r="S5534">
        <v>3.0230709999999998</v>
      </c>
      <c r="T5534">
        <v>-0.25452720000000001</v>
      </c>
      <c r="U5534">
        <v>-0.45132450000000002</v>
      </c>
      <c r="V5534">
        <v>0.1026367</v>
      </c>
      <c r="W5534">
        <v>0.1353666</v>
      </c>
      <c r="X5534">
        <v>0.98546520000000004</v>
      </c>
      <c r="Y5534">
        <v>0.13281560000000001</v>
      </c>
      <c r="Z5534">
        <v>-4.3327119999999998E-3</v>
      </c>
      <c r="AA5534">
        <v>0.99113130000000005</v>
      </c>
      <c r="AB5534">
        <v>29</v>
      </c>
      <c r="AC5534">
        <v>0.64120000000002597</v>
      </c>
      <c r="AD5534">
        <v>-6.5770000000000106E-2</v>
      </c>
      <c r="AE5534">
        <v>-0.11477999999999899</v>
      </c>
      <c r="AF5534">
        <v>0.10435754193713299</v>
      </c>
      <c r="AG5534">
        <v>-6.5770000000000106E-2</v>
      </c>
      <c r="AH5534">
        <v>0.63631794459877999</v>
      </c>
      <c r="AI5534">
        <v>95.823895877199405</v>
      </c>
      <c r="AJ5534">
        <v>80.686278418346205</v>
      </c>
      <c r="AK5534">
        <v>0.648164111994467</v>
      </c>
      <c r="AL5534">
        <v>82.220181152504907</v>
      </c>
      <c r="AM5534">
        <v>84.054052901770007</v>
      </c>
      <c r="AN5534">
        <v>1.0000000344967399</v>
      </c>
    </row>
    <row r="5535" spans="1:40" x14ac:dyDescent="0.25">
      <c r="A5535" t="str">
        <f>"20190312172520379"</f>
        <v>20190312172520379</v>
      </c>
      <c r="B5535" t="str">
        <f>"1552382720375790"</f>
        <v>1552382720375790</v>
      </c>
      <c r="C5535" t="s">
        <v>40</v>
      </c>
      <c r="D5535">
        <v>3.9497749999999998</v>
      </c>
      <c r="E5535">
        <v>0.51132759999999999</v>
      </c>
      <c r="F5535" t="s">
        <v>41</v>
      </c>
      <c r="G5535">
        <v>-339.73770000000002</v>
      </c>
      <c r="H5535">
        <v>1.0349680000000001</v>
      </c>
      <c r="I5535">
        <v>16.852979999999999</v>
      </c>
      <c r="J5535">
        <v>-340.48329999999999</v>
      </c>
      <c r="K5535">
        <v>1.110061</v>
      </c>
      <c r="L5535">
        <v>16.983519999999999</v>
      </c>
      <c r="M5535">
        <v>0.99982340000000003</v>
      </c>
      <c r="N5535">
        <v>0</v>
      </c>
      <c r="O5535">
        <v>-1.4711749999999999E-2</v>
      </c>
      <c r="P5535">
        <v>0.98514000000000002</v>
      </c>
      <c r="Q5535">
        <v>0.1239755</v>
      </c>
      <c r="R5535">
        <v>-0.1188657</v>
      </c>
      <c r="S5535">
        <v>3.0233150000000002</v>
      </c>
      <c r="T5535">
        <v>-0.25486530000000002</v>
      </c>
      <c r="U5535">
        <v>-0.4497681</v>
      </c>
      <c r="V5535">
        <v>0.104433</v>
      </c>
      <c r="W5535">
        <v>0.13544879999999901</v>
      </c>
      <c r="X5535">
        <v>0.9852651</v>
      </c>
      <c r="Y5535">
        <v>0.13217119999999999</v>
      </c>
      <c r="Z5535">
        <v>-4.2998940000000003E-3</v>
      </c>
      <c r="AA5535">
        <v>0.99121760000000003</v>
      </c>
      <c r="AB5535">
        <v>29</v>
      </c>
      <c r="AC5535">
        <v>0.74559999999996696</v>
      </c>
      <c r="AD5535">
        <v>-7.5092999999999799E-2</v>
      </c>
      <c r="AE5535">
        <v>-0.13054000000000299</v>
      </c>
      <c r="AF5535">
        <v>0.11839086050058301</v>
      </c>
      <c r="AG5535">
        <v>-7.5092999999999799E-2</v>
      </c>
      <c r="AH5535">
        <v>0.74015543823986996</v>
      </c>
      <c r="AI5535">
        <v>95.720929702039996</v>
      </c>
      <c r="AJ5535">
        <v>80.912290083204894</v>
      </c>
      <c r="AK5535">
        <v>0.75331628633338499</v>
      </c>
      <c r="AL5535">
        <v>82.215427178803097</v>
      </c>
      <c r="AM5535">
        <v>83.949535290246203</v>
      </c>
      <c r="AN5535">
        <v>0.99999997309422395</v>
      </c>
    </row>
    <row r="5536" spans="1:40" x14ac:dyDescent="0.25">
      <c r="A5536" t="str">
        <f>"20190312172520390"</f>
        <v>20190312172520390</v>
      </c>
      <c r="B5536" t="str">
        <f>"1552382720386527"</f>
        <v>1552382720386527</v>
      </c>
      <c r="C5536" t="s">
        <v>40</v>
      </c>
      <c r="D5536">
        <v>3.9709989999999999</v>
      </c>
      <c r="E5536">
        <v>0.51132759999999999</v>
      </c>
      <c r="F5536" t="s">
        <v>41</v>
      </c>
      <c r="G5536">
        <v>-339.73059999999998</v>
      </c>
      <c r="H5536">
        <v>1.046297</v>
      </c>
      <c r="I5536">
        <v>16.87041</v>
      </c>
      <c r="J5536">
        <v>-340.3467</v>
      </c>
      <c r="K5536">
        <v>1.11007099999999</v>
      </c>
      <c r="L5536">
        <v>16.981349999999999</v>
      </c>
      <c r="M5536">
        <v>0.99981980000000004</v>
      </c>
      <c r="N5536">
        <v>0</v>
      </c>
      <c r="O5536">
        <v>-1.483961E-2</v>
      </c>
      <c r="P5536">
        <v>0.98502219999999996</v>
      </c>
      <c r="Q5536">
        <v>0.1231289</v>
      </c>
      <c r="R5536">
        <v>-0.12070889999999999</v>
      </c>
      <c r="S5536">
        <v>3.0228269999999999</v>
      </c>
      <c r="T5536">
        <v>-0.2560906</v>
      </c>
      <c r="U5536">
        <v>-0.45309450000000001</v>
      </c>
      <c r="V5536">
        <v>0.1061513</v>
      </c>
      <c r="W5536">
        <v>0.1347458</v>
      </c>
      <c r="X5536">
        <v>0.98517790000000005</v>
      </c>
      <c r="Y5536">
        <v>0.13312779999999999</v>
      </c>
      <c r="Z5536">
        <v>-4.3503140000000001E-3</v>
      </c>
      <c r="AA5536">
        <v>0.99108929999999995</v>
      </c>
      <c r="AB5536">
        <v>29</v>
      </c>
      <c r="AC5536">
        <v>0.61610000000001697</v>
      </c>
      <c r="AD5536">
        <v>-6.3773999999999706E-2</v>
      </c>
      <c r="AE5536">
        <v>-0.110939999999999</v>
      </c>
      <c r="AF5536">
        <v>0.10073895788296</v>
      </c>
      <c r="AG5536">
        <v>-6.3773999999999706E-2</v>
      </c>
      <c r="AH5536">
        <v>0.61133395911817301</v>
      </c>
      <c r="AI5536">
        <v>95.876830563180107</v>
      </c>
      <c r="AJ5536">
        <v>80.642580833502294</v>
      </c>
      <c r="AK5536">
        <v>0.62285204525829796</v>
      </c>
      <c r="AL5536">
        <v>82.256079096304305</v>
      </c>
      <c r="AM5536">
        <v>83.850199792503801</v>
      </c>
      <c r="AN5536">
        <v>1.0000000118788599</v>
      </c>
    </row>
    <row r="5537" spans="1:40" x14ac:dyDescent="0.25">
      <c r="A5537" t="str">
        <f>"20190312172520402"</f>
        <v>20190312172520402</v>
      </c>
      <c r="B5537" t="str">
        <f>"1552382720396287"</f>
        <v>1552382720396287</v>
      </c>
      <c r="C5537" t="s">
        <v>40</v>
      </c>
      <c r="D5537">
        <v>3.9876070000000001</v>
      </c>
      <c r="E5537">
        <v>0.50659480000000001</v>
      </c>
      <c r="F5537" t="s">
        <v>41</v>
      </c>
      <c r="G5537">
        <v>-339.48259999999999</v>
      </c>
      <c r="H5537">
        <v>1.0360879999999999</v>
      </c>
      <c r="I5537">
        <v>16.849779999999999</v>
      </c>
      <c r="J5537">
        <v>-340.19760000000002</v>
      </c>
      <c r="K5537">
        <v>1.110082</v>
      </c>
      <c r="L5537">
        <v>16.97897</v>
      </c>
      <c r="M5537">
        <v>0.99981580000000003</v>
      </c>
      <c r="N5537">
        <v>0</v>
      </c>
      <c r="O5537">
        <v>-1.4978989999999999E-2</v>
      </c>
      <c r="P5537">
        <v>0.98501280000000002</v>
      </c>
      <c r="Q5537">
        <v>0.12188060000000001</v>
      </c>
      <c r="R5537">
        <v>-0.1220456</v>
      </c>
      <c r="S5537">
        <v>3.0217290000000001</v>
      </c>
      <c r="T5537">
        <v>-0.25866099999999997</v>
      </c>
      <c r="U5537">
        <v>-0.45877079999999998</v>
      </c>
      <c r="V5537">
        <v>0.10735</v>
      </c>
      <c r="W5537">
        <v>0.1336533</v>
      </c>
      <c r="X5537">
        <v>0.98519679999999998</v>
      </c>
      <c r="Y5537">
        <v>0.13484839999999901</v>
      </c>
      <c r="Z5537">
        <v>-4.4560440000000002E-3</v>
      </c>
      <c r="AA5537">
        <v>0.99085619999999996</v>
      </c>
      <c r="AB5537">
        <v>28</v>
      </c>
      <c r="AC5537">
        <v>0.71500000000003106</v>
      </c>
      <c r="AD5537">
        <v>-7.3994000000000101E-2</v>
      </c>
      <c r="AE5537">
        <v>-0.129190000000001</v>
      </c>
      <c r="AF5537">
        <v>0.117248744829787</v>
      </c>
      <c r="AG5537">
        <v>-7.3994000000000101E-2</v>
      </c>
      <c r="AH5537">
        <v>0.70949671514638002</v>
      </c>
      <c r="AI5537">
        <v>95.874790303256006</v>
      </c>
      <c r="AJ5537">
        <v>80.616324279320196</v>
      </c>
      <c r="AK5537">
        <v>0.72291629460378304</v>
      </c>
      <c r="AL5537">
        <v>82.319245886968005</v>
      </c>
      <c r="AM5537">
        <v>83.781413433056699</v>
      </c>
      <c r="AN5537">
        <v>0.99999998091556397</v>
      </c>
    </row>
    <row r="5538" spans="1:40" x14ac:dyDescent="0.25">
      <c r="A5538" t="str">
        <f>"20190312172520413"</f>
        <v>20190312172520413</v>
      </c>
      <c r="B5538" t="str">
        <f>"1552382720406047"</f>
        <v>1552382720406047</v>
      </c>
      <c r="C5538" t="s">
        <v>40</v>
      </c>
      <c r="D5538">
        <v>3.9648500000000002</v>
      </c>
      <c r="E5538">
        <v>0.50659480000000001</v>
      </c>
      <c r="F5538" t="s">
        <v>41</v>
      </c>
      <c r="G5538">
        <v>-339.23340000000002</v>
      </c>
      <c r="H5538">
        <v>1.0258430000000001</v>
      </c>
      <c r="I5538">
        <v>16.843499999999999</v>
      </c>
      <c r="J5538">
        <v>-340.03699999999998</v>
      </c>
      <c r="K5538">
        <v>1.11009</v>
      </c>
      <c r="L5538">
        <v>16.976379999999999</v>
      </c>
      <c r="M5538">
        <v>0.99981169999999997</v>
      </c>
      <c r="N5538">
        <v>0</v>
      </c>
      <c r="O5538">
        <v>-1.512956E-2</v>
      </c>
      <c r="P5538">
        <v>0.98502060000000002</v>
      </c>
      <c r="Q5538">
        <v>0.120624</v>
      </c>
      <c r="R5538">
        <v>-0.1232255</v>
      </c>
      <c r="S5538">
        <v>3.0256959999999999</v>
      </c>
      <c r="T5538">
        <v>-0.2643837</v>
      </c>
      <c r="U5538">
        <v>-0.42529299999999998</v>
      </c>
      <c r="V5538">
        <v>0.1083803</v>
      </c>
      <c r="W5538">
        <v>0.13254939999999901</v>
      </c>
      <c r="X5538">
        <v>0.98523309999999997</v>
      </c>
      <c r="Y5538">
        <v>0.12378699999999999</v>
      </c>
      <c r="Z5538">
        <v>-4.0588899999999999E-3</v>
      </c>
      <c r="AA5538">
        <v>0.99230050000000003</v>
      </c>
      <c r="AB5538">
        <v>28</v>
      </c>
      <c r="AC5538">
        <v>0.80359999999996001</v>
      </c>
      <c r="AD5538">
        <v>-8.4246999999999905E-2</v>
      </c>
      <c r="AE5538">
        <v>-0.13288</v>
      </c>
      <c r="AF5538">
        <v>0.11942810172736899</v>
      </c>
      <c r="AG5538">
        <v>-8.4246999999999905E-2</v>
      </c>
      <c r="AH5538">
        <v>0.79699213126466595</v>
      </c>
      <c r="AI5538">
        <v>95.967967152637101</v>
      </c>
      <c r="AJ5538">
        <v>81.477722027596798</v>
      </c>
      <c r="AK5538">
        <v>0.81028210259698896</v>
      </c>
      <c r="AL5538">
        <v>82.383062256358102</v>
      </c>
      <c r="AM5538">
        <v>83.722433807733594</v>
      </c>
      <c r="AN5538">
        <v>0.999999947102028</v>
      </c>
    </row>
    <row r="5539" spans="1:40" x14ac:dyDescent="0.25">
      <c r="A5539" t="str">
        <f>"20190312172520425"</f>
        <v>20190312172520425</v>
      </c>
      <c r="B5539" t="str">
        <f>"1552382720415806"</f>
        <v>1552382720415806</v>
      </c>
      <c r="C5539" t="s">
        <v>40</v>
      </c>
      <c r="D5539">
        <v>3.9225940000000001</v>
      </c>
      <c r="E5539">
        <v>0.50303929999999997</v>
      </c>
      <c r="F5539" t="s">
        <v>41</v>
      </c>
      <c r="G5539">
        <v>-339.22719999999998</v>
      </c>
      <c r="H5539">
        <v>1.038306</v>
      </c>
      <c r="I5539">
        <v>16.861639999999898</v>
      </c>
      <c r="J5539">
        <v>-339.89800000000002</v>
      </c>
      <c r="K5539">
        <v>1.1100989999999999</v>
      </c>
      <c r="L5539">
        <v>16.974150000000002</v>
      </c>
      <c r="M5539">
        <v>0.99980809999999998</v>
      </c>
      <c r="N5539">
        <v>0</v>
      </c>
      <c r="O5539">
        <v>-1.526018E-2</v>
      </c>
      <c r="P5539">
        <v>0.98495889999999997</v>
      </c>
      <c r="Q5539">
        <v>0.1200809</v>
      </c>
      <c r="R5539">
        <v>-0.12424489999999901</v>
      </c>
      <c r="S5539">
        <v>3.0248110000000001</v>
      </c>
      <c r="T5539">
        <v>-0.26821840000000002</v>
      </c>
      <c r="U5539">
        <v>-0.42883300000000002</v>
      </c>
      <c r="V5539">
        <v>0.1092714</v>
      </c>
      <c r="W5539">
        <v>0.13213250000000001</v>
      </c>
      <c r="X5539">
        <v>0.98519069999999997</v>
      </c>
      <c r="Y5539">
        <v>0.1248204</v>
      </c>
      <c r="Z5539">
        <v>-4.1523970000000004E-3</v>
      </c>
      <c r="AA5539">
        <v>0.99217060000000001</v>
      </c>
      <c r="AB5539">
        <v>28</v>
      </c>
      <c r="AC5539">
        <v>0.67080000000004203</v>
      </c>
      <c r="AD5539">
        <v>-7.1792999999999996E-2</v>
      </c>
      <c r="AE5539">
        <v>-0.112510000000003</v>
      </c>
      <c r="AF5539">
        <v>0.101132861246096</v>
      </c>
      <c r="AG5539">
        <v>-7.1792999999999996E-2</v>
      </c>
      <c r="AH5539">
        <v>0.66502974588601205</v>
      </c>
      <c r="AI5539">
        <v>96.091975965168203</v>
      </c>
      <c r="AJ5539">
        <v>81.353126781092101</v>
      </c>
      <c r="AK5539">
        <v>0.67649586353948699</v>
      </c>
      <c r="AL5539">
        <v>82.407161053146297</v>
      </c>
      <c r="AM5539">
        <v>83.670966775497206</v>
      </c>
      <c r="AN5539">
        <v>0.99999997589034895</v>
      </c>
    </row>
    <row r="5540" spans="1:40" x14ac:dyDescent="0.25">
      <c r="A5540" t="str">
        <f>"20190312172520436"</f>
        <v>20190312172520436</v>
      </c>
      <c r="B5540" t="str">
        <f>"1552382720426543"</f>
        <v>1552382720426543</v>
      </c>
      <c r="C5540" t="s">
        <v>40</v>
      </c>
      <c r="D5540">
        <v>3.9796209999999999</v>
      </c>
      <c r="E5540">
        <v>0.50184640000000003</v>
      </c>
      <c r="F5540" t="s">
        <v>41</v>
      </c>
      <c r="G5540">
        <v>-338.98169999999999</v>
      </c>
      <c r="H5540">
        <v>1.0213139999999901</v>
      </c>
      <c r="I5540">
        <v>16.851520000000001</v>
      </c>
      <c r="J5540">
        <v>-339.75659999999999</v>
      </c>
      <c r="K5540">
        <v>1.110115</v>
      </c>
      <c r="L5540">
        <v>16.971829999999901</v>
      </c>
      <c r="M5540">
        <v>0.99980469999999999</v>
      </c>
      <c r="N5540">
        <v>0</v>
      </c>
      <c r="O5540">
        <v>-1.539422E-2</v>
      </c>
      <c r="P5540">
        <v>0.98491430000000002</v>
      </c>
      <c r="Q5540">
        <v>0.11976000000000001</v>
      </c>
      <c r="R5540">
        <v>-0.12490660000000001</v>
      </c>
      <c r="S5540">
        <v>3.03064</v>
      </c>
      <c r="T5540">
        <v>-0.29357159999999999</v>
      </c>
      <c r="U5540">
        <v>-0.40408329999999998</v>
      </c>
      <c r="V5540">
        <v>0.1098012</v>
      </c>
      <c r="W5540">
        <v>0.1319321</v>
      </c>
      <c r="X5540">
        <v>0.98515870000000005</v>
      </c>
      <c r="Y5540">
        <v>0.1164226</v>
      </c>
      <c r="Z5540">
        <v>-4.1201220000000004E-3</v>
      </c>
      <c r="AA5540">
        <v>0.99319120000000005</v>
      </c>
      <c r="AB5540">
        <v>28</v>
      </c>
      <c r="AC5540">
        <v>0.77490000000000203</v>
      </c>
      <c r="AD5540">
        <v>-8.8801000000000102E-2</v>
      </c>
      <c r="AE5540">
        <v>-0.120309999999996</v>
      </c>
      <c r="AF5540">
        <v>0.106993830170481</v>
      </c>
      <c r="AG5540">
        <v>-8.8801000000000102E-2</v>
      </c>
      <c r="AH5540">
        <v>0.76682712865553704</v>
      </c>
      <c r="AI5540">
        <v>96.542785764550501</v>
      </c>
      <c r="AJ5540">
        <v>82.056916929742599</v>
      </c>
      <c r="AK5540">
        <v>0.77933121491291801</v>
      </c>
      <c r="AL5540">
        <v>82.418744898241599</v>
      </c>
      <c r="AM5540">
        <v>83.640326528281605</v>
      </c>
      <c r="AN5540">
        <v>1.00000002335876</v>
      </c>
    </row>
    <row r="5541" spans="1:40" x14ac:dyDescent="0.25">
      <c r="A5541" t="str">
        <f>"20190312172520448"</f>
        <v>20190312172520448</v>
      </c>
      <c r="B5541" t="str">
        <f>"1552382720436303"</f>
        <v>1552382720436303</v>
      </c>
      <c r="C5541" t="s">
        <v>40</v>
      </c>
      <c r="D5541">
        <v>3.932941</v>
      </c>
      <c r="E5541">
        <v>0.50087890000000002</v>
      </c>
      <c r="F5541" t="s">
        <v>41</v>
      </c>
      <c r="G5541">
        <v>-338.97609999999997</v>
      </c>
      <c r="H5541">
        <v>1.0324789999999999</v>
      </c>
      <c r="I5541">
        <v>16.86936</v>
      </c>
      <c r="J5541">
        <v>-339.61759999999998</v>
      </c>
      <c r="K5541">
        <v>1.110136</v>
      </c>
      <c r="L5541">
        <v>16.969539999999999</v>
      </c>
      <c r="M5541">
        <v>0.9998011</v>
      </c>
      <c r="N5541">
        <v>0</v>
      </c>
      <c r="O5541">
        <v>-1.55263E-2</v>
      </c>
      <c r="P5541">
        <v>0.98485869999999998</v>
      </c>
      <c r="Q5541">
        <v>0.119864</v>
      </c>
      <c r="R5541">
        <v>-0.12524440000000001</v>
      </c>
      <c r="S5541">
        <v>3.0323790000000002</v>
      </c>
      <c r="T5541">
        <v>-0.30154629999999999</v>
      </c>
      <c r="U5541">
        <v>-0.3963623</v>
      </c>
      <c r="V5541">
        <v>0.11000939999999999</v>
      </c>
      <c r="W5541">
        <v>0.13214670000000001</v>
      </c>
      <c r="X5541">
        <v>0.9851067</v>
      </c>
      <c r="Y5541">
        <v>0.1137194</v>
      </c>
      <c r="Z5541">
        <v>-4.0832450000000001E-3</v>
      </c>
      <c r="AA5541">
        <v>0.99350450000000001</v>
      </c>
      <c r="AB5541">
        <v>28</v>
      </c>
      <c r="AC5541">
        <v>0.64150000000000695</v>
      </c>
      <c r="AD5541">
        <v>-7.7656999999999796E-2</v>
      </c>
      <c r="AE5541">
        <v>-0.10017999999999801</v>
      </c>
      <c r="AF5541">
        <v>8.8934762635779901E-2</v>
      </c>
      <c r="AG5541">
        <v>-7.7656999999999796E-2</v>
      </c>
      <c r="AH5541">
        <v>0.63390979978543005</v>
      </c>
      <c r="AI5541">
        <v>96.917132141370701</v>
      </c>
      <c r="AJ5541">
        <v>82.013778610414903</v>
      </c>
      <c r="AK5541">
        <v>0.64481131807536296</v>
      </c>
      <c r="AL5541">
        <v>82.406340549709995</v>
      </c>
      <c r="AM5541">
        <v>83.628033121025794</v>
      </c>
      <c r="AN5541">
        <v>1.00000001439707</v>
      </c>
    </row>
    <row r="5542" spans="1:40" x14ac:dyDescent="0.25">
      <c r="A5542" t="str">
        <f>"20190312172520458"</f>
        <v>20190312172520458</v>
      </c>
      <c r="B5542" t="str">
        <f>"1552382720455822"</f>
        <v>1552382720455822</v>
      </c>
      <c r="C5542" t="s">
        <v>40</v>
      </c>
      <c r="D5542">
        <v>3.9328430000000001</v>
      </c>
      <c r="E5542">
        <v>0.4991795</v>
      </c>
      <c r="F5542" t="s">
        <v>41</v>
      </c>
      <c r="G5542">
        <v>-338.72809999999998</v>
      </c>
      <c r="H5542">
        <v>1.021406</v>
      </c>
      <c r="I5542">
        <v>16.855370000000001</v>
      </c>
      <c r="J5542">
        <v>-339.47620000000001</v>
      </c>
      <c r="K5542">
        <v>1.1101570000000001</v>
      </c>
      <c r="L5542">
        <v>16.967220000000001</v>
      </c>
      <c r="M5542">
        <v>0.99979770000000001</v>
      </c>
      <c r="N5542">
        <v>0</v>
      </c>
      <c r="O5542">
        <v>-1.566122E-2</v>
      </c>
      <c r="P5542">
        <v>0.98471699999999995</v>
      </c>
      <c r="Q5542">
        <v>0.1205151</v>
      </c>
      <c r="R5542">
        <v>-0.1257326</v>
      </c>
      <c r="S5542">
        <v>3.0335079999999999</v>
      </c>
      <c r="T5542">
        <v>-0.30261369999999999</v>
      </c>
      <c r="U5542">
        <v>-0.3887024</v>
      </c>
      <c r="V5542">
        <v>0.1103669</v>
      </c>
      <c r="W5542">
        <v>0.13290379999999999</v>
      </c>
      <c r="X5542">
        <v>0.98496479999999997</v>
      </c>
      <c r="Y5542">
        <v>0.11108030000000001</v>
      </c>
      <c r="Z5542">
        <v>-3.9526300000000004E-3</v>
      </c>
      <c r="AA5542">
        <v>0.99380360000000001</v>
      </c>
      <c r="AB5542">
        <v>28</v>
      </c>
      <c r="AC5542">
        <v>0.74810000000002197</v>
      </c>
      <c r="AD5542">
        <v>-8.8750999999999997E-2</v>
      </c>
      <c r="AE5542">
        <v>-0.11185</v>
      </c>
      <c r="AF5542">
        <v>9.8759606445607703E-2</v>
      </c>
      <c r="AG5542">
        <v>-8.8750999999999997E-2</v>
      </c>
      <c r="AH5542">
        <v>0.73957861637129796</v>
      </c>
      <c r="AI5542">
        <v>96.783250627019896</v>
      </c>
      <c r="AJ5542">
        <v>82.394005944234905</v>
      </c>
      <c r="AK5542">
        <v>0.75140317384209498</v>
      </c>
      <c r="AL5542">
        <v>82.362575514225696</v>
      </c>
      <c r="AM5542">
        <v>83.606583819707296</v>
      </c>
      <c r="AN5542">
        <v>0.99999996495454402</v>
      </c>
    </row>
    <row r="5543" spans="1:40" x14ac:dyDescent="0.25">
      <c r="A5543" t="str">
        <f>"20190312172520470"</f>
        <v>20190312172520470</v>
      </c>
      <c r="B5543" t="str">
        <f>"1552382720466558"</f>
        <v>1552382720466558</v>
      </c>
      <c r="C5543" t="s">
        <v>40</v>
      </c>
      <c r="D5543">
        <v>3.926431</v>
      </c>
      <c r="E5543">
        <v>0.49843140000000002</v>
      </c>
      <c r="F5543" t="s">
        <v>41</v>
      </c>
      <c r="G5543">
        <v>-338.72129999999999</v>
      </c>
      <c r="H5543">
        <v>1.03485</v>
      </c>
      <c r="I5543">
        <v>16.873670000000001</v>
      </c>
      <c r="J5543">
        <v>-339.33240000000001</v>
      </c>
      <c r="K5543">
        <v>1.1101730000000001</v>
      </c>
      <c r="L5543">
        <v>16.96481</v>
      </c>
      <c r="M5543">
        <v>0.99979419999999997</v>
      </c>
      <c r="N5543">
        <v>0</v>
      </c>
      <c r="O5543">
        <v>-1.579848E-2</v>
      </c>
      <c r="P5543">
        <v>0.98460449999999999</v>
      </c>
      <c r="Q5543">
        <v>0.1209026</v>
      </c>
      <c r="R5543">
        <v>-0.12624060000000001</v>
      </c>
      <c r="S5543">
        <v>3.0357059999999998</v>
      </c>
      <c r="T5543">
        <v>-0.30287589999999998</v>
      </c>
      <c r="U5543">
        <v>-0.37542720000000002</v>
      </c>
      <c r="V5543">
        <v>0.1107411</v>
      </c>
      <c r="W5543">
        <v>0.13339010000000001</v>
      </c>
      <c r="X5543">
        <v>0.98485710000000004</v>
      </c>
      <c r="Y5543">
        <v>0.1065961</v>
      </c>
      <c r="Z5543">
        <v>-3.7183530000000002E-3</v>
      </c>
      <c r="AA5543">
        <v>0.9942955</v>
      </c>
      <c r="AB5543">
        <v>28</v>
      </c>
      <c r="AC5543">
        <v>0.61110000000002096</v>
      </c>
      <c r="AD5543">
        <v>-7.5322999999999807E-2</v>
      </c>
      <c r="AE5543">
        <v>-9.1139999999999305E-2</v>
      </c>
      <c r="AF5543">
        <v>8.0280267214698595E-2</v>
      </c>
      <c r="AG5543">
        <v>-7.5322999999999807E-2</v>
      </c>
      <c r="AH5543">
        <v>0.60349458914088305</v>
      </c>
      <c r="AI5543">
        <v>97.052880226724596</v>
      </c>
      <c r="AJ5543">
        <v>82.422677682334694</v>
      </c>
      <c r="AK5543">
        <v>0.61345268338755099</v>
      </c>
      <c r="AL5543">
        <v>82.334462601060494</v>
      </c>
      <c r="AM5543">
        <v>83.584391619503094</v>
      </c>
      <c r="AN5543">
        <v>1.0000000087138099</v>
      </c>
    </row>
    <row r="5544" spans="1:40" x14ac:dyDescent="0.25">
      <c r="A5544" t="str">
        <f>"20190312172520483"</f>
        <v>20190312172520483</v>
      </c>
      <c r="B5544" t="str">
        <f>"1552382720476319"</f>
        <v>1552382720476319</v>
      </c>
      <c r="C5544" t="s">
        <v>40</v>
      </c>
      <c r="D5544">
        <v>3.9370470000000002</v>
      </c>
      <c r="E5544">
        <v>0.4978804</v>
      </c>
      <c r="F5544" t="s">
        <v>41</v>
      </c>
      <c r="G5544">
        <v>-338.47309999999999</v>
      </c>
      <c r="H5544">
        <v>1.024653</v>
      </c>
      <c r="I5544">
        <v>16.859939999999899</v>
      </c>
      <c r="J5544">
        <v>-339.17919999999998</v>
      </c>
      <c r="K5544">
        <v>1.11019</v>
      </c>
      <c r="L5544">
        <v>16.962250000000001</v>
      </c>
      <c r="M5544">
        <v>0.99979059999999997</v>
      </c>
      <c r="N5544">
        <v>0</v>
      </c>
      <c r="O5544">
        <v>-1.594506E-2</v>
      </c>
      <c r="P5544">
        <v>0.98444589999999998</v>
      </c>
      <c r="Q5544">
        <v>0.121785199999999</v>
      </c>
      <c r="R5544">
        <v>-0.12662960000000001</v>
      </c>
      <c r="S5544">
        <v>3.0366209999999998</v>
      </c>
      <c r="T5544">
        <v>-0.30223420000000001</v>
      </c>
      <c r="U5544">
        <v>-0.37002560000000001</v>
      </c>
      <c r="V5544">
        <v>0.1109883</v>
      </c>
      <c r="W5544">
        <v>0.13437399999999999</v>
      </c>
      <c r="X5544">
        <v>0.98469549999999995</v>
      </c>
      <c r="Y5544">
        <v>0.1046832</v>
      </c>
      <c r="Z5544">
        <v>-3.6006940000000002E-3</v>
      </c>
      <c r="AA5544">
        <v>0.99449909999999997</v>
      </c>
      <c r="AB5544">
        <v>28</v>
      </c>
      <c r="AC5544">
        <v>0.70609999999999196</v>
      </c>
      <c r="AD5544">
        <v>-8.5536999999999905E-2</v>
      </c>
      <c r="AE5544">
        <v>-0.102310000000002</v>
      </c>
      <c r="AF5544">
        <v>8.9747305727903307E-2</v>
      </c>
      <c r="AG5544">
        <v>-8.5536999999999905E-2</v>
      </c>
      <c r="AH5544">
        <v>0.697614763490226</v>
      </c>
      <c r="AI5544">
        <v>96.933765156300694</v>
      </c>
      <c r="AJ5544">
        <v>82.669232129434704</v>
      </c>
      <c r="AK5544">
        <v>0.70854605742600896</v>
      </c>
      <c r="AL5544">
        <v>82.277577098945002</v>
      </c>
      <c r="AM5544">
        <v>83.569143918103904</v>
      </c>
      <c r="AN5544">
        <v>1.00000000116656</v>
      </c>
    </row>
    <row r="5545" spans="1:40" x14ac:dyDescent="0.25">
      <c r="A5545" t="str">
        <f>"20190312172520492"</f>
        <v>20190312172520492</v>
      </c>
      <c r="B5545" t="str">
        <f>"1552382720486079"</f>
        <v>1552382720486079</v>
      </c>
      <c r="C5545" t="s">
        <v>40</v>
      </c>
      <c r="D5545">
        <v>3.9400650000000002</v>
      </c>
      <c r="E5545">
        <v>0.49739699999999998</v>
      </c>
      <c r="F5545" t="s">
        <v>41</v>
      </c>
      <c r="G5545">
        <v>-338.22460000000001</v>
      </c>
      <c r="H5545">
        <v>1.0159</v>
      </c>
      <c r="I5545">
        <v>16.846910000000001</v>
      </c>
      <c r="J5545">
        <v>-339.03930000000003</v>
      </c>
      <c r="K5545">
        <v>1.1102080000000001</v>
      </c>
      <c r="L5545">
        <v>16.959869999999999</v>
      </c>
      <c r="M5545">
        <v>0.99978730000000005</v>
      </c>
      <c r="N5545">
        <v>0</v>
      </c>
      <c r="O5545">
        <v>-1.6078530000000001E-2</v>
      </c>
      <c r="P5545">
        <v>0.98429889999999998</v>
      </c>
      <c r="Q5545">
        <v>0.1228431</v>
      </c>
      <c r="R5545">
        <v>-0.12674859999999999</v>
      </c>
      <c r="S5545">
        <v>3.0374150000000002</v>
      </c>
      <c r="T5545">
        <v>-0.29998029999999998</v>
      </c>
      <c r="U5545">
        <v>-0.3662415</v>
      </c>
      <c r="V5545">
        <v>0.1109784</v>
      </c>
      <c r="W5545">
        <v>0.1355141</v>
      </c>
      <c r="X5545">
        <v>0.98454030000000003</v>
      </c>
      <c r="Y5545">
        <v>0.1033118</v>
      </c>
      <c r="Z5545">
        <v>-3.4928979999999999E-3</v>
      </c>
      <c r="AA5545">
        <v>0.9946429</v>
      </c>
      <c r="AB5545">
        <v>28</v>
      </c>
      <c r="AC5545">
        <v>0.81470000000001597</v>
      </c>
      <c r="AD5545">
        <v>-9.4308000000000003E-2</v>
      </c>
      <c r="AE5545">
        <v>-0.112960000000001</v>
      </c>
      <c r="AF5545">
        <v>9.8549478891739997E-2</v>
      </c>
      <c r="AG5545">
        <v>-9.4308000000000003E-2</v>
      </c>
      <c r="AH5545">
        <v>0.80581685059346797</v>
      </c>
      <c r="AI5545">
        <v>96.626264618675606</v>
      </c>
      <c r="AJ5545">
        <v>83.027487192600105</v>
      </c>
      <c r="AK5545">
        <v>0.81728012049370702</v>
      </c>
      <c r="AL5545">
        <v>82.2116506832987</v>
      </c>
      <c r="AM5545">
        <v>83.568707577473305</v>
      </c>
      <c r="AN5545">
        <v>0.99999993944472798</v>
      </c>
    </row>
    <row r="5546" spans="1:40" x14ac:dyDescent="0.25">
      <c r="A5546" t="str">
        <f>"20190312172520513"</f>
        <v>20190312172520513</v>
      </c>
      <c r="B5546" t="str">
        <f>"1552382720505598"</f>
        <v>1552382720505598</v>
      </c>
      <c r="C5546" t="s">
        <v>40</v>
      </c>
      <c r="D5546">
        <v>3.9479440000000001</v>
      </c>
      <c r="E5546">
        <v>0.49674160000000001</v>
      </c>
      <c r="F5546" t="s">
        <v>41</v>
      </c>
      <c r="G5546">
        <v>-338.21769999999998</v>
      </c>
      <c r="H5546">
        <v>1.0294589999999999</v>
      </c>
      <c r="I5546">
        <v>16.861519999999999</v>
      </c>
      <c r="J5546">
        <v>-338.798</v>
      </c>
      <c r="K5546">
        <v>1.110239</v>
      </c>
      <c r="L5546">
        <v>16.955719999999999</v>
      </c>
      <c r="M5546">
        <v>0.9997819</v>
      </c>
      <c r="N5546">
        <v>0</v>
      </c>
      <c r="O5546">
        <v>-1.6308420000000001E-2</v>
      </c>
      <c r="P5546">
        <v>0.98378889999999997</v>
      </c>
      <c r="Q5546">
        <v>0.12575999999999901</v>
      </c>
      <c r="R5546">
        <v>-0.12784509999999999</v>
      </c>
      <c r="S5546">
        <v>3.0383909999999998</v>
      </c>
      <c r="T5546">
        <v>-0.2986046</v>
      </c>
      <c r="U5546">
        <v>-0.3628845</v>
      </c>
      <c r="V5546">
        <v>0.1118575</v>
      </c>
      <c r="W5546">
        <v>0.13855970000000001</v>
      </c>
      <c r="X5546">
        <v>0.98401680000000002</v>
      </c>
      <c r="Y5546">
        <v>0.1019731</v>
      </c>
      <c r="Z5546">
        <v>-3.3882320000000001E-3</v>
      </c>
      <c r="AA5546">
        <v>0.99478140000000004</v>
      </c>
      <c r="AB5546">
        <v>28</v>
      </c>
      <c r="AC5546">
        <v>0.58030000000002202</v>
      </c>
      <c r="AD5546">
        <v>-8.0779999999999796E-2</v>
      </c>
      <c r="AE5546">
        <v>-9.4199999999997105E-2</v>
      </c>
      <c r="AF5546">
        <v>8.3152944105630996E-2</v>
      </c>
      <c r="AG5546">
        <v>-8.0779999999999796E-2</v>
      </c>
      <c r="AH5546">
        <v>0.57097899669223995</v>
      </c>
      <c r="AI5546">
        <v>97.969581721741804</v>
      </c>
      <c r="AJ5546">
        <v>81.714137824637703</v>
      </c>
      <c r="AK5546">
        <v>0.58262924332469901</v>
      </c>
      <c r="AL5546">
        <v>82.035488950023804</v>
      </c>
      <c r="AM5546">
        <v>83.514775887647701</v>
      </c>
      <c r="AN5546">
        <v>0.99999997672628904</v>
      </c>
    </row>
    <row r="5547" spans="1:40" x14ac:dyDescent="0.25">
      <c r="A5547" t="str">
        <f>"20190312172520535"</f>
        <v>20190312172520535</v>
      </c>
      <c r="B5547" t="str">
        <f>"1552382720526094"</f>
        <v>1552382720526094</v>
      </c>
      <c r="C5547" t="s">
        <v>40</v>
      </c>
      <c r="D5547">
        <v>3.9803250000000001</v>
      </c>
      <c r="E5547">
        <v>0.49640400000000001</v>
      </c>
      <c r="F5547" t="s">
        <v>41</v>
      </c>
      <c r="G5547">
        <v>-337.96480000000003</v>
      </c>
      <c r="H5547">
        <v>1.030267</v>
      </c>
      <c r="I5547">
        <v>16.856249999999999</v>
      </c>
      <c r="J5547">
        <v>-338.50850000000003</v>
      </c>
      <c r="K5547">
        <v>1.1102719999999999</v>
      </c>
      <c r="L5547">
        <v>16.95065</v>
      </c>
      <c r="M5547">
        <v>0.99977550000000004</v>
      </c>
      <c r="N5547">
        <v>0</v>
      </c>
      <c r="O5547">
        <v>-1.6584040000000001E-2</v>
      </c>
      <c r="P5547">
        <v>0.98316740000000002</v>
      </c>
      <c r="Q5547">
        <v>0.12913350000000001</v>
      </c>
      <c r="R5547">
        <v>-0.1292548</v>
      </c>
      <c r="S5547">
        <v>3.0397639999999999</v>
      </c>
      <c r="T5547">
        <v>-0.2917458</v>
      </c>
      <c r="U5547">
        <v>-0.36151119999999998</v>
      </c>
      <c r="V5547">
        <v>0.11300739999999899</v>
      </c>
      <c r="W5547">
        <v>0.1420671</v>
      </c>
      <c r="X5547">
        <v>0.98338510000000001</v>
      </c>
      <c r="Y5547">
        <v>0.1012262</v>
      </c>
      <c r="Z5547">
        <v>-3.2474420000000001E-3</v>
      </c>
      <c r="AA5547">
        <v>0.99485809999999997</v>
      </c>
      <c r="AB5547">
        <v>28</v>
      </c>
      <c r="AC5547">
        <v>0.54370000000000096</v>
      </c>
      <c r="AD5547">
        <v>-8.0004999999999798E-2</v>
      </c>
      <c r="AE5547">
        <v>-9.4400000000000206E-2</v>
      </c>
      <c r="AF5547">
        <v>8.3612027672895203E-2</v>
      </c>
      <c r="AG5547">
        <v>-8.0004999999999798E-2</v>
      </c>
      <c r="AH5547">
        <v>0.53396729932769404</v>
      </c>
      <c r="AI5547">
        <v>98.420204547458496</v>
      </c>
      <c r="AJ5547">
        <v>81.100525759350404</v>
      </c>
      <c r="AK5547">
        <v>0.54636329300922404</v>
      </c>
      <c r="AL5547">
        <v>81.832521833320499</v>
      </c>
      <c r="AM5547">
        <v>83.444512391616897</v>
      </c>
      <c r="AN5547">
        <v>0.99999999412958995</v>
      </c>
    </row>
    <row r="5548" spans="1:40" x14ac:dyDescent="0.25">
      <c r="A5548" t="str">
        <f>"20190312172520547"</f>
        <v>20190312172520547</v>
      </c>
      <c r="B5548" t="str">
        <f>"1552382720535855"</f>
        <v>1552382720535855</v>
      </c>
      <c r="C5548" t="s">
        <v>40</v>
      </c>
      <c r="D5548">
        <v>4.0009670000000002</v>
      </c>
      <c r="E5548">
        <v>0.49632569999999998</v>
      </c>
      <c r="F5548" t="s">
        <v>41</v>
      </c>
      <c r="G5548">
        <v>-337.7099</v>
      </c>
      <c r="H5548">
        <v>1.035452</v>
      </c>
      <c r="I5548">
        <v>16.854759999999999</v>
      </c>
      <c r="J5548">
        <v>-338.35419999999999</v>
      </c>
      <c r="K5548">
        <v>1.110279</v>
      </c>
      <c r="L5548">
        <v>16.947939999999999</v>
      </c>
      <c r="M5548">
        <v>0.99977199999999999</v>
      </c>
      <c r="N5548">
        <v>0</v>
      </c>
      <c r="O5548">
        <v>-1.6730519999999999E-2</v>
      </c>
      <c r="P5548">
        <v>0.98294870000000001</v>
      </c>
      <c r="Q5548">
        <v>0.13035949999999999</v>
      </c>
      <c r="R5548">
        <v>-0.12968540000000001</v>
      </c>
      <c r="S5548">
        <v>3.0408629999999999</v>
      </c>
      <c r="T5548">
        <v>-0.28482990000000002</v>
      </c>
      <c r="U5548">
        <v>-0.36434939999999999</v>
      </c>
      <c r="V5548">
        <v>0.11329790000000001</v>
      </c>
      <c r="W5548">
        <v>0.14335829999999999</v>
      </c>
      <c r="X5548">
        <v>0.98316429999999999</v>
      </c>
      <c r="Y5548">
        <v>0.1019694</v>
      </c>
      <c r="Z5548">
        <v>-3.1904630000000002E-3</v>
      </c>
      <c r="AA5548">
        <v>0.99478239999999996</v>
      </c>
      <c r="AB5548">
        <v>28</v>
      </c>
      <c r="AC5548">
        <v>0.64429999999998699</v>
      </c>
      <c r="AD5548">
        <v>-7.4826999999999894E-2</v>
      </c>
      <c r="AE5548">
        <v>-9.3180000000000193E-2</v>
      </c>
      <c r="AF5548">
        <v>8.13122794422972E-2</v>
      </c>
      <c r="AG5548">
        <v>-7.4826999999999894E-2</v>
      </c>
      <c r="AH5548">
        <v>0.63734859075629302</v>
      </c>
      <c r="AI5548">
        <v>96.642721407791697</v>
      </c>
      <c r="AJ5548">
        <v>82.7295390875679</v>
      </c>
      <c r="AK5548">
        <v>0.64685701113625904</v>
      </c>
      <c r="AL5548">
        <v>81.757776720331904</v>
      </c>
      <c r="AM5548">
        <v>83.426344842170195</v>
      </c>
      <c r="AN5548">
        <v>1.0000000285588899</v>
      </c>
    </row>
    <row r="5549" spans="1:40" x14ac:dyDescent="0.25">
      <c r="A5549" t="str">
        <f>"20190312172520558"</f>
        <v>20190312172520558</v>
      </c>
      <c r="B5549" t="str">
        <f>"1552382720545614"</f>
        <v>1552382720545614</v>
      </c>
      <c r="C5549" t="s">
        <v>40</v>
      </c>
      <c r="D5549">
        <v>3.9957440000000002</v>
      </c>
      <c r="E5549">
        <v>0.49627719999999997</v>
      </c>
      <c r="F5549" t="s">
        <v>41</v>
      </c>
      <c r="G5549">
        <v>-337.46199999999999</v>
      </c>
      <c r="H5549">
        <v>1.0272110000000001</v>
      </c>
      <c r="I5549">
        <v>16.840409999999999</v>
      </c>
      <c r="J5549">
        <v>-338.21190000000001</v>
      </c>
      <c r="K5549">
        <v>1.1102829999999999</v>
      </c>
      <c r="L5549">
        <v>16.945429999999899</v>
      </c>
      <c r="M5549">
        <v>0.99976900000000002</v>
      </c>
      <c r="N5549">
        <v>0</v>
      </c>
      <c r="O5549">
        <v>-1.686586E-2</v>
      </c>
      <c r="P5549">
        <v>0.98280339999999999</v>
      </c>
      <c r="Q5549">
        <v>0.1308049</v>
      </c>
      <c r="R5549">
        <v>-0.1303376</v>
      </c>
      <c r="S5549">
        <v>3.041382</v>
      </c>
      <c r="T5549">
        <v>-0.28317710000000001</v>
      </c>
      <c r="U5549">
        <v>-0.36535640000000003</v>
      </c>
      <c r="V5549">
        <v>0.11381910000000001</v>
      </c>
      <c r="W5549">
        <v>0.1438604</v>
      </c>
      <c r="X5549">
        <v>0.98303070000000004</v>
      </c>
      <c r="Y5549">
        <v>0.1021436</v>
      </c>
      <c r="Z5549">
        <v>-3.166973E-3</v>
      </c>
      <c r="AA5549">
        <v>0.9947646</v>
      </c>
      <c r="AB5549">
        <v>28</v>
      </c>
      <c r="AC5549">
        <v>0.74990000000002499</v>
      </c>
      <c r="AD5549">
        <v>-8.3071999999999799E-2</v>
      </c>
      <c r="AE5549">
        <v>-0.10501999999999601</v>
      </c>
      <c r="AF5549">
        <v>9.1257885941472702E-2</v>
      </c>
      <c r="AG5549">
        <v>-8.3071999999999799E-2</v>
      </c>
      <c r="AH5549">
        <v>0.742626774562959</v>
      </c>
      <c r="AI5549">
        <v>96.335443932755098</v>
      </c>
      <c r="AJ5549">
        <v>82.994316000719905</v>
      </c>
      <c r="AK5549">
        <v>0.75281039128607397</v>
      </c>
      <c r="AL5549">
        <v>81.728706781266297</v>
      </c>
      <c r="AM5549">
        <v>83.395481252771503</v>
      </c>
      <c r="AN5549">
        <v>0.99999997967772902</v>
      </c>
    </row>
    <row r="5550" spans="1:40" x14ac:dyDescent="0.25">
      <c r="A5550" t="str">
        <f>"20190312172520570"</f>
        <v>20190312172520570</v>
      </c>
      <c r="B5550" t="str">
        <f>"1552382720566110"</f>
        <v>1552382720566110</v>
      </c>
      <c r="C5550" t="s">
        <v>40</v>
      </c>
      <c r="D5550">
        <v>4.1632769999999999</v>
      </c>
      <c r="E5550">
        <v>0.49624950000000001</v>
      </c>
      <c r="F5550" t="s">
        <v>41</v>
      </c>
      <c r="G5550">
        <v>-337.45569999999998</v>
      </c>
      <c r="H5550">
        <v>1.0398609999999999</v>
      </c>
      <c r="I5550">
        <v>16.853860000000001</v>
      </c>
      <c r="J5550">
        <v>-338.08170000000001</v>
      </c>
      <c r="K5550">
        <v>1.1102860000000001</v>
      </c>
      <c r="L5550">
        <v>16.943079999999998</v>
      </c>
      <c r="M5550">
        <v>0.99976620000000005</v>
      </c>
      <c r="N5550">
        <v>0</v>
      </c>
      <c r="O5550">
        <v>-1.6989690000000002E-2</v>
      </c>
      <c r="P5550">
        <v>0.9826954</v>
      </c>
      <c r="Q5550">
        <v>0.13100419999999999</v>
      </c>
      <c r="R5550">
        <v>-0.1309488</v>
      </c>
      <c r="S5550">
        <v>3.041534</v>
      </c>
      <c r="T5550">
        <v>-0.28319420000000001</v>
      </c>
      <c r="U5550">
        <v>-0.36685180000000001</v>
      </c>
      <c r="V5550">
        <v>0.11431040000000001</v>
      </c>
      <c r="W5550">
        <v>0.1441067</v>
      </c>
      <c r="X5550">
        <v>0.98293759999999997</v>
      </c>
      <c r="Y5550">
        <v>0.10249560000000001</v>
      </c>
      <c r="Z5550">
        <v>-3.1717519999999999E-3</v>
      </c>
      <c r="AA5550">
        <v>0.99472839999999996</v>
      </c>
      <c r="AB5550">
        <v>28</v>
      </c>
      <c r="AC5550">
        <v>0.62600000000003297</v>
      </c>
      <c r="AD5550">
        <v>-7.0424999999999904E-2</v>
      </c>
      <c r="AE5550">
        <v>-8.9219999999997399E-2</v>
      </c>
      <c r="AF5550">
        <v>7.7607951882682699E-2</v>
      </c>
      <c r="AG5550">
        <v>-7.0424999999999904E-2</v>
      </c>
      <c r="AH5550">
        <v>0.61973817931133002</v>
      </c>
      <c r="AI5550">
        <v>96.433272296245505</v>
      </c>
      <c r="AJ5550">
        <v>82.862178061563498</v>
      </c>
      <c r="AK5550">
        <v>0.628536463315015</v>
      </c>
      <c r="AL5550">
        <v>81.7144461310575</v>
      </c>
      <c r="AM5550">
        <v>83.366603702861198</v>
      </c>
      <c r="AN5550">
        <v>0.99999996701340399</v>
      </c>
    </row>
    <row r="5551" spans="1:40" x14ac:dyDescent="0.25">
      <c r="A5551" t="str">
        <f>"20190312172520582"</f>
        <v>20190312172520582</v>
      </c>
      <c r="B5551" t="str">
        <f>"1552382720575871"</f>
        <v>1552382720575871</v>
      </c>
      <c r="C5551" t="s">
        <v>40</v>
      </c>
      <c r="D5551">
        <v>4.2169629999999998</v>
      </c>
      <c r="E5551">
        <v>0.50397599999999998</v>
      </c>
      <c r="F5551" t="s">
        <v>41</v>
      </c>
      <c r="G5551">
        <v>-337.20960000000002</v>
      </c>
      <c r="H5551">
        <v>1.028837</v>
      </c>
      <c r="I5551">
        <v>16.83727</v>
      </c>
      <c r="J5551">
        <v>-337.92140000000001</v>
      </c>
      <c r="K5551">
        <v>1.1102879999999999</v>
      </c>
      <c r="L5551">
        <v>16.94022</v>
      </c>
      <c r="M5551">
        <v>0.9997627</v>
      </c>
      <c r="N5551">
        <v>0</v>
      </c>
      <c r="O5551">
        <v>-1.7142190000000002E-2</v>
      </c>
      <c r="P5551">
        <v>0.98255879999999995</v>
      </c>
      <c r="Q5551">
        <v>0.13120589999999999</v>
      </c>
      <c r="R5551">
        <v>-0.13177030000000001</v>
      </c>
      <c r="S5551">
        <v>3.041687</v>
      </c>
      <c r="T5551">
        <v>-0.28407100000000002</v>
      </c>
      <c r="U5551">
        <v>-0.36801149999999999</v>
      </c>
      <c r="V5551">
        <v>0.11498369999999999</v>
      </c>
      <c r="W5551">
        <v>0.1443644</v>
      </c>
      <c r="X5551">
        <v>0.98282130000000001</v>
      </c>
      <c r="Y5551">
        <v>0.1027092</v>
      </c>
      <c r="Z5551">
        <v>-3.1770650000000002E-3</v>
      </c>
      <c r="AA5551">
        <v>0.99470630000000004</v>
      </c>
      <c r="AB5551">
        <v>28</v>
      </c>
      <c r="AC5551">
        <v>0.711799999999982</v>
      </c>
      <c r="AD5551">
        <v>-8.1450999999999898E-2</v>
      </c>
      <c r="AE5551">
        <v>-0.102949999999999</v>
      </c>
      <c r="AF5551">
        <v>8.9582980040772101E-2</v>
      </c>
      <c r="AG5551">
        <v>-8.1450999999999898E-2</v>
      </c>
      <c r="AH5551">
        <v>0.70442549279851097</v>
      </c>
      <c r="AI5551">
        <v>96.543443381334995</v>
      </c>
      <c r="AJ5551">
        <v>82.752502219623807</v>
      </c>
      <c r="AK5551">
        <v>0.71475495844268999</v>
      </c>
      <c r="AL5551">
        <v>81.699525422085401</v>
      </c>
      <c r="AM5551">
        <v>83.327101156642399</v>
      </c>
      <c r="AN5551">
        <v>1.00000001949336</v>
      </c>
    </row>
    <row r="5552" spans="1:40" x14ac:dyDescent="0.25">
      <c r="A5552" t="str">
        <f>"20190312172520593"</f>
        <v>20190312172520593</v>
      </c>
      <c r="B5552" t="str">
        <f>"1552382720585630"</f>
        <v>1552382720585630</v>
      </c>
      <c r="C5552" t="s">
        <v>40</v>
      </c>
      <c r="D5552">
        <v>4.0209099999999998</v>
      </c>
      <c r="E5552">
        <v>0.50397599999999998</v>
      </c>
      <c r="F5552" t="s">
        <v>41</v>
      </c>
      <c r="G5552">
        <v>-336.9744</v>
      </c>
      <c r="H5552">
        <v>0.99632379999999998</v>
      </c>
      <c r="I5552">
        <v>16.805599999999998</v>
      </c>
      <c r="J5552">
        <v>-337.7722</v>
      </c>
      <c r="K5552">
        <v>1.1102879999999999</v>
      </c>
      <c r="L5552">
        <v>16.9375</v>
      </c>
      <c r="M5552">
        <v>0.99975970000000003</v>
      </c>
      <c r="N5552">
        <v>0</v>
      </c>
      <c r="O5552">
        <v>-1.728449E-2</v>
      </c>
      <c r="P5552">
        <v>0.98242649999999998</v>
      </c>
      <c r="Q5552">
        <v>0.1312808</v>
      </c>
      <c r="R5552">
        <v>-0.13267970000000001</v>
      </c>
      <c r="S5552">
        <v>3.0442200000000001</v>
      </c>
      <c r="T5552">
        <v>-0.36627530000000003</v>
      </c>
      <c r="U5552">
        <v>-0.43173220000000001</v>
      </c>
      <c r="V5552">
        <v>0.1157551</v>
      </c>
      <c r="W5552">
        <v>0.14448520000000001</v>
      </c>
      <c r="X5552">
        <v>0.98271299999999995</v>
      </c>
      <c r="Y5552">
        <v>0.1225357</v>
      </c>
      <c r="Z5552">
        <v>-5.2475330000000004E-3</v>
      </c>
      <c r="AA5552">
        <v>0.99245019999999995</v>
      </c>
      <c r="AB5552">
        <v>28</v>
      </c>
      <c r="AC5552">
        <v>0.79779999999999496</v>
      </c>
      <c r="AD5552">
        <v>-0.113964199999999</v>
      </c>
      <c r="AE5552">
        <v>-0.13190000000000099</v>
      </c>
      <c r="AF5552">
        <v>0.115789584359002</v>
      </c>
      <c r="AG5552">
        <v>-0.113964199999999</v>
      </c>
      <c r="AH5552">
        <v>0.78438094319541396</v>
      </c>
      <c r="AI5552">
        <v>98.179346223774303</v>
      </c>
      <c r="AJ5552">
        <v>81.602696229899806</v>
      </c>
      <c r="AK5552">
        <v>0.80102966909834195</v>
      </c>
      <c r="AL5552">
        <v>81.692530831982495</v>
      </c>
      <c r="AM5552">
        <v>83.282008395795501</v>
      </c>
      <c r="AN5552">
        <v>1.0000000282820201</v>
      </c>
    </row>
    <row r="5553" spans="1:40" x14ac:dyDescent="0.25">
      <c r="A5553" t="str">
        <f>"20190312172520605"</f>
        <v>20190312172520605</v>
      </c>
      <c r="B5553" t="str">
        <f>"1552382720596366"</f>
        <v>1552382720596366</v>
      </c>
      <c r="C5553" t="s">
        <v>40</v>
      </c>
      <c r="D5553">
        <v>4.3028320000000004</v>
      </c>
      <c r="E5553">
        <v>0.49575150000000001</v>
      </c>
      <c r="F5553" t="s">
        <v>41</v>
      </c>
      <c r="G5553">
        <v>-336.96600000000001</v>
      </c>
      <c r="H5553">
        <v>1.0133299999999901</v>
      </c>
      <c r="I5553">
        <v>16.82226</v>
      </c>
      <c r="J5553">
        <v>-337.63490000000002</v>
      </c>
      <c r="K5553">
        <v>1.110287</v>
      </c>
      <c r="L5553">
        <v>16.93497</v>
      </c>
      <c r="M5553">
        <v>0.99975700000000001</v>
      </c>
      <c r="N5553">
        <v>0</v>
      </c>
      <c r="O5553">
        <v>-1.7415190000000001E-2</v>
      </c>
      <c r="P5553">
        <v>0.98227059999999999</v>
      </c>
      <c r="Q5553">
        <v>0.13131950000000001</v>
      </c>
      <c r="R5553">
        <v>-0.13379160000000001</v>
      </c>
      <c r="S5553">
        <v>3.044006</v>
      </c>
      <c r="T5553">
        <v>-0.36603279999999999</v>
      </c>
      <c r="U5553">
        <v>-0.43396000000000001</v>
      </c>
      <c r="V5553">
        <v>0.11674080000000001</v>
      </c>
      <c r="W5553">
        <v>0.144563</v>
      </c>
      <c r="X5553">
        <v>0.98258489999999998</v>
      </c>
      <c r="Y5553">
        <v>0.12312529999999999</v>
      </c>
      <c r="Z5553">
        <v>-5.2637559999999996E-3</v>
      </c>
      <c r="AA5553">
        <v>0.99237719999999896</v>
      </c>
      <c r="AB5553">
        <v>28</v>
      </c>
      <c r="AC5553">
        <v>0.66890000000000704</v>
      </c>
      <c r="AD5553">
        <v>-9.6957000000000099E-2</v>
      </c>
      <c r="AE5553">
        <v>-0.11270999999999901</v>
      </c>
      <c r="AF5553">
        <v>9.9019803972952597E-2</v>
      </c>
      <c r="AG5553">
        <v>-9.6957000000000099E-2</v>
      </c>
      <c r="AH5553">
        <v>0.65733202162166504</v>
      </c>
      <c r="AI5553">
        <v>98.298372005812794</v>
      </c>
      <c r="AJ5553">
        <v>81.433434325558693</v>
      </c>
      <c r="AK5553">
        <v>0.67178193491420002</v>
      </c>
      <c r="AL5553">
        <v>81.688025524992199</v>
      </c>
      <c r="AM5553">
        <v>83.224456552609098</v>
      </c>
      <c r="AN5553">
        <v>0.99999998053082395</v>
      </c>
    </row>
    <row r="5554" spans="1:40" x14ac:dyDescent="0.25">
      <c r="A5554" t="str">
        <f>"20190312172520615"</f>
        <v>20190312172520615</v>
      </c>
      <c r="B5554" t="str">
        <f>"1552382720606127"</f>
        <v>1552382720606127</v>
      </c>
      <c r="C5554" t="s">
        <v>40</v>
      </c>
      <c r="D5554">
        <v>4.0490440000000003</v>
      </c>
      <c r="E5554">
        <v>0.4956411</v>
      </c>
      <c r="F5554" t="s">
        <v>41</v>
      </c>
      <c r="G5554">
        <v>-336.71449999999999</v>
      </c>
      <c r="H5554">
        <v>1.01407</v>
      </c>
      <c r="I5554">
        <v>16.82254</v>
      </c>
      <c r="J5554">
        <v>-337.48930000000001</v>
      </c>
      <c r="K5554">
        <v>1.1102860000000001</v>
      </c>
      <c r="L5554">
        <v>16.932279999999999</v>
      </c>
      <c r="M5554">
        <v>0.99975389999999997</v>
      </c>
      <c r="N5554">
        <v>0</v>
      </c>
      <c r="O5554">
        <v>-1.75541E-2</v>
      </c>
      <c r="P5554">
        <v>0.98211009999999999</v>
      </c>
      <c r="Q5554">
        <v>0.130943899999999</v>
      </c>
      <c r="R5554">
        <v>-0.13532659999999999</v>
      </c>
      <c r="S5554">
        <v>3.0460509999999998</v>
      </c>
      <c r="T5554">
        <v>-0.31839410000000001</v>
      </c>
      <c r="U5554">
        <v>-0.37167359999999999</v>
      </c>
      <c r="V5554">
        <v>0.11814139999999999</v>
      </c>
      <c r="W5554">
        <v>0.14422570000000001</v>
      </c>
      <c r="X5554">
        <v>0.98246710000000004</v>
      </c>
      <c r="Y5554">
        <v>0.1032151</v>
      </c>
      <c r="Z5554">
        <v>-3.537208E-3</v>
      </c>
      <c r="AA5554">
        <v>0.99465269999999995</v>
      </c>
      <c r="AB5554">
        <v>28</v>
      </c>
      <c r="AC5554">
        <v>0.77480000000002702</v>
      </c>
      <c r="AD5554">
        <v>-9.6215999999999996E-2</v>
      </c>
      <c r="AE5554">
        <v>-0.10973999999999801</v>
      </c>
      <c r="AF5554">
        <v>9.4689421555940997E-2</v>
      </c>
      <c r="AG5554">
        <v>-9.6215999999999996E-2</v>
      </c>
      <c r="AH5554">
        <v>0.765041396420168</v>
      </c>
      <c r="AI5554">
        <v>97.114487123460904</v>
      </c>
      <c r="AJ5554">
        <v>82.944365432369494</v>
      </c>
      <c r="AK5554">
        <v>0.77686031141198097</v>
      </c>
      <c r="AL5554">
        <v>81.707556420273505</v>
      </c>
      <c r="AM5554">
        <v>83.143121848195506</v>
      </c>
      <c r="AN5554">
        <v>1.00000002275842</v>
      </c>
    </row>
    <row r="5555" spans="1:40" x14ac:dyDescent="0.25">
      <c r="A5555" t="str">
        <f>"20190312172520627"</f>
        <v>20190312172520627</v>
      </c>
      <c r="B5555" t="str">
        <f>"1552382720615887"</f>
        <v>1552382720615887</v>
      </c>
      <c r="C5555" t="s">
        <v>40</v>
      </c>
      <c r="D5555">
        <v>4.0159079999999996</v>
      </c>
      <c r="E5555">
        <v>0.49553900000000001</v>
      </c>
      <c r="F5555" t="s">
        <v>41</v>
      </c>
      <c r="G5555">
        <v>-336.70679999999999</v>
      </c>
      <c r="H5555">
        <v>1.0294920000000001</v>
      </c>
      <c r="I5555">
        <v>16.835709999999999</v>
      </c>
      <c r="J5555">
        <v>-337.35700000000003</v>
      </c>
      <c r="K5555">
        <v>1.110285</v>
      </c>
      <c r="L5555">
        <v>16.929839999999999</v>
      </c>
      <c r="M5555">
        <v>0.9997511</v>
      </c>
      <c r="N5555">
        <v>0</v>
      </c>
      <c r="O5555">
        <v>-1.768022E-2</v>
      </c>
      <c r="P5555">
        <v>0.98191150000000005</v>
      </c>
      <c r="Q5555">
        <v>0.1308742</v>
      </c>
      <c r="R5555">
        <v>-0.1368269</v>
      </c>
      <c r="S5555">
        <v>3.0448</v>
      </c>
      <c r="T5555">
        <v>-0.31430770000000002</v>
      </c>
      <c r="U5555">
        <v>-0.37527470000000002</v>
      </c>
      <c r="V5555">
        <v>0.11952069999999999</v>
      </c>
      <c r="W5555">
        <v>0.1441875</v>
      </c>
      <c r="X5555">
        <v>0.98230580000000001</v>
      </c>
      <c r="Y5555">
        <v>0.10430399999999999</v>
      </c>
      <c r="Z5555">
        <v>-3.536137E-3</v>
      </c>
      <c r="AA5555">
        <v>0.99453919999999996</v>
      </c>
      <c r="AB5555">
        <v>28</v>
      </c>
      <c r="AC5555">
        <v>0.65019999999998301</v>
      </c>
      <c r="AD5555">
        <v>-8.0792999999999796E-2</v>
      </c>
      <c r="AE5555">
        <v>-9.4129999999999797E-2</v>
      </c>
      <c r="AF5555">
        <v>8.13876934552311E-2</v>
      </c>
      <c r="AG5555">
        <v>-8.0792999999999796E-2</v>
      </c>
      <c r="AH5555">
        <v>0.64205281197271002</v>
      </c>
      <c r="AI5555">
        <v>97.115790792573904</v>
      </c>
      <c r="AJ5555">
        <v>82.775621308424505</v>
      </c>
      <c r="AK5555">
        <v>0.65221413573843001</v>
      </c>
      <c r="AL5555">
        <v>81.709767703828803</v>
      </c>
      <c r="AM5555">
        <v>83.062715407465504</v>
      </c>
      <c r="AN5555">
        <v>0.99999995879918901</v>
      </c>
    </row>
    <row r="5556" spans="1:40" x14ac:dyDescent="0.25">
      <c r="A5556" t="str">
        <f>"20190312172520638"</f>
        <v>20190312172520638</v>
      </c>
      <c r="B5556" t="str">
        <f>"1552382720625647"</f>
        <v>1552382720625647</v>
      </c>
      <c r="C5556" t="s">
        <v>40</v>
      </c>
      <c r="D5556">
        <v>4.0337719999999999</v>
      </c>
      <c r="E5556">
        <v>0.49553429999999998</v>
      </c>
      <c r="F5556" t="s">
        <v>41</v>
      </c>
      <c r="G5556">
        <v>-336.4622</v>
      </c>
      <c r="H5556">
        <v>1.017361</v>
      </c>
      <c r="I5556">
        <v>16.817900000000002</v>
      </c>
      <c r="J5556">
        <v>-337.21379999999999</v>
      </c>
      <c r="K5556">
        <v>1.1102860000000001</v>
      </c>
      <c r="L5556">
        <v>16.927150000000001</v>
      </c>
      <c r="M5556">
        <v>0.99974830000000003</v>
      </c>
      <c r="N5556">
        <v>0</v>
      </c>
      <c r="O5556">
        <v>-1.7816829999999999E-2</v>
      </c>
      <c r="P5556">
        <v>0.98169919999999999</v>
      </c>
      <c r="Q5556">
        <v>0.13048270000000001</v>
      </c>
      <c r="R5556">
        <v>-0.13871240000000001</v>
      </c>
      <c r="S5556">
        <v>3.0446170000000001</v>
      </c>
      <c r="T5556">
        <v>-0.31611600000000001</v>
      </c>
      <c r="U5556">
        <v>-0.37902829999999998</v>
      </c>
      <c r="V5556">
        <v>0.1212749</v>
      </c>
      <c r="W5556">
        <v>0.14382739999999999</v>
      </c>
      <c r="X5556">
        <v>0.98214360000000001</v>
      </c>
      <c r="Y5556">
        <v>0.1053728</v>
      </c>
      <c r="Z5556">
        <v>-3.5973670000000002E-3</v>
      </c>
      <c r="AA5556">
        <v>0.99442629999999999</v>
      </c>
      <c r="AB5556">
        <v>28</v>
      </c>
      <c r="AC5556">
        <v>0.75159999999999605</v>
      </c>
      <c r="AD5556">
        <v>-9.2925000000000105E-2</v>
      </c>
      <c r="AE5556">
        <v>-0.109249999999999</v>
      </c>
      <c r="AF5556">
        <v>9.4426747128588895E-2</v>
      </c>
      <c r="AG5556">
        <v>-9.2925000000000105E-2</v>
      </c>
      <c r="AH5556">
        <v>0.74231515793882397</v>
      </c>
      <c r="AI5556">
        <v>97.078864674733197</v>
      </c>
      <c r="AJ5556">
        <v>82.750582467829801</v>
      </c>
      <c r="AK5556">
        <v>0.75404460073925805</v>
      </c>
      <c r="AL5556">
        <v>81.730617470242294</v>
      </c>
      <c r="AM5556">
        <v>82.960760393881998</v>
      </c>
      <c r="AN5556">
        <v>0.99999998669086398</v>
      </c>
    </row>
    <row r="5557" spans="1:40" x14ac:dyDescent="0.25">
      <c r="A5557" t="str">
        <f>"20190312172520650"</f>
        <v>20190312172520650</v>
      </c>
      <c r="B5557" t="str">
        <f>"1552382720646143"</f>
        <v>1552382720646143</v>
      </c>
      <c r="C5557" t="s">
        <v>40</v>
      </c>
      <c r="D5557">
        <v>4.0466629999999997</v>
      </c>
      <c r="E5557">
        <v>0.49536039999999998</v>
      </c>
      <c r="F5557" t="s">
        <v>41</v>
      </c>
      <c r="G5557">
        <v>-336.4556</v>
      </c>
      <c r="H5557">
        <v>1.030289</v>
      </c>
      <c r="I5557">
        <v>16.830779999999901</v>
      </c>
      <c r="J5557">
        <v>-337.07749999999999</v>
      </c>
      <c r="K5557">
        <v>1.110287</v>
      </c>
      <c r="L5557">
        <v>16.924589999999998</v>
      </c>
      <c r="M5557">
        <v>0.99974549999999995</v>
      </c>
      <c r="N5557">
        <v>0</v>
      </c>
      <c r="O5557">
        <v>-1.7946730000000001E-2</v>
      </c>
      <c r="P5557">
        <v>0.98146599999999995</v>
      </c>
      <c r="Q5557">
        <v>0.1303136</v>
      </c>
      <c r="R5557">
        <v>-0.1405091</v>
      </c>
      <c r="S5557">
        <v>3.0442809999999998</v>
      </c>
      <c r="T5557">
        <v>-0.32114160000000003</v>
      </c>
      <c r="U5557">
        <v>-0.38479609999999997</v>
      </c>
      <c r="V5557">
        <v>0.1229475</v>
      </c>
      <c r="W5557">
        <v>0.1436849</v>
      </c>
      <c r="X5557">
        <v>0.98195650000000001</v>
      </c>
      <c r="Y5557">
        <v>0.1070884</v>
      </c>
      <c r="Z5557">
        <v>-3.7305039999999999E-3</v>
      </c>
      <c r="AA5557">
        <v>0.99424250000000003</v>
      </c>
      <c r="AB5557">
        <v>28</v>
      </c>
      <c r="AC5557">
        <v>0.62189999999998202</v>
      </c>
      <c r="AD5557">
        <v>-7.9998E-2</v>
      </c>
      <c r="AE5557">
        <v>-9.3810000000001198E-2</v>
      </c>
      <c r="AF5557">
        <v>8.1317161225342993E-2</v>
      </c>
      <c r="AG5557">
        <v>-7.9998E-2</v>
      </c>
      <c r="AH5557">
        <v>0.61355695330740301</v>
      </c>
      <c r="AI5557">
        <v>97.364861042603494</v>
      </c>
      <c r="AJ5557">
        <v>82.450359423768703</v>
      </c>
      <c r="AK5557">
        <v>0.62407074572167798</v>
      </c>
      <c r="AL5557">
        <v>81.7388679503388</v>
      </c>
      <c r="AM5557">
        <v>82.863325001387096</v>
      </c>
      <c r="AN5557">
        <v>1.0000000030682501</v>
      </c>
    </row>
    <row r="5558" spans="1:40" x14ac:dyDescent="0.25">
      <c r="A5558" t="str">
        <f>"20190312172520660"</f>
        <v>20190312172520660</v>
      </c>
      <c r="B5558" t="str">
        <f>"1552382720655903"</f>
        <v>1552382720655903</v>
      </c>
      <c r="C5558" t="s">
        <v>40</v>
      </c>
      <c r="D5558">
        <v>4.0482680000000002</v>
      </c>
      <c r="E5558">
        <v>0.49527710000000003</v>
      </c>
      <c r="F5558" t="s">
        <v>41</v>
      </c>
      <c r="G5558">
        <v>-336.2115</v>
      </c>
      <c r="H5558">
        <v>1.017946</v>
      </c>
      <c r="I5558">
        <v>16.81392</v>
      </c>
      <c r="J5558">
        <v>-336.93729999999999</v>
      </c>
      <c r="K5558">
        <v>1.1102890000000001</v>
      </c>
      <c r="L5558">
        <v>16.921939999999999</v>
      </c>
      <c r="M5558">
        <v>0.99974269999999998</v>
      </c>
      <c r="N5558">
        <v>0</v>
      </c>
      <c r="O5558">
        <v>-1.808044E-2</v>
      </c>
      <c r="P5558">
        <v>0.98114290000000004</v>
      </c>
      <c r="Q5558">
        <v>0.1305837</v>
      </c>
      <c r="R5558">
        <v>-0.14250209999999999</v>
      </c>
      <c r="S5558">
        <v>3.0440670000000001</v>
      </c>
      <c r="T5558">
        <v>-0.32452389999999998</v>
      </c>
      <c r="U5558">
        <v>-0.38909909999999998</v>
      </c>
      <c r="V5558">
        <v>0.1248142</v>
      </c>
      <c r="W5558">
        <v>0.14398029999999901</v>
      </c>
      <c r="X5558">
        <v>0.98167769999999999</v>
      </c>
      <c r="Y5558">
        <v>0.1083307</v>
      </c>
      <c r="Z5558">
        <v>-3.821128E-3</v>
      </c>
      <c r="AA5558">
        <v>0.99410750000000003</v>
      </c>
      <c r="AB5558">
        <v>28</v>
      </c>
      <c r="AC5558">
        <v>0.72579999999999201</v>
      </c>
      <c r="AD5558">
        <v>-9.23429999999998E-2</v>
      </c>
      <c r="AE5558">
        <v>-0.10801999999999901</v>
      </c>
      <c r="AF5558">
        <v>9.3399207443422005E-2</v>
      </c>
      <c r="AG5558">
        <v>-9.23429999999998E-2</v>
      </c>
      <c r="AH5558">
        <v>0.71629102016520096</v>
      </c>
      <c r="AI5558">
        <v>97.284956638359205</v>
      </c>
      <c r="AJ5558">
        <v>82.570955992813197</v>
      </c>
      <c r="AK5558">
        <v>0.728233113205767</v>
      </c>
      <c r="AL5558">
        <v>81.7217649899153</v>
      </c>
      <c r="AM5558">
        <v>82.754076647765302</v>
      </c>
      <c r="AN5558">
        <v>1.0000000089935099</v>
      </c>
    </row>
    <row r="5559" spans="1:40" x14ac:dyDescent="0.25">
      <c r="A5559" t="str">
        <f>"20190312172520672"</f>
        <v>20190312172520672</v>
      </c>
      <c r="B5559" t="str">
        <f>"1552382720665662"</f>
        <v>1552382720665662</v>
      </c>
      <c r="C5559" t="s">
        <v>40</v>
      </c>
      <c r="D5559">
        <v>4.0261610000000001</v>
      </c>
      <c r="E5559">
        <v>0.49526110000000001</v>
      </c>
      <c r="F5559" t="s">
        <v>41</v>
      </c>
      <c r="G5559">
        <v>-336.20440000000002</v>
      </c>
      <c r="H5559">
        <v>1.03194599999999</v>
      </c>
      <c r="I5559">
        <v>16.82695</v>
      </c>
      <c r="J5559">
        <v>-336.78949999999998</v>
      </c>
      <c r="K5559">
        <v>1.110293</v>
      </c>
      <c r="L5559">
        <v>16.9191</v>
      </c>
      <c r="M5559">
        <v>0.99973979999999996</v>
      </c>
      <c r="N5559">
        <v>0</v>
      </c>
      <c r="O5559">
        <v>-1.8221169999999998E-2</v>
      </c>
      <c r="P5559">
        <v>0.98079839999999996</v>
      </c>
      <c r="Q5559">
        <v>0.13093560000000001</v>
      </c>
      <c r="R5559">
        <v>-0.14453640000000001</v>
      </c>
      <c r="S5559">
        <v>3.0436399999999999</v>
      </c>
      <c r="T5559">
        <v>-0.32533099999999998</v>
      </c>
      <c r="U5559">
        <v>-0.39459230000000001</v>
      </c>
      <c r="V5559">
        <v>0.126716</v>
      </c>
      <c r="W5559">
        <v>0.14435490000000001</v>
      </c>
      <c r="X5559">
        <v>0.981379</v>
      </c>
      <c r="Y5559">
        <v>0.1099622</v>
      </c>
      <c r="Z5559">
        <v>-3.9023399999999998E-3</v>
      </c>
      <c r="AA5559">
        <v>0.99392809999999998</v>
      </c>
      <c r="AB5559">
        <v>28</v>
      </c>
      <c r="AC5559">
        <v>0.58509999999995399</v>
      </c>
      <c r="AD5559">
        <v>-7.8347000000000097E-2</v>
      </c>
      <c r="AE5559">
        <v>-9.2150000000000107E-2</v>
      </c>
      <c r="AF5559">
        <v>8.00715408547438E-2</v>
      </c>
      <c r="AG5559">
        <v>-7.8347000000000097E-2</v>
      </c>
      <c r="AH5559">
        <v>0.57659388572482095</v>
      </c>
      <c r="AI5559">
        <v>97.665232016307002</v>
      </c>
      <c r="AJ5559">
        <v>82.093904146566501</v>
      </c>
      <c r="AK5559">
        <v>0.58737570014352802</v>
      </c>
      <c r="AL5559">
        <v>81.700075428896696</v>
      </c>
      <c r="AM5559">
        <v>82.642656055238405</v>
      </c>
      <c r="AN5559">
        <v>1.0000000117254999</v>
      </c>
    </row>
    <row r="5560" spans="1:40" x14ac:dyDescent="0.25">
      <c r="A5560" t="str">
        <f>"20190312172520684"</f>
        <v>20190312172520684</v>
      </c>
      <c r="B5560" t="str">
        <f>"1552382720676399"</f>
        <v>1552382720676399</v>
      </c>
      <c r="C5560" t="s">
        <v>40</v>
      </c>
      <c r="D5560">
        <v>4.0589190000000004</v>
      </c>
      <c r="E5560">
        <v>0.49519370000000001</v>
      </c>
      <c r="F5560" t="s">
        <v>41</v>
      </c>
      <c r="G5560">
        <v>-335.95960000000002</v>
      </c>
      <c r="H5560">
        <v>1.021439</v>
      </c>
      <c r="I5560">
        <v>16.809809999999999</v>
      </c>
      <c r="J5560">
        <v>-336.64100000000002</v>
      </c>
      <c r="K5560">
        <v>1.1103000000000001</v>
      </c>
      <c r="L5560">
        <v>16.916229999999999</v>
      </c>
      <c r="M5560">
        <v>0.99973679999999998</v>
      </c>
      <c r="N5560">
        <v>0</v>
      </c>
      <c r="O5560">
        <v>-1.8362369999999999E-2</v>
      </c>
      <c r="P5560">
        <v>0.98040649999999996</v>
      </c>
      <c r="Q5560">
        <v>0.1313868</v>
      </c>
      <c r="R5560">
        <v>-0.14676879999999901</v>
      </c>
      <c r="S5560">
        <v>3.0432429999999999</v>
      </c>
      <c r="T5560">
        <v>-0.32585560000000002</v>
      </c>
      <c r="U5560">
        <v>-0.4005127</v>
      </c>
      <c r="V5560">
        <v>0.1288165</v>
      </c>
      <c r="W5560">
        <v>0.14482679999999901</v>
      </c>
      <c r="X5560">
        <v>0.98103589999999996</v>
      </c>
      <c r="Y5560">
        <v>0.1117286</v>
      </c>
      <c r="Z5560">
        <v>-3.987516E-3</v>
      </c>
      <c r="AA5560">
        <v>0.99373080000000003</v>
      </c>
      <c r="AB5560">
        <v>28</v>
      </c>
      <c r="AC5560">
        <v>0.68139999999993905</v>
      </c>
      <c r="AD5560">
        <v>-8.8860999999999996E-2</v>
      </c>
      <c r="AE5560">
        <v>-0.106419999999999</v>
      </c>
      <c r="AF5560">
        <v>9.2355494962971504E-2</v>
      </c>
      <c r="AG5560">
        <v>-8.8860999999999996E-2</v>
      </c>
      <c r="AH5560">
        <v>0.67208171416881901</v>
      </c>
      <c r="AI5560">
        <v>97.462493563866801</v>
      </c>
      <c r="AJ5560">
        <v>82.175587332481797</v>
      </c>
      <c r="AK5560">
        <v>0.68419269602280397</v>
      </c>
      <c r="AL5560">
        <v>81.672750013523597</v>
      </c>
      <c r="AM5560">
        <v>82.519481034315504</v>
      </c>
      <c r="AN5560">
        <v>0.99999996487964904</v>
      </c>
    </row>
    <row r="5561" spans="1:40" x14ac:dyDescent="0.25">
      <c r="A5561" t="str">
        <f>"20190312172520694"</f>
        <v>20190312172520694</v>
      </c>
      <c r="B5561" t="str">
        <f>"1552382720686160"</f>
        <v>1552382720686160</v>
      </c>
      <c r="C5561" t="s">
        <v>40</v>
      </c>
      <c r="D5561">
        <v>4.0143659999999999</v>
      </c>
      <c r="E5561">
        <v>0.49504290000000001</v>
      </c>
      <c r="F5561" t="s">
        <v>41</v>
      </c>
      <c r="G5561">
        <v>-335.71499999999997</v>
      </c>
      <c r="H5561">
        <v>1.011029</v>
      </c>
      <c r="I5561">
        <v>16.792449999999999</v>
      </c>
      <c r="J5561">
        <v>-336.49630000000002</v>
      </c>
      <c r="K5561">
        <v>1.110309</v>
      </c>
      <c r="L5561">
        <v>16.913419999999999</v>
      </c>
      <c r="M5561">
        <v>0.99973400000000001</v>
      </c>
      <c r="N5561">
        <v>0</v>
      </c>
      <c r="O5561">
        <v>-1.8499979999999999E-2</v>
      </c>
      <c r="P5561">
        <v>0.98001309999999997</v>
      </c>
      <c r="Q5561">
        <v>0.13200400000000001</v>
      </c>
      <c r="R5561">
        <v>-0.1488273</v>
      </c>
      <c r="S5561">
        <v>3.042786</v>
      </c>
      <c r="T5561">
        <v>-0.32619629999999999</v>
      </c>
      <c r="U5561">
        <v>-0.40698240000000002</v>
      </c>
      <c r="V5561">
        <v>0.1307468</v>
      </c>
      <c r="W5561">
        <v>0.1454618</v>
      </c>
      <c r="X5561">
        <v>0.98068650000000002</v>
      </c>
      <c r="Y5561">
        <v>0.1136761</v>
      </c>
      <c r="Z5561">
        <v>-4.0807100000000004E-3</v>
      </c>
      <c r="AA5561">
        <v>0.99350950000000005</v>
      </c>
      <c r="AB5561">
        <v>28</v>
      </c>
      <c r="AC5561">
        <v>0.78130000000004396</v>
      </c>
      <c r="AD5561">
        <v>-9.9279999999999799E-2</v>
      </c>
      <c r="AE5561">
        <v>-0.12097000000000301</v>
      </c>
      <c r="AF5561">
        <v>0.104840673307459</v>
      </c>
      <c r="AG5561">
        <v>-9.9279999999999799E-2</v>
      </c>
      <c r="AH5561">
        <v>0.77124282213890805</v>
      </c>
      <c r="AI5561">
        <v>97.269061549514404</v>
      </c>
      <c r="AJ5561">
        <v>82.258816220873797</v>
      </c>
      <c r="AK5561">
        <v>0.78464232353369001</v>
      </c>
      <c r="AL5561">
        <v>81.635977549803798</v>
      </c>
      <c r="AM5561">
        <v>82.406011033959999</v>
      </c>
      <c r="AN5561">
        <v>0.99999993612586202</v>
      </c>
    </row>
    <row r="5562" spans="1:40" x14ac:dyDescent="0.25">
      <c r="A5562" t="str">
        <f>"20190312172520705"</f>
        <v>20190312172520705</v>
      </c>
      <c r="B5562" t="str">
        <f>"1552382720695919"</f>
        <v>1552382720695919</v>
      </c>
      <c r="C5562" t="s">
        <v>40</v>
      </c>
      <c r="D5562">
        <v>4.07158</v>
      </c>
      <c r="E5562">
        <v>0.49498769999999997</v>
      </c>
      <c r="F5562" t="s">
        <v>41</v>
      </c>
      <c r="G5562">
        <v>-335.70749999999998</v>
      </c>
      <c r="H5562">
        <v>1.0261469999999999</v>
      </c>
      <c r="I5562">
        <v>16.806560000000001</v>
      </c>
      <c r="J5562">
        <v>-336.36689999999999</v>
      </c>
      <c r="K5562">
        <v>1.110317</v>
      </c>
      <c r="L5562">
        <v>16.910920000000001</v>
      </c>
      <c r="M5562">
        <v>0.99973140000000005</v>
      </c>
      <c r="N5562">
        <v>0</v>
      </c>
      <c r="O5562">
        <v>-1.8623009999999999E-2</v>
      </c>
      <c r="P5562">
        <v>0.97951670000000002</v>
      </c>
      <c r="Q5562">
        <v>0.1330221</v>
      </c>
      <c r="R5562">
        <v>-0.15116930000000001</v>
      </c>
      <c r="S5562">
        <v>3.042297</v>
      </c>
      <c r="T5562">
        <v>-0.32461770000000001</v>
      </c>
      <c r="U5562">
        <v>-0.41238399999999997</v>
      </c>
      <c r="V5562">
        <v>0.13297729999999999</v>
      </c>
      <c r="W5562">
        <v>0.14649209999999999</v>
      </c>
      <c r="X5562">
        <v>0.98023320000000003</v>
      </c>
      <c r="Y5562">
        <v>0.1153039</v>
      </c>
      <c r="Z5562">
        <v>-4.134436E-3</v>
      </c>
      <c r="AA5562">
        <v>0.99332169999999997</v>
      </c>
      <c r="AB5562">
        <v>28</v>
      </c>
      <c r="AC5562">
        <v>0.65940000000000498</v>
      </c>
      <c r="AD5562">
        <v>-8.4169999999999995E-2</v>
      </c>
      <c r="AE5562">
        <v>-0.104359999999999</v>
      </c>
      <c r="AF5562">
        <v>9.0620267337473095E-2</v>
      </c>
      <c r="AG5562">
        <v>-8.4169999999999995E-2</v>
      </c>
      <c r="AH5562">
        <v>0.65088322798504405</v>
      </c>
      <c r="AI5562">
        <v>97.2987727116397</v>
      </c>
      <c r="AJ5562">
        <v>82.073854204070798</v>
      </c>
      <c r="AK5562">
        <v>0.66252969610768897</v>
      </c>
      <c r="AL5562">
        <v>81.576307148772898</v>
      </c>
      <c r="AM5562">
        <v>82.274482312649397</v>
      </c>
      <c r="AN5562">
        <v>1.0000000120299699</v>
      </c>
    </row>
    <row r="5563" spans="1:40" x14ac:dyDescent="0.25">
      <c r="A5563" t="str">
        <f>"20190312172520718"</f>
        <v>20190312172520718</v>
      </c>
      <c r="B5563" t="str">
        <f>"1552382720705678"</f>
        <v>1552382720705678</v>
      </c>
      <c r="C5563" t="s">
        <v>40</v>
      </c>
      <c r="D5563">
        <v>4.128558</v>
      </c>
      <c r="E5563">
        <v>0.49498769999999997</v>
      </c>
      <c r="F5563" t="s">
        <v>41</v>
      </c>
      <c r="G5563">
        <v>-335.46379999999999</v>
      </c>
      <c r="H5563">
        <v>1.0146539999999999</v>
      </c>
      <c r="I5563">
        <v>16.78623</v>
      </c>
      <c r="J5563">
        <v>-336.21809999999999</v>
      </c>
      <c r="K5563">
        <v>1.1103259999999999</v>
      </c>
      <c r="L5563">
        <v>16.907989999999899</v>
      </c>
      <c r="M5563">
        <v>0.99972839999999996</v>
      </c>
      <c r="N5563">
        <v>0</v>
      </c>
      <c r="O5563">
        <v>-1.8764289999999999E-2</v>
      </c>
      <c r="P5563">
        <v>0.97895929999999998</v>
      </c>
      <c r="Q5563">
        <v>0.13434189999999999</v>
      </c>
      <c r="R5563">
        <v>-0.15359339999999999</v>
      </c>
      <c r="S5563">
        <v>3.0417179999999999</v>
      </c>
      <c r="T5563">
        <v>-0.3221637</v>
      </c>
      <c r="U5563">
        <v>-0.41943359999999902</v>
      </c>
      <c r="V5563">
        <v>0.13527320000000001</v>
      </c>
      <c r="W5563">
        <v>0.14782490000000001</v>
      </c>
      <c r="X5563">
        <v>0.9797188</v>
      </c>
      <c r="Y5563">
        <v>0.11744549999999999</v>
      </c>
      <c r="Z5563">
        <v>-4.2012239999999999E-3</v>
      </c>
      <c r="AA5563">
        <v>0.99307040000000002</v>
      </c>
      <c r="AB5563">
        <v>28</v>
      </c>
      <c r="AC5563">
        <v>0.75429999999999997</v>
      </c>
      <c r="AD5563">
        <v>-9.5671999999999702E-2</v>
      </c>
      <c r="AE5563">
        <v>-0.12175999999999799</v>
      </c>
      <c r="AF5563">
        <v>0.105922573819123</v>
      </c>
      <c r="AG5563">
        <v>-9.5671999999999702E-2</v>
      </c>
      <c r="AH5563">
        <v>0.74477502201268297</v>
      </c>
      <c r="AI5563">
        <v>97.247843657357905</v>
      </c>
      <c r="AJ5563">
        <v>81.905625781733306</v>
      </c>
      <c r="AK5563">
        <v>0.758328791911833</v>
      </c>
      <c r="AL5563">
        <v>81.499102553667498</v>
      </c>
      <c r="AM5563">
        <v>82.138676789125896</v>
      </c>
      <c r="AN5563">
        <v>0.99999998338584395</v>
      </c>
    </row>
    <row r="5564" spans="1:40" x14ac:dyDescent="0.25">
      <c r="A5564" t="str">
        <f>"20190312172520737"</f>
        <v>20190312172520737</v>
      </c>
      <c r="B5564" t="str">
        <f>"1552382720726175"</f>
        <v>1552382720726175</v>
      </c>
      <c r="C5564" t="s">
        <v>40</v>
      </c>
      <c r="D5564">
        <v>4.1002660000000004</v>
      </c>
      <c r="E5564">
        <v>0.49177860000000001</v>
      </c>
      <c r="F5564" t="s">
        <v>41</v>
      </c>
      <c r="G5564">
        <v>-335.45580000000001</v>
      </c>
      <c r="H5564">
        <v>1.030594</v>
      </c>
      <c r="I5564">
        <v>16.800750000000001</v>
      </c>
      <c r="J5564">
        <v>-335.97109999999998</v>
      </c>
      <c r="K5564">
        <v>1.1103479999999999</v>
      </c>
      <c r="L5564">
        <v>16.903079999999999</v>
      </c>
      <c r="M5564">
        <v>0.99972360000000005</v>
      </c>
      <c r="N5564">
        <v>0</v>
      </c>
      <c r="O5564">
        <v>-1.8998850000000001E-2</v>
      </c>
      <c r="P5564">
        <v>0.97780440000000002</v>
      </c>
      <c r="Q5564">
        <v>0.1370827</v>
      </c>
      <c r="R5564">
        <v>-0.15845190000000001</v>
      </c>
      <c r="S5564">
        <v>3.0411069999999998</v>
      </c>
      <c r="T5564">
        <v>-0.31807269999999999</v>
      </c>
      <c r="U5564">
        <v>-0.42718509999999998</v>
      </c>
      <c r="V5564">
        <v>0.13992360000000001</v>
      </c>
      <c r="W5564">
        <v>0.150579399999999</v>
      </c>
      <c r="X5564">
        <v>0.9786456</v>
      </c>
      <c r="Y5564">
        <v>0.119725</v>
      </c>
      <c r="Z5564">
        <v>-4.2422479999999997E-3</v>
      </c>
      <c r="AA5564">
        <v>0.99279799999999996</v>
      </c>
      <c r="AB5564">
        <v>28</v>
      </c>
      <c r="AC5564">
        <v>0.51529999999996701</v>
      </c>
      <c r="AD5564">
        <v>-7.9753999999999797E-2</v>
      </c>
      <c r="AE5564">
        <v>-0.10232999999999801</v>
      </c>
      <c r="AF5564">
        <v>9.0436324862044795E-2</v>
      </c>
      <c r="AG5564">
        <v>-7.9753999999999797E-2</v>
      </c>
      <c r="AH5564">
        <v>0.50550174362400901</v>
      </c>
      <c r="AI5564">
        <v>98.827859958498195</v>
      </c>
      <c r="AJ5564">
        <v>79.856858816793704</v>
      </c>
      <c r="AK5564">
        <v>0.51968398299107399</v>
      </c>
      <c r="AL5564">
        <v>81.339494793377099</v>
      </c>
      <c r="AM5564">
        <v>81.8631799568481</v>
      </c>
      <c r="AN5564">
        <v>0.99999998997034001</v>
      </c>
    </row>
    <row r="5565" spans="1:40" x14ac:dyDescent="0.25">
      <c r="A5565" t="str">
        <f>"20190312172520753"</f>
        <v>20190312172520753</v>
      </c>
      <c r="B5565" t="str">
        <f>"1552382720745695"</f>
        <v>1552382720745695</v>
      </c>
      <c r="C5565" t="s">
        <v>40</v>
      </c>
      <c r="D5565">
        <v>4.0739320000000001</v>
      </c>
      <c r="E5565">
        <v>0.49161690000000002</v>
      </c>
      <c r="F5565" t="s">
        <v>41</v>
      </c>
      <c r="G5565">
        <v>-335.20830000000001</v>
      </c>
      <c r="H5565">
        <v>1.02705</v>
      </c>
      <c r="I5565">
        <v>16.798439999999999</v>
      </c>
      <c r="J5565">
        <v>-335.78980000000001</v>
      </c>
      <c r="K5565">
        <v>1.110357</v>
      </c>
      <c r="L5565">
        <v>16.89941</v>
      </c>
      <c r="M5565">
        <v>0.99972019999999995</v>
      </c>
      <c r="N5565">
        <v>0</v>
      </c>
      <c r="O5565">
        <v>-1.9169789999999999E-2</v>
      </c>
      <c r="P5565">
        <v>0.9771744</v>
      </c>
      <c r="Q5565">
        <v>0.13886370000000001</v>
      </c>
      <c r="R5565">
        <v>-0.16077179999999999</v>
      </c>
      <c r="S5565">
        <v>3.0470280000000001</v>
      </c>
      <c r="T5565">
        <v>-0.33270429999999901</v>
      </c>
      <c r="U5565">
        <v>-0.41763309999999998</v>
      </c>
      <c r="V5565">
        <v>0.14208789999999999</v>
      </c>
      <c r="W5565">
        <v>0.15237100000000001</v>
      </c>
      <c r="X5565">
        <v>0.97805629999999999</v>
      </c>
      <c r="Y5565">
        <v>0.11620809999999999</v>
      </c>
      <c r="Z5565">
        <v>-4.2196500000000001E-3</v>
      </c>
      <c r="AA5565">
        <v>0.99321590000000004</v>
      </c>
      <c r="AB5565">
        <v>28</v>
      </c>
      <c r="AC5565">
        <v>0.58150000000000501</v>
      </c>
      <c r="AD5565">
        <v>-8.3307000000000006E-2</v>
      </c>
      <c r="AE5565">
        <v>-0.10097</v>
      </c>
      <c r="AF5565">
        <v>8.80489067197891E-2</v>
      </c>
      <c r="AG5565">
        <v>-8.3307000000000006E-2</v>
      </c>
      <c r="AH5565">
        <v>0.57193402199440602</v>
      </c>
      <c r="AI5565">
        <v>98.192153590059803</v>
      </c>
      <c r="AJ5565">
        <v>81.248058330405001</v>
      </c>
      <c r="AK5565">
        <v>0.58463765850161298</v>
      </c>
      <c r="AL5565">
        <v>81.235645518222697</v>
      </c>
      <c r="AM5565">
        <v>81.734137256478704</v>
      </c>
      <c r="AN5565">
        <v>1.0000000094685499</v>
      </c>
    </row>
    <row r="5566" spans="1:40" x14ac:dyDescent="0.25">
      <c r="A5566" t="str">
        <f>"20190312172520768"</f>
        <v>20190312172520768</v>
      </c>
      <c r="B5566" t="str">
        <f>"1552382720756430"</f>
        <v>1552382720756430</v>
      </c>
      <c r="C5566" t="s">
        <v>40</v>
      </c>
      <c r="D5566">
        <v>4.0366530000000003</v>
      </c>
      <c r="E5566">
        <v>0.49121140000000002</v>
      </c>
      <c r="F5566" t="s">
        <v>41</v>
      </c>
      <c r="G5566">
        <v>-334.96179999999998</v>
      </c>
      <c r="H5566">
        <v>1.0225660000000001</v>
      </c>
      <c r="I5566">
        <v>16.78379</v>
      </c>
      <c r="J5566">
        <v>-335.5976</v>
      </c>
      <c r="K5566">
        <v>1.110371</v>
      </c>
      <c r="L5566">
        <v>16.895510000000002</v>
      </c>
      <c r="M5566">
        <v>0.99971639999999995</v>
      </c>
      <c r="N5566">
        <v>0</v>
      </c>
      <c r="O5566">
        <v>-1.9348460000000001E-2</v>
      </c>
      <c r="P5566">
        <v>0.9760527</v>
      </c>
      <c r="Q5566">
        <v>0.1415901</v>
      </c>
      <c r="R5566">
        <v>-0.16514699999999999</v>
      </c>
      <c r="S5566">
        <v>3.046265</v>
      </c>
      <c r="T5566">
        <v>-0.32295839999999998</v>
      </c>
      <c r="U5566">
        <v>-0.42376710000000001</v>
      </c>
      <c r="V5566">
        <v>0.14630969999999999</v>
      </c>
      <c r="W5566">
        <v>0.15510090000000001</v>
      </c>
      <c r="X5566">
        <v>0.97700419999999999</v>
      </c>
      <c r="Y5566">
        <v>0.1180498</v>
      </c>
      <c r="Z5566">
        <v>-4.175298E-3</v>
      </c>
      <c r="AA5566">
        <v>0.99299890000000002</v>
      </c>
      <c r="AB5566">
        <v>28</v>
      </c>
      <c r="AC5566">
        <v>0.63580000000001702</v>
      </c>
      <c r="AD5566">
        <v>-8.7804999999999897E-2</v>
      </c>
      <c r="AE5566">
        <v>-0.111720000000001</v>
      </c>
      <c r="AF5566">
        <v>9.75906384045854E-2</v>
      </c>
      <c r="AG5566">
        <v>-8.7804999999999897E-2</v>
      </c>
      <c r="AH5566">
        <v>0.626256513953938</v>
      </c>
      <c r="AI5566">
        <v>97.887222285312902</v>
      </c>
      <c r="AJ5566">
        <v>81.142736089355793</v>
      </c>
      <c r="AK5566">
        <v>0.63986785510678201</v>
      </c>
      <c r="AL5566">
        <v>81.077351942394998</v>
      </c>
      <c r="AM5566">
        <v>81.483053162602104</v>
      </c>
      <c r="AN5566">
        <v>1.00000001215627</v>
      </c>
    </row>
    <row r="5567" spans="1:40" x14ac:dyDescent="0.25">
      <c r="A5567" t="str">
        <f>"20190312172520778"</f>
        <v>20190312172520778</v>
      </c>
      <c r="B5567" t="str">
        <f>"1552382720775951"</f>
        <v>1552382720775951</v>
      </c>
      <c r="C5567" t="s">
        <v>40</v>
      </c>
      <c r="D5567">
        <v>4.1658739999999996</v>
      </c>
      <c r="E5567">
        <v>0.49141639999999998</v>
      </c>
      <c r="F5567" t="s">
        <v>41</v>
      </c>
      <c r="G5567">
        <v>-334.7149</v>
      </c>
      <c r="H5567">
        <v>1.0190699999999999</v>
      </c>
      <c r="I5567">
        <v>16.769600000000001</v>
      </c>
      <c r="J5567">
        <v>-335.45530000000002</v>
      </c>
      <c r="K5567">
        <v>1.1103809999999901</v>
      </c>
      <c r="L5567">
        <v>16.892610000000001</v>
      </c>
      <c r="M5567">
        <v>0.99971359999999998</v>
      </c>
      <c r="N5567">
        <v>0</v>
      </c>
      <c r="O5567">
        <v>-1.947869E-2</v>
      </c>
      <c r="P5567">
        <v>0.97550179999999997</v>
      </c>
      <c r="Q5567">
        <v>0.14277770000000001</v>
      </c>
      <c r="R5567">
        <v>-0.16736489999999901</v>
      </c>
      <c r="S5567">
        <v>3.0458069999999999</v>
      </c>
      <c r="T5567">
        <v>-0.31503999999999999</v>
      </c>
      <c r="U5567">
        <v>-0.43438719999999997</v>
      </c>
      <c r="V5567">
        <v>0.14841009999999999</v>
      </c>
      <c r="W5567">
        <v>0.15629399999999999</v>
      </c>
      <c r="X5567">
        <v>0.97649710000000001</v>
      </c>
      <c r="Y5567">
        <v>0.12134499999999999</v>
      </c>
      <c r="Z5567">
        <v>-4.22887E-3</v>
      </c>
      <c r="AA5567">
        <v>0.99260139999999997</v>
      </c>
      <c r="AB5567">
        <v>28</v>
      </c>
      <c r="AC5567">
        <v>0.74040000000002204</v>
      </c>
      <c r="AD5567">
        <v>-9.1310999999999698E-2</v>
      </c>
      <c r="AE5567">
        <v>-0.12300999999999999</v>
      </c>
      <c r="AF5567">
        <v>0.106979842568331</v>
      </c>
      <c r="AG5567">
        <v>-9.1310999999999698E-2</v>
      </c>
      <c r="AH5567">
        <v>0.731824144950452</v>
      </c>
      <c r="AI5567">
        <v>97.038100913233095</v>
      </c>
      <c r="AJ5567">
        <v>81.683269945661806</v>
      </c>
      <c r="AK5567">
        <v>0.74521739416723598</v>
      </c>
      <c r="AL5567">
        <v>81.008148094230606</v>
      </c>
      <c r="AM5567">
        <v>81.358198704246902</v>
      </c>
      <c r="AN5567">
        <v>0.99999997926320905</v>
      </c>
    </row>
    <row r="5568" spans="1:40" x14ac:dyDescent="0.25">
      <c r="A5568" t="str">
        <f>"20190312172520791"</f>
        <v>20190312172520791</v>
      </c>
      <c r="B5568" t="str">
        <f>"1552382720785711"</f>
        <v>1552382720785711</v>
      </c>
      <c r="C5568" t="s">
        <v>40</v>
      </c>
      <c r="D5568">
        <v>4.1335220000000001</v>
      </c>
      <c r="E5568">
        <v>0.51259200000000005</v>
      </c>
      <c r="F5568" t="s">
        <v>41</v>
      </c>
      <c r="G5568">
        <v>-334.70760000000001</v>
      </c>
      <c r="H5568">
        <v>1.0337229999999999</v>
      </c>
      <c r="I5568">
        <v>16.78389</v>
      </c>
      <c r="J5568">
        <v>-335.31540000000001</v>
      </c>
      <c r="K5568">
        <v>1.110395</v>
      </c>
      <c r="L5568">
        <v>16.889769999999999</v>
      </c>
      <c r="M5568">
        <v>0.99971120000000002</v>
      </c>
      <c r="N5568">
        <v>0</v>
      </c>
      <c r="O5568">
        <v>-1.9601839999999999E-2</v>
      </c>
      <c r="P5568">
        <v>0.97501610000000005</v>
      </c>
      <c r="Q5568">
        <v>0.14345539999999901</v>
      </c>
      <c r="R5568">
        <v>-0.169600799999999</v>
      </c>
      <c r="S5568">
        <v>3.045105</v>
      </c>
      <c r="T5568">
        <v>-0.3122393</v>
      </c>
      <c r="U5568">
        <v>-0.44271850000000001</v>
      </c>
      <c r="V5568">
        <v>0.15053329999999901</v>
      </c>
      <c r="W5568">
        <v>0.15697739999999999</v>
      </c>
      <c r="X5568">
        <v>0.9760624</v>
      </c>
      <c r="Y5568">
        <v>0.1239117</v>
      </c>
      <c r="Z5568">
        <v>-4.3096749999999998E-3</v>
      </c>
      <c r="AA5568">
        <v>0.9922839</v>
      </c>
      <c r="AB5568">
        <v>28</v>
      </c>
      <c r="AC5568">
        <v>0.60779999999999701</v>
      </c>
      <c r="AD5568">
        <v>-7.6672000000000004E-2</v>
      </c>
      <c r="AE5568">
        <v>-0.105880000000002</v>
      </c>
      <c r="AF5568">
        <v>9.2515660937540004E-2</v>
      </c>
      <c r="AG5568">
        <v>-7.6672000000000004E-2</v>
      </c>
      <c r="AH5568">
        <v>0.60048475920677202</v>
      </c>
      <c r="AI5568">
        <v>97.192396046947906</v>
      </c>
      <c r="AJ5568">
        <v>81.241404879910107</v>
      </c>
      <c r="AK5568">
        <v>0.612388511602173</v>
      </c>
      <c r="AL5568">
        <v>80.968502923592098</v>
      </c>
      <c r="AM5568">
        <v>81.232630161119801</v>
      </c>
      <c r="AN5568">
        <v>0.999999993606705</v>
      </c>
    </row>
    <row r="5569" spans="1:40" x14ac:dyDescent="0.25">
      <c r="A5569" t="str">
        <f>"20190312172520802"</f>
        <v>20190312172520802</v>
      </c>
      <c r="B5569" t="str">
        <f>"1552382720796446"</f>
        <v>1552382720796446</v>
      </c>
      <c r="C5569" t="s">
        <v>40</v>
      </c>
      <c r="D5569">
        <v>4.1523760000000003</v>
      </c>
      <c r="E5569">
        <v>0.5188391</v>
      </c>
      <c r="F5569" t="s">
        <v>41</v>
      </c>
      <c r="G5569">
        <v>-334.45580000000001</v>
      </c>
      <c r="H5569">
        <v>1.0302450000000001</v>
      </c>
      <c r="I5569">
        <v>16.713889999999999</v>
      </c>
      <c r="J5569">
        <v>-335.1782</v>
      </c>
      <c r="K5569">
        <v>1.110417</v>
      </c>
      <c r="L5569">
        <v>16.88693</v>
      </c>
      <c r="M5569">
        <v>0.99970870000000001</v>
      </c>
      <c r="N5569">
        <v>0</v>
      </c>
      <c r="O5569">
        <v>-1.9720919999999999E-2</v>
      </c>
      <c r="P5569">
        <v>0.97450789999999998</v>
      </c>
      <c r="Q5569">
        <v>0.14442749999999999</v>
      </c>
      <c r="R5569">
        <v>-0.171684</v>
      </c>
      <c r="S5569">
        <v>3.011139</v>
      </c>
      <c r="T5569">
        <v>-0.28078760000000003</v>
      </c>
      <c r="U5569">
        <v>-0.615448</v>
      </c>
      <c r="V5569">
        <v>0.15250849999999999</v>
      </c>
      <c r="W5569">
        <v>0.15795399999999901</v>
      </c>
      <c r="X5569">
        <v>0.97559810000000002</v>
      </c>
      <c r="Y5569">
        <v>0.1802204</v>
      </c>
      <c r="Z5569">
        <v>-6.483796E-3</v>
      </c>
      <c r="AA5569">
        <v>0.9836049</v>
      </c>
      <c r="AB5569">
        <v>28</v>
      </c>
      <c r="AC5569">
        <v>0.72239999999999305</v>
      </c>
      <c r="AD5569">
        <v>-8.0171999999999896E-2</v>
      </c>
      <c r="AE5569">
        <v>-0.17304</v>
      </c>
      <c r="AF5569">
        <v>0.156930604910577</v>
      </c>
      <c r="AG5569">
        <v>-8.0171999999999896E-2</v>
      </c>
      <c r="AH5569">
        <v>0.71731684644367699</v>
      </c>
      <c r="AI5569">
        <v>96.231108342570707</v>
      </c>
      <c r="AJ5569">
        <v>77.6595753355016</v>
      </c>
      <c r="AK5569">
        <v>0.73864620931370195</v>
      </c>
      <c r="AL5569">
        <v>80.911840855675806</v>
      </c>
      <c r="AM5569">
        <v>81.115253499665997</v>
      </c>
      <c r="AN5569">
        <v>0.99999998070592899</v>
      </c>
    </row>
    <row r="5570" spans="1:40" x14ac:dyDescent="0.25">
      <c r="A5570" t="str">
        <f>"20190312172520814"</f>
        <v>20190312172520814</v>
      </c>
      <c r="B5570" t="str">
        <f>"1552382720806207"</f>
        <v>1552382720806207</v>
      </c>
      <c r="C5570" t="s">
        <v>40</v>
      </c>
      <c r="D5570">
        <v>4.1251499999999997</v>
      </c>
      <c r="E5570">
        <v>0.52153579999999999</v>
      </c>
      <c r="F5570" t="s">
        <v>43</v>
      </c>
      <c r="G5570">
        <v>-322.9119</v>
      </c>
      <c r="H5570" s="1">
        <v>-4.3013619999999901E-6</v>
      </c>
      <c r="I5570">
        <v>14.14622</v>
      </c>
      <c r="J5570">
        <v>-335.02109999999999</v>
      </c>
      <c r="K5570">
        <v>1.1104350000000001</v>
      </c>
      <c r="L5570">
        <v>16.883700000000001</v>
      </c>
      <c r="M5570">
        <v>0.99970590000000004</v>
      </c>
      <c r="N5570">
        <v>0</v>
      </c>
      <c r="O5570">
        <v>-1.9847569999999998E-2</v>
      </c>
      <c r="P5570">
        <v>0.97395640000000006</v>
      </c>
      <c r="Q5570">
        <v>0.14523800000000001</v>
      </c>
      <c r="R5570">
        <v>-0.17411270000000001</v>
      </c>
      <c r="S5570">
        <v>3.00061</v>
      </c>
      <c r="T5570">
        <v>-0.27163409999999999</v>
      </c>
      <c r="U5570">
        <v>-0.670440699999999</v>
      </c>
      <c r="V5570">
        <v>0.15482109999999999</v>
      </c>
      <c r="W5570">
        <v>0.15877040000000001</v>
      </c>
      <c r="X5570">
        <v>0.9751012</v>
      </c>
      <c r="Y5570">
        <v>0.19795019999999999</v>
      </c>
      <c r="Z5570">
        <v>-7.0628469999999997E-3</v>
      </c>
      <c r="AA5570">
        <v>0.98018660000000002</v>
      </c>
      <c r="AB5570">
        <v>28</v>
      </c>
      <c r="AC5570">
        <v>12.1091999999999</v>
      </c>
      <c r="AD5570">
        <v>-1.110439301362</v>
      </c>
      <c r="AE5570">
        <v>-2.7374800000000001</v>
      </c>
      <c r="AF5570">
        <v>2.47676399772473</v>
      </c>
      <c r="AG5570">
        <v>-1.110439301362</v>
      </c>
      <c r="AH5570">
        <v>12.064629847722699</v>
      </c>
      <c r="AI5570">
        <v>95.151892804353906</v>
      </c>
      <c r="AJ5570">
        <v>78.398855492180502</v>
      </c>
      <c r="AK5570">
        <v>12.3661929754066</v>
      </c>
      <c r="AL5570">
        <v>80.8644667775784</v>
      </c>
      <c r="AM5570">
        <v>80.978205500604204</v>
      </c>
      <c r="AN5570">
        <v>0.99999998158140402</v>
      </c>
    </row>
    <row r="5571" spans="1:40" x14ac:dyDescent="0.25">
      <c r="A5571" t="str">
        <f>"20190312172520824"</f>
        <v>20190312172520824</v>
      </c>
      <c r="B5571" t="str">
        <f>"1552382720815966"</f>
        <v>1552382720815966</v>
      </c>
      <c r="C5571" t="s">
        <v>40</v>
      </c>
      <c r="D5571">
        <v>4.1347250000000004</v>
      </c>
      <c r="E5571">
        <v>0.52336720000000003</v>
      </c>
      <c r="F5571" t="s">
        <v>43</v>
      </c>
      <c r="G5571">
        <v>-322.61810000000003</v>
      </c>
      <c r="H5571" s="1">
        <v>-4.4683580000000004E-6</v>
      </c>
      <c r="I5571">
        <v>13.98765</v>
      </c>
      <c r="J5571">
        <v>-334.892</v>
      </c>
      <c r="K5571">
        <v>1.110447</v>
      </c>
      <c r="L5571">
        <v>16.88101</v>
      </c>
      <c r="M5571">
        <v>0.99970380000000003</v>
      </c>
      <c r="N5571">
        <v>0</v>
      </c>
      <c r="O5571">
        <v>-1.9948469999999999E-2</v>
      </c>
      <c r="P5571">
        <v>0.97331679999999998</v>
      </c>
      <c r="Q5571">
        <v>0.1466026</v>
      </c>
      <c r="R5571">
        <v>-0.17652770000000001</v>
      </c>
      <c r="S5571">
        <v>2.995209</v>
      </c>
      <c r="T5571">
        <v>-0.26816259999999997</v>
      </c>
      <c r="U5571">
        <v>-0.69937130000000003</v>
      </c>
      <c r="V5571">
        <v>0.1571477</v>
      </c>
      <c r="W5571">
        <v>0.16013649999999999</v>
      </c>
      <c r="X5571">
        <v>0.97450550000000002</v>
      </c>
      <c r="Y5571">
        <v>0.20719789999999999</v>
      </c>
      <c r="Z5571">
        <v>-7.3766329999999996E-3</v>
      </c>
      <c r="AA5571">
        <v>0.97827120000000001</v>
      </c>
      <c r="AB5571">
        <v>28</v>
      </c>
      <c r="AC5571">
        <v>12.2738999999999</v>
      </c>
      <c r="AD5571">
        <v>-1.110451468358</v>
      </c>
      <c r="AE5571">
        <v>-2.8933599999999902</v>
      </c>
      <c r="AF5571">
        <v>2.6275398732186499</v>
      </c>
      <c r="AG5571">
        <v>-1.110451468358</v>
      </c>
      <c r="AH5571">
        <v>12.2343113691581</v>
      </c>
      <c r="AI5571">
        <v>95.071245769879994</v>
      </c>
      <c r="AJ5571">
        <v>77.878819981595996</v>
      </c>
      <c r="AK5571">
        <v>12.5624616587054</v>
      </c>
      <c r="AL5571">
        <v>80.785181059744303</v>
      </c>
      <c r="AM5571">
        <v>80.839406834524993</v>
      </c>
      <c r="AN5571">
        <v>1.0000000338888899</v>
      </c>
    </row>
    <row r="5572" spans="1:40" x14ac:dyDescent="0.25">
      <c r="A5572" t="str">
        <f>"20190312172520836"</f>
        <v>20190312172520836</v>
      </c>
      <c r="B5572" t="str">
        <f>"1552382720825727"</f>
        <v>1552382720825727</v>
      </c>
      <c r="C5572" t="s">
        <v>40</v>
      </c>
      <c r="D5572">
        <v>4.1085440000000002</v>
      </c>
      <c r="E5572">
        <v>0.52448890000000004</v>
      </c>
      <c r="F5572" t="s">
        <v>43</v>
      </c>
      <c r="G5572">
        <v>-322.24610000000001</v>
      </c>
      <c r="H5572" s="1">
        <v>-4.671928E-6</v>
      </c>
      <c r="I5572">
        <v>13.83136</v>
      </c>
      <c r="J5572">
        <v>-334.74950000000001</v>
      </c>
      <c r="K5572">
        <v>1.110457</v>
      </c>
      <c r="L5572">
        <v>16.878050000000002</v>
      </c>
      <c r="M5572">
        <v>0.99970159999999997</v>
      </c>
      <c r="N5572">
        <v>0</v>
      </c>
      <c r="O5572">
        <v>-2.0053390000000001E-2</v>
      </c>
      <c r="P5572">
        <v>0.97267210000000004</v>
      </c>
      <c r="Q5572">
        <v>0.1478624</v>
      </c>
      <c r="R5572">
        <v>-0.17901339999999999</v>
      </c>
      <c r="S5572">
        <v>2.991028</v>
      </c>
      <c r="T5572">
        <v>-0.26264720000000003</v>
      </c>
      <c r="U5572">
        <v>-0.72131350000000005</v>
      </c>
      <c r="V5572">
        <v>0.159540299999999</v>
      </c>
      <c r="W5572">
        <v>0.16139870000000001</v>
      </c>
      <c r="X5572">
        <v>0.97390829999999995</v>
      </c>
      <c r="Y5572">
        <v>0.2141895</v>
      </c>
      <c r="Z5572">
        <v>-7.5223130000000001E-3</v>
      </c>
      <c r="AA5572">
        <v>0.97676320000000005</v>
      </c>
      <c r="AB5572">
        <v>28</v>
      </c>
      <c r="AC5572">
        <v>12.503399999999999</v>
      </c>
      <c r="AD5572">
        <v>-1.110461671928</v>
      </c>
      <c r="AE5572">
        <v>-3.0466899999999999</v>
      </c>
      <c r="AF5572">
        <v>2.7746581961888301</v>
      </c>
      <c r="AG5572">
        <v>-1.110461671928</v>
      </c>
      <c r="AH5572">
        <v>12.469146980167499</v>
      </c>
      <c r="AI5572">
        <v>94.968262355243098</v>
      </c>
      <c r="AJ5572">
        <v>77.454831426096007</v>
      </c>
      <c r="AK5572">
        <v>12.822303991230299</v>
      </c>
      <c r="AL5572">
        <v>80.711909022411106</v>
      </c>
      <c r="AM5572">
        <v>80.696751460227006</v>
      </c>
      <c r="AN5572">
        <v>1.00000001224733</v>
      </c>
    </row>
    <row r="5573" spans="1:40" x14ac:dyDescent="0.25">
      <c r="A5573" t="str">
        <f>"20190312172520848"</f>
        <v>20190312172520848</v>
      </c>
      <c r="B5573" t="str">
        <f>"1552382720836463"</f>
        <v>1552382720836463</v>
      </c>
      <c r="C5573" t="s">
        <v>40</v>
      </c>
      <c r="D5573">
        <v>4.1303109999999998</v>
      </c>
      <c r="E5573">
        <v>0.52516249999999998</v>
      </c>
      <c r="F5573" t="s">
        <v>43</v>
      </c>
      <c r="G5573">
        <v>-321.94709999999998</v>
      </c>
      <c r="H5573" s="1">
        <v>-4.8337290000000002E-6</v>
      </c>
      <c r="I5573">
        <v>13.71599</v>
      </c>
      <c r="J5573">
        <v>-334.6069</v>
      </c>
      <c r="K5573">
        <v>1.110463</v>
      </c>
      <c r="L5573">
        <v>16.875060000000001</v>
      </c>
      <c r="M5573">
        <v>0.99969949999999996</v>
      </c>
      <c r="N5573">
        <v>0</v>
      </c>
      <c r="O5573">
        <v>-2.015113E-2</v>
      </c>
      <c r="P5573">
        <v>0.97202619999999895</v>
      </c>
      <c r="Q5573">
        <v>0.1489453</v>
      </c>
      <c r="R5573">
        <v>-0.18160660000000001</v>
      </c>
      <c r="S5573">
        <v>2.9878849999999999</v>
      </c>
      <c r="T5573">
        <v>-0.25916479999999997</v>
      </c>
      <c r="U5573">
        <v>-0.73797609999999902</v>
      </c>
      <c r="V5573">
        <v>0.16204689999999999</v>
      </c>
      <c r="W5573">
        <v>0.1624833</v>
      </c>
      <c r="X5573">
        <v>0.97331389999999995</v>
      </c>
      <c r="Y5573">
        <v>0.21946550000000001</v>
      </c>
      <c r="Z5573">
        <v>-7.6424099999999997E-3</v>
      </c>
      <c r="AA5573">
        <v>0.97559030000000002</v>
      </c>
      <c r="AB5573">
        <v>28</v>
      </c>
      <c r="AC5573">
        <v>12.659800000000001</v>
      </c>
      <c r="AD5573">
        <v>-1.1104678337289999</v>
      </c>
      <c r="AE5573">
        <v>-3.1590699999999998</v>
      </c>
      <c r="AF5573">
        <v>2.8824166611683499</v>
      </c>
      <c r="AG5573">
        <v>-1.1104678337289999</v>
      </c>
      <c r="AH5573">
        <v>12.6294178270629</v>
      </c>
      <c r="AI5573">
        <v>94.899577208570193</v>
      </c>
      <c r="AJ5573">
        <v>77.143570976323204</v>
      </c>
      <c r="AK5573">
        <v>13.001679094211701</v>
      </c>
      <c r="AL5573">
        <v>80.648934521163198</v>
      </c>
      <c r="AM5573">
        <v>80.547534269608505</v>
      </c>
      <c r="AN5573">
        <v>0.99999998425585401</v>
      </c>
    </row>
    <row r="5574" spans="1:40" x14ac:dyDescent="0.25">
      <c r="A5574" t="str">
        <f>"20190312172520858"</f>
        <v>20190312172520858</v>
      </c>
      <c r="B5574" t="str">
        <f>"1552382720846223"</f>
        <v>1552382720846223</v>
      </c>
      <c r="C5574" t="s">
        <v>40</v>
      </c>
      <c r="D5574">
        <v>4.1259030000000001</v>
      </c>
      <c r="E5574">
        <v>0.5255706</v>
      </c>
      <c r="F5574" t="s">
        <v>43</v>
      </c>
      <c r="G5574">
        <v>-321.67540000000002</v>
      </c>
      <c r="H5574" s="1">
        <v>-4.9789589999999996E-6</v>
      </c>
      <c r="I5574">
        <v>13.621379999999901</v>
      </c>
      <c r="J5574">
        <v>-334.47030000000001</v>
      </c>
      <c r="K5574">
        <v>1.1104639999999999</v>
      </c>
      <c r="L5574">
        <v>16.87219</v>
      </c>
      <c r="M5574">
        <v>0.99969759999999996</v>
      </c>
      <c r="N5574">
        <v>0</v>
      </c>
      <c r="O5574">
        <v>-2.0239449999999999E-2</v>
      </c>
      <c r="P5574">
        <v>0.97138829999999998</v>
      </c>
      <c r="Q5574">
        <v>0.14978939999999999</v>
      </c>
      <c r="R5574">
        <v>-0.1843042</v>
      </c>
      <c r="S5574">
        <v>2.9852910000000001</v>
      </c>
      <c r="T5574">
        <v>-0.256357</v>
      </c>
      <c r="U5574">
        <v>-0.75112919999999905</v>
      </c>
      <c r="V5574">
        <v>0.16466710000000001</v>
      </c>
      <c r="W5574">
        <v>0.16332969999999999</v>
      </c>
      <c r="X5574">
        <v>0.97273229999999999</v>
      </c>
      <c r="Y5574">
        <v>0.22362219999999999</v>
      </c>
      <c r="Z5574">
        <v>-7.7303069999999996E-3</v>
      </c>
      <c r="AA5574">
        <v>0.97464530000000005</v>
      </c>
      <c r="AB5574">
        <v>28</v>
      </c>
      <c r="AC5574">
        <v>12.794899999999901</v>
      </c>
      <c r="AD5574">
        <v>-1.1104689789590001</v>
      </c>
      <c r="AE5574">
        <v>-3.25081</v>
      </c>
      <c r="AF5574">
        <v>2.9701410155989798</v>
      </c>
      <c r="AG5574">
        <v>-1.1104689789590001</v>
      </c>
      <c r="AH5574">
        <v>12.7677383549994</v>
      </c>
      <c r="AI5574">
        <v>94.842116386041496</v>
      </c>
      <c r="AJ5574">
        <v>76.904277397993894</v>
      </c>
      <c r="AK5574">
        <v>13.1556079945967</v>
      </c>
      <c r="AL5574">
        <v>80.599782795430201</v>
      </c>
      <c r="AM5574">
        <v>80.391883261955201</v>
      </c>
      <c r="AN5574">
        <v>0.99999998609389396</v>
      </c>
    </row>
    <row r="5575" spans="1:40" x14ac:dyDescent="0.25">
      <c r="A5575" t="str">
        <f>"20190312172520869"</f>
        <v>20190312172520869</v>
      </c>
      <c r="B5575" t="str">
        <f>"1552382720865743"</f>
        <v>1552382720865743</v>
      </c>
      <c r="C5575" t="s">
        <v>40</v>
      </c>
      <c r="D5575">
        <v>4.1577650000000004</v>
      </c>
      <c r="E5575">
        <v>0.52595970000000003</v>
      </c>
      <c r="F5575" t="s">
        <v>43</v>
      </c>
      <c r="G5575">
        <v>-321.51600000000002</v>
      </c>
      <c r="H5575" s="1">
        <v>-5.0651820000000002E-6</v>
      </c>
      <c r="I5575">
        <v>13.56015</v>
      </c>
      <c r="J5575">
        <v>-334.34050000000002</v>
      </c>
      <c r="K5575">
        <v>1.1104670000000001</v>
      </c>
      <c r="L5575">
        <v>16.869479999999999</v>
      </c>
      <c r="M5575">
        <v>0.99969620000000003</v>
      </c>
      <c r="N5575">
        <v>0</v>
      </c>
      <c r="O5575">
        <v>-2.031225E-2</v>
      </c>
      <c r="P5575">
        <v>0.97082120000000005</v>
      </c>
      <c r="Q5575">
        <v>0.15022929999999901</v>
      </c>
      <c r="R5575">
        <v>-0.18691659999999999</v>
      </c>
      <c r="S5575">
        <v>2.9831240000000001</v>
      </c>
      <c r="T5575">
        <v>-0.25571850000000002</v>
      </c>
      <c r="U5575">
        <v>-0.76269529999999996</v>
      </c>
      <c r="V5575">
        <v>0.16721529999999901</v>
      </c>
      <c r="W5575">
        <v>0.16377139999999901</v>
      </c>
      <c r="X5575">
        <v>0.97222319999999995</v>
      </c>
      <c r="Y5575">
        <v>0.22725860000000001</v>
      </c>
      <c r="Z5575">
        <v>-7.8599489999999998E-3</v>
      </c>
      <c r="AA5575">
        <v>0.97380270000000002</v>
      </c>
      <c r="AB5575">
        <v>28</v>
      </c>
      <c r="AC5575">
        <v>12.8245</v>
      </c>
      <c r="AD5575">
        <v>-1.1104720651819999</v>
      </c>
      <c r="AE5575">
        <v>-3.3093299999999899</v>
      </c>
      <c r="AF5575">
        <v>3.02684938320792</v>
      </c>
      <c r="AG5575">
        <v>-1.1104720651819999</v>
      </c>
      <c r="AH5575">
        <v>12.799106066201199</v>
      </c>
      <c r="AI5575">
        <v>94.826194545110994</v>
      </c>
      <c r="AJ5575">
        <v>76.694620372501006</v>
      </c>
      <c r="AK5575">
        <v>13.198942438318401</v>
      </c>
      <c r="AL5575">
        <v>80.574129861346506</v>
      </c>
      <c r="AM5575">
        <v>80.241024582874203</v>
      </c>
      <c r="AN5575">
        <v>0.999999989315144</v>
      </c>
    </row>
    <row r="5576" spans="1:40" x14ac:dyDescent="0.25">
      <c r="A5576" t="str">
        <f>"20190312172520880"</f>
        <v>20190312172520880</v>
      </c>
      <c r="B5576" t="str">
        <f>"1552382720876479"</f>
        <v>1552382720876479</v>
      </c>
      <c r="C5576" t="s">
        <v>40</v>
      </c>
      <c r="D5576">
        <v>4.1341039999999998</v>
      </c>
      <c r="E5576">
        <v>0.52607130000000002</v>
      </c>
      <c r="F5576" t="s">
        <v>43</v>
      </c>
      <c r="G5576">
        <v>-321.50810000000001</v>
      </c>
      <c r="H5576" s="1">
        <v>-5.0725019999999998E-6</v>
      </c>
      <c r="I5576">
        <v>13.539820000000001</v>
      </c>
      <c r="J5576">
        <v>-334.20100000000002</v>
      </c>
      <c r="K5576">
        <v>1.110463</v>
      </c>
      <c r="L5576">
        <v>16.86655</v>
      </c>
      <c r="M5576">
        <v>0.99969450000000004</v>
      </c>
      <c r="N5576">
        <v>0</v>
      </c>
      <c r="O5576">
        <v>-2.0386950000000001E-2</v>
      </c>
      <c r="P5576">
        <v>0.97036889999999998</v>
      </c>
      <c r="Q5576">
        <v>0.14991650000000001</v>
      </c>
      <c r="R5576">
        <v>-0.18949849999999999</v>
      </c>
      <c r="S5576">
        <v>2.9811399999999999</v>
      </c>
      <c r="T5576">
        <v>-0.25797920000000002</v>
      </c>
      <c r="U5576">
        <v>-0.77352909999999997</v>
      </c>
      <c r="V5576">
        <v>0.16972809999999999</v>
      </c>
      <c r="W5576">
        <v>0.16346329999999901</v>
      </c>
      <c r="X5576">
        <v>0.97183949999999997</v>
      </c>
      <c r="Y5576">
        <v>0.23063429999999999</v>
      </c>
      <c r="Z5576">
        <v>-8.0678659999999999E-3</v>
      </c>
      <c r="AA5576">
        <v>0.97300710000000001</v>
      </c>
      <c r="AB5576">
        <v>28</v>
      </c>
      <c r="AC5576">
        <v>12.6928999999999</v>
      </c>
      <c r="AD5576">
        <v>-1.110468072502</v>
      </c>
      <c r="AE5576">
        <v>-3.3267299999999902</v>
      </c>
      <c r="AF5576">
        <v>3.0454321246238698</v>
      </c>
      <c r="AG5576">
        <v>-1.110468072502</v>
      </c>
      <c r="AH5576">
        <v>12.667365631743801</v>
      </c>
      <c r="AI5576">
        <v>94.871831633702598</v>
      </c>
      <c r="AJ5576">
        <v>76.481754383336295</v>
      </c>
      <c r="AK5576">
        <v>13.0755477213776</v>
      </c>
      <c r="AL5576">
        <v>80.592023422056499</v>
      </c>
      <c r="AM5576">
        <v>80.093423170291103</v>
      </c>
      <c r="AN5576">
        <v>0.99999994606837295</v>
      </c>
    </row>
    <row r="5577" spans="1:40" x14ac:dyDescent="0.25">
      <c r="A5577" t="str">
        <f>"20190312172520892"</f>
        <v>20190312172520892</v>
      </c>
      <c r="B5577" t="str">
        <f>"1552382720886240"</f>
        <v>1552382720886240</v>
      </c>
      <c r="C5577" t="s">
        <v>40</v>
      </c>
      <c r="D5577">
        <v>4.3809120000000004</v>
      </c>
      <c r="E5577">
        <v>0.52608159999999904</v>
      </c>
      <c r="F5577" t="s">
        <v>43</v>
      </c>
      <c r="G5577">
        <v>-321.51679999999999</v>
      </c>
      <c r="H5577" s="1">
        <v>-5.0689790000000001E-6</v>
      </c>
      <c r="I5577">
        <v>13.536530000000001</v>
      </c>
      <c r="J5577">
        <v>-334.06049999999999</v>
      </c>
      <c r="K5577">
        <v>1.110465</v>
      </c>
      <c r="L5577">
        <v>16.863589999999999</v>
      </c>
      <c r="M5577">
        <v>0.99969319999999895</v>
      </c>
      <c r="N5577">
        <v>0</v>
      </c>
      <c r="O5577">
        <v>-2.0441669999999999E-2</v>
      </c>
      <c r="P5577">
        <v>0.9700394</v>
      </c>
      <c r="Q5577">
        <v>0.1492348</v>
      </c>
      <c r="R5577">
        <v>-0.19170989999999999</v>
      </c>
      <c r="S5577">
        <v>2.979187</v>
      </c>
      <c r="T5577">
        <v>-0.26082050000000001</v>
      </c>
      <c r="U5577">
        <v>-0.78213500000000002</v>
      </c>
      <c r="V5577">
        <v>0.17188639999999999</v>
      </c>
      <c r="W5577">
        <v>0.16278770000000001</v>
      </c>
      <c r="X5577">
        <v>0.97157360000000004</v>
      </c>
      <c r="Y5577">
        <v>0.23334050000000001</v>
      </c>
      <c r="Z5577">
        <v>-8.2702399999999999E-3</v>
      </c>
      <c r="AA5577">
        <v>0.97236</v>
      </c>
      <c r="AB5577">
        <v>28</v>
      </c>
      <c r="AC5577">
        <v>12.543699999999999</v>
      </c>
      <c r="AD5577">
        <v>-1.1104700689789999</v>
      </c>
      <c r="AE5577">
        <v>-3.3270599999999901</v>
      </c>
      <c r="AF5577">
        <v>3.0476104664189299</v>
      </c>
      <c r="AG5577">
        <v>-1.1104700689789999</v>
      </c>
      <c r="AH5577">
        <v>12.5174416882271</v>
      </c>
      <c r="AI5577">
        <v>94.926482927636997</v>
      </c>
      <c r="AJ5577">
        <v>76.316474870872</v>
      </c>
      <c r="AK5577">
        <v>12.9308708039053</v>
      </c>
      <c r="AL5577">
        <v>80.631258639426306</v>
      </c>
      <c r="AM5577">
        <v>79.967302066957998</v>
      </c>
      <c r="AN5577">
        <v>1.0000000149966</v>
      </c>
    </row>
    <row r="5578" spans="1:40" x14ac:dyDescent="0.25">
      <c r="A5578" t="str">
        <f>"20190312172520903"</f>
        <v>20190312172520903</v>
      </c>
      <c r="B5578" t="str">
        <f>"1552382720895999"</f>
        <v>1552382720895999</v>
      </c>
      <c r="C5578" t="s">
        <v>40</v>
      </c>
      <c r="D5578">
        <v>4.1591839999999998</v>
      </c>
      <c r="E5578">
        <v>0.52606889999999995</v>
      </c>
      <c r="F5578" t="s">
        <v>43</v>
      </c>
      <c r="G5578">
        <v>-321.47789999999998</v>
      </c>
      <c r="H5578" s="1">
        <v>-5.088767E-6</v>
      </c>
      <c r="I5578">
        <v>13.528560000000001</v>
      </c>
      <c r="J5578">
        <v>-333.92009999999999</v>
      </c>
      <c r="K5578">
        <v>1.1104689999999999</v>
      </c>
      <c r="L5578">
        <v>16.86063</v>
      </c>
      <c r="M5578">
        <v>0.99969220000000003</v>
      </c>
      <c r="N5578">
        <v>0</v>
      </c>
      <c r="O5578">
        <v>-2.0491619999999999E-2</v>
      </c>
      <c r="P5578">
        <v>0.96970869999999998</v>
      </c>
      <c r="Q5578">
        <v>0.1488342</v>
      </c>
      <c r="R5578">
        <v>-0.19368489999999999</v>
      </c>
      <c r="S5578">
        <v>2.9771420000000002</v>
      </c>
      <c r="T5578">
        <v>-0.26274619999999999</v>
      </c>
      <c r="U5578">
        <v>-0.78909300000000004</v>
      </c>
      <c r="V5578">
        <v>0.17381269999999999</v>
      </c>
      <c r="W5578">
        <v>0.16239439999999999</v>
      </c>
      <c r="X5578">
        <v>0.97129670000000001</v>
      </c>
      <c r="Y5578">
        <v>0.2355603</v>
      </c>
      <c r="Z5578">
        <v>-8.4259680000000007E-3</v>
      </c>
      <c r="AA5578">
        <v>0.9718232</v>
      </c>
      <c r="AB5578">
        <v>28</v>
      </c>
      <c r="AC5578">
        <v>12.4422</v>
      </c>
      <c r="AD5578">
        <v>-1.1104740887669999</v>
      </c>
      <c r="AE5578">
        <v>-3.3320699999999999</v>
      </c>
      <c r="AF5578">
        <v>3.0536875559513201</v>
      </c>
      <c r="AG5578">
        <v>-1.1104740887669999</v>
      </c>
      <c r="AH5578">
        <v>12.415592812685899</v>
      </c>
      <c r="AI5578">
        <v>94.963876351102698</v>
      </c>
      <c r="AJ5578">
        <v>76.182046314587595</v>
      </c>
      <c r="AK5578">
        <v>12.833748683904201</v>
      </c>
      <c r="AL5578">
        <v>80.654097179951904</v>
      </c>
      <c r="AM5578">
        <v>79.8543577346516</v>
      </c>
      <c r="AN5578">
        <v>1.0000000376317599</v>
      </c>
    </row>
    <row r="5579" spans="1:40" x14ac:dyDescent="0.25">
      <c r="A5579" t="str">
        <f>"20190312172520914"</f>
        <v>20190312172520914</v>
      </c>
      <c r="B5579" t="str">
        <f>"1552382720905759"</f>
        <v>1552382720905759</v>
      </c>
      <c r="C5579" t="s">
        <v>40</v>
      </c>
      <c r="D5579">
        <v>4.1336209999999998</v>
      </c>
      <c r="E5579">
        <v>0.52606540000000002</v>
      </c>
      <c r="F5579" t="s">
        <v>43</v>
      </c>
      <c r="G5579">
        <v>-321.40159999999997</v>
      </c>
      <c r="H5579" s="1">
        <v>-5.1271939999999899E-6</v>
      </c>
      <c r="I5579">
        <v>13.515370000000001</v>
      </c>
      <c r="J5579">
        <v>-333.78050000000002</v>
      </c>
      <c r="K5579">
        <v>1.1104799999999999</v>
      </c>
      <c r="L5579">
        <v>16.85773</v>
      </c>
      <c r="M5579">
        <v>0.99969140000000001</v>
      </c>
      <c r="N5579">
        <v>0</v>
      </c>
      <c r="O5579">
        <v>-2.0524980000000002E-2</v>
      </c>
      <c r="P5579">
        <v>0.9693851</v>
      </c>
      <c r="Q5579">
        <v>0.14821989999999999</v>
      </c>
      <c r="R5579">
        <v>-0.19576360000000001</v>
      </c>
      <c r="S5579">
        <v>2.975403</v>
      </c>
      <c r="T5579">
        <v>-0.26393879999999997</v>
      </c>
      <c r="U5579">
        <v>-0.79510499999999995</v>
      </c>
      <c r="V5579">
        <v>0.17585870000000001</v>
      </c>
      <c r="W5579">
        <v>0.1617865</v>
      </c>
      <c r="X5579">
        <v>0.97102980000000005</v>
      </c>
      <c r="Y5579">
        <v>0.23748739999999999</v>
      </c>
      <c r="Z5579">
        <v>-8.5476389999999992E-3</v>
      </c>
      <c r="AA5579">
        <v>0.97135300000000002</v>
      </c>
      <c r="AB5579">
        <v>28</v>
      </c>
      <c r="AC5579">
        <v>12.3789</v>
      </c>
      <c r="AD5579">
        <v>-1.1104851271939999</v>
      </c>
      <c r="AE5579">
        <v>-3.34235999999999</v>
      </c>
      <c r="AF5579">
        <v>3.0645678365621198</v>
      </c>
      <c r="AG5579">
        <v>-1.1104851271939999</v>
      </c>
      <c r="AH5579">
        <v>12.352249965768801</v>
      </c>
      <c r="AI5579">
        <v>94.986777409252795</v>
      </c>
      <c r="AJ5579">
        <v>76.066371481692798</v>
      </c>
      <c r="AK5579">
        <v>12.7750863973378</v>
      </c>
      <c r="AL5579">
        <v>80.689393823449393</v>
      </c>
      <c r="AM5579">
        <v>79.734693319068995</v>
      </c>
      <c r="AN5579">
        <v>1.00000001321799</v>
      </c>
    </row>
    <row r="5580" spans="1:40" x14ac:dyDescent="0.25">
      <c r="A5580" t="str">
        <f>"20190312172520927"</f>
        <v>20190312172520927</v>
      </c>
      <c r="B5580" t="str">
        <f>"1552382720916495"</f>
        <v>1552382720916495</v>
      </c>
      <c r="C5580" t="s">
        <v>40</v>
      </c>
      <c r="D5580">
        <v>4.0457010000000002</v>
      </c>
      <c r="E5580">
        <v>0.52599479999999998</v>
      </c>
      <c r="F5580" t="s">
        <v>43</v>
      </c>
      <c r="G5580">
        <v>-321.35309999999998</v>
      </c>
      <c r="H5580" s="1">
        <v>-5.1512720000000002E-6</v>
      </c>
      <c r="I5580">
        <v>13.50883</v>
      </c>
      <c r="J5580">
        <v>-333.63630000000001</v>
      </c>
      <c r="K5580">
        <v>1.1104909999999999</v>
      </c>
      <c r="L5580">
        <v>16.854710000000001</v>
      </c>
      <c r="M5580">
        <v>0.99969079999999999</v>
      </c>
      <c r="N5580">
        <v>0</v>
      </c>
      <c r="O5580">
        <v>-2.0552500000000001E-2</v>
      </c>
      <c r="P5580">
        <v>0.96908030000000001</v>
      </c>
      <c r="Q5580">
        <v>0.14774970000000001</v>
      </c>
      <c r="R5580">
        <v>-0.19762009999999999</v>
      </c>
      <c r="S5580">
        <v>2.973541</v>
      </c>
      <c r="T5580">
        <v>-0.26570860000000002</v>
      </c>
      <c r="U5580">
        <v>-0.80130000000000001</v>
      </c>
      <c r="V5580">
        <v>0.1776876</v>
      </c>
      <c r="W5580">
        <v>0.16132340000000001</v>
      </c>
      <c r="X5580">
        <v>0.97077380000000002</v>
      </c>
      <c r="Y5580">
        <v>0.2394811</v>
      </c>
      <c r="Z5580">
        <v>-8.6926069999999998E-3</v>
      </c>
      <c r="AA5580">
        <v>0.97086209999999995</v>
      </c>
      <c r="AB5580">
        <v>28</v>
      </c>
      <c r="AC5580">
        <v>12.283200000000001</v>
      </c>
      <c r="AD5580">
        <v>-1.110496151272</v>
      </c>
      <c r="AE5580">
        <v>-3.3458800000000002</v>
      </c>
      <c r="AF5580">
        <v>3.0693433618322001</v>
      </c>
      <c r="AG5580">
        <v>-1.110496151272</v>
      </c>
      <c r="AH5580">
        <v>12.2561213461754</v>
      </c>
      <c r="AI5580">
        <v>95.023000527918896</v>
      </c>
      <c r="AJ5580">
        <v>75.940382254090494</v>
      </c>
      <c r="AK5580">
        <v>12.683318998865801</v>
      </c>
      <c r="AL5580">
        <v>80.716280069092804</v>
      </c>
      <c r="AM5580">
        <v>79.62756524433</v>
      </c>
      <c r="AN5580">
        <v>0.99999994667387804</v>
      </c>
    </row>
    <row r="5581" spans="1:40" x14ac:dyDescent="0.25">
      <c r="A5581" t="str">
        <f>"20190312172520949"</f>
        <v>20190312172520949</v>
      </c>
      <c r="B5581" t="str">
        <f>"1552382720936014"</f>
        <v>1552382720936014</v>
      </c>
      <c r="C5581" t="s">
        <v>40</v>
      </c>
      <c r="D5581">
        <v>4.114916</v>
      </c>
      <c r="E5581">
        <v>0.5259315</v>
      </c>
      <c r="F5581" t="s">
        <v>43</v>
      </c>
      <c r="G5581">
        <v>-321.27409999999998</v>
      </c>
      <c r="H5581" s="1">
        <v>-5.1897700000000003E-6</v>
      </c>
      <c r="I5581">
        <v>13.50225</v>
      </c>
      <c r="J5581">
        <v>-333.3614</v>
      </c>
      <c r="K5581">
        <v>1.110527</v>
      </c>
      <c r="L5581">
        <v>16.849</v>
      </c>
      <c r="M5581">
        <v>0.99969019999999997</v>
      </c>
      <c r="N5581">
        <v>0</v>
      </c>
      <c r="O5581">
        <v>-2.0575039999999999E-2</v>
      </c>
      <c r="P5581">
        <v>0.96821959999999996</v>
      </c>
      <c r="Q5581">
        <v>0.14813750000000001</v>
      </c>
      <c r="R5581">
        <v>-0.20150999999999999</v>
      </c>
      <c r="S5581">
        <v>2.9721069999999998</v>
      </c>
      <c r="T5581">
        <v>-0.26698640000000001</v>
      </c>
      <c r="U5581">
        <v>-0.80599980000000004</v>
      </c>
      <c r="V5581">
        <v>0.18156079999999999</v>
      </c>
      <c r="W5581">
        <v>0.16171920000000001</v>
      </c>
      <c r="X5581">
        <v>0.96999100000000005</v>
      </c>
      <c r="Y5581">
        <v>0.2409935</v>
      </c>
      <c r="Z5581">
        <v>-8.8011649999999997E-3</v>
      </c>
      <c r="AA5581">
        <v>0.97048679999999998</v>
      </c>
      <c r="AB5581">
        <v>28</v>
      </c>
      <c r="AC5581">
        <v>12.087300000000001</v>
      </c>
      <c r="AD5581">
        <v>-1.11053218977</v>
      </c>
      <c r="AE5581">
        <v>-3.3467500000000001</v>
      </c>
      <c r="AF5581">
        <v>3.0732257968361201</v>
      </c>
      <c r="AG5581">
        <v>-1.11053218977</v>
      </c>
      <c r="AH5581">
        <v>12.059062301087801</v>
      </c>
      <c r="AI5581">
        <v>95.099496282723294</v>
      </c>
      <c r="AJ5581">
        <v>75.702635109578097</v>
      </c>
      <c r="AK5581">
        <v>12.4939578246595</v>
      </c>
      <c r="AL5581">
        <v>80.693300991619097</v>
      </c>
      <c r="AM5581">
        <v>79.398178435610205</v>
      </c>
      <c r="AN5581">
        <v>0.99999998191313899</v>
      </c>
    </row>
    <row r="5582" spans="1:40" x14ac:dyDescent="0.25">
      <c r="A5582" t="str">
        <f>"20190312172520963"</f>
        <v>20190312172520963</v>
      </c>
      <c r="B5582" t="str">
        <f>"1552382720956511"</f>
        <v>1552382720956511</v>
      </c>
      <c r="C5582" t="s">
        <v>40</v>
      </c>
      <c r="D5582">
        <v>4.0762130000000001</v>
      </c>
      <c r="E5582">
        <v>0.52570709999999998</v>
      </c>
      <c r="F5582" t="s">
        <v>43</v>
      </c>
      <c r="G5582">
        <v>-321.00400000000002</v>
      </c>
      <c r="H5582" s="1">
        <v>-5.3256359999999996E-6</v>
      </c>
      <c r="I5582">
        <v>13.4561299999999</v>
      </c>
      <c r="J5582">
        <v>-333.19709999999998</v>
      </c>
      <c r="K5582">
        <v>1.110552</v>
      </c>
      <c r="L5582">
        <v>16.845579999999899</v>
      </c>
      <c r="M5582">
        <v>0.99969019999999997</v>
      </c>
      <c r="N5582">
        <v>0</v>
      </c>
      <c r="O5582">
        <v>-2.0571659999999999E-2</v>
      </c>
      <c r="P5582">
        <v>0.9676302</v>
      </c>
      <c r="Q5582">
        <v>0.14920639999999999</v>
      </c>
      <c r="R5582">
        <v>-0.2035411</v>
      </c>
      <c r="S5582">
        <v>2.9695740000000002</v>
      </c>
      <c r="T5582">
        <v>-0.26687070000000002</v>
      </c>
      <c r="U5582">
        <v>-0.81533809999999995</v>
      </c>
      <c r="V5582">
        <v>0.18360009999999999</v>
      </c>
      <c r="W5582">
        <v>0.16279150000000001</v>
      </c>
      <c r="X5582">
        <v>0.96942759999999994</v>
      </c>
      <c r="Y5582">
        <v>0.24403369999999999</v>
      </c>
      <c r="Z5582">
        <v>-8.935208E-3</v>
      </c>
      <c r="AA5582">
        <v>0.96972559999999997</v>
      </c>
      <c r="AB5582">
        <v>28</v>
      </c>
      <c r="AC5582">
        <v>12.1930999999999</v>
      </c>
      <c r="AD5582">
        <v>-1.110557325636</v>
      </c>
      <c r="AE5582">
        <v>-3.3894500000000001</v>
      </c>
      <c r="AF5582">
        <v>3.1138966077832202</v>
      </c>
      <c r="AG5582">
        <v>-1.110557325636</v>
      </c>
      <c r="AH5582">
        <v>12.1665621458953</v>
      </c>
      <c r="AI5582">
        <v>95.053471762274697</v>
      </c>
      <c r="AJ5582">
        <v>75.6439486272685</v>
      </c>
      <c r="AK5582">
        <v>12.607732710817601</v>
      </c>
      <c r="AL5582">
        <v>80.631037550513696</v>
      </c>
      <c r="AM5582">
        <v>79.275757556164706</v>
      </c>
      <c r="AN5582">
        <v>0.99999997041700905</v>
      </c>
    </row>
    <row r="5583" spans="1:40" x14ac:dyDescent="0.25">
      <c r="A5583" t="str">
        <f>"20190312172520974"</f>
        <v>20190312172520974</v>
      </c>
      <c r="B5583" t="str">
        <f>"1552382720966271"</f>
        <v>1552382720966271</v>
      </c>
      <c r="C5583" t="s">
        <v>40</v>
      </c>
      <c r="D5583">
        <v>4.063663</v>
      </c>
      <c r="E5583">
        <v>0.52558709999999997</v>
      </c>
      <c r="F5583" t="s">
        <v>43</v>
      </c>
      <c r="G5583">
        <v>-320.71769999999998</v>
      </c>
      <c r="H5583" s="1">
        <v>-5.4705240000000002E-6</v>
      </c>
      <c r="I5583">
        <v>13.40225</v>
      </c>
      <c r="J5583">
        <v>-333.0419</v>
      </c>
      <c r="K5583">
        <v>1.110582</v>
      </c>
      <c r="L5583">
        <v>16.84235</v>
      </c>
      <c r="M5583">
        <v>0.99969079999999999</v>
      </c>
      <c r="N5583">
        <v>0</v>
      </c>
      <c r="O5583">
        <v>-2.0544900000000001E-2</v>
      </c>
      <c r="P5583">
        <v>0.96702480000000002</v>
      </c>
      <c r="Q5583">
        <v>0.1504894</v>
      </c>
      <c r="R5583">
        <v>-0.20546600000000001</v>
      </c>
      <c r="S5583">
        <v>2.9687809999999999</v>
      </c>
      <c r="T5583">
        <v>-0.2641964</v>
      </c>
      <c r="U5583">
        <v>-0.81915280000000001</v>
      </c>
      <c r="V5583">
        <v>0.18555569999999999</v>
      </c>
      <c r="W5583">
        <v>0.16407669999999999</v>
      </c>
      <c r="X5583">
        <v>0.96883850000000005</v>
      </c>
      <c r="Y5583">
        <v>0.24529580000000001</v>
      </c>
      <c r="Z5583">
        <v>-8.9041580000000006E-3</v>
      </c>
      <c r="AA5583">
        <v>0.96940740000000003</v>
      </c>
      <c r="AB5583">
        <v>27</v>
      </c>
      <c r="AC5583">
        <v>12.324199999999999</v>
      </c>
      <c r="AD5583">
        <v>-1.110587470524</v>
      </c>
      <c r="AE5583">
        <v>-3.4401000000000002</v>
      </c>
      <c r="AF5583">
        <v>3.1623257221703298</v>
      </c>
      <c r="AG5583">
        <v>-1.110587470524</v>
      </c>
      <c r="AH5583">
        <v>12.2996210997636</v>
      </c>
      <c r="AI5583">
        <v>94.997817301599596</v>
      </c>
      <c r="AJ5583">
        <v>75.581123169789294</v>
      </c>
      <c r="AK5583">
        <v>12.7481131035355</v>
      </c>
      <c r="AL5583">
        <v>80.556398269938995</v>
      </c>
      <c r="AM5583">
        <v>79.157787251857798</v>
      </c>
      <c r="AN5583">
        <v>1.0000000601838099</v>
      </c>
    </row>
    <row r="5584" spans="1:40" x14ac:dyDescent="0.25">
      <c r="A5584" t="str">
        <f>"20190312172520993"</f>
        <v>20190312172520993</v>
      </c>
      <c r="B5584" t="str">
        <f>"1552382720976031"</f>
        <v>1552382720976031</v>
      </c>
      <c r="C5584" t="s">
        <v>40</v>
      </c>
      <c r="D5584">
        <v>4.117426</v>
      </c>
      <c r="E5584">
        <v>0.52546689999999996</v>
      </c>
      <c r="F5584" t="s">
        <v>43</v>
      </c>
      <c r="G5584">
        <v>-320.39580000000001</v>
      </c>
      <c r="H5584" s="1">
        <v>-5.6348239999999996E-6</v>
      </c>
      <c r="I5584">
        <v>13.334129999999901</v>
      </c>
      <c r="J5584">
        <v>-332.82100000000003</v>
      </c>
      <c r="K5584">
        <v>1.110625</v>
      </c>
      <c r="L5584">
        <v>16.837859999999999</v>
      </c>
      <c r="M5584">
        <v>0.99969209999999997</v>
      </c>
      <c r="N5584">
        <v>0</v>
      </c>
      <c r="O5584">
        <v>-2.0476100000000001E-2</v>
      </c>
      <c r="P5584">
        <v>0.96561319999999995</v>
      </c>
      <c r="Q5584">
        <v>0.15306500000000001</v>
      </c>
      <c r="R5584">
        <v>-0.21014740000000001</v>
      </c>
      <c r="S5584">
        <v>2.9678960000000001</v>
      </c>
      <c r="T5584">
        <v>-0.26064029999999999</v>
      </c>
      <c r="U5584">
        <v>-0.82333369999999995</v>
      </c>
      <c r="V5584">
        <v>0.19031960000000001</v>
      </c>
      <c r="W5584">
        <v>0.16665089999999999</v>
      </c>
      <c r="X5584">
        <v>0.96747399999999995</v>
      </c>
      <c r="Y5584">
        <v>0.24672140000000001</v>
      </c>
      <c r="Z5584">
        <v>-8.8528959999999903E-3</v>
      </c>
      <c r="AA5584">
        <v>0.96904599999999996</v>
      </c>
      <c r="AB5584">
        <v>27</v>
      </c>
      <c r="AC5584">
        <v>12.425199999999901</v>
      </c>
      <c r="AD5584">
        <v>-1.110630634824</v>
      </c>
      <c r="AE5584">
        <v>-3.50373</v>
      </c>
      <c r="AF5584">
        <v>3.2246840402692198</v>
      </c>
      <c r="AG5584">
        <v>-1.110630634824</v>
      </c>
      <c r="AH5584">
        <v>12.4025501980116</v>
      </c>
      <c r="AI5584">
        <v>94.9532813131853</v>
      </c>
      <c r="AJ5584">
        <v>75.425692980137498</v>
      </c>
      <c r="AK5584">
        <v>12.8629444133439</v>
      </c>
      <c r="AL5584">
        <v>80.406848014018095</v>
      </c>
      <c r="AM5584">
        <v>78.870990543228601</v>
      </c>
      <c r="AN5584">
        <v>1.0000000066454799</v>
      </c>
    </row>
    <row r="5585" spans="1:40" x14ac:dyDescent="0.25">
      <c r="A5585" t="str">
        <f>"20190312172521006"</f>
        <v>20190312172521006</v>
      </c>
      <c r="B5585" t="str">
        <f>"1552382720996527"</f>
        <v>1552382720996527</v>
      </c>
      <c r="C5585" t="s">
        <v>40</v>
      </c>
      <c r="D5585">
        <v>4.1297829999999998</v>
      </c>
      <c r="E5585">
        <v>0.52516929999999995</v>
      </c>
      <c r="F5585" t="s">
        <v>42</v>
      </c>
      <c r="G5585">
        <v>-319.25369999999998</v>
      </c>
      <c r="H5585">
        <v>-0.05</v>
      </c>
      <c r="I5585">
        <v>13.01749</v>
      </c>
      <c r="J5585">
        <v>-332.65809999999999</v>
      </c>
      <c r="K5585">
        <v>1.110662</v>
      </c>
      <c r="L5585">
        <v>16.83456</v>
      </c>
      <c r="M5585">
        <v>0.99969379999999997</v>
      </c>
      <c r="N5585">
        <v>0</v>
      </c>
      <c r="O5585">
        <v>-2.039769E-2</v>
      </c>
      <c r="P5585">
        <v>0.96494769999999996</v>
      </c>
      <c r="Q5585">
        <v>0.15417809999999901</v>
      </c>
      <c r="R5585">
        <v>-0.2123804</v>
      </c>
      <c r="S5585">
        <v>2.9653019999999999</v>
      </c>
      <c r="T5585">
        <v>-0.25366909999999998</v>
      </c>
      <c r="U5585">
        <v>-0.8349915</v>
      </c>
      <c r="V5585">
        <v>0.1926303</v>
      </c>
      <c r="W5585">
        <v>0.16777030000000001</v>
      </c>
      <c r="X5585">
        <v>0.96682299999999999</v>
      </c>
      <c r="Y5585">
        <v>0.25057610000000002</v>
      </c>
      <c r="Z5585">
        <v>-8.7877540000000001E-3</v>
      </c>
      <c r="AA5585">
        <v>0.96805699999999995</v>
      </c>
      <c r="AB5585">
        <v>27</v>
      </c>
      <c r="AC5585">
        <v>13.404400000000001</v>
      </c>
      <c r="AD5585">
        <v>-1.1606620000000001</v>
      </c>
      <c r="AE5585">
        <v>-3.8170700000000002</v>
      </c>
      <c r="AF5585">
        <v>3.51842926792277</v>
      </c>
      <c r="AG5585">
        <v>-1.1606620000000001</v>
      </c>
      <c r="AH5585">
        <v>13.3866394759816</v>
      </c>
      <c r="AI5585">
        <v>94.793324255387901</v>
      </c>
      <c r="AJ5585">
        <v>75.273933468102499</v>
      </c>
      <c r="AK5585">
        <v>13.889873910569801</v>
      </c>
      <c r="AL5585">
        <v>80.341795279999104</v>
      </c>
      <c r="AM5585">
        <v>78.731915959612294</v>
      </c>
      <c r="AN5585">
        <v>1.00000000968459</v>
      </c>
    </row>
    <row r="5586" spans="1:40" x14ac:dyDescent="0.25">
      <c r="A5586" t="str">
        <f>"20190312172521018"</f>
        <v>20190312172521018</v>
      </c>
      <c r="B5586" t="str">
        <f>"1552382721006288"</f>
        <v>1552382721006288</v>
      </c>
      <c r="C5586" t="s">
        <v>40</v>
      </c>
      <c r="D5586">
        <v>4.118036</v>
      </c>
      <c r="E5586">
        <v>0.52501200000000003</v>
      </c>
      <c r="F5586" t="s">
        <v>42</v>
      </c>
      <c r="G5586">
        <v>-318.95069999999998</v>
      </c>
      <c r="H5586">
        <v>-0.05</v>
      </c>
      <c r="I5586">
        <v>12.95824</v>
      </c>
      <c r="J5586">
        <v>-332.49990000000003</v>
      </c>
      <c r="K5586">
        <v>1.1106929999999999</v>
      </c>
      <c r="L5586">
        <v>16.83136</v>
      </c>
      <c r="M5586">
        <v>0.99969589999999997</v>
      </c>
      <c r="N5586">
        <v>0</v>
      </c>
      <c r="O5586">
        <v>-2.0295500000000001E-2</v>
      </c>
      <c r="P5586">
        <v>0.96425070000000002</v>
      </c>
      <c r="Q5586">
        <v>0.15515379999999901</v>
      </c>
      <c r="R5586">
        <v>-0.21482119999999999</v>
      </c>
      <c r="S5586">
        <v>2.964569</v>
      </c>
      <c r="T5586">
        <v>-0.25102079999999999</v>
      </c>
      <c r="U5586">
        <v>-0.83834839999999999</v>
      </c>
      <c r="V5586">
        <v>0.19517090000000001</v>
      </c>
      <c r="W5586">
        <v>0.16875319999999999</v>
      </c>
      <c r="X5586">
        <v>0.96614219999999895</v>
      </c>
      <c r="Y5586">
        <v>0.2517644</v>
      </c>
      <c r="Z5586">
        <v>-8.7547969999999999E-3</v>
      </c>
      <c r="AA5586">
        <v>0.96774890000000002</v>
      </c>
      <c r="AB5586">
        <v>27</v>
      </c>
      <c r="AC5586">
        <v>13.549200000000001</v>
      </c>
      <c r="AD5586">
        <v>-1.160693</v>
      </c>
      <c r="AE5586">
        <v>-3.8731199999999899</v>
      </c>
      <c r="AF5586">
        <v>3.5730671042054598</v>
      </c>
      <c r="AG5586">
        <v>-1.160693</v>
      </c>
      <c r="AH5586">
        <v>13.5332120059389</v>
      </c>
      <c r="AI5586">
        <v>94.7403895799861</v>
      </c>
      <c r="AJ5586">
        <v>75.210138456694594</v>
      </c>
      <c r="AK5586">
        <v>14.044993555324</v>
      </c>
      <c r="AL5586">
        <v>80.284664973438595</v>
      </c>
      <c r="AM5586">
        <v>78.579346041125604</v>
      </c>
      <c r="AN5586">
        <v>1.0000000366689401</v>
      </c>
    </row>
    <row r="5587" spans="1:40" x14ac:dyDescent="0.25">
      <c r="A5587" t="str">
        <f>"20190312172521031"</f>
        <v>20190312172521031</v>
      </c>
      <c r="B5587" t="str">
        <f>"1552382721025808"</f>
        <v>1552382721025808</v>
      </c>
      <c r="C5587" t="s">
        <v>40</v>
      </c>
      <c r="D5587">
        <v>4.0901370000000004</v>
      </c>
      <c r="E5587">
        <v>0.52475319999999903</v>
      </c>
      <c r="F5587" t="s">
        <v>42</v>
      </c>
      <c r="G5587">
        <v>-318.64670000000001</v>
      </c>
      <c r="H5587">
        <v>-0.05</v>
      </c>
      <c r="I5587">
        <v>12.88602</v>
      </c>
      <c r="J5587">
        <v>-332.35669999999999</v>
      </c>
      <c r="K5587">
        <v>1.1107209999999901</v>
      </c>
      <c r="L5587">
        <v>16.828520000000001</v>
      </c>
      <c r="M5587">
        <v>0.99969819999999998</v>
      </c>
      <c r="N5587">
        <v>0</v>
      </c>
      <c r="O5587">
        <v>-2.0172780000000001E-2</v>
      </c>
      <c r="P5587">
        <v>0.96367309999999995</v>
      </c>
      <c r="Q5587">
        <v>0.15556510000000001</v>
      </c>
      <c r="R5587">
        <v>-0.21710270000000001</v>
      </c>
      <c r="S5587">
        <v>2.963165</v>
      </c>
      <c r="T5587">
        <v>-0.2482703</v>
      </c>
      <c r="U5587">
        <v>-0.84390259999999995</v>
      </c>
      <c r="V5587">
        <v>0.1975693</v>
      </c>
      <c r="W5587">
        <v>0.1691743</v>
      </c>
      <c r="X5587">
        <v>0.96558089999999996</v>
      </c>
      <c r="Y5587">
        <v>0.25369120000000001</v>
      </c>
      <c r="Z5587">
        <v>-8.7500289999999994E-3</v>
      </c>
      <c r="AA5587">
        <v>0.96724569999999999</v>
      </c>
      <c r="AB5587">
        <v>27</v>
      </c>
      <c r="AC5587">
        <v>13.7099999999999</v>
      </c>
      <c r="AD5587">
        <v>-1.1607209999999999</v>
      </c>
      <c r="AE5587">
        <v>-3.9424999999999999</v>
      </c>
      <c r="AF5587">
        <v>3.6409972065982101</v>
      </c>
      <c r="AG5587">
        <v>-1.1607209999999999</v>
      </c>
      <c r="AH5587">
        <v>13.696076912074499</v>
      </c>
      <c r="AI5587">
        <v>94.682283792692701</v>
      </c>
      <c r="AJ5587">
        <v>75.112686393314206</v>
      </c>
      <c r="AK5587">
        <v>14.2192354463859</v>
      </c>
      <c r="AL5587">
        <v>80.260185634026001</v>
      </c>
      <c r="AM5587">
        <v>78.436217518635601</v>
      </c>
      <c r="AN5587">
        <v>1.0000000232638899</v>
      </c>
    </row>
    <row r="5588" spans="1:40" x14ac:dyDescent="0.25">
      <c r="A5588" t="str">
        <f>"20190312172521048"</f>
        <v>20190312172521048</v>
      </c>
      <c r="B5588" t="str">
        <f>"1552382721036543"</f>
        <v>1552382721036543</v>
      </c>
      <c r="C5588" t="s">
        <v>40</v>
      </c>
      <c r="D5588">
        <v>4.0994199999999896</v>
      </c>
      <c r="E5588">
        <v>0.52462119999999901</v>
      </c>
      <c r="F5588" t="s">
        <v>42</v>
      </c>
      <c r="G5588">
        <v>-318.46510000000001</v>
      </c>
      <c r="H5588">
        <v>-0.05</v>
      </c>
      <c r="I5588">
        <v>12.8515</v>
      </c>
      <c r="J5588">
        <v>-332.14589999999998</v>
      </c>
      <c r="K5588">
        <v>1.1107689999999999</v>
      </c>
      <c r="L5588">
        <v>16.824459999999998</v>
      </c>
      <c r="M5588">
        <v>0.99970250000000005</v>
      </c>
      <c r="N5588">
        <v>0</v>
      </c>
      <c r="O5588">
        <v>-1.9962420000000002E-2</v>
      </c>
      <c r="P5588">
        <v>0.96270359999999999</v>
      </c>
      <c r="Q5588">
        <v>0.15517590000000001</v>
      </c>
      <c r="R5588">
        <v>-0.22163640000000001</v>
      </c>
      <c r="S5588">
        <v>2.9620060000000001</v>
      </c>
      <c r="T5588">
        <v>-0.2474915</v>
      </c>
      <c r="U5588">
        <v>-0.84799190000000002</v>
      </c>
      <c r="V5588">
        <v>0.20230500000000001</v>
      </c>
      <c r="W5588">
        <v>0.168798799999999</v>
      </c>
      <c r="X5588">
        <v>0.96466560000000001</v>
      </c>
      <c r="Y5588">
        <v>0.2552277</v>
      </c>
      <c r="Z5588">
        <v>-8.8043400000000008E-3</v>
      </c>
      <c r="AA5588">
        <v>0.9668409</v>
      </c>
      <c r="AB5588">
        <v>27</v>
      </c>
      <c r="AC5588">
        <v>13.6807999999999</v>
      </c>
      <c r="AD5588">
        <v>-1.1607689999999999</v>
      </c>
      <c r="AE5588">
        <v>-3.97296</v>
      </c>
      <c r="AF5588">
        <v>3.6746433503020599</v>
      </c>
      <c r="AG5588">
        <v>-1.1607689999999999</v>
      </c>
      <c r="AH5588">
        <v>13.666657496759001</v>
      </c>
      <c r="AI5588">
        <v>94.688975792055601</v>
      </c>
      <c r="AJ5588">
        <v>74.950438546172904</v>
      </c>
      <c r="AK5588">
        <v>14.199574485068201</v>
      </c>
      <c r="AL5588">
        <v>80.282014232490695</v>
      </c>
      <c r="AM5588">
        <v>78.155852622279895</v>
      </c>
      <c r="AN5588">
        <v>1.00000003386489</v>
      </c>
    </row>
    <row r="5589" spans="1:40" x14ac:dyDescent="0.25">
      <c r="A5589" t="str">
        <f>"20190312172521060"</f>
        <v>20190312172521060</v>
      </c>
      <c r="B5589" t="str">
        <f>"1552382721056063"</f>
        <v>1552382721056063</v>
      </c>
      <c r="C5589" t="s">
        <v>40</v>
      </c>
      <c r="D5589">
        <v>4.1039219999999998</v>
      </c>
      <c r="E5589">
        <v>0.52435559999999903</v>
      </c>
      <c r="F5589" t="s">
        <v>42</v>
      </c>
      <c r="G5589">
        <v>-318.3433</v>
      </c>
      <c r="H5589">
        <v>-0.05</v>
      </c>
      <c r="I5589">
        <v>12.814909999999999</v>
      </c>
      <c r="J5589">
        <v>-331.98689999999999</v>
      </c>
      <c r="K5589">
        <v>1.1108020000000001</v>
      </c>
      <c r="L5589">
        <v>16.821439999999999</v>
      </c>
      <c r="M5589">
        <v>0.99970610000000004</v>
      </c>
      <c r="N5589">
        <v>0</v>
      </c>
      <c r="O5589">
        <v>-1.9780280000000001E-2</v>
      </c>
      <c r="P5589">
        <v>0.96209409999999895</v>
      </c>
      <c r="Q5589">
        <v>0.15517979999999901</v>
      </c>
      <c r="R5589">
        <v>-0.22426370000000001</v>
      </c>
      <c r="S5589">
        <v>2.958466</v>
      </c>
      <c r="T5589">
        <v>-0.2487992</v>
      </c>
      <c r="U5589">
        <v>-0.85940550000000004</v>
      </c>
      <c r="V5589">
        <v>0.20510500000000001</v>
      </c>
      <c r="W5589">
        <v>0.1688152</v>
      </c>
      <c r="X5589">
        <v>0.96407129999999996</v>
      </c>
      <c r="Y5589">
        <v>0.2591291</v>
      </c>
      <c r="Z5589">
        <v>-9.0316679999999996E-3</v>
      </c>
      <c r="AA5589">
        <v>0.96580049999999995</v>
      </c>
      <c r="AB5589">
        <v>27</v>
      </c>
      <c r="AC5589">
        <v>13.6435999999999</v>
      </c>
      <c r="AD5589">
        <v>-1.1608019999999999</v>
      </c>
      <c r="AE5589">
        <v>-4.0065299999999899</v>
      </c>
      <c r="AF5589">
        <v>3.7111143694364701</v>
      </c>
      <c r="AG5589">
        <v>-1.1608019999999999</v>
      </c>
      <c r="AH5589">
        <v>13.629362136002801</v>
      </c>
      <c r="AI5589">
        <v>94.697857794524694</v>
      </c>
      <c r="AJ5589">
        <v>74.768299725543599</v>
      </c>
      <c r="AK5589">
        <v>14.1731910091041</v>
      </c>
      <c r="AL5589">
        <v>80.281061079830593</v>
      </c>
      <c r="AM5589">
        <v>77.9894627845934</v>
      </c>
      <c r="AN5589">
        <v>1.00000005212986</v>
      </c>
    </row>
    <row r="5590" spans="1:40" x14ac:dyDescent="0.25">
      <c r="A5590" t="str">
        <f>"20190312172521072"</f>
        <v>20190312172521072</v>
      </c>
      <c r="B5590" t="str">
        <f>"1552382721065824"</f>
        <v>1552382721065824</v>
      </c>
      <c r="C5590" t="s">
        <v>40</v>
      </c>
      <c r="D5590">
        <v>4.0978000000000003</v>
      </c>
      <c r="E5590">
        <v>0.5242076</v>
      </c>
      <c r="F5590" t="s">
        <v>42</v>
      </c>
      <c r="G5590">
        <v>-318.19119999999998</v>
      </c>
      <c r="H5590">
        <v>-0.05</v>
      </c>
      <c r="I5590">
        <v>12.78595</v>
      </c>
      <c r="J5590">
        <v>-331.84570000000002</v>
      </c>
      <c r="K5590">
        <v>1.1108290000000001</v>
      </c>
      <c r="L5590">
        <v>16.818819999999999</v>
      </c>
      <c r="M5590">
        <v>0.99970970000000003</v>
      </c>
      <c r="N5590">
        <v>0</v>
      </c>
      <c r="O5590">
        <v>-1.9591009999999999E-2</v>
      </c>
      <c r="P5590">
        <v>0.96158840000000001</v>
      </c>
      <c r="Q5590">
        <v>0.1547721</v>
      </c>
      <c r="R5590">
        <v>-0.22670109999999999</v>
      </c>
      <c r="S5590">
        <v>2.9567260000000002</v>
      </c>
      <c r="T5590">
        <v>-0.24878539999999999</v>
      </c>
      <c r="U5590">
        <v>-0.86489869999999902</v>
      </c>
      <c r="V5590">
        <v>0.20772350000000001</v>
      </c>
      <c r="W5590">
        <v>0.1684166</v>
      </c>
      <c r="X5590">
        <v>0.9635802</v>
      </c>
      <c r="Y5590">
        <v>0.26110990000000001</v>
      </c>
      <c r="Z5590">
        <v>-9.1310100000000002E-3</v>
      </c>
      <c r="AA5590">
        <v>0.96526590000000001</v>
      </c>
      <c r="AB5590">
        <v>27</v>
      </c>
      <c r="AC5590">
        <v>13.654500000000001</v>
      </c>
      <c r="AD5590">
        <v>-1.1608290000000001</v>
      </c>
      <c r="AE5590">
        <v>-4.03287</v>
      </c>
      <c r="AF5590">
        <v>3.7397041638334398</v>
      </c>
      <c r="AG5590">
        <v>-1.1608290000000001</v>
      </c>
      <c r="AH5590">
        <v>13.640220399727999</v>
      </c>
      <c r="AI5590">
        <v>94.692011174472995</v>
      </c>
      <c r="AJ5590">
        <v>74.668107079123502</v>
      </c>
      <c r="AK5590">
        <v>14.1911424400359</v>
      </c>
      <c r="AL5590">
        <v>80.304230442496902</v>
      </c>
      <c r="AM5590">
        <v>77.8346512186138</v>
      </c>
      <c r="AN5590">
        <v>1.0000000027199201</v>
      </c>
    </row>
    <row r="5591" spans="1:40" x14ac:dyDescent="0.25">
      <c r="A5591" t="str">
        <f>"20190312172521084"</f>
        <v>20190312172521084</v>
      </c>
      <c r="B5591" t="str">
        <f>"1552382721076560"</f>
        <v>1552382721076560</v>
      </c>
      <c r="C5591" t="s">
        <v>40</v>
      </c>
      <c r="D5591">
        <v>4.1584979999999998</v>
      </c>
      <c r="E5591">
        <v>0.52406540000000001</v>
      </c>
      <c r="F5591" t="s">
        <v>42</v>
      </c>
      <c r="G5591">
        <v>-318.137</v>
      </c>
      <c r="H5591">
        <v>-0.05</v>
      </c>
      <c r="I5591">
        <v>12.778230000000001</v>
      </c>
      <c r="J5591">
        <v>-331.70249999999999</v>
      </c>
      <c r="K5591">
        <v>1.1108469999999999</v>
      </c>
      <c r="L5591">
        <v>16.81616</v>
      </c>
      <c r="M5591">
        <v>0.99971370000000004</v>
      </c>
      <c r="N5591">
        <v>0</v>
      </c>
      <c r="O5591">
        <v>-1.939308E-2</v>
      </c>
      <c r="P5591">
        <v>0.9610976</v>
      </c>
      <c r="Q5591">
        <v>0.1543736</v>
      </c>
      <c r="R5591">
        <v>-0.22904279999999999</v>
      </c>
      <c r="S5591">
        <v>2.9547729999999999</v>
      </c>
      <c r="T5591">
        <v>-0.25020559999999997</v>
      </c>
      <c r="U5591">
        <v>-0.87091059999999998</v>
      </c>
      <c r="V5591">
        <v>0.21025550000000001</v>
      </c>
      <c r="W5591">
        <v>0.1680265</v>
      </c>
      <c r="X5591">
        <v>0.96309900000000004</v>
      </c>
      <c r="Y5591">
        <v>0.26326310000000003</v>
      </c>
      <c r="Z5591">
        <v>-9.2916890000000005E-3</v>
      </c>
      <c r="AA5591">
        <v>0.96467939999999996</v>
      </c>
      <c r="AB5591">
        <v>27</v>
      </c>
      <c r="AC5591">
        <v>13.565499999999901</v>
      </c>
      <c r="AD5591">
        <v>-1.160847</v>
      </c>
      <c r="AE5591">
        <v>-4.0379299999999896</v>
      </c>
      <c r="AF5591">
        <v>3.74885000151182</v>
      </c>
      <c r="AG5591">
        <v>-1.160847</v>
      </c>
      <c r="AH5591">
        <v>13.5501148947085</v>
      </c>
      <c r="AI5591">
        <v>94.720138409367394</v>
      </c>
      <c r="AJ5591">
        <v>74.535066970975194</v>
      </c>
      <c r="AK5591">
        <v>14.1069860619144</v>
      </c>
      <c r="AL5591">
        <v>80.326904448104301</v>
      </c>
      <c r="AM5591">
        <v>77.684896743529606</v>
      </c>
      <c r="AN5591">
        <v>0.99999998189174899</v>
      </c>
    </row>
    <row r="5592" spans="1:40" x14ac:dyDescent="0.25">
      <c r="A5592" t="str">
        <f>"20190312172521095"</f>
        <v>20190312172521095</v>
      </c>
      <c r="B5592" t="str">
        <f>"1552382721086319"</f>
        <v>1552382721086319</v>
      </c>
      <c r="C5592" t="s">
        <v>40</v>
      </c>
      <c r="D5592">
        <v>4.0744999999999996</v>
      </c>
      <c r="E5592">
        <v>0.52393789999999996</v>
      </c>
      <c r="F5592" t="s">
        <v>42</v>
      </c>
      <c r="G5592">
        <v>-318.06979999999999</v>
      </c>
      <c r="H5592">
        <v>-0.05</v>
      </c>
      <c r="I5592">
        <v>12.76787</v>
      </c>
      <c r="J5592">
        <v>-331.56270000000001</v>
      </c>
      <c r="K5592">
        <v>1.1108610000000001</v>
      </c>
      <c r="L5592">
        <v>16.813659999999999</v>
      </c>
      <c r="M5592">
        <v>0.99971779999999999</v>
      </c>
      <c r="N5592">
        <v>0</v>
      </c>
      <c r="O5592">
        <v>-1.9183450000000001E-2</v>
      </c>
      <c r="P5592">
        <v>0.96061569999999996</v>
      </c>
      <c r="Q5592">
        <v>0.15390179999999901</v>
      </c>
      <c r="R5592">
        <v>-0.23136950000000001</v>
      </c>
      <c r="S5592">
        <v>2.9528500000000002</v>
      </c>
      <c r="T5592">
        <v>-0.25143949999999998</v>
      </c>
      <c r="U5592">
        <v>-0.87686160000000002</v>
      </c>
      <c r="V5592">
        <v>0.21278610000000001</v>
      </c>
      <c r="W5592">
        <v>0.16755970000000001</v>
      </c>
      <c r="X5592">
        <v>0.96262440000000005</v>
      </c>
      <c r="Y5592">
        <v>0.26540639999999999</v>
      </c>
      <c r="Z5592">
        <v>-9.4471610000000008E-3</v>
      </c>
      <c r="AA5592">
        <v>0.96409029999999996</v>
      </c>
      <c r="AB5592">
        <v>27</v>
      </c>
      <c r="AC5592">
        <v>13.492900000000001</v>
      </c>
      <c r="AD5592">
        <v>-1.1608609999999999</v>
      </c>
      <c r="AE5592">
        <v>-4.0457900000000002</v>
      </c>
      <c r="AF5592">
        <v>3.7606395082608701</v>
      </c>
      <c r="AG5592">
        <v>-1.1608609999999999</v>
      </c>
      <c r="AH5592">
        <v>13.476511821054499</v>
      </c>
      <c r="AI5592">
        <v>94.742950926197693</v>
      </c>
      <c r="AJ5592">
        <v>74.4081653360643</v>
      </c>
      <c r="AK5592">
        <v>14.0394579181475</v>
      </c>
      <c r="AL5592">
        <v>80.354034518279406</v>
      </c>
      <c r="AM5592">
        <v>77.535325747437696</v>
      </c>
      <c r="AN5592">
        <v>0.999999956446329</v>
      </c>
    </row>
    <row r="5593" spans="1:40" x14ac:dyDescent="0.25">
      <c r="A5593" t="str">
        <f>"20190312172521106"</f>
        <v>20190312172521106</v>
      </c>
      <c r="B5593" t="str">
        <f>"1552382721096079"</f>
        <v>1552382721096079</v>
      </c>
      <c r="C5593" t="s">
        <v>40</v>
      </c>
      <c r="D5593">
        <v>4.1105049999999999</v>
      </c>
      <c r="E5593">
        <v>0.5238138</v>
      </c>
      <c r="F5593" t="s">
        <v>42</v>
      </c>
      <c r="G5593">
        <v>-318.02190000000002</v>
      </c>
      <c r="H5593">
        <v>-0.05</v>
      </c>
      <c r="I5593">
        <v>12.76329</v>
      </c>
      <c r="J5593">
        <v>-331.4307</v>
      </c>
      <c r="K5593">
        <v>1.1108640000000001</v>
      </c>
      <c r="L5593">
        <v>16.811339999999898</v>
      </c>
      <c r="M5593">
        <v>0.99972159999999999</v>
      </c>
      <c r="N5593">
        <v>0</v>
      </c>
      <c r="O5593">
        <v>-1.8977600000000001E-2</v>
      </c>
      <c r="P5593">
        <v>0.96018230000000004</v>
      </c>
      <c r="Q5593">
        <v>0.15347959999999999</v>
      </c>
      <c r="R5593">
        <v>-0.23343939999999999</v>
      </c>
      <c r="S5593">
        <v>2.9509280000000002</v>
      </c>
      <c r="T5593">
        <v>-0.25298379999999998</v>
      </c>
      <c r="U5593">
        <v>-0.88269039999999999</v>
      </c>
      <c r="V5593">
        <v>0.215057</v>
      </c>
      <c r="W5593">
        <v>0.16714079999999901</v>
      </c>
      <c r="X5593">
        <v>0.96219250000000001</v>
      </c>
      <c r="Y5593">
        <v>0.26750629999999997</v>
      </c>
      <c r="Z5593">
        <v>-9.6134500000000008E-3</v>
      </c>
      <c r="AA5593">
        <v>0.96350820000000004</v>
      </c>
      <c r="AB5593">
        <v>27</v>
      </c>
      <c r="AC5593">
        <v>13.4087999999999</v>
      </c>
      <c r="AD5593">
        <v>-1.1608639999999999</v>
      </c>
      <c r="AE5593">
        <v>-4.0480499999999902</v>
      </c>
      <c r="AF5593">
        <v>3.7669532666255598</v>
      </c>
      <c r="AG5593">
        <v>-1.1608639999999999</v>
      </c>
      <c r="AH5593">
        <v>13.391228373376901</v>
      </c>
      <c r="AI5593">
        <v>94.770255532052403</v>
      </c>
      <c r="AJ5593">
        <v>74.288704539412393</v>
      </c>
      <c r="AK5593">
        <v>13.9593173001896</v>
      </c>
      <c r="AL5593">
        <v>80.378379304419894</v>
      </c>
      <c r="AM5593">
        <v>77.401049509460506</v>
      </c>
      <c r="AN5593">
        <v>0.99999998366494403</v>
      </c>
    </row>
    <row r="5594" spans="1:40" x14ac:dyDescent="0.25">
      <c r="A5594" t="str">
        <f>"20190312172521117"</f>
        <v>20190312172521117</v>
      </c>
      <c r="B5594" t="str">
        <f>"1552382721105839"</f>
        <v>1552382721105839</v>
      </c>
      <c r="C5594" t="s">
        <v>40</v>
      </c>
      <c r="D5594">
        <v>4.0837459999999997</v>
      </c>
      <c r="E5594">
        <v>0.52367140000000001</v>
      </c>
      <c r="F5594" t="s">
        <v>42</v>
      </c>
      <c r="G5594">
        <v>-317.97000000000003</v>
      </c>
      <c r="H5594">
        <v>-0.05</v>
      </c>
      <c r="I5594">
        <v>12.75906</v>
      </c>
      <c r="J5594">
        <v>-331.2921</v>
      </c>
      <c r="K5594">
        <v>1.110873</v>
      </c>
      <c r="L5594">
        <v>16.80893</v>
      </c>
      <c r="M5594">
        <v>0.99972589999999995</v>
      </c>
      <c r="N5594">
        <v>0</v>
      </c>
      <c r="O5594">
        <v>-1.875452E-2</v>
      </c>
      <c r="P5594">
        <v>0.95975449999999995</v>
      </c>
      <c r="Q5594">
        <v>0.1531836</v>
      </c>
      <c r="R5594">
        <v>-0.23538619999999999</v>
      </c>
      <c r="S5594">
        <v>2.9492189999999998</v>
      </c>
      <c r="T5594">
        <v>-0.25434400000000001</v>
      </c>
      <c r="U5594">
        <v>-0.88784789999999902</v>
      </c>
      <c r="V5594">
        <v>0.21722259999999999</v>
      </c>
      <c r="W5594">
        <v>0.16684560000000001</v>
      </c>
      <c r="X5594">
        <v>0.96175719999999998</v>
      </c>
      <c r="Y5594">
        <v>0.269403</v>
      </c>
      <c r="Z5594">
        <v>-9.7665849999999995E-3</v>
      </c>
      <c r="AA5594">
        <v>0.962978</v>
      </c>
      <c r="AB5594">
        <v>27</v>
      </c>
      <c r="AC5594">
        <v>13.322099999999899</v>
      </c>
      <c r="AD5594">
        <v>-1.160873</v>
      </c>
      <c r="AE5594">
        <v>-4.0498699999999896</v>
      </c>
      <c r="AF5594">
        <v>3.77305754042751</v>
      </c>
      <c r="AG5594">
        <v>-1.160873</v>
      </c>
      <c r="AH5594">
        <v>13.303248594209</v>
      </c>
      <c r="AI5594">
        <v>94.798794598808996</v>
      </c>
      <c r="AJ5594">
        <v>74.165642135783898</v>
      </c>
      <c r="AK5594">
        <v>13.876599456813199</v>
      </c>
      <c r="AL5594">
        <v>80.395534177384704</v>
      </c>
      <c r="AM5594">
        <v>77.272718365497596</v>
      </c>
      <c r="AN5594">
        <v>1.00000001197098</v>
      </c>
    </row>
    <row r="5595" spans="1:40" x14ac:dyDescent="0.25">
      <c r="A5595" t="str">
        <f>"20190312172521130"</f>
        <v>20190312172521130</v>
      </c>
      <c r="B5595" t="str">
        <f>"1552382721126336"</f>
        <v>1552382721126336</v>
      </c>
      <c r="C5595" t="s">
        <v>40</v>
      </c>
      <c r="D5595">
        <v>4.080165</v>
      </c>
      <c r="E5595">
        <v>0.5180169</v>
      </c>
      <c r="F5595" t="s">
        <v>42</v>
      </c>
      <c r="G5595">
        <v>-317.88850000000002</v>
      </c>
      <c r="H5595">
        <v>-0.05</v>
      </c>
      <c r="I5595">
        <v>12.74966</v>
      </c>
      <c r="J5595">
        <v>-331.14550000000003</v>
      </c>
      <c r="K5595">
        <v>1.1108739999999999</v>
      </c>
      <c r="L5595">
        <v>16.8064</v>
      </c>
      <c r="M5595">
        <v>0.99973029999999996</v>
      </c>
      <c r="N5595">
        <v>0</v>
      </c>
      <c r="O5595">
        <v>-1.851148E-2</v>
      </c>
      <c r="P5595">
        <v>0.95934359999999996</v>
      </c>
      <c r="Q5595">
        <v>0.152941299999999</v>
      </c>
      <c r="R5595">
        <v>-0.2372107</v>
      </c>
      <c r="S5595">
        <v>2.9476010000000001</v>
      </c>
      <c r="T5595">
        <v>-0.2552874</v>
      </c>
      <c r="U5595">
        <v>-0.89266970000000001</v>
      </c>
      <c r="V5595">
        <v>0.21928619999999999</v>
      </c>
      <c r="W5595">
        <v>0.16660249999999999</v>
      </c>
      <c r="X5595">
        <v>0.96133100000000005</v>
      </c>
      <c r="Y5595">
        <v>0.27121230000000002</v>
      </c>
      <c r="Z5595">
        <v>-9.9025889999999998E-3</v>
      </c>
      <c r="AA5595">
        <v>0.96246860000000001</v>
      </c>
      <c r="AB5595">
        <v>27</v>
      </c>
      <c r="AC5595">
        <v>13.257</v>
      </c>
      <c r="AD5595">
        <v>-1.160874</v>
      </c>
      <c r="AE5595">
        <v>-4.0567399999999996</v>
      </c>
      <c r="AF5595">
        <v>3.7840821752423701</v>
      </c>
      <c r="AG5595">
        <v>-1.160874</v>
      </c>
      <c r="AH5595">
        <v>13.2370214642243</v>
      </c>
      <c r="AI5595">
        <v>94.819848885477796</v>
      </c>
      <c r="AJ5595">
        <v>74.046296589754704</v>
      </c>
      <c r="AK5595">
        <v>13.816137072177501</v>
      </c>
      <c r="AL5595">
        <v>80.409660973978106</v>
      </c>
      <c r="AM5595">
        <v>77.150296975564601</v>
      </c>
      <c r="AN5595">
        <v>1.00000006103884</v>
      </c>
    </row>
    <row r="5596" spans="1:40" x14ac:dyDescent="0.25">
      <c r="A5596" t="str">
        <f>"20190312172521143"</f>
        <v>20190312172521143</v>
      </c>
      <c r="B5596" t="str">
        <f>"1552382721135626"</f>
        <v>1552382721135626</v>
      </c>
      <c r="C5596" t="s">
        <v>40</v>
      </c>
      <c r="D5596">
        <v>4.0540059999999896</v>
      </c>
      <c r="E5596">
        <v>0.51794519999999999</v>
      </c>
      <c r="F5596" t="s">
        <v>42</v>
      </c>
      <c r="G5596">
        <v>-318.09050000000002</v>
      </c>
      <c r="H5596">
        <v>-0.05</v>
      </c>
      <c r="I5596">
        <v>13.035869999999999</v>
      </c>
      <c r="J5596">
        <v>-330.99189999999999</v>
      </c>
      <c r="K5596">
        <v>1.110876</v>
      </c>
      <c r="L5596">
        <v>16.803799999999999</v>
      </c>
      <c r="M5596">
        <v>0.99973520000000005</v>
      </c>
      <c r="N5596">
        <v>0</v>
      </c>
      <c r="O5596">
        <v>-1.8254280000000001E-2</v>
      </c>
      <c r="P5596">
        <v>0.95902480000000001</v>
      </c>
      <c r="Q5596">
        <v>0.15265519999999999</v>
      </c>
      <c r="R5596">
        <v>-0.23867959999999999</v>
      </c>
      <c r="S5596">
        <v>2.9578250000000001</v>
      </c>
      <c r="T5596">
        <v>-0.26301529999999901</v>
      </c>
      <c r="U5596">
        <v>-0.8542786</v>
      </c>
      <c r="V5596">
        <v>0.22100710000000001</v>
      </c>
      <c r="W5596">
        <v>0.166315299999999</v>
      </c>
      <c r="X5596">
        <v>0.96098660000000002</v>
      </c>
      <c r="Y5596">
        <v>0.2590172</v>
      </c>
      <c r="Z5596">
        <v>-9.6777709999999999E-3</v>
      </c>
      <c r="AA5596">
        <v>0.96582420000000002</v>
      </c>
      <c r="AB5596">
        <v>27</v>
      </c>
      <c r="AC5596">
        <v>12.901399999999899</v>
      </c>
      <c r="AD5596">
        <v>-1.160876</v>
      </c>
      <c r="AE5596">
        <v>-3.7679299999999998</v>
      </c>
      <c r="AF5596">
        <v>3.50562059075166</v>
      </c>
      <c r="AG5596">
        <v>-1.160876</v>
      </c>
      <c r="AH5596">
        <v>12.87200994722</v>
      </c>
      <c r="AI5596">
        <v>94.973163286060796</v>
      </c>
      <c r="AJ5596">
        <v>74.765298387768993</v>
      </c>
      <c r="AK5596">
        <v>13.3912527007375</v>
      </c>
      <c r="AL5596">
        <v>80.426349343726898</v>
      </c>
      <c r="AM5596">
        <v>77.048357711665702</v>
      </c>
      <c r="AN5596">
        <v>1.00000008132202</v>
      </c>
    </row>
    <row r="5597" spans="1:40" x14ac:dyDescent="0.25">
      <c r="A5597" t="str">
        <f>"20190312172521160"</f>
        <v>20190312172521160</v>
      </c>
      <c r="B5597" t="str">
        <f>"1552382721146362"</f>
        <v>1552382721146362</v>
      </c>
      <c r="C5597" t="s">
        <v>40</v>
      </c>
      <c r="D5597">
        <v>4.1437210000000002</v>
      </c>
      <c r="E5597">
        <v>0.51790619999999998</v>
      </c>
      <c r="F5597" t="s">
        <v>42</v>
      </c>
      <c r="G5597">
        <v>-317.90600000000001</v>
      </c>
      <c r="H5597">
        <v>-0.05</v>
      </c>
      <c r="I5597">
        <v>13.00684</v>
      </c>
      <c r="J5597">
        <v>-330.78579999999999</v>
      </c>
      <c r="K5597">
        <v>1.110868</v>
      </c>
      <c r="L5597">
        <v>16.800350000000002</v>
      </c>
      <c r="M5597">
        <v>0.9997414</v>
      </c>
      <c r="N5597">
        <v>0</v>
      </c>
      <c r="O5597">
        <v>-1.7908819999999999E-2</v>
      </c>
      <c r="P5597">
        <v>0.95831330000000003</v>
      </c>
      <c r="Q5597">
        <v>0.15193199999999901</v>
      </c>
      <c r="R5597">
        <v>-0.2419762</v>
      </c>
      <c r="S5597">
        <v>2.9563899999999999</v>
      </c>
      <c r="T5597">
        <v>-0.2622679</v>
      </c>
      <c r="U5597">
        <v>-0.85781859999999999</v>
      </c>
      <c r="V5597">
        <v>0.22464870000000001</v>
      </c>
      <c r="W5597">
        <v>0.1655845</v>
      </c>
      <c r="X5597">
        <v>0.96026800000000001</v>
      </c>
      <c r="Y5597">
        <v>0.2605402</v>
      </c>
      <c r="Z5597">
        <v>-9.7492919999999997E-3</v>
      </c>
      <c r="AA5597">
        <v>0.96541370000000004</v>
      </c>
      <c r="AB5597">
        <v>27</v>
      </c>
      <c r="AC5597">
        <v>12.8797999999999</v>
      </c>
      <c r="AD5597">
        <v>-1.160868</v>
      </c>
      <c r="AE5597">
        <v>-3.7935099999999999</v>
      </c>
      <c r="AF5597">
        <v>3.5357863881861999</v>
      </c>
      <c r="AG5597">
        <v>-1.160868</v>
      </c>
      <c r="AH5597">
        <v>12.8496254450629</v>
      </c>
      <c r="AI5597">
        <v>94.978187956324703</v>
      </c>
      <c r="AJ5597">
        <v>74.614880399449007</v>
      </c>
      <c r="AK5597">
        <v>13.377678198204499</v>
      </c>
      <c r="AL5597">
        <v>80.468808568054101</v>
      </c>
      <c r="AM5597">
        <v>76.832813542676703</v>
      </c>
      <c r="AN5597">
        <v>0.99999994843796802</v>
      </c>
    </row>
    <row r="5598" spans="1:40" x14ac:dyDescent="0.25">
      <c r="A5598" t="str">
        <f>"20190312172521172"</f>
        <v>20190312172521172</v>
      </c>
      <c r="B5598" t="str">
        <f>"1552382721165883"</f>
        <v>1552382721165883</v>
      </c>
      <c r="C5598" t="s">
        <v>40</v>
      </c>
      <c r="D5598">
        <v>4.0641780000000001</v>
      </c>
      <c r="E5598">
        <v>0.51764540000000003</v>
      </c>
      <c r="F5598" t="s">
        <v>42</v>
      </c>
      <c r="G5598">
        <v>-317.85109999999997</v>
      </c>
      <c r="H5598">
        <v>-0.05</v>
      </c>
      <c r="I5598">
        <v>13.00046</v>
      </c>
      <c r="J5598">
        <v>-330.63869999999997</v>
      </c>
      <c r="K5598">
        <v>1.1108640000000001</v>
      </c>
      <c r="L5598">
        <v>16.797969999999999</v>
      </c>
      <c r="M5598">
        <v>0.99974549999999995</v>
      </c>
      <c r="N5598">
        <v>0</v>
      </c>
      <c r="O5598">
        <v>-1.766829E-2</v>
      </c>
      <c r="P5598">
        <v>0.95809219999999895</v>
      </c>
      <c r="Q5598">
        <v>0.1512259</v>
      </c>
      <c r="R5598">
        <v>-0.24329049999999999</v>
      </c>
      <c r="S5598">
        <v>2.95343</v>
      </c>
      <c r="T5598">
        <v>-0.26506459999999998</v>
      </c>
      <c r="U5598">
        <v>-0.86764529999999995</v>
      </c>
      <c r="V5598">
        <v>0.2261997</v>
      </c>
      <c r="W5598">
        <v>0.16487489999999999</v>
      </c>
      <c r="X5598">
        <v>0.96002600000000005</v>
      </c>
      <c r="Y5598">
        <v>0.26395629999999998</v>
      </c>
      <c r="Z5598">
        <v>-1.0028749999999999E-2</v>
      </c>
      <c r="AA5598">
        <v>0.96448250000000002</v>
      </c>
      <c r="AB5598">
        <v>27</v>
      </c>
      <c r="AC5598">
        <v>12.7875999999999</v>
      </c>
      <c r="AD5598">
        <v>-1.1608639999999999</v>
      </c>
      <c r="AE5598">
        <v>-3.7975099999999902</v>
      </c>
      <c r="AF5598">
        <v>3.54411949778761</v>
      </c>
      <c r="AG5598">
        <v>-1.1608639999999999</v>
      </c>
      <c r="AH5598">
        <v>12.756101023198999</v>
      </c>
      <c r="AI5598">
        <v>95.011062841251601</v>
      </c>
      <c r="AJ5598">
        <v>74.472727850276101</v>
      </c>
      <c r="AK5598">
        <v>13.290090351655</v>
      </c>
      <c r="AL5598">
        <v>80.510032562311096</v>
      </c>
      <c r="AM5598">
        <v>76.741881130243002</v>
      </c>
      <c r="AN5598">
        <v>0.99999997880304903</v>
      </c>
    </row>
    <row r="5599" spans="1:40" x14ac:dyDescent="0.25">
      <c r="A5599" t="str">
        <f>"20190312172521183"</f>
        <v>20190312172521183</v>
      </c>
      <c r="B5599" t="str">
        <f>"1552382721175642"</f>
        <v>1552382721175642</v>
      </c>
      <c r="C5599" t="s">
        <v>40</v>
      </c>
      <c r="D5599">
        <v>4.0694249999999998</v>
      </c>
      <c r="E5599">
        <v>0.51762370000000002</v>
      </c>
      <c r="F5599" t="s">
        <v>42</v>
      </c>
      <c r="G5599">
        <v>-317.88749999999999</v>
      </c>
      <c r="H5599">
        <v>-0.05</v>
      </c>
      <c r="I5599">
        <v>13.04097</v>
      </c>
      <c r="J5599">
        <v>-330.49360000000001</v>
      </c>
      <c r="K5599">
        <v>1.110859</v>
      </c>
      <c r="L5599">
        <v>16.795649999999998</v>
      </c>
      <c r="M5599">
        <v>0.99974969999999996</v>
      </c>
      <c r="N5599">
        <v>0</v>
      </c>
      <c r="O5599">
        <v>-1.7435539999999999E-2</v>
      </c>
      <c r="P5599">
        <v>0.95791700000000002</v>
      </c>
      <c r="Q5599">
        <v>0.15039959999999999</v>
      </c>
      <c r="R5599">
        <v>-0.2444896</v>
      </c>
      <c r="S5599">
        <v>2.952728</v>
      </c>
      <c r="T5599">
        <v>-0.26881680000000002</v>
      </c>
      <c r="U5599">
        <v>-0.86999509999999902</v>
      </c>
      <c r="V5599">
        <v>0.22762779999999999</v>
      </c>
      <c r="W5599">
        <v>0.1640442</v>
      </c>
      <c r="X5599">
        <v>0.95983079999999998</v>
      </c>
      <c r="Y5599">
        <v>0.2649185</v>
      </c>
      <c r="Z5599">
        <v>-1.023486E-2</v>
      </c>
      <c r="AA5599">
        <v>0.96421650000000003</v>
      </c>
      <c r="AB5599">
        <v>27</v>
      </c>
      <c r="AC5599">
        <v>12.6061</v>
      </c>
      <c r="AD5599">
        <v>-1.1608590000000001</v>
      </c>
      <c r="AE5599">
        <v>-3.7546799999999898</v>
      </c>
      <c r="AF5599">
        <v>3.5069773650587002</v>
      </c>
      <c r="AG5599">
        <v>-1.1608590000000001</v>
      </c>
      <c r="AH5599">
        <v>12.571732862614001</v>
      </c>
      <c r="AI5599">
        <v>95.082683861679101</v>
      </c>
      <c r="AJ5599">
        <v>74.413164553880094</v>
      </c>
      <c r="AK5599">
        <v>13.103242004398901</v>
      </c>
      <c r="AL5599">
        <v>80.558285765697207</v>
      </c>
      <c r="AM5599">
        <v>76.658543957940296</v>
      </c>
      <c r="AN5599">
        <v>1.0000000397575499</v>
      </c>
    </row>
    <row r="5600" spans="1:40" x14ac:dyDescent="0.25">
      <c r="A5600" t="str">
        <f>"20190312172521194"</f>
        <v>20190312172521194</v>
      </c>
      <c r="B5600" t="str">
        <f>"1552382721186378"</f>
        <v>1552382721186378</v>
      </c>
      <c r="C5600" t="s">
        <v>40</v>
      </c>
      <c r="D5600">
        <v>4.0596379999999996</v>
      </c>
      <c r="E5600">
        <v>0.51756519999999995</v>
      </c>
      <c r="F5600" t="s">
        <v>42</v>
      </c>
      <c r="G5600">
        <v>-317.82859999999999</v>
      </c>
      <c r="H5600">
        <v>-0.05</v>
      </c>
      <c r="I5600">
        <v>13.04716</v>
      </c>
      <c r="J5600">
        <v>-330.36709999999999</v>
      </c>
      <c r="K5600">
        <v>1.110851</v>
      </c>
      <c r="L5600">
        <v>16.79364</v>
      </c>
      <c r="M5600">
        <v>0.999753</v>
      </c>
      <c r="N5600">
        <v>0</v>
      </c>
      <c r="O5600">
        <v>-1.7244200000000001E-2</v>
      </c>
      <c r="P5600">
        <v>0.95761309999999999</v>
      </c>
      <c r="Q5600">
        <v>0.1499364</v>
      </c>
      <c r="R5600">
        <v>-0.24596000000000001</v>
      </c>
      <c r="S5600">
        <v>2.9512939999999999</v>
      </c>
      <c r="T5600">
        <v>-0.27051310000000001</v>
      </c>
      <c r="U5600">
        <v>-0.87350459999999996</v>
      </c>
      <c r="V5600">
        <v>0.2292902</v>
      </c>
      <c r="W5600">
        <v>0.16357339999999901</v>
      </c>
      <c r="X5600">
        <v>0.95951540000000002</v>
      </c>
      <c r="Y5600">
        <v>0.266266</v>
      </c>
      <c r="Z5600">
        <v>-1.037975E-2</v>
      </c>
      <c r="AA5600">
        <v>0.96384369999999997</v>
      </c>
      <c r="AB5600">
        <v>27</v>
      </c>
      <c r="AC5600">
        <v>12.538500000000001</v>
      </c>
      <c r="AD5600">
        <v>-1.1608510000000001</v>
      </c>
      <c r="AE5600">
        <v>-3.74648</v>
      </c>
      <c r="AF5600">
        <v>3.50212676136996</v>
      </c>
      <c r="AG5600">
        <v>-1.1608510000000001</v>
      </c>
      <c r="AH5600">
        <v>12.5028610553015</v>
      </c>
      <c r="AI5600">
        <v>95.108985127658201</v>
      </c>
      <c r="AJ5600">
        <v>74.352120338889193</v>
      </c>
      <c r="AK5600">
        <v>13.035873636434101</v>
      </c>
      <c r="AL5600">
        <v>80.585629868144594</v>
      </c>
      <c r="AM5600">
        <v>76.560373749325805</v>
      </c>
      <c r="AN5600">
        <v>1.00000002792037</v>
      </c>
    </row>
    <row r="5601" spans="1:40" x14ac:dyDescent="0.25">
      <c r="A5601" t="str">
        <f>"20190312172521203"</f>
        <v>20190312172521203</v>
      </c>
      <c r="B5601" t="str">
        <f>"1552382721196139"</f>
        <v>1552382721196139</v>
      </c>
      <c r="C5601" t="s">
        <v>40</v>
      </c>
      <c r="D5601">
        <v>4.0486870000000001</v>
      </c>
      <c r="E5601">
        <v>0.51748130000000003</v>
      </c>
      <c r="F5601" t="s">
        <v>42</v>
      </c>
      <c r="G5601">
        <v>-317.90269999999998</v>
      </c>
      <c r="H5601">
        <v>-0.05</v>
      </c>
      <c r="I5601">
        <v>13.086399999999999</v>
      </c>
      <c r="J5601">
        <v>-330.24740000000003</v>
      </c>
      <c r="K5601">
        <v>1.110843</v>
      </c>
      <c r="L5601">
        <v>16.79175</v>
      </c>
      <c r="M5601">
        <v>0.99975610000000004</v>
      </c>
      <c r="N5601">
        <v>0</v>
      </c>
      <c r="O5601">
        <v>-1.7068610000000001E-2</v>
      </c>
      <c r="P5601">
        <v>0.95731900000000003</v>
      </c>
      <c r="Q5601">
        <v>0.14923549999999999</v>
      </c>
      <c r="R5601">
        <v>-0.2475262</v>
      </c>
      <c r="S5601">
        <v>2.9504090000000001</v>
      </c>
      <c r="T5601">
        <v>-0.27478190000000002</v>
      </c>
      <c r="U5601">
        <v>-0.87753300000000001</v>
      </c>
      <c r="V5601">
        <v>0.2310334</v>
      </c>
      <c r="W5601">
        <v>0.16286489999999901</v>
      </c>
      <c r="X5601">
        <v>0.95921769999999995</v>
      </c>
      <c r="Y5601">
        <v>0.26768619999999999</v>
      </c>
      <c r="Z5601">
        <v>-1.062448E-2</v>
      </c>
      <c r="AA5601">
        <v>0.96344759999999996</v>
      </c>
      <c r="AB5601">
        <v>27</v>
      </c>
      <c r="AC5601">
        <v>12.3447</v>
      </c>
      <c r="AD5601">
        <v>-1.1608430000000001</v>
      </c>
      <c r="AE5601">
        <v>-3.7053500000000001</v>
      </c>
      <c r="AF5601">
        <v>3.4659670084554302</v>
      </c>
      <c r="AG5601">
        <v>-1.1608430000000001</v>
      </c>
      <c r="AH5601">
        <v>12.3063251626893</v>
      </c>
      <c r="AI5601">
        <v>95.188037108617195</v>
      </c>
      <c r="AJ5601">
        <v>74.2705982869943</v>
      </c>
      <c r="AK5601">
        <v>12.837683700114701</v>
      </c>
      <c r="AL5601">
        <v>80.626775452741299</v>
      </c>
      <c r="AM5601">
        <v>76.457898212881801</v>
      </c>
      <c r="AN5601">
        <v>1.00000000178042</v>
      </c>
    </row>
    <row r="5602" spans="1:40" x14ac:dyDescent="0.25">
      <c r="A5602" t="str">
        <f>"20190312172521214"</f>
        <v>20190312172521214</v>
      </c>
      <c r="B5602" t="str">
        <f>"1552382721205898"</f>
        <v>1552382721205898</v>
      </c>
      <c r="C5602" t="s">
        <v>40</v>
      </c>
      <c r="D5602">
        <v>4.0922780000000003</v>
      </c>
      <c r="E5602">
        <v>0.51747349999999903</v>
      </c>
      <c r="F5602" t="s">
        <v>42</v>
      </c>
      <c r="G5602">
        <v>-317.96699999999998</v>
      </c>
      <c r="H5602">
        <v>-0.05</v>
      </c>
      <c r="I5602">
        <v>13.11992</v>
      </c>
      <c r="J5602">
        <v>-330.1155</v>
      </c>
      <c r="K5602">
        <v>1.11083</v>
      </c>
      <c r="L5602">
        <v>16.7897</v>
      </c>
      <c r="M5602">
        <v>0.99975919999999896</v>
      </c>
      <c r="N5602">
        <v>0</v>
      </c>
      <c r="O5602">
        <v>-1.688916E-2</v>
      </c>
      <c r="P5602">
        <v>0.95704109999999998</v>
      </c>
      <c r="Q5602">
        <v>0.148753</v>
      </c>
      <c r="R5602">
        <v>-0.24888730000000001</v>
      </c>
      <c r="S5602">
        <v>2.9491879999999999</v>
      </c>
      <c r="T5602">
        <v>-0.27878049999999999</v>
      </c>
      <c r="U5602">
        <v>-0.88180539999999996</v>
      </c>
      <c r="V5602">
        <v>0.23257700000000001</v>
      </c>
      <c r="W5602">
        <v>0.1623713</v>
      </c>
      <c r="X5602">
        <v>0.95892829999999996</v>
      </c>
      <c r="Y5602">
        <v>0.26921309999999998</v>
      </c>
      <c r="Z5602">
        <v>-1.086755E-2</v>
      </c>
      <c r="AA5602">
        <v>0.96301930000000002</v>
      </c>
      <c r="AB5602">
        <v>27</v>
      </c>
      <c r="AC5602">
        <v>12.1485</v>
      </c>
      <c r="AD5602">
        <v>-1.16083</v>
      </c>
      <c r="AE5602">
        <v>-3.6697799999999998</v>
      </c>
      <c r="AF5602">
        <v>3.4353152342171498</v>
      </c>
      <c r="AG5602">
        <v>-1.16083</v>
      </c>
      <c r="AH5602">
        <v>12.107449971481</v>
      </c>
      <c r="AI5602">
        <v>95.269845940342094</v>
      </c>
      <c r="AJ5602">
        <v>74.159470026339903</v>
      </c>
      <c r="AK5602">
        <v>12.638799858343299</v>
      </c>
      <c r="AL5602">
        <v>80.655438087117503</v>
      </c>
      <c r="AM5602">
        <v>76.366823979709906</v>
      </c>
      <c r="AN5602">
        <v>0.99999999226679004</v>
      </c>
    </row>
    <row r="5603" spans="1:40" x14ac:dyDescent="0.25">
      <c r="A5603" t="str">
        <f>"20190312172521226"</f>
        <v>20190312172521226</v>
      </c>
      <c r="B5603" t="str">
        <f>"1552382721215659"</f>
        <v>1552382721215659</v>
      </c>
      <c r="C5603" t="s">
        <v>40</v>
      </c>
      <c r="D5603">
        <v>4.06053</v>
      </c>
      <c r="E5603">
        <v>0.51732020000000001</v>
      </c>
      <c r="F5603" t="s">
        <v>42</v>
      </c>
      <c r="G5603">
        <v>-317.96559999999999</v>
      </c>
      <c r="H5603">
        <v>-0.05</v>
      </c>
      <c r="I5603">
        <v>13.13998</v>
      </c>
      <c r="J5603">
        <v>-329.98270000000002</v>
      </c>
      <c r="K5603">
        <v>1.110811</v>
      </c>
      <c r="L5603">
        <v>16.787659999999999</v>
      </c>
      <c r="M5603">
        <v>0.99976189999999998</v>
      </c>
      <c r="N5603">
        <v>0</v>
      </c>
      <c r="O5603">
        <v>-1.6720369999999998E-2</v>
      </c>
      <c r="P5603">
        <v>0.95668739999999997</v>
      </c>
      <c r="Q5603">
        <v>0.1487482</v>
      </c>
      <c r="R5603">
        <v>-0.25024629999999998</v>
      </c>
      <c r="S5603">
        <v>2.9481199999999999</v>
      </c>
      <c r="T5603">
        <v>-0.28167130000000001</v>
      </c>
      <c r="U5603">
        <v>-0.88558959999999998</v>
      </c>
      <c r="V5603">
        <v>0.2341097</v>
      </c>
      <c r="W5603">
        <v>0.162353</v>
      </c>
      <c r="X5603">
        <v>0.95855840000000003</v>
      </c>
      <c r="Y5603">
        <v>0.27057730000000002</v>
      </c>
      <c r="Z5603">
        <v>-1.106095E-2</v>
      </c>
      <c r="AA5603">
        <v>0.96263469999999995</v>
      </c>
      <c r="AB5603">
        <v>27</v>
      </c>
      <c r="AC5603">
        <v>12.017099999999999</v>
      </c>
      <c r="AD5603">
        <v>-1.160811</v>
      </c>
      <c r="AE5603">
        <v>-3.6476799999999998</v>
      </c>
      <c r="AF5603">
        <v>3.4170257806828901</v>
      </c>
      <c r="AG5603">
        <v>-1.160811</v>
      </c>
      <c r="AH5603">
        <v>11.974112930306401</v>
      </c>
      <c r="AI5603">
        <v>95.325829938298497</v>
      </c>
      <c r="AJ5603">
        <v>74.072961808559597</v>
      </c>
      <c r="AK5603">
        <v>12.5061156172212</v>
      </c>
      <c r="AL5603">
        <v>80.656501029018798</v>
      </c>
      <c r="AM5603">
        <v>76.275270861897198</v>
      </c>
      <c r="AN5603">
        <v>1.0000000272268199</v>
      </c>
    </row>
    <row r="5604" spans="1:40" x14ac:dyDescent="0.25">
      <c r="A5604" t="str">
        <f>"20190312172521237"</f>
        <v>20190312172521237</v>
      </c>
      <c r="B5604" t="str">
        <f>"1552382721226395"</f>
        <v>1552382721226395</v>
      </c>
      <c r="C5604" t="s">
        <v>40</v>
      </c>
      <c r="D5604">
        <v>4.0842140000000002</v>
      </c>
      <c r="E5604">
        <v>0.51722900000000005</v>
      </c>
      <c r="F5604" t="s">
        <v>42</v>
      </c>
      <c r="G5604">
        <v>-317.90230000000003</v>
      </c>
      <c r="H5604">
        <v>-0.05</v>
      </c>
      <c r="I5604">
        <v>13.146380000000001</v>
      </c>
      <c r="J5604">
        <v>-329.84890000000001</v>
      </c>
      <c r="K5604">
        <v>1.1107940000000001</v>
      </c>
      <c r="L5604">
        <v>16.785609999999998</v>
      </c>
      <c r="M5604">
        <v>0.99976449999999994</v>
      </c>
      <c r="N5604">
        <v>0</v>
      </c>
      <c r="O5604">
        <v>-1.6566190000000001E-2</v>
      </c>
      <c r="P5604">
        <v>0.95636049999999995</v>
      </c>
      <c r="Q5604">
        <v>0.14872869999999999</v>
      </c>
      <c r="R5604">
        <v>-0.25150470000000003</v>
      </c>
      <c r="S5604">
        <v>2.947479</v>
      </c>
      <c r="T5604">
        <v>-0.28322370000000002</v>
      </c>
      <c r="U5604">
        <v>-0.88842770000000004</v>
      </c>
      <c r="V5604">
        <v>0.23552909999999999</v>
      </c>
      <c r="W5604">
        <v>0.1623182</v>
      </c>
      <c r="X5604">
        <v>0.95821650000000003</v>
      </c>
      <c r="Y5604">
        <v>0.27161629999999998</v>
      </c>
      <c r="Z5604">
        <v>-1.118564E-2</v>
      </c>
      <c r="AA5604">
        <v>0.96234059999999999</v>
      </c>
      <c r="AB5604">
        <v>27</v>
      </c>
      <c r="AC5604">
        <v>11.946599999999901</v>
      </c>
      <c r="AD5604">
        <v>-1.1607940000000001</v>
      </c>
      <c r="AE5604">
        <v>-3.63923</v>
      </c>
      <c r="AF5604">
        <v>3.4113296353623102</v>
      </c>
      <c r="AG5604">
        <v>-1.1607940000000001</v>
      </c>
      <c r="AH5604">
        <v>11.902424814502901</v>
      </c>
      <c r="AI5604">
        <v>95.355897128700903</v>
      </c>
      <c r="AJ5604">
        <v>74.007276218514704</v>
      </c>
      <c r="AK5604">
        <v>12.435928958322</v>
      </c>
      <c r="AL5604">
        <v>80.658521543579795</v>
      </c>
      <c r="AM5604">
        <v>76.190495317667299</v>
      </c>
      <c r="AN5604">
        <v>1.0000000079351401</v>
      </c>
    </row>
    <row r="5605" spans="1:40" x14ac:dyDescent="0.25">
      <c r="A5605" t="str">
        <f>"20190312172521248"</f>
        <v>20190312172521248</v>
      </c>
      <c r="B5605" t="str">
        <f>"1552382721236154"</f>
        <v>1552382721236154</v>
      </c>
      <c r="C5605" t="s">
        <v>40</v>
      </c>
      <c r="D5605">
        <v>4.067145</v>
      </c>
      <c r="E5605">
        <v>0.51714269999999996</v>
      </c>
      <c r="F5605" t="s">
        <v>42</v>
      </c>
      <c r="G5605">
        <v>-317.82560000000001</v>
      </c>
      <c r="H5605">
        <v>-0.05</v>
      </c>
      <c r="I5605">
        <v>13.14931</v>
      </c>
      <c r="J5605">
        <v>-329.71440000000001</v>
      </c>
      <c r="K5605">
        <v>1.110771</v>
      </c>
      <c r="L5605">
        <v>16.783539999999999</v>
      </c>
      <c r="M5605">
        <v>0.99976670000000001</v>
      </c>
      <c r="N5605">
        <v>0</v>
      </c>
      <c r="O5605">
        <v>-1.643559E-2</v>
      </c>
      <c r="P5605">
        <v>0.95600450000000003</v>
      </c>
      <c r="Q5605">
        <v>0.1489202</v>
      </c>
      <c r="R5605">
        <v>-0.25274160000000001</v>
      </c>
      <c r="S5605">
        <v>2.9467469999999998</v>
      </c>
      <c r="T5605">
        <v>-0.28449400000000002</v>
      </c>
      <c r="U5605">
        <v>-0.89120480000000002</v>
      </c>
      <c r="V5605">
        <v>0.23690720000000001</v>
      </c>
      <c r="W5605">
        <v>0.16248989999999999</v>
      </c>
      <c r="X5605">
        <v>0.95784760000000002</v>
      </c>
      <c r="Y5605">
        <v>0.27262439999999999</v>
      </c>
      <c r="Z5605">
        <v>-1.1296550000000001E-2</v>
      </c>
      <c r="AA5605">
        <v>0.96205430000000003</v>
      </c>
      <c r="AB5605">
        <v>27</v>
      </c>
      <c r="AC5605">
        <v>11.8888</v>
      </c>
      <c r="AD5605">
        <v>-1.160771</v>
      </c>
      <c r="AE5605">
        <v>-3.6342299999999899</v>
      </c>
      <c r="AF5605">
        <v>3.4086039067396499</v>
      </c>
      <c r="AG5605">
        <v>-1.160771</v>
      </c>
      <c r="AH5605">
        <v>11.843676313983799</v>
      </c>
      <c r="AI5605">
        <v>95.380511226759396</v>
      </c>
      <c r="AJ5605">
        <v>73.944208927941602</v>
      </c>
      <c r="AK5605">
        <v>12.378959509502501</v>
      </c>
      <c r="AL5605">
        <v>80.648551489814196</v>
      </c>
      <c r="AM5605">
        <v>76.107672473807796</v>
      </c>
      <c r="AN5605">
        <v>1.0000000069198001</v>
      </c>
    </row>
    <row r="5606" spans="1:40" x14ac:dyDescent="0.25">
      <c r="A5606" t="str">
        <f>"20190312172521259"</f>
        <v>20190312172521259</v>
      </c>
      <c r="B5606" t="str">
        <f>"1552382721255675"</f>
        <v>1552382721255675</v>
      </c>
      <c r="C5606" t="s">
        <v>40</v>
      </c>
      <c r="D5606">
        <v>4.0254019999999997</v>
      </c>
      <c r="E5606">
        <v>0.51677689999999998</v>
      </c>
      <c r="F5606" t="s">
        <v>42</v>
      </c>
      <c r="G5606">
        <v>-317.7217</v>
      </c>
      <c r="H5606">
        <v>-0.05</v>
      </c>
      <c r="I5606">
        <v>13.14162</v>
      </c>
      <c r="J5606">
        <v>-329.57769999999999</v>
      </c>
      <c r="K5606">
        <v>1.110744</v>
      </c>
      <c r="L5606">
        <v>16.78143</v>
      </c>
      <c r="M5606">
        <v>0.99976860000000001</v>
      </c>
      <c r="N5606">
        <v>0</v>
      </c>
      <c r="O5606">
        <v>-1.6316859999999999E-2</v>
      </c>
      <c r="P5606">
        <v>0.95562409999999998</v>
      </c>
      <c r="Q5606">
        <v>0.1490851</v>
      </c>
      <c r="R5606">
        <v>-0.2540791</v>
      </c>
      <c r="S5606">
        <v>2.9459529999999998</v>
      </c>
      <c r="T5606">
        <v>-0.28513899999999998</v>
      </c>
      <c r="U5606">
        <v>-0.89462280000000005</v>
      </c>
      <c r="V5606">
        <v>0.238376</v>
      </c>
      <c r="W5606">
        <v>0.16263250000000001</v>
      </c>
      <c r="X5606">
        <v>0.9574589</v>
      </c>
      <c r="Y5606">
        <v>0.2738218</v>
      </c>
      <c r="Z5606">
        <v>-1.1390849999999999E-2</v>
      </c>
      <c r="AA5606">
        <v>0.96171300000000004</v>
      </c>
      <c r="AB5606">
        <v>27</v>
      </c>
      <c r="AC5606">
        <v>11.8559999999999</v>
      </c>
      <c r="AD5606">
        <v>-1.160744</v>
      </c>
      <c r="AE5606">
        <v>-3.63980999999999</v>
      </c>
      <c r="AF5606">
        <v>3.4159317387106198</v>
      </c>
      <c r="AG5606">
        <v>-1.160744</v>
      </c>
      <c r="AH5606">
        <v>11.8103643748635</v>
      </c>
      <c r="AI5606">
        <v>95.393427480043599</v>
      </c>
      <c r="AJ5606">
        <v>73.868454876242495</v>
      </c>
      <c r="AK5606">
        <v>12.3491142574726</v>
      </c>
      <c r="AL5606">
        <v>80.6402708678457</v>
      </c>
      <c r="AM5606">
        <v>76.019456438885697</v>
      </c>
      <c r="AN5606">
        <v>0.99999999631073</v>
      </c>
    </row>
    <row r="5607" spans="1:40" x14ac:dyDescent="0.25">
      <c r="A5607" t="str">
        <f>"20190312172521271"</f>
        <v>20190312172521271</v>
      </c>
      <c r="B5607" t="str">
        <f>"1552382721266410"</f>
        <v>1552382721266410</v>
      </c>
      <c r="C5607" t="s">
        <v>40</v>
      </c>
      <c r="D5607">
        <v>4.0464830000000003</v>
      </c>
      <c r="E5607">
        <v>0.51657949999999997</v>
      </c>
      <c r="F5607" t="s">
        <v>42</v>
      </c>
      <c r="G5607">
        <v>-317.55959999999999</v>
      </c>
      <c r="H5607">
        <v>-0.05</v>
      </c>
      <c r="I5607">
        <v>13.12547</v>
      </c>
      <c r="J5607">
        <v>-329.44170000000003</v>
      </c>
      <c r="K5607">
        <v>1.110717</v>
      </c>
      <c r="L5607">
        <v>16.779329999999899</v>
      </c>
      <c r="M5607">
        <v>0.99977000000000005</v>
      </c>
      <c r="N5607">
        <v>0</v>
      </c>
      <c r="O5607">
        <v>-1.6233020000000001E-2</v>
      </c>
      <c r="P5607">
        <v>0.95530440000000005</v>
      </c>
      <c r="Q5607">
        <v>0.14946309999999999</v>
      </c>
      <c r="R5607">
        <v>-0.25505810000000001</v>
      </c>
      <c r="S5607">
        <v>2.9454959999999999</v>
      </c>
      <c r="T5607">
        <v>-0.28448299999999999</v>
      </c>
      <c r="U5607">
        <v>-0.89602660000000001</v>
      </c>
      <c r="V5607">
        <v>0.23945369999999999</v>
      </c>
      <c r="W5607">
        <v>0.162985299999999</v>
      </c>
      <c r="X5607">
        <v>0.95713000000000004</v>
      </c>
      <c r="Y5607">
        <v>0.27436579999999999</v>
      </c>
      <c r="Z5607">
        <v>-1.13992E-2</v>
      </c>
      <c r="AA5607">
        <v>0.96155789999999997</v>
      </c>
      <c r="AB5607">
        <v>27</v>
      </c>
      <c r="AC5607">
        <v>11.882099999999999</v>
      </c>
      <c r="AD5607">
        <v>-1.160717</v>
      </c>
      <c r="AE5607">
        <v>-3.6538599999999901</v>
      </c>
      <c r="AF5607">
        <v>3.4305688253848499</v>
      </c>
      <c r="AG5607">
        <v>-1.160717</v>
      </c>
      <c r="AH5607">
        <v>11.8366589382209</v>
      </c>
      <c r="AI5607">
        <v>95.380543277250197</v>
      </c>
      <c r="AJ5607">
        <v>73.837049491174298</v>
      </c>
      <c r="AK5607">
        <v>12.3783101124328</v>
      </c>
      <c r="AL5607">
        <v>80.619784167107198</v>
      </c>
      <c r="AM5607">
        <v>75.954111398566397</v>
      </c>
      <c r="AN5607">
        <v>1.0000000596798799</v>
      </c>
    </row>
    <row r="5608" spans="1:40" x14ac:dyDescent="0.25">
      <c r="A5608" t="str">
        <f>"20190312172521283"</f>
        <v>20190312172521283</v>
      </c>
      <c r="B5608" t="str">
        <f>"1552382721276170"</f>
        <v>1552382721276170</v>
      </c>
      <c r="C5608" t="s">
        <v>40</v>
      </c>
      <c r="D5608">
        <v>4.062201</v>
      </c>
      <c r="E5608">
        <v>0.51655169999999995</v>
      </c>
      <c r="F5608" t="s">
        <v>42</v>
      </c>
      <c r="G5608">
        <v>-317.37150000000003</v>
      </c>
      <c r="H5608">
        <v>-0.05</v>
      </c>
      <c r="I5608">
        <v>13.10046</v>
      </c>
      <c r="J5608">
        <v>-329.3014</v>
      </c>
      <c r="K5608">
        <v>1.1106830000000001</v>
      </c>
      <c r="L5608">
        <v>16.77713</v>
      </c>
      <c r="M5608">
        <v>0.99977119999999997</v>
      </c>
      <c r="N5608">
        <v>0</v>
      </c>
      <c r="O5608">
        <v>-1.6158519999999999E-2</v>
      </c>
      <c r="P5608">
        <v>0.95498309999999997</v>
      </c>
      <c r="Q5608">
        <v>0.14976239999999999</v>
      </c>
      <c r="R5608">
        <v>-0.25608340000000002</v>
      </c>
      <c r="S5608">
        <v>2.9450069999999999</v>
      </c>
      <c r="T5608">
        <v>-0.28320469999999998</v>
      </c>
      <c r="U5608">
        <v>-0.89761349999999995</v>
      </c>
      <c r="V5608">
        <v>0.24057000000000001</v>
      </c>
      <c r="W5608">
        <v>0.16325819999999999</v>
      </c>
      <c r="X5608">
        <v>0.95680339999999997</v>
      </c>
      <c r="Y5608">
        <v>0.2749627</v>
      </c>
      <c r="Z5608">
        <v>-1.1384119999999999E-2</v>
      </c>
      <c r="AA5608">
        <v>0.96138749999999995</v>
      </c>
      <c r="AB5608">
        <v>27</v>
      </c>
      <c r="AC5608">
        <v>11.9298999999999</v>
      </c>
      <c r="AD5608">
        <v>-1.1606829999999999</v>
      </c>
      <c r="AE5608">
        <v>-3.6766700000000001</v>
      </c>
      <c r="AF5608">
        <v>3.45354673939549</v>
      </c>
      <c r="AG5608">
        <v>-1.1606829999999999</v>
      </c>
      <c r="AH5608">
        <v>11.8850158005475</v>
      </c>
      <c r="AI5608">
        <v>95.357547729158597</v>
      </c>
      <c r="AJ5608">
        <v>73.797197277660203</v>
      </c>
      <c r="AK5608">
        <v>12.4309199453195</v>
      </c>
      <c r="AL5608">
        <v>80.603934889282101</v>
      </c>
      <c r="AM5608">
        <v>75.886617257385893</v>
      </c>
      <c r="AN5608">
        <v>0.99999995550939902</v>
      </c>
    </row>
    <row r="5609" spans="1:40" x14ac:dyDescent="0.25">
      <c r="A5609" t="str">
        <f>"20190312172521293"</f>
        <v>20190312172521293</v>
      </c>
      <c r="B5609" t="str">
        <f>"1552382721285930"</f>
        <v>1552382721285930</v>
      </c>
      <c r="C5609" t="s">
        <v>40</v>
      </c>
      <c r="D5609">
        <v>4.0722950000000004</v>
      </c>
      <c r="E5609">
        <v>0.51649140000000004</v>
      </c>
      <c r="F5609" t="s">
        <v>42</v>
      </c>
      <c r="G5609">
        <v>-317.22449999999998</v>
      </c>
      <c r="H5609">
        <v>-0.05</v>
      </c>
      <c r="I5609">
        <v>13.08183</v>
      </c>
      <c r="J5609">
        <v>-329.16359999999997</v>
      </c>
      <c r="K5609">
        <v>1.1106370000000001</v>
      </c>
      <c r="L5609">
        <v>16.774989999999999</v>
      </c>
      <c r="M5609">
        <v>0.99977179999999999</v>
      </c>
      <c r="N5609">
        <v>0</v>
      </c>
      <c r="O5609">
        <v>-1.6132150000000001E-2</v>
      </c>
      <c r="P5609">
        <v>0.95454740000000005</v>
      </c>
      <c r="Q5609">
        <v>0.1502365</v>
      </c>
      <c r="R5609">
        <v>-0.25742680000000001</v>
      </c>
      <c r="S5609">
        <v>2.9442140000000001</v>
      </c>
      <c r="T5609">
        <v>-0.28296300000000002</v>
      </c>
      <c r="U5609">
        <v>-0.90087890000000004</v>
      </c>
      <c r="V5609">
        <v>0.24196200000000001</v>
      </c>
      <c r="W5609">
        <v>0.16370129999999999</v>
      </c>
      <c r="X5609">
        <v>0.95637660000000002</v>
      </c>
      <c r="Y5609">
        <v>0.27603260000000002</v>
      </c>
      <c r="Z5609">
        <v>-1.1428199999999999E-2</v>
      </c>
      <c r="AA5609">
        <v>0.96108039999999995</v>
      </c>
      <c r="AB5609">
        <v>27</v>
      </c>
      <c r="AC5609">
        <v>11.9390999999999</v>
      </c>
      <c r="AD5609">
        <v>-1.1606369999999999</v>
      </c>
      <c r="AE5609">
        <v>-3.69315999999999</v>
      </c>
      <c r="AF5609">
        <v>3.4701269472388598</v>
      </c>
      <c r="AG5609">
        <v>-1.1606369999999999</v>
      </c>
      <c r="AH5609">
        <v>11.8945391451833</v>
      </c>
      <c r="AI5609">
        <v>95.351413636622695</v>
      </c>
      <c r="AJ5609">
        <v>73.7358605112031</v>
      </c>
      <c r="AK5609">
        <v>12.4446342152761</v>
      </c>
      <c r="AL5609">
        <v>80.578200992593196</v>
      </c>
      <c r="AM5609">
        <v>75.8021668163436</v>
      </c>
      <c r="AN5609">
        <v>0.99999996304662397</v>
      </c>
    </row>
    <row r="5610" spans="1:40" x14ac:dyDescent="0.25">
      <c r="A5610" t="str">
        <f>"20190312172521305"</f>
        <v>20190312172521305</v>
      </c>
      <c r="B5610" t="str">
        <f>"1552382721295690"</f>
        <v>1552382721295690</v>
      </c>
      <c r="C5610" t="s">
        <v>40</v>
      </c>
      <c r="D5610">
        <v>4.0693970000000004</v>
      </c>
      <c r="E5610">
        <v>0.51647529999999997</v>
      </c>
      <c r="F5610" t="s">
        <v>42</v>
      </c>
      <c r="G5610">
        <v>-317.04349999999999</v>
      </c>
      <c r="H5610">
        <v>-0.05</v>
      </c>
      <c r="I5610">
        <v>13.048489999999999</v>
      </c>
      <c r="J5610">
        <v>-329.0301</v>
      </c>
      <c r="K5610">
        <v>1.1105989999999999</v>
      </c>
      <c r="L5610">
        <v>16.772860000000001</v>
      </c>
      <c r="M5610">
        <v>0.99977169999999904</v>
      </c>
      <c r="N5610">
        <v>0</v>
      </c>
      <c r="O5610">
        <v>-1.61269E-2</v>
      </c>
      <c r="P5610">
        <v>0.95419509999999996</v>
      </c>
      <c r="Q5610">
        <v>0.15088099999999999</v>
      </c>
      <c r="R5610">
        <v>-0.25835419999999998</v>
      </c>
      <c r="S5610">
        <v>2.9431150000000001</v>
      </c>
      <c r="T5610">
        <v>-0.28183839999999999</v>
      </c>
      <c r="U5610">
        <v>-0.90490720000000002</v>
      </c>
      <c r="V5610">
        <v>0.24291660000000001</v>
      </c>
      <c r="W5610">
        <v>0.16431509999999999</v>
      </c>
      <c r="X5610">
        <v>0.95602929999999997</v>
      </c>
      <c r="Y5610">
        <v>0.2773429</v>
      </c>
      <c r="Z5610">
        <v>-1.144649E-2</v>
      </c>
      <c r="AA5610">
        <v>0.96070279999999997</v>
      </c>
      <c r="AB5610">
        <v>27</v>
      </c>
      <c r="AC5610">
        <v>11.986599999999999</v>
      </c>
      <c r="AD5610">
        <v>-1.1605989999999999</v>
      </c>
      <c r="AE5610">
        <v>-3.72437</v>
      </c>
      <c r="AF5610">
        <v>3.5006307720258198</v>
      </c>
      <c r="AG5610">
        <v>-1.1605989999999999</v>
      </c>
      <c r="AH5610">
        <v>11.9430010761014</v>
      </c>
      <c r="AI5610">
        <v>95.327694920351405</v>
      </c>
      <c r="AJ5610">
        <v>73.663533108689094</v>
      </c>
      <c r="AK5610">
        <v>12.49946721043</v>
      </c>
      <c r="AL5610">
        <v>80.542550201253505</v>
      </c>
      <c r="AM5610">
        <v>75.743464431469704</v>
      </c>
      <c r="AN5610">
        <v>0.99999997455102896</v>
      </c>
    </row>
    <row r="5611" spans="1:40" x14ac:dyDescent="0.25">
      <c r="A5611" t="str">
        <f>"20190312172521316"</f>
        <v>20190312172521316</v>
      </c>
      <c r="B5611" t="str">
        <f>"1552382721306426"</f>
        <v>1552382721306426</v>
      </c>
      <c r="C5611" t="s">
        <v>40</v>
      </c>
      <c r="D5611">
        <v>4.3631640000000003</v>
      </c>
      <c r="E5611">
        <v>0.51647529999999997</v>
      </c>
      <c r="F5611" t="s">
        <v>42</v>
      </c>
      <c r="G5611">
        <v>-316.84059999999999</v>
      </c>
      <c r="H5611">
        <v>-0.05</v>
      </c>
      <c r="I5611">
        <v>13.01149</v>
      </c>
      <c r="J5611">
        <v>-328.89490000000001</v>
      </c>
      <c r="K5611">
        <v>1.1105529999999999</v>
      </c>
      <c r="L5611">
        <v>16.770689999999998</v>
      </c>
      <c r="M5611">
        <v>0.99977119999999997</v>
      </c>
      <c r="N5611">
        <v>0</v>
      </c>
      <c r="O5611">
        <v>-1.6160219999999999E-2</v>
      </c>
      <c r="P5611">
        <v>0.9538025</v>
      </c>
      <c r="Q5611">
        <v>0.15145459999999999</v>
      </c>
      <c r="R5611">
        <v>-0.25946570000000002</v>
      </c>
      <c r="S5611">
        <v>2.9424440000000001</v>
      </c>
      <c r="T5611">
        <v>-0.28015820000000002</v>
      </c>
      <c r="U5611">
        <v>-0.90795899999999996</v>
      </c>
      <c r="V5611">
        <v>0.24402109999999999</v>
      </c>
      <c r="W5611">
        <v>0.16485559999999999</v>
      </c>
      <c r="X5611">
        <v>0.95565489999999997</v>
      </c>
      <c r="Y5611">
        <v>0.27829150000000002</v>
      </c>
      <c r="Z5611">
        <v>-1.142027E-2</v>
      </c>
      <c r="AA5611">
        <v>0.96042879999999997</v>
      </c>
      <c r="AB5611">
        <v>27</v>
      </c>
      <c r="AC5611">
        <v>12.0543</v>
      </c>
      <c r="AD5611">
        <v>-1.1605529999999999</v>
      </c>
      <c r="AE5611">
        <v>-3.7591999999999901</v>
      </c>
      <c r="AF5611">
        <v>3.5340352427193702</v>
      </c>
      <c r="AG5611">
        <v>-1.1605529999999999</v>
      </c>
      <c r="AH5611">
        <v>12.012007129203599</v>
      </c>
      <c r="AI5611">
        <v>95.2954925817494</v>
      </c>
      <c r="AJ5611">
        <v>73.605665919780506</v>
      </c>
      <c r="AK5611">
        <v>12.574760579614599</v>
      </c>
      <c r="AL5611">
        <v>80.511153695275794</v>
      </c>
      <c r="AM5611">
        <v>75.675923313679405</v>
      </c>
      <c r="AN5611">
        <v>0.99999997699528897</v>
      </c>
    </row>
    <row r="5612" spans="1:40" x14ac:dyDescent="0.25">
      <c r="A5612" t="str">
        <f>"20190312172521327"</f>
        <v>20190312172521327</v>
      </c>
      <c r="B5612" t="str">
        <f>"1552382721316187"</f>
        <v>1552382721316187</v>
      </c>
      <c r="C5612" t="s">
        <v>40</v>
      </c>
      <c r="D5612">
        <v>4.0758299999999998</v>
      </c>
      <c r="E5612">
        <v>0.51640949999999997</v>
      </c>
      <c r="F5612" t="s">
        <v>42</v>
      </c>
      <c r="G5612">
        <v>-316.63240000000002</v>
      </c>
      <c r="H5612">
        <v>-0.05</v>
      </c>
      <c r="I5612">
        <v>12.97021</v>
      </c>
      <c r="J5612">
        <v>-328.76609999999999</v>
      </c>
      <c r="K5612">
        <v>1.1105050000000001</v>
      </c>
      <c r="L5612">
        <v>16.768550000000001</v>
      </c>
      <c r="M5612">
        <v>0.99977009999999999</v>
      </c>
      <c r="N5612">
        <v>0</v>
      </c>
      <c r="O5612">
        <v>-1.622958E-2</v>
      </c>
      <c r="P5612">
        <v>0.95333710000000005</v>
      </c>
      <c r="Q5612">
        <v>0.1521035</v>
      </c>
      <c r="R5612">
        <v>-0.26079239999999998</v>
      </c>
      <c r="S5612">
        <v>2.9414980000000002</v>
      </c>
      <c r="T5612">
        <v>-0.27839049999999999</v>
      </c>
      <c r="U5612">
        <v>-0.91165160000000001</v>
      </c>
      <c r="V5612">
        <v>0.24530840000000001</v>
      </c>
      <c r="W5612">
        <v>0.16546839999999999</v>
      </c>
      <c r="X5612">
        <v>0.95521929999999999</v>
      </c>
      <c r="Y5612">
        <v>0.27942119999999998</v>
      </c>
      <c r="Z5612">
        <v>-1.139568E-2</v>
      </c>
      <c r="AA5612">
        <v>0.96010099999999998</v>
      </c>
      <c r="AB5612">
        <v>27</v>
      </c>
      <c r="AC5612">
        <v>12.1336999999999</v>
      </c>
      <c r="AD5612">
        <v>-1.1605049999999999</v>
      </c>
      <c r="AE5612">
        <v>-3.79834</v>
      </c>
      <c r="AF5612">
        <v>3.5711435375766798</v>
      </c>
      <c r="AG5612">
        <v>-1.1605049999999999</v>
      </c>
      <c r="AH5612">
        <v>12.093003893934</v>
      </c>
      <c r="AI5612">
        <v>95.258450315478399</v>
      </c>
      <c r="AJ5612">
        <v>73.547783024556594</v>
      </c>
      <c r="AK5612">
        <v>12.662566138019001</v>
      </c>
      <c r="AL5612">
        <v>80.475553734905802</v>
      </c>
      <c r="AM5612">
        <v>75.597199417320596</v>
      </c>
      <c r="AN5612">
        <v>0.999999956800804</v>
      </c>
    </row>
    <row r="5613" spans="1:40" x14ac:dyDescent="0.25">
      <c r="A5613" t="str">
        <f>"20190312172521339"</f>
        <v>20190312172521339</v>
      </c>
      <c r="B5613" t="str">
        <f>"1552382721325946"</f>
        <v>1552382721325946</v>
      </c>
      <c r="C5613" t="s">
        <v>40</v>
      </c>
      <c r="D5613">
        <v>4.0634629999999996</v>
      </c>
      <c r="E5613">
        <v>0.51641419999999905</v>
      </c>
      <c r="F5613" t="s">
        <v>42</v>
      </c>
      <c r="G5613">
        <v>-316.32729999999998</v>
      </c>
      <c r="H5613">
        <v>-0.05</v>
      </c>
      <c r="I5613">
        <v>12.895580000000001</v>
      </c>
      <c r="J5613">
        <v>-328.613</v>
      </c>
      <c r="K5613">
        <v>1.110444</v>
      </c>
      <c r="L5613">
        <v>16.765989999999999</v>
      </c>
      <c r="M5613">
        <v>0.9997682</v>
      </c>
      <c r="N5613">
        <v>0</v>
      </c>
      <c r="O5613">
        <v>-1.6349969999999998E-2</v>
      </c>
      <c r="P5613">
        <v>0.95290989999999998</v>
      </c>
      <c r="Q5613">
        <v>0.15266579999999999</v>
      </c>
      <c r="R5613">
        <v>-0.26202330000000001</v>
      </c>
      <c r="S5613">
        <v>2.9401860000000002</v>
      </c>
      <c r="T5613">
        <v>-0.274312</v>
      </c>
      <c r="U5613">
        <v>-0.91546629999999996</v>
      </c>
      <c r="V5613">
        <v>0.2464556</v>
      </c>
      <c r="W5613">
        <v>0.165987</v>
      </c>
      <c r="X5613">
        <v>0.95483399999999996</v>
      </c>
      <c r="Y5613">
        <v>0.28058919999999998</v>
      </c>
      <c r="Z5613">
        <v>-1.1274269999999999E-2</v>
      </c>
      <c r="AA5613">
        <v>0.95976170000000005</v>
      </c>
      <c r="AB5613">
        <v>27</v>
      </c>
      <c r="AC5613">
        <v>12.2857</v>
      </c>
      <c r="AD5613">
        <v>-1.160444</v>
      </c>
      <c r="AE5613">
        <v>-3.8704099999999899</v>
      </c>
      <c r="AF5613">
        <v>3.6394633361406798</v>
      </c>
      <c r="AG5613">
        <v>-1.160444</v>
      </c>
      <c r="AH5613">
        <v>12.2479378465158</v>
      </c>
      <c r="AI5613">
        <v>95.189436126546894</v>
      </c>
      <c r="AJ5613">
        <v>73.450732073952494</v>
      </c>
      <c r="AK5613">
        <v>12.82982093189</v>
      </c>
      <c r="AL5613">
        <v>80.445423973911602</v>
      </c>
      <c r="AM5613">
        <v>75.527071544371495</v>
      </c>
      <c r="AN5613">
        <v>1.0000000072481701</v>
      </c>
    </row>
    <row r="5614" spans="1:40" x14ac:dyDescent="0.25">
      <c r="A5614" t="str">
        <f>"20190312172521354"</f>
        <v>20190312172521354</v>
      </c>
      <c r="B5614" t="str">
        <f>"1552382721346442"</f>
        <v>1552382721346442</v>
      </c>
      <c r="C5614" t="s">
        <v>40</v>
      </c>
      <c r="D5614">
        <v>4.1379910000000004</v>
      </c>
      <c r="E5614">
        <v>0.51646800000000004</v>
      </c>
      <c r="F5614" t="s">
        <v>42</v>
      </c>
      <c r="G5614">
        <v>-316.06139999999999</v>
      </c>
      <c r="H5614">
        <v>-0.05</v>
      </c>
      <c r="I5614">
        <v>12.837910000000001</v>
      </c>
      <c r="J5614">
        <v>-328.44779999999997</v>
      </c>
      <c r="K5614">
        <v>1.110366</v>
      </c>
      <c r="L5614">
        <v>16.763120000000001</v>
      </c>
      <c r="M5614">
        <v>0.9997646</v>
      </c>
      <c r="N5614">
        <v>0</v>
      </c>
      <c r="O5614">
        <v>-1.6577959999999999E-2</v>
      </c>
      <c r="P5614">
        <v>0.95241710000000002</v>
      </c>
      <c r="Q5614">
        <v>0.1528089</v>
      </c>
      <c r="R5614">
        <v>-0.26372590000000001</v>
      </c>
      <c r="S5614">
        <v>2.9388730000000001</v>
      </c>
      <c r="T5614">
        <v>-0.27171040000000002</v>
      </c>
      <c r="U5614">
        <v>-0.91973879999999997</v>
      </c>
      <c r="V5614">
        <v>0.24798010000000001</v>
      </c>
      <c r="W5614">
        <v>0.166075</v>
      </c>
      <c r="X5614">
        <v>0.95442389999999999</v>
      </c>
      <c r="Y5614">
        <v>0.2817788</v>
      </c>
      <c r="Z5614">
        <v>-1.120324E-2</v>
      </c>
      <c r="AA5614">
        <v>0.95941399999999999</v>
      </c>
      <c r="AB5614">
        <v>27</v>
      </c>
      <c r="AC5614">
        <v>12.386399999999901</v>
      </c>
      <c r="AD5614">
        <v>-1.160366</v>
      </c>
      <c r="AE5614">
        <v>-3.9252099999999999</v>
      </c>
      <c r="AF5614">
        <v>3.6898816843592899</v>
      </c>
      <c r="AG5614">
        <v>-1.160366</v>
      </c>
      <c r="AH5614">
        <v>12.351272341817699</v>
      </c>
      <c r="AI5614">
        <v>95.143674847020904</v>
      </c>
      <c r="AJ5614">
        <v>73.366743996252197</v>
      </c>
      <c r="AK5614">
        <v>12.9427819482628</v>
      </c>
      <c r="AL5614">
        <v>80.440310989445706</v>
      </c>
      <c r="AM5614">
        <v>75.435349830357197</v>
      </c>
      <c r="AN5614">
        <v>1.00000000825611</v>
      </c>
    </row>
    <row r="5615" spans="1:40" x14ac:dyDescent="0.25">
      <c r="A5615" t="str">
        <f>"20190312172521367"</f>
        <v>20190312172521367</v>
      </c>
      <c r="B5615" t="str">
        <f>"1552382721356202"</f>
        <v>1552382721356202</v>
      </c>
      <c r="C5615" t="s">
        <v>40</v>
      </c>
      <c r="D5615">
        <v>4.4418319999999998</v>
      </c>
      <c r="E5615">
        <v>0.51647639999999995</v>
      </c>
      <c r="F5615" t="s">
        <v>42</v>
      </c>
      <c r="G5615">
        <v>-315.84190000000001</v>
      </c>
      <c r="H5615">
        <v>-0.05</v>
      </c>
      <c r="I5615">
        <v>12.78989</v>
      </c>
      <c r="J5615">
        <v>-328.2783</v>
      </c>
      <c r="K5615">
        <v>1.110274</v>
      </c>
      <c r="L5615">
        <v>16.76004</v>
      </c>
      <c r="M5615">
        <v>0.99975939999999996</v>
      </c>
      <c r="N5615">
        <v>0</v>
      </c>
      <c r="O5615">
        <v>-1.6883789999999999E-2</v>
      </c>
      <c r="P5615">
        <v>0.95187310000000003</v>
      </c>
      <c r="Q5615">
        <v>0.15299279999999901</v>
      </c>
      <c r="R5615">
        <v>-0.2655769</v>
      </c>
      <c r="S5615">
        <v>2.9369200000000002</v>
      </c>
      <c r="T5615">
        <v>-0.27034380000000002</v>
      </c>
      <c r="U5615">
        <v>-0.92568969999999995</v>
      </c>
      <c r="V5615">
        <v>0.24958449999999999</v>
      </c>
      <c r="W5615">
        <v>0.16619579999999901</v>
      </c>
      <c r="X5615">
        <v>0.95398459999999996</v>
      </c>
      <c r="Y5615">
        <v>0.28344079999999999</v>
      </c>
      <c r="Z5615">
        <v>-1.119802E-2</v>
      </c>
      <c r="AA5615">
        <v>0.95892440000000001</v>
      </c>
      <c r="AB5615">
        <v>27</v>
      </c>
      <c r="AC5615">
        <v>12.4363999999999</v>
      </c>
      <c r="AD5615">
        <v>-1.160274</v>
      </c>
      <c r="AE5615">
        <v>-3.9701499999999998</v>
      </c>
      <c r="AF5615">
        <v>3.7301246996640098</v>
      </c>
      <c r="AG5615">
        <v>-1.160274</v>
      </c>
      <c r="AH5615">
        <v>12.403685104214899</v>
      </c>
      <c r="AI5615">
        <v>95.118875419504803</v>
      </c>
      <c r="AJ5615">
        <v>73.262541552348793</v>
      </c>
      <c r="AK5615">
        <v>13.0042866084473</v>
      </c>
      <c r="AL5615">
        <v>80.433292441719502</v>
      </c>
      <c r="AM5615">
        <v>75.3387048779189</v>
      </c>
      <c r="AN5615">
        <v>1.0000000418075199</v>
      </c>
    </row>
    <row r="5616" spans="1:40" x14ac:dyDescent="0.25">
      <c r="A5616" t="str">
        <f>"20190312172521383"</f>
        <v>20190312172521383</v>
      </c>
      <c r="B5616" t="str">
        <f>"1552382721375722"</f>
        <v>1552382721375722</v>
      </c>
      <c r="C5616" t="s">
        <v>40</v>
      </c>
      <c r="D5616">
        <v>4.3157639999999997</v>
      </c>
      <c r="E5616">
        <v>0.51642219999999905</v>
      </c>
      <c r="F5616" t="s">
        <v>42</v>
      </c>
      <c r="G5616">
        <v>-315.63119999999998</v>
      </c>
      <c r="H5616">
        <v>-0.05</v>
      </c>
      <c r="I5616">
        <v>12.744490000000001</v>
      </c>
      <c r="J5616">
        <v>-328.09230000000002</v>
      </c>
      <c r="K5616">
        <v>1.110161</v>
      </c>
      <c r="L5616">
        <v>16.756529999999898</v>
      </c>
      <c r="M5616">
        <v>0.99975190000000003</v>
      </c>
      <c r="N5616">
        <v>0</v>
      </c>
      <c r="O5616">
        <v>-1.7316990000000001E-2</v>
      </c>
      <c r="P5616">
        <v>0.95102319999999996</v>
      </c>
      <c r="Q5616">
        <v>0.15258759999999999</v>
      </c>
      <c r="R5616">
        <v>-0.26883410000000002</v>
      </c>
      <c r="S5616">
        <v>2.9349980000000002</v>
      </c>
      <c r="T5616">
        <v>-0.269264</v>
      </c>
      <c r="U5616">
        <v>-0.93188479999999996</v>
      </c>
      <c r="V5616">
        <v>0.25248690000000001</v>
      </c>
      <c r="W5616">
        <v>0.16570869999999999</v>
      </c>
      <c r="X5616">
        <v>0.95330530000000002</v>
      </c>
      <c r="Y5616">
        <v>0.28504819999999997</v>
      </c>
      <c r="Z5616">
        <v>-1.119013E-2</v>
      </c>
      <c r="AA5616">
        <v>0.95844790000000002</v>
      </c>
      <c r="AB5616">
        <v>27</v>
      </c>
      <c r="AC5616">
        <v>12.4611</v>
      </c>
      <c r="AD5616">
        <v>-1.160161</v>
      </c>
      <c r="AE5616">
        <v>-4.0120399999999901</v>
      </c>
      <c r="AF5616">
        <v>3.7660500038003</v>
      </c>
      <c r="AG5616">
        <v>-1.160161</v>
      </c>
      <c r="AH5616">
        <v>12.4310813359834</v>
      </c>
      <c r="AI5616">
        <v>95.104030058130704</v>
      </c>
      <c r="AJ5616">
        <v>73.145587784803197</v>
      </c>
      <c r="AK5616">
        <v>13.0407396016821</v>
      </c>
      <c r="AL5616">
        <v>80.461593257105903</v>
      </c>
      <c r="AM5616">
        <v>75.165579508720597</v>
      </c>
      <c r="AN5616">
        <v>1.00000000146769</v>
      </c>
    </row>
    <row r="5617" spans="1:40" x14ac:dyDescent="0.25">
      <c r="A5617" t="str">
        <f>"20190312172521394"</f>
        <v>20190312172521394</v>
      </c>
      <c r="B5617" t="str">
        <f>"1552382721386458"</f>
        <v>1552382721386458</v>
      </c>
      <c r="C5617" t="s">
        <v>40</v>
      </c>
      <c r="D5617">
        <v>4.0717689999999997</v>
      </c>
      <c r="E5617">
        <v>0.51642600000000005</v>
      </c>
      <c r="F5617" t="s">
        <v>42</v>
      </c>
      <c r="G5617">
        <v>-315.48379999999997</v>
      </c>
      <c r="H5617">
        <v>-0.05</v>
      </c>
      <c r="I5617">
        <v>12.705870000000001</v>
      </c>
      <c r="J5617">
        <v>-327.95299999999997</v>
      </c>
      <c r="K5617">
        <v>1.1100650000000001</v>
      </c>
      <c r="L5617">
        <v>16.75375</v>
      </c>
      <c r="M5617">
        <v>0.99974470000000004</v>
      </c>
      <c r="N5617">
        <v>0</v>
      </c>
      <c r="O5617">
        <v>-1.7735009999999999E-2</v>
      </c>
      <c r="P5617">
        <v>0.95037819999999995</v>
      </c>
      <c r="Q5617">
        <v>0.1526816</v>
      </c>
      <c r="R5617">
        <v>-0.2710534</v>
      </c>
      <c r="S5617">
        <v>2.931549</v>
      </c>
      <c r="T5617">
        <v>-0.26974359999999997</v>
      </c>
      <c r="U5617">
        <v>-0.94180299999999995</v>
      </c>
      <c r="V5617">
        <v>0.25435639999999998</v>
      </c>
      <c r="W5617">
        <v>0.16573450000000001</v>
      </c>
      <c r="X5617">
        <v>0.95280370000000003</v>
      </c>
      <c r="Y5617">
        <v>0.28789969999999998</v>
      </c>
      <c r="Z5617">
        <v>-1.130723E-2</v>
      </c>
      <c r="AA5617">
        <v>0.95759380000000005</v>
      </c>
      <c r="AB5617">
        <v>27</v>
      </c>
      <c r="AC5617">
        <v>12.469200000000001</v>
      </c>
      <c r="AD5617">
        <v>-1.1600649999999999</v>
      </c>
      <c r="AE5617">
        <v>-4.0478800000000001</v>
      </c>
      <c r="AF5617">
        <v>3.7963538854974499</v>
      </c>
      <c r="AG5617">
        <v>-1.1600649999999999</v>
      </c>
      <c r="AH5617">
        <v>12.441614140964999</v>
      </c>
      <c r="AI5617">
        <v>95.096236574615503</v>
      </c>
      <c r="AJ5617">
        <v>73.031293776927001</v>
      </c>
      <c r="AK5617">
        <v>13.059548845990699</v>
      </c>
      <c r="AL5617">
        <v>80.460094253580195</v>
      </c>
      <c r="AM5617">
        <v>75.053121793690806</v>
      </c>
      <c r="AN5617">
        <v>0.99999999672244999</v>
      </c>
    </row>
    <row r="5618" spans="1:40" x14ac:dyDescent="0.25">
      <c r="A5618" t="str">
        <f>"20190312172521406"</f>
        <v>20190312172521406</v>
      </c>
      <c r="B5618" t="str">
        <f>"1552382721396218"</f>
        <v>1552382721396218</v>
      </c>
      <c r="C5618" t="s">
        <v>40</v>
      </c>
      <c r="D5618">
        <v>4.0311379999999897</v>
      </c>
      <c r="E5618">
        <v>0.51641110000000001</v>
      </c>
      <c r="F5618" t="s">
        <v>42</v>
      </c>
      <c r="G5618">
        <v>-315.32530000000003</v>
      </c>
      <c r="H5618">
        <v>-0.05</v>
      </c>
      <c r="I5618">
        <v>12.661820000000001</v>
      </c>
      <c r="J5618">
        <v>-327.81259999999997</v>
      </c>
      <c r="K5618">
        <v>1.10997099999999</v>
      </c>
      <c r="L5618">
        <v>16.750789999999999</v>
      </c>
      <c r="M5618">
        <v>0.99973610000000002</v>
      </c>
      <c r="N5618">
        <v>0</v>
      </c>
      <c r="O5618">
        <v>-1.8207089999999999E-2</v>
      </c>
      <c r="P5618">
        <v>0.94989840000000003</v>
      </c>
      <c r="Q5618">
        <v>0.15269199999999999</v>
      </c>
      <c r="R5618">
        <v>-0.2727234</v>
      </c>
      <c r="S5618">
        <v>2.9291990000000001</v>
      </c>
      <c r="T5618">
        <v>-0.26909470000000002</v>
      </c>
      <c r="U5618">
        <v>-0.94918820000000004</v>
      </c>
      <c r="V5618">
        <v>0.2556234</v>
      </c>
      <c r="W5618">
        <v>0.16567860000000001</v>
      </c>
      <c r="X5618">
        <v>0.9524743</v>
      </c>
      <c r="Y5618">
        <v>0.289856</v>
      </c>
      <c r="Z5618">
        <v>-1.1329789999999999E-2</v>
      </c>
      <c r="AA5618">
        <v>0.95700320000000005</v>
      </c>
      <c r="AB5618">
        <v>27</v>
      </c>
      <c r="AC5618">
        <v>12.4872999999999</v>
      </c>
      <c r="AD5618">
        <v>-1.1599710000000001</v>
      </c>
      <c r="AE5618">
        <v>-4.08896999999999</v>
      </c>
      <c r="AF5618">
        <v>3.8310557672260099</v>
      </c>
      <c r="AG5618">
        <v>-1.1599710000000001</v>
      </c>
      <c r="AH5618">
        <v>12.4625606492149</v>
      </c>
      <c r="AI5618">
        <v>95.084088064640596</v>
      </c>
      <c r="AJ5618">
        <v>72.912300357696296</v>
      </c>
      <c r="AK5618">
        <v>13.089611871549</v>
      </c>
      <c r="AL5618">
        <v>80.463342082732893</v>
      </c>
      <c r="AM5618">
        <v>74.977065238110001</v>
      </c>
      <c r="AN5618">
        <v>1.0000000066429999</v>
      </c>
    </row>
    <row r="5619" spans="1:40" x14ac:dyDescent="0.25">
      <c r="A5619" t="str">
        <f>"20190312172521418"</f>
        <v>20190312172521418</v>
      </c>
      <c r="B5619" t="str">
        <f>"1552382721405979"</f>
        <v>1552382721405979</v>
      </c>
      <c r="C5619" t="s">
        <v>40</v>
      </c>
      <c r="D5619">
        <v>4.0881800000000004</v>
      </c>
      <c r="E5619">
        <v>0.51639029999999997</v>
      </c>
      <c r="F5619" t="s">
        <v>42</v>
      </c>
      <c r="G5619">
        <v>-315.17959999999999</v>
      </c>
      <c r="H5619">
        <v>-0.05</v>
      </c>
      <c r="I5619">
        <v>12.63072</v>
      </c>
      <c r="J5619">
        <v>-327.66410000000002</v>
      </c>
      <c r="K5619">
        <v>1.1098699999999999</v>
      </c>
      <c r="L5619">
        <v>16.74756</v>
      </c>
      <c r="M5619">
        <v>0.99972570000000005</v>
      </c>
      <c r="N5619">
        <v>0</v>
      </c>
      <c r="O5619">
        <v>-1.8771240000000002E-2</v>
      </c>
      <c r="P5619">
        <v>0.94923900000000005</v>
      </c>
      <c r="Q5619">
        <v>0.1530387</v>
      </c>
      <c r="R5619">
        <v>-0.2748176</v>
      </c>
      <c r="S5619">
        <v>2.9273380000000002</v>
      </c>
      <c r="T5619">
        <v>-0.26879130000000001</v>
      </c>
      <c r="U5619">
        <v>-0.95471189999999995</v>
      </c>
      <c r="V5619">
        <v>0.25723309999999999</v>
      </c>
      <c r="W5619">
        <v>0.1659513</v>
      </c>
      <c r="X5619">
        <v>0.95199330000000004</v>
      </c>
      <c r="Y5619">
        <v>0.29112660000000001</v>
      </c>
      <c r="Z5619">
        <v>-1.1327129999999999E-2</v>
      </c>
      <c r="AA5619">
        <v>0.95661750000000001</v>
      </c>
      <c r="AB5619">
        <v>27</v>
      </c>
      <c r="AC5619">
        <v>12.484500000000001</v>
      </c>
      <c r="AD5619">
        <v>-1.15987</v>
      </c>
      <c r="AE5619">
        <v>-4.1168399999999998</v>
      </c>
      <c r="AF5619">
        <v>3.8517568326685701</v>
      </c>
      <c r="AG5619">
        <v>-1.15987</v>
      </c>
      <c r="AH5619">
        <v>12.462567148593701</v>
      </c>
      <c r="AI5619">
        <v>95.081281318754904</v>
      </c>
      <c r="AJ5619">
        <v>72.825394695791005</v>
      </c>
      <c r="AK5619">
        <v>13.095682840085701</v>
      </c>
      <c r="AL5619">
        <v>80.4474978655185</v>
      </c>
      <c r="AM5619">
        <v>74.879491886231193</v>
      </c>
      <c r="AN5619">
        <v>0.99999997247609396</v>
      </c>
    </row>
    <row r="5620" spans="1:40" x14ac:dyDescent="0.25">
      <c r="A5620" t="str">
        <f>"20190312172521430"</f>
        <v>20190312172521430</v>
      </c>
      <c r="B5620" t="str">
        <f>"1552382721426475"</f>
        <v>1552382721426475</v>
      </c>
      <c r="C5620" t="s">
        <v>40</v>
      </c>
      <c r="D5620">
        <v>4.1847519999999996</v>
      </c>
      <c r="E5620">
        <v>0.51639840000000004</v>
      </c>
      <c r="F5620" t="s">
        <v>42</v>
      </c>
      <c r="G5620">
        <v>-315.01080000000002</v>
      </c>
      <c r="H5620">
        <v>-0.05</v>
      </c>
      <c r="I5620">
        <v>12.587199999999999</v>
      </c>
      <c r="J5620">
        <v>-327.53179999999998</v>
      </c>
      <c r="K5620">
        <v>1.109775</v>
      </c>
      <c r="L5620">
        <v>16.744509999999998</v>
      </c>
      <c r="M5620">
        <v>0.99971399999999999</v>
      </c>
      <c r="N5620">
        <v>0</v>
      </c>
      <c r="O5620">
        <v>-1.9376770000000001E-2</v>
      </c>
      <c r="P5620">
        <v>0.94850299999999999</v>
      </c>
      <c r="Q5620">
        <v>0.15344169999999999</v>
      </c>
      <c r="R5620">
        <v>-0.27712389999999998</v>
      </c>
      <c r="S5620">
        <v>2.9252009999999999</v>
      </c>
      <c r="T5620">
        <v>-0.26813940000000003</v>
      </c>
      <c r="U5620">
        <v>-0.96179199999999998</v>
      </c>
      <c r="V5620">
        <v>0.25901560000000001</v>
      </c>
      <c r="W5620">
        <v>0.16628280000000001</v>
      </c>
      <c r="X5620">
        <v>0.95145199999999996</v>
      </c>
      <c r="Y5620">
        <v>0.2928441</v>
      </c>
      <c r="Z5620">
        <v>-1.132611E-2</v>
      </c>
      <c r="AA5620">
        <v>0.95609310000000003</v>
      </c>
      <c r="AB5620">
        <v>27</v>
      </c>
      <c r="AC5620">
        <v>12.5209999999999</v>
      </c>
      <c r="AD5620">
        <v>-1.159775</v>
      </c>
      <c r="AE5620">
        <v>-4.1573099999999998</v>
      </c>
      <c r="AF5620">
        <v>3.88387541729367</v>
      </c>
      <c r="AG5620">
        <v>-1.159775</v>
      </c>
      <c r="AH5620">
        <v>12.5025952523804</v>
      </c>
      <c r="AI5620">
        <v>95.062435948592196</v>
      </c>
      <c r="AJ5620">
        <v>72.742826197790393</v>
      </c>
      <c r="AK5620">
        <v>13.1432284600295</v>
      </c>
      <c r="AL5620">
        <v>80.428236767641593</v>
      </c>
      <c r="AM5620">
        <v>74.771301622616093</v>
      </c>
      <c r="AN5620">
        <v>0.99999997946159902</v>
      </c>
    </row>
    <row r="5621" spans="1:40" x14ac:dyDescent="0.25">
      <c r="A5621" t="str">
        <f>"20190312172521442"</f>
        <v>20190312172521442</v>
      </c>
      <c r="B5621" t="str">
        <f>"1552382721436234"</f>
        <v>1552382721436234</v>
      </c>
      <c r="C5621" t="s">
        <v>40</v>
      </c>
      <c r="D5621">
        <v>4.0937320000000001</v>
      </c>
      <c r="E5621">
        <v>0.51641150000000002</v>
      </c>
      <c r="F5621" t="s">
        <v>42</v>
      </c>
      <c r="G5621">
        <v>-314.85210000000001</v>
      </c>
      <c r="H5621">
        <v>-0.05</v>
      </c>
      <c r="I5621">
        <v>12.53819</v>
      </c>
      <c r="J5621">
        <v>-327.39530000000002</v>
      </c>
      <c r="K5621">
        <v>1.109677</v>
      </c>
      <c r="L5621">
        <v>16.741239999999902</v>
      </c>
      <c r="M5621">
        <v>0.99970130000000001</v>
      </c>
      <c r="N5621">
        <v>0</v>
      </c>
      <c r="O5621">
        <v>-2.003154E-2</v>
      </c>
      <c r="P5621">
        <v>0.94786060000000005</v>
      </c>
      <c r="Q5621">
        <v>0.15400349999999999</v>
      </c>
      <c r="R5621">
        <v>-0.2790048</v>
      </c>
      <c r="S5621">
        <v>2.9228209999999999</v>
      </c>
      <c r="T5621">
        <v>-0.26734190000000002</v>
      </c>
      <c r="U5621">
        <v>-0.96960449999999998</v>
      </c>
      <c r="V5621">
        <v>0.26032670000000002</v>
      </c>
      <c r="W5621">
        <v>0.16677129999999901</v>
      </c>
      <c r="X5621">
        <v>0.95100859999999998</v>
      </c>
      <c r="Y5621">
        <v>0.2947535</v>
      </c>
      <c r="Z5621">
        <v>-1.1323440000000001E-2</v>
      </c>
      <c r="AA5621">
        <v>0.95550630000000003</v>
      </c>
      <c r="AB5621">
        <v>27</v>
      </c>
      <c r="AC5621">
        <v>12.543200000000001</v>
      </c>
      <c r="AD5621">
        <v>-1.1596770000000001</v>
      </c>
      <c r="AE5621">
        <v>-4.2030499999999904</v>
      </c>
      <c r="AF5621">
        <v>3.9207910738065799</v>
      </c>
      <c r="AG5621">
        <v>-1.1596770000000001</v>
      </c>
      <c r="AH5621">
        <v>12.5286025617718</v>
      </c>
      <c r="AI5621">
        <v>95.048271045326004</v>
      </c>
      <c r="AJ5621">
        <v>72.622635335418195</v>
      </c>
      <c r="AK5621">
        <v>13.1788973567444</v>
      </c>
      <c r="AL5621">
        <v>80.399851700116898</v>
      </c>
      <c r="AM5621">
        <v>74.691021497383502</v>
      </c>
      <c r="AN5621">
        <v>1.0000000072552699</v>
      </c>
    </row>
    <row r="5622" spans="1:40" x14ac:dyDescent="0.25">
      <c r="A5622" t="str">
        <f>"20190312172521452"</f>
        <v>20190312172521452</v>
      </c>
      <c r="B5622" t="str">
        <f>"1552382721445994"</f>
        <v>1552382721445994</v>
      </c>
      <c r="C5622" t="s">
        <v>40</v>
      </c>
      <c r="D5622">
        <v>4.0850210000000002</v>
      </c>
      <c r="E5622">
        <v>0.51641740000000003</v>
      </c>
      <c r="F5622" t="s">
        <v>42</v>
      </c>
      <c r="G5622">
        <v>-314.6585</v>
      </c>
      <c r="H5622">
        <v>-0.05</v>
      </c>
      <c r="I5622">
        <v>12.48326</v>
      </c>
      <c r="J5622">
        <v>-327.25880000000001</v>
      </c>
      <c r="K5622">
        <v>1.109569</v>
      </c>
      <c r="L5622">
        <v>16.7377</v>
      </c>
      <c r="M5622">
        <v>0.99968489999999999</v>
      </c>
      <c r="N5622">
        <v>0</v>
      </c>
      <c r="O5622">
        <v>-2.0836110000000001E-2</v>
      </c>
      <c r="P5622">
        <v>0.94699929999999999</v>
      </c>
      <c r="Q5622">
        <v>0.15488199999999999</v>
      </c>
      <c r="R5622">
        <v>-0.28143289999999999</v>
      </c>
      <c r="S5622">
        <v>2.9208069999999999</v>
      </c>
      <c r="T5622">
        <v>-0.2659377</v>
      </c>
      <c r="U5622">
        <v>-0.97644039999999999</v>
      </c>
      <c r="V5622">
        <v>0.2620519</v>
      </c>
      <c r="W5622">
        <v>0.1675682</v>
      </c>
      <c r="X5622">
        <v>0.95039450000000003</v>
      </c>
      <c r="Y5622">
        <v>0.29620220000000003</v>
      </c>
      <c r="Z5622">
        <v>-1.1260539999999999E-2</v>
      </c>
      <c r="AA5622">
        <v>0.95505890000000004</v>
      </c>
      <c r="AB5622">
        <v>27</v>
      </c>
      <c r="AC5622">
        <v>12.600300000000001</v>
      </c>
      <c r="AD5622">
        <v>-1.1595690000000001</v>
      </c>
      <c r="AE5622">
        <v>-4.25443999999999</v>
      </c>
      <c r="AF5622">
        <v>3.96083780264606</v>
      </c>
      <c r="AG5622">
        <v>-1.1595690000000001</v>
      </c>
      <c r="AH5622">
        <v>12.590502030335699</v>
      </c>
      <c r="AI5622">
        <v>95.020770168300004</v>
      </c>
      <c r="AJ5622">
        <v>72.536980027372095</v>
      </c>
      <c r="AK5622">
        <v>13.2496633066851</v>
      </c>
      <c r="AL5622">
        <v>80.353540970888304</v>
      </c>
      <c r="AM5622">
        <v>74.584891826386894</v>
      </c>
      <c r="AN5622">
        <v>1.00000000278755</v>
      </c>
    </row>
    <row r="5623" spans="1:40" x14ac:dyDescent="0.25">
      <c r="A5623" t="str">
        <f>"20190312172521463"</f>
        <v>20190312172521463</v>
      </c>
      <c r="B5623" t="str">
        <f>"1552382721455754"</f>
        <v>1552382721455754</v>
      </c>
      <c r="C5623" t="s">
        <v>40</v>
      </c>
      <c r="D5623">
        <v>4.0669919999999999</v>
      </c>
      <c r="E5623">
        <v>0.51643809999999901</v>
      </c>
      <c r="F5623" t="s">
        <v>42</v>
      </c>
      <c r="G5623">
        <v>-314.41840000000002</v>
      </c>
      <c r="H5623">
        <v>-0.05</v>
      </c>
      <c r="I5623">
        <v>12.4041</v>
      </c>
      <c r="J5623">
        <v>-327.13580000000002</v>
      </c>
      <c r="K5623">
        <v>1.10947</v>
      </c>
      <c r="L5623">
        <v>16.734439999999999</v>
      </c>
      <c r="M5623">
        <v>0.99966889999999997</v>
      </c>
      <c r="N5623">
        <v>0</v>
      </c>
      <c r="O5623">
        <v>-2.158496E-2</v>
      </c>
      <c r="P5623">
        <v>0.94634180000000001</v>
      </c>
      <c r="Q5623">
        <v>0.1552917</v>
      </c>
      <c r="R5623">
        <v>-0.28341070000000002</v>
      </c>
      <c r="S5623">
        <v>2.918304</v>
      </c>
      <c r="T5623">
        <v>-0.2635419</v>
      </c>
      <c r="U5623">
        <v>-0.98492429999999997</v>
      </c>
      <c r="V5623">
        <v>0.26337169999999999</v>
      </c>
      <c r="W5623">
        <v>0.16790569999999999</v>
      </c>
      <c r="X5623">
        <v>0.94996999999999998</v>
      </c>
      <c r="Y5623">
        <v>0.29824050000000002</v>
      </c>
      <c r="Z5623">
        <v>-1.118735E-2</v>
      </c>
      <c r="AA5623">
        <v>0.95442519999999997</v>
      </c>
      <c r="AB5623">
        <v>27</v>
      </c>
      <c r="AC5623">
        <v>12.7173999999999</v>
      </c>
      <c r="AD5623">
        <v>-1.15947</v>
      </c>
      <c r="AE5623">
        <v>-4.3303399999999996</v>
      </c>
      <c r="AF5623">
        <v>4.0248197624301998</v>
      </c>
      <c r="AG5623">
        <v>-1.15947</v>
      </c>
      <c r="AH5623">
        <v>12.7132190101867</v>
      </c>
      <c r="AI5623">
        <v>94.969294549683198</v>
      </c>
      <c r="AJ5623">
        <v>72.432972224737895</v>
      </c>
      <c r="AK5623">
        <v>13.3854205164396</v>
      </c>
      <c r="AL5623">
        <v>80.3339255947064</v>
      </c>
      <c r="AM5623">
        <v>74.5043851937086</v>
      </c>
      <c r="AN5623">
        <v>0.99999998867668904</v>
      </c>
    </row>
    <row r="5624" spans="1:40" x14ac:dyDescent="0.25">
      <c r="A5624" t="str">
        <f>"20190312172521474"</f>
        <v>20190312172521474</v>
      </c>
      <c r="B5624" t="str">
        <f>"1552382721466490"</f>
        <v>1552382721466490</v>
      </c>
      <c r="C5624" t="s">
        <v>40</v>
      </c>
      <c r="D5624">
        <v>4.0873929999999996</v>
      </c>
      <c r="E5624">
        <v>0.51643809999999901</v>
      </c>
      <c r="F5624" t="s">
        <v>42</v>
      </c>
      <c r="G5624">
        <v>-314.26420000000002</v>
      </c>
      <c r="H5624">
        <v>-0.05</v>
      </c>
      <c r="I5624">
        <v>12.358140000000001</v>
      </c>
      <c r="J5624">
        <v>-327.00099999999998</v>
      </c>
      <c r="K5624">
        <v>1.1093630000000001</v>
      </c>
      <c r="L5624">
        <v>16.730589999999999</v>
      </c>
      <c r="M5624">
        <v>0.99964830000000005</v>
      </c>
      <c r="N5624">
        <v>0</v>
      </c>
      <c r="O5624">
        <v>-2.2518940000000001E-2</v>
      </c>
      <c r="P5624">
        <v>0.94555460000000002</v>
      </c>
      <c r="Q5624">
        <v>0.15558169999999999</v>
      </c>
      <c r="R5624">
        <v>-0.28586879999999998</v>
      </c>
      <c r="S5624">
        <v>2.9162599999999999</v>
      </c>
      <c r="T5624">
        <v>-0.26269589999999998</v>
      </c>
      <c r="U5624">
        <v>-0.99151610000000001</v>
      </c>
      <c r="V5624">
        <v>0.26500319999999999</v>
      </c>
      <c r="W5624">
        <v>0.16811489999999901</v>
      </c>
      <c r="X5624">
        <v>0.94947919999999997</v>
      </c>
      <c r="Y5624">
        <v>0.29949160000000002</v>
      </c>
      <c r="Z5624">
        <v>-1.1128229999999999E-2</v>
      </c>
      <c r="AA5624">
        <v>0.95403400000000005</v>
      </c>
      <c r="AB5624">
        <v>27</v>
      </c>
      <c r="AC5624">
        <v>12.736799999999899</v>
      </c>
      <c r="AD5624">
        <v>-1.1593629999999999</v>
      </c>
      <c r="AE5624">
        <v>-4.3724499999999997</v>
      </c>
      <c r="AF5624">
        <v>4.0544421502201899</v>
      </c>
      <c r="AG5624">
        <v>-1.1593629999999999</v>
      </c>
      <c r="AH5624">
        <v>12.7376309479359</v>
      </c>
      <c r="AI5624">
        <v>94.956917491779294</v>
      </c>
      <c r="AJ5624">
        <v>72.343505723823498</v>
      </c>
      <c r="AK5624">
        <v>13.4175208545046</v>
      </c>
      <c r="AL5624">
        <v>80.321766915774504</v>
      </c>
      <c r="AM5624">
        <v>74.405382994830305</v>
      </c>
      <c r="AN5624">
        <v>1.0000000334224399</v>
      </c>
    </row>
    <row r="5625" spans="1:40" x14ac:dyDescent="0.25">
      <c r="A5625" t="str">
        <f>"20190312172521485"</f>
        <v>20190312172521485</v>
      </c>
      <c r="B5625" t="str">
        <f>"1552382721476251"</f>
        <v>1552382721476251</v>
      </c>
      <c r="C5625" t="s">
        <v>40</v>
      </c>
      <c r="D5625">
        <v>4.1416760000000004</v>
      </c>
      <c r="E5625">
        <v>0.51715329999999904</v>
      </c>
      <c r="F5625" t="s">
        <v>42</v>
      </c>
      <c r="G5625">
        <v>-314.09629999999999</v>
      </c>
      <c r="H5625">
        <v>-0.05</v>
      </c>
      <c r="I5625">
        <v>12.30402</v>
      </c>
      <c r="J5625">
        <v>-326.87729999999999</v>
      </c>
      <c r="K5625">
        <v>1.109262</v>
      </c>
      <c r="L5625">
        <v>16.726959999999998</v>
      </c>
      <c r="M5625">
        <v>0.99962759999999995</v>
      </c>
      <c r="N5625">
        <v>0</v>
      </c>
      <c r="O5625">
        <v>-2.3420360000000001E-2</v>
      </c>
      <c r="P5625">
        <v>0.94470370000000004</v>
      </c>
      <c r="Q5625">
        <v>0.1560327</v>
      </c>
      <c r="R5625">
        <v>-0.28842590000000001</v>
      </c>
      <c r="S5625">
        <v>2.9136660000000001</v>
      </c>
      <c r="T5625">
        <v>-0.26176579999999999</v>
      </c>
      <c r="U5625">
        <v>-0.99945070000000003</v>
      </c>
      <c r="V5625">
        <v>0.266764</v>
      </c>
      <c r="W5625">
        <v>0.168489</v>
      </c>
      <c r="X5625">
        <v>0.94891959999999997</v>
      </c>
      <c r="Y5625">
        <v>0.30121989999999998</v>
      </c>
      <c r="Z5625">
        <v>-1.109049E-2</v>
      </c>
      <c r="AA5625">
        <v>0.95349019999999995</v>
      </c>
      <c r="AB5625">
        <v>27</v>
      </c>
      <c r="AC5625">
        <v>12.781000000000001</v>
      </c>
      <c r="AD5625">
        <v>-1.159262</v>
      </c>
      <c r="AE5625">
        <v>-4.4229399999999996</v>
      </c>
      <c r="AF5625">
        <v>4.0922954553492001</v>
      </c>
      <c r="AG5625">
        <v>-1.159262</v>
      </c>
      <c r="AH5625">
        <v>12.7871432909356</v>
      </c>
      <c r="AI5625">
        <v>94.934932951852801</v>
      </c>
      <c r="AJ5625">
        <v>72.253663551467696</v>
      </c>
      <c r="AK5625">
        <v>13.475971357250501</v>
      </c>
      <c r="AL5625">
        <v>80.300021975148695</v>
      </c>
      <c r="AM5625">
        <v>74.298056583837294</v>
      </c>
      <c r="AN5625">
        <v>0.99999999104057902</v>
      </c>
    </row>
    <row r="5626" spans="1:40" x14ac:dyDescent="0.25">
      <c r="A5626" t="str">
        <f>"20190312172521495"</f>
        <v>20190312172521495</v>
      </c>
      <c r="B5626" t="str">
        <f>"1552382721486011"</f>
        <v>1552382721486011</v>
      </c>
      <c r="C5626" t="s">
        <v>40</v>
      </c>
      <c r="D5626">
        <v>4.1304699999999999</v>
      </c>
      <c r="E5626">
        <v>0.51715329999999904</v>
      </c>
      <c r="F5626" t="s">
        <v>42</v>
      </c>
      <c r="G5626">
        <v>-313.96390000000002</v>
      </c>
      <c r="H5626">
        <v>-0.05</v>
      </c>
      <c r="I5626">
        <v>12.2301</v>
      </c>
      <c r="J5626">
        <v>-326.7457</v>
      </c>
      <c r="K5626">
        <v>1.109146</v>
      </c>
      <c r="L5626">
        <v>16.722839999999898</v>
      </c>
      <c r="M5626">
        <v>0.9996024</v>
      </c>
      <c r="N5626">
        <v>0</v>
      </c>
      <c r="O5626">
        <v>-2.446678E-2</v>
      </c>
      <c r="P5626">
        <v>0.94378640000000003</v>
      </c>
      <c r="Q5626">
        <v>0.1563068</v>
      </c>
      <c r="R5626">
        <v>-0.2912651</v>
      </c>
      <c r="S5626">
        <v>2.909424</v>
      </c>
      <c r="T5626">
        <v>-0.26118459999999999</v>
      </c>
      <c r="U5626">
        <v>-1.013153</v>
      </c>
      <c r="V5626">
        <v>0.26867449999999998</v>
      </c>
      <c r="W5626">
        <v>0.16868079999999999</v>
      </c>
      <c r="X5626">
        <v>0.94834640000000003</v>
      </c>
      <c r="Y5626">
        <v>0.3046526</v>
      </c>
      <c r="Z5626">
        <v>-1.1131449999999999E-2</v>
      </c>
      <c r="AA5626">
        <v>0.95239850000000004</v>
      </c>
      <c r="AB5626">
        <v>27</v>
      </c>
      <c r="AC5626">
        <v>12.781799999999899</v>
      </c>
      <c r="AD5626">
        <v>-1.159146</v>
      </c>
      <c r="AE5626">
        <v>-4.4927399999999897</v>
      </c>
      <c r="AF5626">
        <v>4.1482700157776797</v>
      </c>
      <c r="AG5626">
        <v>-1.159146</v>
      </c>
      <c r="AH5626">
        <v>12.794254989053099</v>
      </c>
      <c r="AI5626">
        <v>94.925704866445002</v>
      </c>
      <c r="AJ5626">
        <v>72.035796124312895</v>
      </c>
      <c r="AK5626">
        <v>13.4998046022165</v>
      </c>
      <c r="AL5626">
        <v>80.288873618676703</v>
      </c>
      <c r="AM5626">
        <v>74.182128544213796</v>
      </c>
      <c r="AN5626">
        <v>1.00000004681592</v>
      </c>
    </row>
    <row r="5627" spans="1:40" x14ac:dyDescent="0.25">
      <c r="A5627" t="str">
        <f>"20190312172521506"</f>
        <v>20190312172521506</v>
      </c>
      <c r="B5627" t="str">
        <f>"1552382721495771"</f>
        <v>1552382721495771</v>
      </c>
      <c r="C5627" t="s">
        <v>40</v>
      </c>
      <c r="D5627">
        <v>4.104241</v>
      </c>
      <c r="E5627">
        <v>0.55265880000000001</v>
      </c>
      <c r="F5627" t="s">
        <v>42</v>
      </c>
      <c r="G5627">
        <v>-313.8023</v>
      </c>
      <c r="H5627">
        <v>-0.05</v>
      </c>
      <c r="I5627">
        <v>12.17099</v>
      </c>
      <c r="J5627">
        <v>-326.62200000000001</v>
      </c>
      <c r="K5627">
        <v>1.1090450000000001</v>
      </c>
      <c r="L5627">
        <v>16.718779999999999</v>
      </c>
      <c r="M5627">
        <v>0.99957629999999997</v>
      </c>
      <c r="N5627">
        <v>0</v>
      </c>
      <c r="O5627">
        <v>-2.5509730000000001E-2</v>
      </c>
      <c r="P5627">
        <v>0.94282840000000001</v>
      </c>
      <c r="Q5627">
        <v>0.15646299999999999</v>
      </c>
      <c r="R5627">
        <v>-0.29426839999999999</v>
      </c>
      <c r="S5627">
        <v>2.9064030000000001</v>
      </c>
      <c r="T5627">
        <v>-0.2602814</v>
      </c>
      <c r="U5627">
        <v>-1.022095</v>
      </c>
      <c r="V5627">
        <v>0.27075090000000002</v>
      </c>
      <c r="W5627">
        <v>0.168757399999999</v>
      </c>
      <c r="X5627">
        <v>0.94774199999999997</v>
      </c>
      <c r="Y5627">
        <v>0.3065792</v>
      </c>
      <c r="Z5627">
        <v>-1.109182E-2</v>
      </c>
      <c r="AA5627">
        <v>0.95178059999999998</v>
      </c>
      <c r="AB5627">
        <v>27</v>
      </c>
      <c r="AC5627">
        <v>12.819699999999999</v>
      </c>
      <c r="AD5627">
        <v>-1.1590450000000001</v>
      </c>
      <c r="AE5627">
        <v>-4.5477899999999902</v>
      </c>
      <c r="AF5627">
        <v>4.18883755750117</v>
      </c>
      <c r="AG5627">
        <v>-1.1590450000000001</v>
      </c>
      <c r="AH5627">
        <v>12.8383391220426</v>
      </c>
      <c r="AI5627">
        <v>94.905508808215899</v>
      </c>
      <c r="AJ5627">
        <v>71.929755909277404</v>
      </c>
      <c r="AK5627">
        <v>13.5540656929102</v>
      </c>
      <c r="AL5627">
        <v>80.284420511486104</v>
      </c>
      <c r="AM5627">
        <v>74.056422215306398</v>
      </c>
      <c r="AN5627">
        <v>1.0000000042347801</v>
      </c>
    </row>
    <row r="5628" spans="1:40" x14ac:dyDescent="0.25">
      <c r="A5628" t="str">
        <f>"20190312172521516"</f>
        <v>20190312172521516</v>
      </c>
      <c r="B5628" t="str">
        <f>"1552382721506507"</f>
        <v>1552382721506507</v>
      </c>
      <c r="C5628" t="s">
        <v>40</v>
      </c>
      <c r="D5628">
        <v>4.0998169999999998</v>
      </c>
      <c r="E5628">
        <v>0.552600599999999</v>
      </c>
      <c r="F5628" t="s">
        <v>42</v>
      </c>
      <c r="G5628">
        <v>-313.13350000000003</v>
      </c>
      <c r="H5628">
        <v>-0.05</v>
      </c>
      <c r="I5628">
        <v>10.484220000000001</v>
      </c>
      <c r="J5628">
        <v>-326.49360000000001</v>
      </c>
      <c r="K5628">
        <v>1.108938</v>
      </c>
      <c r="L5628">
        <v>16.714359999999999</v>
      </c>
      <c r="M5628">
        <v>0.9995463</v>
      </c>
      <c r="N5628">
        <v>0</v>
      </c>
      <c r="O5628">
        <v>-2.6658379999999999E-2</v>
      </c>
      <c r="P5628">
        <v>0.94184849999999998</v>
      </c>
      <c r="Q5628">
        <v>0.156492299999999</v>
      </c>
      <c r="R5628">
        <v>-0.29737459999999999</v>
      </c>
      <c r="S5628">
        <v>2.8158259999999999</v>
      </c>
      <c r="T5628">
        <v>-0.24195949999999999</v>
      </c>
      <c r="U5628">
        <v>-1.3015139999999901</v>
      </c>
      <c r="V5628">
        <v>0.27283249999999998</v>
      </c>
      <c r="W5628">
        <v>0.16870479999999999</v>
      </c>
      <c r="X5628">
        <v>0.94715419999999995</v>
      </c>
      <c r="Y5628">
        <v>0.39410089999999998</v>
      </c>
      <c r="Z5628">
        <v>-1.3914340000000001E-2</v>
      </c>
      <c r="AA5628">
        <v>0.9189619</v>
      </c>
      <c r="AB5628">
        <v>27</v>
      </c>
      <c r="AC5628">
        <v>13.3600999999999</v>
      </c>
      <c r="AD5628">
        <v>-1.158938</v>
      </c>
      <c r="AE5628">
        <v>-6.2301399999999898</v>
      </c>
      <c r="AF5628">
        <v>5.8356625192458997</v>
      </c>
      <c r="AG5628">
        <v>-1.158938</v>
      </c>
      <c r="AH5628">
        <v>13.4383922496992</v>
      </c>
      <c r="AI5628">
        <v>94.522917696773305</v>
      </c>
      <c r="AJ5628">
        <v>66.526958062688493</v>
      </c>
      <c r="AK5628">
        <v>14.696546552954199</v>
      </c>
      <c r="AL5628">
        <v>80.287477877048602</v>
      </c>
      <c r="AM5628">
        <v>73.930689771036896</v>
      </c>
      <c r="AN5628">
        <v>0.99999998058846395</v>
      </c>
    </row>
    <row r="5629" spans="1:40" x14ac:dyDescent="0.25">
      <c r="A5629" t="str">
        <f>"20190312172521527"</f>
        <v>20190312172521527</v>
      </c>
      <c r="B5629" t="str">
        <f>"1552382721516267"</f>
        <v>1552382721516267</v>
      </c>
      <c r="C5629" t="s">
        <v>40</v>
      </c>
      <c r="D5629">
        <v>4.0672439999999996</v>
      </c>
      <c r="E5629">
        <v>0.5528132</v>
      </c>
      <c r="F5629" t="s">
        <v>42</v>
      </c>
      <c r="G5629">
        <v>-313.04169999999999</v>
      </c>
      <c r="H5629">
        <v>-0.05</v>
      </c>
      <c r="I5629">
        <v>10.444179999999999</v>
      </c>
      <c r="J5629">
        <v>-326.37079999999997</v>
      </c>
      <c r="K5629">
        <v>1.108841</v>
      </c>
      <c r="L5629">
        <v>16.70993</v>
      </c>
      <c r="M5629">
        <v>0.99951440000000003</v>
      </c>
      <c r="N5629">
        <v>0</v>
      </c>
      <c r="O5629">
        <v>-2.782633E-2</v>
      </c>
      <c r="P5629">
        <v>0.94096049999999998</v>
      </c>
      <c r="Q5629">
        <v>0.156226799999999</v>
      </c>
      <c r="R5629">
        <v>-0.30031140000000001</v>
      </c>
      <c r="S5629">
        <v>2.8116759999999998</v>
      </c>
      <c r="T5629">
        <v>-0.24223819999999999</v>
      </c>
      <c r="U5629">
        <v>-1.3105770000000001</v>
      </c>
      <c r="V5629">
        <v>0.27472089999999999</v>
      </c>
      <c r="W5629">
        <v>0.16836400000000001</v>
      </c>
      <c r="X5629">
        <v>0.94666890000000004</v>
      </c>
      <c r="Y5629">
        <v>0.39597399999999999</v>
      </c>
      <c r="Z5629">
        <v>-1.3921360000000001E-2</v>
      </c>
      <c r="AA5629">
        <v>0.91815619999999998</v>
      </c>
      <c r="AB5629">
        <v>27</v>
      </c>
      <c r="AC5629">
        <v>13.329099999999899</v>
      </c>
      <c r="AD5629">
        <v>-1.158841</v>
      </c>
      <c r="AE5629">
        <v>-6.2657499999999899</v>
      </c>
      <c r="AF5629">
        <v>5.8561333375436204</v>
      </c>
      <c r="AG5629">
        <v>-1.158841</v>
      </c>
      <c r="AH5629">
        <v>13.4152578676998</v>
      </c>
      <c r="AI5629">
        <v>94.526552657513193</v>
      </c>
      <c r="AJ5629">
        <v>66.417391714892702</v>
      </c>
      <c r="AK5629">
        <v>14.6835402334468</v>
      </c>
      <c r="AL5629">
        <v>80.307287908991498</v>
      </c>
      <c r="AM5629">
        <v>73.8174061468643</v>
      </c>
      <c r="AN5629">
        <v>1.00000000781001</v>
      </c>
    </row>
    <row r="5630" spans="1:40" x14ac:dyDescent="0.25">
      <c r="A5630" t="str">
        <f>"20190312172521539"</f>
        <v>20190312172521539</v>
      </c>
      <c r="B5630" t="str">
        <f>"1552382721526026"</f>
        <v>1552382721526026</v>
      </c>
      <c r="C5630" t="s">
        <v>40</v>
      </c>
      <c r="D5630">
        <v>4.0834380000000001</v>
      </c>
      <c r="E5630">
        <v>0.55279400000000001</v>
      </c>
      <c r="F5630" t="s">
        <v>42</v>
      </c>
      <c r="G5630">
        <v>-312.97770000000003</v>
      </c>
      <c r="H5630">
        <v>-0.05</v>
      </c>
      <c r="I5630">
        <v>10.40813</v>
      </c>
      <c r="J5630">
        <v>-326.22550000000001</v>
      </c>
      <c r="K5630">
        <v>1.1087260000000001</v>
      </c>
      <c r="L5630">
        <v>16.704470000000001</v>
      </c>
      <c r="M5630">
        <v>0.99947319999999995</v>
      </c>
      <c r="N5630">
        <v>0</v>
      </c>
      <c r="O5630">
        <v>-2.92649E-2</v>
      </c>
      <c r="P5630">
        <v>0.94001190000000001</v>
      </c>
      <c r="Q5630">
        <v>0.1557074</v>
      </c>
      <c r="R5630">
        <v>-0.30353390000000002</v>
      </c>
      <c r="S5630">
        <v>2.8070680000000001</v>
      </c>
      <c r="T5630">
        <v>-0.24288270000000001</v>
      </c>
      <c r="U5630">
        <v>-1.3208009999999999</v>
      </c>
      <c r="V5630">
        <v>0.27664699999999998</v>
      </c>
      <c r="W5630">
        <v>0.16775809999999999</v>
      </c>
      <c r="X5630">
        <v>0.94621549999999999</v>
      </c>
      <c r="Y5630">
        <v>0.39796209999999999</v>
      </c>
      <c r="Z5630">
        <v>-1.3932709999999999E-2</v>
      </c>
      <c r="AA5630">
        <v>0.91729609999999995</v>
      </c>
      <c r="AB5630">
        <v>27</v>
      </c>
      <c r="AC5630">
        <v>13.2477999999999</v>
      </c>
      <c r="AD5630">
        <v>-1.1587259999999999</v>
      </c>
      <c r="AE5630">
        <v>-6.2963399999999998</v>
      </c>
      <c r="AF5630">
        <v>5.8692813382437699</v>
      </c>
      <c r="AG5630">
        <v>-1.1587259999999999</v>
      </c>
      <c r="AH5630">
        <v>13.3431359131921</v>
      </c>
      <c r="AI5630">
        <v>94.544898784979097</v>
      </c>
      <c r="AJ5630">
        <v>66.256616088394097</v>
      </c>
      <c r="AK5630">
        <v>14.6229403803903</v>
      </c>
      <c r="AL5630">
        <v>80.342504804876</v>
      </c>
      <c r="AM5630">
        <v>73.702553518339798</v>
      </c>
      <c r="AN5630">
        <v>1.0000000575824199</v>
      </c>
    </row>
    <row r="5631" spans="1:40" x14ac:dyDescent="0.25">
      <c r="A5631" t="str">
        <f>"20190312172521552"</f>
        <v>20190312172521552</v>
      </c>
      <c r="B5631" t="str">
        <f>"1552382721546522"</f>
        <v>1552382721546522</v>
      </c>
      <c r="C5631" t="s">
        <v>40</v>
      </c>
      <c r="D5631">
        <v>4.083831</v>
      </c>
      <c r="E5631">
        <v>0.55241680000000004</v>
      </c>
      <c r="F5631" t="s">
        <v>42</v>
      </c>
      <c r="G5631">
        <v>-312.90379999999999</v>
      </c>
      <c r="H5631">
        <v>-0.05</v>
      </c>
      <c r="I5631">
        <v>10.379</v>
      </c>
      <c r="J5631">
        <v>-326.08190000000002</v>
      </c>
      <c r="K5631">
        <v>1.1086180000000001</v>
      </c>
      <c r="L5631">
        <v>16.698699999999999</v>
      </c>
      <c r="M5631">
        <v>0.99942710000000001</v>
      </c>
      <c r="N5631">
        <v>0</v>
      </c>
      <c r="O5631">
        <v>-3.0797160000000001E-2</v>
      </c>
      <c r="P5631">
        <v>0.93909540000000002</v>
      </c>
      <c r="Q5631">
        <v>0.15529889999999999</v>
      </c>
      <c r="R5631">
        <v>-0.30656499999999998</v>
      </c>
      <c r="S5631">
        <v>2.802216</v>
      </c>
      <c r="T5631">
        <v>-0.24373880000000001</v>
      </c>
      <c r="U5631">
        <v>-1.3305659999999999</v>
      </c>
      <c r="V5631">
        <v>0.2782906</v>
      </c>
      <c r="W5631">
        <v>0.1672701</v>
      </c>
      <c r="X5631">
        <v>0.94581979999999999</v>
      </c>
      <c r="Y5631">
        <v>0.3997694</v>
      </c>
      <c r="Z5631">
        <v>-1.3942309999999999E-2</v>
      </c>
      <c r="AA5631">
        <v>0.91650969999999998</v>
      </c>
      <c r="AB5631">
        <v>27</v>
      </c>
      <c r="AC5631">
        <v>13.178100000000001</v>
      </c>
      <c r="AD5631">
        <v>-1.1586179999999999</v>
      </c>
      <c r="AE5631">
        <v>-6.3196999999999903</v>
      </c>
      <c r="AF5631">
        <v>5.8738985702159896</v>
      </c>
      <c r="AG5631">
        <v>-1.1586179999999999</v>
      </c>
      <c r="AH5631">
        <v>13.2830173819263</v>
      </c>
      <c r="AI5631">
        <v>94.561035286989707</v>
      </c>
      <c r="AJ5631">
        <v>66.144450710527096</v>
      </c>
      <c r="AK5631">
        <v>14.5699564464574</v>
      </c>
      <c r="AL5631">
        <v>80.3708655224616</v>
      </c>
      <c r="AM5631">
        <v>73.604421278083507</v>
      </c>
      <c r="AN5631">
        <v>1.0000000192372001</v>
      </c>
    </row>
    <row r="5632" spans="1:40" x14ac:dyDescent="0.25">
      <c r="A5632" t="str">
        <f>"20190312172521566"</f>
        <v>20190312172521566</v>
      </c>
      <c r="B5632" t="str">
        <f>"1552382721556282"</f>
        <v>1552382721556282</v>
      </c>
      <c r="C5632" t="s">
        <v>40</v>
      </c>
      <c r="D5632">
        <v>4.0480429999999998</v>
      </c>
      <c r="E5632">
        <v>0.55227230000000005</v>
      </c>
      <c r="F5632" t="s">
        <v>42</v>
      </c>
      <c r="G5632">
        <v>-313.01420000000002</v>
      </c>
      <c r="H5632">
        <v>-0.05</v>
      </c>
      <c r="I5632">
        <v>10.45712</v>
      </c>
      <c r="J5632">
        <v>-325.91919999999999</v>
      </c>
      <c r="K5632">
        <v>1.108501</v>
      </c>
      <c r="L5632">
        <v>16.691859999999998</v>
      </c>
      <c r="M5632">
        <v>0.99937010000000004</v>
      </c>
      <c r="N5632">
        <v>0</v>
      </c>
      <c r="O5632">
        <v>-3.2593749999999998E-2</v>
      </c>
      <c r="P5632">
        <v>0.93805470000000002</v>
      </c>
      <c r="Q5632">
        <v>0.15459100000000001</v>
      </c>
      <c r="R5632">
        <v>-0.31008829999999998</v>
      </c>
      <c r="S5632">
        <v>2.7991030000000001</v>
      </c>
      <c r="T5632">
        <v>-0.2481757</v>
      </c>
      <c r="U5632">
        <v>-1.3369450000000001</v>
      </c>
      <c r="V5632">
        <v>0.28018419999999999</v>
      </c>
      <c r="W5632">
        <v>0.16647509999999999</v>
      </c>
      <c r="X5632">
        <v>0.94540089999999999</v>
      </c>
      <c r="Y5632">
        <v>0.40018140000000002</v>
      </c>
      <c r="Z5632">
        <v>-1.4069949999999999E-2</v>
      </c>
      <c r="AA5632">
        <v>0.91632789999999997</v>
      </c>
      <c r="AB5632">
        <v>27</v>
      </c>
      <c r="AC5632">
        <v>12.9049999999999</v>
      </c>
      <c r="AD5632">
        <v>-1.158501</v>
      </c>
      <c r="AE5632">
        <v>-6.2347400000000004</v>
      </c>
      <c r="AF5632">
        <v>5.7730427379744</v>
      </c>
      <c r="AG5632">
        <v>-1.158501</v>
      </c>
      <c r="AH5632">
        <v>13.016328847557901</v>
      </c>
      <c r="AI5632">
        <v>94.651360908594498</v>
      </c>
      <c r="AJ5632">
        <v>66.081606957277799</v>
      </c>
      <c r="AK5632">
        <v>14.2861808643614</v>
      </c>
      <c r="AL5632">
        <v>80.417063278881798</v>
      </c>
      <c r="AM5632">
        <v>73.491994194289703</v>
      </c>
      <c r="AN5632">
        <v>1.0000000032852201</v>
      </c>
    </row>
    <row r="5633" spans="1:40" x14ac:dyDescent="0.25">
      <c r="A5633" t="str">
        <f>"20190312172521577"</f>
        <v>20190312172521577</v>
      </c>
      <c r="B5633" t="str">
        <f>"1552382721566043"</f>
        <v>1552382721566043</v>
      </c>
      <c r="C5633" t="s">
        <v>40</v>
      </c>
      <c r="D5633">
        <v>4.0248989999999996</v>
      </c>
      <c r="E5633">
        <v>0.55202709999999999</v>
      </c>
      <c r="F5633" t="s">
        <v>42</v>
      </c>
      <c r="G5633">
        <v>-313.07929999999999</v>
      </c>
      <c r="H5633">
        <v>-0.05</v>
      </c>
      <c r="I5633">
        <v>10.505649999999999</v>
      </c>
      <c r="J5633">
        <v>-325.77269999999999</v>
      </c>
      <c r="K5633">
        <v>1.1084020000000001</v>
      </c>
      <c r="L5633">
        <v>16.685389999999899</v>
      </c>
      <c r="M5633">
        <v>0.99931309999999995</v>
      </c>
      <c r="N5633">
        <v>0</v>
      </c>
      <c r="O5633">
        <v>-3.4293459999999998E-2</v>
      </c>
      <c r="P5633">
        <v>0.93707819999999997</v>
      </c>
      <c r="Q5633">
        <v>0.15378710000000001</v>
      </c>
      <c r="R5633">
        <v>-0.31342219999999998</v>
      </c>
      <c r="S5633">
        <v>2.7946170000000001</v>
      </c>
      <c r="T5633">
        <v>-0.2521485</v>
      </c>
      <c r="U5633">
        <v>-1.346436</v>
      </c>
      <c r="V5633">
        <v>0.28197220000000001</v>
      </c>
      <c r="W5633">
        <v>0.165601</v>
      </c>
      <c r="X5633">
        <v>0.94502280000000005</v>
      </c>
      <c r="Y5633">
        <v>0.40168589999999998</v>
      </c>
      <c r="Z5633">
        <v>-1.4224860000000001E-2</v>
      </c>
      <c r="AA5633">
        <v>0.91566700000000001</v>
      </c>
      <c r="AB5633">
        <v>27</v>
      </c>
      <c r="AC5633">
        <v>12.693399999999899</v>
      </c>
      <c r="AD5633">
        <v>-1.1584019999999999</v>
      </c>
      <c r="AE5633">
        <v>-6.17973999999999</v>
      </c>
      <c r="AF5633">
        <v>5.7023687936989997</v>
      </c>
      <c r="AG5633">
        <v>-1.1584019999999999</v>
      </c>
      <c r="AH5633">
        <v>12.8116217568191</v>
      </c>
      <c r="AI5633">
        <v>94.722205662048793</v>
      </c>
      <c r="AJ5633">
        <v>66.006467381790998</v>
      </c>
      <c r="AK5633">
        <v>14.0711249405567</v>
      </c>
      <c r="AL5633">
        <v>80.467850955818903</v>
      </c>
      <c r="AM5633">
        <v>73.3861550425068</v>
      </c>
      <c r="AN5633">
        <v>1.00000005264683</v>
      </c>
    </row>
    <row r="5634" spans="1:40" x14ac:dyDescent="0.25">
      <c r="A5634" t="str">
        <f>"20190312172521588"</f>
        <v>20190312172521588</v>
      </c>
      <c r="B5634" t="str">
        <f>"1552382721575802"</f>
        <v>1552382721575802</v>
      </c>
      <c r="C5634" t="s">
        <v>40</v>
      </c>
      <c r="D5634">
        <v>4.15578</v>
      </c>
      <c r="E5634">
        <v>0.55202709999999999</v>
      </c>
      <c r="F5634" t="s">
        <v>42</v>
      </c>
      <c r="G5634">
        <v>-313.2921</v>
      </c>
      <c r="H5634">
        <v>-0.05</v>
      </c>
      <c r="I5634">
        <v>10.6317</v>
      </c>
      <c r="J5634">
        <v>-325.6465</v>
      </c>
      <c r="K5634">
        <v>1.108325</v>
      </c>
      <c r="L5634">
        <v>16.679500000000001</v>
      </c>
      <c r="M5634">
        <v>0.99925949999999997</v>
      </c>
      <c r="N5634">
        <v>0</v>
      </c>
      <c r="O5634">
        <v>-3.5815159999999999E-2</v>
      </c>
      <c r="P5634">
        <v>0.93605919999999998</v>
      </c>
      <c r="Q5634">
        <v>0.152948</v>
      </c>
      <c r="R5634">
        <v>-0.31685950000000002</v>
      </c>
      <c r="S5634">
        <v>2.7911380000000001</v>
      </c>
      <c r="T5634">
        <v>-0.25906069999999998</v>
      </c>
      <c r="U5634">
        <v>-1.3538209999999999</v>
      </c>
      <c r="V5634">
        <v>0.28402670000000002</v>
      </c>
      <c r="W5634">
        <v>0.16470879999999999</v>
      </c>
      <c r="X5634">
        <v>0.94456329999999999</v>
      </c>
      <c r="Y5634">
        <v>0.40263579999999999</v>
      </c>
      <c r="Z5634">
        <v>-1.453057E-2</v>
      </c>
      <c r="AA5634">
        <v>0.91524490000000003</v>
      </c>
      <c r="AB5634">
        <v>27</v>
      </c>
      <c r="AC5634">
        <v>12.354399999999901</v>
      </c>
      <c r="AD5634">
        <v>-1.158325</v>
      </c>
      <c r="AE5634">
        <v>-6.0477999999999996</v>
      </c>
      <c r="AF5634">
        <v>5.5619592853398698</v>
      </c>
      <c r="AG5634">
        <v>-1.158325</v>
      </c>
      <c r="AH5634">
        <v>12.4746356813632</v>
      </c>
      <c r="AI5634">
        <v>94.847471313761801</v>
      </c>
      <c r="AJ5634">
        <v>65.969749655196495</v>
      </c>
      <c r="AK5634">
        <v>13.707430221604</v>
      </c>
      <c r="AL5634">
        <v>80.5196814261989</v>
      </c>
      <c r="AM5634">
        <v>73.264161231226197</v>
      </c>
      <c r="AN5634">
        <v>0.99999999140860996</v>
      </c>
    </row>
    <row r="5635" spans="1:40" x14ac:dyDescent="0.25">
      <c r="A5635" t="str">
        <f>"20190312172521599"</f>
        <v>20190312172521599</v>
      </c>
      <c r="B5635" t="str">
        <f>"1552382721596298"</f>
        <v>1552382721596298</v>
      </c>
      <c r="C5635" t="s">
        <v>40</v>
      </c>
      <c r="D5635">
        <v>4.4142010000000003</v>
      </c>
      <c r="E5635">
        <v>0.551319</v>
      </c>
      <c r="F5635" t="s">
        <v>42</v>
      </c>
      <c r="G5635">
        <v>-313.32839999999999</v>
      </c>
      <c r="H5635">
        <v>-0.05</v>
      </c>
      <c r="I5635">
        <v>10.65147</v>
      </c>
      <c r="J5635">
        <v>-325.5138</v>
      </c>
      <c r="K5635">
        <v>1.1082479999999999</v>
      </c>
      <c r="L5635">
        <v>16.67313</v>
      </c>
      <c r="M5635">
        <v>0.99919930000000001</v>
      </c>
      <c r="N5635">
        <v>0</v>
      </c>
      <c r="O5635">
        <v>-3.7444829999999998E-2</v>
      </c>
      <c r="P5635">
        <v>0.93495969999999995</v>
      </c>
      <c r="Q5635">
        <v>0.15231140000000001</v>
      </c>
      <c r="R5635">
        <v>-0.32039329999999999</v>
      </c>
      <c r="S5635">
        <v>2.7861940000000001</v>
      </c>
      <c r="T5635">
        <v>-0.26199899999999998</v>
      </c>
      <c r="U5635">
        <v>-1.363464</v>
      </c>
      <c r="V5635">
        <v>0.28608139999999999</v>
      </c>
      <c r="W5635">
        <v>0.16402349999999999</v>
      </c>
      <c r="X5635">
        <v>0.94406239999999997</v>
      </c>
      <c r="Y5635">
        <v>0.40430929999999998</v>
      </c>
      <c r="Z5635">
        <v>-1.463792E-2</v>
      </c>
      <c r="AA5635">
        <v>0.91450520000000002</v>
      </c>
      <c r="AB5635">
        <v>26</v>
      </c>
      <c r="AC5635">
        <v>12.1854</v>
      </c>
      <c r="AD5635">
        <v>-1.1582479999999999</v>
      </c>
      <c r="AE5635">
        <v>-6.0216599999999998</v>
      </c>
      <c r="AF5635">
        <v>5.5210191960831096</v>
      </c>
      <c r="AG5635">
        <v>-1.1582479999999999</v>
      </c>
      <c r="AH5635">
        <v>12.312943482271599</v>
      </c>
      <c r="AI5635">
        <v>94.905888944776706</v>
      </c>
      <c r="AJ5635">
        <v>65.8489413517499</v>
      </c>
      <c r="AK5635">
        <v>13.5436984827128</v>
      </c>
      <c r="AL5635">
        <v>80.559488128947606</v>
      </c>
      <c r="AM5635">
        <v>73.141496460520699</v>
      </c>
      <c r="AN5635">
        <v>1.0000000455359801</v>
      </c>
    </row>
    <row r="5636" spans="1:40" x14ac:dyDescent="0.25">
      <c r="A5636" t="str">
        <f>"20190312172521610"</f>
        <v>20190312172521610</v>
      </c>
      <c r="B5636" t="str">
        <f>"1552382721606059"</f>
        <v>1552382721606059</v>
      </c>
      <c r="C5636" t="s">
        <v>40</v>
      </c>
      <c r="D5636">
        <v>4.0503609999999997</v>
      </c>
      <c r="E5636">
        <v>0.55112450000000002</v>
      </c>
      <c r="F5636" t="s">
        <v>42</v>
      </c>
      <c r="G5636">
        <v>-313.44049999999999</v>
      </c>
      <c r="H5636">
        <v>-0.05</v>
      </c>
      <c r="I5636">
        <v>10.739649999999999</v>
      </c>
      <c r="J5636">
        <v>-325.38510000000002</v>
      </c>
      <c r="K5636">
        <v>1.1081890000000001</v>
      </c>
      <c r="L5636">
        <v>16.66656</v>
      </c>
      <c r="M5636">
        <v>0.99913589999999997</v>
      </c>
      <c r="N5636">
        <v>0</v>
      </c>
      <c r="O5636">
        <v>-3.9092370000000001E-2</v>
      </c>
      <c r="P5636">
        <v>0.93397059999999998</v>
      </c>
      <c r="Q5636">
        <v>0.15158640000000001</v>
      </c>
      <c r="R5636">
        <v>-0.32360559999999899</v>
      </c>
      <c r="S5636">
        <v>2.7834780000000001</v>
      </c>
      <c r="T5636">
        <v>-0.26703199999999999</v>
      </c>
      <c r="U5636">
        <v>-1.36795</v>
      </c>
      <c r="V5636">
        <v>0.28779149999999998</v>
      </c>
      <c r="W5636">
        <v>0.16326949999999901</v>
      </c>
      <c r="X5636">
        <v>0.94367330000000005</v>
      </c>
      <c r="Y5636">
        <v>0.40429720000000002</v>
      </c>
      <c r="Z5636">
        <v>-1.477705E-2</v>
      </c>
      <c r="AA5636">
        <v>0.91450830000000005</v>
      </c>
      <c r="AB5636">
        <v>26</v>
      </c>
      <c r="AC5636">
        <v>11.944599999999999</v>
      </c>
      <c r="AD5636">
        <v>-1.1581889999999999</v>
      </c>
      <c r="AE5636">
        <v>-5.9269100000000003</v>
      </c>
      <c r="AF5636">
        <v>5.4145400424654104</v>
      </c>
      <c r="AG5636">
        <v>-1.1581889999999999</v>
      </c>
      <c r="AH5636">
        <v>12.076081378557401</v>
      </c>
      <c r="AI5636">
        <v>95.001418740330493</v>
      </c>
      <c r="AJ5636">
        <v>65.850016640175895</v>
      </c>
      <c r="AK5636">
        <v>13.284968464122301</v>
      </c>
      <c r="AL5636">
        <v>80.603279889598994</v>
      </c>
      <c r="AM5636">
        <v>73.039897057022202</v>
      </c>
      <c r="AN5636">
        <v>1.00000008711769</v>
      </c>
    </row>
    <row r="5637" spans="1:40" x14ac:dyDescent="0.25">
      <c r="A5637" t="str">
        <f>"20190312172521622"</f>
        <v>20190312172521622</v>
      </c>
      <c r="B5637" t="str">
        <f>"1552382721615820"</f>
        <v>1552382721615820</v>
      </c>
      <c r="C5637" t="s">
        <v>40</v>
      </c>
      <c r="D5637">
        <v>4.0522980000000004</v>
      </c>
      <c r="E5637">
        <v>0.55096540000000005</v>
      </c>
      <c r="F5637" t="s">
        <v>42</v>
      </c>
      <c r="G5637">
        <v>-313.36579999999998</v>
      </c>
      <c r="H5637">
        <v>-0.05</v>
      </c>
      <c r="I5637">
        <v>10.71857</v>
      </c>
      <c r="J5637">
        <v>-325.23930000000001</v>
      </c>
      <c r="K5637">
        <v>1.1081259999999999</v>
      </c>
      <c r="L5637">
        <v>16.65897</v>
      </c>
      <c r="M5637">
        <v>0.99905940000000004</v>
      </c>
      <c r="N5637">
        <v>0</v>
      </c>
      <c r="O5637">
        <v>-4.0984300000000001E-2</v>
      </c>
      <c r="P5637">
        <v>0.93290600000000001</v>
      </c>
      <c r="Q5637">
        <v>0.15094679999999999</v>
      </c>
      <c r="R5637">
        <v>-0.32695790000000002</v>
      </c>
      <c r="S5637">
        <v>2.7790530000000002</v>
      </c>
      <c r="T5637">
        <v>-0.26779170000000002</v>
      </c>
      <c r="U5637">
        <v>-1.375275</v>
      </c>
      <c r="V5637">
        <v>0.2894178</v>
      </c>
      <c r="W5637">
        <v>0.1626061</v>
      </c>
      <c r="X5637">
        <v>0.94329030000000003</v>
      </c>
      <c r="Y5637">
        <v>0.40507530000000003</v>
      </c>
      <c r="Z5637">
        <v>-1.469619E-2</v>
      </c>
      <c r="AA5637">
        <v>0.91416520000000001</v>
      </c>
      <c r="AB5637">
        <v>26</v>
      </c>
      <c r="AC5637">
        <v>11.8735</v>
      </c>
      <c r="AD5637">
        <v>-1.158126</v>
      </c>
      <c r="AE5637">
        <v>-5.9404000000000003</v>
      </c>
      <c r="AF5637">
        <v>5.4075846856784597</v>
      </c>
      <c r="AG5637">
        <v>-1.158126</v>
      </c>
      <c r="AH5637">
        <v>12.0155807366625</v>
      </c>
      <c r="AI5637">
        <v>95.023064315752606</v>
      </c>
      <c r="AJ5637">
        <v>65.769981113724498</v>
      </c>
      <c r="AK5637">
        <v>13.227146646345</v>
      </c>
      <c r="AL5637">
        <v>80.641803902231501</v>
      </c>
      <c r="AM5637">
        <v>72.943079654987102</v>
      </c>
      <c r="AN5637">
        <v>0.99999999839406895</v>
      </c>
    </row>
    <row r="5638" spans="1:40" x14ac:dyDescent="0.25">
      <c r="A5638" t="str">
        <f>"20190312172521633"</f>
        <v>20190312172521633</v>
      </c>
      <c r="B5638" t="str">
        <f>"1552382721626555"</f>
        <v>1552382721626555</v>
      </c>
      <c r="C5638" t="s">
        <v>40</v>
      </c>
      <c r="D5638">
        <v>4.0343159999999996</v>
      </c>
      <c r="E5638">
        <v>0.55080119999999999</v>
      </c>
      <c r="F5638" t="s">
        <v>42</v>
      </c>
      <c r="G5638">
        <v>-313.28489999999999</v>
      </c>
      <c r="H5638">
        <v>-0.05</v>
      </c>
      <c r="I5638">
        <v>10.69881</v>
      </c>
      <c r="J5638">
        <v>-325.1087</v>
      </c>
      <c r="K5638">
        <v>1.1080760000000001</v>
      </c>
      <c r="L5638">
        <v>16.651759999999999</v>
      </c>
      <c r="M5638">
        <v>0.99898489999999995</v>
      </c>
      <c r="N5638">
        <v>0</v>
      </c>
      <c r="O5638">
        <v>-4.2743030000000001E-2</v>
      </c>
      <c r="P5638">
        <v>0.93183400000000005</v>
      </c>
      <c r="Q5638">
        <v>0.1506721</v>
      </c>
      <c r="R5638">
        <v>-0.33012709999999901</v>
      </c>
      <c r="S5638">
        <v>2.7744450000000001</v>
      </c>
      <c r="T5638">
        <v>-0.26878540000000001</v>
      </c>
      <c r="U5638">
        <v>-1.38327</v>
      </c>
      <c r="V5638">
        <v>0.29098610000000003</v>
      </c>
      <c r="W5638">
        <v>0.1623309</v>
      </c>
      <c r="X5638">
        <v>0.94285509999999995</v>
      </c>
      <c r="Y5638">
        <v>0.40617330000000001</v>
      </c>
      <c r="Z5638">
        <v>-1.4653920000000001E-2</v>
      </c>
      <c r="AA5638">
        <v>0.91367860000000001</v>
      </c>
      <c r="AB5638">
        <v>26</v>
      </c>
      <c r="AC5638">
        <v>11.8238</v>
      </c>
      <c r="AD5638">
        <v>-1.1580760000000001</v>
      </c>
      <c r="AE5638">
        <v>-5.9529500000000004</v>
      </c>
      <c r="AF5638">
        <v>5.4007395864438896</v>
      </c>
      <c r="AG5638">
        <v>-1.1580760000000001</v>
      </c>
      <c r="AH5638">
        <v>11.9758119848916</v>
      </c>
      <c r="AI5638">
        <v>95.037709925733296</v>
      </c>
      <c r="AJ5638">
        <v>65.726023224719299</v>
      </c>
      <c r="AK5638">
        <v>13.188222048473101</v>
      </c>
      <c r="AL5638">
        <v>80.657783895798801</v>
      </c>
      <c r="AM5638">
        <v>72.848608058724395</v>
      </c>
      <c r="AN5638">
        <v>0.99999998554201397</v>
      </c>
    </row>
    <row r="5639" spans="1:40" x14ac:dyDescent="0.25">
      <c r="A5639" t="str">
        <f>"20190312172521645"</f>
        <v>20190312172521645</v>
      </c>
      <c r="B5639" t="str">
        <f>"1552382721636315"</f>
        <v>1552382721636315</v>
      </c>
      <c r="C5639" t="s">
        <v>40</v>
      </c>
      <c r="D5639">
        <v>4.0398059999999996</v>
      </c>
      <c r="E5639">
        <v>0.55072129999999997</v>
      </c>
      <c r="F5639" t="s">
        <v>42</v>
      </c>
      <c r="G5639">
        <v>-313.16899999999998</v>
      </c>
      <c r="H5639">
        <v>-0.05</v>
      </c>
      <c r="I5639">
        <v>10.655749999999999</v>
      </c>
      <c r="J5639">
        <v>-324.97859999999997</v>
      </c>
      <c r="K5639">
        <v>1.1080350000000001</v>
      </c>
      <c r="L5639">
        <v>16.644410000000001</v>
      </c>
      <c r="M5639">
        <v>0.99890650000000003</v>
      </c>
      <c r="N5639">
        <v>0</v>
      </c>
      <c r="O5639">
        <v>-4.4514789999999999E-2</v>
      </c>
      <c r="P5639">
        <v>0.93083570000000004</v>
      </c>
      <c r="Q5639">
        <v>0.15006749999999999</v>
      </c>
      <c r="R5639">
        <v>-0.3332039</v>
      </c>
      <c r="S5639">
        <v>2.7700809999999998</v>
      </c>
      <c r="T5639">
        <v>-0.26868130000000001</v>
      </c>
      <c r="U5639">
        <v>-1.3911129999999901</v>
      </c>
      <c r="V5639">
        <v>0.29244609999999999</v>
      </c>
      <c r="W5639">
        <v>0.16173750000000001</v>
      </c>
      <c r="X5639">
        <v>0.94250529999999999</v>
      </c>
      <c r="Y5639">
        <v>0.40719850000000002</v>
      </c>
      <c r="Z5639">
        <v>-1.454606E-2</v>
      </c>
      <c r="AA5639">
        <v>0.91322389999999998</v>
      </c>
      <c r="AB5639">
        <v>26</v>
      </c>
      <c r="AC5639">
        <v>11.8095999999999</v>
      </c>
      <c r="AD5639">
        <v>-1.1580349999999999</v>
      </c>
      <c r="AE5639">
        <v>-5.9886600000000003</v>
      </c>
      <c r="AF5639">
        <v>5.4155451559703298</v>
      </c>
      <c r="AG5639">
        <v>-1.1580349999999999</v>
      </c>
      <c r="AH5639">
        <v>11.972925375652499</v>
      </c>
      <c r="AI5639">
        <v>95.036211627374996</v>
      </c>
      <c r="AJ5639">
        <v>65.662001636959104</v>
      </c>
      <c r="AK5639">
        <v>13.1916684482487</v>
      </c>
      <c r="AL5639">
        <v>80.692238571235904</v>
      </c>
      <c r="AM5639">
        <v>72.761620629836003</v>
      </c>
      <c r="AN5639">
        <v>0.99999999041977405</v>
      </c>
    </row>
    <row r="5640" spans="1:40" x14ac:dyDescent="0.25">
      <c r="A5640" t="str">
        <f>"20190312172521655"</f>
        <v>20190312172521655</v>
      </c>
      <c r="B5640" t="str">
        <f>"1552382721646075"</f>
        <v>1552382721646075</v>
      </c>
      <c r="C5640" t="s">
        <v>40</v>
      </c>
      <c r="D5640">
        <v>4.034008</v>
      </c>
      <c r="E5640">
        <v>0.55064930000000001</v>
      </c>
      <c r="F5640" t="s">
        <v>42</v>
      </c>
      <c r="G5640">
        <v>-313.14409999999998</v>
      </c>
      <c r="H5640">
        <v>-0.05</v>
      </c>
      <c r="I5640">
        <v>10.657959999999999</v>
      </c>
      <c r="J5640">
        <v>-324.84449999999998</v>
      </c>
      <c r="K5640">
        <v>1.108001</v>
      </c>
      <c r="L5640">
        <v>16.636469999999999</v>
      </c>
      <c r="M5640">
        <v>0.99882029999999999</v>
      </c>
      <c r="N5640">
        <v>0</v>
      </c>
      <c r="O5640">
        <v>-4.6383130000000002E-2</v>
      </c>
      <c r="P5640">
        <v>0.92980200000000002</v>
      </c>
      <c r="Q5640">
        <v>0.14969389999999999</v>
      </c>
      <c r="R5640">
        <v>-0.3362443</v>
      </c>
      <c r="S5640">
        <v>2.7657470000000002</v>
      </c>
      <c r="T5640">
        <v>-0.2706363</v>
      </c>
      <c r="U5640">
        <v>-1.3990479999999901</v>
      </c>
      <c r="V5640">
        <v>0.29378149999999997</v>
      </c>
      <c r="W5640">
        <v>0.1613996</v>
      </c>
      <c r="X5640">
        <v>0.94214790000000004</v>
      </c>
      <c r="Y5640">
        <v>0.40813569999999999</v>
      </c>
      <c r="Z5640">
        <v>-1.453521E-2</v>
      </c>
      <c r="AA5640">
        <v>0.91280559999999999</v>
      </c>
      <c r="AB5640">
        <v>26</v>
      </c>
      <c r="AC5640">
        <v>11.7004</v>
      </c>
      <c r="AD5640">
        <v>-1.1580010000000001</v>
      </c>
      <c r="AE5640">
        <v>-5.97851</v>
      </c>
      <c r="AF5640">
        <v>5.3874706486488204</v>
      </c>
      <c r="AG5640">
        <v>-1.1580010000000001</v>
      </c>
      <c r="AH5640">
        <v>11.8729143865762</v>
      </c>
      <c r="AI5640">
        <v>95.075520635878206</v>
      </c>
      <c r="AJ5640">
        <v>65.593285354436006</v>
      </c>
      <c r="AK5640">
        <v>13.089381281673401</v>
      </c>
      <c r="AL5640">
        <v>80.711856966068794</v>
      </c>
      <c r="AM5640">
        <v>72.681424869073496</v>
      </c>
      <c r="AN5640">
        <v>1.0000000330484</v>
      </c>
    </row>
    <row r="5641" spans="1:40" x14ac:dyDescent="0.25">
      <c r="A5641" t="str">
        <f>"20190312172521665"</f>
        <v>20190312172521665</v>
      </c>
      <c r="B5641" t="str">
        <f>"1552382721655836"</f>
        <v>1552382721655836</v>
      </c>
      <c r="C5641" t="s">
        <v>40</v>
      </c>
      <c r="D5641">
        <v>4.0246009999999997</v>
      </c>
      <c r="E5641">
        <v>0.55059820000000004</v>
      </c>
      <c r="F5641" t="s">
        <v>42</v>
      </c>
      <c r="G5641">
        <v>-313.07819999999998</v>
      </c>
      <c r="H5641">
        <v>-0.05</v>
      </c>
      <c r="I5641">
        <v>10.64096</v>
      </c>
      <c r="J5641">
        <v>-324.7278</v>
      </c>
      <c r="K5641">
        <v>1.1079760000000001</v>
      </c>
      <c r="L5641">
        <v>16.62933</v>
      </c>
      <c r="M5641">
        <v>0.99874079999999998</v>
      </c>
      <c r="N5641">
        <v>0</v>
      </c>
      <c r="O5641">
        <v>-4.8035389999999997E-2</v>
      </c>
      <c r="P5641">
        <v>0.92889489999999997</v>
      </c>
      <c r="Q5641">
        <v>0.14921489999999901</v>
      </c>
      <c r="R5641">
        <v>-0.33895399999999998</v>
      </c>
      <c r="S5641">
        <v>2.7614139999999998</v>
      </c>
      <c r="T5641">
        <v>-0.27176850000000002</v>
      </c>
      <c r="U5641">
        <v>-1.4070739999999999</v>
      </c>
      <c r="V5641">
        <v>0.29498249999999998</v>
      </c>
      <c r="W5641">
        <v>0.1609662</v>
      </c>
      <c r="X5641">
        <v>0.94184670000000004</v>
      </c>
      <c r="Y5641">
        <v>0.40930060000000001</v>
      </c>
      <c r="Z5641">
        <v>-1.450914E-2</v>
      </c>
      <c r="AA5641">
        <v>0.91228419999999999</v>
      </c>
      <c r="AB5641">
        <v>26</v>
      </c>
      <c r="AC5641">
        <v>11.6496</v>
      </c>
      <c r="AD5641">
        <v>-1.1579759999999999</v>
      </c>
      <c r="AE5641">
        <v>-5.9883699999999997</v>
      </c>
      <c r="AF5641">
        <v>5.3797594143571201</v>
      </c>
      <c r="AG5641">
        <v>-1.1579759999999999</v>
      </c>
      <c r="AH5641">
        <v>11.8313668602806</v>
      </c>
      <c r="AI5641">
        <v>95.091344950372303</v>
      </c>
      <c r="AJ5641">
        <v>65.5485589861417</v>
      </c>
      <c r="AK5641">
        <v>13.0485233477006</v>
      </c>
      <c r="AL5641">
        <v>80.737017634571899</v>
      </c>
      <c r="AM5641">
        <v>72.609659151405495</v>
      </c>
      <c r="AN5641">
        <v>0.99999999957479002</v>
      </c>
    </row>
    <row r="5642" spans="1:40" x14ac:dyDescent="0.25">
      <c r="A5642" t="str">
        <f>"20190312172521676"</f>
        <v>20190312172521676</v>
      </c>
      <c r="B5642" t="str">
        <f>"1552382721666572"</f>
        <v>1552382721666572</v>
      </c>
      <c r="C5642" t="s">
        <v>40</v>
      </c>
      <c r="D5642">
        <v>4.049569</v>
      </c>
      <c r="E5642">
        <v>0.55048759999999997</v>
      </c>
      <c r="F5642" t="s">
        <v>42</v>
      </c>
      <c r="G5642">
        <v>-313.02760000000001</v>
      </c>
      <c r="H5642">
        <v>-0.05</v>
      </c>
      <c r="I5642">
        <v>10.62627</v>
      </c>
      <c r="J5642">
        <v>-324.60700000000003</v>
      </c>
      <c r="K5642">
        <v>1.1079589999999999</v>
      </c>
      <c r="L5642">
        <v>16.621729999999999</v>
      </c>
      <c r="M5642">
        <v>0.99865409999999999</v>
      </c>
      <c r="N5642">
        <v>0</v>
      </c>
      <c r="O5642">
        <v>-4.9772719999999999E-2</v>
      </c>
      <c r="P5642">
        <v>0.92789980000000005</v>
      </c>
      <c r="Q5642">
        <v>0.14892339999999901</v>
      </c>
      <c r="R5642">
        <v>-0.34179540000000003</v>
      </c>
      <c r="S5642">
        <v>2.757263</v>
      </c>
      <c r="T5642">
        <v>-0.27288689999999999</v>
      </c>
      <c r="U5642">
        <v>-1.4146729999999901</v>
      </c>
      <c r="V5642">
        <v>0.2962419</v>
      </c>
      <c r="W5642">
        <v>0.16073699999999999</v>
      </c>
      <c r="X5642">
        <v>0.94149050000000001</v>
      </c>
      <c r="Y5642">
        <v>0.41025250000000002</v>
      </c>
      <c r="Z5642">
        <v>-1.446332E-2</v>
      </c>
      <c r="AA5642">
        <v>0.91185729999999998</v>
      </c>
      <c r="AB5642">
        <v>26</v>
      </c>
      <c r="AC5642">
        <v>11.5794</v>
      </c>
      <c r="AD5642">
        <v>-1.157959</v>
      </c>
      <c r="AE5642">
        <v>-5.9954599999999996</v>
      </c>
      <c r="AF5642">
        <v>5.3692848776057298</v>
      </c>
      <c r="AG5642">
        <v>-1.157959</v>
      </c>
      <c r="AH5642">
        <v>11.770661808801</v>
      </c>
      <c r="AI5642">
        <v>95.114595679931099</v>
      </c>
      <c r="AJ5642">
        <v>65.479506848582005</v>
      </c>
      <c r="AK5642">
        <v>12.9891712037271</v>
      </c>
      <c r="AL5642">
        <v>80.750323124437799</v>
      </c>
      <c r="AM5642">
        <v>72.533711838892302</v>
      </c>
      <c r="AN5642">
        <v>1.0000000040374299</v>
      </c>
    </row>
    <row r="5643" spans="1:40" x14ac:dyDescent="0.25">
      <c r="A5643" t="str">
        <f>"20190312172521686"</f>
        <v>20190312172521686</v>
      </c>
      <c r="B5643" t="str">
        <f>"1552382721676331"</f>
        <v>1552382721676331</v>
      </c>
      <c r="C5643" t="s">
        <v>40</v>
      </c>
      <c r="D5643">
        <v>4.0316510000000001</v>
      </c>
      <c r="E5643">
        <v>0.55037340000000001</v>
      </c>
      <c r="F5643" t="s">
        <v>42</v>
      </c>
      <c r="G5643">
        <v>-312.95010000000002</v>
      </c>
      <c r="H5643">
        <v>-0.05</v>
      </c>
      <c r="I5643">
        <v>10.598940000000001</v>
      </c>
      <c r="J5643">
        <v>-324.4889</v>
      </c>
      <c r="K5643">
        <v>1.107952</v>
      </c>
      <c r="L5643">
        <v>16.61401</v>
      </c>
      <c r="M5643">
        <v>0.99856480000000003</v>
      </c>
      <c r="N5643">
        <v>0</v>
      </c>
      <c r="O5643">
        <v>-5.1495689999999997E-2</v>
      </c>
      <c r="P5643">
        <v>0.9269558</v>
      </c>
      <c r="Q5643">
        <v>0.1484625</v>
      </c>
      <c r="R5643">
        <v>-0.34454580000000001</v>
      </c>
      <c r="S5643">
        <v>2.7530519999999998</v>
      </c>
      <c r="T5643">
        <v>-0.2734801</v>
      </c>
      <c r="U5643">
        <v>-1.4224239999999999</v>
      </c>
      <c r="V5643">
        <v>0.29742109999999999</v>
      </c>
      <c r="W5643">
        <v>0.16036520000000001</v>
      </c>
      <c r="X5643">
        <v>0.94118210000000002</v>
      </c>
      <c r="Y5643">
        <v>0.41127029999999998</v>
      </c>
      <c r="Z5643">
        <v>-1.439347E-2</v>
      </c>
      <c r="AA5643">
        <v>0.91139979999999998</v>
      </c>
      <c r="AB5643">
        <v>26</v>
      </c>
      <c r="AC5643">
        <v>11.538799999999901</v>
      </c>
      <c r="AD5643">
        <v>-1.1579520000000001</v>
      </c>
      <c r="AE5643">
        <v>-6.0150699999999997</v>
      </c>
      <c r="AF5643">
        <v>5.37029837621479</v>
      </c>
      <c r="AG5643">
        <v>-1.1579520000000001</v>
      </c>
      <c r="AH5643">
        <v>11.7403016608332</v>
      </c>
      <c r="AI5643">
        <v>95.125280997589897</v>
      </c>
      <c r="AJ5643">
        <v>65.419495604352804</v>
      </c>
      <c r="AK5643">
        <v>12.962084730908099</v>
      </c>
      <c r="AL5643">
        <v>80.771905885519899</v>
      </c>
      <c r="AM5643">
        <v>72.463045586421799</v>
      </c>
      <c r="AN5643">
        <v>1.00000002672832</v>
      </c>
    </row>
    <row r="5644" spans="1:40" x14ac:dyDescent="0.25">
      <c r="A5644" t="str">
        <f>"20190312172521695"</f>
        <v>20190312172521695</v>
      </c>
      <c r="B5644" t="str">
        <f>"1552382721686091"</f>
        <v>1552382721686091</v>
      </c>
      <c r="C5644" t="s">
        <v>40</v>
      </c>
      <c r="D5644">
        <v>4.0422589999999996</v>
      </c>
      <c r="E5644">
        <v>0.55024249999999997</v>
      </c>
      <c r="F5644" t="s">
        <v>42</v>
      </c>
      <c r="G5644">
        <v>-312.892</v>
      </c>
      <c r="H5644">
        <v>-0.05</v>
      </c>
      <c r="I5644">
        <v>10.5808</v>
      </c>
      <c r="J5644">
        <v>-324.36860000000001</v>
      </c>
      <c r="K5644">
        <v>1.10795</v>
      </c>
      <c r="L5644">
        <v>16.60596</v>
      </c>
      <c r="M5644">
        <v>0.99846889999999999</v>
      </c>
      <c r="N5644">
        <v>0</v>
      </c>
      <c r="O5644">
        <v>-5.327378E-2</v>
      </c>
      <c r="P5644">
        <v>0.92600519999999997</v>
      </c>
      <c r="Q5644">
        <v>0.14819849999999901</v>
      </c>
      <c r="R5644">
        <v>-0.34720519999999999</v>
      </c>
      <c r="S5644">
        <v>2.7488100000000002</v>
      </c>
      <c r="T5644">
        <v>-0.27446989999999999</v>
      </c>
      <c r="U5644">
        <v>-1.4300539999999999</v>
      </c>
      <c r="V5644">
        <v>0.29845969999999999</v>
      </c>
      <c r="W5644">
        <v>0.16022020000000001</v>
      </c>
      <c r="X5644">
        <v>0.94087790000000004</v>
      </c>
      <c r="Y5644">
        <v>0.41220630000000003</v>
      </c>
      <c r="Z5644">
        <v>-1.4334980000000001E-2</v>
      </c>
      <c r="AA5644">
        <v>0.91097779999999995</v>
      </c>
      <c r="AB5644">
        <v>26</v>
      </c>
      <c r="AC5644">
        <v>11.476599999999999</v>
      </c>
      <c r="AD5644">
        <v>-1.15795</v>
      </c>
      <c r="AE5644">
        <v>-6.0251599999999996</v>
      </c>
      <c r="AF5644">
        <v>5.3623380608682698</v>
      </c>
      <c r="AG5644">
        <v>-1.15795</v>
      </c>
      <c r="AH5644">
        <v>11.6880408337822</v>
      </c>
      <c r="AI5644">
        <v>95.1454217053668</v>
      </c>
      <c r="AJ5644">
        <v>65.354889845175705</v>
      </c>
      <c r="AK5644">
        <v>12.911460653763999</v>
      </c>
      <c r="AL5644">
        <v>80.780322020824997</v>
      </c>
      <c r="AM5644">
        <v>72.400240719992993</v>
      </c>
      <c r="AN5644">
        <v>0.99999996386026901</v>
      </c>
    </row>
    <row r="5645" spans="1:40" x14ac:dyDescent="0.25">
      <c r="A5645" t="str">
        <f>"20190312172521706"</f>
        <v>20190312172521706</v>
      </c>
      <c r="B5645" t="str">
        <f>"1552382721695851"</f>
        <v>1552382721695851</v>
      </c>
      <c r="C5645" t="s">
        <v>40</v>
      </c>
      <c r="D5645">
        <v>4.0243869999999999</v>
      </c>
      <c r="E5645">
        <v>0.55007329999999999</v>
      </c>
      <c r="F5645" t="s">
        <v>42</v>
      </c>
      <c r="G5645">
        <v>-312.791</v>
      </c>
      <c r="H5645">
        <v>-0.05</v>
      </c>
      <c r="I5645">
        <v>10.545439999999999</v>
      </c>
      <c r="J5645">
        <v>-324.25560000000002</v>
      </c>
      <c r="K5645">
        <v>1.1079559999999999</v>
      </c>
      <c r="L5645">
        <v>16.598140000000001</v>
      </c>
      <c r="M5645">
        <v>0.99837419999999999</v>
      </c>
      <c r="N5645">
        <v>0</v>
      </c>
      <c r="O5645">
        <v>-5.4970819999999997E-2</v>
      </c>
      <c r="P5645">
        <v>0.92508880000000004</v>
      </c>
      <c r="Q5645">
        <v>0.147580399999999</v>
      </c>
      <c r="R5645">
        <v>-0.34990080000000001</v>
      </c>
      <c r="S5645">
        <v>2.7449340000000002</v>
      </c>
      <c r="T5645">
        <v>-0.27453820000000001</v>
      </c>
      <c r="U5645">
        <v>-1.43689</v>
      </c>
      <c r="V5645">
        <v>0.29960759999999997</v>
      </c>
      <c r="W5645">
        <v>0.15974059999999901</v>
      </c>
      <c r="X5645">
        <v>0.94059459999999995</v>
      </c>
      <c r="Y5645">
        <v>0.41296919999999998</v>
      </c>
      <c r="Z5645">
        <v>-1.4226610000000001E-2</v>
      </c>
      <c r="AA5645">
        <v>0.9106339</v>
      </c>
      <c r="AB5645">
        <v>26</v>
      </c>
      <c r="AC5645">
        <v>11.464600000000001</v>
      </c>
      <c r="AD5645">
        <v>-1.157956</v>
      </c>
      <c r="AE5645">
        <v>-6.0526999999999997</v>
      </c>
      <c r="AF5645">
        <v>5.3704113835301399</v>
      </c>
      <c r="AG5645">
        <v>-1.157956</v>
      </c>
      <c r="AH5645">
        <v>11.686784912476901</v>
      </c>
      <c r="AI5645">
        <v>95.1445618966452</v>
      </c>
      <c r="AJ5645">
        <v>65.319868090665494</v>
      </c>
      <c r="AK5645">
        <v>12.9136796505405</v>
      </c>
      <c r="AL5645">
        <v>80.808159839280904</v>
      </c>
      <c r="AM5645">
        <v>72.331762132837099</v>
      </c>
      <c r="AN5645">
        <v>0.99999998740763896</v>
      </c>
    </row>
    <row r="5646" spans="1:40" x14ac:dyDescent="0.25">
      <c r="A5646" t="str">
        <f>"20190312172521717"</f>
        <v>20190312172521717</v>
      </c>
      <c r="B5646" t="str">
        <f>"1552382721705611"</f>
        <v>1552382721705611</v>
      </c>
      <c r="C5646" t="s">
        <v>40</v>
      </c>
      <c r="D5646">
        <v>4.022081</v>
      </c>
      <c r="E5646">
        <v>0.54996219999999996</v>
      </c>
      <c r="F5646" t="s">
        <v>42</v>
      </c>
      <c r="G5646">
        <v>-312.76420000000002</v>
      </c>
      <c r="H5646">
        <v>-0.05</v>
      </c>
      <c r="I5646">
        <v>10.546189999999999</v>
      </c>
      <c r="J5646">
        <v>-324.1277</v>
      </c>
      <c r="K5646">
        <v>1.1079680000000001</v>
      </c>
      <c r="L5646">
        <v>16.589079999999999</v>
      </c>
      <c r="M5646">
        <v>0.99826150000000002</v>
      </c>
      <c r="N5646">
        <v>0</v>
      </c>
      <c r="O5646">
        <v>-5.6916099999999997E-2</v>
      </c>
      <c r="P5646">
        <v>0.92404319999999895</v>
      </c>
      <c r="Q5646">
        <v>0.14714260000000001</v>
      </c>
      <c r="R5646">
        <v>-0.35283629999999999</v>
      </c>
      <c r="S5646">
        <v>2.7409970000000001</v>
      </c>
      <c r="T5646">
        <v>-0.27620209999999901</v>
      </c>
      <c r="U5646">
        <v>-1.4435420000000001</v>
      </c>
      <c r="V5646">
        <v>0.30077150000000002</v>
      </c>
      <c r="W5646">
        <v>0.159488299999999</v>
      </c>
      <c r="X5646">
        <v>0.94026589999999999</v>
      </c>
      <c r="Y5646">
        <v>0.4134525</v>
      </c>
      <c r="Z5646">
        <v>-1.4163749999999999E-2</v>
      </c>
      <c r="AA5646">
        <v>0.91041550000000004</v>
      </c>
      <c r="AB5646">
        <v>26</v>
      </c>
      <c r="AC5646">
        <v>11.363499999999901</v>
      </c>
      <c r="AD5646">
        <v>-1.1579680000000001</v>
      </c>
      <c r="AE5646">
        <v>-6.0428899999999999</v>
      </c>
      <c r="AF5646">
        <v>5.3429988038352203</v>
      </c>
      <c r="AG5646">
        <v>-1.1579680000000001</v>
      </c>
      <c r="AH5646">
        <v>11.5951908605852</v>
      </c>
      <c r="AI5646">
        <v>95.182554939459806</v>
      </c>
      <c r="AJ5646">
        <v>65.260015305501597</v>
      </c>
      <c r="AK5646">
        <v>12.819398472635401</v>
      </c>
      <c r="AL5646">
        <v>80.822803306555599</v>
      </c>
      <c r="AM5646">
        <v>72.261607229485705</v>
      </c>
      <c r="AN5646">
        <v>0.99999998787597499</v>
      </c>
    </row>
    <row r="5647" spans="1:40" x14ac:dyDescent="0.25">
      <c r="A5647" t="str">
        <f>"20190312172521729"</f>
        <v>20190312172521729</v>
      </c>
      <c r="B5647" t="str">
        <f>"1552382721716347"</f>
        <v>1552382721716347</v>
      </c>
      <c r="C5647" t="s">
        <v>40</v>
      </c>
      <c r="D5647">
        <v>4.0159060000000002</v>
      </c>
      <c r="E5647">
        <v>0.54986359999999901</v>
      </c>
      <c r="F5647" t="s">
        <v>42</v>
      </c>
      <c r="G5647">
        <v>-312.69490000000002</v>
      </c>
      <c r="H5647">
        <v>-0.05</v>
      </c>
      <c r="I5647">
        <v>10.526199999999999</v>
      </c>
      <c r="J5647">
        <v>-324.00299999999999</v>
      </c>
      <c r="K5647">
        <v>1.107977</v>
      </c>
      <c r="L5647">
        <v>16.579899999999999</v>
      </c>
      <c r="M5647">
        <v>0.99814570000000002</v>
      </c>
      <c r="N5647">
        <v>0</v>
      </c>
      <c r="O5647">
        <v>-5.8848249999999998E-2</v>
      </c>
      <c r="P5647">
        <v>0.92300499999999996</v>
      </c>
      <c r="Q5647">
        <v>0.14657290000000001</v>
      </c>
      <c r="R5647">
        <v>-0.3557785</v>
      </c>
      <c r="S5647">
        <v>2.7366329999999999</v>
      </c>
      <c r="T5647">
        <v>-0.2771807</v>
      </c>
      <c r="U5647">
        <v>-1.451263</v>
      </c>
      <c r="V5647">
        <v>0.30195539999999998</v>
      </c>
      <c r="W5647">
        <v>0.15911829999999999</v>
      </c>
      <c r="X5647">
        <v>0.93994909999999998</v>
      </c>
      <c r="Y5647">
        <v>0.41428939999999997</v>
      </c>
      <c r="Z5647">
        <v>-1.408301E-2</v>
      </c>
      <c r="AA5647">
        <v>0.91003630000000002</v>
      </c>
      <c r="AB5647">
        <v>26</v>
      </c>
      <c r="AC5647">
        <v>11.3080999999999</v>
      </c>
      <c r="AD5647">
        <v>-1.157977</v>
      </c>
      <c r="AE5647">
        <v>-6.0536999999999903</v>
      </c>
      <c r="AF5647">
        <v>5.3341877062279703</v>
      </c>
      <c r="AG5647">
        <v>-1.157977</v>
      </c>
      <c r="AH5647">
        <v>11.550647756958201</v>
      </c>
      <c r="AI5647">
        <v>95.200475902225506</v>
      </c>
      <c r="AJ5647">
        <v>65.2121041221627</v>
      </c>
      <c r="AK5647">
        <v>12.7754425685816</v>
      </c>
      <c r="AL5647">
        <v>80.844277117679198</v>
      </c>
      <c r="AM5647">
        <v>72.190564358973006</v>
      </c>
      <c r="AN5647">
        <v>1.0000000037874299</v>
      </c>
    </row>
    <row r="5648" spans="1:40" x14ac:dyDescent="0.25">
      <c r="A5648" t="str">
        <f>"20190312172521740"</f>
        <v>20190312172521740</v>
      </c>
      <c r="B5648" t="str">
        <f>"1552382721735868"</f>
        <v>1552382721735868</v>
      </c>
      <c r="C5648" t="s">
        <v>40</v>
      </c>
      <c r="D5648">
        <v>4.0181620000000002</v>
      </c>
      <c r="E5648">
        <v>0.54969129999999999</v>
      </c>
      <c r="F5648" t="s">
        <v>42</v>
      </c>
      <c r="G5648">
        <v>-312.64330000000001</v>
      </c>
      <c r="H5648">
        <v>-0.05</v>
      </c>
      <c r="I5648">
        <v>10.512589999999999</v>
      </c>
      <c r="J5648">
        <v>-323.8603</v>
      </c>
      <c r="K5648">
        <v>1.107993</v>
      </c>
      <c r="L5648">
        <v>16.569120000000002</v>
      </c>
      <c r="M5648">
        <v>0.99800659999999997</v>
      </c>
      <c r="N5648">
        <v>0</v>
      </c>
      <c r="O5648">
        <v>-6.108417E-2</v>
      </c>
      <c r="P5648">
        <v>0.92195039999999995</v>
      </c>
      <c r="Q5648">
        <v>0.1459355</v>
      </c>
      <c r="R5648">
        <v>-0.35876279999999999</v>
      </c>
      <c r="S5648">
        <v>2.7320250000000001</v>
      </c>
      <c r="T5648">
        <v>-0.27849629999999997</v>
      </c>
      <c r="U5648">
        <v>-1.459198</v>
      </c>
      <c r="V5648">
        <v>0.30289949999999999</v>
      </c>
      <c r="W5648">
        <v>0.1587276</v>
      </c>
      <c r="X5648">
        <v>0.93971139999999997</v>
      </c>
      <c r="Y5648">
        <v>0.414937</v>
      </c>
      <c r="Z5648">
        <v>-1.3981179999999999E-2</v>
      </c>
      <c r="AA5648">
        <v>0.90974270000000002</v>
      </c>
      <c r="AB5648">
        <v>26</v>
      </c>
      <c r="AC5648">
        <v>11.216999999999899</v>
      </c>
      <c r="AD5648">
        <v>-1.1579930000000001</v>
      </c>
      <c r="AE5648">
        <v>-6.0565300000000004</v>
      </c>
      <c r="AF5648">
        <v>5.3160824437102203</v>
      </c>
      <c r="AG5648">
        <v>-1.1579930000000001</v>
      </c>
      <c r="AH5648">
        <v>11.4713927192097</v>
      </c>
      <c r="AI5648">
        <v>95.233080263182103</v>
      </c>
      <c r="AJ5648">
        <v>65.136010745374307</v>
      </c>
      <c r="AK5648">
        <v>12.696240831628501</v>
      </c>
      <c r="AL5648">
        <v>80.866951041235396</v>
      </c>
      <c r="AM5648">
        <v>72.134183354644406</v>
      </c>
      <c r="AN5648">
        <v>1.00000003669598</v>
      </c>
    </row>
    <row r="5649" spans="1:40" x14ac:dyDescent="0.25">
      <c r="A5649" t="str">
        <f>"20190312172521753"</f>
        <v>20190312172521753</v>
      </c>
      <c r="B5649" t="str">
        <f>"1552382721746602"</f>
        <v>1552382721746602</v>
      </c>
      <c r="C5649" t="s">
        <v>40</v>
      </c>
      <c r="D5649">
        <v>4.0287540000000002</v>
      </c>
      <c r="E5649">
        <v>0.54961190000000004</v>
      </c>
      <c r="F5649" t="s">
        <v>42</v>
      </c>
      <c r="G5649">
        <v>-312.56869999999998</v>
      </c>
      <c r="H5649">
        <v>-0.05</v>
      </c>
      <c r="I5649">
        <v>10.498290000000001</v>
      </c>
      <c r="J5649">
        <v>-323.72370000000001</v>
      </c>
      <c r="K5649">
        <v>1.107996</v>
      </c>
      <c r="L5649">
        <v>16.55829</v>
      </c>
      <c r="M5649">
        <v>0.997865</v>
      </c>
      <c r="N5649">
        <v>0</v>
      </c>
      <c r="O5649">
        <v>-6.3278440000000005E-2</v>
      </c>
      <c r="P5649">
        <v>0.92088709999999996</v>
      </c>
      <c r="Q5649">
        <v>0.14561849999999901</v>
      </c>
      <c r="R5649">
        <v>-0.36161100000000002</v>
      </c>
      <c r="S5649">
        <v>2.7276310000000001</v>
      </c>
      <c r="T5649">
        <v>-0.2797289</v>
      </c>
      <c r="U5649">
        <v>-1.4664919999999999</v>
      </c>
      <c r="V5649">
        <v>0.30375269999999999</v>
      </c>
      <c r="W5649">
        <v>0.15865179999999901</v>
      </c>
      <c r="X5649">
        <v>0.93944870000000003</v>
      </c>
      <c r="Y5649">
        <v>0.41542859999999998</v>
      </c>
      <c r="Z5649">
        <v>-1.3869650000000001E-2</v>
      </c>
      <c r="AA5649">
        <v>0.90952010000000005</v>
      </c>
      <c r="AB5649">
        <v>26</v>
      </c>
      <c r="AC5649">
        <v>11.154999999999999</v>
      </c>
      <c r="AD5649">
        <v>-1.15799599999999</v>
      </c>
      <c r="AE5649">
        <v>-6.06</v>
      </c>
      <c r="AF5649">
        <v>5.2978070064397</v>
      </c>
      <c r="AG5649">
        <v>-1.15799599999999</v>
      </c>
      <c r="AH5649">
        <v>11.421123509449099</v>
      </c>
      <c r="AI5649">
        <v>95.255121442059206</v>
      </c>
      <c r="AJ5649">
        <v>65.115281383788798</v>
      </c>
      <c r="AK5649">
        <v>12.643171122451401</v>
      </c>
      <c r="AL5649">
        <v>80.871349261138604</v>
      </c>
      <c r="AM5649">
        <v>72.082382181619707</v>
      </c>
      <c r="AN5649">
        <v>0.99999997816610897</v>
      </c>
    </row>
    <row r="5650" spans="1:40" x14ac:dyDescent="0.25">
      <c r="A5650" t="str">
        <f>"20190312172521766"</f>
        <v>20190312172521766</v>
      </c>
      <c r="B5650" t="str">
        <f>"1552382721756363"</f>
        <v>1552382721756363</v>
      </c>
      <c r="C5650" t="s">
        <v>40</v>
      </c>
      <c r="D5650">
        <v>4.003279</v>
      </c>
      <c r="E5650">
        <v>0.54949999999999999</v>
      </c>
      <c r="F5650" t="s">
        <v>42</v>
      </c>
      <c r="G5650">
        <v>-312.45769999999999</v>
      </c>
      <c r="H5650">
        <v>-0.05</v>
      </c>
      <c r="I5650">
        <v>10.45757</v>
      </c>
      <c r="J5650">
        <v>-323.57580000000002</v>
      </c>
      <c r="K5650">
        <v>1.107999</v>
      </c>
      <c r="L5650">
        <v>16.546329999999902</v>
      </c>
      <c r="M5650">
        <v>0.99770479999999995</v>
      </c>
      <c r="N5650">
        <v>0</v>
      </c>
      <c r="O5650">
        <v>-6.5676529999999997E-2</v>
      </c>
      <c r="P5650">
        <v>0.91983519999999996</v>
      </c>
      <c r="Q5650">
        <v>0.14506720000000001</v>
      </c>
      <c r="R5650">
        <v>-0.3644983</v>
      </c>
      <c r="S5650">
        <v>2.7229920000000001</v>
      </c>
      <c r="T5650">
        <v>-0.27988819999999998</v>
      </c>
      <c r="U5650">
        <v>-1.474548</v>
      </c>
      <c r="V5650">
        <v>0.3044538</v>
      </c>
      <c r="W5650">
        <v>0.1583627</v>
      </c>
      <c r="X5650">
        <v>0.93927059999999996</v>
      </c>
      <c r="Y5650">
        <v>0.4159775</v>
      </c>
      <c r="Z5650">
        <v>-1.3687629999999999E-2</v>
      </c>
      <c r="AA5650">
        <v>0.90927190000000002</v>
      </c>
      <c r="AB5650">
        <v>26</v>
      </c>
      <c r="AC5650">
        <v>11.1181</v>
      </c>
      <c r="AD5650">
        <v>-1.157999</v>
      </c>
      <c r="AE5650">
        <v>-6.08875999999999</v>
      </c>
      <c r="AF5650">
        <v>5.3010742075453203</v>
      </c>
      <c r="AG5650">
        <v>-1.157999</v>
      </c>
      <c r="AH5650">
        <v>11.3989050880805</v>
      </c>
      <c r="AI5650">
        <v>95.262939302303707</v>
      </c>
      <c r="AJ5650">
        <v>65.059161551049996</v>
      </c>
      <c r="AK5650">
        <v>12.624475697824799</v>
      </c>
      <c r="AL5650">
        <v>80.888126317649096</v>
      </c>
      <c r="AM5650">
        <v>72.040492388076302</v>
      </c>
      <c r="AN5650">
        <v>1.0000000605550401</v>
      </c>
    </row>
    <row r="5651" spans="1:40" x14ac:dyDescent="0.25">
      <c r="A5651" t="str">
        <f>"20190312172521777"</f>
        <v>20190312172521777</v>
      </c>
      <c r="B5651" t="str">
        <f>"1552382721766122"</f>
        <v>1552382721766122</v>
      </c>
      <c r="C5651" t="s">
        <v>40</v>
      </c>
      <c r="D5651">
        <v>4.0113839999999996</v>
      </c>
      <c r="E5651">
        <v>0.54941269999999998</v>
      </c>
      <c r="F5651" t="s">
        <v>42</v>
      </c>
      <c r="G5651">
        <v>-312.36239999999998</v>
      </c>
      <c r="H5651">
        <v>-0.05</v>
      </c>
      <c r="I5651">
        <v>10.4312</v>
      </c>
      <c r="J5651">
        <v>-323.44029999999998</v>
      </c>
      <c r="K5651">
        <v>1.108001</v>
      </c>
      <c r="L5651">
        <v>16.534939999999999</v>
      </c>
      <c r="M5651">
        <v>0.9975503</v>
      </c>
      <c r="N5651">
        <v>0</v>
      </c>
      <c r="O5651">
        <v>-6.7911070000000004E-2</v>
      </c>
      <c r="P5651">
        <v>0.91892160000000001</v>
      </c>
      <c r="Q5651">
        <v>0.14450160000000001</v>
      </c>
      <c r="R5651">
        <v>-0.36701899999999998</v>
      </c>
      <c r="S5651">
        <v>2.7182919999999999</v>
      </c>
      <c r="T5651">
        <v>-0.28071449999999998</v>
      </c>
      <c r="U5651">
        <v>-1.482391</v>
      </c>
      <c r="V5651">
        <v>0.30493439999999999</v>
      </c>
      <c r="W5651">
        <v>0.15803689999999901</v>
      </c>
      <c r="X5651">
        <v>0.93916949999999999</v>
      </c>
      <c r="Y5651">
        <v>0.41662090000000002</v>
      </c>
      <c r="Z5651">
        <v>-1.355782E-2</v>
      </c>
      <c r="AA5651">
        <v>0.90897919999999999</v>
      </c>
      <c r="AB5651">
        <v>26</v>
      </c>
      <c r="AC5651">
        <v>11.0779</v>
      </c>
      <c r="AD5651">
        <v>-1.1580010000000001</v>
      </c>
      <c r="AE5651">
        <v>-6.1037399999999904</v>
      </c>
      <c r="AF5651">
        <v>5.2928603921195503</v>
      </c>
      <c r="AG5651">
        <v>-1.1580010000000001</v>
      </c>
      <c r="AH5651">
        <v>11.3715678293699</v>
      </c>
      <c r="AI5651">
        <v>95.274735390246406</v>
      </c>
      <c r="AJ5651">
        <v>65.040525190225495</v>
      </c>
      <c r="AK5651">
        <v>12.5963444040098</v>
      </c>
      <c r="AL5651">
        <v>80.907030794094894</v>
      </c>
      <c r="AM5651">
        <v>72.012155530725707</v>
      </c>
      <c r="AN5651">
        <v>0.99999999989761001</v>
      </c>
    </row>
    <row r="5652" spans="1:40" x14ac:dyDescent="0.25">
      <c r="A5652" t="str">
        <f>"20190312172521790"</f>
        <v>20190312172521790</v>
      </c>
      <c r="B5652" t="str">
        <f>"1552382721785643"</f>
        <v>1552382721785643</v>
      </c>
      <c r="C5652" t="s">
        <v>40</v>
      </c>
      <c r="D5652">
        <v>4.0178880000000001</v>
      </c>
      <c r="E5652">
        <v>0.54920500000000005</v>
      </c>
      <c r="F5652" t="s">
        <v>42</v>
      </c>
      <c r="G5652">
        <v>-312.28379999999999</v>
      </c>
      <c r="H5652">
        <v>-0.05</v>
      </c>
      <c r="I5652">
        <v>10.41235</v>
      </c>
      <c r="J5652">
        <v>-323.29860000000002</v>
      </c>
      <c r="K5652">
        <v>1.1080000000000001</v>
      </c>
      <c r="L5652">
        <v>16.52261</v>
      </c>
      <c r="M5652">
        <v>0.99738070000000001</v>
      </c>
      <c r="N5652">
        <v>0</v>
      </c>
      <c r="O5652">
        <v>-7.028384E-2</v>
      </c>
      <c r="P5652">
        <v>0.91786460000000003</v>
      </c>
      <c r="Q5652">
        <v>0.1447852</v>
      </c>
      <c r="R5652">
        <v>-0.36954290000000001</v>
      </c>
      <c r="S5652">
        <v>2.7140810000000002</v>
      </c>
      <c r="T5652">
        <v>-0.2817113</v>
      </c>
      <c r="U5652">
        <v>-1.489471</v>
      </c>
      <c r="V5652">
        <v>0.30530439999999998</v>
      </c>
      <c r="W5652">
        <v>0.15857079999999901</v>
      </c>
      <c r="X5652">
        <v>0.93895930000000005</v>
      </c>
      <c r="Y5652">
        <v>0.41687400000000002</v>
      </c>
      <c r="Z5652">
        <v>-1.3401440000000001E-2</v>
      </c>
      <c r="AA5652">
        <v>0.90886549999999999</v>
      </c>
      <c r="AB5652">
        <v>26</v>
      </c>
      <c r="AC5652">
        <v>11.014799999999999</v>
      </c>
      <c r="AD5652">
        <v>-1.1579999999999999</v>
      </c>
      <c r="AE5652">
        <v>-6.1102600000000002</v>
      </c>
      <c r="AF5652">
        <v>5.2762758815854598</v>
      </c>
      <c r="AG5652">
        <v>-1.1579999999999999</v>
      </c>
      <c r="AH5652">
        <v>11.3213825332539</v>
      </c>
      <c r="AI5652">
        <v>95.296773662936303</v>
      </c>
      <c r="AJ5652">
        <v>65.012353590110806</v>
      </c>
      <c r="AK5652">
        <v>12.544072450479</v>
      </c>
      <c r="AL5652">
        <v>80.876050117693396</v>
      </c>
      <c r="AM5652">
        <v>71.987966995758299</v>
      </c>
      <c r="AN5652">
        <v>1.0000000211642399</v>
      </c>
    </row>
    <row r="5653" spans="1:40" x14ac:dyDescent="0.25">
      <c r="A5653" t="str">
        <f>"20190312172521802"</f>
        <v>20190312172521802</v>
      </c>
      <c r="B5653" t="str">
        <f>"1552382721796379"</f>
        <v>1552382721796379</v>
      </c>
      <c r="C5653" t="s">
        <v>40</v>
      </c>
      <c r="D5653">
        <v>4.1576899999999997</v>
      </c>
      <c r="E5653">
        <v>0.54908310000000005</v>
      </c>
      <c r="F5653" t="s">
        <v>42</v>
      </c>
      <c r="G5653">
        <v>-312.08550000000002</v>
      </c>
      <c r="H5653">
        <v>-0.05</v>
      </c>
      <c r="I5653">
        <v>10.33385</v>
      </c>
      <c r="J5653">
        <v>-323.16820000000001</v>
      </c>
      <c r="K5653">
        <v>1.107998</v>
      </c>
      <c r="L5653">
        <v>16.511050000000001</v>
      </c>
      <c r="M5653">
        <v>0.99721859999999996</v>
      </c>
      <c r="N5653">
        <v>0</v>
      </c>
      <c r="O5653">
        <v>-7.2482759999999993E-2</v>
      </c>
      <c r="P5653">
        <v>0.91690459999999996</v>
      </c>
      <c r="Q5653">
        <v>0.1447696</v>
      </c>
      <c r="R5653">
        <v>-0.37192449999999999</v>
      </c>
      <c r="S5653">
        <v>2.7102970000000002</v>
      </c>
      <c r="T5653">
        <v>-0.27989969999999997</v>
      </c>
      <c r="U5653">
        <v>-1.4958800000000001</v>
      </c>
      <c r="V5653">
        <v>0.30568719999999999</v>
      </c>
      <c r="W5653">
        <v>0.15878499999999901</v>
      </c>
      <c r="X5653">
        <v>0.93879849999999998</v>
      </c>
      <c r="Y5653">
        <v>0.4170799</v>
      </c>
      <c r="Z5653">
        <v>-1.312556E-2</v>
      </c>
      <c r="AA5653">
        <v>0.908775</v>
      </c>
      <c r="AB5653">
        <v>25</v>
      </c>
      <c r="AC5653">
        <v>11.0826999999999</v>
      </c>
      <c r="AD5653">
        <v>-1.1579979999999901</v>
      </c>
      <c r="AE5653">
        <v>-6.1772</v>
      </c>
      <c r="AF5653">
        <v>5.3132630213179199</v>
      </c>
      <c r="AG5653">
        <v>-1.1579979999999901</v>
      </c>
      <c r="AH5653">
        <v>11.406335860399199</v>
      </c>
      <c r="AI5653">
        <v>95.2579937563074</v>
      </c>
      <c r="AJ5653">
        <v>65.023104681105906</v>
      </c>
      <c r="AK5653">
        <v>12.636305673017601</v>
      </c>
      <c r="AL5653">
        <v>80.863619515246995</v>
      </c>
      <c r="AM5653">
        <v>71.963955570832894</v>
      </c>
      <c r="AN5653">
        <v>0.99999998203554397</v>
      </c>
    </row>
    <row r="5654" spans="1:40" x14ac:dyDescent="0.25">
      <c r="A5654" t="str">
        <f>"20190312172521811"</f>
        <v>20190312172521811</v>
      </c>
      <c r="B5654" t="str">
        <f>"1552382721806139"</f>
        <v>1552382721806139</v>
      </c>
      <c r="C5654" t="s">
        <v>40</v>
      </c>
      <c r="D5654">
        <v>4.027908</v>
      </c>
      <c r="E5654">
        <v>0.54908310000000005</v>
      </c>
      <c r="F5654" t="s">
        <v>42</v>
      </c>
      <c r="G5654">
        <v>-311.94779999999997</v>
      </c>
      <c r="H5654">
        <v>-0.05</v>
      </c>
      <c r="I5654">
        <v>10.283340000000001</v>
      </c>
      <c r="J5654">
        <v>-323.04399999999998</v>
      </c>
      <c r="K5654">
        <v>1.108007</v>
      </c>
      <c r="L5654">
        <v>16.499510000000001</v>
      </c>
      <c r="M5654">
        <v>0.99705560000000004</v>
      </c>
      <c r="N5654">
        <v>0</v>
      </c>
      <c r="O5654">
        <v>-7.4631500000000003E-2</v>
      </c>
      <c r="P5654">
        <v>0.91607760000000005</v>
      </c>
      <c r="Q5654">
        <v>0.14419560000000001</v>
      </c>
      <c r="R5654">
        <v>-0.37417820000000002</v>
      </c>
      <c r="S5654">
        <v>2.706604</v>
      </c>
      <c r="T5654">
        <v>-0.27933439999999998</v>
      </c>
      <c r="U5654">
        <v>-1.5022580000000001</v>
      </c>
      <c r="V5654">
        <v>0.30597269999999999</v>
      </c>
      <c r="W5654">
        <v>0.1584305</v>
      </c>
      <c r="X5654">
        <v>0.93876539999999997</v>
      </c>
      <c r="Y5654">
        <v>0.417298</v>
      </c>
      <c r="Z5654">
        <v>-1.291429E-2</v>
      </c>
      <c r="AA5654">
        <v>0.90867790000000004</v>
      </c>
      <c r="AB5654">
        <v>25</v>
      </c>
      <c r="AC5654">
        <v>11.0962</v>
      </c>
      <c r="AD5654">
        <v>-1.158007</v>
      </c>
      <c r="AE5654">
        <v>-6.21617</v>
      </c>
      <c r="AF5654">
        <v>5.3264203508951002</v>
      </c>
      <c r="AG5654">
        <v>-1.158007</v>
      </c>
      <c r="AH5654">
        <v>11.4344520426876</v>
      </c>
      <c r="AI5654">
        <v>95.245167074978696</v>
      </c>
      <c r="AJ5654">
        <v>65.022856241860794</v>
      </c>
      <c r="AK5654">
        <v>12.6672186166894</v>
      </c>
      <c r="AL5654">
        <v>80.884191405253901</v>
      </c>
      <c r="AM5654">
        <v>71.9476077705325</v>
      </c>
      <c r="AN5654">
        <v>0.99999999635634995</v>
      </c>
    </row>
    <row r="5655" spans="1:40" x14ac:dyDescent="0.25">
      <c r="A5655" t="str">
        <f>"20190312172521823"</f>
        <v>20190312172521823</v>
      </c>
      <c r="B5655" t="str">
        <f>"1552382721815898"</f>
        <v>1552382721815898</v>
      </c>
      <c r="C5655" t="s">
        <v>40</v>
      </c>
      <c r="D5655">
        <v>4.0156010000000002</v>
      </c>
      <c r="E5655">
        <v>0.54542259999999998</v>
      </c>
      <c r="F5655" t="s">
        <v>42</v>
      </c>
      <c r="G5655">
        <v>-311.91379999999998</v>
      </c>
      <c r="H5655">
        <v>-0.05</v>
      </c>
      <c r="I5655">
        <v>10.287280000000001</v>
      </c>
      <c r="J5655">
        <v>-322.92660000000001</v>
      </c>
      <c r="K5655">
        <v>1.1080159999999999</v>
      </c>
      <c r="L5655">
        <v>16.488489999999999</v>
      </c>
      <c r="M5655">
        <v>0.99689689999999997</v>
      </c>
      <c r="N5655">
        <v>0</v>
      </c>
      <c r="O5655">
        <v>-7.6667730000000003E-2</v>
      </c>
      <c r="P5655">
        <v>0.91514839999999997</v>
      </c>
      <c r="Q5655">
        <v>0.14434439999999901</v>
      </c>
      <c r="R5655">
        <v>-0.37638840000000001</v>
      </c>
      <c r="S5655">
        <v>2.7029109999999998</v>
      </c>
      <c r="T5655">
        <v>-0.28121570000000001</v>
      </c>
      <c r="U5655">
        <v>-1.5086059999999999</v>
      </c>
      <c r="V5655">
        <v>0.3063343</v>
      </c>
      <c r="W5655">
        <v>0.15878310000000001</v>
      </c>
      <c r="X5655">
        <v>0.93858790000000003</v>
      </c>
      <c r="Y5655">
        <v>0.41758580000000001</v>
      </c>
      <c r="Z5655">
        <v>-1.282875E-2</v>
      </c>
      <c r="AA5655">
        <v>0.90854690000000005</v>
      </c>
      <c r="AB5655">
        <v>25</v>
      </c>
      <c r="AC5655">
        <v>11.0128</v>
      </c>
      <c r="AD5655">
        <v>-1.1580159999999999</v>
      </c>
      <c r="AE5655">
        <v>-6.2012099999999899</v>
      </c>
      <c r="AF5655">
        <v>5.2940473297974702</v>
      </c>
      <c r="AG5655">
        <v>-1.1580159999999999</v>
      </c>
      <c r="AH5655">
        <v>11.360511842989199</v>
      </c>
      <c r="AI5655">
        <v>95.278787787568405</v>
      </c>
      <c r="AJ5655">
        <v>65.014278583664606</v>
      </c>
      <c r="AK5655">
        <v>12.586864880544701</v>
      </c>
      <c r="AL5655">
        <v>80.8637300440178</v>
      </c>
      <c r="AM5655">
        <v>71.924464341906898</v>
      </c>
      <c r="AN5655">
        <v>1.00000001111425</v>
      </c>
    </row>
    <row r="5656" spans="1:40" x14ac:dyDescent="0.25">
      <c r="A5656" t="str">
        <f>"20190312172521833"</f>
        <v>20190312172521833</v>
      </c>
      <c r="B5656" t="str">
        <f>"1552382721825659"</f>
        <v>1552382721825659</v>
      </c>
      <c r="C5656" t="s">
        <v>40</v>
      </c>
      <c r="D5656">
        <v>4.020778</v>
      </c>
      <c r="E5656">
        <v>0.54567219999999905</v>
      </c>
      <c r="F5656" t="s">
        <v>42</v>
      </c>
      <c r="G5656">
        <v>-310.73540000000003</v>
      </c>
      <c r="H5656">
        <v>-0.05</v>
      </c>
      <c r="I5656">
        <v>9.7906650000000006</v>
      </c>
      <c r="J5656">
        <v>-322.79899999999998</v>
      </c>
      <c r="K5656">
        <v>1.1080270000000001</v>
      </c>
      <c r="L5656">
        <v>16.47607</v>
      </c>
      <c r="M5656">
        <v>0.99671569999999998</v>
      </c>
      <c r="N5656">
        <v>0</v>
      </c>
      <c r="O5656">
        <v>-7.8929990000000005E-2</v>
      </c>
      <c r="P5656">
        <v>0.91422020000000004</v>
      </c>
      <c r="Q5656">
        <v>0.14410619999999999</v>
      </c>
      <c r="R5656">
        <v>-0.37872749999999999</v>
      </c>
      <c r="S5656">
        <v>2.7070310000000002</v>
      </c>
      <c r="T5656">
        <v>-0.25713570000000002</v>
      </c>
      <c r="U5656">
        <v>-1.487244</v>
      </c>
      <c r="V5656">
        <v>0.30660680000000001</v>
      </c>
      <c r="W5656">
        <v>0.1587662</v>
      </c>
      <c r="X5656">
        <v>0.93850180000000005</v>
      </c>
      <c r="Y5656">
        <v>0.40969129999999998</v>
      </c>
      <c r="Z5656">
        <v>-1.1191660000000001E-2</v>
      </c>
      <c r="AA5656">
        <v>0.91215559999999996</v>
      </c>
      <c r="AB5656">
        <v>25</v>
      </c>
      <c r="AC5656">
        <v>12.063599999999999</v>
      </c>
      <c r="AD5656">
        <v>-1.1580269999999999</v>
      </c>
      <c r="AE5656">
        <v>-6.6854050000000003</v>
      </c>
      <c r="AF5656">
        <v>5.6722174695865801</v>
      </c>
      <c r="AG5656">
        <v>-1.1580269999999999</v>
      </c>
      <c r="AH5656">
        <v>12.4658364366689</v>
      </c>
      <c r="AI5656">
        <v>94.833108312093103</v>
      </c>
      <c r="AJ5656">
        <v>65.533467644227599</v>
      </c>
      <c r="AK5656">
        <v>13.744531844366101</v>
      </c>
      <c r="AL5656">
        <v>80.864710979035394</v>
      </c>
      <c r="AM5656">
        <v>71.907880817057602</v>
      </c>
      <c r="AN5656">
        <v>1.0000000323359499</v>
      </c>
    </row>
    <row r="5657" spans="1:40" x14ac:dyDescent="0.25">
      <c r="A5657" t="str">
        <f>"20190312172521846"</f>
        <v>20190312172521846</v>
      </c>
      <c r="B5657" t="str">
        <f>"1552382721836395"</f>
        <v>1552382721836395</v>
      </c>
      <c r="C5657" t="s">
        <v>40</v>
      </c>
      <c r="D5657">
        <v>4.0164790000000004</v>
      </c>
      <c r="E5657">
        <v>0.5456415</v>
      </c>
      <c r="F5657" t="s">
        <v>42</v>
      </c>
      <c r="G5657">
        <v>-310.7439</v>
      </c>
      <c r="H5657">
        <v>-0.05</v>
      </c>
      <c r="I5657">
        <v>9.8044890000000002</v>
      </c>
      <c r="J5657">
        <v>-322.67079999999999</v>
      </c>
      <c r="K5657">
        <v>1.1080449999999999</v>
      </c>
      <c r="L5657">
        <v>16.46332</v>
      </c>
      <c r="M5657">
        <v>0.99652739999999995</v>
      </c>
      <c r="N5657">
        <v>0</v>
      </c>
      <c r="O5657">
        <v>-8.121958E-2</v>
      </c>
      <c r="P5657">
        <v>0.91332939999999996</v>
      </c>
      <c r="Q5657">
        <v>0.14398759999999999</v>
      </c>
      <c r="R5657">
        <v>-0.38091619999999998</v>
      </c>
      <c r="S5657">
        <v>2.7027890000000001</v>
      </c>
      <c r="T5657">
        <v>-0.25963330000000001</v>
      </c>
      <c r="U5657">
        <v>-1.495789</v>
      </c>
      <c r="V5657">
        <v>0.30670160000000002</v>
      </c>
      <c r="W5657">
        <v>0.1588697</v>
      </c>
      <c r="X5657">
        <v>0.93845330000000005</v>
      </c>
      <c r="Y5657">
        <v>0.41039379999999998</v>
      </c>
      <c r="Z5657">
        <v>-1.1136699999999999E-2</v>
      </c>
      <c r="AA5657">
        <v>0.9118404</v>
      </c>
      <c r="AB5657">
        <v>25</v>
      </c>
      <c r="AC5657">
        <v>11.9268999999999</v>
      </c>
      <c r="AD5657">
        <v>-1.158045</v>
      </c>
      <c r="AE5657">
        <v>-6.6588309999999904</v>
      </c>
      <c r="AF5657">
        <v>5.6275173687150799</v>
      </c>
      <c r="AG5657">
        <v>-1.158045</v>
      </c>
      <c r="AH5657">
        <v>12.339713396157</v>
      </c>
      <c r="AI5657">
        <v>94.880460577592302</v>
      </c>
      <c r="AJ5657">
        <v>65.484676906353599</v>
      </c>
      <c r="AK5657">
        <v>13.611706236049599</v>
      </c>
      <c r="AL5657">
        <v>80.858704561954596</v>
      </c>
      <c r="AM5657">
        <v>71.901777249543301</v>
      </c>
      <c r="AN5657">
        <v>1.0000000246507601</v>
      </c>
    </row>
    <row r="5658" spans="1:40" x14ac:dyDescent="0.25">
      <c r="A5658" t="str">
        <f>"20190312172521856"</f>
        <v>20190312172521856</v>
      </c>
      <c r="B5658" t="str">
        <f>"1552382721846155"</f>
        <v>1552382721846155</v>
      </c>
      <c r="C5658" t="s">
        <v>40</v>
      </c>
      <c r="D5658">
        <v>4.0273700000000003</v>
      </c>
      <c r="E5658">
        <v>0.54575459999999998</v>
      </c>
      <c r="F5658" t="s">
        <v>42</v>
      </c>
      <c r="G5658">
        <v>-310.71010000000001</v>
      </c>
      <c r="H5658">
        <v>-0.05</v>
      </c>
      <c r="I5658">
        <v>9.8084109999999995</v>
      </c>
      <c r="J5658">
        <v>-322.54390000000001</v>
      </c>
      <c r="K5658">
        <v>1.10806</v>
      </c>
      <c r="L5658">
        <v>16.450379999999999</v>
      </c>
      <c r="M5658">
        <v>0.99633289999999997</v>
      </c>
      <c r="N5658">
        <v>0</v>
      </c>
      <c r="O5658">
        <v>-8.3517859999999999E-2</v>
      </c>
      <c r="P5658">
        <v>0.91230750000000005</v>
      </c>
      <c r="Q5658">
        <v>0.14431949999999999</v>
      </c>
      <c r="R5658">
        <v>-0.38323259999999998</v>
      </c>
      <c r="S5658">
        <v>2.6994319999999998</v>
      </c>
      <c r="T5658">
        <v>-0.26136019999999999</v>
      </c>
      <c r="U5658">
        <v>-1.5019530000000001</v>
      </c>
      <c r="V5658">
        <v>0.30692940000000002</v>
      </c>
      <c r="W5658">
        <v>0.1594149</v>
      </c>
      <c r="X5658">
        <v>0.93828639999999996</v>
      </c>
      <c r="Y5658">
        <v>0.41035549999999998</v>
      </c>
      <c r="Z5658">
        <v>-1.1010819999999999E-2</v>
      </c>
      <c r="AA5658">
        <v>0.91185919999999998</v>
      </c>
      <c r="AB5658">
        <v>25</v>
      </c>
      <c r="AC5658">
        <v>11.833799999999901</v>
      </c>
      <c r="AD5658">
        <v>-1.1580600000000001</v>
      </c>
      <c r="AE5658">
        <v>-6.6419689999999996</v>
      </c>
      <c r="AF5658">
        <v>5.5895455656540403</v>
      </c>
      <c r="AG5658">
        <v>-1.1580600000000001</v>
      </c>
      <c r="AH5658">
        <v>12.2579919576851</v>
      </c>
      <c r="AI5658">
        <v>94.91300799471</v>
      </c>
      <c r="AJ5658">
        <v>65.487396377576403</v>
      </c>
      <c r="AK5658">
        <v>13.521926246981099</v>
      </c>
      <c r="AL5658">
        <v>80.827064058837195</v>
      </c>
      <c r="AM5658">
        <v>71.886201209348201</v>
      </c>
      <c r="AN5658">
        <v>1.00000006767566</v>
      </c>
    </row>
    <row r="5659" spans="1:40" x14ac:dyDescent="0.25">
      <c r="A5659" t="str">
        <f>"20190312172521867"</f>
        <v>20190312172521867</v>
      </c>
      <c r="B5659" t="str">
        <f>"1552382721855915"</f>
        <v>1552382721855915</v>
      </c>
      <c r="C5659" t="s">
        <v>40</v>
      </c>
      <c r="D5659">
        <v>4.0443629999999997</v>
      </c>
      <c r="E5659">
        <v>0.54577959999999903</v>
      </c>
      <c r="F5659" t="s">
        <v>42</v>
      </c>
      <c r="G5659">
        <v>-310.589</v>
      </c>
      <c r="H5659">
        <v>-0.05</v>
      </c>
      <c r="I5659">
        <v>9.7538300000000007</v>
      </c>
      <c r="J5659">
        <v>-322.43279999999999</v>
      </c>
      <c r="K5659">
        <v>1.108077</v>
      </c>
      <c r="L5659">
        <v>16.438749999999999</v>
      </c>
      <c r="M5659">
        <v>0.9961565</v>
      </c>
      <c r="N5659">
        <v>0</v>
      </c>
      <c r="O5659">
        <v>-8.5553560000000001E-2</v>
      </c>
      <c r="P5659">
        <v>0.91154849999999998</v>
      </c>
      <c r="Q5659">
        <v>0.14419000000000001</v>
      </c>
      <c r="R5659">
        <v>-0.3850828</v>
      </c>
      <c r="S5659">
        <v>2.6954039999999999</v>
      </c>
      <c r="T5659">
        <v>-0.26110050000000001</v>
      </c>
      <c r="U5659">
        <v>-1.509827</v>
      </c>
      <c r="V5659">
        <v>0.30691570000000001</v>
      </c>
      <c r="W5659">
        <v>0.15947229999999901</v>
      </c>
      <c r="X5659">
        <v>0.93828109999999998</v>
      </c>
      <c r="Y5659">
        <v>0.41110770000000002</v>
      </c>
      <c r="Z5659">
        <v>-1.0860089999999999E-2</v>
      </c>
      <c r="AA5659">
        <v>0.9115221</v>
      </c>
      <c r="AB5659">
        <v>25</v>
      </c>
      <c r="AC5659">
        <v>11.8437999999999</v>
      </c>
      <c r="AD5659">
        <v>-1.158077</v>
      </c>
      <c r="AE5659">
        <v>-6.6849199999999902</v>
      </c>
      <c r="AF5659">
        <v>5.6062931822319797</v>
      </c>
      <c r="AG5659">
        <v>-1.158077</v>
      </c>
      <c r="AH5659">
        <v>12.283315498649801</v>
      </c>
      <c r="AI5659">
        <v>94.902220334328803</v>
      </c>
      <c r="AJ5659">
        <v>65.467318234427793</v>
      </c>
      <c r="AK5659">
        <v>13.5518081901435</v>
      </c>
      <c r="AL5659">
        <v>80.823732425220001</v>
      </c>
      <c r="AM5659">
        <v>71.886861295592198</v>
      </c>
      <c r="AN5659">
        <v>1.00000004199549</v>
      </c>
    </row>
    <row r="5660" spans="1:40" x14ac:dyDescent="0.25">
      <c r="A5660" t="str">
        <f>"20190312172521877"</f>
        <v>20190312172521877</v>
      </c>
      <c r="B5660" t="str">
        <f>"1552382721866650"</f>
        <v>1552382721866650</v>
      </c>
      <c r="C5660" t="s">
        <v>40</v>
      </c>
      <c r="D5660">
        <v>4.0036769999999997</v>
      </c>
      <c r="E5660">
        <v>0.54573050000000001</v>
      </c>
      <c r="F5660" t="s">
        <v>42</v>
      </c>
      <c r="G5660">
        <v>-310.50400000000002</v>
      </c>
      <c r="H5660">
        <v>-0.05</v>
      </c>
      <c r="I5660">
        <v>9.7240599999999997</v>
      </c>
      <c r="J5660">
        <v>-322.31979999999999</v>
      </c>
      <c r="K5660">
        <v>1.1080939999999999</v>
      </c>
      <c r="L5660">
        <v>16.426729999999999</v>
      </c>
      <c r="M5660">
        <v>0.99597139999999995</v>
      </c>
      <c r="N5660">
        <v>0</v>
      </c>
      <c r="O5660">
        <v>-8.7638709999999995E-2</v>
      </c>
      <c r="P5660">
        <v>0.91069160000000005</v>
      </c>
      <c r="Q5660">
        <v>0.1443316</v>
      </c>
      <c r="R5660">
        <v>-0.38705260000000002</v>
      </c>
      <c r="S5660">
        <v>2.6922609999999998</v>
      </c>
      <c r="T5660">
        <v>-0.2613722</v>
      </c>
      <c r="U5660">
        <v>-1.5154719999999999</v>
      </c>
      <c r="V5660">
        <v>0.30698540000000002</v>
      </c>
      <c r="W5660">
        <v>0.15979949999999901</v>
      </c>
      <c r="X5660">
        <v>0.9382026</v>
      </c>
      <c r="Y5660">
        <v>0.411111</v>
      </c>
      <c r="Z5660">
        <v>-1.0691930000000001E-2</v>
      </c>
      <c r="AA5660">
        <v>0.91152259999999996</v>
      </c>
      <c r="AB5660">
        <v>25</v>
      </c>
      <c r="AC5660">
        <v>11.8157999999999</v>
      </c>
      <c r="AD5660">
        <v>-1.158094</v>
      </c>
      <c r="AE5660">
        <v>-6.7026700000000003</v>
      </c>
      <c r="AF5660">
        <v>5.6004601447129803</v>
      </c>
      <c r="AG5660">
        <v>-1.158094</v>
      </c>
      <c r="AH5660">
        <v>12.2686738809033</v>
      </c>
      <c r="AI5660">
        <v>94.907986086954196</v>
      </c>
      <c r="AJ5660">
        <v>65.464034570549799</v>
      </c>
      <c r="AK5660">
        <v>13.536125529165</v>
      </c>
      <c r="AL5660">
        <v>80.804741480437599</v>
      </c>
      <c r="AM5660">
        <v>71.881599751650995</v>
      </c>
      <c r="AN5660">
        <v>1.00000001733008</v>
      </c>
    </row>
    <row r="5661" spans="1:40" x14ac:dyDescent="0.25">
      <c r="A5661" t="str">
        <f>"20190312172521887"</f>
        <v>20190312172521887</v>
      </c>
      <c r="B5661" t="str">
        <f>"1552382721876411"</f>
        <v>1552382721876411</v>
      </c>
      <c r="C5661" t="s">
        <v>40</v>
      </c>
      <c r="D5661">
        <v>4.0562620000000003</v>
      </c>
      <c r="E5661">
        <v>0.5454772</v>
      </c>
      <c r="F5661" t="s">
        <v>42</v>
      </c>
      <c r="G5661">
        <v>-310.38760000000002</v>
      </c>
      <c r="H5661">
        <v>-0.05</v>
      </c>
      <c r="I5661">
        <v>9.6774900000000006</v>
      </c>
      <c r="J5661">
        <v>-322.21019999999999</v>
      </c>
      <c r="K5661">
        <v>1.108104</v>
      </c>
      <c r="L5661">
        <v>16.414729999999999</v>
      </c>
      <c r="M5661">
        <v>0.99578549999999999</v>
      </c>
      <c r="N5661">
        <v>0</v>
      </c>
      <c r="O5661">
        <v>-8.9685710000000002E-2</v>
      </c>
      <c r="P5661">
        <v>0.90982200000000002</v>
      </c>
      <c r="Q5661">
        <v>0.14453579999999999</v>
      </c>
      <c r="R5661">
        <v>-0.38901599999999997</v>
      </c>
      <c r="S5661">
        <v>2.6890869999999998</v>
      </c>
      <c r="T5661">
        <v>-0.26099109999999998</v>
      </c>
      <c r="U5661">
        <v>-1.5210269999999999</v>
      </c>
      <c r="V5661">
        <v>0.30708809999999997</v>
      </c>
      <c r="W5661">
        <v>0.16017509999999999</v>
      </c>
      <c r="X5661">
        <v>0.93810490000000002</v>
      </c>
      <c r="Y5661">
        <v>0.41113529999999998</v>
      </c>
      <c r="Z5661">
        <v>-1.050165E-2</v>
      </c>
      <c r="AA5661">
        <v>0.91151389999999999</v>
      </c>
      <c r="AB5661">
        <v>25</v>
      </c>
      <c r="AC5661">
        <v>11.8225999999999</v>
      </c>
      <c r="AD5661">
        <v>-1.158104</v>
      </c>
      <c r="AE5661">
        <v>-6.7372399999999901</v>
      </c>
      <c r="AF5661">
        <v>5.6089390631138496</v>
      </c>
      <c r="AG5661">
        <v>-1.158104</v>
      </c>
      <c r="AH5661">
        <v>12.2902616659249</v>
      </c>
      <c r="AI5661">
        <v>94.899655465675806</v>
      </c>
      <c r="AJ5661">
        <v>65.469341708108999</v>
      </c>
      <c r="AK5661">
        <v>13.559201086548001</v>
      </c>
      <c r="AL5661">
        <v>80.782940053861097</v>
      </c>
      <c r="AM5661">
        <v>71.874170507177396</v>
      </c>
      <c r="AN5661">
        <v>0.99999998361281495</v>
      </c>
    </row>
    <row r="5662" spans="1:40" x14ac:dyDescent="0.25">
      <c r="A5662" t="str">
        <f>"20190312172521897"</f>
        <v>20190312172521897</v>
      </c>
      <c r="B5662" t="str">
        <f>"1552382721886171"</f>
        <v>1552382721886171</v>
      </c>
      <c r="C5662" t="s">
        <v>40</v>
      </c>
      <c r="D5662">
        <v>4.07036</v>
      </c>
      <c r="E5662">
        <v>0.54530119999999904</v>
      </c>
      <c r="F5662" t="s">
        <v>42</v>
      </c>
      <c r="G5662">
        <v>-310.3322</v>
      </c>
      <c r="H5662">
        <v>-0.05</v>
      </c>
      <c r="I5662">
        <v>9.6723630000000007</v>
      </c>
      <c r="J5662">
        <v>-322.09829999999999</v>
      </c>
      <c r="K5662">
        <v>1.108112</v>
      </c>
      <c r="L5662">
        <v>16.40231</v>
      </c>
      <c r="M5662">
        <v>0.99558999999999997</v>
      </c>
      <c r="N5662">
        <v>0</v>
      </c>
      <c r="O5662">
        <v>-9.1790679999999999E-2</v>
      </c>
      <c r="P5662">
        <v>0.90893559999999995</v>
      </c>
      <c r="Q5662">
        <v>0.14439589999999999</v>
      </c>
      <c r="R5662">
        <v>-0.39113419999999999</v>
      </c>
      <c r="S5662">
        <v>2.6868590000000001</v>
      </c>
      <c r="T5662">
        <v>-0.2619669</v>
      </c>
      <c r="U5662">
        <v>-1.5251459999999999</v>
      </c>
      <c r="V5662">
        <v>0.30729040000000002</v>
      </c>
      <c r="W5662">
        <v>0.16020419999999999</v>
      </c>
      <c r="X5662">
        <v>0.93803369999999997</v>
      </c>
      <c r="Y5662">
        <v>0.41059109999999999</v>
      </c>
      <c r="Z5662">
        <v>-1.033237E-2</v>
      </c>
      <c r="AA5662">
        <v>0.91176100000000004</v>
      </c>
      <c r="AB5662">
        <v>25</v>
      </c>
      <c r="AC5662">
        <v>11.7660999999999</v>
      </c>
      <c r="AD5662">
        <v>-1.158112</v>
      </c>
      <c r="AE5662">
        <v>-6.7299469999999904</v>
      </c>
      <c r="AF5662">
        <v>5.5805665366294699</v>
      </c>
      <c r="AG5662">
        <v>-1.158112</v>
      </c>
      <c r="AH5662">
        <v>12.2448852587733</v>
      </c>
      <c r="AI5662">
        <v>94.918913744605902</v>
      </c>
      <c r="AJ5662">
        <v>65.499028177894999</v>
      </c>
      <c r="AK5662">
        <v>13.5063378187729</v>
      </c>
      <c r="AL5662">
        <v>80.7812510767113</v>
      </c>
      <c r="AM5662">
        <v>71.861724875434106</v>
      </c>
      <c r="AN5662">
        <v>0.99999999898274405</v>
      </c>
    </row>
    <row r="5663" spans="1:40" x14ac:dyDescent="0.25">
      <c r="A5663" t="str">
        <f>"20190312172521907"</f>
        <v>20190312172521907</v>
      </c>
      <c r="B5663" t="str">
        <f>"1552382721895931"</f>
        <v>1552382721895931</v>
      </c>
      <c r="C5663" t="s">
        <v>40</v>
      </c>
      <c r="D5663">
        <v>4.070214</v>
      </c>
      <c r="E5663">
        <v>0.54518279999999997</v>
      </c>
      <c r="F5663" t="s">
        <v>42</v>
      </c>
      <c r="G5663">
        <v>-310.28539999999998</v>
      </c>
      <c r="H5663">
        <v>-0.05</v>
      </c>
      <c r="I5663">
        <v>9.6682740000000003</v>
      </c>
      <c r="J5663">
        <v>-321.98930000000001</v>
      </c>
      <c r="K5663">
        <v>1.10812</v>
      </c>
      <c r="L5663">
        <v>16.389859999999999</v>
      </c>
      <c r="M5663">
        <v>0.99539319999999998</v>
      </c>
      <c r="N5663">
        <v>0</v>
      </c>
      <c r="O5663">
        <v>-9.3866240000000004E-2</v>
      </c>
      <c r="P5663">
        <v>0.908003</v>
      </c>
      <c r="Q5663">
        <v>0.1445273</v>
      </c>
      <c r="R5663">
        <v>-0.39324599999999998</v>
      </c>
      <c r="S5663">
        <v>2.6839900000000001</v>
      </c>
      <c r="T5663">
        <v>-0.26313219999999998</v>
      </c>
      <c r="U5663">
        <v>-1.5300290000000001</v>
      </c>
      <c r="V5663">
        <v>0.30752279999999999</v>
      </c>
      <c r="W5663">
        <v>0.16049089999999999</v>
      </c>
      <c r="X5663">
        <v>0.93790850000000003</v>
      </c>
      <c r="Y5663">
        <v>0.41035939999999999</v>
      </c>
      <c r="Z5663">
        <v>-1.0187089999999999E-2</v>
      </c>
      <c r="AA5663">
        <v>0.91186699999999998</v>
      </c>
      <c r="AB5663">
        <v>25</v>
      </c>
      <c r="AC5663">
        <v>11.703900000000001</v>
      </c>
      <c r="AD5663">
        <v>-1.15812</v>
      </c>
      <c r="AE5663">
        <v>-6.7215860000000003</v>
      </c>
      <c r="AF5663">
        <v>5.5522063055788404</v>
      </c>
      <c r="AG5663">
        <v>-1.15812</v>
      </c>
      <c r="AH5663">
        <v>12.193475842573401</v>
      </c>
      <c r="AI5663">
        <v>94.940333987614395</v>
      </c>
      <c r="AJ5663">
        <v>65.518214709570898</v>
      </c>
      <c r="AK5663">
        <v>13.4480143485025</v>
      </c>
      <c r="AL5663">
        <v>80.764608842895797</v>
      </c>
      <c r="AM5663">
        <v>71.846642331083601</v>
      </c>
      <c r="AN5663">
        <v>0.99999997793744899</v>
      </c>
    </row>
    <row r="5664" spans="1:40" x14ac:dyDescent="0.25">
      <c r="A5664" t="str">
        <f>"20190312172521918"</f>
        <v>20190312172521918</v>
      </c>
      <c r="B5664" t="str">
        <f>"1552382721906668"</f>
        <v>1552382721906668</v>
      </c>
      <c r="C5664" t="s">
        <v>40</v>
      </c>
      <c r="D5664">
        <v>4.1994740000000004</v>
      </c>
      <c r="E5664">
        <v>0.54506119999999902</v>
      </c>
      <c r="F5664" t="s">
        <v>42</v>
      </c>
      <c r="G5664">
        <v>-310.2022</v>
      </c>
      <c r="H5664">
        <v>-0.05</v>
      </c>
      <c r="I5664">
        <v>9.6365049999999997</v>
      </c>
      <c r="J5664">
        <v>-321.87729999999999</v>
      </c>
      <c r="K5664">
        <v>1.1081270000000001</v>
      </c>
      <c r="L5664">
        <v>16.37689</v>
      </c>
      <c r="M5664">
        <v>0.99518479999999998</v>
      </c>
      <c r="N5664">
        <v>0</v>
      </c>
      <c r="O5664">
        <v>-9.6012689999999998E-2</v>
      </c>
      <c r="P5664">
        <v>0.90705029999999998</v>
      </c>
      <c r="Q5664">
        <v>0.14442550000000001</v>
      </c>
      <c r="R5664">
        <v>-0.39547520000000003</v>
      </c>
      <c r="S5664">
        <v>2.6806950000000001</v>
      </c>
      <c r="T5664">
        <v>-0.26338719999999999</v>
      </c>
      <c r="U5664">
        <v>-1.5358889999999901</v>
      </c>
      <c r="V5664">
        <v>0.30780679999999999</v>
      </c>
      <c r="W5664">
        <v>0.1605441</v>
      </c>
      <c r="X5664">
        <v>0.93780620000000003</v>
      </c>
      <c r="Y5664">
        <v>0.41038249999999998</v>
      </c>
      <c r="Z5664">
        <v>-1.001137E-2</v>
      </c>
      <c r="AA5664">
        <v>0.91185859999999996</v>
      </c>
      <c r="AB5664">
        <v>24</v>
      </c>
      <c r="AC5664">
        <v>11.675099999999899</v>
      </c>
      <c r="AD5664">
        <v>-1.1581269999999999</v>
      </c>
      <c r="AE5664">
        <v>-6.7403849999999998</v>
      </c>
      <c r="AF5664">
        <v>5.5471192132286404</v>
      </c>
      <c r="AG5664">
        <v>-1.1581269999999999</v>
      </c>
      <c r="AH5664">
        <v>12.178551156357299</v>
      </c>
      <c r="AI5664">
        <v>94.946127577860196</v>
      </c>
      <c r="AJ5664">
        <v>65.511556551491594</v>
      </c>
      <c r="AK5664">
        <v>13.432382438789899</v>
      </c>
      <c r="AL5664">
        <v>80.7615204162</v>
      </c>
      <c r="AM5664">
        <v>71.829126879039293</v>
      </c>
      <c r="AN5664">
        <v>0.99999995146474396</v>
      </c>
    </row>
    <row r="5665" spans="1:40" x14ac:dyDescent="0.25">
      <c r="A5665" t="str">
        <f>"20190312172521930"</f>
        <v>20190312172521930</v>
      </c>
      <c r="B5665" t="str">
        <f>"1552382721926187"</f>
        <v>1552382721926187</v>
      </c>
      <c r="C5665" t="s">
        <v>40</v>
      </c>
      <c r="D5665">
        <v>4.0664740000000004</v>
      </c>
      <c r="E5665">
        <v>0.54484600000000005</v>
      </c>
      <c r="F5665" t="s">
        <v>42</v>
      </c>
      <c r="G5665">
        <v>-310.12040000000002</v>
      </c>
      <c r="H5665">
        <v>-0.05</v>
      </c>
      <c r="I5665">
        <v>9.6046139999999998</v>
      </c>
      <c r="J5665">
        <v>-321.75670000000002</v>
      </c>
      <c r="K5665">
        <v>1.1081350000000001</v>
      </c>
      <c r="L5665">
        <v>16.362549999999999</v>
      </c>
      <c r="M5665">
        <v>0.99495219999999995</v>
      </c>
      <c r="N5665">
        <v>0</v>
      </c>
      <c r="O5665">
        <v>-9.8358360000000006E-2</v>
      </c>
      <c r="P5665">
        <v>0.90597640000000002</v>
      </c>
      <c r="Q5665">
        <v>0.14445949999999999</v>
      </c>
      <c r="R5665">
        <v>-0.39791710000000002</v>
      </c>
      <c r="S5665">
        <v>2.677063</v>
      </c>
      <c r="T5665">
        <v>-0.2637063</v>
      </c>
      <c r="U5665">
        <v>-1.5420529999999999</v>
      </c>
      <c r="V5665">
        <v>0.30812970000000001</v>
      </c>
      <c r="W5665">
        <v>0.16073280000000001</v>
      </c>
      <c r="X5665">
        <v>0.9376679</v>
      </c>
      <c r="Y5665">
        <v>0.4103504</v>
      </c>
      <c r="Z5665">
        <v>-9.8179819999999994E-3</v>
      </c>
      <c r="AA5665">
        <v>0.91187510000000005</v>
      </c>
      <c r="AB5665">
        <v>24</v>
      </c>
      <c r="AC5665">
        <v>11.6363</v>
      </c>
      <c r="AD5665">
        <v>-1.1581349999999999</v>
      </c>
      <c r="AE5665">
        <v>-6.7579359999999902</v>
      </c>
      <c r="AF5665">
        <v>5.5393680756473804</v>
      </c>
      <c r="AG5665">
        <v>-1.1581349999999999</v>
      </c>
      <c r="AH5665">
        <v>12.154650919355801</v>
      </c>
      <c r="AI5665">
        <v>94.955359198684107</v>
      </c>
      <c r="AJ5665">
        <v>65.499318790158895</v>
      </c>
      <c r="AK5665">
        <v>13.407513353605999</v>
      </c>
      <c r="AL5665">
        <v>80.7505670657726</v>
      </c>
      <c r="AM5665">
        <v>71.808813461195598</v>
      </c>
      <c r="AN5665">
        <v>1.0000000178541599</v>
      </c>
    </row>
    <row r="5666" spans="1:40" x14ac:dyDescent="0.25">
      <c r="A5666" t="str">
        <f>"20190312172521940"</f>
        <v>20190312172521940</v>
      </c>
      <c r="B5666" t="str">
        <f>"1552382721935947"</f>
        <v>1552382721935947</v>
      </c>
      <c r="C5666" t="s">
        <v>40</v>
      </c>
      <c r="D5666">
        <v>4.0724769999999904</v>
      </c>
      <c r="E5666">
        <v>0.54483499999999996</v>
      </c>
      <c r="F5666" t="s">
        <v>42</v>
      </c>
      <c r="G5666">
        <v>-310.01029999999997</v>
      </c>
      <c r="H5666">
        <v>-0.05</v>
      </c>
      <c r="I5666">
        <v>9.5617370000000008</v>
      </c>
      <c r="J5666">
        <v>-321.63400000000001</v>
      </c>
      <c r="K5666">
        <v>1.1081399999999999</v>
      </c>
      <c r="L5666">
        <v>16.347750000000001</v>
      </c>
      <c r="M5666">
        <v>0.99470860000000005</v>
      </c>
      <c r="N5666">
        <v>0</v>
      </c>
      <c r="O5666">
        <v>-0.10075679999999999</v>
      </c>
      <c r="P5666">
        <v>0.90487519999999999</v>
      </c>
      <c r="Q5666">
        <v>0.14436640000000001</v>
      </c>
      <c r="R5666">
        <v>-0.40044879999999999</v>
      </c>
      <c r="S5666">
        <v>2.673492</v>
      </c>
      <c r="T5666">
        <v>-0.26359359999999998</v>
      </c>
      <c r="U5666">
        <v>-1.547882</v>
      </c>
      <c r="V5666">
        <v>0.30849579999999999</v>
      </c>
      <c r="W5666">
        <v>0.16079299999999999</v>
      </c>
      <c r="X5666">
        <v>0.93753719999999996</v>
      </c>
      <c r="Y5666">
        <v>0.41017920000000002</v>
      </c>
      <c r="Z5666">
        <v>-9.5972379999999993E-3</v>
      </c>
      <c r="AA5666">
        <v>0.9119545</v>
      </c>
      <c r="AB5666">
        <v>24</v>
      </c>
      <c r="AC5666">
        <v>11.623699999999999</v>
      </c>
      <c r="AD5666">
        <v>-1.1581399999999999</v>
      </c>
      <c r="AE5666">
        <v>-6.7860129999999996</v>
      </c>
      <c r="AF5666">
        <v>5.5390523673072103</v>
      </c>
      <c r="AG5666">
        <v>-1.1581399999999999</v>
      </c>
      <c r="AH5666">
        <v>12.158379713365701</v>
      </c>
      <c r="AI5666">
        <v>94.954176565272505</v>
      </c>
      <c r="AJ5666">
        <v>65.507182103813193</v>
      </c>
      <c r="AK5666">
        <v>13.410763835134601</v>
      </c>
      <c r="AL5666">
        <v>80.747072466383301</v>
      </c>
      <c r="AM5666">
        <v>71.786254476194003</v>
      </c>
      <c r="AN5666">
        <v>1.0000000244252301</v>
      </c>
    </row>
    <row r="5667" spans="1:40" x14ac:dyDescent="0.25">
      <c r="A5667" t="str">
        <f>"20190312172521953"</f>
        <v>20190312172521953</v>
      </c>
      <c r="B5667" t="str">
        <f>"1552382721946683"</f>
        <v>1552382721946683</v>
      </c>
      <c r="C5667" t="s">
        <v>40</v>
      </c>
      <c r="D5667">
        <v>4.084066</v>
      </c>
      <c r="E5667">
        <v>0.54478930000000003</v>
      </c>
      <c r="F5667" t="s">
        <v>42</v>
      </c>
      <c r="G5667">
        <v>-309.90960000000001</v>
      </c>
      <c r="H5667">
        <v>-0.05</v>
      </c>
      <c r="I5667">
        <v>9.5160520000000002</v>
      </c>
      <c r="J5667">
        <v>-321.50720000000001</v>
      </c>
      <c r="K5667">
        <v>1.108136</v>
      </c>
      <c r="L5667">
        <v>16.331879999999899</v>
      </c>
      <c r="M5667">
        <v>0.99444529999999998</v>
      </c>
      <c r="N5667">
        <v>0</v>
      </c>
      <c r="O5667">
        <v>-0.1032906</v>
      </c>
      <c r="P5667">
        <v>0.90353810000000001</v>
      </c>
      <c r="Q5667">
        <v>0.14453339999999901</v>
      </c>
      <c r="R5667">
        <v>-0.40339659999999999</v>
      </c>
      <c r="S5667">
        <v>2.6692200000000001</v>
      </c>
      <c r="T5667">
        <v>-0.26366630000000002</v>
      </c>
      <c r="U5667">
        <v>-1.555328</v>
      </c>
      <c r="V5667">
        <v>0.30917709999999998</v>
      </c>
      <c r="W5667">
        <v>0.16109709999999999</v>
      </c>
      <c r="X5667">
        <v>0.93726050000000005</v>
      </c>
      <c r="Y5667">
        <v>0.41039779999999998</v>
      </c>
      <c r="Z5667">
        <v>-9.3896120000000003E-3</v>
      </c>
      <c r="AA5667">
        <v>0.91185830000000001</v>
      </c>
      <c r="AB5667">
        <v>24</v>
      </c>
      <c r="AC5667">
        <v>11.5976</v>
      </c>
      <c r="AD5667">
        <v>-1.1581360000000001</v>
      </c>
      <c r="AE5667">
        <v>-6.81582799999999</v>
      </c>
      <c r="AF5667">
        <v>5.5401246471856096</v>
      </c>
      <c r="AG5667">
        <v>-1.1581360000000001</v>
      </c>
      <c r="AH5667">
        <v>12.1496432347384</v>
      </c>
      <c r="AI5667">
        <v>94.956930093677201</v>
      </c>
      <c r="AJ5667">
        <v>65.487454055618997</v>
      </c>
      <c r="AK5667">
        <v>13.4032865683113</v>
      </c>
      <c r="AL5667">
        <v>80.729418444158398</v>
      </c>
      <c r="AM5667">
        <v>71.743663060075306</v>
      </c>
      <c r="AN5667">
        <v>0.99999999982653498</v>
      </c>
    </row>
    <row r="5668" spans="1:40" x14ac:dyDescent="0.25">
      <c r="A5668" t="str">
        <f>"20190312172521965"</f>
        <v>20190312172521965</v>
      </c>
      <c r="B5668" t="str">
        <f>"1552382721956442"</f>
        <v>1552382721956442</v>
      </c>
      <c r="C5668" t="s">
        <v>40</v>
      </c>
      <c r="D5668">
        <v>4.0618480000000003</v>
      </c>
      <c r="E5668">
        <v>0.54472049999999905</v>
      </c>
      <c r="F5668" t="s">
        <v>42</v>
      </c>
      <c r="G5668">
        <v>-309.78070000000002</v>
      </c>
      <c r="H5668">
        <v>-0.05</v>
      </c>
      <c r="I5668">
        <v>9.448029</v>
      </c>
      <c r="J5668">
        <v>-321.37369999999999</v>
      </c>
      <c r="K5668">
        <v>1.108131</v>
      </c>
      <c r="L5668">
        <v>16.31494</v>
      </c>
      <c r="M5668">
        <v>0.99415849999999995</v>
      </c>
      <c r="N5668">
        <v>0</v>
      </c>
      <c r="O5668">
        <v>-0.1059816</v>
      </c>
      <c r="P5668">
        <v>0.90234329999999996</v>
      </c>
      <c r="Q5668">
        <v>0.14433699999999999</v>
      </c>
      <c r="R5668">
        <v>-0.40613189999999999</v>
      </c>
      <c r="S5668">
        <v>2.6641240000000002</v>
      </c>
      <c r="T5668">
        <v>-0.26311519999999999</v>
      </c>
      <c r="U5668">
        <v>-1.5639339999999999</v>
      </c>
      <c r="V5668">
        <v>0.30948350000000002</v>
      </c>
      <c r="W5668">
        <v>0.1610453</v>
      </c>
      <c r="X5668">
        <v>0.93716829999999995</v>
      </c>
      <c r="Y5668">
        <v>0.41089419999999999</v>
      </c>
      <c r="Z5668">
        <v>-9.1601960000000007E-3</v>
      </c>
      <c r="AA5668">
        <v>0.91163700000000003</v>
      </c>
      <c r="AB5668">
        <v>24</v>
      </c>
      <c r="AC5668">
        <v>11.5929999999999</v>
      </c>
      <c r="AD5668">
        <v>-1.158131</v>
      </c>
      <c r="AE5668">
        <v>-6.866911</v>
      </c>
      <c r="AF5668">
        <v>5.5582570171405603</v>
      </c>
      <c r="AG5668">
        <v>-1.158131</v>
      </c>
      <c r="AH5668">
        <v>12.1657221988012</v>
      </c>
      <c r="AI5668">
        <v>94.948738430788396</v>
      </c>
      <c r="AJ5668">
        <v>65.445357886733206</v>
      </c>
      <c r="AK5668">
        <v>13.4253597754458</v>
      </c>
      <c r="AL5668">
        <v>80.732425856778207</v>
      </c>
      <c r="AM5668">
        <v>71.725094017211404</v>
      </c>
      <c r="AN5668">
        <v>1.0000000239746101</v>
      </c>
    </row>
    <row r="5669" spans="1:40" x14ac:dyDescent="0.25">
      <c r="A5669" t="str">
        <f>"20190312172521976"</f>
        <v>20190312172521976</v>
      </c>
      <c r="B5669" t="str">
        <f>"1552382721966202"</f>
        <v>1552382721966202</v>
      </c>
      <c r="C5669" t="s">
        <v>40</v>
      </c>
      <c r="D5669">
        <v>4.0663410000000004</v>
      </c>
      <c r="E5669">
        <v>0.54467919999999903</v>
      </c>
      <c r="F5669" t="s">
        <v>42</v>
      </c>
      <c r="G5669">
        <v>-309.697</v>
      </c>
      <c r="H5669">
        <v>-0.05</v>
      </c>
      <c r="I5669">
        <v>9.41629</v>
      </c>
      <c r="J5669">
        <v>-321.2482</v>
      </c>
      <c r="K5669">
        <v>1.1081240000000001</v>
      </c>
      <c r="L5669">
        <v>16.298579999999902</v>
      </c>
      <c r="M5669">
        <v>0.99387720000000002</v>
      </c>
      <c r="N5669">
        <v>0</v>
      </c>
      <c r="O5669">
        <v>-0.10856</v>
      </c>
      <c r="P5669">
        <v>0.90092629999999996</v>
      </c>
      <c r="Q5669">
        <v>0.1443699</v>
      </c>
      <c r="R5669">
        <v>-0.40925479999999997</v>
      </c>
      <c r="S5669">
        <v>2.659637</v>
      </c>
      <c r="T5669">
        <v>-0.26378990000000002</v>
      </c>
      <c r="U5669">
        <v>-1.5713200000000001</v>
      </c>
      <c r="V5669">
        <v>0.31030990000000003</v>
      </c>
      <c r="W5669">
        <v>0.16119349999999999</v>
      </c>
      <c r="X5669">
        <v>0.93686939999999996</v>
      </c>
      <c r="Y5669">
        <v>0.41108220000000001</v>
      </c>
      <c r="Z5669">
        <v>-8.9680909999999992E-3</v>
      </c>
      <c r="AA5669">
        <v>0.91155419999999998</v>
      </c>
      <c r="AB5669">
        <v>24</v>
      </c>
      <c r="AC5669">
        <v>11.5511999999999</v>
      </c>
      <c r="AD5669">
        <v>-1.1581239999999999</v>
      </c>
      <c r="AE5669">
        <v>-6.8822899999999896</v>
      </c>
      <c r="AF5669">
        <v>5.5461893678174397</v>
      </c>
      <c r="AG5669">
        <v>-1.1581239999999999</v>
      </c>
      <c r="AH5669">
        <v>12.1401390511659</v>
      </c>
      <c r="AI5669">
        <v>94.959143491233903</v>
      </c>
      <c r="AJ5669">
        <v>65.446838725607606</v>
      </c>
      <c r="AK5669">
        <v>13.3971804453292</v>
      </c>
      <c r="AL5669">
        <v>80.723821294306106</v>
      </c>
      <c r="AM5669">
        <v>71.674095797851706</v>
      </c>
      <c r="AN5669">
        <v>0.99999992556830697</v>
      </c>
    </row>
    <row r="5670" spans="1:40" x14ac:dyDescent="0.25">
      <c r="A5670" t="str">
        <f>"20190312172521989"</f>
        <v>20190312172521989</v>
      </c>
      <c r="B5670" t="str">
        <f>"1552382721975963"</f>
        <v>1552382721975963</v>
      </c>
      <c r="C5670" t="s">
        <v>40</v>
      </c>
      <c r="D5670">
        <v>4.0776309999999896</v>
      </c>
      <c r="E5670">
        <v>0.54467339999999997</v>
      </c>
      <c r="F5670" t="s">
        <v>42</v>
      </c>
      <c r="G5670">
        <v>-309.59300000000002</v>
      </c>
      <c r="H5670">
        <v>-0.05</v>
      </c>
      <c r="I5670">
        <v>9.3597409999999996</v>
      </c>
      <c r="J5670">
        <v>-321.12369999999999</v>
      </c>
      <c r="K5670">
        <v>1.108025</v>
      </c>
      <c r="L5670">
        <v>16.281949999999998</v>
      </c>
      <c r="M5670">
        <v>0.9935794</v>
      </c>
      <c r="N5670">
        <v>0</v>
      </c>
      <c r="O5670">
        <v>-0.11128209999999999</v>
      </c>
      <c r="P5670">
        <v>0.89960830000000003</v>
      </c>
      <c r="Q5670">
        <v>0.14428940000000001</v>
      </c>
      <c r="R5670">
        <v>-0.41217209999999899</v>
      </c>
      <c r="S5670">
        <v>2.6543580000000002</v>
      </c>
      <c r="T5670">
        <v>-0.26375219999999999</v>
      </c>
      <c r="U5670">
        <v>-1.5802609999999999</v>
      </c>
      <c r="V5670">
        <v>0.31078879999999998</v>
      </c>
      <c r="W5670">
        <v>0.16093470000000001</v>
      </c>
      <c r="X5670">
        <v>0.93675520000000001</v>
      </c>
      <c r="Y5670">
        <v>0.41165780000000002</v>
      </c>
      <c r="Z5670">
        <v>-8.7571439999999997E-3</v>
      </c>
      <c r="AA5670">
        <v>0.91129640000000001</v>
      </c>
      <c r="AB5670">
        <v>24</v>
      </c>
      <c r="AC5670">
        <v>11.5306999999999</v>
      </c>
      <c r="AD5670">
        <v>-1.1580250000000001</v>
      </c>
      <c r="AE5670">
        <v>-6.9222089999999898</v>
      </c>
      <c r="AF5670">
        <v>5.5545861762932196</v>
      </c>
      <c r="AG5670">
        <v>-1.1580250000000001</v>
      </c>
      <c r="AH5670">
        <v>12.1395256861273</v>
      </c>
      <c r="AI5670">
        <v>94.957637447723798</v>
      </c>
      <c r="AJ5670">
        <v>65.412965826283497</v>
      </c>
      <c r="AK5670">
        <v>13.4000945285709</v>
      </c>
      <c r="AL5670">
        <v>80.738846112687</v>
      </c>
      <c r="AM5670">
        <v>71.645619959020294</v>
      </c>
      <c r="AN5670">
        <v>0.99999998029828396</v>
      </c>
    </row>
    <row r="5671" spans="1:40" x14ac:dyDescent="0.25">
      <c r="A5671" t="str">
        <f>"20190312172522008"</f>
        <v>20190312172522008</v>
      </c>
      <c r="B5671" t="str">
        <f>"1552382721996459"</f>
        <v>1552382721996459</v>
      </c>
      <c r="C5671" t="s">
        <v>40</v>
      </c>
      <c r="D5671">
        <v>4.0809959999999998</v>
      </c>
      <c r="E5671">
        <v>0.54449499999999995</v>
      </c>
      <c r="F5671" t="s">
        <v>42</v>
      </c>
      <c r="G5671">
        <v>-309.48939999999999</v>
      </c>
      <c r="H5671">
        <v>-0.05</v>
      </c>
      <c r="I5671">
        <v>9.3043820000000004</v>
      </c>
      <c r="J5671">
        <v>-320.9187</v>
      </c>
      <c r="K5671">
        <v>1.1077509999999999</v>
      </c>
      <c r="L5671">
        <v>16.253879999999999</v>
      </c>
      <c r="M5671">
        <v>0.99305639999999995</v>
      </c>
      <c r="N5671">
        <v>0</v>
      </c>
      <c r="O5671">
        <v>-0.1159386</v>
      </c>
      <c r="P5671">
        <v>0.89706180000000002</v>
      </c>
      <c r="Q5671">
        <v>0.1447725</v>
      </c>
      <c r="R5671">
        <v>-0.41751830000000001</v>
      </c>
      <c r="S5671">
        <v>2.6491389999999999</v>
      </c>
      <c r="T5671">
        <v>-0.26368449999999999</v>
      </c>
      <c r="U5671">
        <v>-1.5888059999999999</v>
      </c>
      <c r="V5671">
        <v>0.31201240000000002</v>
      </c>
      <c r="W5671">
        <v>0.16090460000000001</v>
      </c>
      <c r="X5671">
        <v>0.93635360000000001</v>
      </c>
      <c r="Y5671">
        <v>0.41036309999999898</v>
      </c>
      <c r="Z5671">
        <v>-8.2856449999999995E-3</v>
      </c>
      <c r="AA5671">
        <v>0.91188449999999999</v>
      </c>
      <c r="AB5671">
        <v>24</v>
      </c>
      <c r="AC5671">
        <v>11.4293</v>
      </c>
      <c r="AD5671">
        <v>-1.157751</v>
      </c>
      <c r="AE5671">
        <v>-6.9494979999999904</v>
      </c>
      <c r="AF5671">
        <v>5.5357837014255997</v>
      </c>
      <c r="AG5671">
        <v>-1.157751</v>
      </c>
      <c r="AH5671">
        <v>12.067666339140301</v>
      </c>
      <c r="AI5671">
        <v>94.983645396264805</v>
      </c>
      <c r="AJ5671">
        <v>65.357722404525305</v>
      </c>
      <c r="AK5671">
        <v>13.3271849780736</v>
      </c>
      <c r="AL5671">
        <v>80.740594103396006</v>
      </c>
      <c r="AM5671">
        <v>71.5708595588153</v>
      </c>
      <c r="AN5671">
        <v>1.00000004614393</v>
      </c>
    </row>
    <row r="5672" spans="1:40" x14ac:dyDescent="0.25">
      <c r="A5672" t="str">
        <f>"20190312172522018"</f>
        <v>20190312172522018</v>
      </c>
      <c r="B5672" t="str">
        <f>"1552382722015980"</f>
        <v>1552382722015980</v>
      </c>
      <c r="C5672" t="s">
        <v>40</v>
      </c>
      <c r="D5672">
        <v>4.0774790000000003</v>
      </c>
      <c r="E5672">
        <v>0.54437860000000005</v>
      </c>
      <c r="F5672" t="s">
        <v>42</v>
      </c>
      <c r="G5672">
        <v>-309.2636</v>
      </c>
      <c r="H5672">
        <v>-0.05</v>
      </c>
      <c r="I5672">
        <v>9.1740110000000001</v>
      </c>
      <c r="J5672">
        <v>-320.79640000000001</v>
      </c>
      <c r="K5672">
        <v>1.107567</v>
      </c>
      <c r="L5672">
        <v>16.236660000000001</v>
      </c>
      <c r="M5672">
        <v>0.99272850000000001</v>
      </c>
      <c r="N5672">
        <v>0</v>
      </c>
      <c r="O5672">
        <v>-0.1187439</v>
      </c>
      <c r="P5672">
        <v>0.89550919999999901</v>
      </c>
      <c r="Q5672">
        <v>0.1451025</v>
      </c>
      <c r="R5672">
        <v>-0.42072419999999999</v>
      </c>
      <c r="S5672">
        <v>2.6401669999999999</v>
      </c>
      <c r="T5672">
        <v>-0.2622584</v>
      </c>
      <c r="U5672">
        <v>-1.6037600000000001</v>
      </c>
      <c r="V5672">
        <v>0.31274869999999999</v>
      </c>
      <c r="W5672">
        <v>0.1610086</v>
      </c>
      <c r="X5672">
        <v>0.93608999999999998</v>
      </c>
      <c r="Y5672">
        <v>0.41294459999999999</v>
      </c>
      <c r="Z5672">
        <v>-8.1217659999999903E-3</v>
      </c>
      <c r="AA5672">
        <v>0.91071990000000003</v>
      </c>
      <c r="AB5672">
        <v>24</v>
      </c>
      <c r="AC5672">
        <v>11.5328</v>
      </c>
      <c r="AD5672">
        <v>-1.157567</v>
      </c>
      <c r="AE5672">
        <v>-7.0626490000000004</v>
      </c>
      <c r="AF5672">
        <v>5.6019001573123397</v>
      </c>
      <c r="AG5672">
        <v>-1.157567</v>
      </c>
      <c r="AH5672">
        <v>12.200592041891101</v>
      </c>
      <c r="AI5672">
        <v>94.928054718929999</v>
      </c>
      <c r="AJ5672">
        <v>65.337785202149107</v>
      </c>
      <c r="AK5672">
        <v>13.475002519652501</v>
      </c>
      <c r="AL5672">
        <v>80.734556222947305</v>
      </c>
      <c r="AM5672">
        <v>71.525469417905597</v>
      </c>
      <c r="AN5672">
        <v>1.00000000336282</v>
      </c>
    </row>
    <row r="5673" spans="1:40" x14ac:dyDescent="0.25">
      <c r="A5673" t="str">
        <f>"20190312172522030"</f>
        <v>20190312172522030</v>
      </c>
      <c r="B5673" t="str">
        <f>"1552382722025739"</f>
        <v>1552382722025739</v>
      </c>
      <c r="C5673" t="s">
        <v>40</v>
      </c>
      <c r="D5673">
        <v>4.0781359999999998</v>
      </c>
      <c r="E5673">
        <v>0.544328699999999</v>
      </c>
      <c r="F5673" t="s">
        <v>42</v>
      </c>
      <c r="G5673">
        <v>-309.10840000000002</v>
      </c>
      <c r="H5673">
        <v>-0.05</v>
      </c>
      <c r="I5673">
        <v>9.0833739999999992</v>
      </c>
      <c r="J5673">
        <v>-320.68579999999997</v>
      </c>
      <c r="K5673">
        <v>1.10744</v>
      </c>
      <c r="L5673">
        <v>16.220700000000001</v>
      </c>
      <c r="M5673">
        <v>0.99242039999999998</v>
      </c>
      <c r="N5673">
        <v>0</v>
      </c>
      <c r="O5673">
        <v>-0.12126770000000001</v>
      </c>
      <c r="P5673">
        <v>0.89422089999999999</v>
      </c>
      <c r="Q5673">
        <v>0.14482979999999901</v>
      </c>
      <c r="R5673">
        <v>-0.42354819999999999</v>
      </c>
      <c r="S5673">
        <v>2.6347659999999999</v>
      </c>
      <c r="T5673">
        <v>-0.26094279999999997</v>
      </c>
      <c r="U5673">
        <v>-1.6125179999999999</v>
      </c>
      <c r="V5673">
        <v>0.31332310000000002</v>
      </c>
      <c r="W5673">
        <v>0.1608551</v>
      </c>
      <c r="X5673">
        <v>0.93592430000000004</v>
      </c>
      <c r="Y5673">
        <v>0.41367900000000002</v>
      </c>
      <c r="Z5673">
        <v>-7.8981280000000008E-3</v>
      </c>
      <c r="AA5673">
        <v>0.91038850000000004</v>
      </c>
      <c r="AB5673">
        <v>24</v>
      </c>
      <c r="AC5673">
        <v>11.5773999999999</v>
      </c>
      <c r="AD5673">
        <v>-1.15744</v>
      </c>
      <c r="AE5673">
        <v>-7.1373259999999998</v>
      </c>
      <c r="AF5673">
        <v>5.6395443887678596</v>
      </c>
      <c r="AG5673">
        <v>-1.15744</v>
      </c>
      <c r="AH5673">
        <v>12.2687670908374</v>
      </c>
      <c r="AI5673">
        <v>94.899313114855303</v>
      </c>
      <c r="AJ5673">
        <v>65.313330581777294</v>
      </c>
      <c r="AK5673">
        <v>13.5523715340046</v>
      </c>
      <c r="AL5673">
        <v>80.743467354428404</v>
      </c>
      <c r="AM5673">
        <v>71.490794794585995</v>
      </c>
      <c r="AN5673">
        <v>1.00000001176005</v>
      </c>
    </row>
    <row r="5674" spans="1:40" x14ac:dyDescent="0.25">
      <c r="A5674" t="str">
        <f>"20190312172522042"</f>
        <v>20190312172522042</v>
      </c>
      <c r="B5674" t="str">
        <f>"1552382722036475"</f>
        <v>1552382722036475</v>
      </c>
      <c r="C5674" t="s">
        <v>40</v>
      </c>
      <c r="D5674">
        <v>4.1093099999999998</v>
      </c>
      <c r="E5674">
        <v>0.54429189999999905</v>
      </c>
      <c r="F5674" t="s">
        <v>42</v>
      </c>
      <c r="G5674">
        <v>-309.05189999999999</v>
      </c>
      <c r="H5674">
        <v>-0.05</v>
      </c>
      <c r="I5674">
        <v>9.0519870000000004</v>
      </c>
      <c r="J5674">
        <v>-320.56209999999999</v>
      </c>
      <c r="K5674">
        <v>1.107308</v>
      </c>
      <c r="L5674">
        <v>16.2027</v>
      </c>
      <c r="M5674">
        <v>0.99206689999999997</v>
      </c>
      <c r="N5674">
        <v>0</v>
      </c>
      <c r="O5674">
        <v>-0.1240864</v>
      </c>
      <c r="P5674">
        <v>0.89266369999999895</v>
      </c>
      <c r="Q5674">
        <v>0.14442859999999999</v>
      </c>
      <c r="R5674">
        <v>-0.42695689999999997</v>
      </c>
      <c r="S5674">
        <v>2.6296689999999998</v>
      </c>
      <c r="T5674">
        <v>-0.26162390000000002</v>
      </c>
      <c r="U5674">
        <v>-1.6203920000000001</v>
      </c>
      <c r="V5674">
        <v>0.31423000000000001</v>
      </c>
      <c r="W5674">
        <v>0.16066929999999999</v>
      </c>
      <c r="X5674">
        <v>0.93565209999999999</v>
      </c>
      <c r="Y5674">
        <v>0.4138599</v>
      </c>
      <c r="Z5674">
        <v>-7.6831109999999899E-3</v>
      </c>
      <c r="AA5674">
        <v>0.91030820000000001</v>
      </c>
      <c r="AB5674">
        <v>24</v>
      </c>
      <c r="AC5674">
        <v>11.5101999999999</v>
      </c>
      <c r="AD5674">
        <v>-1.157308</v>
      </c>
      <c r="AE5674">
        <v>-7.1507129999999997</v>
      </c>
      <c r="AF5674">
        <v>5.6258398056314496</v>
      </c>
      <c r="AG5674">
        <v>-1.157308</v>
      </c>
      <c r="AH5674">
        <v>12.219559320631401</v>
      </c>
      <c r="AI5674">
        <v>94.917032177769499</v>
      </c>
      <c r="AJ5674">
        <v>65.278832182457094</v>
      </c>
      <c r="AK5674">
        <v>13.502113364800399</v>
      </c>
      <c r="AL5674">
        <v>80.754252946023598</v>
      </c>
      <c r="AM5674">
        <v>71.4358562990883</v>
      </c>
      <c r="AN5674">
        <v>0.99999998454844896</v>
      </c>
    </row>
    <row r="5675" spans="1:40" x14ac:dyDescent="0.25">
      <c r="A5675" t="str">
        <f>"20190312172522053"</f>
        <v>20190312172522053</v>
      </c>
      <c r="B5675" t="str">
        <f>"1552382722046235"</f>
        <v>1552382722046235</v>
      </c>
      <c r="C5675" t="s">
        <v>40</v>
      </c>
      <c r="D5675">
        <v>4.1215519999999897</v>
      </c>
      <c r="E5675">
        <v>0.54425509999999999</v>
      </c>
      <c r="F5675" t="s">
        <v>42</v>
      </c>
      <c r="G5675">
        <v>-309.00689999999997</v>
      </c>
      <c r="H5675">
        <v>-0.05</v>
      </c>
      <c r="I5675">
        <v>9.0224910000000005</v>
      </c>
      <c r="J5675">
        <v>-320.43959999999998</v>
      </c>
      <c r="K5675">
        <v>1.107091</v>
      </c>
      <c r="L5675">
        <v>16.184329999999999</v>
      </c>
      <c r="M5675">
        <v>0.99169739999999995</v>
      </c>
      <c r="N5675">
        <v>0</v>
      </c>
      <c r="O5675">
        <v>-0.12692700000000001</v>
      </c>
      <c r="P5675">
        <v>0.89108659999999995</v>
      </c>
      <c r="Q5675">
        <v>0.14384569999999999</v>
      </c>
      <c r="R5675">
        <v>-0.43043419999999999</v>
      </c>
      <c r="S5675">
        <v>2.623535</v>
      </c>
      <c r="T5675">
        <v>-0.26275939999999998</v>
      </c>
      <c r="U5675">
        <v>-1.6302190000000001</v>
      </c>
      <c r="V5675">
        <v>0.31519209999999998</v>
      </c>
      <c r="W5675">
        <v>0.1605328</v>
      </c>
      <c r="X5675">
        <v>0.93535190000000001</v>
      </c>
      <c r="Y5675">
        <v>0.41466389999999997</v>
      </c>
      <c r="Z5675">
        <v>-7.5073719999999896E-3</v>
      </c>
      <c r="AA5675">
        <v>0.90994370000000002</v>
      </c>
      <c r="AB5675">
        <v>23</v>
      </c>
      <c r="AC5675">
        <v>11.432700000000001</v>
      </c>
      <c r="AD5675">
        <v>-1.1570910000000001</v>
      </c>
      <c r="AE5675">
        <v>-7.1618389999999899</v>
      </c>
      <c r="AF5675">
        <v>5.61118407127758</v>
      </c>
      <c r="AG5675">
        <v>-1.1570910000000001</v>
      </c>
      <c r="AH5675">
        <v>12.159963889920199</v>
      </c>
      <c r="AI5675">
        <v>94.938125552762401</v>
      </c>
      <c r="AJ5675">
        <v>65.229159428004095</v>
      </c>
      <c r="AK5675">
        <v>13.442059666144999</v>
      </c>
      <c r="AL5675">
        <v>80.762176896173401</v>
      </c>
      <c r="AM5675">
        <v>71.377365703111906</v>
      </c>
      <c r="AN5675">
        <v>1.0000000083059299</v>
      </c>
    </row>
    <row r="5676" spans="1:40" x14ac:dyDescent="0.25">
      <c r="A5676" t="str">
        <f>"20190312172522064"</f>
        <v>20190312172522064</v>
      </c>
      <c r="B5676" t="str">
        <f>"1552382722055995"</f>
        <v>1552382722055995</v>
      </c>
      <c r="C5676" t="s">
        <v>40</v>
      </c>
      <c r="D5676">
        <v>4.1217550000000003</v>
      </c>
      <c r="E5676">
        <v>0.54423219999999894</v>
      </c>
      <c r="F5676" t="s">
        <v>42</v>
      </c>
      <c r="G5676">
        <v>-308.98930000000001</v>
      </c>
      <c r="H5676">
        <v>-0.05</v>
      </c>
      <c r="I5676">
        <v>9.0068049999999999</v>
      </c>
      <c r="J5676">
        <v>-320.3218</v>
      </c>
      <c r="K5676">
        <v>1.106822</v>
      </c>
      <c r="L5676">
        <v>16.16647</v>
      </c>
      <c r="M5676">
        <v>0.99133300000000002</v>
      </c>
      <c r="N5676">
        <v>0</v>
      </c>
      <c r="O5676">
        <v>-0.12965760000000001</v>
      </c>
      <c r="P5676">
        <v>0.88977329999999999</v>
      </c>
      <c r="Q5676">
        <v>0.14302779999999901</v>
      </c>
      <c r="R5676">
        <v>-0.4334132</v>
      </c>
      <c r="S5676">
        <v>2.6169739999999999</v>
      </c>
      <c r="T5676">
        <v>-0.26445200000000002</v>
      </c>
      <c r="U5676">
        <v>-1.6404110000000001</v>
      </c>
      <c r="V5676">
        <v>0.31573820000000002</v>
      </c>
      <c r="W5676">
        <v>0.160169899999999</v>
      </c>
      <c r="X5676">
        <v>0.93522989999999995</v>
      </c>
      <c r="Y5676">
        <v>0.41571989999999998</v>
      </c>
      <c r="Z5676">
        <v>-7.3673499999999999E-3</v>
      </c>
      <c r="AA5676">
        <v>0.90946289999999996</v>
      </c>
      <c r="AB5676">
        <v>23</v>
      </c>
      <c r="AC5676">
        <v>11.3324999999999</v>
      </c>
      <c r="AD5676">
        <v>-1.156822</v>
      </c>
      <c r="AE5676">
        <v>-7.1596649999999897</v>
      </c>
      <c r="AF5676">
        <v>5.5879113112710499</v>
      </c>
      <c r="AG5676">
        <v>-1.156822</v>
      </c>
      <c r="AH5676">
        <v>12.075377342498401</v>
      </c>
      <c r="AI5676">
        <v>94.9689358492069</v>
      </c>
      <c r="AJ5676">
        <v>65.167540928326005</v>
      </c>
      <c r="AK5676">
        <v>13.355812514633399</v>
      </c>
      <c r="AL5676">
        <v>80.783241918807093</v>
      </c>
      <c r="AM5676">
        <v>71.345065524191995</v>
      </c>
      <c r="AN5676">
        <v>0.99999998682962998</v>
      </c>
    </row>
    <row r="5677" spans="1:40" x14ac:dyDescent="0.25">
      <c r="A5677" t="str">
        <f>"20190312172522076"</f>
        <v>20190312172522076</v>
      </c>
      <c r="B5677" t="str">
        <f>"1552382722065756"</f>
        <v>1552382722065756</v>
      </c>
      <c r="C5677" t="s">
        <v>40</v>
      </c>
      <c r="D5677">
        <v>4.1365129999999999</v>
      </c>
      <c r="E5677">
        <v>0.544207</v>
      </c>
      <c r="F5677" t="s">
        <v>42</v>
      </c>
      <c r="G5677">
        <v>-308.98829999999998</v>
      </c>
      <c r="H5677">
        <v>-0.05</v>
      </c>
      <c r="I5677">
        <v>9.0083160000000007</v>
      </c>
      <c r="J5677">
        <v>-320.2047</v>
      </c>
      <c r="K5677">
        <v>1.106412</v>
      </c>
      <c r="L5677">
        <v>16.148350000000001</v>
      </c>
      <c r="M5677">
        <v>0.99096139999999999</v>
      </c>
      <c r="N5677">
        <v>0</v>
      </c>
      <c r="O5677">
        <v>-0.1323724</v>
      </c>
      <c r="P5677">
        <v>0.88828839999999998</v>
      </c>
      <c r="Q5677">
        <v>0.14241010000000001</v>
      </c>
      <c r="R5677">
        <v>-0.43665009999999999</v>
      </c>
      <c r="S5677">
        <v>2.611145</v>
      </c>
      <c r="T5677">
        <v>-0.26652090000000001</v>
      </c>
      <c r="U5677">
        <v>-1.64917</v>
      </c>
      <c r="V5677">
        <v>0.31659789999999999</v>
      </c>
      <c r="W5677">
        <v>0.16003809999999999</v>
      </c>
      <c r="X5677">
        <v>0.93496179999999995</v>
      </c>
      <c r="Y5677">
        <v>0.41631590000000002</v>
      </c>
      <c r="Z5677">
        <v>-7.2139190000000001E-3</v>
      </c>
      <c r="AA5677">
        <v>0.90919139999999998</v>
      </c>
      <c r="AB5677">
        <v>23</v>
      </c>
      <c r="AC5677">
        <v>11.2164</v>
      </c>
      <c r="AD5677">
        <v>-1.156412</v>
      </c>
      <c r="AE5677">
        <v>-7.140034</v>
      </c>
      <c r="AF5677">
        <v>5.5500961154097102</v>
      </c>
      <c r="AG5677">
        <v>-1.156412</v>
      </c>
      <c r="AH5677">
        <v>11.972452305907501</v>
      </c>
      <c r="AI5677">
        <v>95.008111417860604</v>
      </c>
      <c r="AJ5677">
        <v>65.128871790192093</v>
      </c>
      <c r="AK5677">
        <v>13.2469041598881</v>
      </c>
      <c r="AL5677">
        <v>80.790892271442004</v>
      </c>
      <c r="AM5677">
        <v>71.292809170587901</v>
      </c>
      <c r="AN5677">
        <v>0.99999999559762998</v>
      </c>
    </row>
    <row r="5678" spans="1:40" x14ac:dyDescent="0.25">
      <c r="A5678" t="str">
        <f>"20190312172522087"</f>
        <v>20190312172522087</v>
      </c>
      <c r="B5678" t="str">
        <f>"1552382722076491"</f>
        <v>1552382722076491</v>
      </c>
      <c r="C5678" t="s">
        <v>40</v>
      </c>
      <c r="D5678">
        <v>4.1427329999999998</v>
      </c>
      <c r="E5678">
        <v>0.54415069999999999</v>
      </c>
      <c r="F5678" t="s">
        <v>42</v>
      </c>
      <c r="G5678">
        <v>-308.96570000000003</v>
      </c>
      <c r="H5678">
        <v>-0.05</v>
      </c>
      <c r="I5678">
        <v>8.9914699999999996</v>
      </c>
      <c r="J5678">
        <v>-320.09589999999997</v>
      </c>
      <c r="K5678">
        <v>1.105939</v>
      </c>
      <c r="L5678">
        <v>16.131160000000001</v>
      </c>
      <c r="M5678">
        <v>0.99061540000000003</v>
      </c>
      <c r="N5678">
        <v>0</v>
      </c>
      <c r="O5678">
        <v>-0.13483510000000001</v>
      </c>
      <c r="P5678">
        <v>0.88706079999999998</v>
      </c>
      <c r="Q5678">
        <v>0.14151540000000001</v>
      </c>
      <c r="R5678">
        <v>-0.43942759999999997</v>
      </c>
      <c r="S5678">
        <v>2.604889</v>
      </c>
      <c r="T5678">
        <v>-0.26802219999999999</v>
      </c>
      <c r="U5678">
        <v>-1.658752</v>
      </c>
      <c r="V5678">
        <v>0.317212099999999</v>
      </c>
      <c r="W5678">
        <v>0.15964979999999901</v>
      </c>
      <c r="X5678">
        <v>0.93481999999999998</v>
      </c>
      <c r="Y5678">
        <v>0.41741600000000001</v>
      </c>
      <c r="Z5678">
        <v>-7.089326E-3</v>
      </c>
      <c r="AA5678">
        <v>0.90868789999999999</v>
      </c>
      <c r="AB5678">
        <v>23</v>
      </c>
      <c r="AC5678">
        <v>11.130199999999901</v>
      </c>
      <c r="AD5678">
        <v>-1.155939</v>
      </c>
      <c r="AE5678">
        <v>-7.1396899999999999</v>
      </c>
      <c r="AF5678">
        <v>5.5310738738302003</v>
      </c>
      <c r="AG5678">
        <v>-1.155939</v>
      </c>
      <c r="AH5678">
        <v>11.900490758916799</v>
      </c>
      <c r="AI5678">
        <v>95.033884960195905</v>
      </c>
      <c r="AJ5678">
        <v>65.072080721158201</v>
      </c>
      <c r="AK5678">
        <v>13.1738625115246</v>
      </c>
      <c r="AL5678">
        <v>80.813430081617597</v>
      </c>
      <c r="AM5678">
        <v>71.256404507512599</v>
      </c>
      <c r="AN5678">
        <v>1.00000000371322</v>
      </c>
    </row>
    <row r="5679" spans="1:40" x14ac:dyDescent="0.25">
      <c r="A5679" t="str">
        <f>"20190312172522096"</f>
        <v>20190312172522096</v>
      </c>
      <c r="B5679" t="str">
        <f>"1552382722086252"</f>
        <v>1552382722086252</v>
      </c>
      <c r="C5679" t="s">
        <v>40</v>
      </c>
      <c r="D5679">
        <v>4.1200519999999896</v>
      </c>
      <c r="E5679">
        <v>0.54415069999999999</v>
      </c>
      <c r="F5679" t="s">
        <v>42</v>
      </c>
      <c r="G5679">
        <v>-308.97239999999999</v>
      </c>
      <c r="H5679">
        <v>-0.05</v>
      </c>
      <c r="I5679">
        <v>9.0005489999999995</v>
      </c>
      <c r="J5679">
        <v>-319.98880000000003</v>
      </c>
      <c r="K5679">
        <v>1.1053959999999901</v>
      </c>
      <c r="L5679">
        <v>16.11392</v>
      </c>
      <c r="M5679">
        <v>0.9902744</v>
      </c>
      <c r="N5679">
        <v>0</v>
      </c>
      <c r="O5679">
        <v>-0.13720570000000001</v>
      </c>
      <c r="P5679">
        <v>0.88580829999999999</v>
      </c>
      <c r="Q5679">
        <v>0.14069779999999901</v>
      </c>
      <c r="R5679">
        <v>-0.44220769999999998</v>
      </c>
      <c r="S5679">
        <v>2.599548</v>
      </c>
      <c r="T5679">
        <v>-0.27014110000000002</v>
      </c>
      <c r="U5679">
        <v>-1.666412</v>
      </c>
      <c r="V5679">
        <v>0.31792870000000001</v>
      </c>
      <c r="W5679">
        <v>0.15937200000000001</v>
      </c>
      <c r="X5679">
        <v>0.93462400000000001</v>
      </c>
      <c r="Y5679">
        <v>0.41797479999999998</v>
      </c>
      <c r="Z5679">
        <v>-6.9604119999999896E-3</v>
      </c>
      <c r="AA5679">
        <v>0.90843189999999996</v>
      </c>
      <c r="AB5679">
        <v>23</v>
      </c>
      <c r="AC5679">
        <v>11.016400000000001</v>
      </c>
      <c r="AD5679">
        <v>-1.1553960000000001</v>
      </c>
      <c r="AE5679">
        <v>-7.1133709999999901</v>
      </c>
      <c r="AF5679">
        <v>5.4915155939039</v>
      </c>
      <c r="AG5679">
        <v>-1.1553960000000001</v>
      </c>
      <c r="AH5679">
        <v>11.7968327714258</v>
      </c>
      <c r="AI5679">
        <v>95.074103697736604</v>
      </c>
      <c r="AJ5679">
        <v>65.037663062775493</v>
      </c>
      <c r="AK5679">
        <v>13.0635732811468</v>
      </c>
      <c r="AL5679">
        <v>80.829553781080506</v>
      </c>
      <c r="AM5679">
        <v>71.213365155508995</v>
      </c>
      <c r="AN5679">
        <v>1.0000000570218399</v>
      </c>
    </row>
    <row r="5680" spans="1:40" x14ac:dyDescent="0.25">
      <c r="A5680" t="str">
        <f>"20190312172522107"</f>
        <v>20190312172522107</v>
      </c>
      <c r="B5680" t="str">
        <f>"1552382722096011"</f>
        <v>1552382722096011</v>
      </c>
      <c r="C5680" t="s">
        <v>40</v>
      </c>
      <c r="D5680">
        <v>4.1442949999999996</v>
      </c>
      <c r="E5680">
        <v>0.54410609999999904</v>
      </c>
      <c r="F5680" t="s">
        <v>42</v>
      </c>
      <c r="G5680">
        <v>-308.99200000000002</v>
      </c>
      <c r="H5680">
        <v>-0.05</v>
      </c>
      <c r="I5680">
        <v>9.0153660000000002</v>
      </c>
      <c r="J5680">
        <v>-319.88389999999998</v>
      </c>
      <c r="K5680">
        <v>1.1048129999999901</v>
      </c>
      <c r="L5680">
        <v>16.09665</v>
      </c>
      <c r="M5680">
        <v>0.98993379999999997</v>
      </c>
      <c r="N5680">
        <v>0</v>
      </c>
      <c r="O5680">
        <v>-0.13951379999999999</v>
      </c>
      <c r="P5680">
        <v>0.88461219999999996</v>
      </c>
      <c r="Q5680">
        <v>0.13968949999999999</v>
      </c>
      <c r="R5680">
        <v>-0.44491389999999997</v>
      </c>
      <c r="S5680">
        <v>2.5940859999999999</v>
      </c>
      <c r="T5680">
        <v>-0.27255010000000002</v>
      </c>
      <c r="U5680">
        <v>-1.6745000000000001</v>
      </c>
      <c r="V5680">
        <v>0.31861790000000001</v>
      </c>
      <c r="W5680">
        <v>0.15899639999999901</v>
      </c>
      <c r="X5680">
        <v>0.93445319999999998</v>
      </c>
      <c r="Y5680">
        <v>0.41871219999999998</v>
      </c>
      <c r="Z5680">
        <v>-6.849979E-3</v>
      </c>
      <c r="AA5680">
        <v>0.90809320000000004</v>
      </c>
      <c r="AB5680">
        <v>23</v>
      </c>
      <c r="AC5680">
        <v>10.8918999999999</v>
      </c>
      <c r="AD5680">
        <v>-1.1548130000000001</v>
      </c>
      <c r="AE5680">
        <v>-7.0812839999999904</v>
      </c>
      <c r="AF5680">
        <v>5.4489346056296304</v>
      </c>
      <c r="AG5680">
        <v>-1.1548130000000001</v>
      </c>
      <c r="AH5680">
        <v>11.681236083742901</v>
      </c>
      <c r="AI5680">
        <v>95.119604181487503</v>
      </c>
      <c r="AJ5680">
        <v>64.992406968965795</v>
      </c>
      <c r="AK5680">
        <v>12.941242515521299</v>
      </c>
      <c r="AL5680">
        <v>80.851351520517298</v>
      </c>
      <c r="AM5680">
        <v>71.172306794697704</v>
      </c>
      <c r="AN5680">
        <v>1.0000000022018001</v>
      </c>
    </row>
    <row r="5681" spans="1:40" x14ac:dyDescent="0.25">
      <c r="A5681" t="str">
        <f>"20190312172522118"</f>
        <v>20190312172522118</v>
      </c>
      <c r="B5681" t="str">
        <f>"1552382722116508"</f>
        <v>1552382722116508</v>
      </c>
      <c r="C5681" t="s">
        <v>40</v>
      </c>
      <c r="D5681">
        <v>4.1333460000000004</v>
      </c>
      <c r="E5681">
        <v>0.5439792</v>
      </c>
      <c r="F5681" t="s">
        <v>42</v>
      </c>
      <c r="G5681">
        <v>-309.03199999999998</v>
      </c>
      <c r="H5681">
        <v>-0.05</v>
      </c>
      <c r="I5681">
        <v>9.0448760000000004</v>
      </c>
      <c r="J5681">
        <v>-319.76990000000001</v>
      </c>
      <c r="K5681">
        <v>1.104144</v>
      </c>
      <c r="L5681">
        <v>16.077639999999999</v>
      </c>
      <c r="M5681">
        <v>0.98955709999999997</v>
      </c>
      <c r="N5681">
        <v>0</v>
      </c>
      <c r="O5681">
        <v>-0.14200929999999901</v>
      </c>
      <c r="P5681">
        <v>0.88324460000000005</v>
      </c>
      <c r="Q5681">
        <v>0.13860629999999999</v>
      </c>
      <c r="R5681">
        <v>-0.44795950000000001</v>
      </c>
      <c r="S5681">
        <v>2.5887760000000002</v>
      </c>
      <c r="T5681">
        <v>-0.27548869999999998</v>
      </c>
      <c r="U5681">
        <v>-1.6822509999999999</v>
      </c>
      <c r="V5681">
        <v>0.31949090000000002</v>
      </c>
      <c r="W5681">
        <v>0.1586668</v>
      </c>
      <c r="X5681">
        <v>0.93421109999999896</v>
      </c>
      <c r="Y5681">
        <v>0.41916710000000001</v>
      </c>
      <c r="Z5681">
        <v>-6.7176889999999998E-3</v>
      </c>
      <c r="AA5681">
        <v>0.90788420000000003</v>
      </c>
      <c r="AB5681">
        <v>23</v>
      </c>
      <c r="AC5681">
        <v>10.7379</v>
      </c>
      <c r="AD5681">
        <v>-1.1541440000000001</v>
      </c>
      <c r="AE5681">
        <v>-7.0327639999999896</v>
      </c>
      <c r="AF5681">
        <v>5.3925018414467996</v>
      </c>
      <c r="AG5681">
        <v>-1.1541440000000001</v>
      </c>
      <c r="AH5681">
        <v>11.534775930613201</v>
      </c>
      <c r="AI5681">
        <v>95.179234791570195</v>
      </c>
      <c r="AJ5681">
        <v>64.943935241662501</v>
      </c>
      <c r="AK5681">
        <v>12.785232897847299</v>
      </c>
      <c r="AL5681">
        <v>80.870478852188896</v>
      </c>
      <c r="AM5681">
        <v>71.119822475253997</v>
      </c>
      <c r="AN5681">
        <v>0.99999998398412904</v>
      </c>
    </row>
    <row r="5682" spans="1:40" x14ac:dyDescent="0.25">
      <c r="A5682" t="str">
        <f>"20190312172522130"</f>
        <v>20190312172522130</v>
      </c>
      <c r="B5682" t="str">
        <f>"1552382722126268"</f>
        <v>1552382722126268</v>
      </c>
      <c r="C5682" t="s">
        <v>40</v>
      </c>
      <c r="D5682">
        <v>4.1636129999999998</v>
      </c>
      <c r="E5682">
        <v>0.54392180000000001</v>
      </c>
      <c r="F5682" t="s">
        <v>42</v>
      </c>
      <c r="G5682">
        <v>-309.06130000000002</v>
      </c>
      <c r="H5682">
        <v>-0.05</v>
      </c>
      <c r="I5682">
        <v>9.071396</v>
      </c>
      <c r="J5682">
        <v>-319.65690000000001</v>
      </c>
      <c r="K5682">
        <v>1.103424</v>
      </c>
      <c r="L5682">
        <v>16.058229999999998</v>
      </c>
      <c r="M5682">
        <v>0.98915889999999995</v>
      </c>
      <c r="N5682">
        <v>0</v>
      </c>
      <c r="O5682">
        <v>-0.1445881</v>
      </c>
      <c r="P5682">
        <v>0.88217479999999904</v>
      </c>
      <c r="Q5682">
        <v>0.13679479999999999</v>
      </c>
      <c r="R5682">
        <v>-0.45061600000000002</v>
      </c>
      <c r="S5682">
        <v>2.5830989999999998</v>
      </c>
      <c r="T5682">
        <v>-0.2784008</v>
      </c>
      <c r="U5682">
        <v>-1.6900329999999999</v>
      </c>
      <c r="V5682">
        <v>0.31984170000000001</v>
      </c>
      <c r="W5682">
        <v>0.15771099999999999</v>
      </c>
      <c r="X5682">
        <v>0.93425290000000005</v>
      </c>
      <c r="Y5682">
        <v>0.41961179999999898</v>
      </c>
      <c r="Z5682">
        <v>-6.5724569999999899E-3</v>
      </c>
      <c r="AA5682">
        <v>0.90767989999999998</v>
      </c>
      <c r="AB5682">
        <v>23</v>
      </c>
      <c r="AC5682">
        <v>10.5955999999999</v>
      </c>
      <c r="AD5682">
        <v>-1.153424</v>
      </c>
      <c r="AE5682">
        <v>-6.9868339999999902</v>
      </c>
      <c r="AF5682">
        <v>5.3367877957891503</v>
      </c>
      <c r="AG5682">
        <v>-1.153424</v>
      </c>
      <c r="AH5682">
        <v>11.4005751933308</v>
      </c>
      <c r="AI5682">
        <v>95.235382170388803</v>
      </c>
      <c r="AJ5682">
        <v>64.914969982163598</v>
      </c>
      <c r="AK5682">
        <v>12.6406014746075</v>
      </c>
      <c r="AL5682">
        <v>80.925940421117105</v>
      </c>
      <c r="AM5682">
        <v>71.1013483014478</v>
      </c>
      <c r="AN5682">
        <v>0.99999997686914899</v>
      </c>
    </row>
    <row r="5683" spans="1:40" x14ac:dyDescent="0.25">
      <c r="A5683" t="str">
        <f>"20190312172522141"</f>
        <v>20190312172522141</v>
      </c>
      <c r="B5683" t="str">
        <f>"1552382722136027"</f>
        <v>1552382722136027</v>
      </c>
      <c r="C5683" t="s">
        <v>40</v>
      </c>
      <c r="D5683">
        <v>4.1617139999999999</v>
      </c>
      <c r="E5683">
        <v>0.54386409999999996</v>
      </c>
      <c r="F5683" t="s">
        <v>42</v>
      </c>
      <c r="G5683">
        <v>-309.18340000000001</v>
      </c>
      <c r="H5683">
        <v>-0.05</v>
      </c>
      <c r="I5683">
        <v>9.1614229999999992</v>
      </c>
      <c r="J5683">
        <v>-319.54450000000003</v>
      </c>
      <c r="K5683">
        <v>1.1027049999999901</v>
      </c>
      <c r="L5683">
        <v>16.03876</v>
      </c>
      <c r="M5683">
        <v>0.98875040000000003</v>
      </c>
      <c r="N5683">
        <v>0</v>
      </c>
      <c r="O5683">
        <v>-0.1471808</v>
      </c>
      <c r="P5683">
        <v>0.88099799999999995</v>
      </c>
      <c r="Q5683">
        <v>0.13547390000000001</v>
      </c>
      <c r="R5683">
        <v>-0.45330949999999998</v>
      </c>
      <c r="S5683">
        <v>2.5776979999999998</v>
      </c>
      <c r="T5683">
        <v>-0.283877299999999</v>
      </c>
      <c r="U5683">
        <v>-1.6974180000000001</v>
      </c>
      <c r="V5683">
        <v>0.32023390000000002</v>
      </c>
      <c r="W5683">
        <v>0.15726319999999999</v>
      </c>
      <c r="X5683">
        <v>0.93419399999999997</v>
      </c>
      <c r="Y5683">
        <v>0.41988209999999998</v>
      </c>
      <c r="Z5683">
        <v>-6.4702479999999996E-3</v>
      </c>
      <c r="AA5683">
        <v>0.90755560000000002</v>
      </c>
      <c r="AB5683">
        <v>23</v>
      </c>
      <c r="AC5683">
        <v>10.3611</v>
      </c>
      <c r="AD5683">
        <v>-1.1527050000000001</v>
      </c>
      <c r="AE5683">
        <v>-6.8773369999999998</v>
      </c>
      <c r="AF5683">
        <v>5.23193761084661</v>
      </c>
      <c r="AG5683">
        <v>-1.1527050000000001</v>
      </c>
      <c r="AH5683">
        <v>11.1648282167794</v>
      </c>
      <c r="AI5683">
        <v>95.340975437942603</v>
      </c>
      <c r="AJ5683">
        <v>64.891794632195797</v>
      </c>
      <c r="AK5683">
        <v>12.383670259297499</v>
      </c>
      <c r="AL5683">
        <v>80.951921420526503</v>
      </c>
      <c r="AM5683">
        <v>71.078713555093202</v>
      </c>
      <c r="AN5683">
        <v>0.99999994720972296</v>
      </c>
    </row>
    <row r="5684" spans="1:40" x14ac:dyDescent="0.25">
      <c r="A5684" t="str">
        <f>"20190312172522153"</f>
        <v>20190312172522153</v>
      </c>
      <c r="B5684" t="str">
        <f>"1552382722145788"</f>
        <v>1552382722145788</v>
      </c>
      <c r="C5684" t="s">
        <v>40</v>
      </c>
      <c r="D5684">
        <v>4.1542839999999996</v>
      </c>
      <c r="E5684">
        <v>0.54380039999999996</v>
      </c>
      <c r="F5684" t="s">
        <v>42</v>
      </c>
      <c r="G5684">
        <v>-309.23630000000003</v>
      </c>
      <c r="H5684">
        <v>-0.05</v>
      </c>
      <c r="I5684">
        <v>9.2057339999999996</v>
      </c>
      <c r="J5684">
        <v>-319.42570000000001</v>
      </c>
      <c r="K5684">
        <v>1.1018559999999999</v>
      </c>
      <c r="L5684">
        <v>16.017489999999999</v>
      </c>
      <c r="M5684">
        <v>0.98827189999999998</v>
      </c>
      <c r="N5684">
        <v>0</v>
      </c>
      <c r="O5684">
        <v>-0.15017469999999999</v>
      </c>
      <c r="P5684">
        <v>0.87946179999999996</v>
      </c>
      <c r="Q5684">
        <v>0.13408789999999901</v>
      </c>
      <c r="R5684">
        <v>-0.45669209999999899</v>
      </c>
      <c r="S5684">
        <v>2.5722049999999999</v>
      </c>
      <c r="T5684">
        <v>-0.28763569999999999</v>
      </c>
      <c r="U5684">
        <v>-1.7050479999999999</v>
      </c>
      <c r="V5684">
        <v>0.32098120000000002</v>
      </c>
      <c r="W5684">
        <v>0.15678049999999999</v>
      </c>
      <c r="X5684">
        <v>0.93401869999999998</v>
      </c>
      <c r="Y5684">
        <v>0.4198749</v>
      </c>
      <c r="Z5684">
        <v>-6.2677409999999899E-3</v>
      </c>
      <c r="AA5684">
        <v>0.90756029999999999</v>
      </c>
      <c r="AB5684">
        <v>22</v>
      </c>
      <c r="AC5684">
        <v>10.1893999999999</v>
      </c>
      <c r="AD5684">
        <v>-1.151856</v>
      </c>
      <c r="AE5684">
        <v>-6.8117559999999902</v>
      </c>
      <c r="AF5684">
        <v>5.1581146029980802</v>
      </c>
      <c r="AG5684">
        <v>-1.151856</v>
      </c>
      <c r="AH5684">
        <v>10.9999520902116</v>
      </c>
      <c r="AI5684">
        <v>95.415941312659797</v>
      </c>
      <c r="AJ5684">
        <v>64.877107126242805</v>
      </c>
      <c r="AK5684">
        <v>12.203764357334601</v>
      </c>
      <c r="AL5684">
        <v>80.979925906904896</v>
      </c>
      <c r="AM5684">
        <v>71.034405158888006</v>
      </c>
      <c r="AN5684">
        <v>0.99999999394168904</v>
      </c>
    </row>
    <row r="5685" spans="1:40" x14ac:dyDescent="0.25">
      <c r="A5685" t="str">
        <f>"20190312172522166"</f>
        <v>20190312172522166</v>
      </c>
      <c r="B5685" t="str">
        <f>"1552382722156523"</f>
        <v>1552382722156523</v>
      </c>
      <c r="C5685" t="s">
        <v>40</v>
      </c>
      <c r="D5685">
        <v>4.1704990000000004</v>
      </c>
      <c r="E5685">
        <v>0.54373269999999996</v>
      </c>
      <c r="F5685" t="s">
        <v>42</v>
      </c>
      <c r="G5685">
        <v>-309.3005</v>
      </c>
      <c r="H5685">
        <v>-0.05</v>
      </c>
      <c r="I5685">
        <v>9.2514040000000008</v>
      </c>
      <c r="J5685">
        <v>-319.30709999999999</v>
      </c>
      <c r="K5685">
        <v>1.100978</v>
      </c>
      <c r="L5685">
        <v>15.995939999999999</v>
      </c>
      <c r="M5685">
        <v>0.98777459999999995</v>
      </c>
      <c r="N5685">
        <v>0</v>
      </c>
      <c r="O5685">
        <v>-0.1532297</v>
      </c>
      <c r="P5685">
        <v>0.87803469999999995</v>
      </c>
      <c r="Q5685">
        <v>0.13276279999999999</v>
      </c>
      <c r="R5685">
        <v>-0.45981450000000001</v>
      </c>
      <c r="S5685">
        <v>2.5654599999999999</v>
      </c>
      <c r="T5685">
        <v>-0.29185090000000002</v>
      </c>
      <c r="U5685">
        <v>-1.7143550000000001</v>
      </c>
      <c r="V5685">
        <v>0.32140200000000002</v>
      </c>
      <c r="W5685">
        <v>0.15632789999999999</v>
      </c>
      <c r="X5685">
        <v>0.9339499</v>
      </c>
      <c r="Y5685">
        <v>0.4204196</v>
      </c>
      <c r="Z5685">
        <v>-6.0908339999999998E-3</v>
      </c>
      <c r="AA5685">
        <v>0.90730940000000004</v>
      </c>
      <c r="AB5685">
        <v>22</v>
      </c>
      <c r="AC5685">
        <v>10.006599999999899</v>
      </c>
      <c r="AD5685">
        <v>-1.1509780000000001</v>
      </c>
      <c r="AE5685">
        <v>-6.7445360000000001</v>
      </c>
      <c r="AF5685">
        <v>5.0846260909324696</v>
      </c>
      <c r="AG5685">
        <v>-1.1509780000000001</v>
      </c>
      <c r="AH5685">
        <v>10.823752001953601</v>
      </c>
      <c r="AI5685">
        <v>95.497627124125302</v>
      </c>
      <c r="AJ5685">
        <v>64.837477795413093</v>
      </c>
      <c r="AK5685">
        <v>12.0138162230355</v>
      </c>
      <c r="AL5685">
        <v>81.006182116762801</v>
      </c>
      <c r="AM5685">
        <v>71.010023028291002</v>
      </c>
      <c r="AN5685">
        <v>1.0000000368162001</v>
      </c>
    </row>
    <row r="5686" spans="1:40" x14ac:dyDescent="0.25">
      <c r="A5686" t="str">
        <f>"20190312172522178"</f>
        <v>20190312172522178</v>
      </c>
      <c r="B5686" t="str">
        <f>"1552382722166283"</f>
        <v>1552382722166283</v>
      </c>
      <c r="C5686" t="s">
        <v>40</v>
      </c>
      <c r="D5686">
        <v>4.2765550000000001</v>
      </c>
      <c r="E5686">
        <v>0.54367330000000003</v>
      </c>
      <c r="F5686" t="s">
        <v>42</v>
      </c>
      <c r="G5686">
        <v>-309.34829999999999</v>
      </c>
      <c r="H5686">
        <v>-0.05</v>
      </c>
      <c r="I5686">
        <v>9.290756</v>
      </c>
      <c r="J5686">
        <v>-319.17700000000002</v>
      </c>
      <c r="K5686">
        <v>1.09995</v>
      </c>
      <c r="L5686">
        <v>15.971679999999999</v>
      </c>
      <c r="M5686">
        <v>0.98719409999999996</v>
      </c>
      <c r="N5686">
        <v>0</v>
      </c>
      <c r="O5686">
        <v>-0.15673319999999999</v>
      </c>
      <c r="P5686">
        <v>0.87630129999999995</v>
      </c>
      <c r="Q5686">
        <v>0.1318734</v>
      </c>
      <c r="R5686">
        <v>-0.46336339999999998</v>
      </c>
      <c r="S5686">
        <v>2.559113</v>
      </c>
      <c r="T5686">
        <v>-0.295765</v>
      </c>
      <c r="U5686">
        <v>-1.7230220000000001</v>
      </c>
      <c r="V5686">
        <v>0.32188060000000002</v>
      </c>
      <c r="W5686">
        <v>0.15631989999999901</v>
      </c>
      <c r="X5686">
        <v>0.93378640000000002</v>
      </c>
      <c r="Y5686">
        <v>0.42033789999999999</v>
      </c>
      <c r="Z5686">
        <v>-5.8212009999999998E-3</v>
      </c>
      <c r="AA5686">
        <v>0.90734899999999996</v>
      </c>
      <c r="AB5686">
        <v>22</v>
      </c>
      <c r="AC5686">
        <v>9.8287000000000209</v>
      </c>
      <c r="AD5686">
        <v>-1.14995</v>
      </c>
      <c r="AE5686">
        <v>-6.6809239999999903</v>
      </c>
      <c r="AF5686">
        <v>5.0102075234928503</v>
      </c>
      <c r="AG5686">
        <v>-1.14995</v>
      </c>
      <c r="AH5686">
        <v>10.6549436944506</v>
      </c>
      <c r="AI5686">
        <v>95.578247009974305</v>
      </c>
      <c r="AJ5686">
        <v>64.815976235296304</v>
      </c>
      <c r="AK5686">
        <v>11.8301474869453</v>
      </c>
      <c r="AL5686">
        <v>81.006646183746795</v>
      </c>
      <c r="AM5686">
        <v>70.980684684325695</v>
      </c>
      <c r="AN5686">
        <v>1.0000000363086601</v>
      </c>
    </row>
    <row r="5687" spans="1:40" x14ac:dyDescent="0.25">
      <c r="A5687" t="str">
        <f>"20190312172522198"</f>
        <v>20190312172522198</v>
      </c>
      <c r="B5687" t="str">
        <f>"1552382722185803"</f>
        <v>1552382722185803</v>
      </c>
      <c r="C5687" t="s">
        <v>40</v>
      </c>
      <c r="D5687">
        <v>4.1640160000000002</v>
      </c>
      <c r="E5687">
        <v>0.54117369999999898</v>
      </c>
      <c r="F5687" t="s">
        <v>42</v>
      </c>
      <c r="G5687">
        <v>-309.34910000000002</v>
      </c>
      <c r="H5687">
        <v>-0.05</v>
      </c>
      <c r="I5687">
        <v>9.2993620000000004</v>
      </c>
      <c r="J5687">
        <v>-318.988</v>
      </c>
      <c r="K5687">
        <v>1.0984</v>
      </c>
      <c r="L5687">
        <v>15.93524</v>
      </c>
      <c r="M5687">
        <v>0.98630649999999997</v>
      </c>
      <c r="N5687">
        <v>0</v>
      </c>
      <c r="O5687">
        <v>-0.1619671</v>
      </c>
      <c r="P5687">
        <v>0.87358269999999905</v>
      </c>
      <c r="Q5687">
        <v>0.13053789999999901</v>
      </c>
      <c r="R5687">
        <v>-0.46884229999999999</v>
      </c>
      <c r="S5687">
        <v>2.5521850000000001</v>
      </c>
      <c r="T5687">
        <v>-0.29862899999999998</v>
      </c>
      <c r="U5687">
        <v>-1.7327269999999999</v>
      </c>
      <c r="V5687">
        <v>0.32279750000000001</v>
      </c>
      <c r="W5687">
        <v>0.15614140000000001</v>
      </c>
      <c r="X5687">
        <v>0.93349970000000004</v>
      </c>
      <c r="Y5687">
        <v>0.41903249999999997</v>
      </c>
      <c r="Z5687">
        <v>-5.281488E-3</v>
      </c>
      <c r="AA5687">
        <v>0.90795590000000004</v>
      </c>
      <c r="AB5687">
        <v>22</v>
      </c>
      <c r="AC5687">
        <v>9.6388999999999694</v>
      </c>
      <c r="AD5687">
        <v>-1.1484000000000001</v>
      </c>
      <c r="AE5687">
        <v>-6.6358779999999999</v>
      </c>
      <c r="AF5687">
        <v>4.9386726820737499</v>
      </c>
      <c r="AG5687">
        <v>-1.1484000000000001</v>
      </c>
      <c r="AH5687">
        <v>10.485835975707801</v>
      </c>
      <c r="AI5687">
        <v>95.658388738810103</v>
      </c>
      <c r="AJ5687">
        <v>64.780262331473395</v>
      </c>
      <c r="AK5687">
        <v>11.6474060000547</v>
      </c>
      <c r="AL5687">
        <v>81.017000536167501</v>
      </c>
      <c r="AM5687">
        <v>70.924981640096206</v>
      </c>
      <c r="AN5687">
        <v>1.0000000263501401</v>
      </c>
    </row>
    <row r="5688" spans="1:40" x14ac:dyDescent="0.25">
      <c r="A5688" t="str">
        <f>"20190312172522208"</f>
        <v>20190312172522208</v>
      </c>
      <c r="B5688" t="str">
        <f>"1552382722206299"</f>
        <v>1552382722206299</v>
      </c>
      <c r="C5688" t="s">
        <v>40</v>
      </c>
      <c r="D5688">
        <v>4.1719819999999999</v>
      </c>
      <c r="E5688">
        <v>0.5414118</v>
      </c>
      <c r="F5688" t="s">
        <v>42</v>
      </c>
      <c r="G5688">
        <v>-309.54719999999998</v>
      </c>
      <c r="H5688">
        <v>-0.05</v>
      </c>
      <c r="I5688">
        <v>9.5299679999999896</v>
      </c>
      <c r="J5688">
        <v>-318.88529999999997</v>
      </c>
      <c r="K5688">
        <v>1.0975760000000001</v>
      </c>
      <c r="L5688">
        <v>15.914829999999901</v>
      </c>
      <c r="M5688">
        <v>0.98580279999999998</v>
      </c>
      <c r="N5688">
        <v>0</v>
      </c>
      <c r="O5688">
        <v>-0.1648714</v>
      </c>
      <c r="P5688">
        <v>0.8721544</v>
      </c>
      <c r="Q5688">
        <v>0.1299805</v>
      </c>
      <c r="R5688">
        <v>-0.47164820000000002</v>
      </c>
      <c r="S5688">
        <v>2.5514830000000002</v>
      </c>
      <c r="T5688">
        <v>-0.31037039999999999</v>
      </c>
      <c r="U5688">
        <v>-1.7311099999999999</v>
      </c>
      <c r="V5688">
        <v>0.32305899999999999</v>
      </c>
      <c r="W5688">
        <v>0.15618660000000001</v>
      </c>
      <c r="X5688">
        <v>0.93340160000000005</v>
      </c>
      <c r="Y5688">
        <v>0.41601060000000001</v>
      </c>
      <c r="Z5688">
        <v>-5.0153899999999998E-3</v>
      </c>
      <c r="AA5688">
        <v>0.90934599999999999</v>
      </c>
      <c r="AB5688">
        <v>22</v>
      </c>
      <c r="AC5688">
        <v>9.3380999999999901</v>
      </c>
      <c r="AD5688">
        <v>-1.1475759999999999</v>
      </c>
      <c r="AE5688">
        <v>-6.384862</v>
      </c>
      <c r="AF5688">
        <v>4.7085758117393297</v>
      </c>
      <c r="AG5688">
        <v>-1.1475759999999999</v>
      </c>
      <c r="AH5688">
        <v>10.1588451339986</v>
      </c>
      <c r="AI5688">
        <v>95.851788778683698</v>
      </c>
      <c r="AJ5688">
        <v>65.132504202423604</v>
      </c>
      <c r="AK5688">
        <v>11.2556541927709</v>
      </c>
      <c r="AL5688">
        <v>81.014377990362902</v>
      </c>
      <c r="AM5688">
        <v>70.908785833727094</v>
      </c>
      <c r="AN5688">
        <v>0.99999995919155904</v>
      </c>
    </row>
    <row r="5689" spans="1:40" x14ac:dyDescent="0.25">
      <c r="A5689" t="str">
        <f>"20190312172522218"</f>
        <v>20190312172522218</v>
      </c>
      <c r="B5689" t="str">
        <f>"1552382722216060"</f>
        <v>1552382722216060</v>
      </c>
      <c r="C5689" t="s">
        <v>40</v>
      </c>
      <c r="D5689">
        <v>4.1832219999999998</v>
      </c>
      <c r="E5689">
        <v>0.54122740000000003</v>
      </c>
      <c r="F5689" t="s">
        <v>42</v>
      </c>
      <c r="G5689">
        <v>-309.63810000000001</v>
      </c>
      <c r="H5689">
        <v>-0.05</v>
      </c>
      <c r="I5689">
        <v>9.5906979999999997</v>
      </c>
      <c r="J5689">
        <v>-318.7808</v>
      </c>
      <c r="K5689">
        <v>1.096746</v>
      </c>
      <c r="L5689">
        <v>15.893739999999999</v>
      </c>
      <c r="M5689">
        <v>0.98527710000000002</v>
      </c>
      <c r="N5689">
        <v>0</v>
      </c>
      <c r="O5689">
        <v>-0.16785039999999901</v>
      </c>
      <c r="P5689">
        <v>0.87059580000000003</v>
      </c>
      <c r="Q5689">
        <v>0.12980359999999999</v>
      </c>
      <c r="R5689">
        <v>-0.47456720000000002</v>
      </c>
      <c r="S5689">
        <v>2.5454409999999998</v>
      </c>
      <c r="T5689">
        <v>-0.31588840000000001</v>
      </c>
      <c r="U5689">
        <v>-1.7408140000000001</v>
      </c>
      <c r="V5689">
        <v>0.32338610000000001</v>
      </c>
      <c r="W5689">
        <v>0.15661</v>
      </c>
      <c r="X5689">
        <v>0.93321739999999997</v>
      </c>
      <c r="Y5689">
        <v>0.4165951</v>
      </c>
      <c r="Z5689">
        <v>-4.8210730000000004E-3</v>
      </c>
      <c r="AA5689">
        <v>0.90907939999999998</v>
      </c>
      <c r="AB5689">
        <v>22</v>
      </c>
      <c r="AC5689">
        <v>9.1426999999999907</v>
      </c>
      <c r="AD5689">
        <v>-1.1467459999999901</v>
      </c>
      <c r="AE5689">
        <v>-6.3030419999999996</v>
      </c>
      <c r="AF5689">
        <v>4.6287462474323497</v>
      </c>
      <c r="AG5689">
        <v>-1.1467459999999901</v>
      </c>
      <c r="AH5689">
        <v>9.9651109499680608</v>
      </c>
      <c r="AI5689">
        <v>95.958200448134903</v>
      </c>
      <c r="AJ5689">
        <v>65.085357614263103</v>
      </c>
      <c r="AK5689">
        <v>11.0473415108255</v>
      </c>
      <c r="AL5689">
        <v>80.989816974865803</v>
      </c>
      <c r="AM5689">
        <v>70.887358893292102</v>
      </c>
      <c r="AN5689">
        <v>0.99999998871798401</v>
      </c>
    </row>
    <row r="5690" spans="1:40" x14ac:dyDescent="0.25">
      <c r="A5690" t="str">
        <f>"20190312172522230"</f>
        <v>20190312172522230</v>
      </c>
      <c r="B5690" t="str">
        <f>"1552382722225819"</f>
        <v>1552382722225819</v>
      </c>
      <c r="C5690" t="s">
        <v>40</v>
      </c>
      <c r="D5690">
        <v>4.1828500000000002</v>
      </c>
      <c r="E5690">
        <v>0.54104619999999903</v>
      </c>
      <c r="F5690" t="s">
        <v>42</v>
      </c>
      <c r="G5690">
        <v>-309.58909999999997</v>
      </c>
      <c r="H5690">
        <v>-0.05</v>
      </c>
      <c r="I5690">
        <v>9.5697329999999994</v>
      </c>
      <c r="J5690">
        <v>-318.67110000000002</v>
      </c>
      <c r="K5690">
        <v>1.095939</v>
      </c>
      <c r="L5690">
        <v>15.871090000000001</v>
      </c>
      <c r="M5690">
        <v>0.98466929999999997</v>
      </c>
      <c r="N5690">
        <v>0</v>
      </c>
      <c r="O5690">
        <v>-0.17126540000000001</v>
      </c>
      <c r="P5690">
        <v>0.86880059999999903</v>
      </c>
      <c r="Q5690">
        <v>0.12934849999999901</v>
      </c>
      <c r="R5690">
        <v>-0.47796909999999998</v>
      </c>
      <c r="S5690">
        <v>2.5404049999999998</v>
      </c>
      <c r="T5690">
        <v>-0.31693860000000001</v>
      </c>
      <c r="U5690">
        <v>-1.747833</v>
      </c>
      <c r="V5690">
        <v>0.32379089999999999</v>
      </c>
      <c r="W5690">
        <v>0.1567056</v>
      </c>
      <c r="X5690">
        <v>0.93306100000000003</v>
      </c>
      <c r="Y5690">
        <v>0.41599900000000001</v>
      </c>
      <c r="Z5690">
        <v>-4.438745E-3</v>
      </c>
      <c r="AA5690">
        <v>0.90935429999999995</v>
      </c>
      <c r="AB5690">
        <v>22</v>
      </c>
      <c r="AC5690">
        <v>9.0820000000000505</v>
      </c>
      <c r="AD5690">
        <v>-1.145939</v>
      </c>
      <c r="AE5690">
        <v>-6.3013569999999897</v>
      </c>
      <c r="AF5690">
        <v>4.6024048044588701</v>
      </c>
      <c r="AG5690">
        <v>-1.145939</v>
      </c>
      <c r="AH5690">
        <v>9.9208407518796999</v>
      </c>
      <c r="AI5690">
        <v>95.981735186167199</v>
      </c>
      <c r="AJ5690">
        <v>65.112812086850695</v>
      </c>
      <c r="AK5690">
        <v>10.996289710624399</v>
      </c>
      <c r="AL5690">
        <v>80.984271223346099</v>
      </c>
      <c r="AM5690">
        <v>70.862199127063803</v>
      </c>
      <c r="AN5690">
        <v>1.0000000108575799</v>
      </c>
    </row>
    <row r="5691" spans="1:40" x14ac:dyDescent="0.25">
      <c r="A5691" t="str">
        <f>"20190312172522243"</f>
        <v>20190312172522243</v>
      </c>
      <c r="B5691" t="str">
        <f>"1552382722236555"</f>
        <v>1552382722236555</v>
      </c>
      <c r="C5691" t="s">
        <v>40</v>
      </c>
      <c r="D5691">
        <v>4.189406</v>
      </c>
      <c r="E5691">
        <v>0.54106869999999996</v>
      </c>
      <c r="F5691" t="s">
        <v>42</v>
      </c>
      <c r="G5691">
        <v>-309.5881</v>
      </c>
      <c r="H5691">
        <v>-0.05</v>
      </c>
      <c r="I5691">
        <v>9.5753780000000006</v>
      </c>
      <c r="J5691">
        <v>-318.55439999999999</v>
      </c>
      <c r="K5691">
        <v>1.0950879999999901</v>
      </c>
      <c r="L5691">
        <v>15.84671</v>
      </c>
      <c r="M5691">
        <v>0.98399780000000003</v>
      </c>
      <c r="N5691">
        <v>0</v>
      </c>
      <c r="O5691">
        <v>-0.17496970000000001</v>
      </c>
      <c r="P5691">
        <v>0.86675499999999905</v>
      </c>
      <c r="Q5691">
        <v>0.12919800000000001</v>
      </c>
      <c r="R5691">
        <v>-0.481709</v>
      </c>
      <c r="S5691">
        <v>2.5342709999999999</v>
      </c>
      <c r="T5691">
        <v>-0.31973289999999999</v>
      </c>
      <c r="U5691">
        <v>-1.7565919999999999</v>
      </c>
      <c r="V5691">
        <v>0.32429920000000001</v>
      </c>
      <c r="W5691">
        <v>0.15709409999999999</v>
      </c>
      <c r="X5691">
        <v>0.93281910000000001</v>
      </c>
      <c r="Y5691">
        <v>0.41572619999999999</v>
      </c>
      <c r="Z5691">
        <v>-4.0633379999999997E-3</v>
      </c>
      <c r="AA5691">
        <v>0.90948079999999998</v>
      </c>
      <c r="AB5691">
        <v>22</v>
      </c>
      <c r="AC5691">
        <v>8.9662999999999897</v>
      </c>
      <c r="AD5691">
        <v>-1.1450880000000001</v>
      </c>
      <c r="AE5691">
        <v>-6.2713319999999904</v>
      </c>
      <c r="AF5691">
        <v>4.55487229948971</v>
      </c>
      <c r="AG5691">
        <v>-1.1450880000000001</v>
      </c>
      <c r="AH5691">
        <v>9.8182120227392495</v>
      </c>
      <c r="AI5691">
        <v>96.039327884538906</v>
      </c>
      <c r="AJ5691">
        <v>65.112436203404101</v>
      </c>
      <c r="AK5691">
        <v>10.883720665097201</v>
      </c>
      <c r="AL5691">
        <v>80.9617325664004</v>
      </c>
      <c r="AM5691">
        <v>70.829738376412905</v>
      </c>
      <c r="AN5691">
        <v>1.0000000003501299</v>
      </c>
    </row>
    <row r="5692" spans="1:40" x14ac:dyDescent="0.25">
      <c r="A5692" t="str">
        <f>"20190312172522253"</f>
        <v>20190312172522253</v>
      </c>
      <c r="B5692" t="str">
        <f>"1552382722246315"</f>
        <v>1552382722246315</v>
      </c>
      <c r="C5692" t="s">
        <v>40</v>
      </c>
      <c r="D5692">
        <v>4.1731759999999998</v>
      </c>
      <c r="E5692">
        <v>0.54085839999999996</v>
      </c>
      <c r="F5692" t="s">
        <v>42</v>
      </c>
      <c r="G5692">
        <v>-309.5652</v>
      </c>
      <c r="H5692">
        <v>-0.05</v>
      </c>
      <c r="I5692">
        <v>9.5587309999999999</v>
      </c>
      <c r="J5692">
        <v>-318.45159999999998</v>
      </c>
      <c r="K5692">
        <v>1.094298</v>
      </c>
      <c r="L5692">
        <v>15.82465</v>
      </c>
      <c r="M5692">
        <v>0.98339019999999999</v>
      </c>
      <c r="N5692">
        <v>0</v>
      </c>
      <c r="O5692">
        <v>-0.17828160000000001</v>
      </c>
      <c r="P5692">
        <v>0.86472729999999998</v>
      </c>
      <c r="Q5692">
        <v>0.1292576</v>
      </c>
      <c r="R5692">
        <v>-0.48532350000000002</v>
      </c>
      <c r="S5692">
        <v>2.5268250000000001</v>
      </c>
      <c r="T5692">
        <v>-0.3218782</v>
      </c>
      <c r="U5692">
        <v>-1.76751699999999</v>
      </c>
      <c r="V5692">
        <v>0.32507150000000001</v>
      </c>
      <c r="W5692">
        <v>0.157468</v>
      </c>
      <c r="X5692">
        <v>0.93248719999999996</v>
      </c>
      <c r="Y5692">
        <v>0.41655759999999997</v>
      </c>
      <c r="Z5692">
        <v>-3.7805769999999998E-3</v>
      </c>
      <c r="AA5692">
        <v>0.90910150000000001</v>
      </c>
      <c r="AB5692">
        <v>22</v>
      </c>
      <c r="AC5692">
        <v>8.8863999999999805</v>
      </c>
      <c r="AD5692">
        <v>-1.144298</v>
      </c>
      <c r="AE5692">
        <v>-6.2659190000000002</v>
      </c>
      <c r="AF5692">
        <v>4.5300464956075901</v>
      </c>
      <c r="AG5692">
        <v>-1.144298</v>
      </c>
      <c r="AH5692">
        <v>9.7535922241779094</v>
      </c>
      <c r="AI5692">
        <v>96.073662292237202</v>
      </c>
      <c r="AJ5692">
        <v>65.087533513161105</v>
      </c>
      <c r="AK5692">
        <v>10.814957255611899</v>
      </c>
      <c r="AL5692">
        <v>80.940039812776405</v>
      </c>
      <c r="AM5692">
        <v>70.781091133838302</v>
      </c>
      <c r="AN5692">
        <v>1.0000000146500401</v>
      </c>
    </row>
    <row r="5693" spans="1:40" x14ac:dyDescent="0.25">
      <c r="A5693" t="str">
        <f>"20190312172522264"</f>
        <v>20190312172522264</v>
      </c>
      <c r="B5693" t="str">
        <f>"1552382722256076"</f>
        <v>1552382722256076</v>
      </c>
      <c r="C5693" t="s">
        <v>40</v>
      </c>
      <c r="D5693">
        <v>4.2031159999999996</v>
      </c>
      <c r="E5693">
        <v>0.54076709999999995</v>
      </c>
      <c r="F5693" t="s">
        <v>42</v>
      </c>
      <c r="G5693">
        <v>-309.48090000000002</v>
      </c>
      <c r="H5693">
        <v>-0.05</v>
      </c>
      <c r="I5693">
        <v>9.5000610000000005</v>
      </c>
      <c r="J5693">
        <v>-318.34320000000002</v>
      </c>
      <c r="K5693">
        <v>1.093432</v>
      </c>
      <c r="L5693">
        <v>15.80109</v>
      </c>
      <c r="M5693">
        <v>0.98274589999999995</v>
      </c>
      <c r="N5693">
        <v>0</v>
      </c>
      <c r="O5693">
        <v>-0.1817309</v>
      </c>
      <c r="P5693">
        <v>0.86261189999999999</v>
      </c>
      <c r="Q5693">
        <v>0.1291919</v>
      </c>
      <c r="R5693">
        <v>-0.48909200000000003</v>
      </c>
      <c r="S5693">
        <v>2.5201419999999999</v>
      </c>
      <c r="T5693">
        <v>-0.321467</v>
      </c>
      <c r="U5693">
        <v>-1.776764</v>
      </c>
      <c r="V5693">
        <v>0.32588979999999901</v>
      </c>
      <c r="W5693">
        <v>0.15768840000000001</v>
      </c>
      <c r="X5693">
        <v>0.93216429999999995</v>
      </c>
      <c r="Y5693">
        <v>0.4167497</v>
      </c>
      <c r="Z5693">
        <v>-3.4137630000000002E-3</v>
      </c>
      <c r="AA5693">
        <v>0.90901489999999996</v>
      </c>
      <c r="AB5693">
        <v>22</v>
      </c>
      <c r="AC5693">
        <v>8.8622999999999994</v>
      </c>
      <c r="AD5693">
        <v>-1.143432</v>
      </c>
      <c r="AE5693">
        <v>-6.3010289999999998</v>
      </c>
      <c r="AF5693">
        <v>4.53433541064115</v>
      </c>
      <c r="AG5693">
        <v>-1.143432</v>
      </c>
      <c r="AH5693">
        <v>9.7524866387469604</v>
      </c>
      <c r="AI5693">
        <v>96.068649326029799</v>
      </c>
      <c r="AJ5693">
        <v>65.064330032567</v>
      </c>
      <c r="AK5693">
        <v>10.8156659523931</v>
      </c>
      <c r="AL5693">
        <v>80.927252270532094</v>
      </c>
      <c r="AM5693">
        <v>70.730090872773602</v>
      </c>
      <c r="AN5693">
        <v>1.0000000377165399</v>
      </c>
    </row>
    <row r="5694" spans="1:40" x14ac:dyDescent="0.25">
      <c r="A5694" t="str">
        <f>"20190312172522275"</f>
        <v>20190312172522275</v>
      </c>
      <c r="B5694" t="str">
        <f>"1552382722265835"</f>
        <v>1552382722265835</v>
      </c>
      <c r="C5694" t="s">
        <v>40</v>
      </c>
      <c r="D5694">
        <v>4.1970340000000004</v>
      </c>
      <c r="E5694">
        <v>0.54055549999999997</v>
      </c>
      <c r="F5694" t="s">
        <v>42</v>
      </c>
      <c r="G5694">
        <v>-309.42489999999998</v>
      </c>
      <c r="H5694">
        <v>-0.05</v>
      </c>
      <c r="I5694">
        <v>9.4569089999999996</v>
      </c>
      <c r="J5694">
        <v>-318.23989999999998</v>
      </c>
      <c r="K5694">
        <v>1.092557</v>
      </c>
      <c r="L5694">
        <v>15.778169999999999</v>
      </c>
      <c r="M5694">
        <v>0.98213910000000004</v>
      </c>
      <c r="N5694">
        <v>0</v>
      </c>
      <c r="O5694">
        <v>-0.18493000000000001</v>
      </c>
      <c r="P5694">
        <v>0.86068719999999999</v>
      </c>
      <c r="Q5694">
        <v>0.1291438</v>
      </c>
      <c r="R5694">
        <v>-0.49248320000000001</v>
      </c>
      <c r="S5694">
        <v>2.5126339999999998</v>
      </c>
      <c r="T5694">
        <v>-0.3221463</v>
      </c>
      <c r="U5694">
        <v>-1.7873840000000001</v>
      </c>
      <c r="V5694">
        <v>0.32655980000000001</v>
      </c>
      <c r="W5694">
        <v>0.15781700000000001</v>
      </c>
      <c r="X5694">
        <v>0.93190799999999996</v>
      </c>
      <c r="Y5694">
        <v>0.41762899999999997</v>
      </c>
      <c r="Z5694">
        <v>-3.125465E-3</v>
      </c>
      <c r="AA5694">
        <v>0.90861230000000004</v>
      </c>
      <c r="AB5694">
        <v>22</v>
      </c>
      <c r="AC5694">
        <v>8.8149999999999906</v>
      </c>
      <c r="AD5694">
        <v>-1.142557</v>
      </c>
      <c r="AE5694">
        <v>-6.3212609999999998</v>
      </c>
      <c r="AF5694">
        <v>4.5306906107144798</v>
      </c>
      <c r="AG5694">
        <v>-1.142557</v>
      </c>
      <c r="AH5694">
        <v>9.7245746294795108</v>
      </c>
      <c r="AI5694">
        <v>96.079099527368101</v>
      </c>
      <c r="AJ5694">
        <v>65.019133706441906</v>
      </c>
      <c r="AK5694">
        <v>10.788880647805</v>
      </c>
      <c r="AL5694">
        <v>80.919790390507302</v>
      </c>
      <c r="AM5694">
        <v>70.688485743964804</v>
      </c>
      <c r="AN5694">
        <v>1.00000001446451</v>
      </c>
    </row>
    <row r="5695" spans="1:40" x14ac:dyDescent="0.25">
      <c r="A5695" t="str">
        <f>"20190312172522286"</f>
        <v>20190312172522286</v>
      </c>
      <c r="B5695" t="str">
        <f>"1552382722276572"</f>
        <v>1552382722276572</v>
      </c>
      <c r="C5695" t="s">
        <v>40</v>
      </c>
      <c r="D5695">
        <v>4.1836219999999997</v>
      </c>
      <c r="E5695">
        <v>0.54055180000000003</v>
      </c>
      <c r="F5695" t="s">
        <v>42</v>
      </c>
      <c r="G5695">
        <v>-309.37189999999998</v>
      </c>
      <c r="H5695">
        <v>-0.05</v>
      </c>
      <c r="I5695">
        <v>9.4238890000000008</v>
      </c>
      <c r="J5695">
        <v>-318.13670000000002</v>
      </c>
      <c r="K5695">
        <v>1.091653</v>
      </c>
      <c r="L5695">
        <v>15.75494</v>
      </c>
      <c r="M5695">
        <v>0.98153109999999999</v>
      </c>
      <c r="N5695">
        <v>0</v>
      </c>
      <c r="O5695">
        <v>-0.18808549999999999</v>
      </c>
      <c r="P5695">
        <v>0.8586357</v>
      </c>
      <c r="Q5695">
        <v>0.12904199999999999</v>
      </c>
      <c r="R5695">
        <v>-0.49607830000000003</v>
      </c>
      <c r="S5695">
        <v>2.5064090000000001</v>
      </c>
      <c r="T5695">
        <v>-0.32292349999999997</v>
      </c>
      <c r="U5695">
        <v>-1.7959290000000001</v>
      </c>
      <c r="V5695">
        <v>0.32749990000000001</v>
      </c>
      <c r="W5695">
        <v>0.15784189999999901</v>
      </c>
      <c r="X5695">
        <v>0.93157380000000001</v>
      </c>
      <c r="Y5695">
        <v>0.4178325</v>
      </c>
      <c r="Z5695">
        <v>-2.8013700000000001E-3</v>
      </c>
      <c r="AA5695">
        <v>0.90851979999999999</v>
      </c>
      <c r="AB5695">
        <v>22</v>
      </c>
      <c r="AC5695">
        <v>8.7648000000000295</v>
      </c>
      <c r="AD5695">
        <v>-1.141653</v>
      </c>
      <c r="AE5695">
        <v>-6.3310510000000004</v>
      </c>
      <c r="AF5695">
        <v>4.5180088133842498</v>
      </c>
      <c r="AG5695">
        <v>-1.141653</v>
      </c>
      <c r="AH5695">
        <v>9.6916321680405595</v>
      </c>
      <c r="AI5695">
        <v>96.094180442165097</v>
      </c>
      <c r="AJ5695">
        <v>65.006184340126296</v>
      </c>
      <c r="AK5695">
        <v>10.7537672139034</v>
      </c>
      <c r="AL5695">
        <v>80.918345460840499</v>
      </c>
      <c r="AM5695">
        <v>70.630594537708305</v>
      </c>
      <c r="AN5695">
        <v>0.99999999737102996</v>
      </c>
    </row>
    <row r="5696" spans="1:40" x14ac:dyDescent="0.25">
      <c r="A5696" t="str">
        <f>"20190312172522297"</f>
        <v>20190312172522297</v>
      </c>
      <c r="B5696" t="str">
        <f>"1552382722286331"</f>
        <v>1552382722286331</v>
      </c>
      <c r="C5696" t="s">
        <v>40</v>
      </c>
      <c r="D5696">
        <v>4.179373</v>
      </c>
      <c r="E5696">
        <v>0.54052419999999901</v>
      </c>
      <c r="F5696" t="s">
        <v>42</v>
      </c>
      <c r="G5696">
        <v>-309.34230000000002</v>
      </c>
      <c r="H5696">
        <v>-0.05</v>
      </c>
      <c r="I5696">
        <v>9.3982390000000002</v>
      </c>
      <c r="J5696">
        <v>-318.03210000000001</v>
      </c>
      <c r="K5696">
        <v>1.090711</v>
      </c>
      <c r="L5696">
        <v>15.73099</v>
      </c>
      <c r="M5696">
        <v>0.98091439999999996</v>
      </c>
      <c r="N5696">
        <v>0</v>
      </c>
      <c r="O5696">
        <v>-0.19123870000000001</v>
      </c>
      <c r="P5696">
        <v>0.85667669999999996</v>
      </c>
      <c r="Q5696">
        <v>0.128662</v>
      </c>
      <c r="R5696">
        <v>-0.49955100000000002</v>
      </c>
      <c r="S5696">
        <v>2.4990540000000001</v>
      </c>
      <c r="T5696">
        <v>-0.324414799999999</v>
      </c>
      <c r="U5696">
        <v>-1.806335</v>
      </c>
      <c r="V5696">
        <v>0.32830860000000001</v>
      </c>
      <c r="W5696">
        <v>0.15754760000000001</v>
      </c>
      <c r="X5696">
        <v>0.93133889999999997</v>
      </c>
      <c r="Y5696">
        <v>0.41866720000000002</v>
      </c>
      <c r="Z5696">
        <v>-2.5184880000000002E-3</v>
      </c>
      <c r="AA5696">
        <v>0.90813619999999995</v>
      </c>
      <c r="AB5696">
        <v>22</v>
      </c>
      <c r="AC5696">
        <v>8.6897999999999893</v>
      </c>
      <c r="AD5696">
        <v>-1.140711</v>
      </c>
      <c r="AE5696">
        <v>-6.332751</v>
      </c>
      <c r="AF5696">
        <v>4.5022014758506197</v>
      </c>
      <c r="AG5696">
        <v>-1.140711</v>
      </c>
      <c r="AH5696">
        <v>9.6326207342196408</v>
      </c>
      <c r="AI5696">
        <v>96.123380439943006</v>
      </c>
      <c r="AJ5696">
        <v>64.949030450205598</v>
      </c>
      <c r="AK5696">
        <v>10.6938497242102</v>
      </c>
      <c r="AL5696">
        <v>80.935420965860899</v>
      </c>
      <c r="AM5696">
        <v>70.581809038117697</v>
      </c>
      <c r="AN5696">
        <v>0.99999996487646403</v>
      </c>
    </row>
    <row r="5697" spans="1:40" x14ac:dyDescent="0.25">
      <c r="A5697" t="str">
        <f>"20190312172522308"</f>
        <v>20190312172522308</v>
      </c>
      <c r="B5697" t="str">
        <f>"1552382722305851"</f>
        <v>1552382722305851</v>
      </c>
      <c r="C5697" t="s">
        <v>40</v>
      </c>
      <c r="D5697">
        <v>4.1841920000000004</v>
      </c>
      <c r="E5697">
        <v>0.5403789</v>
      </c>
      <c r="F5697" t="s">
        <v>42</v>
      </c>
      <c r="G5697">
        <v>-309.31330000000003</v>
      </c>
      <c r="H5697">
        <v>-0.05</v>
      </c>
      <c r="I5697">
        <v>9.3771360000000001</v>
      </c>
      <c r="J5697">
        <v>-317.93119999999999</v>
      </c>
      <c r="K5697">
        <v>1.0897730000000001</v>
      </c>
      <c r="L5697">
        <v>15.7074</v>
      </c>
      <c r="M5697">
        <v>0.98030450000000002</v>
      </c>
      <c r="N5697">
        <v>0</v>
      </c>
      <c r="O5697">
        <v>-0.1943204</v>
      </c>
      <c r="P5697">
        <v>0.85459769999999902</v>
      </c>
      <c r="Q5697">
        <v>0.12858900000000001</v>
      </c>
      <c r="R5697">
        <v>-0.50311850000000002</v>
      </c>
      <c r="S5697">
        <v>2.4919129999999998</v>
      </c>
      <c r="T5697">
        <v>-0.32602389999999998</v>
      </c>
      <c r="U5697">
        <v>-1.815979</v>
      </c>
      <c r="V5697">
        <v>0.32930179999999998</v>
      </c>
      <c r="W5697">
        <v>0.157489299999999</v>
      </c>
      <c r="X5697">
        <v>0.93099810000000005</v>
      </c>
      <c r="Y5697">
        <v>0.41934709999999997</v>
      </c>
      <c r="Z5697">
        <v>-2.2322890000000001E-3</v>
      </c>
      <c r="AA5697">
        <v>0.9078233</v>
      </c>
      <c r="AB5697">
        <v>22</v>
      </c>
      <c r="AC5697">
        <v>8.6178999999999597</v>
      </c>
      <c r="AD5697">
        <v>-1.1397729999999999</v>
      </c>
      <c r="AE5697">
        <v>-6.3302639999999997</v>
      </c>
      <c r="AF5697">
        <v>4.4828384663494001</v>
      </c>
      <c r="AG5697">
        <v>-1.1397729999999999</v>
      </c>
      <c r="AH5697">
        <v>9.5754923817204904</v>
      </c>
      <c r="AI5697">
        <v>96.152810916538002</v>
      </c>
      <c r="AJ5697">
        <v>64.913004244413102</v>
      </c>
      <c r="AK5697">
        <v>10.6341420697345</v>
      </c>
      <c r="AL5697">
        <v>80.938803937792301</v>
      </c>
      <c r="AM5697">
        <v>70.5208878307796</v>
      </c>
      <c r="AN5697">
        <v>1.00000000865067</v>
      </c>
    </row>
    <row r="5698" spans="1:40" x14ac:dyDescent="0.25">
      <c r="A5698" t="str">
        <f>"20190312172522319"</f>
        <v>20190312172522319</v>
      </c>
      <c r="B5698" t="str">
        <f>"1552382722316588"</f>
        <v>1552382722316588</v>
      </c>
      <c r="C5698" t="s">
        <v>40</v>
      </c>
      <c r="D5698">
        <v>4.1742460000000001</v>
      </c>
      <c r="E5698">
        <v>0.54034510000000002</v>
      </c>
      <c r="F5698" t="s">
        <v>42</v>
      </c>
      <c r="G5698">
        <v>-309.27510000000001</v>
      </c>
      <c r="H5698">
        <v>-0.05</v>
      </c>
      <c r="I5698">
        <v>9.3486940000000001</v>
      </c>
      <c r="J5698">
        <v>-317.822</v>
      </c>
      <c r="K5698">
        <v>1.088743</v>
      </c>
      <c r="L5698">
        <v>15.68158</v>
      </c>
      <c r="M5698">
        <v>0.9796298</v>
      </c>
      <c r="N5698">
        <v>0</v>
      </c>
      <c r="O5698">
        <v>-0.19767850000000001</v>
      </c>
      <c r="P5698">
        <v>0.85262340000000003</v>
      </c>
      <c r="Q5698">
        <v>0.12839110000000001</v>
      </c>
      <c r="R5698">
        <v>-0.50650640000000002</v>
      </c>
      <c r="S5698">
        <v>2.484985</v>
      </c>
      <c r="T5698">
        <v>-0.32720329999999997</v>
      </c>
      <c r="U5698">
        <v>-1.825439</v>
      </c>
      <c r="V5698">
        <v>0.32983699999999999</v>
      </c>
      <c r="W5698">
        <v>0.15728529999999999</v>
      </c>
      <c r="X5698">
        <v>0.93084310000000003</v>
      </c>
      <c r="Y5698">
        <v>0.4196957</v>
      </c>
      <c r="Z5698">
        <v>-1.889862E-3</v>
      </c>
      <c r="AA5698">
        <v>0.90766290000000005</v>
      </c>
      <c r="AB5698">
        <v>21</v>
      </c>
      <c r="AC5698">
        <v>8.5468999999999902</v>
      </c>
      <c r="AD5698">
        <v>-1.1387430000000001</v>
      </c>
      <c r="AE5698">
        <v>-6.3328859999999896</v>
      </c>
      <c r="AF5698">
        <v>4.4659871485675797</v>
      </c>
      <c r="AG5698">
        <v>-1.1387430000000001</v>
      </c>
      <c r="AH5698">
        <v>9.5215724418936301</v>
      </c>
      <c r="AI5698">
        <v>96.179759325203904</v>
      </c>
      <c r="AJ5698">
        <v>64.871599281421197</v>
      </c>
      <c r="AK5698">
        <v>10.5783797718482</v>
      </c>
      <c r="AL5698">
        <v>80.950639658247795</v>
      </c>
      <c r="AM5698">
        <v>70.488615152970794</v>
      </c>
      <c r="AN5698">
        <v>0.99999999449135002</v>
      </c>
    </row>
    <row r="5699" spans="1:40" x14ac:dyDescent="0.25">
      <c r="A5699" t="str">
        <f>"20190312172522331"</f>
        <v>20190312172522331</v>
      </c>
      <c r="B5699" t="str">
        <f>"1552382722326347"</f>
        <v>1552382722326347</v>
      </c>
      <c r="C5699" t="s">
        <v>40</v>
      </c>
      <c r="D5699">
        <v>4.2205309999999896</v>
      </c>
      <c r="E5699">
        <v>0.54025570000000001</v>
      </c>
      <c r="F5699" t="s">
        <v>42</v>
      </c>
      <c r="G5699">
        <v>-309.23759999999999</v>
      </c>
      <c r="H5699">
        <v>-0.05</v>
      </c>
      <c r="I5699">
        <v>9.3241270000000007</v>
      </c>
      <c r="J5699">
        <v>-317.71690000000001</v>
      </c>
      <c r="K5699">
        <v>1.087709</v>
      </c>
      <c r="L5699">
        <v>15.65616</v>
      </c>
      <c r="M5699">
        <v>0.97894720000000002</v>
      </c>
      <c r="N5699">
        <v>0</v>
      </c>
      <c r="O5699">
        <v>-0.2010382</v>
      </c>
      <c r="P5699">
        <v>0.85068779999999999</v>
      </c>
      <c r="Q5699">
        <v>0.12836310000000001</v>
      </c>
      <c r="R5699">
        <v>-0.50975779999999904</v>
      </c>
      <c r="S5699">
        <v>2.4779360000000001</v>
      </c>
      <c r="T5699">
        <v>-0.32870529999999998</v>
      </c>
      <c r="U5699">
        <v>-1.8351139999999999</v>
      </c>
      <c r="V5699">
        <v>0.3302254</v>
      </c>
      <c r="W5699">
        <v>0.1571497</v>
      </c>
      <c r="X5699">
        <v>0.93072829999999995</v>
      </c>
      <c r="Y5699">
        <v>0.4201105</v>
      </c>
      <c r="Z5699">
        <v>-1.5499820000000001E-3</v>
      </c>
      <c r="AA5699">
        <v>0.90747169999999999</v>
      </c>
      <c r="AB5699">
        <v>21</v>
      </c>
      <c r="AC5699">
        <v>8.4793000000000198</v>
      </c>
      <c r="AD5699">
        <v>-1.1377090000000001</v>
      </c>
      <c r="AE5699">
        <v>-6.3320329999999903</v>
      </c>
      <c r="AF5699">
        <v>4.4454857127403704</v>
      </c>
      <c r="AG5699">
        <v>-1.1377090000000001</v>
      </c>
      <c r="AH5699">
        <v>9.4702831031512993</v>
      </c>
      <c r="AI5699">
        <v>96.206480223061803</v>
      </c>
      <c r="AJ5699">
        <v>64.853971045052106</v>
      </c>
      <c r="AK5699">
        <v>10.5234493890878</v>
      </c>
      <c r="AL5699">
        <v>80.958506904140293</v>
      </c>
      <c r="AM5699">
        <v>70.465150973714898</v>
      </c>
      <c r="AN5699">
        <v>1.00000000571807</v>
      </c>
    </row>
    <row r="5700" spans="1:40" x14ac:dyDescent="0.25">
      <c r="A5700" t="str">
        <f>"20190312172522342"</f>
        <v>20190312172522342</v>
      </c>
      <c r="B5700" t="str">
        <f>"1552382722336107"</f>
        <v>1552382722336107</v>
      </c>
      <c r="C5700" t="s">
        <v>40</v>
      </c>
      <c r="D5700">
        <v>4.2129649999999996</v>
      </c>
      <c r="E5700">
        <v>0.54015210000000002</v>
      </c>
      <c r="F5700" t="s">
        <v>42</v>
      </c>
      <c r="G5700">
        <v>-309.18079999999998</v>
      </c>
      <c r="H5700">
        <v>-0.05</v>
      </c>
      <c r="I5700">
        <v>9.2848659999999992</v>
      </c>
      <c r="J5700">
        <v>-317.61200000000002</v>
      </c>
      <c r="K5700">
        <v>1.08666</v>
      </c>
      <c r="L5700">
        <v>15.630579999999901</v>
      </c>
      <c r="M5700">
        <v>0.97824869999999997</v>
      </c>
      <c r="N5700">
        <v>0</v>
      </c>
      <c r="O5700">
        <v>-0.20442389999999999</v>
      </c>
      <c r="P5700">
        <v>0.84880979999999995</v>
      </c>
      <c r="Q5700">
        <v>0.12852469999999999</v>
      </c>
      <c r="R5700">
        <v>-0.51283900000000004</v>
      </c>
      <c r="S5700">
        <v>2.471069</v>
      </c>
      <c r="T5700">
        <v>-0.32934859999999999</v>
      </c>
      <c r="U5700">
        <v>-1.8443909999999999</v>
      </c>
      <c r="V5700">
        <v>0.3304145</v>
      </c>
      <c r="W5700">
        <v>0.15717990000000001</v>
      </c>
      <c r="X5700">
        <v>0.93065609999999999</v>
      </c>
      <c r="Y5700">
        <v>0.4203808</v>
      </c>
      <c r="Z5700">
        <v>-1.191976E-3</v>
      </c>
      <c r="AA5700">
        <v>0.90734700000000001</v>
      </c>
      <c r="AB5700">
        <v>21</v>
      </c>
      <c r="AC5700">
        <v>8.4312000000000396</v>
      </c>
      <c r="AD5700">
        <v>-1.13666</v>
      </c>
      <c r="AE5700">
        <v>-6.3457139999999903</v>
      </c>
      <c r="AF5700">
        <v>4.4354679094737097</v>
      </c>
      <c r="AG5700">
        <v>-1.13666</v>
      </c>
      <c r="AH5700">
        <v>9.4414055204785701</v>
      </c>
      <c r="AI5700">
        <v>96.218730105799196</v>
      </c>
      <c r="AJ5700">
        <v>64.836381054219501</v>
      </c>
      <c r="AK5700">
        <v>10.4931172553104</v>
      </c>
      <c r="AL5700">
        <v>80.956754923885995</v>
      </c>
      <c r="AM5700">
        <v>70.453410822911195</v>
      </c>
      <c r="AN5700">
        <v>1.0000000196207299</v>
      </c>
    </row>
    <row r="5701" spans="1:40" x14ac:dyDescent="0.25">
      <c r="A5701" t="str">
        <f>"20190312172522354"</f>
        <v>20190312172522354</v>
      </c>
      <c r="B5701" t="str">
        <f>"1552382722345867"</f>
        <v>1552382722345867</v>
      </c>
      <c r="C5701" t="s">
        <v>40</v>
      </c>
      <c r="D5701">
        <v>4.2294299999999998</v>
      </c>
      <c r="E5701">
        <v>0.54001469999999996</v>
      </c>
      <c r="F5701" t="s">
        <v>42</v>
      </c>
      <c r="G5701">
        <v>-309.11149999999998</v>
      </c>
      <c r="H5701">
        <v>-0.05</v>
      </c>
      <c r="I5701">
        <v>9.2394409999999993</v>
      </c>
      <c r="J5701">
        <v>-317.5</v>
      </c>
      <c r="K5701">
        <v>1.0854699999999999</v>
      </c>
      <c r="L5701">
        <v>15.602600000000001</v>
      </c>
      <c r="M5701">
        <v>0.97746829999999996</v>
      </c>
      <c r="N5701">
        <v>0</v>
      </c>
      <c r="O5701">
        <v>-0.2081577</v>
      </c>
      <c r="P5701">
        <v>0.84654549999999995</v>
      </c>
      <c r="Q5701">
        <v>0.12880220000000001</v>
      </c>
      <c r="R5701">
        <v>-0.51649860000000003</v>
      </c>
      <c r="S5701">
        <v>2.4646910000000002</v>
      </c>
      <c r="T5701">
        <v>-0.32957110000000001</v>
      </c>
      <c r="U5701">
        <v>-1.8530880000000001</v>
      </c>
      <c r="V5701">
        <v>0.33092199999999999</v>
      </c>
      <c r="W5701">
        <v>0.15718550000000001</v>
      </c>
      <c r="X5701">
        <v>0.93047480000000005</v>
      </c>
      <c r="Y5701">
        <v>0.42011209999999999</v>
      </c>
      <c r="Z5701">
        <v>-7.5995360000000005E-4</v>
      </c>
      <c r="AA5701">
        <v>0.9074719</v>
      </c>
      <c r="AB5701">
        <v>21</v>
      </c>
      <c r="AC5701">
        <v>8.3885000000000201</v>
      </c>
      <c r="AD5701">
        <v>-1.13547</v>
      </c>
      <c r="AE5701">
        <v>-6.3631589999999996</v>
      </c>
      <c r="AF5701">
        <v>4.4249372757824403</v>
      </c>
      <c r="AG5701">
        <v>-1.13547</v>
      </c>
      <c r="AH5701">
        <v>9.4203167353596307</v>
      </c>
      <c r="AI5701">
        <v>96.226225780040394</v>
      </c>
      <c r="AJ5701">
        <v>64.839487004873206</v>
      </c>
      <c r="AK5701">
        <v>10.469562044804199</v>
      </c>
      <c r="AL5701">
        <v>80.956429872480101</v>
      </c>
      <c r="AM5701">
        <v>70.422144844011299</v>
      </c>
      <c r="AN5701">
        <v>1.00000000246464</v>
      </c>
    </row>
    <row r="5702" spans="1:40" x14ac:dyDescent="0.25">
      <c r="A5702" t="str">
        <f>"20190312172522368"</f>
        <v>20190312172522368</v>
      </c>
      <c r="B5702" t="str">
        <f>"1552382722356603"</f>
        <v>1552382722356603</v>
      </c>
      <c r="C5702" t="s">
        <v>40</v>
      </c>
      <c r="D5702">
        <v>4.188148</v>
      </c>
      <c r="E5702">
        <v>0.53993829999999998</v>
      </c>
      <c r="F5702" t="s">
        <v>42</v>
      </c>
      <c r="G5702">
        <v>-309.0324</v>
      </c>
      <c r="H5702">
        <v>-0.05</v>
      </c>
      <c r="I5702">
        <v>9.1826319999999999</v>
      </c>
      <c r="J5702">
        <v>-317.38260000000002</v>
      </c>
      <c r="K5702">
        <v>1.084174</v>
      </c>
      <c r="L5702">
        <v>15.57288</v>
      </c>
      <c r="M5702">
        <v>0.97663650000000002</v>
      </c>
      <c r="N5702">
        <v>0</v>
      </c>
      <c r="O5702">
        <v>-0.21207319999999999</v>
      </c>
      <c r="P5702">
        <v>0.84431259999999997</v>
      </c>
      <c r="Q5702">
        <v>0.1292372</v>
      </c>
      <c r="R5702">
        <v>-0.52003279999999996</v>
      </c>
      <c r="S5702">
        <v>2.4572449999999999</v>
      </c>
      <c r="T5702">
        <v>-0.32950649999999998</v>
      </c>
      <c r="U5702">
        <v>-1.8630370000000001</v>
      </c>
      <c r="V5702">
        <v>0.33113700000000001</v>
      </c>
      <c r="W5702">
        <v>0.15727639999999901</v>
      </c>
      <c r="X5702">
        <v>0.93038299999999996</v>
      </c>
      <c r="Y5702">
        <v>0.42015639999999999</v>
      </c>
      <c r="Z5702">
        <v>-3.2539480000000001E-4</v>
      </c>
      <c r="AA5702">
        <v>0.90745160000000002</v>
      </c>
      <c r="AB5702">
        <v>21</v>
      </c>
      <c r="AC5702">
        <v>8.3502000000000294</v>
      </c>
      <c r="AD5702">
        <v>-1.134174</v>
      </c>
      <c r="AE5702">
        <v>-6.3902479999999997</v>
      </c>
      <c r="AF5702">
        <v>4.4213526247667803</v>
      </c>
      <c r="AG5702">
        <v>-1.134174</v>
      </c>
      <c r="AH5702">
        <v>9.4066073455289807</v>
      </c>
      <c r="AI5702">
        <v>96.227445996722906</v>
      </c>
      <c r="AJ5702">
        <v>64.825242356302894</v>
      </c>
      <c r="AK5702">
        <v>10.455571311399799</v>
      </c>
      <c r="AL5702">
        <v>80.951156548732797</v>
      </c>
      <c r="AM5702">
        <v>70.408607471668205</v>
      </c>
      <c r="AN5702">
        <v>1.0000000527274699</v>
      </c>
    </row>
    <row r="5703" spans="1:40" x14ac:dyDescent="0.25">
      <c r="A5703" t="str">
        <f>"20190312172522380"</f>
        <v>20190312172522380</v>
      </c>
      <c r="B5703" t="str">
        <f>"1552382722376123"</f>
        <v>1552382722376123</v>
      </c>
      <c r="C5703" t="s">
        <v>40</v>
      </c>
      <c r="D5703">
        <v>4.2093389999999999</v>
      </c>
      <c r="E5703">
        <v>0.53976969999999902</v>
      </c>
      <c r="F5703" t="s">
        <v>42</v>
      </c>
      <c r="G5703">
        <v>-308.92349999999999</v>
      </c>
      <c r="H5703">
        <v>-0.05</v>
      </c>
      <c r="I5703">
        <v>9.1061549999999993</v>
      </c>
      <c r="J5703">
        <v>-317.26710000000003</v>
      </c>
      <c r="K5703">
        <v>1.0828500000000001</v>
      </c>
      <c r="L5703">
        <v>15.54318</v>
      </c>
      <c r="M5703">
        <v>0.97580359999999999</v>
      </c>
      <c r="N5703">
        <v>0</v>
      </c>
      <c r="O5703">
        <v>-0.21592810000000001</v>
      </c>
      <c r="P5703">
        <v>0.84215830000000003</v>
      </c>
      <c r="Q5703">
        <v>0.12986019999999901</v>
      </c>
      <c r="R5703">
        <v>-0.52336000000000005</v>
      </c>
      <c r="S5703">
        <v>2.4499209999999998</v>
      </c>
      <c r="T5703">
        <v>-0.32847959999999998</v>
      </c>
      <c r="U5703">
        <v>-1.8728940000000001</v>
      </c>
      <c r="V5703">
        <v>0.33120050000000001</v>
      </c>
      <c r="W5703">
        <v>0.15749299999999999</v>
      </c>
      <c r="X5703">
        <v>0.93032369999999998</v>
      </c>
      <c r="Y5703">
        <v>0.42021720000000001</v>
      </c>
      <c r="Z5703">
        <v>1.0124590000000001E-4</v>
      </c>
      <c r="AA5703">
        <v>0.9074236</v>
      </c>
      <c r="AB5703">
        <v>21</v>
      </c>
      <c r="AC5703">
        <v>8.3436000000000305</v>
      </c>
      <c r="AD5703">
        <v>-1.1328499999999999</v>
      </c>
      <c r="AE5703">
        <v>-6.4370249999999896</v>
      </c>
      <c r="AF5703">
        <v>4.4310976400917799</v>
      </c>
      <c r="AG5703">
        <v>-1.1328499999999999</v>
      </c>
      <c r="AH5703">
        <v>9.4283319921674202</v>
      </c>
      <c r="AI5703">
        <v>96.2061298643508</v>
      </c>
      <c r="AJ5703">
        <v>64.827562543380196</v>
      </c>
      <c r="AK5703">
        <v>10.479094406152401</v>
      </c>
      <c r="AL5703">
        <v>80.938589199171801</v>
      </c>
      <c r="AM5703">
        <v>70.403982840045003</v>
      </c>
      <c r="AN5703">
        <v>1.00000000151547</v>
      </c>
    </row>
    <row r="5704" spans="1:40" x14ac:dyDescent="0.25">
      <c r="A5704" t="str">
        <f>"20190312172522392"</f>
        <v>20190312172522392</v>
      </c>
      <c r="B5704" t="str">
        <f>"1552382722385883"</f>
        <v>1552382722385883</v>
      </c>
      <c r="C5704" t="s">
        <v>40</v>
      </c>
      <c r="D5704">
        <v>4.2070919999999896</v>
      </c>
      <c r="E5704">
        <v>0.539636</v>
      </c>
      <c r="F5704" t="s">
        <v>42</v>
      </c>
      <c r="G5704">
        <v>-308.81900000000002</v>
      </c>
      <c r="H5704">
        <v>-0.05</v>
      </c>
      <c r="I5704">
        <v>9.0373230000000007</v>
      </c>
      <c r="J5704">
        <v>-317.15859999999998</v>
      </c>
      <c r="K5704">
        <v>1.0815589999999999</v>
      </c>
      <c r="L5704">
        <v>15.514530000000001</v>
      </c>
      <c r="M5704">
        <v>0.9750162</v>
      </c>
      <c r="N5704">
        <v>0</v>
      </c>
      <c r="O5704">
        <v>-0.21952169999999999</v>
      </c>
      <c r="P5704">
        <v>0.84006719999999901</v>
      </c>
      <c r="Q5704">
        <v>0.13024759999999999</v>
      </c>
      <c r="R5704">
        <v>-0.52661440000000004</v>
      </c>
      <c r="S5704">
        <v>2.4434200000000001</v>
      </c>
      <c r="T5704">
        <v>-0.32765309999999997</v>
      </c>
      <c r="U5704">
        <v>-1.881683</v>
      </c>
      <c r="V5704">
        <v>0.33142470000000002</v>
      </c>
      <c r="W5704">
        <v>0.15740589999999999</v>
      </c>
      <c r="X5704">
        <v>0.93025860000000005</v>
      </c>
      <c r="Y5704">
        <v>0.42011910000000002</v>
      </c>
      <c r="Z5704">
        <v>5.0623529999999995E-4</v>
      </c>
      <c r="AA5704">
        <v>0.90746879999999996</v>
      </c>
      <c r="AB5704">
        <v>21</v>
      </c>
      <c r="AC5704">
        <v>8.3395999999999599</v>
      </c>
      <c r="AD5704">
        <v>-1.131559</v>
      </c>
      <c r="AE5704">
        <v>-6.4772069999999999</v>
      </c>
      <c r="AF5704">
        <v>4.4363041693562204</v>
      </c>
      <c r="AG5704">
        <v>-1.131559</v>
      </c>
      <c r="AH5704">
        <v>9.4501289535778401</v>
      </c>
      <c r="AI5704">
        <v>96.1861839686606</v>
      </c>
      <c r="AJ5704">
        <v>64.852584424621497</v>
      </c>
      <c r="AK5704">
        <v>10.5007693857535</v>
      </c>
      <c r="AL5704">
        <v>80.943642734503698</v>
      </c>
      <c r="AM5704">
        <v>70.390461609229504</v>
      </c>
      <c r="AN5704">
        <v>1.0000000059994201</v>
      </c>
    </row>
    <row r="5705" spans="1:40" x14ac:dyDescent="0.25">
      <c r="A5705" t="str">
        <f>"20190312172522409"</f>
        <v>20190312172522409</v>
      </c>
      <c r="B5705" t="str">
        <f>"1552382722406379"</f>
        <v>1552382722406379</v>
      </c>
      <c r="C5705" t="s">
        <v>40</v>
      </c>
      <c r="D5705">
        <v>4.2107320000000001</v>
      </c>
      <c r="E5705">
        <v>0.5395316</v>
      </c>
      <c r="F5705" t="s">
        <v>42</v>
      </c>
      <c r="G5705">
        <v>-308.71890000000002</v>
      </c>
      <c r="H5705">
        <v>-0.05</v>
      </c>
      <c r="I5705">
        <v>8.9659270000000006</v>
      </c>
      <c r="J5705">
        <v>-317.0052</v>
      </c>
      <c r="K5705">
        <v>1.0797270000000001</v>
      </c>
      <c r="L5705">
        <v>15.473420000000001</v>
      </c>
      <c r="M5705">
        <v>0.97387729999999995</v>
      </c>
      <c r="N5705">
        <v>0</v>
      </c>
      <c r="O5705">
        <v>-0.22462399999999999</v>
      </c>
      <c r="P5705">
        <v>0.83733169999999901</v>
      </c>
      <c r="Q5705">
        <v>0.13107360000000001</v>
      </c>
      <c r="R5705">
        <v>-0.5307499</v>
      </c>
      <c r="S5705">
        <v>2.4366150000000002</v>
      </c>
      <c r="T5705">
        <v>-0.32669350000000003</v>
      </c>
      <c r="U5705">
        <v>-1.8906559999999999</v>
      </c>
      <c r="V5705">
        <v>0.33121450000000002</v>
      </c>
      <c r="W5705">
        <v>0.15751089999999901</v>
      </c>
      <c r="X5705">
        <v>0.93031569999999997</v>
      </c>
      <c r="Y5705">
        <v>0.41872749999999997</v>
      </c>
      <c r="Z5705">
        <v>1.1532809999999999E-3</v>
      </c>
      <c r="AA5705">
        <v>0.90811120000000001</v>
      </c>
      <c r="AB5705">
        <v>21</v>
      </c>
      <c r="AC5705">
        <v>8.2862999999999793</v>
      </c>
      <c r="AD5705">
        <v>-1.1297269999999999</v>
      </c>
      <c r="AE5705">
        <v>-6.5074930000000002</v>
      </c>
      <c r="AF5705">
        <v>4.4277716091722397</v>
      </c>
      <c r="AG5705">
        <v>-1.1297269999999999</v>
      </c>
      <c r="AH5705">
        <v>9.4284601189932609</v>
      </c>
      <c r="AI5705">
        <v>96.189919418743102</v>
      </c>
      <c r="AJ5705">
        <v>64.844419852695196</v>
      </c>
      <c r="AK5705">
        <v>10.4774665226364</v>
      </c>
      <c r="AL5705">
        <v>80.937550766736294</v>
      </c>
      <c r="AM5705">
        <v>70.403061933425903</v>
      </c>
      <c r="AN5705">
        <v>1.0000000151477699</v>
      </c>
    </row>
    <row r="5706" spans="1:40" x14ac:dyDescent="0.25">
      <c r="A5706" t="str">
        <f>"20190312172522420"</f>
        <v>20190312172522420</v>
      </c>
      <c r="B5706" t="str">
        <f>"1552382722416139"</f>
        <v>1552382722416139</v>
      </c>
      <c r="C5706" t="s">
        <v>40</v>
      </c>
      <c r="D5706">
        <v>4.2091649999999996</v>
      </c>
      <c r="E5706">
        <v>0.53941490000000003</v>
      </c>
      <c r="F5706" t="s">
        <v>42</v>
      </c>
      <c r="G5706">
        <v>-308.55130000000003</v>
      </c>
      <c r="H5706">
        <v>-0.05</v>
      </c>
      <c r="I5706">
        <v>8.8490909999999996</v>
      </c>
      <c r="J5706">
        <v>-316.90210000000002</v>
      </c>
      <c r="K5706">
        <v>1.0785</v>
      </c>
      <c r="L5706">
        <v>15.445309999999999</v>
      </c>
      <c r="M5706">
        <v>0.97309290000000004</v>
      </c>
      <c r="N5706">
        <v>0</v>
      </c>
      <c r="O5706">
        <v>-0.2280742</v>
      </c>
      <c r="P5706">
        <v>0.83534900000000001</v>
      </c>
      <c r="Q5706">
        <v>0.13165279999999999</v>
      </c>
      <c r="R5706">
        <v>-0.53372299999999995</v>
      </c>
      <c r="S5706">
        <v>2.4277950000000001</v>
      </c>
      <c r="T5706">
        <v>-0.32443499999999997</v>
      </c>
      <c r="U5706">
        <v>-1.902374</v>
      </c>
      <c r="V5706">
        <v>0.33126660000000002</v>
      </c>
      <c r="W5706">
        <v>0.15756129999999999</v>
      </c>
      <c r="X5706">
        <v>0.93028860000000002</v>
      </c>
      <c r="Y5706">
        <v>0.41985670000000003</v>
      </c>
      <c r="Z5706">
        <v>1.4588610000000001E-3</v>
      </c>
      <c r="AA5706">
        <v>0.90758930000000004</v>
      </c>
      <c r="AB5706">
        <v>21</v>
      </c>
      <c r="AC5706">
        <v>8.3507999999999907</v>
      </c>
      <c r="AD5706">
        <v>-1.1285000000000001</v>
      </c>
      <c r="AE5706">
        <v>-6.5962189999999996</v>
      </c>
      <c r="AF5706">
        <v>4.4663279207404099</v>
      </c>
      <c r="AG5706">
        <v>-1.1285000000000001</v>
      </c>
      <c r="AH5706">
        <v>9.52854579023486</v>
      </c>
      <c r="AI5706">
        <v>96.120866462385905</v>
      </c>
      <c r="AJ5706">
        <v>64.886042230968897</v>
      </c>
      <c r="AK5706">
        <v>10.583703615568</v>
      </c>
      <c r="AL5706">
        <v>80.934626419837798</v>
      </c>
      <c r="AM5706">
        <v>70.399686793802204</v>
      </c>
      <c r="AN5706">
        <v>1.0000000014115999</v>
      </c>
    </row>
    <row r="5707" spans="1:40" x14ac:dyDescent="0.25">
      <c r="A5707" t="str">
        <f>"20190312172522432"</f>
        <v>20190312172522432</v>
      </c>
      <c r="B5707" t="str">
        <f>"1552382722425899"</f>
        <v>1552382722425899</v>
      </c>
      <c r="C5707" t="s">
        <v>40</v>
      </c>
      <c r="D5707">
        <v>4.1957190000000004</v>
      </c>
      <c r="E5707">
        <v>0.5393038</v>
      </c>
      <c r="F5707" t="s">
        <v>42</v>
      </c>
      <c r="G5707">
        <v>-308.43720000000002</v>
      </c>
      <c r="H5707">
        <v>-0.05</v>
      </c>
      <c r="I5707">
        <v>8.7665249999999997</v>
      </c>
      <c r="J5707">
        <v>-316.79689999999999</v>
      </c>
      <c r="K5707">
        <v>1.0773029999999999</v>
      </c>
      <c r="L5707">
        <v>15.41592</v>
      </c>
      <c r="M5707">
        <v>0.97224600000000005</v>
      </c>
      <c r="N5707">
        <v>0</v>
      </c>
      <c r="O5707">
        <v>-0.2317447</v>
      </c>
      <c r="P5707">
        <v>0.83331619999999995</v>
      </c>
      <c r="Q5707">
        <v>0.13203319999999999</v>
      </c>
      <c r="R5707">
        <v>-0.53679750000000004</v>
      </c>
      <c r="S5707">
        <v>2.4215089999999999</v>
      </c>
      <c r="T5707">
        <v>-0.32282189999999999</v>
      </c>
      <c r="U5707">
        <v>-1.9105529999999999</v>
      </c>
      <c r="V5707">
        <v>0.3311904</v>
      </c>
      <c r="W5707">
        <v>0.15738189999999999</v>
      </c>
      <c r="X5707">
        <v>0.93034609999999995</v>
      </c>
      <c r="Y5707">
        <v>0.41950300000000001</v>
      </c>
      <c r="Z5707">
        <v>1.8751079999999999E-3</v>
      </c>
      <c r="AA5707">
        <v>0.907752</v>
      </c>
      <c r="AB5707">
        <v>21</v>
      </c>
      <c r="AC5707">
        <v>8.3596999999999699</v>
      </c>
      <c r="AD5707">
        <v>-1.1273029999999999</v>
      </c>
      <c r="AE5707">
        <v>-6.6493950000000002</v>
      </c>
      <c r="AF5707">
        <v>4.4799727546491201</v>
      </c>
      <c r="AG5707">
        <v>-1.1273029999999999</v>
      </c>
      <c r="AH5707">
        <v>9.5670841009141405</v>
      </c>
      <c r="AI5707">
        <v>96.091051192729495</v>
      </c>
      <c r="AJ5707">
        <v>64.907745010306101</v>
      </c>
      <c r="AK5707">
        <v>10.624032479721199</v>
      </c>
      <c r="AL5707">
        <v>80.945035176499402</v>
      </c>
      <c r="AM5707">
        <v>70.404970765027301</v>
      </c>
      <c r="AN5707">
        <v>1.0000000046424899</v>
      </c>
    </row>
    <row r="5708" spans="1:40" x14ac:dyDescent="0.25">
      <c r="A5708" t="str">
        <f>"20190312172522443"</f>
        <v>20190312172522443</v>
      </c>
      <c r="B5708" t="str">
        <f>"1552382722436635"</f>
        <v>1552382722436635</v>
      </c>
      <c r="C5708" t="s">
        <v>40</v>
      </c>
      <c r="D5708">
        <v>4.197794</v>
      </c>
      <c r="E5708">
        <v>0.53918999999999995</v>
      </c>
      <c r="F5708" t="s">
        <v>42</v>
      </c>
      <c r="G5708">
        <v>-308.3451</v>
      </c>
      <c r="H5708">
        <v>-0.05</v>
      </c>
      <c r="I5708">
        <v>8.7000729999999997</v>
      </c>
      <c r="J5708">
        <v>-316.69850000000002</v>
      </c>
      <c r="K5708">
        <v>1.0762</v>
      </c>
      <c r="L5708">
        <v>15.388210000000001</v>
      </c>
      <c r="M5708">
        <v>0.9714296</v>
      </c>
      <c r="N5708">
        <v>0</v>
      </c>
      <c r="O5708">
        <v>-0.2352236</v>
      </c>
      <c r="P5708">
        <v>0.83124940000000003</v>
      </c>
      <c r="Q5708">
        <v>0.13270989999999999</v>
      </c>
      <c r="R5708">
        <v>-0.53982659999999905</v>
      </c>
      <c r="S5708">
        <v>2.4149780000000001</v>
      </c>
      <c r="T5708">
        <v>-0.32210860000000002</v>
      </c>
      <c r="U5708">
        <v>-1.9189449999999999</v>
      </c>
      <c r="V5708">
        <v>0.33126349999999999</v>
      </c>
      <c r="W5708">
        <v>0.15753020000000001</v>
      </c>
      <c r="X5708">
        <v>0.93029499999999998</v>
      </c>
      <c r="Y5708">
        <v>0.41941010000000001</v>
      </c>
      <c r="Z5708">
        <v>2.257528E-3</v>
      </c>
      <c r="AA5708">
        <v>0.90779410000000005</v>
      </c>
      <c r="AB5708">
        <v>21</v>
      </c>
      <c r="AC5708">
        <v>8.3534000000000201</v>
      </c>
      <c r="AD5708">
        <v>-1.1262000000000001</v>
      </c>
      <c r="AE5708">
        <v>-6.6881370000000002</v>
      </c>
      <c r="AF5708">
        <v>4.4847193843567004</v>
      </c>
      <c r="AG5708">
        <v>-1.1262000000000001</v>
      </c>
      <c r="AH5708">
        <v>9.5865863372399396</v>
      </c>
      <c r="AI5708">
        <v>96.073908413808397</v>
      </c>
      <c r="AJ5708">
        <v>64.929246515351096</v>
      </c>
      <c r="AK5708">
        <v>10.643480257781199</v>
      </c>
      <c r="AL5708">
        <v>80.936431102172605</v>
      </c>
      <c r="AM5708">
        <v>70.399980799338095</v>
      </c>
      <c r="AN5708">
        <v>1.00000002868464</v>
      </c>
    </row>
    <row r="5709" spans="1:40" x14ac:dyDescent="0.25">
      <c r="A5709" t="str">
        <f>"20190312172522454"</f>
        <v>20190312172522454</v>
      </c>
      <c r="B5709" t="str">
        <f>"1552382722446395"</f>
        <v>1552382722446395</v>
      </c>
      <c r="C5709" t="s">
        <v>40</v>
      </c>
      <c r="D5709">
        <v>4.2077589999999896</v>
      </c>
      <c r="E5709">
        <v>0.53905769999999997</v>
      </c>
      <c r="F5709" t="s">
        <v>42</v>
      </c>
      <c r="G5709">
        <v>-308.23009999999999</v>
      </c>
      <c r="H5709">
        <v>-0.05</v>
      </c>
      <c r="I5709">
        <v>8.6136020000000002</v>
      </c>
      <c r="J5709">
        <v>-316.60039999999998</v>
      </c>
      <c r="K5709">
        <v>1.0751520000000001</v>
      </c>
      <c r="L5709">
        <v>15.35999</v>
      </c>
      <c r="M5709">
        <v>0.97055999999999998</v>
      </c>
      <c r="N5709">
        <v>0</v>
      </c>
      <c r="O5709">
        <v>-0.23886789999999999</v>
      </c>
      <c r="P5709">
        <v>0.82904979999999995</v>
      </c>
      <c r="Q5709">
        <v>0.13332469999999999</v>
      </c>
      <c r="R5709">
        <v>-0.54304799999999998</v>
      </c>
      <c r="S5709">
        <v>2.4087830000000001</v>
      </c>
      <c r="T5709">
        <v>-0.3203413</v>
      </c>
      <c r="U5709">
        <v>-1.9270020000000001</v>
      </c>
      <c r="V5709">
        <v>0.3313797</v>
      </c>
      <c r="W5709">
        <v>0.15762300000000001</v>
      </c>
      <c r="X5709">
        <v>0.93023789999999995</v>
      </c>
      <c r="Y5709">
        <v>0.4190294</v>
      </c>
      <c r="Z5709">
        <v>2.6645900000000001E-3</v>
      </c>
      <c r="AA5709">
        <v>0.90796880000000002</v>
      </c>
      <c r="AB5709">
        <v>21</v>
      </c>
      <c r="AC5709">
        <v>8.3702999999999808</v>
      </c>
      <c r="AD5709">
        <v>-1.1251519999999999</v>
      </c>
      <c r="AE5709">
        <v>-6.7463879999999996</v>
      </c>
      <c r="AF5709">
        <v>4.50124793601936</v>
      </c>
      <c r="AG5709">
        <v>-1.1251519999999999</v>
      </c>
      <c r="AH5709">
        <v>9.6344956979528593</v>
      </c>
      <c r="AI5709">
        <v>96.039750711891202</v>
      </c>
      <c r="AJ5709">
        <v>64.957962248063296</v>
      </c>
      <c r="AK5709">
        <v>10.6934890170839</v>
      </c>
      <c r="AL5709">
        <v>80.931046827304499</v>
      </c>
      <c r="AM5709">
        <v>70.392518049022698</v>
      </c>
      <c r="AN5709">
        <v>1.00000003314874</v>
      </c>
    </row>
    <row r="5710" spans="1:40" x14ac:dyDescent="0.25">
      <c r="A5710" t="str">
        <f>"20190312172522465"</f>
        <v>20190312172522465</v>
      </c>
      <c r="B5710" t="str">
        <f>"1552382722456155"</f>
        <v>1552382722456155</v>
      </c>
      <c r="C5710" t="s">
        <v>40</v>
      </c>
      <c r="D5710">
        <v>4.2095529999999997</v>
      </c>
      <c r="E5710">
        <v>0.53892359999999995</v>
      </c>
      <c r="F5710" t="s">
        <v>42</v>
      </c>
      <c r="G5710">
        <v>-308.12939999999998</v>
      </c>
      <c r="H5710">
        <v>-0.05</v>
      </c>
      <c r="I5710">
        <v>8.5345460000000006</v>
      </c>
      <c r="J5710">
        <v>-316.49970000000002</v>
      </c>
      <c r="K5710">
        <v>1.0740889999999901</v>
      </c>
      <c r="L5710">
        <v>15.330719999999999</v>
      </c>
      <c r="M5710">
        <v>0.96963580000000005</v>
      </c>
      <c r="N5710">
        <v>0</v>
      </c>
      <c r="O5710">
        <v>-0.242673</v>
      </c>
      <c r="P5710">
        <v>0.82669369999999998</v>
      </c>
      <c r="Q5710">
        <v>0.13389799999999999</v>
      </c>
      <c r="R5710">
        <v>-0.54648750000000001</v>
      </c>
      <c r="S5710">
        <v>2.4021300000000001</v>
      </c>
      <c r="T5710">
        <v>-0.31905850000000002</v>
      </c>
      <c r="U5710">
        <v>-1.935486</v>
      </c>
      <c r="V5710">
        <v>0.33159040000000001</v>
      </c>
      <c r="W5710">
        <v>0.1576601</v>
      </c>
      <c r="X5710">
        <v>0.93015650000000005</v>
      </c>
      <c r="Y5710">
        <v>0.4186744</v>
      </c>
      <c r="Z5710">
        <v>3.087949E-3</v>
      </c>
      <c r="AA5710">
        <v>0.90813109999999997</v>
      </c>
      <c r="AB5710">
        <v>21</v>
      </c>
      <c r="AC5710">
        <v>8.3703000000000394</v>
      </c>
      <c r="AD5710">
        <v>-1.1240889999999999</v>
      </c>
      <c r="AE5710">
        <v>-6.7961739999999997</v>
      </c>
      <c r="AF5710">
        <v>4.5116186352106</v>
      </c>
      <c r="AG5710">
        <v>-1.1240889999999999</v>
      </c>
      <c r="AH5710">
        <v>9.6648156925664299</v>
      </c>
      <c r="AI5710">
        <v>96.016194815530696</v>
      </c>
      <c r="AJ5710">
        <v>64.976431177507195</v>
      </c>
      <c r="AK5710">
        <v>10.7250613593013</v>
      </c>
      <c r="AL5710">
        <v>80.928894004211102</v>
      </c>
      <c r="AM5710">
        <v>70.379416923985104</v>
      </c>
      <c r="AN5710">
        <v>1.0000000074982101</v>
      </c>
    </row>
    <row r="5711" spans="1:40" x14ac:dyDescent="0.25">
      <c r="A5711" t="str">
        <f>"20190312172522475"</f>
        <v>20190312172522475</v>
      </c>
      <c r="B5711" t="str">
        <f>"1552382722465916"</f>
        <v>1552382722465916</v>
      </c>
      <c r="C5711" t="s">
        <v>40</v>
      </c>
      <c r="D5711">
        <v>4.2171440000000002</v>
      </c>
      <c r="E5711">
        <v>0.53876769999999996</v>
      </c>
      <c r="F5711" t="s">
        <v>42</v>
      </c>
      <c r="G5711">
        <v>-308.0213</v>
      </c>
      <c r="H5711">
        <v>-0.05</v>
      </c>
      <c r="I5711">
        <v>8.4473269999999996</v>
      </c>
      <c r="J5711">
        <v>-316.40449999999998</v>
      </c>
      <c r="K5711">
        <v>1.073121</v>
      </c>
      <c r="L5711">
        <v>15.30261</v>
      </c>
      <c r="M5711">
        <v>0.96872250000000004</v>
      </c>
      <c r="N5711">
        <v>0</v>
      </c>
      <c r="O5711">
        <v>-0.24636749999999999</v>
      </c>
      <c r="P5711">
        <v>0.82439089999999904</v>
      </c>
      <c r="Q5711">
        <v>0.13440539999999901</v>
      </c>
      <c r="R5711">
        <v>-0.54983119999999996</v>
      </c>
      <c r="S5711">
        <v>2.3949889999999998</v>
      </c>
      <c r="T5711">
        <v>-0.31753389999999998</v>
      </c>
      <c r="U5711">
        <v>-1.9444269999999999</v>
      </c>
      <c r="V5711">
        <v>0.33180300000000001</v>
      </c>
      <c r="W5711">
        <v>0.157662</v>
      </c>
      <c r="X5711">
        <v>0.93008040000000003</v>
      </c>
      <c r="Y5711">
        <v>0.41861320000000002</v>
      </c>
      <c r="Z5711">
        <v>3.4766829999999999E-3</v>
      </c>
      <c r="AA5711">
        <v>0.90815789999999996</v>
      </c>
      <c r="AB5711">
        <v>20</v>
      </c>
      <c r="AC5711">
        <v>8.3831999999999791</v>
      </c>
      <c r="AD5711">
        <v>-1.12312099999999</v>
      </c>
      <c r="AE5711">
        <v>-6.855283</v>
      </c>
      <c r="AF5711">
        <v>4.5288204050570799</v>
      </c>
      <c r="AG5711">
        <v>-1.12312099999999</v>
      </c>
      <c r="AH5711">
        <v>9.7097918993691508</v>
      </c>
      <c r="AI5711">
        <v>95.984300269695495</v>
      </c>
      <c r="AJ5711">
        <v>64.994813631361893</v>
      </c>
      <c r="AK5711">
        <v>10.7727282417666</v>
      </c>
      <c r="AL5711">
        <v>80.928784095183502</v>
      </c>
      <c r="AM5711">
        <v>70.366315136670195</v>
      </c>
      <c r="AN5711">
        <v>1.0000000437585701</v>
      </c>
    </row>
    <row r="5712" spans="1:40" x14ac:dyDescent="0.25">
      <c r="A5712" t="str">
        <f>"20190312172522487"</f>
        <v>20190312172522487</v>
      </c>
      <c r="B5712" t="str">
        <f>"1552382722476652"</f>
        <v>1552382722476652</v>
      </c>
      <c r="C5712" t="s">
        <v>40</v>
      </c>
      <c r="D5712">
        <v>4.2168549999999998</v>
      </c>
      <c r="E5712">
        <v>0.53876769999999996</v>
      </c>
      <c r="F5712" t="s">
        <v>42</v>
      </c>
      <c r="G5712">
        <v>-307.9316</v>
      </c>
      <c r="H5712">
        <v>-0.05</v>
      </c>
      <c r="I5712">
        <v>8.3723600000000005</v>
      </c>
      <c r="J5712">
        <v>-316.30869999999999</v>
      </c>
      <c r="K5712">
        <v>1.0721560000000001</v>
      </c>
      <c r="L5712">
        <v>15.273899999999999</v>
      </c>
      <c r="M5712">
        <v>0.96777769999999996</v>
      </c>
      <c r="N5712">
        <v>0</v>
      </c>
      <c r="O5712">
        <v>-0.25012600000000001</v>
      </c>
      <c r="P5712">
        <v>0.82194259999999997</v>
      </c>
      <c r="Q5712">
        <v>0.13515569999999999</v>
      </c>
      <c r="R5712">
        <v>-0.55330269999999904</v>
      </c>
      <c r="S5712">
        <v>2.3879700000000001</v>
      </c>
      <c r="T5712">
        <v>-0.31653520000000002</v>
      </c>
      <c r="U5712">
        <v>-1.9531860000000001</v>
      </c>
      <c r="V5712">
        <v>0.3321249</v>
      </c>
      <c r="W5712">
        <v>0.15789139999999999</v>
      </c>
      <c r="X5712">
        <v>0.92992660000000005</v>
      </c>
      <c r="Y5712">
        <v>0.4184216</v>
      </c>
      <c r="Z5712">
        <v>3.8825940000000001E-3</v>
      </c>
      <c r="AA5712">
        <v>0.90824459999999996</v>
      </c>
      <c r="AB5712">
        <v>20</v>
      </c>
      <c r="AC5712">
        <v>8.3770999999999791</v>
      </c>
      <c r="AD5712">
        <v>-1.1221559999999999</v>
      </c>
      <c r="AE5712">
        <v>-6.90153999999999</v>
      </c>
      <c r="AF5712">
        <v>4.5372614306256098</v>
      </c>
      <c r="AG5712">
        <v>-1.1221559999999999</v>
      </c>
      <c r="AH5712">
        <v>9.7335328169856599</v>
      </c>
      <c r="AI5712">
        <v>95.965330613433196</v>
      </c>
      <c r="AJ5712">
        <v>65.007540588425499</v>
      </c>
      <c r="AK5712">
        <v>10.797575490706899</v>
      </c>
      <c r="AL5712">
        <v>80.915473899839597</v>
      </c>
      <c r="AM5712">
        <v>70.345724744808393</v>
      </c>
      <c r="AN5712">
        <v>1.0000000623907599</v>
      </c>
    </row>
    <row r="5713" spans="1:40" x14ac:dyDescent="0.25">
      <c r="A5713" t="str">
        <f>"20190312172522499"</f>
        <v>20190312172522499</v>
      </c>
      <c r="B5713" t="str">
        <f>"1552382722486411"</f>
        <v>1552382722486411</v>
      </c>
      <c r="C5713" t="s">
        <v>40</v>
      </c>
      <c r="D5713">
        <v>4.2068680000000001</v>
      </c>
      <c r="E5713">
        <v>0.5340857</v>
      </c>
      <c r="F5713" t="s">
        <v>42</v>
      </c>
      <c r="G5713">
        <v>-307.80880000000002</v>
      </c>
      <c r="H5713">
        <v>-0.05</v>
      </c>
      <c r="I5713">
        <v>8.2600099999999994</v>
      </c>
      <c r="J5713">
        <v>-316.20870000000002</v>
      </c>
      <c r="K5713">
        <v>1.071164</v>
      </c>
      <c r="L5713">
        <v>15.2435299999999</v>
      </c>
      <c r="M5713">
        <v>0.96676709999999999</v>
      </c>
      <c r="N5713">
        <v>0</v>
      </c>
      <c r="O5713">
        <v>-0.254075299999999</v>
      </c>
      <c r="P5713">
        <v>0.81939830000000002</v>
      </c>
      <c r="Q5713">
        <v>0.1360005</v>
      </c>
      <c r="R5713">
        <v>-0.55685759999999995</v>
      </c>
      <c r="S5713">
        <v>2.3796689999999998</v>
      </c>
      <c r="T5713">
        <v>-0.3141659</v>
      </c>
      <c r="U5713">
        <v>-1.963654</v>
      </c>
      <c r="V5713">
        <v>0.33237519999999998</v>
      </c>
      <c r="W5713">
        <v>0.15818750000000001</v>
      </c>
      <c r="X5713">
        <v>0.92978669999999997</v>
      </c>
      <c r="Y5713">
        <v>0.41868070000000002</v>
      </c>
      <c r="Z5713">
        <v>4.2624270000000001E-3</v>
      </c>
      <c r="AA5713">
        <v>0.90812349999999997</v>
      </c>
      <c r="AB5713">
        <v>20</v>
      </c>
      <c r="AC5713">
        <v>8.3999000000000006</v>
      </c>
      <c r="AD5713">
        <v>-1.121164</v>
      </c>
      <c r="AE5713">
        <v>-6.9835199999999897</v>
      </c>
      <c r="AF5713">
        <v>4.5709440491667097</v>
      </c>
      <c r="AG5713">
        <v>-1.121164</v>
      </c>
      <c r="AH5713">
        <v>9.7958919068969905</v>
      </c>
      <c r="AI5713">
        <v>95.921363775868002</v>
      </c>
      <c r="AJ5713">
        <v>64.985374405404599</v>
      </c>
      <c r="AK5713">
        <v>10.8678441499277</v>
      </c>
      <c r="AL5713">
        <v>80.898291514323702</v>
      </c>
      <c r="AM5713">
        <v>70.329316516153597</v>
      </c>
      <c r="AN5713">
        <v>0.99999993311408697</v>
      </c>
    </row>
    <row r="5714" spans="1:40" x14ac:dyDescent="0.25">
      <c r="A5714" t="str">
        <f>"20190312172522510"</f>
        <v>20190312172522510</v>
      </c>
      <c r="B5714" t="str">
        <f>"1552382722505932"</f>
        <v>1552382722505932</v>
      </c>
      <c r="C5714" t="s">
        <v>40</v>
      </c>
      <c r="D5714">
        <v>4.1996469999999997</v>
      </c>
      <c r="E5714">
        <v>0.53431839999999997</v>
      </c>
      <c r="F5714" t="s">
        <v>42</v>
      </c>
      <c r="G5714">
        <v>-307.87189999999998</v>
      </c>
      <c r="H5714">
        <v>-0.05</v>
      </c>
      <c r="I5714">
        <v>8.4725950000000001</v>
      </c>
      <c r="J5714">
        <v>-316.10480000000001</v>
      </c>
      <c r="K5714">
        <v>1.070152</v>
      </c>
      <c r="L5714">
        <v>15.2113</v>
      </c>
      <c r="M5714">
        <v>0.96570029999999996</v>
      </c>
      <c r="N5714">
        <v>0</v>
      </c>
      <c r="O5714">
        <v>-0.25817129999999999</v>
      </c>
      <c r="P5714">
        <v>0.81664289999999995</v>
      </c>
      <c r="Q5714">
        <v>0.13715169999999999</v>
      </c>
      <c r="R5714">
        <v>-0.56061039999999995</v>
      </c>
      <c r="S5714">
        <v>2.3935240000000002</v>
      </c>
      <c r="T5714">
        <v>-0.32189139999999999</v>
      </c>
      <c r="U5714">
        <v>-1.94397</v>
      </c>
      <c r="V5714">
        <v>0.33274619999999999</v>
      </c>
      <c r="W5714">
        <v>0.15874829999999901</v>
      </c>
      <c r="X5714">
        <v>0.92955849999999995</v>
      </c>
      <c r="Y5714">
        <v>0.40777570000000002</v>
      </c>
      <c r="Z5714">
        <v>5.4503379999999999E-3</v>
      </c>
      <c r="AA5714">
        <v>0.91306589999999999</v>
      </c>
      <c r="AB5714">
        <v>20</v>
      </c>
      <c r="AC5714">
        <v>8.2329000000000292</v>
      </c>
      <c r="AD5714">
        <v>-1.120152</v>
      </c>
      <c r="AE5714">
        <v>-6.7387050000000004</v>
      </c>
      <c r="AF5714">
        <v>4.3356981324767299</v>
      </c>
      <c r="AG5714">
        <v>-1.120152</v>
      </c>
      <c r="AH5714">
        <v>9.58770811838321</v>
      </c>
      <c r="AI5714">
        <v>96.076440884050498</v>
      </c>
      <c r="AJ5714">
        <v>65.666839811390403</v>
      </c>
      <c r="AK5714">
        <v>10.581926372942499</v>
      </c>
      <c r="AL5714">
        <v>80.865749731903307</v>
      </c>
      <c r="AM5714">
        <v>70.304585464213801</v>
      </c>
      <c r="AN5714">
        <v>1.00000003064478</v>
      </c>
    </row>
    <row r="5715" spans="1:40" x14ac:dyDescent="0.25">
      <c r="A5715" t="str">
        <f>"20190312172522520"</f>
        <v>20190312172522520</v>
      </c>
      <c r="B5715" t="str">
        <f>"1552382722516667"</f>
        <v>1552382722516667</v>
      </c>
      <c r="C5715" t="s">
        <v>40</v>
      </c>
      <c r="D5715">
        <v>4.2108129999999999</v>
      </c>
      <c r="E5715">
        <v>0.53427789999999997</v>
      </c>
      <c r="F5715" t="s">
        <v>42</v>
      </c>
      <c r="G5715">
        <v>-307.68680000000001</v>
      </c>
      <c r="H5715">
        <v>-0.05</v>
      </c>
      <c r="I5715">
        <v>8.3007050000000007</v>
      </c>
      <c r="J5715">
        <v>-316.01130000000001</v>
      </c>
      <c r="K5715">
        <v>1.06925</v>
      </c>
      <c r="L5715">
        <v>15.182130000000001</v>
      </c>
      <c r="M5715">
        <v>0.96472670000000005</v>
      </c>
      <c r="N5715">
        <v>0</v>
      </c>
      <c r="O5715">
        <v>-0.26184780000000002</v>
      </c>
      <c r="P5715">
        <v>0.81422299999999903</v>
      </c>
      <c r="Q5715">
        <v>0.13814290000000001</v>
      </c>
      <c r="R5715">
        <v>-0.56387779999999998</v>
      </c>
      <c r="S5715">
        <v>2.3836059999999999</v>
      </c>
      <c r="T5715">
        <v>-0.31717859999999998</v>
      </c>
      <c r="U5715">
        <v>-1.9567870000000001</v>
      </c>
      <c r="V5715">
        <v>0.33297339999999997</v>
      </c>
      <c r="W5715">
        <v>0.15920680000000001</v>
      </c>
      <c r="X5715">
        <v>0.92939870000000002</v>
      </c>
      <c r="Y5715">
        <v>0.40913270000000002</v>
      </c>
      <c r="Z5715">
        <v>5.691733E-3</v>
      </c>
      <c r="AA5715">
        <v>0.91245719999999997</v>
      </c>
      <c r="AB5715">
        <v>20</v>
      </c>
      <c r="AC5715">
        <v>8.3245000000000005</v>
      </c>
      <c r="AD5715">
        <v>-1.1192500000000001</v>
      </c>
      <c r="AE5715">
        <v>-6.8814249999999904</v>
      </c>
      <c r="AF5715">
        <v>4.4131955698553202</v>
      </c>
      <c r="AG5715">
        <v>-1.1192500000000001</v>
      </c>
      <c r="AH5715">
        <v>9.7318735481045895</v>
      </c>
      <c r="AI5715">
        <v>95.979477752608105</v>
      </c>
      <c r="AJ5715">
        <v>65.606729026012005</v>
      </c>
      <c r="AK5715">
        <v>10.7442253539558</v>
      </c>
      <c r="AL5715">
        <v>80.839141088895104</v>
      </c>
      <c r="AM5715">
        <v>70.289045507975999</v>
      </c>
      <c r="AN5715">
        <v>1.0000000169177401</v>
      </c>
    </row>
    <row r="5716" spans="1:40" x14ac:dyDescent="0.25">
      <c r="A5716" t="str">
        <f>"20190312172522533"</f>
        <v>20190312172522533</v>
      </c>
      <c r="B5716" t="str">
        <f>"1552382722526428"</f>
        <v>1552382722526428</v>
      </c>
      <c r="C5716" t="s">
        <v>40</v>
      </c>
      <c r="D5716">
        <v>4.2030219999999998</v>
      </c>
      <c r="E5716">
        <v>0.53438090000000005</v>
      </c>
      <c r="F5716" t="s">
        <v>42</v>
      </c>
      <c r="G5716">
        <v>-307.55070000000001</v>
      </c>
      <c r="H5716">
        <v>-0.05</v>
      </c>
      <c r="I5716">
        <v>8.1803740000000005</v>
      </c>
      <c r="J5716">
        <v>-315.911</v>
      </c>
      <c r="K5716">
        <v>1.068327</v>
      </c>
      <c r="L5716">
        <v>15.149929999999999</v>
      </c>
      <c r="M5716">
        <v>0.96367159999999996</v>
      </c>
      <c r="N5716">
        <v>0</v>
      </c>
      <c r="O5716">
        <v>-0.26576640000000001</v>
      </c>
      <c r="P5716">
        <v>0.81157460000000003</v>
      </c>
      <c r="Q5716">
        <v>0.1390007</v>
      </c>
      <c r="R5716">
        <v>-0.56747309999999995</v>
      </c>
      <c r="S5716">
        <v>2.3760680000000001</v>
      </c>
      <c r="T5716">
        <v>-0.31432909999999997</v>
      </c>
      <c r="U5716">
        <v>-1.96637</v>
      </c>
      <c r="V5716">
        <v>0.33335100000000001</v>
      </c>
      <c r="W5716">
        <v>0.15949250000000001</v>
      </c>
      <c r="X5716">
        <v>0.9292144</v>
      </c>
      <c r="Y5716">
        <v>0.40906769999999998</v>
      </c>
      <c r="Z5716">
        <v>6.0653030000000002E-3</v>
      </c>
      <c r="AA5716">
        <v>0.91248390000000001</v>
      </c>
      <c r="AB5716">
        <v>20</v>
      </c>
      <c r="AC5716">
        <v>8.3602999999999899</v>
      </c>
      <c r="AD5716">
        <v>-1.1183270000000001</v>
      </c>
      <c r="AE5716">
        <v>-6.9695559999999901</v>
      </c>
      <c r="AF5716">
        <v>4.4490939610076703</v>
      </c>
      <c r="AG5716">
        <v>-1.1183270000000001</v>
      </c>
      <c r="AH5716">
        <v>9.8088040931803597</v>
      </c>
      <c r="AI5716">
        <v>95.927830262900002</v>
      </c>
      <c r="AJ5716">
        <v>65.601825940001305</v>
      </c>
      <c r="AK5716">
        <v>10.828560850417499</v>
      </c>
      <c r="AL5716">
        <v>80.822560340869799</v>
      </c>
      <c r="AM5716">
        <v>70.264806519821505</v>
      </c>
      <c r="AN5716">
        <v>1.0000000739623001</v>
      </c>
    </row>
    <row r="5717" spans="1:40" x14ac:dyDescent="0.25">
      <c r="A5717" t="str">
        <f>"20190312172522544"</f>
        <v>20190312172522544</v>
      </c>
      <c r="B5717" t="str">
        <f>"1552382722536188"</f>
        <v>1552382722536188</v>
      </c>
      <c r="C5717" t="s">
        <v>40</v>
      </c>
      <c r="D5717">
        <v>4.2183590000000004</v>
      </c>
      <c r="E5717">
        <v>0.53452580000000005</v>
      </c>
      <c r="F5717" t="s">
        <v>42</v>
      </c>
      <c r="G5717">
        <v>-307.45150000000001</v>
      </c>
      <c r="H5717">
        <v>-0.05</v>
      </c>
      <c r="I5717">
        <v>8.0806579999999997</v>
      </c>
      <c r="J5717">
        <v>-315.81529999999998</v>
      </c>
      <c r="K5717">
        <v>1.067466</v>
      </c>
      <c r="L5717">
        <v>15.11899</v>
      </c>
      <c r="M5717">
        <v>0.9626477</v>
      </c>
      <c r="N5717">
        <v>0</v>
      </c>
      <c r="O5717">
        <v>-0.26950780000000002</v>
      </c>
      <c r="P5717">
        <v>0.80902949999999996</v>
      </c>
      <c r="Q5717">
        <v>0.13991479999999901</v>
      </c>
      <c r="R5717">
        <v>-0.57087270000000001</v>
      </c>
      <c r="S5717">
        <v>2.367035</v>
      </c>
      <c r="T5717">
        <v>-0.31291469999999999</v>
      </c>
      <c r="U5717">
        <v>-1.978027</v>
      </c>
      <c r="V5717">
        <v>0.33368759999999997</v>
      </c>
      <c r="W5717">
        <v>0.15986629999999999</v>
      </c>
      <c r="X5717">
        <v>0.9290292</v>
      </c>
      <c r="Y5717">
        <v>0.40990759999999998</v>
      </c>
      <c r="Z5717">
        <v>6.3909650000000002E-3</v>
      </c>
      <c r="AA5717">
        <v>0.91210469999999999</v>
      </c>
      <c r="AB5717">
        <v>20</v>
      </c>
      <c r="AC5717">
        <v>8.3637999999999693</v>
      </c>
      <c r="AD5717">
        <v>-1.1174660000000001</v>
      </c>
      <c r="AE5717">
        <v>-7.0383319999999996</v>
      </c>
      <c r="AF5717">
        <v>4.4760746615701104</v>
      </c>
      <c r="AG5717">
        <v>-1.1174660000000001</v>
      </c>
      <c r="AH5717">
        <v>9.8487143107581794</v>
      </c>
      <c r="AI5717">
        <v>95.897477917487805</v>
      </c>
      <c r="AJ5717">
        <v>65.559004013243793</v>
      </c>
      <c r="AK5717">
        <v>10.8757136874799</v>
      </c>
      <c r="AL5717">
        <v>80.800863665313202</v>
      </c>
      <c r="AM5717">
        <v>70.2427872296999</v>
      </c>
      <c r="AN5717">
        <v>0.99999995136104303</v>
      </c>
    </row>
    <row r="5718" spans="1:40" x14ac:dyDescent="0.25">
      <c r="A5718" t="str">
        <f>"20190312172522554"</f>
        <v>20190312172522554</v>
      </c>
      <c r="B5718" t="str">
        <f>"1552382722546066"</f>
        <v>1552382722546066</v>
      </c>
      <c r="C5718" t="s">
        <v>40</v>
      </c>
      <c r="D5718">
        <v>4.162865</v>
      </c>
      <c r="E5718">
        <v>0.53452580000000005</v>
      </c>
      <c r="F5718" t="s">
        <v>42</v>
      </c>
      <c r="G5718">
        <v>-307.35989999999998</v>
      </c>
      <c r="H5718">
        <v>-0.05</v>
      </c>
      <c r="I5718">
        <v>7.9880519999999997</v>
      </c>
      <c r="J5718">
        <v>-315.71280000000002</v>
      </c>
      <c r="K5718">
        <v>1.06661299999999</v>
      </c>
      <c r="L5718">
        <v>15.085140000000001</v>
      </c>
      <c r="M5718">
        <v>0.96153100000000002</v>
      </c>
      <c r="N5718">
        <v>0</v>
      </c>
      <c r="O5718">
        <v>-0.27352100000000001</v>
      </c>
      <c r="P5718">
        <v>0.80630199999999996</v>
      </c>
      <c r="Q5718">
        <v>0.14054620000000001</v>
      </c>
      <c r="R5718">
        <v>-0.57456439999999998</v>
      </c>
      <c r="S5718">
        <v>2.3585210000000001</v>
      </c>
      <c r="T5718">
        <v>-0.31170140000000002</v>
      </c>
      <c r="U5718">
        <v>-1.9890749999999999</v>
      </c>
      <c r="V5718">
        <v>0.3340899</v>
      </c>
      <c r="W5718">
        <v>0.15994539999999999</v>
      </c>
      <c r="X5718">
        <v>0.928871</v>
      </c>
      <c r="Y5718">
        <v>0.4102499</v>
      </c>
      <c r="Z5718">
        <v>6.7746229999999996E-3</v>
      </c>
      <c r="AA5718">
        <v>0.91194799999999998</v>
      </c>
      <c r="AB5718">
        <v>20</v>
      </c>
      <c r="AC5718">
        <v>8.3529000000000302</v>
      </c>
      <c r="AD5718">
        <v>-1.1166130000000001</v>
      </c>
      <c r="AE5718">
        <v>-7.0970879999999896</v>
      </c>
      <c r="AF5718">
        <v>4.4941984670571999</v>
      </c>
      <c r="AG5718">
        <v>-1.1166130000000001</v>
      </c>
      <c r="AH5718">
        <v>9.8735209676229996</v>
      </c>
      <c r="AI5718">
        <v>95.876779925218401</v>
      </c>
      <c r="AJ5718">
        <v>65.526069212001602</v>
      </c>
      <c r="AK5718">
        <v>10.905551831574501</v>
      </c>
      <c r="AL5718">
        <v>80.796272603185301</v>
      </c>
      <c r="AM5718">
        <v>70.217707113967606</v>
      </c>
      <c r="AN5718">
        <v>0.99999996345208397</v>
      </c>
    </row>
    <row r="5719" spans="1:40" x14ac:dyDescent="0.25">
      <c r="A5719" t="str">
        <f>"20190312172522567"</f>
        <v>20190312172522567</v>
      </c>
      <c r="B5719" t="str">
        <f>"1552382722555827"</f>
        <v>1552382722555827</v>
      </c>
      <c r="C5719" t="s">
        <v>40</v>
      </c>
      <c r="D5719">
        <v>4.2532620000000003</v>
      </c>
      <c r="E5719">
        <v>0.53659990000000002</v>
      </c>
      <c r="F5719" t="s">
        <v>42</v>
      </c>
      <c r="G5719">
        <v>-307.24509999999998</v>
      </c>
      <c r="H5719">
        <v>-0.05</v>
      </c>
      <c r="I5719">
        <v>7.8772279999999997</v>
      </c>
      <c r="J5719">
        <v>-315.60829999999999</v>
      </c>
      <c r="K5719">
        <v>1.0657939999999999</v>
      </c>
      <c r="L5719">
        <v>15.05017</v>
      </c>
      <c r="M5719">
        <v>0.96036529999999998</v>
      </c>
      <c r="N5719">
        <v>0</v>
      </c>
      <c r="O5719">
        <v>-0.27763860000000001</v>
      </c>
      <c r="P5719">
        <v>0.80344629999999995</v>
      </c>
      <c r="Q5719">
        <v>0.1413789</v>
      </c>
      <c r="R5719">
        <v>-0.57834770000000002</v>
      </c>
      <c r="S5719">
        <v>2.3495180000000002</v>
      </c>
      <c r="T5719">
        <v>-0.30982480000000001</v>
      </c>
      <c r="U5719">
        <v>-1.9999690000000001</v>
      </c>
      <c r="V5719">
        <v>0.33451589999999998</v>
      </c>
      <c r="W5719">
        <v>0.16024089999999999</v>
      </c>
      <c r="X5719">
        <v>0.92866680000000001</v>
      </c>
      <c r="Y5719">
        <v>0.41054889999999999</v>
      </c>
      <c r="Z5719">
        <v>7.1546159999999999E-3</v>
      </c>
      <c r="AA5719">
        <v>0.91181049999999997</v>
      </c>
      <c r="AB5719">
        <v>20</v>
      </c>
      <c r="AC5719">
        <v>8.3632000000000009</v>
      </c>
      <c r="AD5719">
        <v>-1.115794</v>
      </c>
      <c r="AE5719">
        <v>-7.1729419999999999</v>
      </c>
      <c r="AF5719">
        <v>4.5217290410127902</v>
      </c>
      <c r="AG5719">
        <v>-1.115794</v>
      </c>
      <c r="AH5719">
        <v>9.9245137577651708</v>
      </c>
      <c r="AI5719">
        <v>95.841583141114199</v>
      </c>
      <c r="AJ5719">
        <v>65.505413743000801</v>
      </c>
      <c r="AK5719">
        <v>10.9629833119842</v>
      </c>
      <c r="AL5719">
        <v>80.779121083338794</v>
      </c>
      <c r="AM5719">
        <v>70.190427264915499</v>
      </c>
      <c r="AN5719">
        <v>1.00000002940392</v>
      </c>
    </row>
    <row r="5720" spans="1:40" x14ac:dyDescent="0.25">
      <c r="A5720" t="str">
        <f>"20190312172522580"</f>
        <v>20190312172522580</v>
      </c>
      <c r="B5720" t="str">
        <f>"1552382722576323"</f>
        <v>1552382722576323</v>
      </c>
      <c r="C5720" t="s">
        <v>40</v>
      </c>
      <c r="D5720">
        <v>4.1422040000000004</v>
      </c>
      <c r="E5720">
        <v>0.57479150000000001</v>
      </c>
      <c r="F5720" t="s">
        <v>42</v>
      </c>
      <c r="G5720">
        <v>-307.03579999999999</v>
      </c>
      <c r="H5720">
        <v>-0.05</v>
      </c>
      <c r="I5720">
        <v>7.6019740000000002</v>
      </c>
      <c r="J5720">
        <v>-315.495</v>
      </c>
      <c r="K5720">
        <v>1.0649630000000001</v>
      </c>
      <c r="L5720">
        <v>15.01172</v>
      </c>
      <c r="M5720">
        <v>0.95907089999999995</v>
      </c>
      <c r="N5720">
        <v>0</v>
      </c>
      <c r="O5720">
        <v>-0.2821304</v>
      </c>
      <c r="P5720">
        <v>0.80043540000000002</v>
      </c>
      <c r="Q5720">
        <v>0.1421154</v>
      </c>
      <c r="R5720">
        <v>-0.58232819999999996</v>
      </c>
      <c r="S5720">
        <v>2.3300169999999998</v>
      </c>
      <c r="T5720">
        <v>-0.30327199999999999</v>
      </c>
      <c r="U5720">
        <v>-2.0244140000000002</v>
      </c>
      <c r="V5720">
        <v>0.33480880000000002</v>
      </c>
      <c r="W5720">
        <v>0.1604302</v>
      </c>
      <c r="X5720">
        <v>0.92852849999999998</v>
      </c>
      <c r="Y5720">
        <v>0.41553620000000002</v>
      </c>
      <c r="Z5720">
        <v>7.1994479999999998E-3</v>
      </c>
      <c r="AA5720">
        <v>0.90954820000000003</v>
      </c>
      <c r="AB5720">
        <v>20</v>
      </c>
      <c r="AC5720">
        <v>8.4592000000000098</v>
      </c>
      <c r="AD5720">
        <v>-1.1149629999999999</v>
      </c>
      <c r="AE5720">
        <v>-7.4097460000000002</v>
      </c>
      <c r="AF5720">
        <v>4.6752977000150304</v>
      </c>
      <c r="AG5720">
        <v>-1.1149629999999999</v>
      </c>
      <c r="AH5720">
        <v>10.1071209037242</v>
      </c>
      <c r="AI5720">
        <v>95.717495038316798</v>
      </c>
      <c r="AJ5720">
        <v>65.175936323141102</v>
      </c>
      <c r="AK5720">
        <v>11.191757861821101</v>
      </c>
      <c r="AL5720">
        <v>80.768132358513895</v>
      </c>
      <c r="AM5720">
        <v>70.171710574579606</v>
      </c>
      <c r="AN5720">
        <v>0.99999997847086397</v>
      </c>
    </row>
    <row r="5721" spans="1:40" x14ac:dyDescent="0.25">
      <c r="A5721" t="str">
        <f>"20190312172522592"</f>
        <v>20190312172522592</v>
      </c>
      <c r="B5721" t="str">
        <f>"1552382722586082"</f>
        <v>1552382722586082</v>
      </c>
      <c r="C5721" t="s">
        <v>40</v>
      </c>
      <c r="D5721">
        <v>4.151357</v>
      </c>
      <c r="E5721">
        <v>0.57784159999999996</v>
      </c>
      <c r="F5721" t="s">
        <v>42</v>
      </c>
      <c r="G5721">
        <v>-306.64109999999999</v>
      </c>
      <c r="H5721">
        <v>-0.05</v>
      </c>
      <c r="I5721">
        <v>5.5625150000000003</v>
      </c>
      <c r="J5721">
        <v>-315.392</v>
      </c>
      <c r="K5721">
        <v>1.0642990000000001</v>
      </c>
      <c r="L5721">
        <v>14.9759799999999</v>
      </c>
      <c r="M5721">
        <v>0.95785010000000004</v>
      </c>
      <c r="N5721">
        <v>0</v>
      </c>
      <c r="O5721">
        <v>-0.28629090000000001</v>
      </c>
      <c r="P5721">
        <v>0.79746309999999998</v>
      </c>
      <c r="Q5721">
        <v>0.1425679</v>
      </c>
      <c r="R5721">
        <v>-0.58628279999999999</v>
      </c>
      <c r="S5721">
        <v>2.1367189999999998</v>
      </c>
      <c r="T5721">
        <v>-0.26907609999999998</v>
      </c>
      <c r="U5721">
        <v>-2.2803960000000001</v>
      </c>
      <c r="V5721">
        <v>0.3353836</v>
      </c>
      <c r="W5721">
        <v>0.1604302</v>
      </c>
      <c r="X5721">
        <v>0.92832110000000001</v>
      </c>
      <c r="Y5721">
        <v>0.50258420000000004</v>
      </c>
      <c r="Z5721">
        <v>2.4161230000000001E-3</v>
      </c>
      <c r="AA5721">
        <v>0.86452489999999904</v>
      </c>
      <c r="AB5721">
        <v>20</v>
      </c>
      <c r="AC5721">
        <v>8.7508999999999997</v>
      </c>
      <c r="AD5721">
        <v>-1.1142989999999999</v>
      </c>
      <c r="AE5721">
        <v>-9.4134650000000004</v>
      </c>
      <c r="AF5721">
        <v>6.4646203004388401</v>
      </c>
      <c r="AG5721">
        <v>-1.1142989999999999</v>
      </c>
      <c r="AH5721">
        <v>10.9974840227878</v>
      </c>
      <c r="AI5721">
        <v>94.992081709435695</v>
      </c>
      <c r="AJ5721">
        <v>59.551829200754803</v>
      </c>
      <c r="AK5721">
        <v>12.8053751495894</v>
      </c>
      <c r="AL5721">
        <v>80.768132898572205</v>
      </c>
      <c r="AM5721">
        <v>70.136239236276097</v>
      </c>
      <c r="AN5721">
        <v>1.0000000364631001</v>
      </c>
    </row>
    <row r="5722" spans="1:40" x14ac:dyDescent="0.25">
      <c r="A5722" t="str">
        <f>"20190312172522607"</f>
        <v>20190312172522607</v>
      </c>
      <c r="B5722" t="str">
        <f>"1552382722595843"</f>
        <v>1552382722595843</v>
      </c>
      <c r="C5722" t="s">
        <v>40</v>
      </c>
      <c r="D5722">
        <v>4.1333719999999996</v>
      </c>
      <c r="E5722">
        <v>0.57942939999999998</v>
      </c>
      <c r="F5722" t="s">
        <v>42</v>
      </c>
      <c r="G5722">
        <v>-306.4776</v>
      </c>
      <c r="H5722">
        <v>-0.05</v>
      </c>
      <c r="I5722">
        <v>5.2150569999999998</v>
      </c>
      <c r="J5722">
        <v>-315.27140000000003</v>
      </c>
      <c r="K5722">
        <v>1.063561</v>
      </c>
      <c r="L5722">
        <v>14.933619999999999</v>
      </c>
      <c r="M5722">
        <v>0.95638009999999996</v>
      </c>
      <c r="N5722">
        <v>0</v>
      </c>
      <c r="O5722">
        <v>-0.29121069999999999</v>
      </c>
      <c r="P5722">
        <v>0.79409589999999997</v>
      </c>
      <c r="Q5722">
        <v>0.1432042</v>
      </c>
      <c r="R5722">
        <v>-0.59068100000000001</v>
      </c>
      <c r="S5722">
        <v>2.1103209999999999</v>
      </c>
      <c r="T5722">
        <v>-0.26378770000000001</v>
      </c>
      <c r="U5722">
        <v>-2.3106990000000001</v>
      </c>
      <c r="V5722">
        <v>0.33576</v>
      </c>
      <c r="W5722">
        <v>0.16056670000000001</v>
      </c>
      <c r="X5722">
        <v>0.92816140000000003</v>
      </c>
      <c r="Y5722">
        <v>0.50919879999999995</v>
      </c>
      <c r="Z5722">
        <v>2.4815480000000001E-3</v>
      </c>
      <c r="AA5722">
        <v>0.8606454</v>
      </c>
      <c r="AB5722">
        <v>20</v>
      </c>
      <c r="AC5722">
        <v>8.7938000000000294</v>
      </c>
      <c r="AD5722">
        <v>-1.113561</v>
      </c>
      <c r="AE5722">
        <v>-9.7185629999999996</v>
      </c>
      <c r="AF5722">
        <v>6.6873153928893299</v>
      </c>
      <c r="AG5722">
        <v>-1.113561</v>
      </c>
      <c r="AH5722">
        <v>11.162784564409</v>
      </c>
      <c r="AI5722">
        <v>94.891201281801898</v>
      </c>
      <c r="AJ5722">
        <v>59.075341373686399</v>
      </c>
      <c r="AK5722">
        <v>13.060167092962599</v>
      </c>
      <c r="AL5722">
        <v>80.760209091102695</v>
      </c>
      <c r="AM5722">
        <v>70.112539640589404</v>
      </c>
      <c r="AN5722">
        <v>1.00000001359942</v>
      </c>
    </row>
    <row r="5723" spans="1:40" x14ac:dyDescent="0.25">
      <c r="A5723" t="str">
        <f>"20190312172522622"</f>
        <v>20190312172522622</v>
      </c>
      <c r="B5723" t="str">
        <f>"1552382722616342"</f>
        <v>1552382722616342</v>
      </c>
      <c r="C5723" t="s">
        <v>40</v>
      </c>
      <c r="D5723">
        <v>4.0895580000000002</v>
      </c>
      <c r="E5723">
        <v>0.58046469999999994</v>
      </c>
      <c r="F5723" t="s">
        <v>42</v>
      </c>
      <c r="G5723">
        <v>-306.37240000000003</v>
      </c>
      <c r="H5723">
        <v>-0.05</v>
      </c>
      <c r="I5723">
        <v>5.0003659999999996</v>
      </c>
      <c r="J5723">
        <v>-315.14139999999998</v>
      </c>
      <c r="K5723">
        <v>1.0628359999999999</v>
      </c>
      <c r="L5723">
        <v>14.887269999999999</v>
      </c>
      <c r="M5723">
        <v>0.95474429999999999</v>
      </c>
      <c r="N5723">
        <v>0</v>
      </c>
      <c r="O5723">
        <v>-0.29657450000000002</v>
      </c>
      <c r="P5723">
        <v>0.78989359999999997</v>
      </c>
      <c r="Q5723">
        <v>0.1444985</v>
      </c>
      <c r="R5723">
        <v>-0.59597679999999997</v>
      </c>
      <c r="S5723">
        <v>2.0898439999999998</v>
      </c>
      <c r="T5723">
        <v>-0.2615093</v>
      </c>
      <c r="U5723">
        <v>-2.3327330000000002</v>
      </c>
      <c r="V5723">
        <v>0.33681650000000002</v>
      </c>
      <c r="W5723">
        <v>0.1613436</v>
      </c>
      <c r="X5723">
        <v>0.92764369999999996</v>
      </c>
      <c r="Y5723">
        <v>0.51262459999999999</v>
      </c>
      <c r="Z5723">
        <v>2.7720700000000002E-3</v>
      </c>
      <c r="AA5723">
        <v>0.85860840000000005</v>
      </c>
      <c r="AB5723">
        <v>20</v>
      </c>
      <c r="AC5723">
        <v>8.7689999999999397</v>
      </c>
      <c r="AD5723">
        <v>-1.1128359999999999</v>
      </c>
      <c r="AE5723">
        <v>-9.8869039999999995</v>
      </c>
      <c r="AF5723">
        <v>6.7923731265644403</v>
      </c>
      <c r="AG5723">
        <v>-1.1128359999999999</v>
      </c>
      <c r="AH5723">
        <v>11.227608316389</v>
      </c>
      <c r="AI5723">
        <v>94.847356677945598</v>
      </c>
      <c r="AJ5723">
        <v>58.827294255666899</v>
      </c>
      <c r="AK5723">
        <v>13.1694314668333</v>
      </c>
      <c r="AL5723">
        <v>80.715107578340493</v>
      </c>
      <c r="AM5723">
        <v>70.044636776507303</v>
      </c>
      <c r="AN5723">
        <v>0.99999997304144905</v>
      </c>
    </row>
    <row r="5724" spans="1:40" x14ac:dyDescent="0.25">
      <c r="A5724" t="str">
        <f>"20190312172522632"</f>
        <v>20190312172522632</v>
      </c>
      <c r="B5724" t="str">
        <f>"1552382722626099"</f>
        <v>1552382722626099</v>
      </c>
      <c r="C5724" t="s">
        <v>40</v>
      </c>
      <c r="D5724">
        <v>4.1019680000000003</v>
      </c>
      <c r="E5724">
        <v>0.58072500000000005</v>
      </c>
      <c r="F5724" t="s">
        <v>42</v>
      </c>
      <c r="G5724">
        <v>-306.06819999999999</v>
      </c>
      <c r="H5724">
        <v>-0.05</v>
      </c>
      <c r="I5724">
        <v>4.566986</v>
      </c>
      <c r="J5724">
        <v>-315.0455</v>
      </c>
      <c r="K5724">
        <v>1.0623560000000001</v>
      </c>
      <c r="L5724">
        <v>14.852359999999999</v>
      </c>
      <c r="M5724">
        <v>0.95349720000000004</v>
      </c>
      <c r="N5724">
        <v>0</v>
      </c>
      <c r="O5724">
        <v>-0.30058889999999999</v>
      </c>
      <c r="P5724">
        <v>0.7869408</v>
      </c>
      <c r="Q5724">
        <v>0.1450254</v>
      </c>
      <c r="R5724">
        <v>-0.59974329999999998</v>
      </c>
      <c r="S5724">
        <v>2.068848</v>
      </c>
      <c r="T5724">
        <v>-0.25374669999999999</v>
      </c>
      <c r="U5724">
        <v>-2.3532099999999998</v>
      </c>
      <c r="V5724">
        <v>0.33736480000000002</v>
      </c>
      <c r="W5724">
        <v>0.161524799999999</v>
      </c>
      <c r="X5724">
        <v>0.92741289999999998</v>
      </c>
      <c r="Y5724">
        <v>0.5170768</v>
      </c>
      <c r="Z5724">
        <v>2.8256900000000001E-3</v>
      </c>
      <c r="AA5724">
        <v>0.85593439999999998</v>
      </c>
      <c r="AB5724">
        <v>20</v>
      </c>
      <c r="AC5724">
        <v>8.9773000000000103</v>
      </c>
      <c r="AD5724">
        <v>-1.1123559999999999</v>
      </c>
      <c r="AE5724">
        <v>-10.285373999999999</v>
      </c>
      <c r="AF5724">
        <v>7.0634462427356404</v>
      </c>
      <c r="AG5724">
        <v>-1.1123559999999999</v>
      </c>
      <c r="AH5724">
        <v>11.5774917750146</v>
      </c>
      <c r="AI5724">
        <v>94.688872468793306</v>
      </c>
      <c r="AJ5724">
        <v>58.612566597599901</v>
      </c>
      <c r="AK5724">
        <v>13.6076421357737</v>
      </c>
      <c r="AL5724">
        <v>80.704587645509903</v>
      </c>
      <c r="AM5724">
        <v>70.010141594515403</v>
      </c>
      <c r="AN5724">
        <v>0.999999978190244</v>
      </c>
    </row>
    <row r="5725" spans="1:40" x14ac:dyDescent="0.25">
      <c r="A5725" t="str">
        <f>"20190312172522644"</f>
        <v>20190312172522644</v>
      </c>
      <c r="B5725" t="str">
        <f>"1552382722635859"</f>
        <v>1552382722635859</v>
      </c>
      <c r="C5725" t="s">
        <v>40</v>
      </c>
      <c r="D5725">
        <v>4.162172</v>
      </c>
      <c r="E5725">
        <v>0.58131529999999998</v>
      </c>
      <c r="F5725" t="s">
        <v>42</v>
      </c>
      <c r="G5725">
        <v>-305.94850000000002</v>
      </c>
      <c r="H5725">
        <v>-0.05</v>
      </c>
      <c r="I5725">
        <v>4.390854</v>
      </c>
      <c r="J5725">
        <v>-314.9504</v>
      </c>
      <c r="K5725">
        <v>1.061895</v>
      </c>
      <c r="L5725">
        <v>14.817379999999901</v>
      </c>
      <c r="M5725">
        <v>0.95223840000000004</v>
      </c>
      <c r="N5725">
        <v>0</v>
      </c>
      <c r="O5725">
        <v>-0.30458020000000002</v>
      </c>
      <c r="P5725">
        <v>0.78398959999999995</v>
      </c>
      <c r="Q5725">
        <v>0.14535609999999999</v>
      </c>
      <c r="R5725">
        <v>-0.60351650000000001</v>
      </c>
      <c r="S5725">
        <v>2.0563349999999998</v>
      </c>
      <c r="T5725">
        <v>-0.25144309999999997</v>
      </c>
      <c r="U5725">
        <v>-2.3647770000000001</v>
      </c>
      <c r="V5725">
        <v>0.3379434</v>
      </c>
      <c r="W5725">
        <v>0.16151960000000001</v>
      </c>
      <c r="X5725">
        <v>0.92720320000000001</v>
      </c>
      <c r="Y5725">
        <v>0.51816649999999997</v>
      </c>
      <c r="Z5725">
        <v>3.0952169999999999E-3</v>
      </c>
      <c r="AA5725">
        <v>0.85527410000000004</v>
      </c>
      <c r="AB5725">
        <v>20</v>
      </c>
      <c r="AC5725">
        <v>9.0018999999999707</v>
      </c>
      <c r="AD5725">
        <v>-1.1118950000000001</v>
      </c>
      <c r="AE5725">
        <v>-10.426526000000001</v>
      </c>
      <c r="AF5725">
        <v>7.1419042659983401</v>
      </c>
      <c r="AG5725">
        <v>-1.1118950000000001</v>
      </c>
      <c r="AH5725">
        <v>11.6743817022004</v>
      </c>
      <c r="AI5725">
        <v>94.644800023792499</v>
      </c>
      <c r="AJ5725">
        <v>58.543428139621</v>
      </c>
      <c r="AK5725">
        <v>13.7307791171653</v>
      </c>
      <c r="AL5725">
        <v>80.704890206584693</v>
      </c>
      <c r="AM5725">
        <v>69.974411011694798</v>
      </c>
      <c r="AN5725">
        <v>1.0000000484389699</v>
      </c>
    </row>
    <row r="5726" spans="1:40" x14ac:dyDescent="0.25">
      <c r="A5726" t="str">
        <f>"20190312172522655"</f>
        <v>20190312172522655</v>
      </c>
      <c r="B5726" t="str">
        <f>"1552382722646596"</f>
        <v>1552382722646596</v>
      </c>
      <c r="C5726" t="s">
        <v>40</v>
      </c>
      <c r="D5726">
        <v>4.1234199999999896</v>
      </c>
      <c r="E5726">
        <v>0.58153279999999996</v>
      </c>
      <c r="F5726" t="s">
        <v>42</v>
      </c>
      <c r="G5726">
        <v>-305.87830000000002</v>
      </c>
      <c r="H5726">
        <v>-0.05</v>
      </c>
      <c r="I5726">
        <v>4.253082</v>
      </c>
      <c r="J5726">
        <v>-314.85480000000001</v>
      </c>
      <c r="K5726">
        <v>1.061466</v>
      </c>
      <c r="L5726">
        <v>14.781650000000001</v>
      </c>
      <c r="M5726">
        <v>0.95094339999999999</v>
      </c>
      <c r="N5726">
        <v>0</v>
      </c>
      <c r="O5726">
        <v>-0.30862519999999999</v>
      </c>
      <c r="P5726">
        <v>0.78108489999999997</v>
      </c>
      <c r="Q5726">
        <v>0.14546300000000001</v>
      </c>
      <c r="R5726">
        <v>-0.607245699999999</v>
      </c>
      <c r="S5726">
        <v>2.0422669999999998</v>
      </c>
      <c r="T5726">
        <v>-0.2503031</v>
      </c>
      <c r="U5726">
        <v>-2.378174</v>
      </c>
      <c r="V5726">
        <v>0.33841700000000002</v>
      </c>
      <c r="W5726">
        <v>0.16130929999999999</v>
      </c>
      <c r="X5726">
        <v>0.92706699999999997</v>
      </c>
      <c r="Y5726">
        <v>0.51983979999999996</v>
      </c>
      <c r="Z5726">
        <v>3.351644E-3</v>
      </c>
      <c r="AA5726">
        <v>0.85425720000000005</v>
      </c>
      <c r="AB5726">
        <v>20</v>
      </c>
      <c r="AC5726">
        <v>8.9764999999999802</v>
      </c>
      <c r="AD5726">
        <v>-1.1114660000000001</v>
      </c>
      <c r="AE5726">
        <v>-10.528568</v>
      </c>
      <c r="AF5726">
        <v>7.1969096462718598</v>
      </c>
      <c r="AG5726">
        <v>-1.1114660000000001</v>
      </c>
      <c r="AH5726">
        <v>11.712633651969099</v>
      </c>
      <c r="AI5726">
        <v>94.622381182855605</v>
      </c>
      <c r="AJ5726">
        <v>58.431063765631897</v>
      </c>
      <c r="AK5726">
        <v>13.791905314023699</v>
      </c>
      <c r="AL5726">
        <v>80.7170990603327</v>
      </c>
      <c r="AM5726">
        <v>69.945870269526196</v>
      </c>
      <c r="AN5726">
        <v>0.99999998932224499</v>
      </c>
    </row>
    <row r="5727" spans="1:40" x14ac:dyDescent="0.25">
      <c r="A5727" t="str">
        <f>"20190312172522666"</f>
        <v>20190312172522666</v>
      </c>
      <c r="B5727" t="str">
        <f>"1552382722656355"</f>
        <v>1552382722656355</v>
      </c>
      <c r="C5727" t="s">
        <v>40</v>
      </c>
      <c r="D5727">
        <v>4.1611320000000003</v>
      </c>
      <c r="E5727">
        <v>0.58166859999999998</v>
      </c>
      <c r="F5727" t="s">
        <v>42</v>
      </c>
      <c r="G5727">
        <v>-305.8168</v>
      </c>
      <c r="H5727">
        <v>-0.05</v>
      </c>
      <c r="I5727">
        <v>4.1452479999999996</v>
      </c>
      <c r="J5727">
        <v>-314.76350000000002</v>
      </c>
      <c r="K5727">
        <v>1.0610679999999999</v>
      </c>
      <c r="L5727">
        <v>14.74713</v>
      </c>
      <c r="M5727">
        <v>0.94968399999999997</v>
      </c>
      <c r="N5727">
        <v>0</v>
      </c>
      <c r="O5727">
        <v>-0.31250050000000001</v>
      </c>
      <c r="P5727">
        <v>0.77842549999999999</v>
      </c>
      <c r="Q5727">
        <v>0.14560329999999999</v>
      </c>
      <c r="R5727">
        <v>-0.61061719999999997</v>
      </c>
      <c r="S5727">
        <v>2.0299990000000001</v>
      </c>
      <c r="T5727">
        <v>-0.2496428</v>
      </c>
      <c r="U5727">
        <v>-2.389008</v>
      </c>
      <c r="V5727">
        <v>0.3386459</v>
      </c>
      <c r="W5727">
        <v>0.1611592</v>
      </c>
      <c r="X5727">
        <v>0.92700950000000004</v>
      </c>
      <c r="Y5727">
        <v>0.52082870000000003</v>
      </c>
      <c r="Z5727">
        <v>3.6315969999999999E-3</v>
      </c>
      <c r="AA5727">
        <v>0.85365349999999995</v>
      </c>
      <c r="AB5727">
        <v>20</v>
      </c>
      <c r="AC5727">
        <v>8.9467000000000194</v>
      </c>
      <c r="AD5727">
        <v>-1.1110679999999999</v>
      </c>
      <c r="AE5727">
        <v>-10.6018819999999</v>
      </c>
      <c r="AF5727">
        <v>7.2278389440822997</v>
      </c>
      <c r="AG5727">
        <v>-1.1110679999999999</v>
      </c>
      <c r="AH5727">
        <v>11.7369628811651</v>
      </c>
      <c r="AI5727">
        <v>94.608407437819693</v>
      </c>
      <c r="AJ5727">
        <v>58.374469678784401</v>
      </c>
      <c r="AK5727">
        <v>13.8286812667031</v>
      </c>
      <c r="AL5727">
        <v>80.725813020187601</v>
      </c>
      <c r="AM5727">
        <v>69.932242592497104</v>
      </c>
      <c r="AN5727">
        <v>0.99999997321084899</v>
      </c>
    </row>
    <row r="5728" spans="1:40" x14ac:dyDescent="0.25">
      <c r="A5728" t="str">
        <f>"20190312172522676"</f>
        <v>20190312172522676</v>
      </c>
      <c r="B5728" t="str">
        <f>"1552382722666115"</f>
        <v>1552382722666115</v>
      </c>
      <c r="C5728" t="s">
        <v>40</v>
      </c>
      <c r="D5728">
        <v>4.1393430000000002</v>
      </c>
      <c r="E5728">
        <v>0.58168180000000003</v>
      </c>
      <c r="F5728" t="s">
        <v>42</v>
      </c>
      <c r="G5728">
        <v>-305.74430000000001</v>
      </c>
      <c r="H5728">
        <v>-0.05</v>
      </c>
      <c r="I5728">
        <v>4.0320589999999896</v>
      </c>
      <c r="J5728">
        <v>-314.67239999999998</v>
      </c>
      <c r="K5728">
        <v>1.0606990000000001</v>
      </c>
      <c r="L5728">
        <v>14.71231</v>
      </c>
      <c r="M5728">
        <v>0.94840449999999998</v>
      </c>
      <c r="N5728">
        <v>0</v>
      </c>
      <c r="O5728">
        <v>-0.31638300000000003</v>
      </c>
      <c r="P5728">
        <v>0.77552259999999995</v>
      </c>
      <c r="Q5728">
        <v>0.14585629999999999</v>
      </c>
      <c r="R5728">
        <v>-0.61424009999999996</v>
      </c>
      <c r="S5728">
        <v>2.0189509999999999</v>
      </c>
      <c r="T5728">
        <v>-0.24871470000000001</v>
      </c>
      <c r="U5728">
        <v>-2.39859</v>
      </c>
      <c r="V5728">
        <v>0.3391885</v>
      </c>
      <c r="W5728">
        <v>0.16112389999999999</v>
      </c>
      <c r="X5728">
        <v>0.92681720000000001</v>
      </c>
      <c r="Y5728">
        <v>0.52133409999999902</v>
      </c>
      <c r="Z5728">
        <v>3.9299560000000001E-3</v>
      </c>
      <c r="AA5728">
        <v>0.85334359999999998</v>
      </c>
      <c r="AB5728">
        <v>20</v>
      </c>
      <c r="AC5728">
        <v>8.9280999999999704</v>
      </c>
      <c r="AD5728">
        <v>-1.1106989999999901</v>
      </c>
      <c r="AE5728">
        <v>-10.680251</v>
      </c>
      <c r="AF5728">
        <v>7.2598542231055498</v>
      </c>
      <c r="AG5728">
        <v>-1.1106989999999901</v>
      </c>
      <c r="AH5728">
        <v>11.774094704624799</v>
      </c>
      <c r="AI5728">
        <v>94.590830435362605</v>
      </c>
      <c r="AJ5728">
        <v>58.342201697346702</v>
      </c>
      <c r="AK5728">
        <v>13.876903174801599</v>
      </c>
      <c r="AL5728">
        <v>80.727861994699097</v>
      </c>
      <c r="AM5728">
        <v>69.898824119358494</v>
      </c>
      <c r="AN5728">
        <v>0.99999993594964798</v>
      </c>
    </row>
    <row r="5729" spans="1:40" x14ac:dyDescent="0.25">
      <c r="A5729" t="str">
        <f>"20190312172522688"</f>
        <v>20190312172522688</v>
      </c>
      <c r="B5729" t="str">
        <f>"1552382722675874"</f>
        <v>1552382722675874</v>
      </c>
      <c r="C5729" t="s">
        <v>40</v>
      </c>
      <c r="D5729">
        <v>4.0907169999999997</v>
      </c>
      <c r="E5729">
        <v>0.58149410000000001</v>
      </c>
      <c r="F5729" t="s">
        <v>42</v>
      </c>
      <c r="G5729">
        <v>-305.66050000000001</v>
      </c>
      <c r="H5729">
        <v>-0.05</v>
      </c>
      <c r="I5729">
        <v>3.9045260000000002</v>
      </c>
      <c r="J5729">
        <v>-314.58150000000001</v>
      </c>
      <c r="K5729">
        <v>1.060351</v>
      </c>
      <c r="L5729">
        <v>14.677</v>
      </c>
      <c r="M5729">
        <v>0.94710030000000001</v>
      </c>
      <c r="N5729">
        <v>0</v>
      </c>
      <c r="O5729">
        <v>-0.3202853</v>
      </c>
      <c r="P5729">
        <v>0.77265779999999995</v>
      </c>
      <c r="Q5729">
        <v>0.14617569999999999</v>
      </c>
      <c r="R5729">
        <v>-0.61776439999999999</v>
      </c>
      <c r="S5729">
        <v>2.0077509999999998</v>
      </c>
      <c r="T5729">
        <v>-0.24744920000000001</v>
      </c>
      <c r="U5729">
        <v>-2.4078369999999998</v>
      </c>
      <c r="V5729">
        <v>0.33961219999999998</v>
      </c>
      <c r="W5729">
        <v>0.1611648</v>
      </c>
      <c r="X5729">
        <v>0.92665500000000001</v>
      </c>
      <c r="Y5729">
        <v>0.52179109999999995</v>
      </c>
      <c r="Z5729">
        <v>4.2250450000000002E-3</v>
      </c>
      <c r="AA5729">
        <v>0.85306280000000001</v>
      </c>
      <c r="AB5729">
        <v>20</v>
      </c>
      <c r="AC5729">
        <v>8.9209999999999905</v>
      </c>
      <c r="AD5729">
        <v>-1.1103510000000001</v>
      </c>
      <c r="AE5729">
        <v>-10.772474000000001</v>
      </c>
      <c r="AF5729">
        <v>7.30087441526896</v>
      </c>
      <c r="AG5729">
        <v>-1.1103510000000001</v>
      </c>
      <c r="AH5729">
        <v>11.827300028419399</v>
      </c>
      <c r="AI5729">
        <v>94.567428624260401</v>
      </c>
      <c r="AJ5729">
        <v>58.313380003984797</v>
      </c>
      <c r="AK5729">
        <v>13.943481363453699</v>
      </c>
      <c r="AL5729">
        <v>80.725488296461805</v>
      </c>
      <c r="AM5729">
        <v>69.872488418812594</v>
      </c>
      <c r="AN5729">
        <v>1.00000001408644</v>
      </c>
    </row>
    <row r="5730" spans="1:40" x14ac:dyDescent="0.25">
      <c r="A5730" t="str">
        <f>"20190312172522699"</f>
        <v>20190312172522699</v>
      </c>
      <c r="B5730" t="str">
        <f>"1552382722696371"</f>
        <v>1552382722696371</v>
      </c>
      <c r="C5730" t="s">
        <v>40</v>
      </c>
      <c r="D5730">
        <v>4.1099050000000004</v>
      </c>
      <c r="E5730">
        <v>0.58120590000000005</v>
      </c>
      <c r="F5730" t="s">
        <v>42</v>
      </c>
      <c r="G5730">
        <v>-305.56950000000001</v>
      </c>
      <c r="H5730">
        <v>-0.05</v>
      </c>
      <c r="I5730">
        <v>3.7759550000000002</v>
      </c>
      <c r="J5730">
        <v>-314.48809999999997</v>
      </c>
      <c r="K5730">
        <v>1.060012</v>
      </c>
      <c r="L5730">
        <v>14.64038</v>
      </c>
      <c r="M5730">
        <v>0.94573569999999996</v>
      </c>
      <c r="N5730">
        <v>0</v>
      </c>
      <c r="O5730">
        <v>-0.32431100000000002</v>
      </c>
      <c r="P5730">
        <v>0.76984889999999995</v>
      </c>
      <c r="Q5730">
        <v>0.14615829999999999</v>
      </c>
      <c r="R5730">
        <v>-0.62126519999999996</v>
      </c>
      <c r="S5730">
        <v>1.9974670000000001</v>
      </c>
      <c r="T5730">
        <v>-0.24610109999999999</v>
      </c>
      <c r="U5730">
        <v>-2.4161380000000001</v>
      </c>
      <c r="V5730">
        <v>0.33987339999999999</v>
      </c>
      <c r="W5730">
        <v>0.1608697</v>
      </c>
      <c r="X5730">
        <v>0.9266105</v>
      </c>
      <c r="Y5730">
        <v>0.52177790000000002</v>
      </c>
      <c r="Z5730">
        <v>4.5486520000000003E-3</v>
      </c>
      <c r="AA5730">
        <v>0.85306919999999897</v>
      </c>
      <c r="AB5730">
        <v>20</v>
      </c>
      <c r="AC5730">
        <v>8.9185999999999694</v>
      </c>
      <c r="AD5730">
        <v>-1.110012</v>
      </c>
      <c r="AE5730">
        <v>-10.864425000000001</v>
      </c>
      <c r="AF5730">
        <v>7.3382125186531004</v>
      </c>
      <c r="AG5730">
        <v>-1.110012</v>
      </c>
      <c r="AH5730">
        <v>11.886395643520499</v>
      </c>
      <c r="AI5730">
        <v>94.543288194845005</v>
      </c>
      <c r="AJ5730">
        <v>58.310382031941202</v>
      </c>
      <c r="AK5730">
        <v>14.013132804743</v>
      </c>
      <c r="AL5730">
        <v>80.742619721601997</v>
      </c>
      <c r="AM5730">
        <v>69.8573623539761</v>
      </c>
      <c r="AN5730">
        <v>1.0000000035579499</v>
      </c>
    </row>
    <row r="5731" spans="1:40" x14ac:dyDescent="0.25">
      <c r="A5731" t="str">
        <f>"20190312172522711"</f>
        <v>20190312172522711</v>
      </c>
      <c r="B5731" t="str">
        <f>"1552382722706131"</f>
        <v>1552382722706131</v>
      </c>
      <c r="C5731" t="s">
        <v>40</v>
      </c>
      <c r="D5731">
        <v>4.1057009999999998</v>
      </c>
      <c r="E5731">
        <v>0.58104040000000001</v>
      </c>
      <c r="F5731" t="s">
        <v>42</v>
      </c>
      <c r="G5731">
        <v>-305.47879999999998</v>
      </c>
      <c r="H5731">
        <v>-0.05</v>
      </c>
      <c r="I5731">
        <v>3.6567229999999999</v>
      </c>
      <c r="J5731">
        <v>-314.39400000000001</v>
      </c>
      <c r="K5731">
        <v>1.0596950000000001</v>
      </c>
      <c r="L5731">
        <v>14.602779999999999</v>
      </c>
      <c r="M5731">
        <v>0.94432660000000002</v>
      </c>
      <c r="N5731">
        <v>0</v>
      </c>
      <c r="O5731">
        <v>-0.3284088</v>
      </c>
      <c r="P5731">
        <v>0.76697119999999996</v>
      </c>
      <c r="Q5731">
        <v>0.1465032</v>
      </c>
      <c r="R5731">
        <v>-0.62473339999999999</v>
      </c>
      <c r="S5731">
        <v>1.9877320000000001</v>
      </c>
      <c r="T5731">
        <v>-0.24490329999999999</v>
      </c>
      <c r="U5731">
        <v>-2.42334</v>
      </c>
      <c r="V5731">
        <v>0.34006320000000001</v>
      </c>
      <c r="W5731">
        <v>0.160945</v>
      </c>
      <c r="X5731">
        <v>0.92652769999999995</v>
      </c>
      <c r="Y5731">
        <v>0.52138969999999996</v>
      </c>
      <c r="Z5731">
        <v>4.896259E-3</v>
      </c>
      <c r="AA5731">
        <v>0.85330459999999997</v>
      </c>
      <c r="AB5731">
        <v>20</v>
      </c>
      <c r="AC5731">
        <v>8.91520000000002</v>
      </c>
      <c r="AD5731">
        <v>-1.1096950000000001</v>
      </c>
      <c r="AE5731">
        <v>-10.946057</v>
      </c>
      <c r="AF5731">
        <v>7.3647803206439502</v>
      </c>
      <c r="AG5731">
        <v>-1.1096950000000001</v>
      </c>
      <c r="AH5731">
        <v>11.942225897916</v>
      </c>
      <c r="AI5731">
        <v>94.522181482710096</v>
      </c>
      <c r="AJ5731">
        <v>58.337831845881702</v>
      </c>
      <c r="AK5731">
        <v>14.074379970756301</v>
      </c>
      <c r="AL5731">
        <v>80.738247663660502</v>
      </c>
      <c r="AM5731">
        <v>69.845362628552095</v>
      </c>
      <c r="AN5731">
        <v>0.99999992594326204</v>
      </c>
    </row>
    <row r="5732" spans="1:40" x14ac:dyDescent="0.25">
      <c r="A5732" t="str">
        <f>"20190312172522723"</f>
        <v>20190312172522723</v>
      </c>
      <c r="B5732" t="str">
        <f>"1552382722715890"</f>
        <v>1552382722715890</v>
      </c>
      <c r="C5732" t="s">
        <v>40</v>
      </c>
      <c r="D5732">
        <v>4.1555710000000001</v>
      </c>
      <c r="E5732">
        <v>0.58083419999999997</v>
      </c>
      <c r="F5732" t="s">
        <v>42</v>
      </c>
      <c r="G5732">
        <v>-305.39409999999998</v>
      </c>
      <c r="H5732">
        <v>-0.05</v>
      </c>
      <c r="I5732">
        <v>3.539825</v>
      </c>
      <c r="J5732">
        <v>-314.29109999999997</v>
      </c>
      <c r="K5732">
        <v>1.0593600000000001</v>
      </c>
      <c r="L5732">
        <v>14.56134</v>
      </c>
      <c r="M5732">
        <v>0.94275830000000005</v>
      </c>
      <c r="N5732">
        <v>0</v>
      </c>
      <c r="O5732">
        <v>-0.3329027</v>
      </c>
      <c r="P5732">
        <v>0.76373340000000001</v>
      </c>
      <c r="Q5732">
        <v>0.1468632</v>
      </c>
      <c r="R5732">
        <v>-0.62860380000000005</v>
      </c>
      <c r="S5732">
        <v>1.9777830000000001</v>
      </c>
      <c r="T5732">
        <v>-0.24386240000000001</v>
      </c>
      <c r="U5732">
        <v>-2.431152</v>
      </c>
      <c r="V5732">
        <v>0.34036369999999999</v>
      </c>
      <c r="W5732">
        <v>0.1610124</v>
      </c>
      <c r="X5732">
        <v>0.9264057</v>
      </c>
      <c r="Y5732">
        <v>0.5207891</v>
      </c>
      <c r="Z5732">
        <v>5.2871369999999999E-3</v>
      </c>
      <c r="AA5732">
        <v>0.85366889999999995</v>
      </c>
      <c r="AB5732">
        <v>20</v>
      </c>
      <c r="AC5732">
        <v>8.8969999999999896</v>
      </c>
      <c r="AD5732">
        <v>-1.1093599999999999</v>
      </c>
      <c r="AE5732">
        <v>-11.021515000000001</v>
      </c>
      <c r="AF5732">
        <v>7.3849113696491102</v>
      </c>
      <c r="AG5732">
        <v>-1.1093599999999999</v>
      </c>
      <c r="AH5732">
        <v>11.9855992809212</v>
      </c>
      <c r="AI5732">
        <v>94.505635983638797</v>
      </c>
      <c r="AJ5732">
        <v>58.360755003323199</v>
      </c>
      <c r="AK5732">
        <v>14.1216920257451</v>
      </c>
      <c r="AL5732">
        <v>80.734335412735803</v>
      </c>
      <c r="AM5732">
        <v>69.826545546092504</v>
      </c>
      <c r="AN5732">
        <v>0.99999998111196897</v>
      </c>
    </row>
    <row r="5733" spans="1:40" x14ac:dyDescent="0.25">
      <c r="A5733" t="str">
        <f>"20190312172522733"</f>
        <v>20190312172522733</v>
      </c>
      <c r="B5733" t="str">
        <f>"1552382722726627"</f>
        <v>1552382722726627</v>
      </c>
      <c r="C5733" t="s">
        <v>40</v>
      </c>
      <c r="D5733">
        <v>4.1661970000000004</v>
      </c>
      <c r="E5733">
        <v>0.58059539999999998</v>
      </c>
      <c r="F5733" t="s">
        <v>42</v>
      </c>
      <c r="G5733">
        <v>-305.36250000000001</v>
      </c>
      <c r="H5733">
        <v>-0.05</v>
      </c>
      <c r="I5733">
        <v>3.4813540000000001</v>
      </c>
      <c r="J5733">
        <v>-314.20209999999997</v>
      </c>
      <c r="K5733">
        <v>1.059097</v>
      </c>
      <c r="L5733">
        <v>14.52472</v>
      </c>
      <c r="M5733">
        <v>0.94136509999999995</v>
      </c>
      <c r="N5733">
        <v>0</v>
      </c>
      <c r="O5733">
        <v>-0.33683659999999999</v>
      </c>
      <c r="P5733">
        <v>0.76097380000000003</v>
      </c>
      <c r="Q5733">
        <v>0.14714820000000001</v>
      </c>
      <c r="R5733">
        <v>-0.63187569999999904</v>
      </c>
      <c r="S5733">
        <v>1.9665220000000001</v>
      </c>
      <c r="T5733">
        <v>-0.24433679999999999</v>
      </c>
      <c r="U5733">
        <v>-2.440369</v>
      </c>
      <c r="V5733">
        <v>0.34049439999999997</v>
      </c>
      <c r="W5733">
        <v>0.16105749999999999</v>
      </c>
      <c r="X5733">
        <v>0.92634989999999995</v>
      </c>
      <c r="Y5733">
        <v>0.52119669999999996</v>
      </c>
      <c r="Z5733">
        <v>5.6150760000000001E-3</v>
      </c>
      <c r="AA5733">
        <v>0.85341809999999996</v>
      </c>
      <c r="AB5733">
        <v>20</v>
      </c>
      <c r="AC5733">
        <v>8.8395999999999599</v>
      </c>
      <c r="AD5733">
        <v>-1.109097</v>
      </c>
      <c r="AE5733">
        <v>-11.043366000000001</v>
      </c>
      <c r="AF5733">
        <v>7.3743872773247103</v>
      </c>
      <c r="AG5733">
        <v>-1.109097</v>
      </c>
      <c r="AH5733">
        <v>11.9697611730746</v>
      </c>
      <c r="AI5733">
        <v>94.510636265957203</v>
      </c>
      <c r="AJ5733">
        <v>58.363410881337899</v>
      </c>
      <c r="AK5733">
        <v>14.102725495868601</v>
      </c>
      <c r="AL5733">
        <v>80.731717808536999</v>
      </c>
      <c r="AM5733">
        <v>69.818306261569404</v>
      </c>
      <c r="AN5733">
        <v>1.0000000459838001</v>
      </c>
    </row>
    <row r="5734" spans="1:40" x14ac:dyDescent="0.25">
      <c r="A5734" t="str">
        <f>"20190312172522745"</f>
        <v>20190312172522745</v>
      </c>
      <c r="B5734" t="str">
        <f>"1552382722736386"</f>
        <v>1552382722736386</v>
      </c>
      <c r="C5734" t="s">
        <v>40</v>
      </c>
      <c r="D5734">
        <v>4.1971230000000004</v>
      </c>
      <c r="E5734">
        <v>0.58037260000000002</v>
      </c>
      <c r="F5734" t="s">
        <v>42</v>
      </c>
      <c r="G5734">
        <v>-305.33850000000001</v>
      </c>
      <c r="H5734">
        <v>-0.05</v>
      </c>
      <c r="I5734">
        <v>3.4427340000000002</v>
      </c>
      <c r="J5734">
        <v>-314.10480000000001</v>
      </c>
      <c r="K5734">
        <v>1.058824</v>
      </c>
      <c r="L5734">
        <v>14.484439999999999</v>
      </c>
      <c r="M5734">
        <v>0.93981689999999996</v>
      </c>
      <c r="N5734">
        <v>0</v>
      </c>
      <c r="O5734">
        <v>-0.34114699999999998</v>
      </c>
      <c r="P5734">
        <v>0.75794359999999905</v>
      </c>
      <c r="Q5734">
        <v>0.1475388</v>
      </c>
      <c r="R5734">
        <v>-0.6354166</v>
      </c>
      <c r="S5734">
        <v>1.957489</v>
      </c>
      <c r="T5734">
        <v>-0.24493989999999999</v>
      </c>
      <c r="U5734">
        <v>-2.4474179999999999</v>
      </c>
      <c r="V5734">
        <v>0.34059970000000001</v>
      </c>
      <c r="W5734">
        <v>0.16118879999999999</v>
      </c>
      <c r="X5734">
        <v>0.92628829999999995</v>
      </c>
      <c r="Y5734">
        <v>0.52041819999999905</v>
      </c>
      <c r="Z5734">
        <v>6.0356150000000003E-3</v>
      </c>
      <c r="AA5734">
        <v>0.85389020000000004</v>
      </c>
      <c r="AB5734">
        <v>20</v>
      </c>
      <c r="AC5734">
        <v>8.7662999999999993</v>
      </c>
      <c r="AD5734">
        <v>-1.108824</v>
      </c>
      <c r="AE5734">
        <v>-11.041706</v>
      </c>
      <c r="AF5734">
        <v>7.34250802799317</v>
      </c>
      <c r="AG5734">
        <v>-1.108824</v>
      </c>
      <c r="AH5734">
        <v>11.933922667028501</v>
      </c>
      <c r="AI5734">
        <v>94.524668515760894</v>
      </c>
      <c r="AJ5734">
        <v>58.397527845095198</v>
      </c>
      <c r="AK5734">
        <v>14.055618984119301</v>
      </c>
      <c r="AL5734">
        <v>80.724094847259394</v>
      </c>
      <c r="AM5734">
        <v>69.811334629408407</v>
      </c>
      <c r="AN5734">
        <v>0.99999999980120902</v>
      </c>
    </row>
    <row r="5735" spans="1:40" x14ac:dyDescent="0.25">
      <c r="A5735" t="str">
        <f>"20190312172522760"</f>
        <v>20190312172522760</v>
      </c>
      <c r="B5735" t="str">
        <f>"1552382722755907"</f>
        <v>1552382722755907</v>
      </c>
      <c r="C5735" t="s">
        <v>40</v>
      </c>
      <c r="D5735">
        <v>4.1938180000000003</v>
      </c>
      <c r="E5735">
        <v>0.58001599999999998</v>
      </c>
      <c r="F5735" t="s">
        <v>42</v>
      </c>
      <c r="G5735">
        <v>-305.28859999999997</v>
      </c>
      <c r="H5735">
        <v>-0.05</v>
      </c>
      <c r="I5735">
        <v>3.3677980000000001</v>
      </c>
      <c r="J5735">
        <v>-313.98239999999998</v>
      </c>
      <c r="K5735">
        <v>1.058505</v>
      </c>
      <c r="L5735">
        <v>14.43295</v>
      </c>
      <c r="M5735">
        <v>0.93782089999999996</v>
      </c>
      <c r="N5735">
        <v>0</v>
      </c>
      <c r="O5735">
        <v>-0.34661520000000001</v>
      </c>
      <c r="P5735">
        <v>0.7540502</v>
      </c>
      <c r="Q5735">
        <v>0.14806029999999901</v>
      </c>
      <c r="R5735">
        <v>-0.63991149999999997</v>
      </c>
      <c r="S5735">
        <v>1.9472959999999999</v>
      </c>
      <c r="T5735">
        <v>-0.2449141</v>
      </c>
      <c r="U5735">
        <v>-2.4554140000000002</v>
      </c>
      <c r="V5735">
        <v>0.34075509999999998</v>
      </c>
      <c r="W5735">
        <v>0.1613888</v>
      </c>
      <c r="X5735">
        <v>0.92619629999999997</v>
      </c>
      <c r="Y5735">
        <v>0.51899479999999998</v>
      </c>
      <c r="Z5735">
        <v>6.5713100000000003E-3</v>
      </c>
      <c r="AA5735">
        <v>0.85475210000000001</v>
      </c>
      <c r="AB5735">
        <v>20</v>
      </c>
      <c r="AC5735">
        <v>8.6938000000000102</v>
      </c>
      <c r="AD5735">
        <v>-1.1085049999999901</v>
      </c>
      <c r="AE5735">
        <v>-11.065151999999999</v>
      </c>
      <c r="AF5735">
        <v>7.3195953598654597</v>
      </c>
      <c r="AG5735">
        <v>-1.1085049999999901</v>
      </c>
      <c r="AH5735">
        <v>11.916727387733999</v>
      </c>
      <c r="AI5735">
        <v>94.531955418714801</v>
      </c>
      <c r="AJ5735">
        <v>58.440562071851097</v>
      </c>
      <c r="AK5735">
        <v>14.0290288758972</v>
      </c>
      <c r="AL5735">
        <v>80.712483526081201</v>
      </c>
      <c r="AM5735">
        <v>69.801023570735396</v>
      </c>
      <c r="AN5735">
        <v>0.999999984537569</v>
      </c>
    </row>
    <row r="5736" spans="1:40" x14ac:dyDescent="0.25">
      <c r="A5736" t="str">
        <f>"20190312172522773"</f>
        <v>20190312172522773</v>
      </c>
      <c r="B5736" t="str">
        <f>"1552382722766643"</f>
        <v>1552382722766643</v>
      </c>
      <c r="C5736" t="s">
        <v>40</v>
      </c>
      <c r="D5736">
        <v>4.1744750000000002</v>
      </c>
      <c r="E5736">
        <v>0.57986459999999995</v>
      </c>
      <c r="F5736" t="s">
        <v>42</v>
      </c>
      <c r="G5736">
        <v>-305.27</v>
      </c>
      <c r="H5736">
        <v>-0.05</v>
      </c>
      <c r="I5736">
        <v>3.3336939999999999</v>
      </c>
      <c r="J5736">
        <v>-313.8802</v>
      </c>
      <c r="K5736">
        <v>1.0582640000000001</v>
      </c>
      <c r="L5736">
        <v>14.38907</v>
      </c>
      <c r="M5736">
        <v>0.93610890000000002</v>
      </c>
      <c r="N5736">
        <v>0</v>
      </c>
      <c r="O5736">
        <v>-0.35122730000000002</v>
      </c>
      <c r="P5736">
        <v>0.75084050000000002</v>
      </c>
      <c r="Q5736">
        <v>0.14831949999999999</v>
      </c>
      <c r="R5736">
        <v>-0.6436151</v>
      </c>
      <c r="S5736">
        <v>1.9349369999999999</v>
      </c>
      <c r="T5736">
        <v>-0.24618999999999999</v>
      </c>
      <c r="U5736">
        <v>-2.4650569999999998</v>
      </c>
      <c r="V5736">
        <v>0.34077679999999999</v>
      </c>
      <c r="W5736">
        <v>0.1613841</v>
      </c>
      <c r="X5736">
        <v>0.92618909999999999</v>
      </c>
      <c r="Y5736">
        <v>0.51907159999999997</v>
      </c>
      <c r="Z5736">
        <v>7.0013799999999998E-3</v>
      </c>
      <c r="AA5736">
        <v>0.85470210000000002</v>
      </c>
      <c r="AB5736">
        <v>20</v>
      </c>
      <c r="AC5736">
        <v>8.6102000000000096</v>
      </c>
      <c r="AD5736">
        <v>-1.1082639999999999</v>
      </c>
      <c r="AE5736">
        <v>-11.055376000000001</v>
      </c>
      <c r="AF5736">
        <v>7.2806008045201498</v>
      </c>
      <c r="AG5736">
        <v>-1.1082639999999999</v>
      </c>
      <c r="AH5736">
        <v>11.870808494923001</v>
      </c>
      <c r="AI5736">
        <v>94.550263410670894</v>
      </c>
      <c r="AJ5736">
        <v>58.478390017304498</v>
      </c>
      <c r="AK5736">
        <v>13.9696632561995</v>
      </c>
      <c r="AL5736">
        <v>80.712756088841203</v>
      </c>
      <c r="AM5736">
        <v>69.799696887934402</v>
      </c>
      <c r="AN5736">
        <v>0.99999995205492798</v>
      </c>
    </row>
    <row r="5737" spans="1:40" x14ac:dyDescent="0.25">
      <c r="A5737" t="str">
        <f>"20190312172522790"</f>
        <v>20190312172522790</v>
      </c>
      <c r="B5737" t="str">
        <f>"1552382722786162"</f>
        <v>1552382722786162</v>
      </c>
      <c r="C5737" t="s">
        <v>40</v>
      </c>
      <c r="D5737">
        <v>4.145092</v>
      </c>
      <c r="E5737">
        <v>0.57948409999999995</v>
      </c>
      <c r="F5737" t="s">
        <v>42</v>
      </c>
      <c r="G5737">
        <v>-305.24119999999999</v>
      </c>
      <c r="H5737">
        <v>-0.05</v>
      </c>
      <c r="I5737">
        <v>3.2778930000000002</v>
      </c>
      <c r="J5737">
        <v>-313.74419999999998</v>
      </c>
      <c r="K5737">
        <v>1.0579730000000001</v>
      </c>
      <c r="L5737">
        <v>14.3299</v>
      </c>
      <c r="M5737">
        <v>0.93378059999999996</v>
      </c>
      <c r="N5737">
        <v>0</v>
      </c>
      <c r="O5737">
        <v>-0.35738989999999998</v>
      </c>
      <c r="P5737">
        <v>0.74650530000000004</v>
      </c>
      <c r="Q5737">
        <v>0.1484712</v>
      </c>
      <c r="R5737">
        <v>-0.64860359999999995</v>
      </c>
      <c r="S5737">
        <v>1.9235530000000001</v>
      </c>
      <c r="T5737">
        <v>-0.24676780000000001</v>
      </c>
      <c r="U5737">
        <v>-2.47403</v>
      </c>
      <c r="V5737">
        <v>0.34085680000000002</v>
      </c>
      <c r="W5737">
        <v>0.1611921</v>
      </c>
      <c r="X5737">
        <v>0.92619309999999999</v>
      </c>
      <c r="Y5737">
        <v>0.51741139999999997</v>
      </c>
      <c r="Z5737">
        <v>7.6301379999999999E-3</v>
      </c>
      <c r="AA5737">
        <v>0.85570279999999999</v>
      </c>
      <c r="AB5737">
        <v>20</v>
      </c>
      <c r="AC5737">
        <v>8.5029999999999806</v>
      </c>
      <c r="AD5737">
        <v>-1.1079729999999901</v>
      </c>
      <c r="AE5737">
        <v>-11.052007</v>
      </c>
      <c r="AF5737">
        <v>7.2367637282204003</v>
      </c>
      <c r="AG5737">
        <v>-1.1079729999999901</v>
      </c>
      <c r="AH5737">
        <v>11.817147142234401</v>
      </c>
      <c r="AI5737">
        <v>94.571518255621996</v>
      </c>
      <c r="AJ5737">
        <v>58.516898943382401</v>
      </c>
      <c r="AK5737">
        <v>13.901198509770101</v>
      </c>
      <c r="AL5737">
        <v>80.723902845268199</v>
      </c>
      <c r="AM5737">
        <v>69.795418348371896</v>
      </c>
      <c r="AN5737">
        <v>0.99999995484812898</v>
      </c>
    </row>
    <row r="5738" spans="1:40" x14ac:dyDescent="0.25">
      <c r="A5738" t="str">
        <f>"20190312172522803"</f>
        <v>20190312172522803</v>
      </c>
      <c r="B5738" t="str">
        <f>"1552382722795924"</f>
        <v>1552382722795924</v>
      </c>
      <c r="C5738" t="s">
        <v>40</v>
      </c>
      <c r="D5738">
        <v>4.1250799999999996</v>
      </c>
      <c r="E5738">
        <v>0.57948409999999995</v>
      </c>
      <c r="F5738" t="s">
        <v>42</v>
      </c>
      <c r="G5738">
        <v>-305.2389</v>
      </c>
      <c r="H5738">
        <v>-0.05</v>
      </c>
      <c r="I5738">
        <v>3.2648160000000002</v>
      </c>
      <c r="J5738">
        <v>-313.62990000000002</v>
      </c>
      <c r="K5738">
        <v>1.05775</v>
      </c>
      <c r="L5738">
        <v>14.27936</v>
      </c>
      <c r="M5738">
        <v>0.93177500000000002</v>
      </c>
      <c r="N5738">
        <v>0</v>
      </c>
      <c r="O5738">
        <v>-0.3626007</v>
      </c>
      <c r="P5738">
        <v>0.74286090000000005</v>
      </c>
      <c r="Q5738">
        <v>0.14873249999999999</v>
      </c>
      <c r="R5738">
        <v>-0.65271469999999998</v>
      </c>
      <c r="S5738">
        <v>1.909637</v>
      </c>
      <c r="T5738">
        <v>-0.2487664</v>
      </c>
      <c r="U5738">
        <v>-2.484375</v>
      </c>
      <c r="V5738">
        <v>0.34081820000000002</v>
      </c>
      <c r="W5738">
        <v>0.16117709999999999</v>
      </c>
      <c r="X5738">
        <v>0.92620999999999998</v>
      </c>
      <c r="Y5738">
        <v>0.51737310000000003</v>
      </c>
      <c r="Z5738">
        <v>8.1516090000000006E-3</v>
      </c>
      <c r="AA5738">
        <v>0.85572109999999901</v>
      </c>
      <c r="AB5738">
        <v>20</v>
      </c>
      <c r="AC5738">
        <v>8.3910000000000196</v>
      </c>
      <c r="AD5738">
        <v>-1.10775</v>
      </c>
      <c r="AE5738">
        <v>-11.014544000000001</v>
      </c>
      <c r="AF5738">
        <v>7.1757094754532904</v>
      </c>
      <c r="AG5738">
        <v>-1.10775</v>
      </c>
      <c r="AH5738">
        <v>11.7391394837292</v>
      </c>
      <c r="AI5738">
        <v>94.603152317334406</v>
      </c>
      <c r="AJ5738">
        <v>58.564070626152102</v>
      </c>
      <c r="AK5738">
        <v>13.803090681331501</v>
      </c>
      <c r="AL5738">
        <v>80.724774405142796</v>
      </c>
      <c r="AM5738">
        <v>69.7978602251968</v>
      </c>
      <c r="AN5738">
        <v>1.0000000335578201</v>
      </c>
    </row>
    <row r="5739" spans="1:40" x14ac:dyDescent="0.25">
      <c r="A5739" t="str">
        <f>"20190312172522814"</f>
        <v>20190312172522814</v>
      </c>
      <c r="B5739" t="str">
        <f>"1552382722806659"</f>
        <v>1552382722806659</v>
      </c>
      <c r="C5739" t="s">
        <v>40</v>
      </c>
      <c r="D5739">
        <v>4.13408</v>
      </c>
      <c r="E5739">
        <v>0.57328500000000004</v>
      </c>
      <c r="F5739" t="s">
        <v>42</v>
      </c>
      <c r="G5739">
        <v>-305.16269999999997</v>
      </c>
      <c r="H5739">
        <v>-0.05</v>
      </c>
      <c r="I5739">
        <v>3.1371150000000001</v>
      </c>
      <c r="J5739">
        <v>-313.53649999999999</v>
      </c>
      <c r="K5739">
        <v>1.05759</v>
      </c>
      <c r="L5739">
        <v>14.23734</v>
      </c>
      <c r="M5739">
        <v>0.93009980000000003</v>
      </c>
      <c r="N5739">
        <v>0</v>
      </c>
      <c r="O5739">
        <v>-0.36688720000000002</v>
      </c>
      <c r="P5739">
        <v>0.7396471</v>
      </c>
      <c r="Q5739">
        <v>0.14874309999999999</v>
      </c>
      <c r="R5739">
        <v>-0.65635189999999999</v>
      </c>
      <c r="S5739">
        <v>1.8959349999999999</v>
      </c>
      <c r="T5739">
        <v>-0.24804370000000001</v>
      </c>
      <c r="U5739">
        <v>-2.4949340000000002</v>
      </c>
      <c r="V5739">
        <v>0.341099599999999</v>
      </c>
      <c r="W5739">
        <v>0.160973799999999</v>
      </c>
      <c r="X5739">
        <v>0.92614169999999996</v>
      </c>
      <c r="Y5739">
        <v>0.51816980000000001</v>
      </c>
      <c r="Z5739">
        <v>8.4665550000000006E-3</v>
      </c>
      <c r="AA5739">
        <v>0.85523579999999999</v>
      </c>
      <c r="AB5739">
        <v>20</v>
      </c>
      <c r="AC5739">
        <v>8.3738000000000099</v>
      </c>
      <c r="AD5739">
        <v>-1.1075900000000001</v>
      </c>
      <c r="AE5739">
        <v>-11.100225</v>
      </c>
      <c r="AF5739">
        <v>7.2074617192011097</v>
      </c>
      <c r="AG5739">
        <v>-1.1075900000000001</v>
      </c>
      <c r="AH5739">
        <v>11.7880304511693</v>
      </c>
      <c r="AI5739">
        <v>94.583161276118105</v>
      </c>
      <c r="AJ5739">
        <v>58.557464991940897</v>
      </c>
      <c r="AK5739">
        <v>13.861165966813299</v>
      </c>
      <c r="AL5739">
        <v>80.736576202884606</v>
      </c>
      <c r="AM5739">
        <v>69.781159891496003</v>
      </c>
      <c r="AN5739">
        <v>0.99999997494274395</v>
      </c>
    </row>
    <row r="5740" spans="1:40" x14ac:dyDescent="0.25">
      <c r="A5740" t="str">
        <f>"20190312172522826"</f>
        <v>20190312172522826</v>
      </c>
      <c r="B5740" t="str">
        <f>"1552382722816419"</f>
        <v>1552382722816419</v>
      </c>
      <c r="C5740" t="s">
        <v>40</v>
      </c>
      <c r="D5740">
        <v>4.1020289999999999</v>
      </c>
      <c r="E5740">
        <v>0.57328500000000004</v>
      </c>
      <c r="F5740" t="s">
        <v>42</v>
      </c>
      <c r="G5740">
        <v>-305.6583</v>
      </c>
      <c r="H5740">
        <v>-0.05</v>
      </c>
      <c r="I5740">
        <v>4.1027370000000003</v>
      </c>
      <c r="J5740">
        <v>-313.44749999999999</v>
      </c>
      <c r="K5740">
        <v>1.0574490000000001</v>
      </c>
      <c r="L5740">
        <v>14.196870000000001</v>
      </c>
      <c r="M5740">
        <v>0.92847650000000004</v>
      </c>
      <c r="N5740">
        <v>0</v>
      </c>
      <c r="O5740">
        <v>-0.37098609999999999</v>
      </c>
      <c r="P5740">
        <v>0.73657229999999996</v>
      </c>
      <c r="Q5740">
        <v>0.14916370000000001</v>
      </c>
      <c r="R5740">
        <v>-0.65970589999999996</v>
      </c>
      <c r="S5740">
        <v>1.9193119999999999</v>
      </c>
      <c r="T5740">
        <v>-0.26983190000000001</v>
      </c>
      <c r="U5740">
        <v>-2.4689939999999999</v>
      </c>
      <c r="V5740">
        <v>0.34125879999999997</v>
      </c>
      <c r="W5740">
        <v>0.16120100000000001</v>
      </c>
      <c r="X5740">
        <v>0.92604359999999997</v>
      </c>
      <c r="Y5740">
        <v>0.50492729999999997</v>
      </c>
      <c r="Z5740">
        <v>1.028081E-2</v>
      </c>
      <c r="AA5740">
        <v>0.8631006</v>
      </c>
      <c r="AB5740">
        <v>20</v>
      </c>
      <c r="AC5740">
        <v>7.7891999999999904</v>
      </c>
      <c r="AD5740">
        <v>-1.1074489999999999</v>
      </c>
      <c r="AE5740">
        <v>-10.094132999999999</v>
      </c>
      <c r="AF5740">
        <v>6.4349076289154503</v>
      </c>
      <c r="AG5740">
        <v>-1.1074489999999999</v>
      </c>
      <c r="AH5740">
        <v>10.896316655317101</v>
      </c>
      <c r="AI5740">
        <v>95.001433032265396</v>
      </c>
      <c r="AJ5740">
        <v>59.435682745112302</v>
      </c>
      <c r="AK5740">
        <v>12.702920771744401</v>
      </c>
      <c r="AL5740">
        <v>80.7233869529759</v>
      </c>
      <c r="AM5740">
        <v>69.770518748363997</v>
      </c>
      <c r="AN5740">
        <v>1.00000004003969</v>
      </c>
    </row>
    <row r="5741" spans="1:40" x14ac:dyDescent="0.25">
      <c r="A5741" t="str">
        <f>"20190312172522837"</f>
        <v>20190312172522837</v>
      </c>
      <c r="B5741" t="str">
        <f>"1552382722826179"</f>
        <v>1552382722826179</v>
      </c>
      <c r="C5741" t="s">
        <v>40</v>
      </c>
      <c r="D5741">
        <v>4.0383060000000004</v>
      </c>
      <c r="E5741">
        <v>0.57956549999999996</v>
      </c>
      <c r="F5741" t="s">
        <v>42</v>
      </c>
      <c r="G5741">
        <v>-305.58100000000002</v>
      </c>
      <c r="H5741">
        <v>-0.05</v>
      </c>
      <c r="I5741">
        <v>3.9807130000000002</v>
      </c>
      <c r="J5741">
        <v>-313.34649999999999</v>
      </c>
      <c r="K5741">
        <v>1.0573049999999999</v>
      </c>
      <c r="L5741">
        <v>14.150449999999999</v>
      </c>
      <c r="M5741">
        <v>0.92660279999999995</v>
      </c>
      <c r="N5741">
        <v>0</v>
      </c>
      <c r="O5741">
        <v>-0.37565120000000002</v>
      </c>
      <c r="P5741">
        <v>0.73304369999999996</v>
      </c>
      <c r="Q5741">
        <v>0.14944360000000001</v>
      </c>
      <c r="R5741">
        <v>-0.66356159999999997</v>
      </c>
      <c r="S5741">
        <v>1.9079900000000001</v>
      </c>
      <c r="T5741">
        <v>-0.26860889999999998</v>
      </c>
      <c r="U5741">
        <v>-2.4779049999999998</v>
      </c>
      <c r="V5741">
        <v>0.34148440000000002</v>
      </c>
      <c r="W5741">
        <v>0.16127449999999999</v>
      </c>
      <c r="X5741">
        <v>0.92594759999999998</v>
      </c>
      <c r="Y5741">
        <v>0.50458400000000003</v>
      </c>
      <c r="Z5741">
        <v>1.069432E-2</v>
      </c>
      <c r="AA5741">
        <v>0.86329639999999996</v>
      </c>
      <c r="AB5741">
        <v>20</v>
      </c>
      <c r="AC5741">
        <v>7.7655000000000296</v>
      </c>
      <c r="AD5741">
        <v>-1.107305</v>
      </c>
      <c r="AE5741">
        <v>-10.169737</v>
      </c>
      <c r="AF5741">
        <v>6.4587733229940998</v>
      </c>
      <c r="AG5741">
        <v>-1.107305</v>
      </c>
      <c r="AH5741">
        <v>10.9355298743166</v>
      </c>
      <c r="AI5741">
        <v>94.982803805798497</v>
      </c>
      <c r="AJ5741">
        <v>59.432932467594199</v>
      </c>
      <c r="AK5741">
        <v>12.748634861541699</v>
      </c>
      <c r="AL5741">
        <v>80.719119589409104</v>
      </c>
      <c r="AM5741">
        <v>69.756302119590401</v>
      </c>
      <c r="AN5741">
        <v>1.0000000088696801</v>
      </c>
    </row>
    <row r="5742" spans="1:40" x14ac:dyDescent="0.25">
      <c r="A5742" t="str">
        <f>"20190312172522850"</f>
        <v>20190312172522850</v>
      </c>
      <c r="B5742" t="str">
        <f>"1552382722846676"</f>
        <v>1552382722846676</v>
      </c>
      <c r="C5742" t="s">
        <v>40</v>
      </c>
      <c r="D5742">
        <v>4.0309499999999998</v>
      </c>
      <c r="E5742">
        <v>0.58466989999999996</v>
      </c>
      <c r="F5742" t="s">
        <v>42</v>
      </c>
      <c r="G5742">
        <v>-305.41359999999997</v>
      </c>
      <c r="H5742">
        <v>-0.05</v>
      </c>
      <c r="I5742">
        <v>3.3856199999999999</v>
      </c>
      <c r="J5742">
        <v>-313.25240000000002</v>
      </c>
      <c r="K5742">
        <v>1.057185</v>
      </c>
      <c r="L5742">
        <v>14.10638</v>
      </c>
      <c r="M5742">
        <v>0.92481919999999995</v>
      </c>
      <c r="N5742">
        <v>0</v>
      </c>
      <c r="O5742">
        <v>-0.38002970000000003</v>
      </c>
      <c r="P5742">
        <v>0.72965380000000002</v>
      </c>
      <c r="Q5742">
        <v>0.14983479999999999</v>
      </c>
      <c r="R5742">
        <v>-0.66719969999999995</v>
      </c>
      <c r="S5742">
        <v>1.8603209999999999</v>
      </c>
      <c r="T5742">
        <v>-0.25966909999999999</v>
      </c>
      <c r="U5742">
        <v>-2.5244140000000002</v>
      </c>
      <c r="V5742">
        <v>0.34174539999999998</v>
      </c>
      <c r="W5742">
        <v>0.161485299999999</v>
      </c>
      <c r="X5742">
        <v>0.92581460000000004</v>
      </c>
      <c r="Y5742">
        <v>0.51864480000000002</v>
      </c>
      <c r="Z5742">
        <v>1.0040840000000001E-2</v>
      </c>
      <c r="AA5742">
        <v>0.85493090000000005</v>
      </c>
      <c r="AB5742">
        <v>20</v>
      </c>
      <c r="AC5742">
        <v>7.83880000000004</v>
      </c>
      <c r="AD5742">
        <v>-1.1071850000000001</v>
      </c>
      <c r="AE5742">
        <v>-10.72076</v>
      </c>
      <c r="AF5742">
        <v>6.8889047638217802</v>
      </c>
      <c r="AG5742">
        <v>-1.1071850000000001</v>
      </c>
      <c r="AH5742">
        <v>11.247136471967099</v>
      </c>
      <c r="AI5742">
        <v>94.798518845420205</v>
      </c>
      <c r="AJ5742">
        <v>58.512405888152102</v>
      </c>
      <c r="AK5742">
        <v>13.235593915207801</v>
      </c>
      <c r="AL5742">
        <v>80.706881581065502</v>
      </c>
      <c r="AM5742">
        <v>69.739413244195802</v>
      </c>
      <c r="AN5742">
        <v>1.0000000470552</v>
      </c>
    </row>
    <row r="5743" spans="1:40" x14ac:dyDescent="0.25">
      <c r="A5743" t="str">
        <f>"20190312172522865"</f>
        <v>20190312172522865</v>
      </c>
      <c r="B5743" t="str">
        <f>"1552382722856436"</f>
        <v>1552382722856436</v>
      </c>
      <c r="C5743" t="s">
        <v>40</v>
      </c>
      <c r="D5743">
        <v>4.0050679999999996</v>
      </c>
      <c r="E5743">
        <v>0.58625329999999998</v>
      </c>
      <c r="F5743" t="s">
        <v>42</v>
      </c>
      <c r="G5743">
        <v>-305.35939999999999</v>
      </c>
      <c r="H5743">
        <v>-0.05</v>
      </c>
      <c r="I5743">
        <v>2.988235</v>
      </c>
      <c r="J5743">
        <v>-313.13619999999997</v>
      </c>
      <c r="K5743">
        <v>1.057045</v>
      </c>
      <c r="L5743">
        <v>14.051450000000001</v>
      </c>
      <c r="M5743">
        <v>0.92257659999999997</v>
      </c>
      <c r="N5743">
        <v>0</v>
      </c>
      <c r="O5743">
        <v>-0.3854514</v>
      </c>
      <c r="P5743">
        <v>0.72540179999999999</v>
      </c>
      <c r="Q5743">
        <v>0.1502598</v>
      </c>
      <c r="R5743">
        <v>-0.67172509999999996</v>
      </c>
      <c r="S5743">
        <v>1.819885</v>
      </c>
      <c r="T5743">
        <v>-0.25528339999999999</v>
      </c>
      <c r="U5743">
        <v>-2.563507</v>
      </c>
      <c r="V5743">
        <v>0.3421091</v>
      </c>
      <c r="W5743">
        <v>0.16169559999999999</v>
      </c>
      <c r="X5743">
        <v>0.92564349999999995</v>
      </c>
      <c r="Y5743">
        <v>0.52875240000000001</v>
      </c>
      <c r="Z5743">
        <v>9.8580439999999998E-3</v>
      </c>
      <c r="AA5743">
        <v>0.84871890000000005</v>
      </c>
      <c r="AB5743">
        <v>20</v>
      </c>
      <c r="AC5743">
        <v>7.7767999999999802</v>
      </c>
      <c r="AD5743">
        <v>-1.1070450000000001</v>
      </c>
      <c r="AE5743">
        <v>-11.063215</v>
      </c>
      <c r="AF5743">
        <v>7.1620953220108996</v>
      </c>
      <c r="AG5743">
        <v>-1.1070450000000001</v>
      </c>
      <c r="AH5743">
        <v>11.3644647422175</v>
      </c>
      <c r="AI5743">
        <v>94.711217434464999</v>
      </c>
      <c r="AJ5743">
        <v>57.780113249867703</v>
      </c>
      <c r="AK5743">
        <v>13.4785836388955</v>
      </c>
      <c r="AL5743">
        <v>80.694671340153704</v>
      </c>
      <c r="AM5743">
        <v>69.716163355685495</v>
      </c>
      <c r="AN5743">
        <v>0.99999999622720903</v>
      </c>
    </row>
    <row r="5744" spans="1:40" x14ac:dyDescent="0.25">
      <c r="A5744" t="str">
        <f>"20190312172522877"</f>
        <v>20190312172522877</v>
      </c>
      <c r="B5744" t="str">
        <f>"1552382722866197"</f>
        <v>1552382722866197</v>
      </c>
      <c r="C5744" t="s">
        <v>40</v>
      </c>
      <c r="D5744">
        <v>4.0424939999999996</v>
      </c>
      <c r="E5744">
        <v>0.58735159999999997</v>
      </c>
      <c r="F5744" t="s">
        <v>42</v>
      </c>
      <c r="G5744">
        <v>-305.2978</v>
      </c>
      <c r="H5744">
        <v>-0.05</v>
      </c>
      <c r="I5744">
        <v>2.766006</v>
      </c>
      <c r="J5744">
        <v>-313.02600000000001</v>
      </c>
      <c r="K5744">
        <v>1.056926</v>
      </c>
      <c r="L5744">
        <v>13.9985</v>
      </c>
      <c r="M5744">
        <v>0.92040239999999995</v>
      </c>
      <c r="N5744">
        <v>0</v>
      </c>
      <c r="O5744">
        <v>-0.39062350000000001</v>
      </c>
      <c r="P5744">
        <v>0.72125169999999905</v>
      </c>
      <c r="Q5744">
        <v>0.15059939999999999</v>
      </c>
      <c r="R5744">
        <v>-0.67610380000000003</v>
      </c>
      <c r="S5744">
        <v>1.795013</v>
      </c>
      <c r="T5744">
        <v>-0.25351439999999997</v>
      </c>
      <c r="U5744">
        <v>-2.584381</v>
      </c>
      <c r="V5744">
        <v>0.34255049999999998</v>
      </c>
      <c r="W5744">
        <v>0.16184100000000001</v>
      </c>
      <c r="X5744">
        <v>0.92545480000000002</v>
      </c>
      <c r="Y5744">
        <v>0.53272249999999999</v>
      </c>
      <c r="Z5744">
        <v>1.005957E-2</v>
      </c>
      <c r="AA5744">
        <v>0.84623019999999904</v>
      </c>
      <c r="AB5744">
        <v>19</v>
      </c>
      <c r="AC5744">
        <v>7.72820000000001</v>
      </c>
      <c r="AD5744">
        <v>-1.1069260000000001</v>
      </c>
      <c r="AE5744">
        <v>-11.232494000000001</v>
      </c>
      <c r="AF5744">
        <v>7.2726597830167901</v>
      </c>
      <c r="AG5744">
        <v>-1.1069260000000001</v>
      </c>
      <c r="AH5744">
        <v>11.4269796340754</v>
      </c>
      <c r="AI5744">
        <v>94.671944684390198</v>
      </c>
      <c r="AJ5744">
        <v>57.525433598665302</v>
      </c>
      <c r="AK5744">
        <v>13.5901703096966</v>
      </c>
      <c r="AL5744">
        <v>80.686229101326703</v>
      </c>
      <c r="AM5744">
        <v>69.6883262444032</v>
      </c>
      <c r="AN5744">
        <v>0.99999997058714396</v>
      </c>
    </row>
    <row r="5745" spans="1:40" x14ac:dyDescent="0.25">
      <c r="A5745" t="str">
        <f>"20190312172522889"</f>
        <v>20190312172522889</v>
      </c>
      <c r="B5745" t="str">
        <f>"1552382722885715"</f>
        <v>1552382722885715</v>
      </c>
      <c r="C5745" t="s">
        <v>40</v>
      </c>
      <c r="D5745">
        <v>4.0660669999999897</v>
      </c>
      <c r="E5745">
        <v>0.58909089999999997</v>
      </c>
      <c r="F5745" t="s">
        <v>42</v>
      </c>
      <c r="G5745">
        <v>-305.23719999999997</v>
      </c>
      <c r="H5745">
        <v>-0.05</v>
      </c>
      <c r="I5745">
        <v>2.568756</v>
      </c>
      <c r="J5745">
        <v>-312.94040000000001</v>
      </c>
      <c r="K5745">
        <v>1.05684</v>
      </c>
      <c r="L5745">
        <v>13.9567</v>
      </c>
      <c r="M5745">
        <v>0.91868130000000003</v>
      </c>
      <c r="N5745">
        <v>0</v>
      </c>
      <c r="O5745">
        <v>-0.39465990000000001</v>
      </c>
      <c r="P5745">
        <v>0.71817109999999995</v>
      </c>
      <c r="Q5745">
        <v>0.1507443</v>
      </c>
      <c r="R5745">
        <v>-0.67934259999999902</v>
      </c>
      <c r="S5745">
        <v>1.7730410000000001</v>
      </c>
      <c r="T5745">
        <v>-0.2519807</v>
      </c>
      <c r="U5745">
        <v>-2.6018680000000001</v>
      </c>
      <c r="V5745">
        <v>0.34266819999999998</v>
      </c>
      <c r="W5745">
        <v>0.16184809999999999</v>
      </c>
      <c r="X5745">
        <v>0.92540999999999995</v>
      </c>
      <c r="Y5745">
        <v>0.53654000000000002</v>
      </c>
      <c r="Z5745">
        <v>1.0175170000000001E-2</v>
      </c>
      <c r="AA5745">
        <v>0.84381349999999999</v>
      </c>
      <c r="AB5745">
        <v>19</v>
      </c>
      <c r="AC5745">
        <v>7.70320000000003</v>
      </c>
      <c r="AD5745">
        <v>-1.10684</v>
      </c>
      <c r="AE5745">
        <v>-11.387943999999999</v>
      </c>
      <c r="AF5745">
        <v>7.3749445788089503</v>
      </c>
      <c r="AG5745">
        <v>-1.10684</v>
      </c>
      <c r="AH5745">
        <v>11.4981814877106</v>
      </c>
      <c r="AI5745">
        <v>94.632402144516803</v>
      </c>
      <c r="AJ5745">
        <v>57.323848786625398</v>
      </c>
      <c r="AK5745">
        <v>13.704856068212999</v>
      </c>
      <c r="AL5745">
        <v>80.685817005987801</v>
      </c>
      <c r="AM5745">
        <v>69.681014443381599</v>
      </c>
      <c r="AN5745">
        <v>0.99999998543242397</v>
      </c>
    </row>
    <row r="5746" spans="1:40" x14ac:dyDescent="0.25">
      <c r="A5746" t="str">
        <f>"20190312172522900"</f>
        <v>20190312172522900</v>
      </c>
      <c r="B5746" t="str">
        <f>"1552382722896451"</f>
        <v>1552382722896451</v>
      </c>
      <c r="C5746" t="s">
        <v>40</v>
      </c>
      <c r="D5746">
        <v>4.0629410000000004</v>
      </c>
      <c r="E5746">
        <v>0.58956339999999996</v>
      </c>
      <c r="F5746" t="s">
        <v>42</v>
      </c>
      <c r="G5746">
        <v>-305.21030000000002</v>
      </c>
      <c r="H5746">
        <v>-0.05</v>
      </c>
      <c r="I5746">
        <v>2.3947910000000001</v>
      </c>
      <c r="J5746">
        <v>-312.85090000000002</v>
      </c>
      <c r="K5746">
        <v>1.056751</v>
      </c>
      <c r="L5746">
        <v>13.91272</v>
      </c>
      <c r="M5746">
        <v>0.91685749999999999</v>
      </c>
      <c r="N5746">
        <v>0</v>
      </c>
      <c r="O5746">
        <v>-0.39888449999999998</v>
      </c>
      <c r="P5746">
        <v>0.71490109999999996</v>
      </c>
      <c r="Q5746">
        <v>0.1507435</v>
      </c>
      <c r="R5746">
        <v>-0.68278339999999904</v>
      </c>
      <c r="S5746">
        <v>1.7516480000000001</v>
      </c>
      <c r="T5746">
        <v>-0.25081049999999999</v>
      </c>
      <c r="U5746">
        <v>-2.6199340000000002</v>
      </c>
      <c r="V5746">
        <v>0.34285409999999999</v>
      </c>
      <c r="W5746">
        <v>0.16170509999999999</v>
      </c>
      <c r="X5746">
        <v>0.92536620000000003</v>
      </c>
      <c r="Y5746">
        <v>0.54011430000000005</v>
      </c>
      <c r="Z5746">
        <v>1.0328560000000001E-2</v>
      </c>
      <c r="AA5746">
        <v>0.84152830000000001</v>
      </c>
      <c r="AB5746">
        <v>19</v>
      </c>
      <c r="AC5746">
        <v>7.6406000000000001</v>
      </c>
      <c r="AD5746">
        <v>-1.106751</v>
      </c>
      <c r="AE5746">
        <v>-11.517929000000001</v>
      </c>
      <c r="AF5746">
        <v>7.4657048291419201</v>
      </c>
      <c r="AG5746">
        <v>-1.106751</v>
      </c>
      <c r="AH5746">
        <v>11.5272838874128</v>
      </c>
      <c r="AI5746">
        <v>94.607304580729902</v>
      </c>
      <c r="AJ5746">
        <v>57.070679876837602</v>
      </c>
      <c r="AK5746">
        <v>13.7782408235914</v>
      </c>
      <c r="AL5746">
        <v>80.694120170099893</v>
      </c>
      <c r="AM5746">
        <v>69.670009679721204</v>
      </c>
      <c r="AN5746">
        <v>1.00000003867762</v>
      </c>
    </row>
    <row r="5747" spans="1:40" x14ac:dyDescent="0.25">
      <c r="A5747" t="str">
        <f>"20190312172522912"</f>
        <v>20190312172522912</v>
      </c>
      <c r="B5747" t="str">
        <f>"1552382722906211"</f>
        <v>1552382722906211</v>
      </c>
      <c r="C5747" t="s">
        <v>40</v>
      </c>
      <c r="D5747">
        <v>4.0103589999999896</v>
      </c>
      <c r="E5747">
        <v>0.58984590000000003</v>
      </c>
      <c r="F5747" t="s">
        <v>42</v>
      </c>
      <c r="G5747">
        <v>-305.2072</v>
      </c>
      <c r="H5747">
        <v>-0.05</v>
      </c>
      <c r="I5747">
        <v>2.3293910000000002</v>
      </c>
      <c r="J5747">
        <v>-312.75869999999998</v>
      </c>
      <c r="K5747">
        <v>1.0566719999999901</v>
      </c>
      <c r="L5747">
        <v>13.86661</v>
      </c>
      <c r="M5747">
        <v>0.91494370000000003</v>
      </c>
      <c r="N5747">
        <v>0</v>
      </c>
      <c r="O5747">
        <v>-0.40326010000000001</v>
      </c>
      <c r="P5747">
        <v>0.71154050000000002</v>
      </c>
      <c r="Q5747">
        <v>0.1507676</v>
      </c>
      <c r="R5747">
        <v>-0.68627939999999998</v>
      </c>
      <c r="S5747">
        <v>1.7363280000000001</v>
      </c>
      <c r="T5747">
        <v>-0.25140820000000003</v>
      </c>
      <c r="U5747">
        <v>-2.631256</v>
      </c>
      <c r="V5747">
        <v>0.34297440000000001</v>
      </c>
      <c r="W5747">
        <v>0.16159589999999999</v>
      </c>
      <c r="X5747">
        <v>0.92534070000000002</v>
      </c>
      <c r="Y5747">
        <v>0.54117990000000005</v>
      </c>
      <c r="Z5747">
        <v>1.069284E-2</v>
      </c>
      <c r="AA5747">
        <v>0.8408388</v>
      </c>
      <c r="AB5747">
        <v>19</v>
      </c>
      <c r="AC5747">
        <v>7.5514999999999697</v>
      </c>
      <c r="AD5747">
        <v>-1.1066720000000001</v>
      </c>
      <c r="AE5747">
        <v>-11.537219</v>
      </c>
      <c r="AF5747">
        <v>7.4635851572265501</v>
      </c>
      <c r="AG5747">
        <v>-1.1066720000000001</v>
      </c>
      <c r="AH5747">
        <v>11.489190157764501</v>
      </c>
      <c r="AI5747">
        <v>94.618063576855505</v>
      </c>
      <c r="AJ5747">
        <v>56.991519921565903</v>
      </c>
      <c r="AK5747">
        <v>13.7452288739049</v>
      </c>
      <c r="AL5747">
        <v>80.700460289296004</v>
      </c>
      <c r="AM5747">
        <v>69.662945918350601</v>
      </c>
      <c r="AN5747">
        <v>1.0000000425143201</v>
      </c>
    </row>
    <row r="5748" spans="1:40" x14ac:dyDescent="0.25">
      <c r="A5748" t="str">
        <f>"20190312172522923"</f>
        <v>20190312172522923</v>
      </c>
      <c r="B5748" t="str">
        <f>"1552382722915971"</f>
        <v>1552382722915971</v>
      </c>
      <c r="C5748" t="s">
        <v>40</v>
      </c>
      <c r="D5748">
        <v>3.9995479999999999</v>
      </c>
      <c r="E5748">
        <v>0.59007049999999905</v>
      </c>
      <c r="F5748" t="s">
        <v>42</v>
      </c>
      <c r="G5748">
        <v>-305.1755</v>
      </c>
      <c r="H5748">
        <v>-0.05</v>
      </c>
      <c r="I5748">
        <v>2.2342379999999999</v>
      </c>
      <c r="J5748">
        <v>-312.6712</v>
      </c>
      <c r="K5748">
        <v>1.0565990000000001</v>
      </c>
      <c r="L5748">
        <v>13.82254</v>
      </c>
      <c r="M5748">
        <v>0.91310279999999999</v>
      </c>
      <c r="N5748">
        <v>0</v>
      </c>
      <c r="O5748">
        <v>-0.40741660000000002</v>
      </c>
      <c r="P5748">
        <v>0.7081016</v>
      </c>
      <c r="Q5748">
        <v>0.15103069999999999</v>
      </c>
      <c r="R5748">
        <v>-0.68976969999999904</v>
      </c>
      <c r="S5748">
        <v>1.7218929999999999</v>
      </c>
      <c r="T5748">
        <v>-0.25128899999999998</v>
      </c>
      <c r="U5748">
        <v>-2.641327</v>
      </c>
      <c r="V5748">
        <v>0.34334550000000003</v>
      </c>
      <c r="W5748">
        <v>0.16172999999999901</v>
      </c>
      <c r="X5748">
        <v>0.92517959999999999</v>
      </c>
      <c r="Y5748">
        <v>0.54205749999999997</v>
      </c>
      <c r="Z5748">
        <v>1.101859E-2</v>
      </c>
      <c r="AA5748">
        <v>0.84026919999999905</v>
      </c>
      <c r="AB5748">
        <v>19</v>
      </c>
      <c r="AC5748">
        <v>7.4956999999999896</v>
      </c>
      <c r="AD5748">
        <v>-1.1065989999999899</v>
      </c>
      <c r="AE5748">
        <v>-11.588302000000001</v>
      </c>
      <c r="AF5748">
        <v>7.4803073050066899</v>
      </c>
      <c r="AG5748">
        <v>-1.1065989999999899</v>
      </c>
      <c r="AH5748">
        <v>11.493196203883</v>
      </c>
      <c r="AI5748">
        <v>94.613577850156801</v>
      </c>
      <c r="AJ5748">
        <v>56.9420473731508</v>
      </c>
      <c r="AK5748">
        <v>13.757656693822801</v>
      </c>
      <c r="AL5748">
        <v>80.692674194796894</v>
      </c>
      <c r="AM5748">
        <v>69.639492160060499</v>
      </c>
      <c r="AN5748">
        <v>1.0000000087631999</v>
      </c>
    </row>
    <row r="5749" spans="1:40" x14ac:dyDescent="0.25">
      <c r="A5749" t="str">
        <f>"20190312172522935"</f>
        <v>20190312172522935</v>
      </c>
      <c r="B5749" t="str">
        <f>"1552382722925731"</f>
        <v>1552382722925731</v>
      </c>
      <c r="C5749" t="s">
        <v>40</v>
      </c>
      <c r="D5749">
        <v>4.032349</v>
      </c>
      <c r="E5749">
        <v>0.59028040000000004</v>
      </c>
      <c r="F5749" t="s">
        <v>42</v>
      </c>
      <c r="G5749">
        <v>-305.15339999999998</v>
      </c>
      <c r="H5749">
        <v>-0.05</v>
      </c>
      <c r="I5749">
        <v>2.1546630000000002</v>
      </c>
      <c r="J5749">
        <v>-312.57580000000002</v>
      </c>
      <c r="K5749">
        <v>1.0565279999999999</v>
      </c>
      <c r="L5749">
        <v>13.773619999999999</v>
      </c>
      <c r="M5749">
        <v>0.91105499999999995</v>
      </c>
      <c r="N5749">
        <v>0</v>
      </c>
      <c r="O5749">
        <v>-0.41198030000000002</v>
      </c>
      <c r="P5749">
        <v>0.70440419999999904</v>
      </c>
      <c r="Q5749">
        <v>0.15113019999999999</v>
      </c>
      <c r="R5749">
        <v>-0.69352360000000002</v>
      </c>
      <c r="S5749">
        <v>1.7080379999999999</v>
      </c>
      <c r="T5749">
        <v>-0.25141609999999998</v>
      </c>
      <c r="U5749">
        <v>-2.650909</v>
      </c>
      <c r="V5749">
        <v>0.3436478</v>
      </c>
      <c r="W5749">
        <v>0.16170129999999999</v>
      </c>
      <c r="X5749">
        <v>0.92507240000000002</v>
      </c>
      <c r="Y5749">
        <v>0.54235100000000003</v>
      </c>
      <c r="Z5749">
        <v>1.1419759999999999E-2</v>
      </c>
      <c r="AA5749">
        <v>0.8400744</v>
      </c>
      <c r="AB5749">
        <v>19</v>
      </c>
      <c r="AC5749">
        <v>7.4224000000000396</v>
      </c>
      <c r="AD5749">
        <v>-1.106528</v>
      </c>
      <c r="AE5749">
        <v>-11.618957</v>
      </c>
      <c r="AF5749">
        <v>7.4803892664695599</v>
      </c>
      <c r="AG5749">
        <v>-1.106528</v>
      </c>
      <c r="AH5749">
        <v>11.476524278287499</v>
      </c>
      <c r="AI5749">
        <v>94.617952281350298</v>
      </c>
      <c r="AJ5749">
        <v>56.903723693807898</v>
      </c>
      <c r="AK5749">
        <v>13.743770854566</v>
      </c>
      <c r="AL5749">
        <v>80.694340744840602</v>
      </c>
      <c r="AM5749">
        <v>69.620871749089403</v>
      </c>
      <c r="AN5749">
        <v>1.0000000330541401</v>
      </c>
    </row>
    <row r="5750" spans="1:40" x14ac:dyDescent="0.25">
      <c r="A5750" t="str">
        <f>"20190312172522947"</f>
        <v>20190312172522947</v>
      </c>
      <c r="B5750" t="str">
        <f>"1552382722936469"</f>
        <v>1552382722936469</v>
      </c>
      <c r="C5750" t="s">
        <v>40</v>
      </c>
      <c r="D5750">
        <v>3.9793289999999999</v>
      </c>
      <c r="E5750">
        <v>0.59037489999999904</v>
      </c>
      <c r="F5750" t="s">
        <v>42</v>
      </c>
      <c r="G5750">
        <v>-305.14170000000001</v>
      </c>
      <c r="H5750">
        <v>-0.05</v>
      </c>
      <c r="I5750">
        <v>2.089737</v>
      </c>
      <c r="J5750">
        <v>-312.48489999999998</v>
      </c>
      <c r="K5750">
        <v>1.056467</v>
      </c>
      <c r="L5750">
        <v>13.72659</v>
      </c>
      <c r="M5750">
        <v>0.90907519999999997</v>
      </c>
      <c r="N5750">
        <v>0</v>
      </c>
      <c r="O5750">
        <v>-0.4163345</v>
      </c>
      <c r="P5750">
        <v>0.7008297</v>
      </c>
      <c r="Q5750">
        <v>0.1512191</v>
      </c>
      <c r="R5750">
        <v>-0.69711599999999996</v>
      </c>
      <c r="S5750">
        <v>1.6931149999999999</v>
      </c>
      <c r="T5750">
        <v>-0.25201230000000002</v>
      </c>
      <c r="U5750">
        <v>-2.6610109999999998</v>
      </c>
      <c r="V5750">
        <v>0.3439644</v>
      </c>
      <c r="W5750">
        <v>0.16167400000000001</v>
      </c>
      <c r="X5750">
        <v>0.92495950000000005</v>
      </c>
      <c r="Y5750">
        <v>0.54313739999999999</v>
      </c>
      <c r="Z5750">
        <v>1.180199E-2</v>
      </c>
      <c r="AA5750">
        <v>0.83956090000000005</v>
      </c>
      <c r="AB5750">
        <v>19</v>
      </c>
      <c r="AC5750">
        <v>7.3431999999999604</v>
      </c>
      <c r="AD5750">
        <v>-1.1064670000000001</v>
      </c>
      <c r="AE5750">
        <v>-11.636853</v>
      </c>
      <c r="AF5750">
        <v>7.47415129748439</v>
      </c>
      <c r="AG5750">
        <v>-1.1064670000000001</v>
      </c>
      <c r="AH5750">
        <v>11.4477510134358</v>
      </c>
      <c r="AI5750">
        <v>94.626949241047001</v>
      </c>
      <c r="AJ5750">
        <v>56.859779789884101</v>
      </c>
      <c r="AK5750">
        <v>13.7163482788021</v>
      </c>
      <c r="AL5750">
        <v>80.695925781409599</v>
      </c>
      <c r="AM5750">
        <v>69.601357982520994</v>
      </c>
      <c r="AN5750">
        <v>1.0000000336918</v>
      </c>
    </row>
    <row r="5751" spans="1:40" x14ac:dyDescent="0.25">
      <c r="A5751" t="str">
        <f>"20190312172522959"</f>
        <v>20190312172522959</v>
      </c>
      <c r="B5751" t="str">
        <f>"1552382722955986"</f>
        <v>1552382722955986</v>
      </c>
      <c r="C5751" t="s">
        <v>40</v>
      </c>
      <c r="D5751">
        <v>4.0327710000000003</v>
      </c>
      <c r="E5751">
        <v>0.59039339999999996</v>
      </c>
      <c r="F5751" t="s">
        <v>42</v>
      </c>
      <c r="G5751">
        <v>-305.1164</v>
      </c>
      <c r="H5751">
        <v>-0.05</v>
      </c>
      <c r="I5751">
        <v>2.0100859999999998</v>
      </c>
      <c r="J5751">
        <v>-312.38099999999997</v>
      </c>
      <c r="K5751">
        <v>1.0564009999999999</v>
      </c>
      <c r="L5751">
        <v>13.67221</v>
      </c>
      <c r="M5751">
        <v>0.90677280000000005</v>
      </c>
      <c r="N5751">
        <v>0</v>
      </c>
      <c r="O5751">
        <v>-0.42133039999999999</v>
      </c>
      <c r="P5751">
        <v>0.69669239999999999</v>
      </c>
      <c r="Q5751">
        <v>0.15153129999999901</v>
      </c>
      <c r="R5751">
        <v>-0.70118340000000001</v>
      </c>
      <c r="S5751">
        <v>1.6791689999999999</v>
      </c>
      <c r="T5751">
        <v>-0.2521468</v>
      </c>
      <c r="U5751">
        <v>-2.670013</v>
      </c>
      <c r="V5751">
        <v>0.34429539999999997</v>
      </c>
      <c r="W5751">
        <v>0.1618608</v>
      </c>
      <c r="X5751">
        <v>0.92480370000000001</v>
      </c>
      <c r="Y5751">
        <v>0.54294929999999997</v>
      </c>
      <c r="Z5751">
        <v>1.226934E-2</v>
      </c>
      <c r="AA5751">
        <v>0.83967579999999997</v>
      </c>
      <c r="AB5751">
        <v>19</v>
      </c>
      <c r="AC5751">
        <v>7.2645999999999704</v>
      </c>
      <c r="AD5751">
        <v>-1.106401</v>
      </c>
      <c r="AE5751">
        <v>-11.662124</v>
      </c>
      <c r="AF5751">
        <v>7.4665996221826196</v>
      </c>
      <c r="AG5751">
        <v>-1.106401</v>
      </c>
      <c r="AH5751">
        <v>11.428245796794</v>
      </c>
      <c r="AI5751">
        <v>94.633578643517396</v>
      </c>
      <c r="AJ5751">
        <v>56.841564164501399</v>
      </c>
      <c r="AK5751">
        <v>13.6959495867471</v>
      </c>
      <c r="AL5751">
        <v>80.685080349227505</v>
      </c>
      <c r="AM5751">
        <v>69.580191866128501</v>
      </c>
      <c r="AN5751">
        <v>1.0000000622857399</v>
      </c>
    </row>
    <row r="5752" spans="1:40" x14ac:dyDescent="0.25">
      <c r="A5752" t="str">
        <f>"20190312172522980"</f>
        <v>20190312172522980</v>
      </c>
      <c r="B5752" t="str">
        <f>"1552382722976483"</f>
        <v>1552382722976483</v>
      </c>
      <c r="C5752" t="s">
        <v>40</v>
      </c>
      <c r="D5752">
        <v>4.0569959999999998</v>
      </c>
      <c r="E5752">
        <v>0.59031990000000001</v>
      </c>
      <c r="F5752" t="s">
        <v>42</v>
      </c>
      <c r="G5752">
        <v>-305.05709999999999</v>
      </c>
      <c r="H5752">
        <v>-0.05</v>
      </c>
      <c r="I5752">
        <v>1.871704</v>
      </c>
      <c r="J5752">
        <v>-312.23099999999999</v>
      </c>
      <c r="K5752">
        <v>1.0563149999999999</v>
      </c>
      <c r="L5752">
        <v>13.59216</v>
      </c>
      <c r="M5752">
        <v>0.90336570000000005</v>
      </c>
      <c r="N5752">
        <v>0</v>
      </c>
      <c r="O5752">
        <v>-0.42859259999999899</v>
      </c>
      <c r="P5752">
        <v>0.69054490000000002</v>
      </c>
      <c r="Q5752">
        <v>0.15183170000000001</v>
      </c>
      <c r="R5752">
        <v>-0.70717410000000003</v>
      </c>
      <c r="S5752">
        <v>1.6633610000000001</v>
      </c>
      <c r="T5752">
        <v>-0.25127840000000001</v>
      </c>
      <c r="U5752">
        <v>-2.6800540000000002</v>
      </c>
      <c r="V5752">
        <v>0.34489969999999998</v>
      </c>
      <c r="W5752">
        <v>0.1619949</v>
      </c>
      <c r="X5752">
        <v>0.92455489999999996</v>
      </c>
      <c r="Y5752">
        <v>0.54122239999999999</v>
      </c>
      <c r="Z5752">
        <v>1.296425E-2</v>
      </c>
      <c r="AA5752">
        <v>0.84077950000000001</v>
      </c>
      <c r="AB5752">
        <v>19</v>
      </c>
      <c r="AC5752">
        <v>7.1738999999999997</v>
      </c>
      <c r="AD5752">
        <v>-1.1063149999999999</v>
      </c>
      <c r="AE5752">
        <v>-11.720456</v>
      </c>
      <c r="AF5752">
        <v>7.4656856327881096</v>
      </c>
      <c r="AG5752">
        <v>-1.1063149999999999</v>
      </c>
      <c r="AH5752">
        <v>11.4312377802837</v>
      </c>
      <c r="AI5752">
        <v>94.6325425850562</v>
      </c>
      <c r="AJ5752">
        <v>56.851642674949197</v>
      </c>
      <c r="AK5752">
        <v>13.6979411604894</v>
      </c>
      <c r="AL5752">
        <v>80.677293237895697</v>
      </c>
      <c r="AM5752">
        <v>69.542269258102806</v>
      </c>
      <c r="AN5752">
        <v>0.99999995690005405</v>
      </c>
    </row>
    <row r="5753" spans="1:40" x14ac:dyDescent="0.25">
      <c r="A5753" t="str">
        <f>"20190312172523002"</f>
        <v>20190312172523002</v>
      </c>
      <c r="B5753" t="str">
        <f>"1552382722996015"</f>
        <v>1552382722996015</v>
      </c>
      <c r="C5753" t="s">
        <v>40</v>
      </c>
      <c r="D5753">
        <v>4.0613440000000001</v>
      </c>
      <c r="E5753">
        <v>0.59007759999999998</v>
      </c>
      <c r="F5753" t="s">
        <v>42</v>
      </c>
      <c r="G5753">
        <v>-304.99689999999998</v>
      </c>
      <c r="H5753">
        <v>-0.05</v>
      </c>
      <c r="I5753">
        <v>1.7076420000000001</v>
      </c>
      <c r="J5753">
        <v>-312.0598</v>
      </c>
      <c r="K5753">
        <v>1.05623</v>
      </c>
      <c r="L5753">
        <v>13.49884</v>
      </c>
      <c r="M5753">
        <v>0.89936190000000005</v>
      </c>
      <c r="N5753">
        <v>0</v>
      </c>
      <c r="O5753">
        <v>-0.43693690000000002</v>
      </c>
      <c r="P5753">
        <v>0.68338160000000003</v>
      </c>
      <c r="Q5753">
        <v>0.15215139999999999</v>
      </c>
      <c r="R5753">
        <v>-0.71403070000000002</v>
      </c>
      <c r="S5753">
        <v>1.640137</v>
      </c>
      <c r="T5753">
        <v>-0.25082680000000002</v>
      </c>
      <c r="U5753">
        <v>-2.6944889999999999</v>
      </c>
      <c r="V5753">
        <v>0.34560950000000001</v>
      </c>
      <c r="W5753">
        <v>0.1621436</v>
      </c>
      <c r="X5753">
        <v>0.92426379999999997</v>
      </c>
      <c r="Y5753">
        <v>0.54075079999999998</v>
      </c>
      <c r="Z5753">
        <v>1.371783E-2</v>
      </c>
      <c r="AA5753">
        <v>0.84107099999999901</v>
      </c>
      <c r="AB5753">
        <v>19</v>
      </c>
      <c r="AC5753">
        <v>7.0629000000000097</v>
      </c>
      <c r="AD5753">
        <v>-1.1062299999999901</v>
      </c>
      <c r="AE5753">
        <v>-11.791198</v>
      </c>
      <c r="AF5753">
        <v>7.4709988219833496</v>
      </c>
      <c r="AG5753">
        <v>-1.1062299999999901</v>
      </c>
      <c r="AH5753">
        <v>11.4314115938506</v>
      </c>
      <c r="AI5753">
        <v>94.631157637933896</v>
      </c>
      <c r="AJ5753">
        <v>56.833377391614498</v>
      </c>
      <c r="AK5753">
        <v>13.7009758498801</v>
      </c>
      <c r="AL5753">
        <v>80.668659827892697</v>
      </c>
      <c r="AM5753">
        <v>69.497746995647404</v>
      </c>
      <c r="AN5753">
        <v>1.0000000227508199</v>
      </c>
    </row>
    <row r="5754" spans="1:40" x14ac:dyDescent="0.25">
      <c r="A5754" t="str">
        <f>"20190312172523014"</f>
        <v>20190312172523014</v>
      </c>
      <c r="B5754" t="str">
        <f>"1552382723005763"</f>
        <v>1552382723005763</v>
      </c>
      <c r="C5754" t="s">
        <v>40</v>
      </c>
      <c r="D5754">
        <v>4.0065049999999998</v>
      </c>
      <c r="E5754">
        <v>0.5899008</v>
      </c>
      <c r="F5754" t="s">
        <v>42</v>
      </c>
      <c r="G5754">
        <v>-304.93939999999998</v>
      </c>
      <c r="H5754">
        <v>-0.05</v>
      </c>
      <c r="I5754">
        <v>1.549866</v>
      </c>
      <c r="J5754">
        <v>-311.95909999999998</v>
      </c>
      <c r="K5754">
        <v>1.056187</v>
      </c>
      <c r="L5754">
        <v>13.442780000000001</v>
      </c>
      <c r="M5754">
        <v>0.89694339999999995</v>
      </c>
      <c r="N5754">
        <v>0</v>
      </c>
      <c r="O5754">
        <v>-0.44188280000000002</v>
      </c>
      <c r="P5754">
        <v>0.6791739</v>
      </c>
      <c r="Q5754">
        <v>0.1525109</v>
      </c>
      <c r="R5754">
        <v>-0.71795779999999998</v>
      </c>
      <c r="S5754">
        <v>1.614655</v>
      </c>
      <c r="T5754">
        <v>-0.25085279999999999</v>
      </c>
      <c r="U5754">
        <v>-2.7095950000000002</v>
      </c>
      <c r="V5754">
        <v>0.34589019999999998</v>
      </c>
      <c r="W5754">
        <v>0.16241559999999999</v>
      </c>
      <c r="X5754">
        <v>0.92411100000000002</v>
      </c>
      <c r="Y5754">
        <v>0.54401650000000001</v>
      </c>
      <c r="Z5754">
        <v>1.401868E-2</v>
      </c>
      <c r="AA5754">
        <v>0.83895739999999996</v>
      </c>
      <c r="AB5754">
        <v>19</v>
      </c>
      <c r="AC5754">
        <v>7.0197000000000003</v>
      </c>
      <c r="AD5754">
        <v>-1.106187</v>
      </c>
      <c r="AE5754">
        <v>-11.892913999999999</v>
      </c>
      <c r="AF5754">
        <v>7.5180283595812503</v>
      </c>
      <c r="AG5754">
        <v>-1.106187</v>
      </c>
      <c r="AH5754">
        <v>11.4792375513509</v>
      </c>
      <c r="AI5754">
        <v>94.608878058502498</v>
      </c>
      <c r="AJ5754">
        <v>56.778247824976297</v>
      </c>
      <c r="AK5754">
        <v>13.7665280610174</v>
      </c>
      <c r="AL5754">
        <v>80.652865801965206</v>
      </c>
      <c r="AM5754">
        <v>69.479372503190206</v>
      </c>
      <c r="AN5754">
        <v>0.99999999895019998</v>
      </c>
    </row>
    <row r="5755" spans="1:40" x14ac:dyDescent="0.25">
      <c r="A5755" t="str">
        <f>"20190312172523036"</f>
        <v>20190312172523036</v>
      </c>
      <c r="B5755" t="str">
        <f>"1552382723026259"</f>
        <v>1552382723026259</v>
      </c>
      <c r="C5755" t="s">
        <v>40</v>
      </c>
      <c r="D5755">
        <v>4.0842689999999999</v>
      </c>
      <c r="E5755">
        <v>0.58964899999999998</v>
      </c>
      <c r="F5755" t="s">
        <v>42</v>
      </c>
      <c r="G5755">
        <v>-304.8777</v>
      </c>
      <c r="H5755">
        <v>-0.05</v>
      </c>
      <c r="I5755">
        <v>1.4098820000000001</v>
      </c>
      <c r="J5755">
        <v>-311.8005</v>
      </c>
      <c r="K5755">
        <v>1.056133</v>
      </c>
      <c r="L5755">
        <v>13.353210000000001</v>
      </c>
      <c r="M5755">
        <v>0.89305429999999997</v>
      </c>
      <c r="N5755">
        <v>0</v>
      </c>
      <c r="O5755">
        <v>-0.44969540000000002</v>
      </c>
      <c r="P5755">
        <v>0.6725293</v>
      </c>
      <c r="Q5755">
        <v>0.1523987</v>
      </c>
      <c r="R5755">
        <v>-0.72420969999999996</v>
      </c>
      <c r="S5755">
        <v>1.599731</v>
      </c>
      <c r="T5755">
        <v>-0.24989310000000001</v>
      </c>
      <c r="U5755">
        <v>-2.7182919999999999</v>
      </c>
      <c r="V5755">
        <v>0.34636230000000001</v>
      </c>
      <c r="W5755">
        <v>0.1621803</v>
      </c>
      <c r="X5755">
        <v>0.92397549999999995</v>
      </c>
      <c r="Y5755">
        <v>0.5413135</v>
      </c>
      <c r="Z5755">
        <v>1.4797970000000001E-2</v>
      </c>
      <c r="AA5755">
        <v>0.84069069999999901</v>
      </c>
      <c r="AB5755">
        <v>19</v>
      </c>
      <c r="AC5755">
        <v>6.9227999999999899</v>
      </c>
      <c r="AD5755">
        <v>-1.106133</v>
      </c>
      <c r="AE5755">
        <v>-11.943327999999999</v>
      </c>
      <c r="AF5755">
        <v>7.5055615932061501</v>
      </c>
      <c r="AG5755">
        <v>-1.106133</v>
      </c>
      <c r="AH5755">
        <v>11.4809013118957</v>
      </c>
      <c r="AI5755">
        <v>94.610471875406205</v>
      </c>
      <c r="AJ5755">
        <v>56.825619260669399</v>
      </c>
      <c r="AK5755">
        <v>13.761107512718199</v>
      </c>
      <c r="AL5755">
        <v>80.666528734380407</v>
      </c>
      <c r="AM5755">
        <v>69.450941680297404</v>
      </c>
      <c r="AN5755">
        <v>1.00000000858481</v>
      </c>
    </row>
    <row r="5756" spans="1:40" x14ac:dyDescent="0.25">
      <c r="A5756" t="str">
        <f>"20190312172523057"</f>
        <v>20190312172523057</v>
      </c>
      <c r="B5756" t="str">
        <f>"1552382723045779"</f>
        <v>1552382723045779</v>
      </c>
      <c r="C5756" t="s">
        <v>40</v>
      </c>
      <c r="D5756">
        <v>4.0388970000000004</v>
      </c>
      <c r="E5756">
        <v>0.58917730000000001</v>
      </c>
      <c r="F5756" t="s">
        <v>42</v>
      </c>
      <c r="G5756">
        <v>-304.8415</v>
      </c>
      <c r="H5756">
        <v>-0.05</v>
      </c>
      <c r="I5756">
        <v>1.284546</v>
      </c>
      <c r="J5756">
        <v>-311.63560000000001</v>
      </c>
      <c r="K5756">
        <v>1.056087</v>
      </c>
      <c r="L5756">
        <v>13.258089999999999</v>
      </c>
      <c r="M5756">
        <v>0.88889899999999999</v>
      </c>
      <c r="N5756">
        <v>0</v>
      </c>
      <c r="O5756">
        <v>-0.45785799999999999</v>
      </c>
      <c r="P5756">
        <v>0.66590389999999999</v>
      </c>
      <c r="Q5756">
        <v>0.15227829999999901</v>
      </c>
      <c r="R5756">
        <v>-0.73033149999999902</v>
      </c>
      <c r="S5756">
        <v>1.5754090000000001</v>
      </c>
      <c r="T5756">
        <v>-0.25041039999999998</v>
      </c>
      <c r="U5756">
        <v>-2.7321469999999999</v>
      </c>
      <c r="V5756">
        <v>0.34633599999999998</v>
      </c>
      <c r="W5756">
        <v>0.1619573</v>
      </c>
      <c r="X5756">
        <v>0.92402450000000003</v>
      </c>
      <c r="Y5756">
        <v>0.54109090000000004</v>
      </c>
      <c r="Z5756">
        <v>1.558348E-2</v>
      </c>
      <c r="AA5756">
        <v>0.84081969999999995</v>
      </c>
      <c r="AB5756">
        <v>19</v>
      </c>
      <c r="AC5756">
        <v>6.79410000000001</v>
      </c>
      <c r="AD5756">
        <v>-1.106087</v>
      </c>
      <c r="AE5756">
        <v>-11.973544</v>
      </c>
      <c r="AF5756">
        <v>7.4850666455042401</v>
      </c>
      <c r="AG5756">
        <v>-1.106087</v>
      </c>
      <c r="AH5756">
        <v>11.4488410478156</v>
      </c>
      <c r="AI5756">
        <v>94.623049797674298</v>
      </c>
      <c r="AJ5756">
        <v>56.823991653851003</v>
      </c>
      <c r="AK5756">
        <v>13.723177929231801</v>
      </c>
      <c r="AL5756">
        <v>80.679477115961703</v>
      </c>
      <c r="AM5756">
        <v>69.453370197455499</v>
      </c>
      <c r="AN5756">
        <v>1.0000000342597599</v>
      </c>
    </row>
    <row r="5757" spans="1:40" x14ac:dyDescent="0.25">
      <c r="A5757" t="str">
        <f>"20190312172523070"</f>
        <v>20190312172523070</v>
      </c>
      <c r="B5757" t="str">
        <f>"1552382723066275"</f>
        <v>1552382723066275</v>
      </c>
      <c r="C5757" t="s">
        <v>40</v>
      </c>
      <c r="D5757">
        <v>4.0509459999999997</v>
      </c>
      <c r="E5757">
        <v>0.58876839999999997</v>
      </c>
      <c r="F5757" t="s">
        <v>42</v>
      </c>
      <c r="G5757">
        <v>-304.77659999999997</v>
      </c>
      <c r="H5757">
        <v>-0.05</v>
      </c>
      <c r="I5757">
        <v>1.139572</v>
      </c>
      <c r="J5757">
        <v>-311.54070000000002</v>
      </c>
      <c r="K5757">
        <v>1.0560659999999999</v>
      </c>
      <c r="L5757">
        <v>13.2023299999999</v>
      </c>
      <c r="M5757">
        <v>0.88645429999999903</v>
      </c>
      <c r="N5757">
        <v>0</v>
      </c>
      <c r="O5757">
        <v>-0.46257480000000001</v>
      </c>
      <c r="P5757">
        <v>0.66206449999999994</v>
      </c>
      <c r="Q5757">
        <v>0.15236069999999999</v>
      </c>
      <c r="R5757">
        <v>-0.73379589999999995</v>
      </c>
      <c r="S5757">
        <v>1.55304</v>
      </c>
      <c r="T5757">
        <v>-0.25044240000000001</v>
      </c>
      <c r="U5757">
        <v>-2.7438959999999999</v>
      </c>
      <c r="V5757">
        <v>0.34625679999999998</v>
      </c>
      <c r="W5757">
        <v>0.161989299999999</v>
      </c>
      <c r="X5757">
        <v>0.92404850000000005</v>
      </c>
      <c r="Y5757">
        <v>0.54335859999999903</v>
      </c>
      <c r="Z5757">
        <v>1.5917649999999998E-2</v>
      </c>
      <c r="AA5757">
        <v>0.83934979999999904</v>
      </c>
      <c r="AB5757">
        <v>19</v>
      </c>
      <c r="AC5757">
        <v>6.76410000000004</v>
      </c>
      <c r="AD5757">
        <v>-1.106066</v>
      </c>
      <c r="AE5757">
        <v>-12.062758000000001</v>
      </c>
      <c r="AF5757">
        <v>7.5169454368536197</v>
      </c>
      <c r="AG5757">
        <v>-1.106066</v>
      </c>
      <c r="AH5757">
        <v>11.5037047736689</v>
      </c>
      <c r="AI5757">
        <v>94.601737154329001</v>
      </c>
      <c r="AJ5757">
        <v>56.837916655823797</v>
      </c>
      <c r="AK5757">
        <v>13.786336504551199</v>
      </c>
      <c r="AL5757">
        <v>80.677618489550795</v>
      </c>
      <c r="AM5757">
        <v>69.458165307179101</v>
      </c>
      <c r="AN5757">
        <v>0.99999996760648902</v>
      </c>
    </row>
    <row r="5758" spans="1:40" x14ac:dyDescent="0.25">
      <c r="A5758" t="str">
        <f>"20190312172523082"</f>
        <v>20190312172523082</v>
      </c>
      <c r="B5758" t="str">
        <f>"1552382723076036"</f>
        <v>1552382723076036</v>
      </c>
      <c r="C5758" t="s">
        <v>40</v>
      </c>
      <c r="D5758">
        <v>4.0449129999999904</v>
      </c>
      <c r="E5758">
        <v>0.58852519999999997</v>
      </c>
      <c r="F5758" t="s">
        <v>42</v>
      </c>
      <c r="G5758">
        <v>-304.74529999999999</v>
      </c>
      <c r="H5758">
        <v>-0.05</v>
      </c>
      <c r="I5758">
        <v>1.077698</v>
      </c>
      <c r="J5758">
        <v>-311.44200000000001</v>
      </c>
      <c r="K5758">
        <v>1.056044</v>
      </c>
      <c r="L5758">
        <v>13.143800000000001</v>
      </c>
      <c r="M5758">
        <v>0.88387469999999901</v>
      </c>
      <c r="N5758">
        <v>0</v>
      </c>
      <c r="O5758">
        <v>-0.46748709999999999</v>
      </c>
      <c r="P5758">
        <v>0.65805909999999901</v>
      </c>
      <c r="Q5758">
        <v>0.15249119999999999</v>
      </c>
      <c r="R5758">
        <v>-0.73736359999999901</v>
      </c>
      <c r="S5758">
        <v>1.541199</v>
      </c>
      <c r="T5758">
        <v>-0.25085659999999999</v>
      </c>
      <c r="U5758">
        <v>-2.7498779999999998</v>
      </c>
      <c r="V5758">
        <v>0.34613719999999998</v>
      </c>
      <c r="W5758">
        <v>0.16207160000000001</v>
      </c>
      <c r="X5758">
        <v>0.92407890000000004</v>
      </c>
      <c r="Y5758">
        <v>0.54224150000000004</v>
      </c>
      <c r="Z5758">
        <v>1.6448239999999999E-2</v>
      </c>
      <c r="AA5758">
        <v>0.84006170000000002</v>
      </c>
      <c r="AB5758">
        <v>19</v>
      </c>
      <c r="AC5758">
        <v>6.6967000000000203</v>
      </c>
      <c r="AD5758">
        <v>-1.106044</v>
      </c>
      <c r="AE5758">
        <v>-12.066102000000001</v>
      </c>
      <c r="AF5758">
        <v>7.4870398221371</v>
      </c>
      <c r="AG5758">
        <v>-1.106044</v>
      </c>
      <c r="AH5758">
        <v>11.487277813419499</v>
      </c>
      <c r="AI5758">
        <v>94.611704216392994</v>
      </c>
      <c r="AJ5758">
        <v>56.904978980557601</v>
      </c>
      <c r="AK5758">
        <v>13.756331276575301</v>
      </c>
      <c r="AL5758">
        <v>80.672840103468403</v>
      </c>
      <c r="AM5758">
        <v>69.465287512016204</v>
      </c>
      <c r="AN5758">
        <v>0.99999998908780496</v>
      </c>
    </row>
    <row r="5759" spans="1:40" x14ac:dyDescent="0.25">
      <c r="A5759" t="str">
        <f>"20190312172523094"</f>
        <v>20190312172523094</v>
      </c>
      <c r="B5759" t="str">
        <f>"1552382723085795"</f>
        <v>1552382723085795</v>
      </c>
      <c r="C5759" t="s">
        <v>40</v>
      </c>
      <c r="D5759">
        <v>4.082878</v>
      </c>
      <c r="E5759">
        <v>0.5883043</v>
      </c>
      <c r="F5759" t="s">
        <v>42</v>
      </c>
      <c r="G5759">
        <v>-304.7013</v>
      </c>
      <c r="H5759">
        <v>-0.05</v>
      </c>
      <c r="I5759">
        <v>0.97877499999999995</v>
      </c>
      <c r="J5759">
        <v>-311.35379999999998</v>
      </c>
      <c r="K5759">
        <v>1.0560290000000001</v>
      </c>
      <c r="L5759">
        <v>13.09061</v>
      </c>
      <c r="M5759">
        <v>0.88152929999999996</v>
      </c>
      <c r="N5759">
        <v>0</v>
      </c>
      <c r="O5759">
        <v>-0.47189629999999999</v>
      </c>
      <c r="P5759">
        <v>0.65439459999999905</v>
      </c>
      <c r="Q5759">
        <v>0.15263109999999999</v>
      </c>
      <c r="R5759">
        <v>-0.74058849999999998</v>
      </c>
      <c r="S5759">
        <v>1.527679</v>
      </c>
      <c r="T5759">
        <v>-0.25066820000000001</v>
      </c>
      <c r="U5759">
        <v>-2.7570190000000001</v>
      </c>
      <c r="V5759">
        <v>0.346078</v>
      </c>
      <c r="W5759">
        <v>0.16217329999999999</v>
      </c>
      <c r="X5759">
        <v>0.92408319999999999</v>
      </c>
      <c r="Y5759">
        <v>0.54212950000000004</v>
      </c>
      <c r="Z5759">
        <v>1.684751E-2</v>
      </c>
      <c r="AA5759">
        <v>0.84012600000000004</v>
      </c>
      <c r="AB5759">
        <v>19</v>
      </c>
      <c r="AC5759">
        <v>6.6524999999999697</v>
      </c>
      <c r="AD5759">
        <v>-1.1060289999999999</v>
      </c>
      <c r="AE5759">
        <v>-12.111834999999999</v>
      </c>
      <c r="AF5759">
        <v>7.4904900574668503</v>
      </c>
      <c r="AG5759">
        <v>-1.1060289999999999</v>
      </c>
      <c r="AH5759">
        <v>11.5074572787761</v>
      </c>
      <c r="AI5759">
        <v>94.605357508289401</v>
      </c>
      <c r="AJ5759">
        <v>56.938896326057701</v>
      </c>
      <c r="AK5759">
        <v>13.775061323736701</v>
      </c>
      <c r="AL5759">
        <v>80.666934736709393</v>
      </c>
      <c r="AM5759">
        <v>69.468594092382403</v>
      </c>
      <c r="AN5759">
        <v>0.999999960919564</v>
      </c>
    </row>
    <row r="5760" spans="1:40" x14ac:dyDescent="0.25">
      <c r="A5760" t="str">
        <f>"20190312172523106"</f>
        <v>20190312172523106</v>
      </c>
      <c r="B5760" t="str">
        <f>"1552382723096531"</f>
        <v>1552382723096531</v>
      </c>
      <c r="C5760" t="s">
        <v>40</v>
      </c>
      <c r="D5760">
        <v>4.0091970000000003</v>
      </c>
      <c r="E5760">
        <v>0.58811880000000005</v>
      </c>
      <c r="F5760" t="s">
        <v>42</v>
      </c>
      <c r="G5760">
        <v>-304.67230000000001</v>
      </c>
      <c r="H5760">
        <v>-0.05</v>
      </c>
      <c r="I5760">
        <v>0.90519709999999998</v>
      </c>
      <c r="J5760">
        <v>-311.26900000000001</v>
      </c>
      <c r="K5760">
        <v>1.0560149999999999</v>
      </c>
      <c r="L5760">
        <v>13.039</v>
      </c>
      <c r="M5760">
        <v>0.87924579999999997</v>
      </c>
      <c r="N5760">
        <v>0</v>
      </c>
      <c r="O5760">
        <v>-0.47613870000000003</v>
      </c>
      <c r="P5760">
        <v>0.65099969999999996</v>
      </c>
      <c r="Q5760">
        <v>0.1527125</v>
      </c>
      <c r="R5760">
        <v>-0.74355789999999999</v>
      </c>
      <c r="S5760">
        <v>1.51532</v>
      </c>
      <c r="T5760">
        <v>-0.25084079999999997</v>
      </c>
      <c r="U5760">
        <v>-2.7635800000000001</v>
      </c>
      <c r="V5760">
        <v>0.34583659999999999</v>
      </c>
      <c r="W5760">
        <v>0.16222410000000001</v>
      </c>
      <c r="X5760">
        <v>0.92416469999999995</v>
      </c>
      <c r="Y5760">
        <v>0.54182030000000003</v>
      </c>
      <c r="Z5760">
        <v>1.7264539999999998E-2</v>
      </c>
      <c r="AA5760">
        <v>0.84031699999999998</v>
      </c>
      <c r="AB5760">
        <v>19</v>
      </c>
      <c r="AC5760">
        <v>6.5966999999999896</v>
      </c>
      <c r="AD5760">
        <v>-1.106015</v>
      </c>
      <c r="AE5760">
        <v>-12.133802899999999</v>
      </c>
      <c r="AF5760">
        <v>7.4805014490563098</v>
      </c>
      <c r="AG5760">
        <v>-1.106015</v>
      </c>
      <c r="AH5760">
        <v>11.504977991648101</v>
      </c>
      <c r="AI5760">
        <v>94.6078139578226</v>
      </c>
      <c r="AJ5760">
        <v>56.968200889372902</v>
      </c>
      <c r="AK5760">
        <v>13.7675593224749</v>
      </c>
      <c r="AL5760">
        <v>80.663985444437202</v>
      </c>
      <c r="AM5760">
        <v>69.483380324014803</v>
      </c>
      <c r="AN5760">
        <v>1.0000000026232201</v>
      </c>
    </row>
    <row r="5761" spans="1:40" x14ac:dyDescent="0.25">
      <c r="A5761" t="str">
        <f>"20190312172523117"</f>
        <v>20190312172523117</v>
      </c>
      <c r="B5761" t="str">
        <f>"1552382723106291"</f>
        <v>1552382723106291</v>
      </c>
      <c r="C5761" t="s">
        <v>40</v>
      </c>
      <c r="D5761">
        <v>4.0796950000000001</v>
      </c>
      <c r="E5761">
        <v>0.58793430000000002</v>
      </c>
      <c r="F5761" t="s">
        <v>42</v>
      </c>
      <c r="G5761">
        <v>-304.66750000000002</v>
      </c>
      <c r="H5761">
        <v>-0.05</v>
      </c>
      <c r="I5761">
        <v>0.87818909999999994</v>
      </c>
      <c r="J5761">
        <v>-311.18430000000001</v>
      </c>
      <c r="K5761">
        <v>1.0560080000000001</v>
      </c>
      <c r="L5761">
        <v>12.98691</v>
      </c>
      <c r="M5761">
        <v>0.87693460000000001</v>
      </c>
      <c r="N5761">
        <v>0</v>
      </c>
      <c r="O5761">
        <v>-0.480383</v>
      </c>
      <c r="P5761">
        <v>0.64750280000000004</v>
      </c>
      <c r="Q5761">
        <v>0.15298800000000001</v>
      </c>
      <c r="R5761">
        <v>-0.74654849999999995</v>
      </c>
      <c r="S5761">
        <v>1.5036320000000001</v>
      </c>
      <c r="T5761">
        <v>-0.25191960000000002</v>
      </c>
      <c r="U5761">
        <v>-2.7698969999999998</v>
      </c>
      <c r="V5761">
        <v>0.34565829999999997</v>
      </c>
      <c r="W5761">
        <v>0.16247010000000001</v>
      </c>
      <c r="X5761">
        <v>0.92418820000000002</v>
      </c>
      <c r="Y5761">
        <v>0.54130900000000004</v>
      </c>
      <c r="Z5761">
        <v>1.7754679999999998E-2</v>
      </c>
      <c r="AA5761">
        <v>0.8406363</v>
      </c>
      <c r="AB5761">
        <v>19</v>
      </c>
      <c r="AC5761">
        <v>6.5167999999999804</v>
      </c>
      <c r="AD5761">
        <v>-1.1060080000000001</v>
      </c>
      <c r="AE5761">
        <v>-12.1087209</v>
      </c>
      <c r="AF5761">
        <v>7.4406772718070098</v>
      </c>
      <c r="AG5761">
        <v>-1.1060080000000001</v>
      </c>
      <c r="AH5761">
        <v>11.4587589026617</v>
      </c>
      <c r="AI5761">
        <v>94.6280851339138</v>
      </c>
      <c r="AJ5761">
        <v>57.002559608418601</v>
      </c>
      <c r="AK5761">
        <v>13.7073005201089</v>
      </c>
      <c r="AL5761">
        <v>80.649701266232498</v>
      </c>
      <c r="AM5761">
        <v>69.493555269212393</v>
      </c>
      <c r="AN5761">
        <v>1.0000000113860701</v>
      </c>
    </row>
    <row r="5762" spans="1:40" x14ac:dyDescent="0.25">
      <c r="A5762" t="str">
        <f>"20190312172523129"</f>
        <v>20190312172523129</v>
      </c>
      <c r="B5762" t="str">
        <f>"1552382723126788"</f>
        <v>1552382723126788</v>
      </c>
      <c r="C5762" t="s">
        <v>40</v>
      </c>
      <c r="D5762">
        <v>4.0250029999999999</v>
      </c>
      <c r="E5762">
        <v>0.57938239999999996</v>
      </c>
      <c r="F5762" t="s">
        <v>42</v>
      </c>
      <c r="G5762">
        <v>-304.62610000000001</v>
      </c>
      <c r="H5762">
        <v>-0.05</v>
      </c>
      <c r="I5762">
        <v>0.7837982</v>
      </c>
      <c r="J5762">
        <v>-311.09960000000001</v>
      </c>
      <c r="K5762">
        <v>1.0560020000000001</v>
      </c>
      <c r="L5762">
        <v>12.93417</v>
      </c>
      <c r="M5762">
        <v>0.87459439999999999</v>
      </c>
      <c r="N5762">
        <v>0</v>
      </c>
      <c r="O5762">
        <v>-0.4846319</v>
      </c>
      <c r="P5762">
        <v>0.6440226</v>
      </c>
      <c r="Q5762">
        <v>0.15335370000000001</v>
      </c>
      <c r="R5762">
        <v>-0.74947859999999999</v>
      </c>
      <c r="S5762">
        <v>1.4919129999999901</v>
      </c>
      <c r="T5762">
        <v>-0.25160369999999999</v>
      </c>
      <c r="U5762">
        <v>-2.776062</v>
      </c>
      <c r="V5762">
        <v>0.34541060000000001</v>
      </c>
      <c r="W5762">
        <v>0.16281080000000001</v>
      </c>
      <c r="X5762">
        <v>0.92422090000000001</v>
      </c>
      <c r="Y5762">
        <v>0.54077350000000002</v>
      </c>
      <c r="Z5762">
        <v>1.8150690000000001E-2</v>
      </c>
      <c r="AA5762">
        <v>0.84097239999999995</v>
      </c>
      <c r="AB5762">
        <v>19</v>
      </c>
      <c r="AC5762">
        <v>6.4734999999999996</v>
      </c>
      <c r="AD5762">
        <v>-1.1060019999999999</v>
      </c>
      <c r="AE5762">
        <v>-12.1503718</v>
      </c>
      <c r="AF5762">
        <v>7.4421632971289604</v>
      </c>
      <c r="AG5762">
        <v>-1.1060019999999999</v>
      </c>
      <c r="AH5762">
        <v>11.4773230002532</v>
      </c>
      <c r="AI5762">
        <v>94.622541665893294</v>
      </c>
      <c r="AJ5762">
        <v>57.039686145150597</v>
      </c>
      <c r="AK5762">
        <v>13.723628463977001</v>
      </c>
      <c r="AL5762">
        <v>80.629917595051694</v>
      </c>
      <c r="AM5762">
        <v>69.5076930879831</v>
      </c>
      <c r="AN5762">
        <v>1.0000000555929001</v>
      </c>
    </row>
    <row r="5763" spans="1:40" x14ac:dyDescent="0.25">
      <c r="A5763" t="str">
        <f>"20190312172523141"</f>
        <v>20190312172523141</v>
      </c>
      <c r="B5763" t="str">
        <f>"1552382723136548"</f>
        <v>1552382723136548</v>
      </c>
      <c r="C5763" t="s">
        <v>40</v>
      </c>
      <c r="D5763">
        <v>4.0316720000000004</v>
      </c>
      <c r="E5763">
        <v>0.5788835</v>
      </c>
      <c r="F5763" t="s">
        <v>42</v>
      </c>
      <c r="G5763">
        <v>-304.91250000000002</v>
      </c>
      <c r="H5763">
        <v>-0.05</v>
      </c>
      <c r="I5763">
        <v>1.8718410000000001</v>
      </c>
      <c r="J5763">
        <v>-311.00850000000003</v>
      </c>
      <c r="K5763">
        <v>1.055995</v>
      </c>
      <c r="L5763">
        <v>12.87698</v>
      </c>
      <c r="M5763">
        <v>0.87204459999999995</v>
      </c>
      <c r="N5763">
        <v>0</v>
      </c>
      <c r="O5763">
        <v>-0.48920599999999997</v>
      </c>
      <c r="P5763">
        <v>0.64019530000000002</v>
      </c>
      <c r="Q5763">
        <v>0.15360299999999999</v>
      </c>
      <c r="R5763">
        <v>-0.75269919999999901</v>
      </c>
      <c r="S5763">
        <v>1.533234</v>
      </c>
      <c r="T5763">
        <v>-0.27407900000000002</v>
      </c>
      <c r="U5763">
        <v>-2.7413639999999999</v>
      </c>
      <c r="V5763">
        <v>0.3452344</v>
      </c>
      <c r="W5763">
        <v>0.16303419999999999</v>
      </c>
      <c r="X5763">
        <v>0.92424729999999999</v>
      </c>
      <c r="Y5763">
        <v>0.52211620000000003</v>
      </c>
      <c r="Z5763">
        <v>2.119965E-2</v>
      </c>
      <c r="AA5763">
        <v>0.8526108</v>
      </c>
      <c r="AB5763">
        <v>19</v>
      </c>
      <c r="AC5763">
        <v>6.0960000000000001</v>
      </c>
      <c r="AD5763">
        <v>-1.1059950000000001</v>
      </c>
      <c r="AE5763">
        <v>-11.005139</v>
      </c>
      <c r="AF5763">
        <v>6.5647500428932402</v>
      </c>
      <c r="AG5763">
        <v>-1.1059950000000001</v>
      </c>
      <c r="AH5763">
        <v>10.618850176783599</v>
      </c>
      <c r="AI5763">
        <v>95.062695531032702</v>
      </c>
      <c r="AJ5763">
        <v>58.274952908715697</v>
      </c>
      <c r="AK5763">
        <v>12.533122003023401</v>
      </c>
      <c r="AL5763">
        <v>80.616943916397901</v>
      </c>
      <c r="AM5763">
        <v>69.517814711537994</v>
      </c>
      <c r="AN5763">
        <v>1.00000000643514</v>
      </c>
    </row>
    <row r="5764" spans="1:40" x14ac:dyDescent="0.25">
      <c r="A5764" t="str">
        <f>"20190312172523153"</f>
        <v>20190312172523153</v>
      </c>
      <c r="B5764" t="str">
        <f>"1552382723146308"</f>
        <v>1552382723146308</v>
      </c>
      <c r="C5764" t="s">
        <v>40</v>
      </c>
      <c r="D5764">
        <v>4.0763910000000001</v>
      </c>
      <c r="E5764">
        <v>0.57925130000000002</v>
      </c>
      <c r="F5764" t="s">
        <v>42</v>
      </c>
      <c r="G5764">
        <v>-304.82830000000001</v>
      </c>
      <c r="H5764">
        <v>-0.05</v>
      </c>
      <c r="I5764">
        <v>1.7260439999999999</v>
      </c>
      <c r="J5764">
        <v>-310.9221</v>
      </c>
      <c r="K5764">
        <v>1.0559959999999999</v>
      </c>
      <c r="L5764">
        <v>12.82178</v>
      </c>
      <c r="M5764">
        <v>0.86959120000000001</v>
      </c>
      <c r="N5764">
        <v>0</v>
      </c>
      <c r="O5764">
        <v>-0.49355490000000002</v>
      </c>
      <c r="P5764">
        <v>0.63640299999999905</v>
      </c>
      <c r="Q5764">
        <v>0.15421860000000001</v>
      </c>
      <c r="R5764">
        <v>-0.75578299999999998</v>
      </c>
      <c r="S5764">
        <v>1.5222169999999999</v>
      </c>
      <c r="T5764">
        <v>-0.2724142</v>
      </c>
      <c r="U5764">
        <v>-2.7465519999999999</v>
      </c>
      <c r="V5764">
        <v>0.34516019999999997</v>
      </c>
      <c r="W5764">
        <v>0.16362699999999999</v>
      </c>
      <c r="X5764">
        <v>0.9241703</v>
      </c>
      <c r="Y5764">
        <v>0.52117230000000003</v>
      </c>
      <c r="Z5764">
        <v>2.1557960000000001E-2</v>
      </c>
      <c r="AA5764">
        <v>0.85317919999999903</v>
      </c>
      <c r="AB5764">
        <v>19</v>
      </c>
      <c r="AC5764">
        <v>6.0937999999999803</v>
      </c>
      <c r="AD5764">
        <v>-1.105996</v>
      </c>
      <c r="AE5764">
        <v>-11.095736</v>
      </c>
      <c r="AF5764">
        <v>6.59152778368738</v>
      </c>
      <c r="AG5764">
        <v>-1.105996</v>
      </c>
      <c r="AH5764">
        <v>10.694989116831501</v>
      </c>
      <c r="AI5764">
        <v>95.031086468172205</v>
      </c>
      <c r="AJ5764">
        <v>58.353672084100097</v>
      </c>
      <c r="AK5764">
        <v>12.6116714944643</v>
      </c>
      <c r="AL5764">
        <v>80.582517092450402</v>
      </c>
      <c r="AM5764">
        <v>69.520286860185806</v>
      </c>
      <c r="AN5764">
        <v>1.00000005109756</v>
      </c>
    </row>
    <row r="5765" spans="1:40" x14ac:dyDescent="0.25">
      <c r="A5765" t="str">
        <f>"20190312172523165"</f>
        <v>20190312172523165</v>
      </c>
      <c r="B5765" t="str">
        <f>"1552382723156067"</f>
        <v>1552382723156067</v>
      </c>
      <c r="C5765" t="s">
        <v>40</v>
      </c>
      <c r="D5765">
        <v>4.0643010000000004</v>
      </c>
      <c r="E5765">
        <v>0.57925400000000005</v>
      </c>
      <c r="F5765" t="s">
        <v>42</v>
      </c>
      <c r="G5765">
        <v>-304.83429999999998</v>
      </c>
      <c r="H5765">
        <v>-0.05</v>
      </c>
      <c r="I5765">
        <v>1.6812590000000001</v>
      </c>
      <c r="J5765">
        <v>-310.83359999999999</v>
      </c>
      <c r="K5765">
        <v>1.0559959999999999</v>
      </c>
      <c r="L5765">
        <v>12.764889999999999</v>
      </c>
      <c r="M5765">
        <v>0.86705270000000001</v>
      </c>
      <c r="N5765">
        <v>0</v>
      </c>
      <c r="O5765">
        <v>-0.49800179999999999</v>
      </c>
      <c r="P5765">
        <v>0.63251359999999901</v>
      </c>
      <c r="Q5765">
        <v>0.1546661</v>
      </c>
      <c r="R5765">
        <v>-0.75894989999999996</v>
      </c>
      <c r="S5765">
        <v>1.5064390000000001</v>
      </c>
      <c r="T5765">
        <v>-0.2736807</v>
      </c>
      <c r="U5765">
        <v>-2.7567439999999999</v>
      </c>
      <c r="V5765">
        <v>0.34509570000000001</v>
      </c>
      <c r="W5765">
        <v>0.16405320000000001</v>
      </c>
      <c r="X5765">
        <v>0.92411880000000002</v>
      </c>
      <c r="Y5765">
        <v>0.52189929999999995</v>
      </c>
      <c r="Z5765">
        <v>2.2062350000000001E-2</v>
      </c>
      <c r="AA5765">
        <v>0.85272179999999997</v>
      </c>
      <c r="AB5765">
        <v>19</v>
      </c>
      <c r="AC5765">
        <v>5.9992999999999999</v>
      </c>
      <c r="AD5765">
        <v>-1.105996</v>
      </c>
      <c r="AE5765">
        <v>-11.083631</v>
      </c>
      <c r="AF5765">
        <v>6.5725226168249602</v>
      </c>
      <c r="AG5765">
        <v>-1.105996</v>
      </c>
      <c r="AH5765">
        <v>10.6405799589482</v>
      </c>
      <c r="AI5765">
        <v>95.053610779811194</v>
      </c>
      <c r="AJ5765">
        <v>58.2970124354487</v>
      </c>
      <c r="AK5765">
        <v>12.555605224897</v>
      </c>
      <c r="AL5765">
        <v>80.557762886324397</v>
      </c>
      <c r="AM5765">
        <v>69.5227498431463</v>
      </c>
      <c r="AN5765">
        <v>1.0000000255510799</v>
      </c>
    </row>
    <row r="5766" spans="1:40" x14ac:dyDescent="0.25">
      <c r="A5766" t="str">
        <f>"20190312172523180"</f>
        <v>20190312172523180</v>
      </c>
      <c r="B5766" t="str">
        <f>"1552382723176563"</f>
        <v>1552382723176563</v>
      </c>
      <c r="C5766" t="s">
        <v>40</v>
      </c>
      <c r="D5766">
        <v>4.0279299999999996</v>
      </c>
      <c r="E5766">
        <v>0.57892390000000005</v>
      </c>
      <c r="F5766" t="s">
        <v>42</v>
      </c>
      <c r="G5766">
        <v>-304.80360000000002</v>
      </c>
      <c r="H5766">
        <v>-0.05</v>
      </c>
      <c r="I5766">
        <v>1.595642</v>
      </c>
      <c r="J5766">
        <v>-310.72410000000002</v>
      </c>
      <c r="K5766">
        <v>1.0560039999999999</v>
      </c>
      <c r="L5766">
        <v>12.693659999999999</v>
      </c>
      <c r="M5766">
        <v>0.8638671</v>
      </c>
      <c r="N5766">
        <v>0</v>
      </c>
      <c r="O5766">
        <v>-0.50350839999999997</v>
      </c>
      <c r="P5766">
        <v>0.62764640000000005</v>
      </c>
      <c r="Q5766">
        <v>0.15593180000000001</v>
      </c>
      <c r="R5766">
        <v>-0.76272240000000002</v>
      </c>
      <c r="S5766">
        <v>1.492615</v>
      </c>
      <c r="T5766">
        <v>-0.27376539999999999</v>
      </c>
      <c r="U5766">
        <v>-2.7647089999999999</v>
      </c>
      <c r="V5766">
        <v>0.344914099999999</v>
      </c>
      <c r="W5766">
        <v>0.16529579999999999</v>
      </c>
      <c r="X5766">
        <v>0.92396520000000004</v>
      </c>
      <c r="Y5766">
        <v>0.52081880000000003</v>
      </c>
      <c r="Z5766">
        <v>2.2674070000000001E-2</v>
      </c>
      <c r="AA5766">
        <v>0.85336610000000002</v>
      </c>
      <c r="AB5766">
        <v>19</v>
      </c>
      <c r="AC5766">
        <v>5.9204999999999997</v>
      </c>
      <c r="AD5766">
        <v>-1.106004</v>
      </c>
      <c r="AE5766">
        <v>-11.098018</v>
      </c>
      <c r="AF5766">
        <v>6.5562060924837402</v>
      </c>
      <c r="AG5766">
        <v>-1.106004</v>
      </c>
      <c r="AH5766">
        <v>10.6214913344621</v>
      </c>
      <c r="AI5766">
        <v>95.063641658785002</v>
      </c>
      <c r="AJ5766">
        <v>58.314687097069601</v>
      </c>
      <c r="AK5766">
        <v>12.5308882902685</v>
      </c>
      <c r="AL5766">
        <v>80.485582100323199</v>
      </c>
      <c r="AM5766">
        <v>69.529511522504805</v>
      </c>
      <c r="AN5766">
        <v>1.0000000643437399</v>
      </c>
    </row>
    <row r="5767" spans="1:40" x14ac:dyDescent="0.25">
      <c r="A5767" t="str">
        <f>"20190312172523203"</f>
        <v>20190312172523203</v>
      </c>
      <c r="B5767" t="str">
        <f>"1552382723196083"</f>
        <v>1552382723196083</v>
      </c>
      <c r="C5767" t="s">
        <v>40</v>
      </c>
      <c r="D5767">
        <v>4.0456250000000002</v>
      </c>
      <c r="E5767">
        <v>0.57858409999999905</v>
      </c>
      <c r="F5767" t="s">
        <v>42</v>
      </c>
      <c r="G5767">
        <v>-304.68290000000002</v>
      </c>
      <c r="H5767">
        <v>-0.05</v>
      </c>
      <c r="I5767">
        <v>1.348328</v>
      </c>
      <c r="J5767">
        <v>-310.56130000000002</v>
      </c>
      <c r="K5767">
        <v>1.056017</v>
      </c>
      <c r="L5767">
        <v>12.58563</v>
      </c>
      <c r="M5767">
        <v>0.859037099999999</v>
      </c>
      <c r="N5767">
        <v>0</v>
      </c>
      <c r="O5767">
        <v>-0.51170689999999996</v>
      </c>
      <c r="P5767">
        <v>0.62049279999999996</v>
      </c>
      <c r="Q5767">
        <v>0.15723699999999999</v>
      </c>
      <c r="R5767">
        <v>-0.76828750000000001</v>
      </c>
      <c r="S5767">
        <v>1.4767459999999999</v>
      </c>
      <c r="T5767">
        <v>-0.27035749999999997</v>
      </c>
      <c r="U5767">
        <v>-2.7733150000000002</v>
      </c>
      <c r="V5767">
        <v>0.34453159999999999</v>
      </c>
      <c r="W5767">
        <v>0.16657669999999999</v>
      </c>
      <c r="X5767">
        <v>0.92387779999999997</v>
      </c>
      <c r="Y5767">
        <v>0.51762959999999902</v>
      </c>
      <c r="Z5767">
        <v>2.336075E-2</v>
      </c>
      <c r="AA5767">
        <v>0.85528590000000004</v>
      </c>
      <c r="AB5767">
        <v>19</v>
      </c>
      <c r="AC5767">
        <v>5.8783999999999903</v>
      </c>
      <c r="AD5767">
        <v>-1.106017</v>
      </c>
      <c r="AE5767">
        <v>-11.237302</v>
      </c>
      <c r="AF5767">
        <v>6.5957769807912197</v>
      </c>
      <c r="AG5767">
        <v>-1.106017</v>
      </c>
      <c r="AH5767">
        <v>10.719578044133399</v>
      </c>
      <c r="AI5767">
        <v>95.021968810445202</v>
      </c>
      <c r="AJ5767">
        <v>58.395934414656601</v>
      </c>
      <c r="AK5767">
        <v>12.634749741442899</v>
      </c>
      <c r="AL5767">
        <v>80.4111596102546</v>
      </c>
      <c r="AM5767">
        <v>69.548558048004097</v>
      </c>
      <c r="AN5767">
        <v>1.00000000485714</v>
      </c>
    </row>
    <row r="5768" spans="1:40" x14ac:dyDescent="0.25">
      <c r="A5768" t="str">
        <f>"20190312172523215"</f>
        <v>20190312172523215</v>
      </c>
      <c r="B5768" t="str">
        <f>"1552382723205843"</f>
        <v>1552382723205843</v>
      </c>
      <c r="C5768" t="s">
        <v>40</v>
      </c>
      <c r="D5768">
        <v>4.0264639999999998</v>
      </c>
      <c r="E5768">
        <v>0.57824580000000003</v>
      </c>
      <c r="F5768" t="s">
        <v>42</v>
      </c>
      <c r="G5768">
        <v>-304.5478</v>
      </c>
      <c r="H5768">
        <v>-0.05</v>
      </c>
      <c r="I5768">
        <v>1.0576779999999999</v>
      </c>
      <c r="J5768">
        <v>-310.4649</v>
      </c>
      <c r="K5768">
        <v>1.056022</v>
      </c>
      <c r="L5768">
        <v>12.520479999999999</v>
      </c>
      <c r="M5768">
        <v>0.85612269999999902</v>
      </c>
      <c r="N5768">
        <v>0</v>
      </c>
      <c r="O5768">
        <v>-0.51656869999999999</v>
      </c>
      <c r="P5768">
        <v>0.61629100000000003</v>
      </c>
      <c r="Q5768">
        <v>0.15766269999999999</v>
      </c>
      <c r="R5768">
        <v>-0.7715746</v>
      </c>
      <c r="S5768">
        <v>1.453217</v>
      </c>
      <c r="T5768">
        <v>-0.26727810000000002</v>
      </c>
      <c r="U5768">
        <v>-2.785828</v>
      </c>
      <c r="V5768">
        <v>0.3442597</v>
      </c>
      <c r="W5768">
        <v>0.16699320000000001</v>
      </c>
      <c r="X5768">
        <v>0.9239039</v>
      </c>
      <c r="Y5768">
        <v>0.52004030000000001</v>
      </c>
      <c r="Z5768">
        <v>2.346608E-2</v>
      </c>
      <c r="AA5768">
        <v>0.85381929999999995</v>
      </c>
      <c r="AB5768">
        <v>19</v>
      </c>
      <c r="AC5768">
        <v>5.9170999999999996</v>
      </c>
      <c r="AD5768">
        <v>-1.1060219999999901</v>
      </c>
      <c r="AE5768">
        <v>-11.462802</v>
      </c>
      <c r="AF5768">
        <v>6.7083742331079304</v>
      </c>
      <c r="AG5768">
        <v>-1.1060219999999901</v>
      </c>
      <c r="AH5768">
        <v>10.9080595639512</v>
      </c>
      <c r="AI5768">
        <v>94.936326612813403</v>
      </c>
      <c r="AJ5768">
        <v>58.408798333159801</v>
      </c>
      <c r="AK5768">
        <v>12.8534560709024</v>
      </c>
      <c r="AL5768">
        <v>80.3869563193781</v>
      </c>
      <c r="AM5768">
        <v>69.563892671485902</v>
      </c>
      <c r="AN5768">
        <v>0.99999994316276797</v>
      </c>
    </row>
    <row r="5769" spans="1:40" x14ac:dyDescent="0.25">
      <c r="A5769" t="str">
        <f>"20190312172523228"</f>
        <v>20190312172523228</v>
      </c>
      <c r="B5769" t="str">
        <f>"1552382723216579"</f>
        <v>1552382723216579</v>
      </c>
      <c r="C5769" t="s">
        <v>40</v>
      </c>
      <c r="D5769">
        <v>4.0200310000000004</v>
      </c>
      <c r="E5769">
        <v>0.57776879999999997</v>
      </c>
      <c r="F5769" t="s">
        <v>42</v>
      </c>
      <c r="G5769">
        <v>-304.46530000000001</v>
      </c>
      <c r="H5769">
        <v>-0.05</v>
      </c>
      <c r="I5769">
        <v>0.88845830000000003</v>
      </c>
      <c r="J5769">
        <v>-310.3818</v>
      </c>
      <c r="K5769">
        <v>1.0560259999999999</v>
      </c>
      <c r="L5769">
        <v>12.463839999999999</v>
      </c>
      <c r="M5769">
        <v>0.85358419999999902</v>
      </c>
      <c r="N5769">
        <v>0</v>
      </c>
      <c r="O5769">
        <v>-0.52075329999999997</v>
      </c>
      <c r="P5769">
        <v>0.61257150000000005</v>
      </c>
      <c r="Q5769">
        <v>0.15792970000000001</v>
      </c>
      <c r="R5769">
        <v>-0.77447659999999996</v>
      </c>
      <c r="S5769">
        <v>1.4401250000000001</v>
      </c>
      <c r="T5769">
        <v>-0.2654859</v>
      </c>
      <c r="U5769">
        <v>-2.7921140000000002</v>
      </c>
      <c r="V5769">
        <v>0.3441341</v>
      </c>
      <c r="W5769">
        <v>0.16725229999999999</v>
      </c>
      <c r="X5769">
        <v>0.9239039</v>
      </c>
      <c r="Y5769">
        <v>0.51981729999999904</v>
      </c>
      <c r="Z5769">
        <v>2.373552E-2</v>
      </c>
      <c r="AA5769">
        <v>0.85394769999999898</v>
      </c>
      <c r="AB5769">
        <v>19</v>
      </c>
      <c r="AC5769">
        <v>5.9164999999999797</v>
      </c>
      <c r="AD5769">
        <v>-1.106026</v>
      </c>
      <c r="AE5769">
        <v>-11.575381699999999</v>
      </c>
      <c r="AF5769">
        <v>6.7513692619161398</v>
      </c>
      <c r="AG5769">
        <v>-1.106026</v>
      </c>
      <c r="AH5769">
        <v>10.999689574898699</v>
      </c>
      <c r="AI5769">
        <v>94.898063312924194</v>
      </c>
      <c r="AJ5769">
        <v>58.459306384374997</v>
      </c>
      <c r="AK5769">
        <v>12.9536655494712</v>
      </c>
      <c r="AL5769">
        <v>80.371899904422804</v>
      </c>
      <c r="AM5769">
        <v>69.5707324425629</v>
      </c>
      <c r="AN5769">
        <v>1.00000001353665</v>
      </c>
    </row>
    <row r="5770" spans="1:40" x14ac:dyDescent="0.25">
      <c r="A5770" t="str">
        <f>"20190312172523246"</f>
        <v>20190312172523246</v>
      </c>
      <c r="B5770" t="str">
        <f>"1552382723236099"</f>
        <v>1552382723236099</v>
      </c>
      <c r="C5770" t="s">
        <v>40</v>
      </c>
      <c r="D5770">
        <v>3.9993639999999999</v>
      </c>
      <c r="E5770">
        <v>0.57713479999999995</v>
      </c>
      <c r="F5770" t="s">
        <v>42</v>
      </c>
      <c r="G5770">
        <v>-304.39429999999999</v>
      </c>
      <c r="H5770">
        <v>-0.05</v>
      </c>
      <c r="I5770">
        <v>0.75085449999999998</v>
      </c>
      <c r="J5770">
        <v>-310.24740000000003</v>
      </c>
      <c r="K5770">
        <v>1.0560290000000001</v>
      </c>
      <c r="L5770">
        <v>12.370850000000001</v>
      </c>
      <c r="M5770">
        <v>0.8494138</v>
      </c>
      <c r="N5770">
        <v>0</v>
      </c>
      <c r="O5770">
        <v>-0.52752940000000004</v>
      </c>
      <c r="P5770">
        <v>0.60703699999999905</v>
      </c>
      <c r="Q5770">
        <v>0.15767129999999999</v>
      </c>
      <c r="R5770">
        <v>-0.77887469999999903</v>
      </c>
      <c r="S5770">
        <v>1.4296260000000001</v>
      </c>
      <c r="T5770">
        <v>-0.26408140000000002</v>
      </c>
      <c r="U5770">
        <v>-2.7966609999999998</v>
      </c>
      <c r="V5770">
        <v>0.34339699999999901</v>
      </c>
      <c r="W5770">
        <v>0.16699320000000001</v>
      </c>
      <c r="X5770">
        <v>0.92422499999999996</v>
      </c>
      <c r="Y5770">
        <v>0.51614539999999998</v>
      </c>
      <c r="Z5770">
        <v>2.4447119999999999E-2</v>
      </c>
      <c r="AA5770">
        <v>0.85615200000000002</v>
      </c>
      <c r="AB5770">
        <v>19</v>
      </c>
      <c r="AC5770">
        <v>5.8531000000000404</v>
      </c>
      <c r="AD5770">
        <v>-1.1060289999999999</v>
      </c>
      <c r="AE5770">
        <v>-11.6199955</v>
      </c>
      <c r="AF5770">
        <v>6.7345446104390003</v>
      </c>
      <c r="AG5770">
        <v>-1.1060289999999999</v>
      </c>
      <c r="AH5770">
        <v>11.023096225738501</v>
      </c>
      <c r="AI5770">
        <v>94.893859754470895</v>
      </c>
      <c r="AJ5770">
        <v>58.577216523665598</v>
      </c>
      <c r="AK5770">
        <v>12.964800101070701</v>
      </c>
      <c r="AL5770">
        <v>80.386957254650198</v>
      </c>
      <c r="AM5770">
        <v>69.617385713542205</v>
      </c>
      <c r="AN5770">
        <v>1.0000000395401101</v>
      </c>
    </row>
    <row r="5771" spans="1:40" x14ac:dyDescent="0.25">
      <c r="A5771" t="str">
        <f>"20190312172523258"</f>
        <v>20190312172523258</v>
      </c>
      <c r="B5771" t="str">
        <f>"1552382723245859"</f>
        <v>1552382723245859</v>
      </c>
      <c r="C5771" t="s">
        <v>40</v>
      </c>
      <c r="D5771">
        <v>4.0154730000000001</v>
      </c>
      <c r="E5771">
        <v>0.576744699999999</v>
      </c>
      <c r="F5771" t="s">
        <v>42</v>
      </c>
      <c r="G5771">
        <v>-304.35700000000003</v>
      </c>
      <c r="H5771">
        <v>-0.05</v>
      </c>
      <c r="I5771">
        <v>0.67926030000000004</v>
      </c>
      <c r="J5771">
        <v>-310.16340000000002</v>
      </c>
      <c r="K5771">
        <v>1.056028</v>
      </c>
      <c r="L5771">
        <v>12.31207</v>
      </c>
      <c r="M5771">
        <v>0.84677150000000001</v>
      </c>
      <c r="N5771">
        <v>0</v>
      </c>
      <c r="O5771">
        <v>-0.53176080000000003</v>
      </c>
      <c r="P5771">
        <v>0.60333709999999996</v>
      </c>
      <c r="Q5771">
        <v>0.15749289999999999</v>
      </c>
      <c r="R5771">
        <v>-0.78178029999999998</v>
      </c>
      <c r="S5771">
        <v>1.4128419999999999</v>
      </c>
      <c r="T5771">
        <v>-0.26528689999999999</v>
      </c>
      <c r="U5771">
        <v>-2.8042910000000001</v>
      </c>
      <c r="V5771">
        <v>0.34319080000000002</v>
      </c>
      <c r="W5771">
        <v>0.1668113</v>
      </c>
      <c r="X5771">
        <v>0.9243344</v>
      </c>
      <c r="Y5771">
        <v>0.51690069999999999</v>
      </c>
      <c r="Z5771">
        <v>2.494886E-2</v>
      </c>
      <c r="AA5771">
        <v>0.85568180000000005</v>
      </c>
      <c r="AB5771">
        <v>19</v>
      </c>
      <c r="AC5771">
        <v>5.8063999999999902</v>
      </c>
      <c r="AD5771">
        <v>-1.106028</v>
      </c>
      <c r="AE5771">
        <v>-11.632809699999999</v>
      </c>
      <c r="AF5771">
        <v>6.7148264365322801</v>
      </c>
      <c r="AG5771">
        <v>-1.106028</v>
      </c>
      <c r="AH5771">
        <v>11.0239447185379</v>
      </c>
      <c r="AI5771">
        <v>94.897456378206201</v>
      </c>
      <c r="AJ5771">
        <v>58.653868731559299</v>
      </c>
      <c r="AK5771">
        <v>12.9552903929984</v>
      </c>
      <c r="AL5771">
        <v>80.397527326490007</v>
      </c>
      <c r="AM5771">
        <v>69.630831895940304</v>
      </c>
      <c r="AN5771">
        <v>1.00000000901784</v>
      </c>
    </row>
    <row r="5772" spans="1:40" x14ac:dyDescent="0.25">
      <c r="A5772" t="str">
        <f>"20190312172523270"</f>
        <v>20190312172523270</v>
      </c>
      <c r="B5772" t="str">
        <f>"1552382723266355"</f>
        <v>1552382723266355</v>
      </c>
      <c r="C5772" t="s">
        <v>40</v>
      </c>
      <c r="D5772">
        <v>4.0358530000000004</v>
      </c>
      <c r="E5772">
        <v>0.57646509999999995</v>
      </c>
      <c r="F5772" t="s">
        <v>42</v>
      </c>
      <c r="G5772">
        <v>-304.34120000000001</v>
      </c>
      <c r="H5772">
        <v>-0.05</v>
      </c>
      <c r="I5772">
        <v>0.64384459999999999</v>
      </c>
      <c r="J5772">
        <v>-310.08519999999999</v>
      </c>
      <c r="K5772">
        <v>1.056033</v>
      </c>
      <c r="L5772">
        <v>12.25653</v>
      </c>
      <c r="M5772">
        <v>0.84428150000000002</v>
      </c>
      <c r="N5772">
        <v>0</v>
      </c>
      <c r="O5772">
        <v>-0.53570569999999995</v>
      </c>
      <c r="P5772">
        <v>0.60025539999999999</v>
      </c>
      <c r="Q5772">
        <v>0.15690599999999999</v>
      </c>
      <c r="R5772">
        <v>-0.78426619999999903</v>
      </c>
      <c r="S5772">
        <v>1.401764</v>
      </c>
      <c r="T5772">
        <v>-0.266289099999999</v>
      </c>
      <c r="U5772">
        <v>-2.8092649999999999</v>
      </c>
      <c r="V5772">
        <v>0.34260249999999998</v>
      </c>
      <c r="W5772">
        <v>0.16622970000000001</v>
      </c>
      <c r="X5772">
        <v>0.92465730000000002</v>
      </c>
      <c r="Y5772">
        <v>0.51622349999999995</v>
      </c>
      <c r="Z5772">
        <v>2.5469530000000001E-2</v>
      </c>
      <c r="AA5772">
        <v>0.85607520000000004</v>
      </c>
      <c r="AB5772">
        <v>19</v>
      </c>
      <c r="AC5772">
        <v>5.7439999999999696</v>
      </c>
      <c r="AD5772">
        <v>-1.106033</v>
      </c>
      <c r="AE5772">
        <v>-11.6126854</v>
      </c>
      <c r="AF5772">
        <v>6.6793021063591498</v>
      </c>
      <c r="AG5772">
        <v>-1.106033</v>
      </c>
      <c r="AH5772">
        <v>10.991578283005699</v>
      </c>
      <c r="AI5772">
        <v>94.914952035996805</v>
      </c>
      <c r="AJ5772">
        <v>58.714015923511397</v>
      </c>
      <c r="AK5772">
        <v>12.9093446300169</v>
      </c>
      <c r="AL5772">
        <v>80.431321870676499</v>
      </c>
      <c r="AM5772">
        <v>69.669407515386297</v>
      </c>
      <c r="AN5772">
        <v>0.99999995430581401</v>
      </c>
    </row>
    <row r="5773" spans="1:40" x14ac:dyDescent="0.25">
      <c r="A5773" t="str">
        <f>"20190312172523291"</f>
        <v>20190312172523291</v>
      </c>
      <c r="B5773" t="str">
        <f>"1552382723285875"</f>
        <v>1552382723285875</v>
      </c>
      <c r="C5773" t="s">
        <v>40</v>
      </c>
      <c r="D5773">
        <v>4.0324549999999997</v>
      </c>
      <c r="E5773">
        <v>0.57074309999999995</v>
      </c>
      <c r="F5773" t="s">
        <v>42</v>
      </c>
      <c r="G5773">
        <v>-304.35289999999998</v>
      </c>
      <c r="H5773">
        <v>-0.05</v>
      </c>
      <c r="I5773">
        <v>0.67054749999999996</v>
      </c>
      <c r="J5773">
        <v>-309.92959999999999</v>
      </c>
      <c r="K5773">
        <v>1.0560449999999999</v>
      </c>
      <c r="L5773">
        <v>12.14465</v>
      </c>
      <c r="M5773">
        <v>0.83925099999999997</v>
      </c>
      <c r="N5773">
        <v>0</v>
      </c>
      <c r="O5773">
        <v>-0.54355410000000004</v>
      </c>
      <c r="P5773">
        <v>0.59336669999999903</v>
      </c>
      <c r="Q5773">
        <v>0.15646749999999901</v>
      </c>
      <c r="R5773">
        <v>-0.78957860000000002</v>
      </c>
      <c r="S5773">
        <v>1.392029</v>
      </c>
      <c r="T5773">
        <v>-0.26859179999999999</v>
      </c>
      <c r="U5773">
        <v>-2.8135680000000001</v>
      </c>
      <c r="V5773">
        <v>0.34213490000000002</v>
      </c>
      <c r="W5773">
        <v>0.16578960000000001</v>
      </c>
      <c r="X5773">
        <v>0.92490950000000005</v>
      </c>
      <c r="Y5773">
        <v>0.51115969999999999</v>
      </c>
      <c r="Z5773">
        <v>2.670906E-2</v>
      </c>
      <c r="AA5773">
        <v>0.85907069999999996</v>
      </c>
      <c r="AB5773">
        <v>19</v>
      </c>
      <c r="AC5773">
        <v>5.5767000000000104</v>
      </c>
      <c r="AD5773">
        <v>-1.1060449999999999</v>
      </c>
      <c r="AE5773">
        <v>-11.4741024999999</v>
      </c>
      <c r="AF5773">
        <v>6.5498642250437404</v>
      </c>
      <c r="AG5773">
        <v>-1.1060449999999999</v>
      </c>
      <c r="AH5773">
        <v>10.8367213734749</v>
      </c>
      <c r="AI5773">
        <v>94.992062569693601</v>
      </c>
      <c r="AJ5773">
        <v>58.8506543403047</v>
      </c>
      <c r="AK5773">
        <v>12.710569894181001</v>
      </c>
      <c r="AL5773">
        <v>80.456893310839504</v>
      </c>
      <c r="AM5773">
        <v>69.699973458509405</v>
      </c>
      <c r="AN5773">
        <v>1.0000000322282001</v>
      </c>
    </row>
    <row r="5774" spans="1:40" x14ac:dyDescent="0.25">
      <c r="A5774" t="str">
        <f>"20190312172523303"</f>
        <v>20190312172523303</v>
      </c>
      <c r="B5774" t="str">
        <f>"1552382723296612"</f>
        <v>1552382723296612</v>
      </c>
      <c r="C5774" t="s">
        <v>40</v>
      </c>
      <c r="D5774">
        <v>4.0892850000000003</v>
      </c>
      <c r="E5774">
        <v>0.57106099999999904</v>
      </c>
      <c r="F5774" t="s">
        <v>42</v>
      </c>
      <c r="G5774">
        <v>-304.3974</v>
      </c>
      <c r="H5774">
        <v>-0.05</v>
      </c>
      <c r="I5774">
        <v>1.1169279999999999</v>
      </c>
      <c r="J5774">
        <v>-309.85090000000002</v>
      </c>
      <c r="K5774">
        <v>1.0560499999999999</v>
      </c>
      <c r="L5774">
        <v>12.087400000000001</v>
      </c>
      <c r="M5774">
        <v>0.83666830000000003</v>
      </c>
      <c r="N5774">
        <v>0</v>
      </c>
      <c r="O5774">
        <v>-0.54752119999999904</v>
      </c>
      <c r="P5774">
        <v>0.58972760000000002</v>
      </c>
      <c r="Q5774">
        <v>0.15653989999999901</v>
      </c>
      <c r="R5774">
        <v>-0.79228580000000004</v>
      </c>
      <c r="S5774">
        <v>1.40448</v>
      </c>
      <c r="T5774">
        <v>-0.28079890000000002</v>
      </c>
      <c r="U5774">
        <v>-2.7996829999999999</v>
      </c>
      <c r="V5774">
        <v>0.34199590000000002</v>
      </c>
      <c r="W5774">
        <v>0.1658587</v>
      </c>
      <c r="X5774">
        <v>0.92494849999999995</v>
      </c>
      <c r="Y5774">
        <v>0.50234319999999999</v>
      </c>
      <c r="Z5774">
        <v>2.880657E-2</v>
      </c>
      <c r="AA5774">
        <v>0.86418839999999997</v>
      </c>
      <c r="AB5774">
        <v>19</v>
      </c>
      <c r="AC5774">
        <v>5.4535000000000098</v>
      </c>
      <c r="AD5774">
        <v>-1.10605</v>
      </c>
      <c r="AE5774">
        <v>-10.970471999999999</v>
      </c>
      <c r="AF5774">
        <v>6.1433074411092203</v>
      </c>
      <c r="AG5774">
        <v>-1.10605</v>
      </c>
      <c r="AH5774">
        <v>10.484969720354201</v>
      </c>
      <c r="AI5774">
        <v>95.200549278420496</v>
      </c>
      <c r="AJ5774">
        <v>59.633296636103303</v>
      </c>
      <c r="AK5774">
        <v>12.2023834948436</v>
      </c>
      <c r="AL5774">
        <v>80.452878432013307</v>
      </c>
      <c r="AM5774">
        <v>69.708333948611696</v>
      </c>
      <c r="AN5774">
        <v>1.0000000158173701</v>
      </c>
    </row>
    <row r="5775" spans="1:40" x14ac:dyDescent="0.25">
      <c r="A5775" t="str">
        <f>"20190312172523324"</f>
        <v>20190312172523324</v>
      </c>
      <c r="B5775" t="str">
        <f>"1552382723316131"</f>
        <v>1552382723316131</v>
      </c>
      <c r="C5775" t="s">
        <v>40</v>
      </c>
      <c r="D5775">
        <v>4.0110710000000003</v>
      </c>
      <c r="E5775">
        <v>0.57039640000000003</v>
      </c>
      <c r="F5775" t="s">
        <v>42</v>
      </c>
      <c r="G5775">
        <v>-304.40980000000002</v>
      </c>
      <c r="H5775">
        <v>-0.05</v>
      </c>
      <c r="I5775">
        <v>1.0930789999999999</v>
      </c>
      <c r="J5775">
        <v>-309.69920000000002</v>
      </c>
      <c r="K5775">
        <v>1.056049</v>
      </c>
      <c r="L5775">
        <v>11.975009999999999</v>
      </c>
      <c r="M5775">
        <v>0.83160719999999999</v>
      </c>
      <c r="N5775">
        <v>0</v>
      </c>
      <c r="O5775">
        <v>-0.55517869999999903</v>
      </c>
      <c r="P5775">
        <v>0.58213510000000002</v>
      </c>
      <c r="Q5775">
        <v>0.15601599999999999</v>
      </c>
      <c r="R5775">
        <v>-0.79798369999999996</v>
      </c>
      <c r="S5775">
        <v>1.389648</v>
      </c>
      <c r="T5775">
        <v>-0.28248509999999999</v>
      </c>
      <c r="U5775">
        <v>-2.8079529999999999</v>
      </c>
      <c r="V5775">
        <v>0.342410099999999</v>
      </c>
      <c r="W5775">
        <v>0.16532069999999999</v>
      </c>
      <c r="X5775">
        <v>0.92489149999999998</v>
      </c>
      <c r="Y5775">
        <v>0.49911060000000002</v>
      </c>
      <c r="Z5775">
        <v>2.993169E-2</v>
      </c>
      <c r="AA5775">
        <v>0.86602119999999905</v>
      </c>
      <c r="AB5775">
        <v>19</v>
      </c>
      <c r="AC5775">
        <v>5.2893999999999997</v>
      </c>
      <c r="AD5775">
        <v>-1.1060490000000001</v>
      </c>
      <c r="AE5775">
        <v>-10.881931</v>
      </c>
      <c r="AF5775">
        <v>6.0628952698877896</v>
      </c>
      <c r="AG5775">
        <v>-1.1060490000000001</v>
      </c>
      <c r="AH5775">
        <v>10.3546664507648</v>
      </c>
      <c r="AI5775">
        <v>95.266519330518406</v>
      </c>
      <c r="AJ5775">
        <v>59.650045971568503</v>
      </c>
      <c r="AK5775">
        <v>12.0499444293583</v>
      </c>
      <c r="AL5775">
        <v>80.484134421940297</v>
      </c>
      <c r="AM5775">
        <v>69.684615890533095</v>
      </c>
      <c r="AN5775">
        <v>0.99999994860137298</v>
      </c>
    </row>
    <row r="5776" spans="1:40" x14ac:dyDescent="0.25">
      <c r="A5776" t="str">
        <f>"20190312172523336"</f>
        <v>20190312172523336</v>
      </c>
      <c r="B5776" t="str">
        <f>"1552382723325892"</f>
        <v>1552382723325892</v>
      </c>
      <c r="C5776" t="s">
        <v>40</v>
      </c>
      <c r="D5776">
        <v>4.0442470000000004</v>
      </c>
      <c r="E5776">
        <v>0.56993400000000005</v>
      </c>
      <c r="F5776" t="s">
        <v>42</v>
      </c>
      <c r="G5776">
        <v>-304.4314</v>
      </c>
      <c r="H5776">
        <v>-0.05</v>
      </c>
      <c r="I5776">
        <v>1.1114809999999999</v>
      </c>
      <c r="J5776">
        <v>-309.6191</v>
      </c>
      <c r="K5776">
        <v>1.056052</v>
      </c>
      <c r="L5776">
        <v>11.91483</v>
      </c>
      <c r="M5776">
        <v>0.82889179999999996</v>
      </c>
      <c r="N5776">
        <v>0</v>
      </c>
      <c r="O5776">
        <v>-0.55922499999999997</v>
      </c>
      <c r="P5776">
        <v>0.57813409999999998</v>
      </c>
      <c r="Q5776">
        <v>0.15586059999999999</v>
      </c>
      <c r="R5776">
        <v>-0.8009174</v>
      </c>
      <c r="S5776">
        <v>1.36673</v>
      </c>
      <c r="T5776">
        <v>-0.28696480000000002</v>
      </c>
      <c r="U5776">
        <v>-2.8185419999999999</v>
      </c>
      <c r="V5776">
        <v>0.3425513</v>
      </c>
      <c r="W5776">
        <v>0.16515940000000001</v>
      </c>
      <c r="X5776">
        <v>0.92486809999999997</v>
      </c>
      <c r="Y5776">
        <v>0.50186469999999905</v>
      </c>
      <c r="Z5776">
        <v>3.0715929999999999E-2</v>
      </c>
      <c r="AA5776">
        <v>0.86440059999999996</v>
      </c>
      <c r="AB5776">
        <v>19</v>
      </c>
      <c r="AC5776">
        <v>5.1877000000000004</v>
      </c>
      <c r="AD5776">
        <v>-1.106052</v>
      </c>
      <c r="AE5776">
        <v>-10.803349000000001</v>
      </c>
      <c r="AF5776">
        <v>6.0032053396447997</v>
      </c>
      <c r="AG5776">
        <v>-1.106052</v>
      </c>
      <c r="AH5776">
        <v>10.255257852985901</v>
      </c>
      <c r="AI5776">
        <v>95.317626622563907</v>
      </c>
      <c r="AJ5776">
        <v>59.656220273660601</v>
      </c>
      <c r="AK5776">
        <v>11.9344936636572</v>
      </c>
      <c r="AL5776">
        <v>80.493505649296793</v>
      </c>
      <c r="AM5776">
        <v>69.676451363157099</v>
      </c>
      <c r="AN5776">
        <v>1.0000000114688199</v>
      </c>
    </row>
    <row r="5777" spans="1:40" x14ac:dyDescent="0.25">
      <c r="A5777" t="str">
        <f>"20190312172523348"</f>
        <v>20190312172523348</v>
      </c>
      <c r="B5777" t="str">
        <f>"1552382723336628"</f>
        <v>1552382723336628</v>
      </c>
      <c r="C5777" t="s">
        <v>40</v>
      </c>
      <c r="D5777">
        <v>4.0628989999999998</v>
      </c>
      <c r="E5777">
        <v>0.56975559999999903</v>
      </c>
      <c r="F5777" t="s">
        <v>42</v>
      </c>
      <c r="G5777">
        <v>-304.40190000000001</v>
      </c>
      <c r="H5777">
        <v>-0.05</v>
      </c>
      <c r="I5777">
        <v>1.0467219999999999</v>
      </c>
      <c r="J5777">
        <v>-309.54000000000002</v>
      </c>
      <c r="K5777">
        <v>1.056055</v>
      </c>
      <c r="L5777">
        <v>11.85477</v>
      </c>
      <c r="M5777">
        <v>0.82618139999999995</v>
      </c>
      <c r="N5777">
        <v>0</v>
      </c>
      <c r="O5777">
        <v>-0.56322220000000001</v>
      </c>
      <c r="P5777">
        <v>0.57416709999999904</v>
      </c>
      <c r="Q5777">
        <v>0.1554005</v>
      </c>
      <c r="R5777">
        <v>-0.80385519999999999</v>
      </c>
      <c r="S5777">
        <v>1.355316</v>
      </c>
      <c r="T5777">
        <v>-0.28732869999999999</v>
      </c>
      <c r="U5777">
        <v>-2.8233030000000001</v>
      </c>
      <c r="V5777">
        <v>0.34272200000000003</v>
      </c>
      <c r="W5777">
        <v>0.16469420000000001</v>
      </c>
      <c r="X5777">
        <v>0.92488780000000004</v>
      </c>
      <c r="Y5777">
        <v>0.50110749999999904</v>
      </c>
      <c r="Z5777">
        <v>3.1228789999999999E-2</v>
      </c>
      <c r="AA5777">
        <v>0.86482139999999996</v>
      </c>
      <c r="AB5777">
        <v>19</v>
      </c>
      <c r="AC5777">
        <v>5.1380999999999997</v>
      </c>
      <c r="AD5777">
        <v>-1.106055</v>
      </c>
      <c r="AE5777">
        <v>-10.808047999999999</v>
      </c>
      <c r="AF5777">
        <v>5.9850101658830699</v>
      </c>
      <c r="AG5777">
        <v>-1.106055</v>
      </c>
      <c r="AH5777">
        <v>10.2458727423134</v>
      </c>
      <c r="AI5777">
        <v>95.325343280132998</v>
      </c>
      <c r="AJ5777">
        <v>59.709148715137303</v>
      </c>
      <c r="AK5777">
        <v>11.917282097879101</v>
      </c>
      <c r="AL5777">
        <v>80.520529567698702</v>
      </c>
      <c r="AM5777">
        <v>69.667550323374996</v>
      </c>
      <c r="AN5777">
        <v>0.99999999569324005</v>
      </c>
    </row>
    <row r="5778" spans="1:40" x14ac:dyDescent="0.25">
      <c r="A5778" t="str">
        <f>"20190312172523370"</f>
        <v>20190312172523370</v>
      </c>
      <c r="B5778" t="str">
        <f>"1552382723356147"</f>
        <v>1552382723356147</v>
      </c>
      <c r="C5778" t="s">
        <v>40</v>
      </c>
      <c r="D5778">
        <v>4.0362869999999997</v>
      </c>
      <c r="E5778">
        <v>0.56889069999999997</v>
      </c>
      <c r="F5778" t="s">
        <v>42</v>
      </c>
      <c r="G5778">
        <v>-304.43369999999999</v>
      </c>
      <c r="H5778">
        <v>-0.05</v>
      </c>
      <c r="I5778">
        <v>1.0862879999999999</v>
      </c>
      <c r="J5778">
        <v>-309.39240000000001</v>
      </c>
      <c r="K5778">
        <v>1.056054</v>
      </c>
      <c r="L5778">
        <v>11.741059999999999</v>
      </c>
      <c r="M5778">
        <v>0.82104129999999997</v>
      </c>
      <c r="N5778">
        <v>0</v>
      </c>
      <c r="O5778">
        <v>-0.57068929999999995</v>
      </c>
      <c r="P5778">
        <v>0.56678099999999998</v>
      </c>
      <c r="Q5778">
        <v>0.1547926</v>
      </c>
      <c r="R5778">
        <v>-0.80919640000000004</v>
      </c>
      <c r="S5778">
        <v>1.341858</v>
      </c>
      <c r="T5778">
        <v>-0.29065239999999998</v>
      </c>
      <c r="U5778">
        <v>-2.8297729999999999</v>
      </c>
      <c r="V5778">
        <v>0.34289009999999998</v>
      </c>
      <c r="W5778">
        <v>0.16407949999999999</v>
      </c>
      <c r="X5778">
        <v>0.92493479999999995</v>
      </c>
      <c r="Y5778">
        <v>0.49741150000000001</v>
      </c>
      <c r="Z5778">
        <v>3.2579299999999999E-2</v>
      </c>
      <c r="AA5778">
        <v>0.86690270000000003</v>
      </c>
      <c r="AB5778">
        <v>19</v>
      </c>
      <c r="AC5778">
        <v>4.9587000000000199</v>
      </c>
      <c r="AD5778">
        <v>-1.1060540000000001</v>
      </c>
      <c r="AE5778">
        <v>-10.654771999999999</v>
      </c>
      <c r="AF5778">
        <v>5.8667714405213198</v>
      </c>
      <c r="AG5778">
        <v>-1.1060540000000001</v>
      </c>
      <c r="AH5778">
        <v>10.063760850970199</v>
      </c>
      <c r="AI5778">
        <v>95.423901002183001</v>
      </c>
      <c r="AJ5778">
        <v>59.759519112619301</v>
      </c>
      <c r="AK5778">
        <v>11.7013522744917</v>
      </c>
      <c r="AL5778">
        <v>80.556235479855701</v>
      </c>
      <c r="AM5778">
        <v>69.659343482372705</v>
      </c>
      <c r="AN5778">
        <v>1.0000000436246399</v>
      </c>
    </row>
    <row r="5779" spans="1:40" x14ac:dyDescent="0.25">
      <c r="A5779" t="str">
        <f>"20190312172523394"</f>
        <v>20190312172523394</v>
      </c>
      <c r="B5779" t="str">
        <f>"1552382723386403"</f>
        <v>1552382723386403</v>
      </c>
      <c r="C5779" t="s">
        <v>40</v>
      </c>
      <c r="D5779">
        <v>4.0944830000000003</v>
      </c>
      <c r="E5779">
        <v>0.56801639999999998</v>
      </c>
      <c r="F5779" t="s">
        <v>42</v>
      </c>
      <c r="G5779">
        <v>-304.41759999999999</v>
      </c>
      <c r="H5779">
        <v>-0.05</v>
      </c>
      <c r="I5779">
        <v>1.0489040000000001</v>
      </c>
      <c r="J5779">
        <v>-309.23250000000002</v>
      </c>
      <c r="K5779">
        <v>1.0560639999999999</v>
      </c>
      <c r="L5779">
        <v>11.615539999999999</v>
      </c>
      <c r="M5779">
        <v>0.81535349999999995</v>
      </c>
      <c r="N5779">
        <v>0</v>
      </c>
      <c r="O5779">
        <v>-0.57878699999999905</v>
      </c>
      <c r="P5779">
        <v>0.5588166</v>
      </c>
      <c r="Q5779">
        <v>0.15426029999999999</v>
      </c>
      <c r="R5779">
        <v>-0.81481759999999903</v>
      </c>
      <c r="S5779">
        <v>1.3206789999999999</v>
      </c>
      <c r="T5779">
        <v>-0.29362670000000002</v>
      </c>
      <c r="U5779">
        <v>-2.83847</v>
      </c>
      <c r="V5779">
        <v>0.34287859999999998</v>
      </c>
      <c r="W5779">
        <v>0.16354279999999999</v>
      </c>
      <c r="X5779">
        <v>0.92503409999999997</v>
      </c>
      <c r="Y5779">
        <v>0.49518420000000002</v>
      </c>
      <c r="Z5779">
        <v>3.3925400000000001E-2</v>
      </c>
      <c r="AA5779">
        <v>0.86812540000000005</v>
      </c>
      <c r="AB5779">
        <v>19</v>
      </c>
      <c r="AC5779">
        <v>4.8149000000000202</v>
      </c>
      <c r="AD5779">
        <v>-1.1060639999999999</v>
      </c>
      <c r="AE5779">
        <v>-10.566636000000001</v>
      </c>
      <c r="AF5779">
        <v>5.77692348745326</v>
      </c>
      <c r="AG5779">
        <v>-1.1060639999999999</v>
      </c>
      <c r="AH5779">
        <v>9.95240468783628</v>
      </c>
      <c r="AI5779">
        <v>95.490207684489903</v>
      </c>
      <c r="AJ5779">
        <v>59.866761555796003</v>
      </c>
      <c r="AK5779">
        <v>11.5605614752247</v>
      </c>
      <c r="AL5779">
        <v>80.587407108444495</v>
      </c>
      <c r="AM5779">
        <v>69.661974384380201</v>
      </c>
      <c r="AN5779">
        <v>1.0000000339663</v>
      </c>
    </row>
    <row r="5780" spans="1:40" x14ac:dyDescent="0.25">
      <c r="A5780" t="str">
        <f>"20190312172523414"</f>
        <v>20190312172523414</v>
      </c>
      <c r="B5780" t="str">
        <f>"1552382723405923"</f>
        <v>1552382723405923</v>
      </c>
      <c r="C5780" t="s">
        <v>40</v>
      </c>
      <c r="D5780">
        <v>4.0761419999999999</v>
      </c>
      <c r="E5780">
        <v>0.56760659999999996</v>
      </c>
      <c r="F5780" t="s">
        <v>42</v>
      </c>
      <c r="G5780">
        <v>-304.40629999999999</v>
      </c>
      <c r="H5780">
        <v>-0.05</v>
      </c>
      <c r="I5780">
        <v>1.0293429999999999</v>
      </c>
      <c r="J5780">
        <v>-309.09280000000001</v>
      </c>
      <c r="K5780">
        <v>1.0560689999999999</v>
      </c>
      <c r="L5780">
        <v>11.50366</v>
      </c>
      <c r="M5780">
        <v>0.81027510000000003</v>
      </c>
      <c r="N5780">
        <v>0</v>
      </c>
      <c r="O5780">
        <v>-0.58587579999999995</v>
      </c>
      <c r="P5780">
        <v>0.55171539999999997</v>
      </c>
      <c r="Q5780">
        <v>0.15447230000000001</v>
      </c>
      <c r="R5780">
        <v>-0.81960259999999996</v>
      </c>
      <c r="S5780">
        <v>1.298279</v>
      </c>
      <c r="T5780">
        <v>-0.2975409</v>
      </c>
      <c r="U5780">
        <v>-2.8477779999999999</v>
      </c>
      <c r="V5780">
        <v>0.34281460000000002</v>
      </c>
      <c r="W5780">
        <v>0.1637516</v>
      </c>
      <c r="X5780">
        <v>0.92502090000000003</v>
      </c>
      <c r="Y5780">
        <v>0.49435279999999998</v>
      </c>
      <c r="Z5780">
        <v>3.5222900000000001E-2</v>
      </c>
      <c r="AA5780">
        <v>0.86854750000000003</v>
      </c>
      <c r="AB5780">
        <v>19</v>
      </c>
      <c r="AC5780">
        <v>4.6865000000000201</v>
      </c>
      <c r="AD5780">
        <v>-1.106069</v>
      </c>
      <c r="AE5780">
        <v>-10.474316999999999</v>
      </c>
      <c r="AF5780">
        <v>5.6890990631982099</v>
      </c>
      <c r="AG5780">
        <v>-1.106069</v>
      </c>
      <c r="AH5780">
        <v>9.8435590812849494</v>
      </c>
      <c r="AI5780">
        <v>95.556556300078597</v>
      </c>
      <c r="AJ5780">
        <v>59.974173672369297</v>
      </c>
      <c r="AK5780">
        <v>11.4229983879186</v>
      </c>
      <c r="AL5780">
        <v>80.575280428833395</v>
      </c>
      <c r="AM5780">
        <v>69.665193302719203</v>
      </c>
      <c r="AN5780">
        <v>1.0000000509562601</v>
      </c>
    </row>
    <row r="5781" spans="1:40" x14ac:dyDescent="0.25">
      <c r="A5781" t="str">
        <f>"20190312172523436"</f>
        <v>20190312172523436</v>
      </c>
      <c r="B5781" t="str">
        <f>"1552382723426420"</f>
        <v>1552382723426420</v>
      </c>
      <c r="C5781" t="s">
        <v>40</v>
      </c>
      <c r="D5781">
        <v>4.0688810000000002</v>
      </c>
      <c r="E5781">
        <v>0.56115689999999996</v>
      </c>
      <c r="F5781" t="s">
        <v>42</v>
      </c>
      <c r="G5781">
        <v>-304.34829999999999</v>
      </c>
      <c r="H5781">
        <v>-0.05</v>
      </c>
      <c r="I5781">
        <v>0.88031009999999998</v>
      </c>
      <c r="J5781">
        <v>-308.94819999999999</v>
      </c>
      <c r="K5781">
        <v>1.0560750000000001</v>
      </c>
      <c r="L5781">
        <v>11.3858</v>
      </c>
      <c r="M5781">
        <v>0.80491020000000002</v>
      </c>
      <c r="N5781">
        <v>0</v>
      </c>
      <c r="O5781">
        <v>-0.59322509999999995</v>
      </c>
      <c r="P5781">
        <v>0.54405380000000003</v>
      </c>
      <c r="Q5781">
        <v>0.15406029999999901</v>
      </c>
      <c r="R5781">
        <v>-0.82478560000000001</v>
      </c>
      <c r="S5781">
        <v>1.2761229999999999</v>
      </c>
      <c r="T5781">
        <v>-0.29749940000000002</v>
      </c>
      <c r="U5781">
        <v>-2.857361</v>
      </c>
      <c r="V5781">
        <v>0.34307080000000001</v>
      </c>
      <c r="W5781">
        <v>0.16333159999999999</v>
      </c>
      <c r="X5781">
        <v>0.92500009999999999</v>
      </c>
      <c r="Y5781">
        <v>0.49316369999999998</v>
      </c>
      <c r="Z5781">
        <v>3.61082E-2</v>
      </c>
      <c r="AA5781">
        <v>0.86918680000000004</v>
      </c>
      <c r="AB5781">
        <v>19</v>
      </c>
      <c r="AC5781">
        <v>4.5998999999999901</v>
      </c>
      <c r="AD5781">
        <v>-1.1060749999999999</v>
      </c>
      <c r="AE5781">
        <v>-10.505489900000001</v>
      </c>
      <c r="AF5781">
        <v>5.6749956477341597</v>
      </c>
      <c r="AG5781">
        <v>-1.1060749999999999</v>
      </c>
      <c r="AH5781">
        <v>9.8440712762881208</v>
      </c>
      <c r="AI5781">
        <v>95.559796923978794</v>
      </c>
      <c r="AJ5781">
        <v>60.037037916723598</v>
      </c>
      <c r="AK5781">
        <v>11.4164231175998</v>
      </c>
      <c r="AL5781">
        <v>80.5996724430683</v>
      </c>
      <c r="AM5781">
        <v>69.650821827881003</v>
      </c>
      <c r="AN5781">
        <v>0.99999998518560496</v>
      </c>
    </row>
    <row r="5782" spans="1:40" x14ac:dyDescent="0.25">
      <c r="A5782" t="str">
        <f>"20190312172523450"</f>
        <v>20190312172523450</v>
      </c>
      <c r="B5782" t="str">
        <f>"1552382723445939"</f>
        <v>1552382723445939</v>
      </c>
      <c r="C5782" t="s">
        <v>40</v>
      </c>
      <c r="D5782">
        <v>4.0623699999999996</v>
      </c>
      <c r="E5782">
        <v>0.5605386</v>
      </c>
      <c r="F5782" t="s">
        <v>42</v>
      </c>
      <c r="G5782">
        <v>-304.23970000000003</v>
      </c>
      <c r="H5782">
        <v>-0.05</v>
      </c>
      <c r="I5782">
        <v>1.032562</v>
      </c>
      <c r="J5782">
        <v>-308.85890000000001</v>
      </c>
      <c r="K5782">
        <v>1.0560750000000001</v>
      </c>
      <c r="L5782">
        <v>11.31183</v>
      </c>
      <c r="M5782">
        <v>0.80153779999999997</v>
      </c>
      <c r="N5782">
        <v>0</v>
      </c>
      <c r="O5782">
        <v>-0.59777440000000004</v>
      </c>
      <c r="P5782">
        <v>0.53947009999999995</v>
      </c>
      <c r="Q5782">
        <v>0.15379789999999999</v>
      </c>
      <c r="R5782">
        <v>-0.82783960000000001</v>
      </c>
      <c r="S5782">
        <v>1.292297</v>
      </c>
      <c r="T5782">
        <v>-0.30357650000000003</v>
      </c>
      <c r="U5782">
        <v>-2.841583</v>
      </c>
      <c r="V5782">
        <v>0.3429972</v>
      </c>
      <c r="W5782">
        <v>0.16306809999999999</v>
      </c>
      <c r="X5782">
        <v>0.9250739</v>
      </c>
      <c r="Y5782">
        <v>0.48234480000000002</v>
      </c>
      <c r="Z5782">
        <v>3.7972489999999998E-2</v>
      </c>
      <c r="AA5782">
        <v>0.87515799999999999</v>
      </c>
      <c r="AB5782">
        <v>19</v>
      </c>
      <c r="AC5782">
        <v>4.61919999999997</v>
      </c>
      <c r="AD5782">
        <v>-1.1060749999999999</v>
      </c>
      <c r="AE5782">
        <v>-10.279268</v>
      </c>
      <c r="AF5782">
        <v>5.4262666905555097</v>
      </c>
      <c r="AG5782">
        <v>-1.1060749999999999</v>
      </c>
      <c r="AH5782">
        <v>9.7541833001832998</v>
      </c>
      <c r="AI5782">
        <v>95.659170574635397</v>
      </c>
      <c r="AJ5782">
        <v>60.912747334648301</v>
      </c>
      <c r="AK5782">
        <v>11.2165887843065</v>
      </c>
      <c r="AL5782">
        <v>80.614975206249596</v>
      </c>
      <c r="AM5782">
        <v>69.656319604334996</v>
      </c>
      <c r="AN5782">
        <v>1.00000000245333</v>
      </c>
    </row>
    <row r="5783" spans="1:40" x14ac:dyDescent="0.25">
      <c r="A5783" t="str">
        <f>"20190312172523463"</f>
        <v>20190312172523463</v>
      </c>
      <c r="B5783" t="str">
        <f>"1552382723456676"</f>
        <v>1552382723456676</v>
      </c>
      <c r="C5783" t="s">
        <v>40</v>
      </c>
      <c r="D5783">
        <v>4.0935769999999998</v>
      </c>
      <c r="E5783">
        <v>0.5605386</v>
      </c>
      <c r="F5783" t="s">
        <v>42</v>
      </c>
      <c r="G5783">
        <v>-304.18079999999998</v>
      </c>
      <c r="H5783">
        <v>-0.05</v>
      </c>
      <c r="I5783">
        <v>0.91365050000000003</v>
      </c>
      <c r="J5783">
        <v>-308.77330000000001</v>
      </c>
      <c r="K5783">
        <v>1.056071</v>
      </c>
      <c r="L5783">
        <v>11.240259999999999</v>
      </c>
      <c r="M5783">
        <v>0.79826560000000002</v>
      </c>
      <c r="N5783">
        <v>0</v>
      </c>
      <c r="O5783">
        <v>-0.60213700000000003</v>
      </c>
      <c r="P5783">
        <v>0.53496929999999998</v>
      </c>
      <c r="Q5783">
        <v>0.1535137</v>
      </c>
      <c r="R5783">
        <v>-0.83080789999999904</v>
      </c>
      <c r="S5783">
        <v>1.2803040000000001</v>
      </c>
      <c r="T5783">
        <v>-0.30271300000000001</v>
      </c>
      <c r="U5783">
        <v>-2.8457949999999999</v>
      </c>
      <c r="V5783">
        <v>0.34300950000000002</v>
      </c>
      <c r="W5783">
        <v>0.16278110000000001</v>
      </c>
      <c r="X5783">
        <v>0.9251199</v>
      </c>
      <c r="Y5783">
        <v>0.48113250000000002</v>
      </c>
      <c r="Z5783">
        <v>3.8438029999999998E-2</v>
      </c>
      <c r="AA5783">
        <v>0.87580480000000005</v>
      </c>
      <c r="AB5783">
        <v>19</v>
      </c>
      <c r="AC5783">
        <v>4.5925000000000296</v>
      </c>
      <c r="AD5783">
        <v>-1.10607099999999</v>
      </c>
      <c r="AE5783">
        <v>-10.3266095</v>
      </c>
      <c r="AF5783">
        <v>5.42664303033526</v>
      </c>
      <c r="AG5783">
        <v>-1.10607099999999</v>
      </c>
      <c r="AH5783">
        <v>9.7912914659018497</v>
      </c>
      <c r="AI5783">
        <v>95.642763968674103</v>
      </c>
      <c r="AJ5783">
        <v>61.003395197483798</v>
      </c>
      <c r="AK5783">
        <v>11.2490549027893</v>
      </c>
      <c r="AL5783">
        <v>80.631641917805595</v>
      </c>
      <c r="AM5783">
        <v>69.6565785484771</v>
      </c>
      <c r="AN5783">
        <v>1.00000001649173</v>
      </c>
    </row>
    <row r="5784" spans="1:40" x14ac:dyDescent="0.25">
      <c r="A5784" t="str">
        <f>"20190312172523477"</f>
        <v>20190312172523477</v>
      </c>
      <c r="B5784" t="str">
        <f>"1552382723466436"</f>
        <v>1552382723466436</v>
      </c>
      <c r="C5784" t="s">
        <v>40</v>
      </c>
      <c r="D5784">
        <v>4.0937599999999996</v>
      </c>
      <c r="E5784">
        <v>0.55710769999999998</v>
      </c>
      <c r="F5784" t="s">
        <v>42</v>
      </c>
      <c r="G5784">
        <v>-304.16489999999999</v>
      </c>
      <c r="H5784">
        <v>-0.05</v>
      </c>
      <c r="I5784">
        <v>0.83930969999999905</v>
      </c>
      <c r="J5784">
        <v>-308.68200000000002</v>
      </c>
      <c r="K5784">
        <v>1.0560700000000001</v>
      </c>
      <c r="L5784">
        <v>11.162839999999999</v>
      </c>
      <c r="M5784">
        <v>0.79472419999999899</v>
      </c>
      <c r="N5784">
        <v>0</v>
      </c>
      <c r="O5784">
        <v>-0.6068038</v>
      </c>
      <c r="P5784">
        <v>0.53012869999999901</v>
      </c>
      <c r="Q5784">
        <v>0.1536237</v>
      </c>
      <c r="R5784">
        <v>-0.83388490000000004</v>
      </c>
      <c r="S5784">
        <v>1.2640990000000001</v>
      </c>
      <c r="T5784">
        <v>-0.3034</v>
      </c>
      <c r="U5784">
        <v>-2.853027</v>
      </c>
      <c r="V5784">
        <v>0.34295360000000003</v>
      </c>
      <c r="W5784">
        <v>0.16288749999999999</v>
      </c>
      <c r="X5784">
        <v>0.92512190000000005</v>
      </c>
      <c r="Y5784">
        <v>0.48099059999999999</v>
      </c>
      <c r="Z5784">
        <v>3.9071010000000003E-2</v>
      </c>
      <c r="AA5784">
        <v>0.87585469999999899</v>
      </c>
      <c r="AB5784">
        <v>19</v>
      </c>
      <c r="AC5784">
        <v>4.5171000000000197</v>
      </c>
      <c r="AD5784">
        <v>-1.1060700000000001</v>
      </c>
      <c r="AE5784">
        <v>-10.3235303</v>
      </c>
      <c r="AF5784">
        <v>5.4117793290110496</v>
      </c>
      <c r="AG5784">
        <v>-1.1060700000000001</v>
      </c>
      <c r="AH5784">
        <v>9.7611600088052999</v>
      </c>
      <c r="AI5784">
        <v>95.659615942060597</v>
      </c>
      <c r="AJ5784">
        <v>60.995150952441698</v>
      </c>
      <c r="AK5784">
        <v>11.215658298482101</v>
      </c>
      <c r="AL5784">
        <v>80.625463211762295</v>
      </c>
      <c r="AM5784">
        <v>69.659662634477499</v>
      </c>
      <c r="AN5784">
        <v>1.0000000196344001</v>
      </c>
    </row>
    <row r="5785" spans="1:40" x14ac:dyDescent="0.25">
      <c r="A5785" t="str">
        <f>"20190312172523492"</f>
        <v>20190312172523492</v>
      </c>
      <c r="B5785" t="str">
        <f>"1552382723485955"</f>
        <v>1552382723485955</v>
      </c>
      <c r="C5785" t="s">
        <v>40</v>
      </c>
      <c r="D5785">
        <v>4.0752459999999999</v>
      </c>
      <c r="E5785">
        <v>0.5564346</v>
      </c>
      <c r="F5785" t="s">
        <v>42</v>
      </c>
      <c r="G5785">
        <v>-304.18299999999999</v>
      </c>
      <c r="H5785">
        <v>-0.05</v>
      </c>
      <c r="I5785">
        <v>1.0874790000000001</v>
      </c>
      <c r="J5785">
        <v>-308.58210000000003</v>
      </c>
      <c r="K5785">
        <v>1.056076</v>
      </c>
      <c r="L5785">
        <v>11.07709</v>
      </c>
      <c r="M5785">
        <v>0.79078950000000003</v>
      </c>
      <c r="N5785">
        <v>0</v>
      </c>
      <c r="O5785">
        <v>-0.61192270000000004</v>
      </c>
      <c r="P5785">
        <v>0.52469860000000001</v>
      </c>
      <c r="Q5785">
        <v>0.1534847</v>
      </c>
      <c r="R5785">
        <v>-0.83733760000000002</v>
      </c>
      <c r="S5785">
        <v>1.27127099999999</v>
      </c>
      <c r="T5785">
        <v>-0.31254090000000001</v>
      </c>
      <c r="U5785">
        <v>-2.8469850000000001</v>
      </c>
      <c r="V5785">
        <v>0.34301009999999998</v>
      </c>
      <c r="W5785">
        <v>0.16274259999999999</v>
      </c>
      <c r="X5785">
        <v>0.92512640000000002</v>
      </c>
      <c r="Y5785">
        <v>0.47282930000000001</v>
      </c>
      <c r="Z5785">
        <v>4.1275140000000002E-2</v>
      </c>
      <c r="AA5785">
        <v>0.88018680000000005</v>
      </c>
      <c r="AB5785">
        <v>19</v>
      </c>
      <c r="AC5785">
        <v>4.39910000000003</v>
      </c>
      <c r="AD5785">
        <v>-1.1060760000000001</v>
      </c>
      <c r="AE5785">
        <v>-9.989611</v>
      </c>
      <c r="AF5785">
        <v>5.1553613831530001</v>
      </c>
      <c r="AG5785">
        <v>-1.1060760000000001</v>
      </c>
      <c r="AH5785">
        <v>9.4951054092670493</v>
      </c>
      <c r="AI5785">
        <v>95.845170078353206</v>
      </c>
      <c r="AJ5785">
        <v>61.500280636113601</v>
      </c>
      <c r="AK5785">
        <v>10.8608554838821</v>
      </c>
      <c r="AL5785">
        <v>80.633877171179606</v>
      </c>
      <c r="AM5785">
        <v>69.656677100459405</v>
      </c>
      <c r="AN5785">
        <v>0.99999996926686396</v>
      </c>
    </row>
    <row r="5786" spans="1:40" x14ac:dyDescent="0.25">
      <c r="A5786" t="str">
        <f>"20190312172523505"</f>
        <v>20190312172523505</v>
      </c>
      <c r="B5786" t="str">
        <f>"1552382723495716"</f>
        <v>1552382723495716</v>
      </c>
      <c r="C5786" t="s">
        <v>40</v>
      </c>
      <c r="D5786">
        <v>4.082001</v>
      </c>
      <c r="E5786">
        <v>0.55662230000000001</v>
      </c>
      <c r="F5786" t="s">
        <v>42</v>
      </c>
      <c r="G5786">
        <v>-304.13630000000001</v>
      </c>
      <c r="H5786">
        <v>-0.05</v>
      </c>
      <c r="I5786">
        <v>0.99029540000000005</v>
      </c>
      <c r="J5786">
        <v>-308.49950000000001</v>
      </c>
      <c r="K5786">
        <v>1.056074</v>
      </c>
      <c r="L5786">
        <v>11.0054</v>
      </c>
      <c r="M5786">
        <v>0.78748909999999905</v>
      </c>
      <c r="N5786">
        <v>0</v>
      </c>
      <c r="O5786">
        <v>-0.61616409999999999</v>
      </c>
      <c r="P5786">
        <v>0.51985700000000001</v>
      </c>
      <c r="Q5786">
        <v>0.15384010000000001</v>
      </c>
      <c r="R5786">
        <v>-0.84028649999999905</v>
      </c>
      <c r="S5786">
        <v>1.2572019999999999</v>
      </c>
      <c r="T5786">
        <v>-0.312778</v>
      </c>
      <c r="U5786">
        <v>-2.8523559999999999</v>
      </c>
      <c r="V5786">
        <v>0.343331</v>
      </c>
      <c r="W5786">
        <v>0.16308739999999999</v>
      </c>
      <c r="X5786">
        <v>0.92494670000000001</v>
      </c>
      <c r="Y5786">
        <v>0.47235310000000003</v>
      </c>
      <c r="Z5786">
        <v>4.1845729999999998E-2</v>
      </c>
      <c r="AA5786">
        <v>0.88041550000000002</v>
      </c>
      <c r="AB5786">
        <v>19</v>
      </c>
      <c r="AC5786">
        <v>4.3632</v>
      </c>
      <c r="AD5786">
        <v>-1.106074</v>
      </c>
      <c r="AE5786">
        <v>-10.015104600000001</v>
      </c>
      <c r="AF5786">
        <v>5.1461106790247904</v>
      </c>
      <c r="AG5786">
        <v>-1.106074</v>
      </c>
      <c r="AH5786">
        <v>9.5103994014617896</v>
      </c>
      <c r="AI5786">
        <v>95.840308095880303</v>
      </c>
      <c r="AJ5786">
        <v>61.582023399169998</v>
      </c>
      <c r="AK5786">
        <v>10.86984597819</v>
      </c>
      <c r="AL5786">
        <v>80.613854718180207</v>
      </c>
      <c r="AM5786">
        <v>69.635575820957499</v>
      </c>
      <c r="AN5786">
        <v>1.0000000367203199</v>
      </c>
    </row>
    <row r="5787" spans="1:40" x14ac:dyDescent="0.25">
      <c r="A5787" t="str">
        <f>"20190312172523519"</f>
        <v>20190312172523519</v>
      </c>
      <c r="B5787" t="str">
        <f>"1552382723506452"</f>
        <v>1552382723506452</v>
      </c>
      <c r="C5787" t="s">
        <v>40</v>
      </c>
      <c r="D5787">
        <v>4.144533</v>
      </c>
      <c r="E5787">
        <v>0.55662230000000001</v>
      </c>
      <c r="F5787" t="s">
        <v>42</v>
      </c>
      <c r="G5787">
        <v>-304.10079999999999</v>
      </c>
      <c r="H5787">
        <v>-0.05</v>
      </c>
      <c r="I5787">
        <v>0.86047359999999995</v>
      </c>
      <c r="J5787">
        <v>-308.41399999999999</v>
      </c>
      <c r="K5787">
        <v>1.056071</v>
      </c>
      <c r="L5787">
        <v>10.930389999999999</v>
      </c>
      <c r="M5787">
        <v>0.78402890000000003</v>
      </c>
      <c r="N5787">
        <v>0</v>
      </c>
      <c r="O5787">
        <v>-0.62056129999999998</v>
      </c>
      <c r="P5787">
        <v>0.51486889999999996</v>
      </c>
      <c r="Q5787">
        <v>0.15413199999999999</v>
      </c>
      <c r="R5787">
        <v>-0.84329929999999997</v>
      </c>
      <c r="S5787">
        <v>1.2400819999999999</v>
      </c>
      <c r="T5787">
        <v>-0.31182659999999901</v>
      </c>
      <c r="U5787">
        <v>-2.860077</v>
      </c>
      <c r="V5787">
        <v>0.34359869999999998</v>
      </c>
      <c r="W5787">
        <v>0.16336829999999999</v>
      </c>
      <c r="X5787">
        <v>0.92479769999999994</v>
      </c>
      <c r="Y5787">
        <v>0.47273490000000001</v>
      </c>
      <c r="Z5787">
        <v>4.222269E-2</v>
      </c>
      <c r="AA5787">
        <v>0.88019259999999999</v>
      </c>
      <c r="AB5787">
        <v>19</v>
      </c>
      <c r="AC5787">
        <v>4.3131999999999904</v>
      </c>
      <c r="AD5787">
        <v>-1.10607099999999</v>
      </c>
      <c r="AE5787">
        <v>-10.0699164</v>
      </c>
      <c r="AF5787">
        <v>5.1663608421298601</v>
      </c>
      <c r="AG5787">
        <v>-1.10607099999999</v>
      </c>
      <c r="AH5787">
        <v>9.5344508507742205</v>
      </c>
      <c r="AI5787">
        <v>95.823823001452496</v>
      </c>
      <c r="AJ5787">
        <v>61.548399439088598</v>
      </c>
      <c r="AK5787">
        <v>10.9004784497728</v>
      </c>
      <c r="AL5787">
        <v>80.597541456372596</v>
      </c>
      <c r="AM5787">
        <v>69.617989310404496</v>
      </c>
      <c r="AN5787">
        <v>1.0000000270059299</v>
      </c>
    </row>
    <row r="5788" spans="1:40" x14ac:dyDescent="0.25">
      <c r="A5788" t="str">
        <f>"20190312172523537"</f>
        <v>20190312172523537</v>
      </c>
      <c r="B5788" t="str">
        <f>"1552382723525971"</f>
        <v>1552382723525971</v>
      </c>
      <c r="C5788" t="s">
        <v>40</v>
      </c>
      <c r="D5788">
        <v>4.0793999999999997</v>
      </c>
      <c r="E5788">
        <v>0.59364249999999996</v>
      </c>
      <c r="F5788" t="s">
        <v>42</v>
      </c>
      <c r="G5788">
        <v>-304.0652</v>
      </c>
      <c r="H5788">
        <v>-0.05</v>
      </c>
      <c r="I5788">
        <v>0.73951719999999999</v>
      </c>
      <c r="J5788">
        <v>-308.30029999999999</v>
      </c>
      <c r="K5788">
        <v>1.056063</v>
      </c>
      <c r="L5788">
        <v>10.82907</v>
      </c>
      <c r="M5788">
        <v>0.7793428</v>
      </c>
      <c r="N5788">
        <v>0</v>
      </c>
      <c r="O5788">
        <v>-0.62643669999999996</v>
      </c>
      <c r="P5788">
        <v>0.50789819999999997</v>
      </c>
      <c r="Q5788">
        <v>0.15414990000000001</v>
      </c>
      <c r="R5788">
        <v>-0.84751279999999996</v>
      </c>
      <c r="S5788">
        <v>1.2235720000000001</v>
      </c>
      <c r="T5788">
        <v>-0.31120439999999999</v>
      </c>
      <c r="U5788">
        <v>-2.8673099999999998</v>
      </c>
      <c r="V5788">
        <v>0.34427370000000002</v>
      </c>
      <c r="W5788">
        <v>0.16336729999999899</v>
      </c>
      <c r="X5788">
        <v>0.9245468</v>
      </c>
      <c r="Y5788">
        <v>0.47122000000000003</v>
      </c>
      <c r="Z5788">
        <v>4.2908889999999998E-2</v>
      </c>
      <c r="AA5788">
        <v>0.88097139999999996</v>
      </c>
      <c r="AB5788">
        <v>19</v>
      </c>
      <c r="AC5788">
        <v>4.2350999999999797</v>
      </c>
      <c r="AD5788">
        <v>-1.106063</v>
      </c>
      <c r="AE5788">
        <v>-10.0895528</v>
      </c>
      <c r="AF5788">
        <v>5.1580229076279904</v>
      </c>
      <c r="AG5788">
        <v>-1.106063</v>
      </c>
      <c r="AH5788">
        <v>9.5247147577616094</v>
      </c>
      <c r="AI5788">
        <v>95.830472835812103</v>
      </c>
      <c r="AJ5788">
        <v>61.562641520634699</v>
      </c>
      <c r="AK5788">
        <v>10.888010235681501</v>
      </c>
      <c r="AL5788">
        <v>80.597599468817293</v>
      </c>
      <c r="AM5788">
        <v>69.576167489220097</v>
      </c>
      <c r="AN5788">
        <v>1.0000000203056001</v>
      </c>
    </row>
    <row r="5789" spans="1:40" x14ac:dyDescent="0.25">
      <c r="A5789" t="str">
        <f>"20190312172523564"</f>
        <v>20190312172523564</v>
      </c>
      <c r="B5789" t="str">
        <f>"1552382723556228"</f>
        <v>1552382723556228</v>
      </c>
      <c r="C5789" t="s">
        <v>40</v>
      </c>
      <c r="D5789">
        <v>4.0453199999999896</v>
      </c>
      <c r="E5789">
        <v>0.60083880000000001</v>
      </c>
      <c r="F5789" t="s">
        <v>43</v>
      </c>
      <c r="G5789">
        <v>-304.3528</v>
      </c>
      <c r="H5789" s="1">
        <v>-4.5035150000000004E-6</v>
      </c>
      <c r="I5789">
        <v>-1.8329839999999999</v>
      </c>
      <c r="J5789">
        <v>-308.13589999999999</v>
      </c>
      <c r="K5789">
        <v>1.0560590000000001</v>
      </c>
      <c r="L5789">
        <v>10.67999</v>
      </c>
      <c r="M5789">
        <v>0.77241199999999999</v>
      </c>
      <c r="N5789">
        <v>0</v>
      </c>
      <c r="O5789">
        <v>-0.63496269999999999</v>
      </c>
      <c r="P5789">
        <v>0.4983592</v>
      </c>
      <c r="Q5789">
        <v>0.15398039999999999</v>
      </c>
      <c r="R5789">
        <v>-0.85318700000000003</v>
      </c>
      <c r="S5789">
        <v>0.94186400000000003</v>
      </c>
      <c r="T5789">
        <v>-0.25197629999999999</v>
      </c>
      <c r="U5789">
        <v>-3.0211489999999999</v>
      </c>
      <c r="V5789">
        <v>0.34450989999999998</v>
      </c>
      <c r="W5789">
        <v>0.16318379999999999</v>
      </c>
      <c r="X5789">
        <v>0.92449119999999996</v>
      </c>
      <c r="Y5789">
        <v>0.54843500000000001</v>
      </c>
      <c r="Z5789">
        <v>3.212023E-2</v>
      </c>
      <c r="AA5789">
        <v>0.83557599999999999</v>
      </c>
      <c r="AB5789">
        <v>19</v>
      </c>
      <c r="AC5789">
        <v>3.7830999999999899</v>
      </c>
      <c r="AD5789">
        <v>-1.0560635035149999</v>
      </c>
      <c r="AE5789">
        <v>-12.512974</v>
      </c>
      <c r="AF5789">
        <v>7.2166790003133903</v>
      </c>
      <c r="AG5789">
        <v>-1.0560635035149999</v>
      </c>
      <c r="AH5789">
        <v>10.798009791783301</v>
      </c>
      <c r="AI5789">
        <v>94.648680448868205</v>
      </c>
      <c r="AJ5789">
        <v>56.243839342706501</v>
      </c>
      <c r="AK5789">
        <v>13.0304543811974</v>
      </c>
      <c r="AL5789">
        <v>80.608256072966597</v>
      </c>
      <c r="AM5789">
        <v>69.562185886007896</v>
      </c>
      <c r="AN5789">
        <v>1.0000000013289401</v>
      </c>
    </row>
    <row r="5790" spans="1:40" x14ac:dyDescent="0.25">
      <c r="A5790" t="str">
        <f>"20190312172523583"</f>
        <v>20190312172523583</v>
      </c>
      <c r="B5790" t="str">
        <f>"1552382723575747"</f>
        <v>1552382723575747</v>
      </c>
      <c r="C5790" t="s">
        <v>40</v>
      </c>
      <c r="D5790">
        <v>4.0618230000000004</v>
      </c>
      <c r="E5790">
        <v>0.60235109999999903</v>
      </c>
      <c r="F5790" t="s">
        <v>43</v>
      </c>
      <c r="G5790">
        <v>-304.37950000000001</v>
      </c>
      <c r="H5790" s="1">
        <v>-4.1653179999999998E-6</v>
      </c>
      <c r="I5790">
        <v>-2.7259950000000002</v>
      </c>
      <c r="J5790">
        <v>-308.01369999999997</v>
      </c>
      <c r="K5790">
        <v>1.0560620000000001</v>
      </c>
      <c r="L5790">
        <v>10.566890000000001</v>
      </c>
      <c r="M5790">
        <v>0.76713399999999998</v>
      </c>
      <c r="N5790">
        <v>0</v>
      </c>
      <c r="O5790">
        <v>-0.64132959999999894</v>
      </c>
      <c r="P5790">
        <v>0.4910448</v>
      </c>
      <c r="Q5790">
        <v>0.15451770000000001</v>
      </c>
      <c r="R5790">
        <v>-0.85732120000000001</v>
      </c>
      <c r="S5790">
        <v>0.8571472</v>
      </c>
      <c r="T5790">
        <v>-0.24097589999999999</v>
      </c>
      <c r="U5790">
        <v>-3.059021</v>
      </c>
      <c r="V5790">
        <v>0.34470339999999999</v>
      </c>
      <c r="W5790">
        <v>0.16371069999999999</v>
      </c>
      <c r="X5790">
        <v>0.92432590000000003</v>
      </c>
      <c r="Y5790">
        <v>0.56562699999999999</v>
      </c>
      <c r="Z5790">
        <v>3.054979E-2</v>
      </c>
      <c r="AA5790">
        <v>0.82409519999999903</v>
      </c>
      <c r="AB5790">
        <v>19</v>
      </c>
      <c r="AC5790">
        <v>3.6341999999999599</v>
      </c>
      <c r="AD5790">
        <v>-1.0560661653179999</v>
      </c>
      <c r="AE5790">
        <v>-13.292884999999901</v>
      </c>
      <c r="AF5790">
        <v>7.8215639875354404</v>
      </c>
      <c r="AG5790">
        <v>-1.0560661653179999</v>
      </c>
      <c r="AH5790">
        <v>11.2481235278205</v>
      </c>
      <c r="AI5790">
        <v>94.407851518797401</v>
      </c>
      <c r="AJ5790">
        <v>55.186557184435998</v>
      </c>
      <c r="AK5790">
        <v>13.740903240098501</v>
      </c>
      <c r="AL5790">
        <v>80.577655382548798</v>
      </c>
      <c r="AM5790">
        <v>69.548302553544502</v>
      </c>
      <c r="AN5790">
        <v>0.99999999833843001</v>
      </c>
    </row>
    <row r="5791" spans="1:40" x14ac:dyDescent="0.25">
      <c r="A5791" t="str">
        <f>"20190312172523606"</f>
        <v>20190312172523606</v>
      </c>
      <c r="B5791" t="str">
        <f>"1552382723596244"</f>
        <v>1552382723596244</v>
      </c>
      <c r="C5791" t="s">
        <v>40</v>
      </c>
      <c r="D5791">
        <v>4.125184</v>
      </c>
      <c r="E5791">
        <v>0.60261560000000003</v>
      </c>
      <c r="F5791" t="s">
        <v>43</v>
      </c>
      <c r="G5791">
        <v>-304.30790000000002</v>
      </c>
      <c r="H5791" s="1">
        <v>-3.925072E-6</v>
      </c>
      <c r="I5791">
        <v>-3.3185419999999999</v>
      </c>
      <c r="J5791">
        <v>-307.87619999999998</v>
      </c>
      <c r="K5791">
        <v>1.05606</v>
      </c>
      <c r="L5791">
        <v>10.43723</v>
      </c>
      <c r="M5791">
        <v>0.76105990000000001</v>
      </c>
      <c r="N5791">
        <v>0</v>
      </c>
      <c r="O5791">
        <v>-0.6485263</v>
      </c>
      <c r="P5791">
        <v>0.48290420000000001</v>
      </c>
      <c r="Q5791">
        <v>0.15497379999999999</v>
      </c>
      <c r="R5791">
        <v>-0.86185109999999998</v>
      </c>
      <c r="S5791">
        <v>0.8198242</v>
      </c>
      <c r="T5791">
        <v>-0.23362830000000001</v>
      </c>
      <c r="U5791">
        <v>-3.0718079999999999</v>
      </c>
      <c r="V5791">
        <v>0.34469429999999901</v>
      </c>
      <c r="W5791">
        <v>0.1641618</v>
      </c>
      <c r="X5791">
        <v>0.92424930000000005</v>
      </c>
      <c r="Y5791">
        <v>0.56807859999999999</v>
      </c>
      <c r="Z5791">
        <v>3.0173229999999999E-2</v>
      </c>
      <c r="AA5791">
        <v>0.82242099999999996</v>
      </c>
      <c r="AB5791">
        <v>18</v>
      </c>
      <c r="AC5791">
        <v>3.5682999999999598</v>
      </c>
      <c r="AD5791">
        <v>-1.0560639250720001</v>
      </c>
      <c r="AE5791">
        <v>-13.755772</v>
      </c>
      <c r="AF5791">
        <v>8.1108602363164195</v>
      </c>
      <c r="AG5791">
        <v>-1.0560639250720001</v>
      </c>
      <c r="AH5791">
        <v>11.573926481896899</v>
      </c>
      <c r="AI5791">
        <v>94.273384548699994</v>
      </c>
      <c r="AJ5791">
        <v>54.977718028217197</v>
      </c>
      <c r="AK5791">
        <v>14.1724062528299</v>
      </c>
      <c r="AL5791">
        <v>80.551454924369096</v>
      </c>
      <c r="AM5791">
        <v>69.547243164235695</v>
      </c>
      <c r="AN5791">
        <v>1.0000000127911099</v>
      </c>
    </row>
    <row r="5792" spans="1:40" x14ac:dyDescent="0.25">
      <c r="A5792" t="str">
        <f>"20190312172523626"</f>
        <v>20190312172523626</v>
      </c>
      <c r="B5792" t="str">
        <f>"1552382723615763"</f>
        <v>1552382723615763</v>
      </c>
      <c r="C5792" t="s">
        <v>40</v>
      </c>
      <c r="D5792">
        <v>4.0680339999999999</v>
      </c>
      <c r="E5792">
        <v>0.60299209999999903</v>
      </c>
      <c r="F5792" t="s">
        <v>43</v>
      </c>
      <c r="G5792">
        <v>-304.29570000000001</v>
      </c>
      <c r="H5792" s="1">
        <v>-3.8408999999999999E-6</v>
      </c>
      <c r="I5792">
        <v>-3.5321250000000002</v>
      </c>
      <c r="J5792">
        <v>-307.74930000000001</v>
      </c>
      <c r="K5792">
        <v>1.0560499999999999</v>
      </c>
      <c r="L5792">
        <v>10.31546</v>
      </c>
      <c r="M5792">
        <v>0.75533809999999901</v>
      </c>
      <c r="N5792">
        <v>0</v>
      </c>
      <c r="O5792">
        <v>-0.65518149999999997</v>
      </c>
      <c r="P5792">
        <v>0.47564289999999998</v>
      </c>
      <c r="Q5792">
        <v>0.15411749999999999</v>
      </c>
      <c r="R5792">
        <v>-0.86603220000000003</v>
      </c>
      <c r="S5792">
        <v>0.78952029999999995</v>
      </c>
      <c r="T5792">
        <v>-0.23287269999999999</v>
      </c>
      <c r="U5792">
        <v>-3.0803829999999999</v>
      </c>
      <c r="V5792">
        <v>0.34445320000000001</v>
      </c>
      <c r="W5792">
        <v>0.16331229999999999</v>
      </c>
      <c r="X5792">
        <v>0.92448969999999997</v>
      </c>
      <c r="Y5792">
        <v>0.56900649999999997</v>
      </c>
      <c r="Z5792">
        <v>3.0652289999999999E-2</v>
      </c>
      <c r="AA5792">
        <v>0.82176150000000003</v>
      </c>
      <c r="AB5792">
        <v>18</v>
      </c>
      <c r="AC5792">
        <v>3.45359999999999</v>
      </c>
      <c r="AD5792">
        <v>-1.0560538409</v>
      </c>
      <c r="AE5792">
        <v>-13.847585</v>
      </c>
      <c r="AF5792">
        <v>8.1530584903035592</v>
      </c>
      <c r="AG5792">
        <v>-1.0560538409</v>
      </c>
      <c r="AH5792">
        <v>11.618876351208501</v>
      </c>
      <c r="AI5792">
        <v>94.255037209197994</v>
      </c>
      <c r="AJ5792">
        <v>54.942353825481803</v>
      </c>
      <c r="AK5792">
        <v>14.2332673735113</v>
      </c>
      <c r="AL5792">
        <v>80.600794009873297</v>
      </c>
      <c r="AM5792">
        <v>69.565241065160905</v>
      </c>
      <c r="AN5792">
        <v>1.0000000598637999</v>
      </c>
    </row>
    <row r="5793" spans="1:40" x14ac:dyDescent="0.25">
      <c r="A5793" t="str">
        <f>"20190312172523648"</f>
        <v>20190312172523648</v>
      </c>
      <c r="B5793" t="str">
        <f>"1552382723636263"</f>
        <v>1552382723636263</v>
      </c>
      <c r="C5793" t="s">
        <v>40</v>
      </c>
      <c r="D5793">
        <v>4.1046399999999998</v>
      </c>
      <c r="E5793">
        <v>0.60261569999999998</v>
      </c>
      <c r="F5793" t="s">
        <v>43</v>
      </c>
      <c r="G5793">
        <v>-304.36430000000001</v>
      </c>
      <c r="H5793" s="1">
        <v>-3.893475E-6</v>
      </c>
      <c r="I5793">
        <v>-3.4268679999999998</v>
      </c>
      <c r="J5793">
        <v>-307.61470000000003</v>
      </c>
      <c r="K5793">
        <v>1.056044</v>
      </c>
      <c r="L5793">
        <v>10.18378</v>
      </c>
      <c r="M5793">
        <v>0.74913149999999995</v>
      </c>
      <c r="N5793">
        <v>0</v>
      </c>
      <c r="O5793">
        <v>-0.662269199999999</v>
      </c>
      <c r="P5793">
        <v>0.46828069999999999</v>
      </c>
      <c r="Q5793">
        <v>0.15181349999999999</v>
      </c>
      <c r="R5793">
        <v>-0.87044029999999994</v>
      </c>
      <c r="S5793">
        <v>0.76077269999999997</v>
      </c>
      <c r="T5793">
        <v>-0.23734140000000001</v>
      </c>
      <c r="U5793">
        <v>-3.0885009999999999</v>
      </c>
      <c r="V5793">
        <v>0.34385450000000001</v>
      </c>
      <c r="W5793">
        <v>0.16102739999999999</v>
      </c>
      <c r="X5793">
        <v>0.92511310000000002</v>
      </c>
      <c r="Y5793">
        <v>0.56898019999999905</v>
      </c>
      <c r="Z5793">
        <v>3.190225E-2</v>
      </c>
      <c r="AA5793">
        <v>0.82173220000000002</v>
      </c>
      <c r="AB5793">
        <v>18</v>
      </c>
      <c r="AC5793">
        <v>3.2504000000000102</v>
      </c>
      <c r="AD5793">
        <v>-1.0560478934749999</v>
      </c>
      <c r="AE5793">
        <v>-13.610647999999999</v>
      </c>
      <c r="AF5793">
        <v>7.9987798839932003</v>
      </c>
      <c r="AG5793">
        <v>-1.0560478934749999</v>
      </c>
      <c r="AH5793">
        <v>11.3852007700392</v>
      </c>
      <c r="AI5793">
        <v>94.340283154007693</v>
      </c>
      <c r="AJ5793">
        <v>54.909679885831203</v>
      </c>
      <c r="AK5793">
        <v>13.9541575653992</v>
      </c>
      <c r="AL5793">
        <v>80.733464735976895</v>
      </c>
      <c r="AM5793">
        <v>69.610445975246094</v>
      </c>
      <c r="AN5793">
        <v>0.99999999425630903</v>
      </c>
    </row>
    <row r="5794" spans="1:40" x14ac:dyDescent="0.25">
      <c r="A5794" t="str">
        <f>"20190312172523662"</f>
        <v>20190312172523662</v>
      </c>
      <c r="B5794" t="str">
        <f>"1552382723655780"</f>
        <v>1552382723655780</v>
      </c>
      <c r="C5794" t="s">
        <v>40</v>
      </c>
      <c r="D5794">
        <v>4.0637869999999996</v>
      </c>
      <c r="E5794">
        <v>0.60234989999999999</v>
      </c>
      <c r="F5794" t="s">
        <v>43</v>
      </c>
      <c r="G5794">
        <v>-304.4599</v>
      </c>
      <c r="H5794" s="1">
        <v>-4.043251E-6</v>
      </c>
      <c r="I5794">
        <v>-3.0810040000000001</v>
      </c>
      <c r="J5794">
        <v>-307.536</v>
      </c>
      <c r="K5794">
        <v>1.0560400000000001</v>
      </c>
      <c r="L5794">
        <v>10.105869999999999</v>
      </c>
      <c r="M5794">
        <v>0.74544880000000002</v>
      </c>
      <c r="N5794">
        <v>0</v>
      </c>
      <c r="O5794">
        <v>-0.6664118</v>
      </c>
      <c r="P5794">
        <v>0.46399960000000001</v>
      </c>
      <c r="Q5794">
        <v>0.15060009999999999</v>
      </c>
      <c r="R5794">
        <v>-0.87293999999999905</v>
      </c>
      <c r="S5794">
        <v>0.73577879999999996</v>
      </c>
      <c r="T5794">
        <v>-0.24629519999999999</v>
      </c>
      <c r="U5794">
        <v>-3.093658</v>
      </c>
      <c r="V5794">
        <v>0.34340870000000001</v>
      </c>
      <c r="W5794">
        <v>0.1598282</v>
      </c>
      <c r="X5794">
        <v>0.92548660000000005</v>
      </c>
      <c r="Y5794">
        <v>0.57100680000000004</v>
      </c>
      <c r="Z5794">
        <v>3.3440329999999997E-2</v>
      </c>
      <c r="AA5794">
        <v>0.82026399999999999</v>
      </c>
      <c r="AB5794">
        <v>18</v>
      </c>
      <c r="AC5794">
        <v>3.0760999999999901</v>
      </c>
      <c r="AD5794">
        <v>-1.0560440432510001</v>
      </c>
      <c r="AE5794">
        <v>-13.186874</v>
      </c>
      <c r="AF5794">
        <v>7.7339334294039803</v>
      </c>
      <c r="AG5794">
        <v>-1.0560440432510001</v>
      </c>
      <c r="AH5794">
        <v>11.0150823194704</v>
      </c>
      <c r="AI5794">
        <v>94.486438215748805</v>
      </c>
      <c r="AJ5794">
        <v>54.926456427989898</v>
      </c>
      <c r="AK5794">
        <v>13.5004071722466</v>
      </c>
      <c r="AL5794">
        <v>80.803075685397602</v>
      </c>
      <c r="AM5794">
        <v>69.642252741972897</v>
      </c>
      <c r="AN5794">
        <v>1.0000000177652399</v>
      </c>
    </row>
    <row r="5795" spans="1:40" x14ac:dyDescent="0.25">
      <c r="A5795" t="str">
        <f>"20190312172523674"</f>
        <v>20190312172523674</v>
      </c>
      <c r="B5795" t="str">
        <f>"1552382723666516"</f>
        <v>1552382723666516</v>
      </c>
      <c r="C5795" t="s">
        <v>40</v>
      </c>
      <c r="D5795">
        <v>4.0132389999999996</v>
      </c>
      <c r="E5795">
        <v>0.60218050000000001</v>
      </c>
      <c r="F5795" t="s">
        <v>43</v>
      </c>
      <c r="G5795">
        <v>-304.48390000000001</v>
      </c>
      <c r="H5795" s="1">
        <v>-4.0828330000000004E-6</v>
      </c>
      <c r="I5795">
        <v>-2.989061</v>
      </c>
      <c r="J5795">
        <v>-307.4622</v>
      </c>
      <c r="K5795">
        <v>1.056041</v>
      </c>
      <c r="L5795">
        <v>10.03162</v>
      </c>
      <c r="M5795">
        <v>0.74194419999999905</v>
      </c>
      <c r="N5795">
        <v>0</v>
      </c>
      <c r="O5795">
        <v>-0.670311199999999</v>
      </c>
      <c r="P5795">
        <v>0.4598506</v>
      </c>
      <c r="Q5795">
        <v>0.1500628</v>
      </c>
      <c r="R5795">
        <v>-0.87522479999999903</v>
      </c>
      <c r="S5795">
        <v>0.72161869999999995</v>
      </c>
      <c r="T5795">
        <v>-0.24969089999999999</v>
      </c>
      <c r="U5795">
        <v>-3.0961609999999999</v>
      </c>
      <c r="V5795">
        <v>0.34300710000000001</v>
      </c>
      <c r="W5795">
        <v>0.159303799999999</v>
      </c>
      <c r="X5795">
        <v>0.92572589999999999</v>
      </c>
      <c r="Y5795">
        <v>0.57041009999999903</v>
      </c>
      <c r="Z5795">
        <v>3.4322449999999997E-2</v>
      </c>
      <c r="AA5795">
        <v>0.82064249999999905</v>
      </c>
      <c r="AB5795">
        <v>18</v>
      </c>
      <c r="AC5795">
        <v>2.9782999999999902</v>
      </c>
      <c r="AD5795">
        <v>-1.0560450828329999</v>
      </c>
      <c r="AE5795">
        <v>-13.020681</v>
      </c>
      <c r="AF5795">
        <v>7.6173876506096496</v>
      </c>
      <c r="AG5795">
        <v>-1.0560450828329999</v>
      </c>
      <c r="AH5795">
        <v>10.870790611429999</v>
      </c>
      <c r="AI5795">
        <v>94.5487282447599</v>
      </c>
      <c r="AJ5795">
        <v>54.980276974194098</v>
      </c>
      <c r="AK5795">
        <v>13.315927093304101</v>
      </c>
      <c r="AL5795">
        <v>80.833511455980002</v>
      </c>
      <c r="AM5795">
        <v>69.668936003257301</v>
      </c>
      <c r="AN5795">
        <v>1.0000000066378201</v>
      </c>
    </row>
    <row r="5796" spans="1:40" x14ac:dyDescent="0.25">
      <c r="A5796" t="str">
        <f>"20190312172523693"</f>
        <v>20190312172523693</v>
      </c>
      <c r="B5796" t="str">
        <f>"1552382723686035"</f>
        <v>1552382723686035</v>
      </c>
      <c r="C5796" t="s">
        <v>40</v>
      </c>
      <c r="D5796">
        <v>4.1006640000000001</v>
      </c>
      <c r="E5796">
        <v>0.60148049999999997</v>
      </c>
      <c r="F5796" t="s">
        <v>43</v>
      </c>
      <c r="G5796">
        <v>-304.4828</v>
      </c>
      <c r="H5796" s="1">
        <v>-4.0735099999999999E-6</v>
      </c>
      <c r="I5796">
        <v>-3.0127769999999998</v>
      </c>
      <c r="J5796">
        <v>-307.34870000000001</v>
      </c>
      <c r="K5796">
        <v>1.0560400000000001</v>
      </c>
      <c r="L5796">
        <v>9.9162289999999995</v>
      </c>
      <c r="M5796">
        <v>0.73648449999999999</v>
      </c>
      <c r="N5796">
        <v>0</v>
      </c>
      <c r="O5796">
        <v>-0.6763055</v>
      </c>
      <c r="P5796">
        <v>0.45271729999999999</v>
      </c>
      <c r="Q5796">
        <v>0.1495147</v>
      </c>
      <c r="R5796">
        <v>-0.87902930000000001</v>
      </c>
      <c r="S5796">
        <v>0.70779419999999904</v>
      </c>
      <c r="T5796">
        <v>-0.25087320000000002</v>
      </c>
      <c r="U5796">
        <v>-3.0988159999999998</v>
      </c>
      <c r="V5796">
        <v>0.34308650000000002</v>
      </c>
      <c r="W5796">
        <v>0.158763299999999</v>
      </c>
      <c r="X5796">
        <v>0.92578930000000004</v>
      </c>
      <c r="Y5796">
        <v>0.56739030000000001</v>
      </c>
      <c r="Z5796">
        <v>3.5212809999999997E-2</v>
      </c>
      <c r="AA5796">
        <v>0.82269579999999998</v>
      </c>
      <c r="AB5796">
        <v>18</v>
      </c>
      <c r="AC5796">
        <v>2.8659000000000101</v>
      </c>
      <c r="AD5796">
        <v>-1.0560440735099901</v>
      </c>
      <c r="AE5796">
        <v>-12.929005999999999</v>
      </c>
      <c r="AF5796">
        <v>7.5366256861571603</v>
      </c>
      <c r="AG5796">
        <v>-1.0560440735099901</v>
      </c>
      <c r="AH5796">
        <v>10.787144708907499</v>
      </c>
      <c r="AI5796">
        <v>94.588250390514006</v>
      </c>
      <c r="AJ5796">
        <v>55.059257440031899</v>
      </c>
      <c r="AK5796">
        <v>13.201456237451699</v>
      </c>
      <c r="AL5796">
        <v>80.864878788703805</v>
      </c>
      <c r="AM5796">
        <v>69.665893657392999</v>
      </c>
      <c r="AN5796">
        <v>0.999999979951814</v>
      </c>
    </row>
    <row r="5797" spans="1:40" x14ac:dyDescent="0.25">
      <c r="A5797" t="str">
        <f>"20190312172523715"</f>
        <v>20190312172523715</v>
      </c>
      <c r="B5797" t="str">
        <f>"1552382723706532"</f>
        <v>1552382723706532</v>
      </c>
      <c r="C5797" t="s">
        <v>40</v>
      </c>
      <c r="D5797">
        <v>4.0954220000000001</v>
      </c>
      <c r="E5797">
        <v>0.60079589999999905</v>
      </c>
      <c r="F5797" t="s">
        <v>43</v>
      </c>
      <c r="G5797">
        <v>-304.47719999999998</v>
      </c>
      <c r="H5797" s="1">
        <v>-4.063687E-6</v>
      </c>
      <c r="I5797">
        <v>-3.0358160000000001</v>
      </c>
      <c r="J5797">
        <v>-307.22089999999997</v>
      </c>
      <c r="K5797">
        <v>1.0560499999999999</v>
      </c>
      <c r="L5797">
        <v>9.784027</v>
      </c>
      <c r="M5797">
        <v>0.73022219999999904</v>
      </c>
      <c r="N5797">
        <v>0</v>
      </c>
      <c r="O5797">
        <v>-0.68306259999999996</v>
      </c>
      <c r="P5797">
        <v>0.44405630000000001</v>
      </c>
      <c r="Q5797">
        <v>0.15039229999999901</v>
      </c>
      <c r="R5797">
        <v>-0.88328739999999994</v>
      </c>
      <c r="S5797">
        <v>0.68765259999999995</v>
      </c>
      <c r="T5797">
        <v>-0.25289810000000001</v>
      </c>
      <c r="U5797">
        <v>-3.101715</v>
      </c>
      <c r="V5797">
        <v>0.3435512</v>
      </c>
      <c r="W5797">
        <v>0.15964130000000001</v>
      </c>
      <c r="X5797">
        <v>0.92546589999999995</v>
      </c>
      <c r="Y5797">
        <v>0.56506489999999998</v>
      </c>
      <c r="Z5797">
        <v>3.6293819999999997E-2</v>
      </c>
      <c r="AA5797">
        <v>0.82424779999999997</v>
      </c>
      <c r="AB5797">
        <v>18</v>
      </c>
      <c r="AC5797">
        <v>2.7436999999999898</v>
      </c>
      <c r="AD5797">
        <v>-1.0560540636869999</v>
      </c>
      <c r="AE5797">
        <v>-12.819842999999899</v>
      </c>
      <c r="AF5797">
        <v>7.4396939704872196</v>
      </c>
      <c r="AG5797">
        <v>-1.0560540636869999</v>
      </c>
      <c r="AH5797">
        <v>10.691970851358599</v>
      </c>
      <c r="AI5797">
        <v>94.635118736791597</v>
      </c>
      <c r="AJ5797">
        <v>55.169006857545597</v>
      </c>
      <c r="AK5797">
        <v>13.068379289194</v>
      </c>
      <c r="AL5797">
        <v>80.813922942829393</v>
      </c>
      <c r="AM5797">
        <v>69.634080666207296</v>
      </c>
      <c r="AN5797">
        <v>0.99999995187496804</v>
      </c>
    </row>
    <row r="5798" spans="1:40" x14ac:dyDescent="0.25">
      <c r="A5798" t="str">
        <f>"20190312172523738"</f>
        <v>20190312172523738</v>
      </c>
      <c r="B5798" t="str">
        <f>"1552382723726051"</f>
        <v>1552382723726051</v>
      </c>
      <c r="C5798" t="s">
        <v>40</v>
      </c>
      <c r="D5798">
        <v>4.0855709999999998</v>
      </c>
      <c r="E5798">
        <v>0.60007480000000002</v>
      </c>
      <c r="F5798" t="s">
        <v>43</v>
      </c>
      <c r="G5798">
        <v>-304.43979999999999</v>
      </c>
      <c r="H5798" s="1">
        <v>-3.9805789999999997E-6</v>
      </c>
      <c r="I5798">
        <v>-3.2349579999999998</v>
      </c>
      <c r="J5798">
        <v>-307.0924</v>
      </c>
      <c r="K5798">
        <v>1.056074</v>
      </c>
      <c r="L5798">
        <v>9.6486210000000003</v>
      </c>
      <c r="M5798">
        <v>0.723804</v>
      </c>
      <c r="N5798">
        <v>0</v>
      </c>
      <c r="O5798">
        <v>-0.68986000000000003</v>
      </c>
      <c r="P5798">
        <v>0.43552940000000001</v>
      </c>
      <c r="Q5798">
        <v>0.15029300000000001</v>
      </c>
      <c r="R5798">
        <v>-0.88753959999999998</v>
      </c>
      <c r="S5798">
        <v>0.66345209999999999</v>
      </c>
      <c r="T5798">
        <v>-0.25192940000000003</v>
      </c>
      <c r="U5798">
        <v>-3.1057739999999998</v>
      </c>
      <c r="V5798">
        <v>0.3438158</v>
      </c>
      <c r="W5798">
        <v>0.1595481</v>
      </c>
      <c r="X5798">
        <v>0.92538370000000003</v>
      </c>
      <c r="Y5798">
        <v>0.56372219999999995</v>
      </c>
      <c r="Z5798">
        <v>3.6914420000000003E-2</v>
      </c>
      <c r="AA5798">
        <v>0.82513919999999996</v>
      </c>
      <c r="AB5798">
        <v>18</v>
      </c>
      <c r="AC5798">
        <v>2.6526000000000001</v>
      </c>
      <c r="AD5798">
        <v>-1.0560779805789999</v>
      </c>
      <c r="AE5798">
        <v>-12.883578999999999</v>
      </c>
      <c r="AF5798">
        <v>7.4480069358166796</v>
      </c>
      <c r="AG5798">
        <v>-1.0560779805789999</v>
      </c>
      <c r="AH5798">
        <v>10.739686662023299</v>
      </c>
      <c r="AI5798">
        <v>94.6197103231612</v>
      </c>
      <c r="AJ5798">
        <v>55.258568503965201</v>
      </c>
      <c r="AK5798">
        <v>13.112169066004199</v>
      </c>
      <c r="AL5798">
        <v>80.819332191938699</v>
      </c>
      <c r="AM5798">
        <v>69.618023152587497</v>
      </c>
      <c r="AN5798">
        <v>0.99999994638446799</v>
      </c>
    </row>
    <row r="5799" spans="1:40" x14ac:dyDescent="0.25">
      <c r="A5799" t="str">
        <f>"20190312172523761"</f>
        <v>20190312172523761</v>
      </c>
      <c r="B5799" t="str">
        <f>"1552382723756307"</f>
        <v>1552382723756307</v>
      </c>
      <c r="C5799" t="s">
        <v>40</v>
      </c>
      <c r="D5799">
        <v>4.094576</v>
      </c>
      <c r="E5799">
        <v>0.59917869999999995</v>
      </c>
      <c r="F5799" t="s">
        <v>43</v>
      </c>
      <c r="G5799">
        <v>-304.42770000000002</v>
      </c>
      <c r="H5799" s="1">
        <v>-3.9423359999999997E-6</v>
      </c>
      <c r="I5799">
        <v>-3.3289200000000001</v>
      </c>
      <c r="J5799">
        <v>-306.9631</v>
      </c>
      <c r="K5799">
        <v>1.056092</v>
      </c>
      <c r="L5799">
        <v>9.5097050000000003</v>
      </c>
      <c r="M5799">
        <v>0.71721140000000005</v>
      </c>
      <c r="N5799">
        <v>0</v>
      </c>
      <c r="O5799">
        <v>-0.69671169999999905</v>
      </c>
      <c r="P5799">
        <v>0.42727939999999998</v>
      </c>
      <c r="Q5799">
        <v>0.15023510000000001</v>
      </c>
      <c r="R5799">
        <v>-0.89155039999999997</v>
      </c>
      <c r="S5799">
        <v>0.63851930000000001</v>
      </c>
      <c r="T5799">
        <v>-0.25305499999999997</v>
      </c>
      <c r="U5799">
        <v>-3.1096499999999998</v>
      </c>
      <c r="V5799">
        <v>0.3435975</v>
      </c>
      <c r="W5799">
        <v>0.159503799999999</v>
      </c>
      <c r="X5799">
        <v>0.92547239999999997</v>
      </c>
      <c r="Y5799">
        <v>0.56242599999999998</v>
      </c>
      <c r="Z5799">
        <v>3.7848890000000003E-2</v>
      </c>
      <c r="AA5799">
        <v>0.82598090000000002</v>
      </c>
      <c r="AB5799">
        <v>18</v>
      </c>
      <c r="AC5799">
        <v>2.5353999999999801</v>
      </c>
      <c r="AD5799">
        <v>-1.0560959423359999</v>
      </c>
      <c r="AE5799">
        <v>-12.838625</v>
      </c>
      <c r="AF5799">
        <v>7.3941567271063997</v>
      </c>
      <c r="AG5799">
        <v>-1.0560959423359999</v>
      </c>
      <c r="AH5799">
        <v>10.6946677199153</v>
      </c>
      <c r="AI5799">
        <v>94.643727233406906</v>
      </c>
      <c r="AJ5799">
        <v>55.340512993614098</v>
      </c>
      <c r="AK5799">
        <v>13.0447234537122</v>
      </c>
      <c r="AL5799">
        <v>80.821903204172003</v>
      </c>
      <c r="AM5799">
        <v>69.631692736398307</v>
      </c>
      <c r="AN5799">
        <v>0.99999993369122198</v>
      </c>
    </row>
    <row r="5800" spans="1:40" x14ac:dyDescent="0.25">
      <c r="A5800" t="str">
        <f>"20190312172523774"</f>
        <v>20190312172523774</v>
      </c>
      <c r="B5800" t="str">
        <f>"1552382723766068"</f>
        <v>1552382723766068</v>
      </c>
      <c r="C5800" t="s">
        <v>40</v>
      </c>
      <c r="D5800">
        <v>4.0582180000000001</v>
      </c>
      <c r="E5800">
        <v>0.59883310000000001</v>
      </c>
      <c r="F5800" t="s">
        <v>43</v>
      </c>
      <c r="G5800">
        <v>-304.39350000000002</v>
      </c>
      <c r="H5800" s="1">
        <v>-3.873605E-6</v>
      </c>
      <c r="I5800">
        <v>-3.492111</v>
      </c>
      <c r="J5800">
        <v>-306.88560000000001</v>
      </c>
      <c r="K5800">
        <v>1.056103</v>
      </c>
      <c r="L5800">
        <v>9.4249880000000008</v>
      </c>
      <c r="M5800">
        <v>0.71319460000000001</v>
      </c>
      <c r="N5800">
        <v>0</v>
      </c>
      <c r="O5800">
        <v>-0.70082279999999997</v>
      </c>
      <c r="P5800">
        <v>0.42242960000000002</v>
      </c>
      <c r="Q5800">
        <v>0.150347799999999</v>
      </c>
      <c r="R5800">
        <v>-0.89383939999999995</v>
      </c>
      <c r="S5800">
        <v>0.61517330000000003</v>
      </c>
      <c r="T5800">
        <v>-0.25283470000000002</v>
      </c>
      <c r="U5800">
        <v>-3.1127009999999999</v>
      </c>
      <c r="V5800">
        <v>0.3432886</v>
      </c>
      <c r="W5800">
        <v>0.1596272</v>
      </c>
      <c r="X5800">
        <v>0.92556579999999999</v>
      </c>
      <c r="Y5800">
        <v>0.56378899999999998</v>
      </c>
      <c r="Z5800">
        <v>3.8208810000000003E-2</v>
      </c>
      <c r="AA5800">
        <v>0.82503459999999995</v>
      </c>
      <c r="AB5800">
        <v>18</v>
      </c>
      <c r="AC5800">
        <v>2.49209999999999</v>
      </c>
      <c r="AD5800">
        <v>-1.0561068736049899</v>
      </c>
      <c r="AE5800">
        <v>-12.917099</v>
      </c>
      <c r="AF5800">
        <v>7.4188213658243898</v>
      </c>
      <c r="AG5800">
        <v>-1.0561068736049899</v>
      </c>
      <c r="AH5800">
        <v>10.761679995059801</v>
      </c>
      <c r="AI5800">
        <v>94.619311276643202</v>
      </c>
      <c r="AJ5800">
        <v>55.418633833429098</v>
      </c>
      <c r="AK5800">
        <v>13.1136580900433</v>
      </c>
      <c r="AL5800">
        <v>80.814741549926495</v>
      </c>
      <c r="AM5800">
        <v>69.650387081651601</v>
      </c>
      <c r="AN5800">
        <v>0.99999997799971896</v>
      </c>
    </row>
    <row r="5801" spans="1:40" x14ac:dyDescent="0.25">
      <c r="A5801" t="str">
        <f>"20190312172523795"</f>
        <v>20190312172523795</v>
      </c>
      <c r="B5801" t="str">
        <f>"1552382723786564"</f>
        <v>1552382723786564</v>
      </c>
      <c r="C5801" t="s">
        <v>40</v>
      </c>
      <c r="D5801">
        <v>4.0442410000000004</v>
      </c>
      <c r="E5801">
        <v>0.59839519999999902</v>
      </c>
      <c r="F5801" t="s">
        <v>43</v>
      </c>
      <c r="G5801">
        <v>-304.36720000000003</v>
      </c>
      <c r="H5801" s="1">
        <v>-3.814588E-6</v>
      </c>
      <c r="I5801">
        <v>-3.6336379999999999</v>
      </c>
      <c r="J5801">
        <v>-306.77229999999997</v>
      </c>
      <c r="K5801">
        <v>1.056109</v>
      </c>
      <c r="L5801">
        <v>9.2995300000000007</v>
      </c>
      <c r="M5801">
        <v>0.70722839999999998</v>
      </c>
      <c r="N5801">
        <v>0</v>
      </c>
      <c r="O5801">
        <v>-0.70684309999999995</v>
      </c>
      <c r="P5801">
        <v>0.41481829999999997</v>
      </c>
      <c r="Q5801">
        <v>0.15052660000000001</v>
      </c>
      <c r="R5801">
        <v>-0.89736740000000004</v>
      </c>
      <c r="S5801">
        <v>0.60070800000000002</v>
      </c>
      <c r="T5801">
        <v>-0.2519052</v>
      </c>
      <c r="U5801">
        <v>-3.1147770000000001</v>
      </c>
      <c r="V5801">
        <v>0.3432847</v>
      </c>
      <c r="W5801">
        <v>0.1598117</v>
      </c>
      <c r="X5801">
        <v>0.92553540000000001</v>
      </c>
      <c r="Y5801">
        <v>0.56059179999999997</v>
      </c>
      <c r="Z5801">
        <v>3.881859E-2</v>
      </c>
      <c r="AA5801">
        <v>0.82718189999999903</v>
      </c>
      <c r="AB5801">
        <v>18</v>
      </c>
      <c r="AC5801">
        <v>2.4050999999999401</v>
      </c>
      <c r="AD5801">
        <v>-1.0561128145880001</v>
      </c>
      <c r="AE5801">
        <v>-12.933167999999901</v>
      </c>
      <c r="AF5801">
        <v>7.3997294602878902</v>
      </c>
      <c r="AG5801">
        <v>-1.0561128145880001</v>
      </c>
      <c r="AH5801">
        <v>10.774320345975999</v>
      </c>
      <c r="AI5801">
        <v>94.619481067200894</v>
      </c>
      <c r="AJ5801">
        <v>55.518986906290202</v>
      </c>
      <c r="AK5801">
        <v>13.1132509043449</v>
      </c>
      <c r="AL5801">
        <v>80.804032938988101</v>
      </c>
      <c r="AM5801">
        <v>69.649985726661498</v>
      </c>
      <c r="AN5801">
        <v>0.99999997068206903</v>
      </c>
    </row>
    <row r="5802" spans="1:40" x14ac:dyDescent="0.25">
      <c r="A5802" t="str">
        <f>"20190312172523817"</f>
        <v>20190312172523817</v>
      </c>
      <c r="B5802" t="str">
        <f>"1552382723806084"</f>
        <v>1552382723806084</v>
      </c>
      <c r="C5802" t="s">
        <v>40</v>
      </c>
      <c r="D5802">
        <v>4.0371689999999996</v>
      </c>
      <c r="E5802">
        <v>0.59791470000000002</v>
      </c>
      <c r="F5802" t="s">
        <v>43</v>
      </c>
      <c r="G5802">
        <v>-304.3415</v>
      </c>
      <c r="H5802" s="1">
        <v>-3.7375849999999998E-6</v>
      </c>
      <c r="I5802">
        <v>-3.8222909999999999</v>
      </c>
      <c r="J5802">
        <v>-306.64920000000001</v>
      </c>
      <c r="K5802">
        <v>1.0561130000000001</v>
      </c>
      <c r="L5802">
        <v>9.1608579999999993</v>
      </c>
      <c r="M5802">
        <v>0.70061980000000001</v>
      </c>
      <c r="N5802">
        <v>0</v>
      </c>
      <c r="O5802">
        <v>-0.71339430000000004</v>
      </c>
      <c r="P5802">
        <v>0.40611989999999998</v>
      </c>
      <c r="Q5802">
        <v>0.1500676</v>
      </c>
      <c r="R5802">
        <v>-0.90141360000000004</v>
      </c>
      <c r="S5802">
        <v>0.577636699999999</v>
      </c>
      <c r="T5802">
        <v>-0.25096619999999997</v>
      </c>
      <c r="U5802">
        <v>-3.1181640000000002</v>
      </c>
      <c r="V5802">
        <v>0.34366859999999999</v>
      </c>
      <c r="W5802">
        <v>0.15935079999999999</v>
      </c>
      <c r="X5802">
        <v>0.92547239999999997</v>
      </c>
      <c r="Y5802">
        <v>0.55897129999999995</v>
      </c>
      <c r="Z5802">
        <v>3.9421860000000003E-2</v>
      </c>
      <c r="AA5802">
        <v>0.82824929999999997</v>
      </c>
      <c r="AB5802">
        <v>18</v>
      </c>
      <c r="AC5802">
        <v>2.3077000000000099</v>
      </c>
      <c r="AD5802">
        <v>-1.05611673758499</v>
      </c>
      <c r="AE5802">
        <v>-12.983148999999999</v>
      </c>
      <c r="AF5802">
        <v>7.4032110234902397</v>
      </c>
      <c r="AG5802">
        <v>-1.05611673758499</v>
      </c>
      <c r="AH5802">
        <v>10.8106715813771</v>
      </c>
      <c r="AI5802">
        <v>94.608283089632707</v>
      </c>
      <c r="AJ5802">
        <v>55.596429048698802</v>
      </c>
      <c r="AK5802">
        <v>13.1450955136176</v>
      </c>
      <c r="AL5802">
        <v>80.830783404306501</v>
      </c>
      <c r="AM5802">
        <v>69.627824286772295</v>
      </c>
      <c r="AN5802">
        <v>0.99999997362417903</v>
      </c>
    </row>
    <row r="5803" spans="1:40" x14ac:dyDescent="0.25">
      <c r="A5803" t="str">
        <f>"20190312172523839"</f>
        <v>20190312172523839</v>
      </c>
      <c r="B5803" t="str">
        <f>"1552382723826580"</f>
        <v>1552382723826580</v>
      </c>
      <c r="C5803" t="s">
        <v>40</v>
      </c>
      <c r="D5803">
        <v>4.0633879999999998</v>
      </c>
      <c r="E5803">
        <v>0.59740439999999995</v>
      </c>
      <c r="F5803" t="s">
        <v>43</v>
      </c>
      <c r="G5803">
        <v>-304.34300000000002</v>
      </c>
      <c r="H5803" s="1">
        <v>-3.7103150000000001E-6</v>
      </c>
      <c r="I5803">
        <v>-3.8940260000000002</v>
      </c>
      <c r="J5803">
        <v>-306.53230000000002</v>
      </c>
      <c r="K5803">
        <v>1.0561069999999999</v>
      </c>
      <c r="L5803">
        <v>9.0267940000000007</v>
      </c>
      <c r="M5803">
        <v>0.69420979999999999</v>
      </c>
      <c r="N5803">
        <v>0</v>
      </c>
      <c r="O5803">
        <v>-0.71963359999999998</v>
      </c>
      <c r="P5803">
        <v>0.39825129999999997</v>
      </c>
      <c r="Q5803">
        <v>0.149163299999999</v>
      </c>
      <c r="R5803">
        <v>-0.90506710000000001</v>
      </c>
      <c r="S5803">
        <v>0.55145259999999996</v>
      </c>
      <c r="T5803">
        <v>-0.2525403</v>
      </c>
      <c r="U5803">
        <v>-3.1217039999999998</v>
      </c>
      <c r="V5803">
        <v>0.34354380000000001</v>
      </c>
      <c r="W5803">
        <v>0.15845119999999999</v>
      </c>
      <c r="X5803">
        <v>0.92567319999999997</v>
      </c>
      <c r="Y5803">
        <v>0.55845639999999996</v>
      </c>
      <c r="Z5803">
        <v>4.0352140000000002E-2</v>
      </c>
      <c r="AA5803">
        <v>0.82855179999999995</v>
      </c>
      <c r="AB5803">
        <v>18</v>
      </c>
      <c r="AC5803">
        <v>2.1892999999999998</v>
      </c>
      <c r="AD5803">
        <v>-1.05611071031499</v>
      </c>
      <c r="AE5803">
        <v>-12.9208199999999</v>
      </c>
      <c r="AF5803">
        <v>7.3472894491114902</v>
      </c>
      <c r="AG5803">
        <v>-1.05611071031499</v>
      </c>
      <c r="AH5803">
        <v>10.749361222906501</v>
      </c>
      <c r="AI5803">
        <v>94.637215143113295</v>
      </c>
      <c r="AJ5803">
        <v>55.647026334818896</v>
      </c>
      <c r="AK5803">
        <v>13.063184863653801</v>
      </c>
      <c r="AL5803">
        <v>80.882990236274196</v>
      </c>
      <c r="AM5803">
        <v>69.638669636767801</v>
      </c>
      <c r="AN5803">
        <v>0.99999999924905902</v>
      </c>
    </row>
    <row r="5804" spans="1:40" x14ac:dyDescent="0.25">
      <c r="A5804" t="str">
        <f>"20190312172523862"</f>
        <v>20190312172523862</v>
      </c>
      <c r="B5804" t="str">
        <f>"1552382723855860"</f>
        <v>1552382723855860</v>
      </c>
      <c r="C5804" t="s">
        <v>40</v>
      </c>
      <c r="D5804">
        <v>4.0199420000000003</v>
      </c>
      <c r="E5804">
        <v>0.58612019999999998</v>
      </c>
      <c r="F5804" t="s">
        <v>43</v>
      </c>
      <c r="G5804">
        <v>-304.3424</v>
      </c>
      <c r="H5804" s="1">
        <v>-3.6851539999999999E-6</v>
      </c>
      <c r="I5804">
        <v>-3.9592390000000002</v>
      </c>
      <c r="J5804">
        <v>-306.4083</v>
      </c>
      <c r="K5804">
        <v>1.056103</v>
      </c>
      <c r="L5804">
        <v>8.8816830000000007</v>
      </c>
      <c r="M5804">
        <v>0.68724640000000004</v>
      </c>
      <c r="N5804">
        <v>0</v>
      </c>
      <c r="O5804">
        <v>-0.72628630000000005</v>
      </c>
      <c r="P5804">
        <v>0.38973970000000002</v>
      </c>
      <c r="Q5804">
        <v>0.14913899999999999</v>
      </c>
      <c r="R5804">
        <v>-0.90876860000000004</v>
      </c>
      <c r="S5804">
        <v>0.52694700000000005</v>
      </c>
      <c r="T5804">
        <v>-0.25411859999999997</v>
      </c>
      <c r="U5804">
        <v>-3.1246640000000001</v>
      </c>
      <c r="V5804">
        <v>0.34331859999999997</v>
      </c>
      <c r="W5804">
        <v>0.15842719999999999</v>
      </c>
      <c r="X5804">
        <v>0.9257609</v>
      </c>
      <c r="Y5804">
        <v>0.55691999999999997</v>
      </c>
      <c r="Z5804">
        <v>4.1376070000000001E-2</v>
      </c>
      <c r="AA5804">
        <v>0.82953489999999996</v>
      </c>
      <c r="AB5804">
        <v>18</v>
      </c>
      <c r="AC5804">
        <v>2.0658999999999899</v>
      </c>
      <c r="AD5804">
        <v>-1.056106685154</v>
      </c>
      <c r="AE5804">
        <v>-12.840922000000001</v>
      </c>
      <c r="AF5804">
        <v>7.27719411064884</v>
      </c>
      <c r="AG5804">
        <v>-1.056106685154</v>
      </c>
      <c r="AH5804">
        <v>10.676648084436801</v>
      </c>
      <c r="AI5804">
        <v>94.672776049713093</v>
      </c>
      <c r="AJ5804">
        <v>55.721691444468199</v>
      </c>
      <c r="AK5804">
        <v>12.963939593094301</v>
      </c>
      <c r="AL5804">
        <v>80.884383313811298</v>
      </c>
      <c r="AM5804">
        <v>69.652691858609799</v>
      </c>
      <c r="AN5804">
        <v>1.0000000413873</v>
      </c>
    </row>
    <row r="5805" spans="1:40" x14ac:dyDescent="0.25">
      <c r="A5805" t="str">
        <f>"20190312172523884"</f>
        <v>20190312172523884</v>
      </c>
      <c r="B5805" t="str">
        <f>"1552382723876355"</f>
        <v>1552382723876355</v>
      </c>
      <c r="C5805" t="s">
        <v>40</v>
      </c>
      <c r="D5805">
        <v>3.9741590000000002</v>
      </c>
      <c r="E5805">
        <v>0.58516330000000005</v>
      </c>
      <c r="F5805" t="s">
        <v>43</v>
      </c>
      <c r="G5805">
        <v>-303.88459999999998</v>
      </c>
      <c r="H5805" s="1">
        <v>-3.3323619999999999E-6</v>
      </c>
      <c r="I5805">
        <v>-4.5996730000000001</v>
      </c>
      <c r="J5805">
        <v>-306.29079999999999</v>
      </c>
      <c r="K5805">
        <v>1.0561020000000001</v>
      </c>
      <c r="L5805">
        <v>8.7413329999999991</v>
      </c>
      <c r="M5805">
        <v>0.68048430000000004</v>
      </c>
      <c r="N5805">
        <v>0</v>
      </c>
      <c r="O5805">
        <v>-0.732626</v>
      </c>
      <c r="P5805">
        <v>0.3810828</v>
      </c>
      <c r="Q5805">
        <v>0.15024760000000001</v>
      </c>
      <c r="R5805">
        <v>-0.91225120000000004</v>
      </c>
      <c r="S5805">
        <v>0.57894899999999905</v>
      </c>
      <c r="T5805">
        <v>-0.24227070000000001</v>
      </c>
      <c r="U5805">
        <v>-3.0926209999999998</v>
      </c>
      <c r="V5805">
        <v>0.34342909999999999</v>
      </c>
      <c r="W5805">
        <v>0.15952549999999999</v>
      </c>
      <c r="X5805">
        <v>0.92553129999999995</v>
      </c>
      <c r="Y5805">
        <v>0.53412869999999901</v>
      </c>
      <c r="Z5805">
        <v>4.1154049999999998E-2</v>
      </c>
      <c r="AA5805">
        <v>0.84440090000000001</v>
      </c>
      <c r="AB5805">
        <v>18</v>
      </c>
      <c r="AC5805">
        <v>2.4062000000000099</v>
      </c>
      <c r="AD5805">
        <v>-1.056105332362</v>
      </c>
      <c r="AE5805">
        <v>-13.341006</v>
      </c>
      <c r="AF5805">
        <v>7.2720969376932798</v>
      </c>
      <c r="AG5805">
        <v>-1.056105332362</v>
      </c>
      <c r="AH5805">
        <v>11.343644641777299</v>
      </c>
      <c r="AI5805">
        <v>94.481576708719899</v>
      </c>
      <c r="AJ5805">
        <v>57.3371904801132</v>
      </c>
      <c r="AK5805">
        <v>13.5158065280313</v>
      </c>
      <c r="AL5805">
        <v>80.820644924738204</v>
      </c>
      <c r="AM5805">
        <v>69.642045222151495</v>
      </c>
      <c r="AN5805">
        <v>1.00000005957837</v>
      </c>
    </row>
    <row r="5806" spans="1:40" x14ac:dyDescent="0.25">
      <c r="A5806" t="str">
        <f>"20190312172523905"</f>
        <v>20190312172523905</v>
      </c>
      <c r="B5806" t="str">
        <f>"1552382723895875"</f>
        <v>1552382723895875</v>
      </c>
      <c r="C5806" t="s">
        <v>40</v>
      </c>
      <c r="D5806">
        <v>4.0123150000000001</v>
      </c>
      <c r="E5806">
        <v>0.58438409999999996</v>
      </c>
      <c r="F5806" t="s">
        <v>43</v>
      </c>
      <c r="G5806">
        <v>-303.83550000000002</v>
      </c>
      <c r="H5806" s="1">
        <v>-3.17776E-6</v>
      </c>
      <c r="I5806">
        <v>-4.8990989999999996</v>
      </c>
      <c r="J5806">
        <v>-306.17579999999998</v>
      </c>
      <c r="K5806">
        <v>1.0560940000000001</v>
      </c>
      <c r="L5806">
        <v>8.6013789999999997</v>
      </c>
      <c r="M5806">
        <v>0.67371169999999903</v>
      </c>
      <c r="N5806">
        <v>0</v>
      </c>
      <c r="O5806">
        <v>-0.73885880000000004</v>
      </c>
      <c r="P5806">
        <v>0.37246020000000002</v>
      </c>
      <c r="Q5806">
        <v>0.15104429999999999</v>
      </c>
      <c r="R5806">
        <v>-0.9156744</v>
      </c>
      <c r="S5806">
        <v>0.55715939999999997</v>
      </c>
      <c r="T5806">
        <v>-0.23965059999999999</v>
      </c>
      <c r="U5806">
        <v>-3.0952760000000001</v>
      </c>
      <c r="V5806">
        <v>0.34356399999999998</v>
      </c>
      <c r="W5806">
        <v>0.1603125</v>
      </c>
      <c r="X5806">
        <v>0.92534519999999998</v>
      </c>
      <c r="Y5806">
        <v>0.53223560000000003</v>
      </c>
      <c r="Z5806">
        <v>4.1412419999999998E-2</v>
      </c>
      <c r="AA5806">
        <v>0.84558279999999997</v>
      </c>
      <c r="AB5806">
        <v>18</v>
      </c>
      <c r="AC5806">
        <v>2.3402999999999499</v>
      </c>
      <c r="AD5806">
        <v>-1.0560971777599999</v>
      </c>
      <c r="AE5806">
        <v>-13.500477999999999</v>
      </c>
      <c r="AF5806">
        <v>7.3235081585825803</v>
      </c>
      <c r="AG5806">
        <v>-1.0560971777599999</v>
      </c>
      <c r="AH5806">
        <v>11.484562600110801</v>
      </c>
      <c r="AI5806">
        <v>94.433560608518704</v>
      </c>
      <c r="AJ5806">
        <v>57.475042451296503</v>
      </c>
      <c r="AK5806">
        <v>13.661782135342399</v>
      </c>
      <c r="AL5806">
        <v>80.774964976511299</v>
      </c>
      <c r="AM5806">
        <v>69.630945851085002</v>
      </c>
      <c r="AN5806">
        <v>1.0000000294576401</v>
      </c>
    </row>
    <row r="5807" spans="1:40" x14ac:dyDescent="0.25">
      <c r="A5807" t="str">
        <f>"20190312172523928"</f>
        <v>20190312172523928</v>
      </c>
      <c r="B5807" t="str">
        <f>"1552382723916372"</f>
        <v>1552382723916372</v>
      </c>
      <c r="C5807" t="s">
        <v>40</v>
      </c>
      <c r="D5807">
        <v>4.0291249999999996</v>
      </c>
      <c r="E5807">
        <v>0.58367749999999996</v>
      </c>
      <c r="F5807" t="s">
        <v>43</v>
      </c>
      <c r="G5807">
        <v>-303.81990000000002</v>
      </c>
      <c r="H5807" s="1">
        <v>-3.098266E-6</v>
      </c>
      <c r="I5807">
        <v>-5.0584730000000002</v>
      </c>
      <c r="J5807">
        <v>-306.05990000000003</v>
      </c>
      <c r="K5807">
        <v>1.056092</v>
      </c>
      <c r="L5807">
        <v>8.4575499999999995</v>
      </c>
      <c r="M5807">
        <v>0.66672159999999903</v>
      </c>
      <c r="N5807">
        <v>0</v>
      </c>
      <c r="O5807">
        <v>-0.74517250000000002</v>
      </c>
      <c r="P5807">
        <v>0.36405929999999997</v>
      </c>
      <c r="Q5807">
        <v>0.1512579</v>
      </c>
      <c r="R5807">
        <v>-0.91901129999999998</v>
      </c>
      <c r="S5807">
        <v>0.53439329999999996</v>
      </c>
      <c r="T5807">
        <v>-0.23955090000000001</v>
      </c>
      <c r="U5807">
        <v>-3.0984189999999998</v>
      </c>
      <c r="V5807">
        <v>0.34330070000000001</v>
      </c>
      <c r="W5807">
        <v>0.16052659999999999</v>
      </c>
      <c r="X5807">
        <v>0.92540579999999995</v>
      </c>
      <c r="Y5807">
        <v>0.53044340000000001</v>
      </c>
      <c r="Z5807">
        <v>4.2096969999999997E-2</v>
      </c>
      <c r="AA5807">
        <v>0.8466745</v>
      </c>
      <c r="AB5807">
        <v>18</v>
      </c>
      <c r="AC5807">
        <v>2.2400000000000002</v>
      </c>
      <c r="AD5807">
        <v>-1.056095098266</v>
      </c>
      <c r="AE5807">
        <v>-13.516023000000001</v>
      </c>
      <c r="AF5807">
        <v>7.2995983293728797</v>
      </c>
      <c r="AG5807">
        <v>-1.056095098266</v>
      </c>
      <c r="AH5807">
        <v>11.498060456139299</v>
      </c>
      <c r="AI5807">
        <v>94.434021114483897</v>
      </c>
      <c r="AJ5807">
        <v>57.590383717910903</v>
      </c>
      <c r="AK5807">
        <v>13.6603391934387</v>
      </c>
      <c r="AL5807">
        <v>80.762536974561797</v>
      </c>
      <c r="AM5807">
        <v>69.646498729992601</v>
      </c>
      <c r="AN5807">
        <v>1.00000002730084</v>
      </c>
    </row>
    <row r="5808" spans="1:40" x14ac:dyDescent="0.25">
      <c r="A5808" t="str">
        <f>"20190312172523950"</f>
        <v>20190312172523950</v>
      </c>
      <c r="B5808" t="str">
        <f>"1552382723946628"</f>
        <v>1552382723946628</v>
      </c>
      <c r="C5808" t="s">
        <v>40</v>
      </c>
      <c r="D5808">
        <v>3.9904519999999999</v>
      </c>
      <c r="E5808">
        <v>0.60645469999999901</v>
      </c>
      <c r="F5808" t="s">
        <v>43</v>
      </c>
      <c r="G5808">
        <v>-303.82330000000002</v>
      </c>
      <c r="H5808" s="1">
        <v>-3.0719950000000001E-6</v>
      </c>
      <c r="I5808">
        <v>-5.1160110000000003</v>
      </c>
      <c r="J5808">
        <v>-305.94670000000002</v>
      </c>
      <c r="K5808">
        <v>1.056095</v>
      </c>
      <c r="L5808">
        <v>8.3142399999999999</v>
      </c>
      <c r="M5808">
        <v>0.65972640000000005</v>
      </c>
      <c r="N5808">
        <v>0</v>
      </c>
      <c r="O5808">
        <v>-0.7513725</v>
      </c>
      <c r="P5808">
        <v>0.35578979999999999</v>
      </c>
      <c r="Q5808">
        <v>0.15156349999999999</v>
      </c>
      <c r="R5808">
        <v>-0.92219399999999996</v>
      </c>
      <c r="S5808">
        <v>0.51107789999999997</v>
      </c>
      <c r="T5808">
        <v>-0.24132509999999999</v>
      </c>
      <c r="U5808">
        <v>-3.1016539999999999</v>
      </c>
      <c r="V5808">
        <v>0.34293210000000002</v>
      </c>
      <c r="W5808">
        <v>0.1608358</v>
      </c>
      <c r="X5808">
        <v>0.92548869999999905</v>
      </c>
      <c r="Y5808">
        <v>0.52886269999999902</v>
      </c>
      <c r="Z5808">
        <v>4.3095439999999999E-2</v>
      </c>
      <c r="AA5808">
        <v>0.84761260000000005</v>
      </c>
      <c r="AB5808">
        <v>18</v>
      </c>
      <c r="AC5808">
        <v>2.1234000000000002</v>
      </c>
      <c r="AD5808">
        <v>-1.0560980719949999</v>
      </c>
      <c r="AE5808">
        <v>-13.430251</v>
      </c>
      <c r="AF5808">
        <v>7.2219863272507396</v>
      </c>
      <c r="AG5808">
        <v>-1.0560980719949999</v>
      </c>
      <c r="AH5808">
        <v>11.4242164458392</v>
      </c>
      <c r="AI5808">
        <v>94.467987225406205</v>
      </c>
      <c r="AJ5808">
        <v>57.700370914623399</v>
      </c>
      <c r="AK5808">
        <v>13.556738215737999</v>
      </c>
      <c r="AL5808">
        <v>80.7445872378145</v>
      </c>
      <c r="AM5808">
        <v>69.668234381438296</v>
      </c>
      <c r="AN5808">
        <v>0.99999995679986897</v>
      </c>
    </row>
    <row r="5809" spans="1:40" x14ac:dyDescent="0.25">
      <c r="A5809" t="str">
        <f>"20190312172523972"</f>
        <v>20190312172523972</v>
      </c>
      <c r="B5809" t="str">
        <f>"1552382723966148"</f>
        <v>1552382723966148</v>
      </c>
      <c r="C5809" t="s">
        <v>40</v>
      </c>
      <c r="D5809">
        <v>3.975006</v>
      </c>
      <c r="E5809">
        <v>0.60997119999999905</v>
      </c>
      <c r="F5809" t="s">
        <v>43</v>
      </c>
      <c r="G5809">
        <v>-304.37060000000002</v>
      </c>
      <c r="H5809" s="1">
        <v>-1.9953720000000001E-6</v>
      </c>
      <c r="I5809">
        <v>-7.7016279999999897</v>
      </c>
      <c r="J5809">
        <v>-305.8331</v>
      </c>
      <c r="K5809">
        <v>1.0561020000000001</v>
      </c>
      <c r="L5809">
        <v>8.1675719999999998</v>
      </c>
      <c r="M5809">
        <v>0.65253570000000005</v>
      </c>
      <c r="N5809">
        <v>0</v>
      </c>
      <c r="O5809">
        <v>-0.75762580000000002</v>
      </c>
      <c r="P5809">
        <v>0.34756500000000001</v>
      </c>
      <c r="Q5809">
        <v>0.15264730000000001</v>
      </c>
      <c r="R5809">
        <v>-0.92514750000000001</v>
      </c>
      <c r="S5809">
        <v>0.31167600000000001</v>
      </c>
      <c r="T5809">
        <v>-0.2088457</v>
      </c>
      <c r="U5809">
        <v>-3.1671749999999999</v>
      </c>
      <c r="V5809">
        <v>0.34224710000000003</v>
      </c>
      <c r="W5809">
        <v>0.1619276</v>
      </c>
      <c r="X5809">
        <v>0.92555200000000004</v>
      </c>
      <c r="Y5809">
        <v>0.57519100000000001</v>
      </c>
      <c r="Z5809">
        <v>3.6110129999999997E-2</v>
      </c>
      <c r="AA5809">
        <v>0.8172218</v>
      </c>
      <c r="AB5809">
        <v>18</v>
      </c>
      <c r="AC5809">
        <v>1.4624999999999699</v>
      </c>
      <c r="AD5809">
        <v>-1.0561039953719999</v>
      </c>
      <c r="AE5809">
        <v>-15.869199999999999</v>
      </c>
      <c r="AF5809">
        <v>9.2076809308059406</v>
      </c>
      <c r="AG5809">
        <v>-1.0561039953719999</v>
      </c>
      <c r="AH5809">
        <v>12.921800367281801</v>
      </c>
      <c r="AI5809">
        <v>93.808033232763293</v>
      </c>
      <c r="AJ5809">
        <v>54.527486390319901</v>
      </c>
      <c r="AK5809">
        <v>15.901876257362</v>
      </c>
      <c r="AL5809">
        <v>80.681201850995294</v>
      </c>
      <c r="AM5809">
        <v>69.706805927515703</v>
      </c>
      <c r="AN5809">
        <v>1.0000000649020799</v>
      </c>
    </row>
    <row r="5810" spans="1:40" x14ac:dyDescent="0.25">
      <c r="A5810" t="str">
        <f>"20190312172523997"</f>
        <v>20190312172523997</v>
      </c>
      <c r="B5810" t="str">
        <f>"1552382723986644"</f>
        <v>1552382723986644</v>
      </c>
      <c r="C5810" t="s">
        <v>40</v>
      </c>
      <c r="D5810">
        <v>3.9598059999999999</v>
      </c>
      <c r="E5810">
        <v>0.61178339999999998</v>
      </c>
      <c r="F5810" t="s">
        <v>43</v>
      </c>
      <c r="G5810">
        <v>-304.47930000000002</v>
      </c>
      <c r="H5810" s="1">
        <v>-1.6212799999999999E-6</v>
      </c>
      <c r="I5810">
        <v>-8.5541689999999999</v>
      </c>
      <c r="J5810">
        <v>-305.71440000000001</v>
      </c>
      <c r="K5810">
        <v>1.0561020000000001</v>
      </c>
      <c r="L5810">
        <v>8.0112919999999992</v>
      </c>
      <c r="M5810">
        <v>0.6448393</v>
      </c>
      <c r="N5810">
        <v>0</v>
      </c>
      <c r="O5810">
        <v>-0.76418699999999995</v>
      </c>
      <c r="P5810">
        <v>0.33835559999999998</v>
      </c>
      <c r="Q5810">
        <v>0.15327189999999999</v>
      </c>
      <c r="R5810">
        <v>-0.92845230000000001</v>
      </c>
      <c r="S5810">
        <v>0.25738529999999998</v>
      </c>
      <c r="T5810">
        <v>-0.20078840000000001</v>
      </c>
      <c r="U5810">
        <v>-3.1791689999999999</v>
      </c>
      <c r="V5810">
        <v>0.34202199999999999</v>
      </c>
      <c r="W5810">
        <v>0.16255439999999999</v>
      </c>
      <c r="X5810">
        <v>0.92552520000000005</v>
      </c>
      <c r="Y5810">
        <v>0.58105329999999999</v>
      </c>
      <c r="Z5810">
        <v>3.5049259999999999E-2</v>
      </c>
      <c r="AA5810">
        <v>0.81311049999999996</v>
      </c>
      <c r="AB5810">
        <v>18</v>
      </c>
      <c r="AC5810">
        <v>1.2350999999999801</v>
      </c>
      <c r="AD5810">
        <v>-1.0561036212799999</v>
      </c>
      <c r="AE5810">
        <v>-16.565460999999999</v>
      </c>
      <c r="AF5810">
        <v>9.6999818247622098</v>
      </c>
      <c r="AG5810">
        <v>-1.0561036212799999</v>
      </c>
      <c r="AH5810">
        <v>13.4027260424853</v>
      </c>
      <c r="AI5810">
        <v>93.652455246501901</v>
      </c>
      <c r="AJ5810">
        <v>54.105537062724899</v>
      </c>
      <c r="AK5810">
        <v>16.578240788138899</v>
      </c>
      <c r="AL5810">
        <v>80.644805472421098</v>
      </c>
      <c r="AM5810">
        <v>69.718525999819605</v>
      </c>
      <c r="AN5810">
        <v>0.999999938639198</v>
      </c>
    </row>
    <row r="5811" spans="1:40" x14ac:dyDescent="0.25">
      <c r="A5811" t="str">
        <f>"20190312172524018"</f>
        <v>20190312172524018</v>
      </c>
      <c r="B5811" t="str">
        <f>"1552382724006164"</f>
        <v>1552382724006164</v>
      </c>
      <c r="C5811" t="s">
        <v>40</v>
      </c>
      <c r="D5811">
        <v>4.0018659999999997</v>
      </c>
      <c r="E5811">
        <v>0.61269050000000003</v>
      </c>
      <c r="F5811" t="s">
        <v>43</v>
      </c>
      <c r="G5811">
        <v>-304.56630000000001</v>
      </c>
      <c r="H5811" s="1">
        <v>-1.3276100000000001E-6</v>
      </c>
      <c r="I5811">
        <v>-9.2244080000000004</v>
      </c>
      <c r="J5811">
        <v>-305.61169999999998</v>
      </c>
      <c r="K5811">
        <v>1.0561049999999901</v>
      </c>
      <c r="L5811">
        <v>7.8733219999999999</v>
      </c>
      <c r="M5811">
        <v>0.63802209999999904</v>
      </c>
      <c r="N5811">
        <v>0</v>
      </c>
      <c r="O5811">
        <v>-0.76988780000000001</v>
      </c>
      <c r="P5811">
        <v>0.33001229999999998</v>
      </c>
      <c r="Q5811">
        <v>0.15368470000000001</v>
      </c>
      <c r="R5811">
        <v>-0.93138220000000005</v>
      </c>
      <c r="S5811">
        <v>0.2122192</v>
      </c>
      <c r="T5811">
        <v>-0.1952236</v>
      </c>
      <c r="U5811">
        <v>-3.1860659999999998</v>
      </c>
      <c r="V5811">
        <v>0.3420609</v>
      </c>
      <c r="W5811">
        <v>0.162967</v>
      </c>
      <c r="X5811">
        <v>0.92543830000000005</v>
      </c>
      <c r="Y5811">
        <v>0.58542249999999996</v>
      </c>
      <c r="Z5811">
        <v>3.440849E-2</v>
      </c>
      <c r="AA5811">
        <v>0.80999790000000005</v>
      </c>
      <c r="AB5811">
        <v>18</v>
      </c>
      <c r="AC5811">
        <v>1.0453999999999699</v>
      </c>
      <c r="AD5811">
        <v>-1.05610632760999</v>
      </c>
      <c r="AE5811">
        <v>-17.097729999999999</v>
      </c>
      <c r="AF5811">
        <v>10.0666372943613</v>
      </c>
      <c r="AG5811">
        <v>-1.05610632760999</v>
      </c>
      <c r="AH5811">
        <v>13.779331610399</v>
      </c>
      <c r="AI5811">
        <v>93.541405834809396</v>
      </c>
      <c r="AJ5811">
        <v>53.849606268681597</v>
      </c>
      <c r="AK5811">
        <v>17.097442107542999</v>
      </c>
      <c r="AL5811">
        <v>80.6208460846414</v>
      </c>
      <c r="AM5811">
        <v>69.714657781561201</v>
      </c>
      <c r="AN5811">
        <v>0.99999997475234903</v>
      </c>
    </row>
    <row r="5812" spans="1:40" x14ac:dyDescent="0.25">
      <c r="A5812" t="str">
        <f>"20190312172524041"</f>
        <v>20190312172524041</v>
      </c>
      <c r="B5812" t="str">
        <f>"1552382724036421"</f>
        <v>1552382724036421</v>
      </c>
      <c r="C5812" t="s">
        <v>40</v>
      </c>
      <c r="D5812">
        <v>3.9571179999999999</v>
      </c>
      <c r="E5812">
        <v>0.61274319999999904</v>
      </c>
      <c r="F5812" t="s">
        <v>43</v>
      </c>
      <c r="G5812">
        <v>-304.63909999999998</v>
      </c>
      <c r="H5812" s="1">
        <v>-1.1456389999999999E-6</v>
      </c>
      <c r="I5812">
        <v>-9.6503180000000004</v>
      </c>
      <c r="J5812">
        <v>-305.5034</v>
      </c>
      <c r="K5812">
        <v>1.056109</v>
      </c>
      <c r="L5812">
        <v>7.7250369999999897</v>
      </c>
      <c r="M5812">
        <v>0.63067439999999997</v>
      </c>
      <c r="N5812">
        <v>0</v>
      </c>
      <c r="O5812">
        <v>-0.77591840000000001</v>
      </c>
      <c r="P5812">
        <v>0.32112400000000002</v>
      </c>
      <c r="Q5812">
        <v>0.15394430000000001</v>
      </c>
      <c r="R5812">
        <v>-0.93444130000000003</v>
      </c>
      <c r="S5812">
        <v>0.177063</v>
      </c>
      <c r="T5812">
        <v>-0.19225349999999999</v>
      </c>
      <c r="U5812">
        <v>-3.1900019999999998</v>
      </c>
      <c r="V5812">
        <v>0.34205469999999999</v>
      </c>
      <c r="W5812">
        <v>0.16322809999999999</v>
      </c>
      <c r="X5812">
        <v>0.92539470000000001</v>
      </c>
      <c r="Y5812">
        <v>0.58667939999999996</v>
      </c>
      <c r="Z5812">
        <v>3.4339969999999997E-2</v>
      </c>
      <c r="AA5812">
        <v>0.80909089999999995</v>
      </c>
      <c r="AB5812">
        <v>18</v>
      </c>
      <c r="AC5812">
        <v>0.86430000000001395</v>
      </c>
      <c r="AD5812">
        <v>-1.0561101456389901</v>
      </c>
      <c r="AE5812">
        <v>-17.375354999999999</v>
      </c>
      <c r="AF5812">
        <v>10.250818707625401</v>
      </c>
      <c r="AG5812">
        <v>-1.0561101456389901</v>
      </c>
      <c r="AH5812">
        <v>13.9768460547311</v>
      </c>
      <c r="AI5812">
        <v>93.486763749932294</v>
      </c>
      <c r="AJ5812">
        <v>53.743145810987798</v>
      </c>
      <c r="AK5812">
        <v>17.365105195592001</v>
      </c>
      <c r="AL5812">
        <v>80.605684221546895</v>
      </c>
      <c r="AM5812">
        <v>69.714117659946893</v>
      </c>
      <c r="AN5812">
        <v>1.00000009060489</v>
      </c>
    </row>
    <row r="5813" spans="1:40" x14ac:dyDescent="0.25">
      <c r="A5813" t="str">
        <f>"20190312172524063"</f>
        <v>20190312172524063</v>
      </c>
      <c r="B5813" t="str">
        <f>"1552382724055940"</f>
        <v>1552382724055940</v>
      </c>
      <c r="C5813" t="s">
        <v>40</v>
      </c>
      <c r="D5813">
        <v>3.9480369999999998</v>
      </c>
      <c r="E5813">
        <v>0.61219659999999998</v>
      </c>
      <c r="F5813" t="s">
        <v>43</v>
      </c>
      <c r="G5813">
        <v>-304.69450000000001</v>
      </c>
      <c r="H5813" s="1">
        <v>-1.007543E-6</v>
      </c>
      <c r="I5813">
        <v>-9.9736799999999999</v>
      </c>
      <c r="J5813">
        <v>-305.3963</v>
      </c>
      <c r="K5813">
        <v>1.0561119999999999</v>
      </c>
      <c r="L5813">
        <v>7.5750429999999902</v>
      </c>
      <c r="M5813">
        <v>0.62322469999999996</v>
      </c>
      <c r="N5813">
        <v>0</v>
      </c>
      <c r="O5813">
        <v>-0.78191469999999996</v>
      </c>
      <c r="P5813">
        <v>0.31228270000000002</v>
      </c>
      <c r="Q5813">
        <v>0.15431819999999999</v>
      </c>
      <c r="R5813">
        <v>-0.93737159999999997</v>
      </c>
      <c r="S5813">
        <v>0.145874</v>
      </c>
      <c r="T5813">
        <v>-0.1904544</v>
      </c>
      <c r="U5813">
        <v>-3.1917110000000002</v>
      </c>
      <c r="V5813">
        <v>0.34190870000000001</v>
      </c>
      <c r="W5813">
        <v>0.16360859999999999</v>
      </c>
      <c r="X5813">
        <v>0.92538140000000002</v>
      </c>
      <c r="Y5813">
        <v>0.586848699999999</v>
      </c>
      <c r="Z5813">
        <v>3.451423E-2</v>
      </c>
      <c r="AA5813">
        <v>0.80896069999999998</v>
      </c>
      <c r="AB5813">
        <v>18</v>
      </c>
      <c r="AC5813">
        <v>0.70179999999999099</v>
      </c>
      <c r="AD5813">
        <v>-1.0561130075430001</v>
      </c>
      <c r="AE5813">
        <v>-17.548722999999999</v>
      </c>
      <c r="AF5813">
        <v>10.3516585742119</v>
      </c>
      <c r="AG5813">
        <v>-1.0561130075430001</v>
      </c>
      <c r="AH5813">
        <v>14.1093819594181</v>
      </c>
      <c r="AI5813">
        <v>93.453676506367202</v>
      </c>
      <c r="AJ5813">
        <v>53.733545735002501</v>
      </c>
      <c r="AK5813">
        <v>17.5313111089419</v>
      </c>
      <c r="AL5813">
        <v>80.583585576354693</v>
      </c>
      <c r="AM5813">
        <v>69.7218033494173</v>
      </c>
      <c r="AN5813">
        <v>1.0000000342977999</v>
      </c>
    </row>
    <row r="5814" spans="1:40" x14ac:dyDescent="0.25">
      <c r="A5814" t="str">
        <f>"20190312172524085"</f>
        <v>20190312172524085</v>
      </c>
      <c r="B5814" t="str">
        <f>"1552382724076436"</f>
        <v>1552382724076436</v>
      </c>
      <c r="C5814" t="s">
        <v>40</v>
      </c>
      <c r="D5814">
        <v>3.9861589999999998</v>
      </c>
      <c r="E5814">
        <v>0.61149319999999996</v>
      </c>
      <c r="F5814" t="s">
        <v>43</v>
      </c>
      <c r="G5814">
        <v>-304.72969999999998</v>
      </c>
      <c r="H5814" s="1">
        <v>-8.9611479999999999E-7</v>
      </c>
      <c r="I5814">
        <v>-10.229179999999999</v>
      </c>
      <c r="J5814">
        <v>-305.29259999999999</v>
      </c>
      <c r="K5814">
        <v>1.0561240000000001</v>
      </c>
      <c r="L5814">
        <v>7.4268489999999998</v>
      </c>
      <c r="M5814">
        <v>0.61585330000000005</v>
      </c>
      <c r="N5814">
        <v>0</v>
      </c>
      <c r="O5814">
        <v>-0.78773369999999998</v>
      </c>
      <c r="P5814">
        <v>0.30407430000000002</v>
      </c>
      <c r="Q5814">
        <v>0.15498339999999999</v>
      </c>
      <c r="R5814">
        <v>-0.93995700000000004</v>
      </c>
      <c r="S5814">
        <v>0.1195068</v>
      </c>
      <c r="T5814">
        <v>-0.18933179999999999</v>
      </c>
      <c r="U5814">
        <v>-3.1918030000000002</v>
      </c>
      <c r="V5814">
        <v>0.3412425</v>
      </c>
      <c r="W5814">
        <v>0.16429170000000001</v>
      </c>
      <c r="X5814">
        <v>0.9255063</v>
      </c>
      <c r="Y5814">
        <v>0.58591969999999904</v>
      </c>
      <c r="Z5814">
        <v>3.4830849999999997E-2</v>
      </c>
      <c r="AA5814">
        <v>0.80962029999999996</v>
      </c>
      <c r="AB5814">
        <v>18</v>
      </c>
      <c r="AC5814">
        <v>0.56290000000001295</v>
      </c>
      <c r="AD5814">
        <v>-1.0561248961148</v>
      </c>
      <c r="AE5814">
        <v>-17.656029</v>
      </c>
      <c r="AF5814">
        <v>10.394000988688401</v>
      </c>
      <c r="AG5814">
        <v>-1.0561248961148</v>
      </c>
      <c r="AH5814">
        <v>14.205564551370699</v>
      </c>
      <c r="AI5814">
        <v>93.433630118918401</v>
      </c>
      <c r="AJ5814">
        <v>53.807618960199903</v>
      </c>
      <c r="AK5814">
        <v>17.633738133822099</v>
      </c>
      <c r="AL5814">
        <v>80.543910199263607</v>
      </c>
      <c r="AM5814">
        <v>69.760615618325801</v>
      </c>
      <c r="AN5814">
        <v>1.0000000589174101</v>
      </c>
    </row>
    <row r="5815" spans="1:40" x14ac:dyDescent="0.25">
      <c r="A5815" t="str">
        <f>"20190312172524106"</f>
        <v>20190312172524106</v>
      </c>
      <c r="B5815" t="str">
        <f>"1552382724095956"</f>
        <v>1552382724095956</v>
      </c>
      <c r="C5815" t="s">
        <v>40</v>
      </c>
      <c r="D5815">
        <v>3.9733679999999998</v>
      </c>
      <c r="E5815">
        <v>0.61068420000000001</v>
      </c>
      <c r="F5815" t="s">
        <v>43</v>
      </c>
      <c r="G5815">
        <v>-304.74590000000001</v>
      </c>
      <c r="H5815" s="1">
        <v>-5.0724309999999997E-6</v>
      </c>
      <c r="I5815">
        <v>-10.58145</v>
      </c>
      <c r="J5815">
        <v>-305.19369999999998</v>
      </c>
      <c r="K5815">
        <v>1.0561430000000001</v>
      </c>
      <c r="L5815">
        <v>7.2828059999999999</v>
      </c>
      <c r="M5815">
        <v>0.60867729999999998</v>
      </c>
      <c r="N5815">
        <v>0</v>
      </c>
      <c r="O5815">
        <v>-0.79329169999999904</v>
      </c>
      <c r="P5815">
        <v>0.29609289999999999</v>
      </c>
      <c r="Q5815">
        <v>0.155412299999999</v>
      </c>
      <c r="R5815">
        <v>-0.94243100000000002</v>
      </c>
      <c r="S5815">
        <v>9.6862790000000004E-2</v>
      </c>
      <c r="T5815">
        <v>-0.1871514</v>
      </c>
      <c r="U5815">
        <v>-3.1911619999999998</v>
      </c>
      <c r="V5815">
        <v>0.34064319999999998</v>
      </c>
      <c r="W5815">
        <v>0.16474040000000001</v>
      </c>
      <c r="X5815">
        <v>0.92564729999999995</v>
      </c>
      <c r="Y5815">
        <v>0.58429969999999998</v>
      </c>
      <c r="Z5815">
        <v>3.4946360000000003E-2</v>
      </c>
      <c r="AA5815">
        <v>0.81078519999999998</v>
      </c>
      <c r="AB5815">
        <v>18</v>
      </c>
      <c r="AC5815">
        <v>0.447799999999972</v>
      </c>
      <c r="AD5815">
        <v>-1.056148072431</v>
      </c>
      <c r="AE5815">
        <v>-17.864256000000001</v>
      </c>
      <c r="AF5815">
        <v>10.4827672388684</v>
      </c>
      <c r="AG5815">
        <v>-1.056148072431</v>
      </c>
      <c r="AH5815">
        <v>14.3952942170746</v>
      </c>
      <c r="AI5815">
        <v>93.394157942291599</v>
      </c>
      <c r="AJ5815">
        <v>53.937596342041303</v>
      </c>
      <c r="AK5815">
        <v>17.838956060580902</v>
      </c>
      <c r="AL5815">
        <v>80.517846427581006</v>
      </c>
      <c r="AM5815">
        <v>69.796112604161706</v>
      </c>
      <c r="AN5815">
        <v>1.00000005654784</v>
      </c>
    </row>
    <row r="5816" spans="1:40" x14ac:dyDescent="0.25">
      <c r="A5816" t="str">
        <f>"20190312172524129"</f>
        <v>20190312172524129</v>
      </c>
      <c r="B5816" t="str">
        <f>"1552382724126212"</f>
        <v>1552382724126212</v>
      </c>
      <c r="C5816" t="s">
        <v>40</v>
      </c>
      <c r="D5816">
        <v>3.9766499999999998</v>
      </c>
      <c r="E5816">
        <v>0.60111369999999997</v>
      </c>
      <c r="F5816" t="s">
        <v>43</v>
      </c>
      <c r="G5816">
        <v>-304.76209999999998</v>
      </c>
      <c r="H5816" s="1">
        <v>-4.9935970000000001E-6</v>
      </c>
      <c r="I5816">
        <v>-10.821540000000001</v>
      </c>
      <c r="J5816">
        <v>-305.09199999999998</v>
      </c>
      <c r="K5816">
        <v>1.056162</v>
      </c>
      <c r="L5816">
        <v>7.1316220000000001</v>
      </c>
      <c r="M5816">
        <v>0.60113760000000005</v>
      </c>
      <c r="N5816">
        <v>0</v>
      </c>
      <c r="O5816">
        <v>-0.79902019999999996</v>
      </c>
      <c r="P5816">
        <v>0.28823349999999998</v>
      </c>
      <c r="Q5816">
        <v>0.15593070000000001</v>
      </c>
      <c r="R5816">
        <v>-0.94477869999999997</v>
      </c>
      <c r="S5816">
        <v>7.6049800000000001E-2</v>
      </c>
      <c r="T5816">
        <v>-0.1860977</v>
      </c>
      <c r="U5816">
        <v>-3.1900629999999999</v>
      </c>
      <c r="V5816">
        <v>0.33953030000000001</v>
      </c>
      <c r="W5816">
        <v>0.1652892</v>
      </c>
      <c r="X5816">
        <v>0.92595819999999995</v>
      </c>
      <c r="Y5816">
        <v>0.58189389999999996</v>
      </c>
      <c r="Z5816">
        <v>3.5300369999999998E-2</v>
      </c>
      <c r="AA5816">
        <v>0.81249819999999995</v>
      </c>
      <c r="AB5816">
        <v>18</v>
      </c>
      <c r="AC5816">
        <v>0.32990000000000902</v>
      </c>
      <c r="AD5816">
        <v>-1.0561669935969999</v>
      </c>
      <c r="AE5816">
        <v>-17.953161999999999</v>
      </c>
      <c r="AF5816">
        <v>10.4934744691785</v>
      </c>
      <c r="AG5816">
        <v>-1.0561669935969999</v>
      </c>
      <c r="AH5816">
        <v>14.4945645150421</v>
      </c>
      <c r="AI5816">
        <v>93.3778265146872</v>
      </c>
      <c r="AJ5816">
        <v>54.0969923925446</v>
      </c>
      <c r="AK5816">
        <v>17.925425954057101</v>
      </c>
      <c r="AL5816">
        <v>80.485964584218095</v>
      </c>
      <c r="AM5816">
        <v>69.863026045459605</v>
      </c>
      <c r="AN5816">
        <v>0.99999996620098397</v>
      </c>
    </row>
    <row r="5817" spans="1:40" x14ac:dyDescent="0.25">
      <c r="A5817" t="str">
        <f>"20190312172524151"</f>
        <v>20190312172524151</v>
      </c>
      <c r="B5817" t="str">
        <f>"1552382724145732"</f>
        <v>1552382724145732</v>
      </c>
      <c r="C5817" t="s">
        <v>40</v>
      </c>
      <c r="D5817">
        <v>3.9675280000000002</v>
      </c>
      <c r="E5817">
        <v>0.59899499999999894</v>
      </c>
      <c r="F5817" t="s">
        <v>43</v>
      </c>
      <c r="G5817">
        <v>-304.48880000000003</v>
      </c>
      <c r="H5817" s="1">
        <v>-1.7405289999999899E-6</v>
      </c>
      <c r="I5817">
        <v>-8.3072400000000002</v>
      </c>
      <c r="J5817">
        <v>-304.9907</v>
      </c>
      <c r="K5817">
        <v>1.0561860000000001</v>
      </c>
      <c r="L5817">
        <v>6.9779660000000003</v>
      </c>
      <c r="M5817">
        <v>0.59347150000000004</v>
      </c>
      <c r="N5817">
        <v>0</v>
      </c>
      <c r="O5817">
        <v>-0.80473070000000002</v>
      </c>
      <c r="P5817">
        <v>0.28065669999999998</v>
      </c>
      <c r="Q5817">
        <v>0.15673609999999999</v>
      </c>
      <c r="R5817">
        <v>-0.94692460000000001</v>
      </c>
      <c r="S5817">
        <v>0.1239929</v>
      </c>
      <c r="T5817">
        <v>-0.21708630000000001</v>
      </c>
      <c r="U5817">
        <v>-3.17334</v>
      </c>
      <c r="V5817">
        <v>0.3380126</v>
      </c>
      <c r="W5817">
        <v>0.16613139999999901</v>
      </c>
      <c r="X5817">
        <v>0.92636269999999998</v>
      </c>
      <c r="Y5817">
        <v>0.56156510000000004</v>
      </c>
      <c r="Z5817">
        <v>4.2461350000000002E-2</v>
      </c>
      <c r="AA5817">
        <v>0.82634229999999997</v>
      </c>
      <c r="AB5817">
        <v>18</v>
      </c>
      <c r="AC5817">
        <v>0.50189999999997703</v>
      </c>
      <c r="AD5817">
        <v>-1.0561877405290001</v>
      </c>
      <c r="AE5817">
        <v>-15.285206000000001</v>
      </c>
      <c r="AF5817">
        <v>8.6271598858208396</v>
      </c>
      <c r="AG5817">
        <v>-1.0561877405290001</v>
      </c>
      <c r="AH5817">
        <v>12.539790027787101</v>
      </c>
      <c r="AI5817">
        <v>93.969440464751898</v>
      </c>
      <c r="AJ5817">
        <v>55.472697130824201</v>
      </c>
      <c r="AK5817">
        <v>15.2574491373803</v>
      </c>
      <c r="AL5817">
        <v>80.4370339617262</v>
      </c>
      <c r="AM5817">
        <v>69.953910063366394</v>
      </c>
      <c r="AN5817">
        <v>1.0000000058880001</v>
      </c>
    </row>
    <row r="5818" spans="1:40" x14ac:dyDescent="0.25">
      <c r="A5818" t="str">
        <f>"20190312172524185"</f>
        <v>20190312172524185</v>
      </c>
      <c r="B5818" t="str">
        <f>"1552382724175988"</f>
        <v>1552382724175988</v>
      </c>
      <c r="C5818" t="s">
        <v>40</v>
      </c>
      <c r="D5818">
        <v>3.938148</v>
      </c>
      <c r="E5818">
        <v>0.59705390000000003</v>
      </c>
      <c r="F5818" t="s">
        <v>43</v>
      </c>
      <c r="G5818">
        <v>-304.38729999999998</v>
      </c>
      <c r="H5818" s="1">
        <v>-1.01275E-6</v>
      </c>
      <c r="I5818">
        <v>-9.7897350000000003</v>
      </c>
      <c r="J5818">
        <v>-304.84629999999999</v>
      </c>
      <c r="K5818">
        <v>1.056216</v>
      </c>
      <c r="L5818">
        <v>6.7532039999999904</v>
      </c>
      <c r="M5818">
        <v>0.5822505</v>
      </c>
      <c r="N5818">
        <v>0</v>
      </c>
      <c r="O5818">
        <v>-0.81288649999999996</v>
      </c>
      <c r="P5818">
        <v>0.26879180000000003</v>
      </c>
      <c r="Q5818">
        <v>0.156413</v>
      </c>
      <c r="R5818">
        <v>-0.95041390000000003</v>
      </c>
      <c r="S5818">
        <v>0.11398320000000001</v>
      </c>
      <c r="T5818">
        <v>-0.19951189999999999</v>
      </c>
      <c r="U5818">
        <v>-3.167389</v>
      </c>
      <c r="V5818">
        <v>0.33675840000000001</v>
      </c>
      <c r="W5818">
        <v>0.1658492</v>
      </c>
      <c r="X5818">
        <v>0.92686990000000002</v>
      </c>
      <c r="Y5818">
        <v>0.55262339999999999</v>
      </c>
      <c r="Z5818">
        <v>4.0057599999999999E-2</v>
      </c>
      <c r="AA5818">
        <v>0.83246790000000004</v>
      </c>
      <c r="AB5818">
        <v>18</v>
      </c>
      <c r="AC5818">
        <v>0.45900000000000302</v>
      </c>
      <c r="AD5818">
        <v>-1.0562170127499999</v>
      </c>
      <c r="AE5818">
        <v>-16.542939000000001</v>
      </c>
      <c r="AF5818">
        <v>9.2223795965532602</v>
      </c>
      <c r="AG5818">
        <v>-1.0562170127499999</v>
      </c>
      <c r="AH5818">
        <v>13.6605123029307</v>
      </c>
      <c r="AI5818">
        <v>93.666637781041899</v>
      </c>
      <c r="AJ5818">
        <v>55.976230745455098</v>
      </c>
      <c r="AK5818">
        <v>16.515976391950399</v>
      </c>
      <c r="AL5818">
        <v>80.453430179136106</v>
      </c>
      <c r="AM5818">
        <v>70.032466076659304</v>
      </c>
      <c r="AN5818">
        <v>0.99999999431860498</v>
      </c>
    </row>
    <row r="5819" spans="1:40" x14ac:dyDescent="0.25">
      <c r="A5819" t="str">
        <f>"20190312172524208"</f>
        <v>20190312172524208</v>
      </c>
      <c r="B5819" t="str">
        <f>"1552382724196484"</f>
        <v>1552382724196484</v>
      </c>
      <c r="C5819" t="s">
        <v>40</v>
      </c>
      <c r="D5819">
        <v>3.9271799999999999</v>
      </c>
      <c r="E5819">
        <v>0.59600450000000005</v>
      </c>
      <c r="F5819" t="s">
        <v>43</v>
      </c>
      <c r="G5819">
        <v>-304.36079999999998</v>
      </c>
      <c r="H5819" s="1">
        <v>-5.0527809999999998E-6</v>
      </c>
      <c r="I5819">
        <v>-10.43844</v>
      </c>
      <c r="J5819">
        <v>-304.74959999999999</v>
      </c>
      <c r="K5819">
        <v>1.0562419999999999</v>
      </c>
      <c r="L5819">
        <v>6.5986940000000001</v>
      </c>
      <c r="M5819">
        <v>0.57453480000000001</v>
      </c>
      <c r="N5819">
        <v>0</v>
      </c>
      <c r="O5819">
        <v>-0.81835809999999998</v>
      </c>
      <c r="P5819">
        <v>0.26046910000000001</v>
      </c>
      <c r="Q5819">
        <v>0.156115</v>
      </c>
      <c r="R5819">
        <v>-0.95277699999999999</v>
      </c>
      <c r="S5819">
        <v>8.932495E-2</v>
      </c>
      <c r="T5819">
        <v>-0.19434309999999999</v>
      </c>
      <c r="U5819">
        <v>-3.1632389999999999</v>
      </c>
      <c r="V5819">
        <v>0.33611239999999998</v>
      </c>
      <c r="W5819">
        <v>0.1655741</v>
      </c>
      <c r="X5819">
        <v>0.92715349999999996</v>
      </c>
      <c r="Y5819">
        <v>0.55118849999999997</v>
      </c>
      <c r="Z5819">
        <v>3.959476E-2</v>
      </c>
      <c r="AA5819">
        <v>0.83344079999999998</v>
      </c>
      <c r="AB5819">
        <v>18</v>
      </c>
      <c r="AC5819">
        <v>0.38880000000000298</v>
      </c>
      <c r="AD5819">
        <v>-1.056247052781</v>
      </c>
      <c r="AE5819">
        <v>-17.037134000000002</v>
      </c>
      <c r="AF5819">
        <v>9.43494961265678</v>
      </c>
      <c r="AG5819">
        <v>-1.056247052781</v>
      </c>
      <c r="AH5819">
        <v>14.113054335879999</v>
      </c>
      <c r="AI5819">
        <v>93.560280881827893</v>
      </c>
      <c r="AJ5819">
        <v>56.236226448330498</v>
      </c>
      <c r="AK5819">
        <v>17.009180894957399</v>
      </c>
      <c r="AL5819">
        <v>80.4694129947449</v>
      </c>
      <c r="AM5819">
        <v>70.073367570693506</v>
      </c>
      <c r="AN5819">
        <v>0.99999997029340904</v>
      </c>
    </row>
    <row r="5820" spans="1:40" x14ac:dyDescent="0.25">
      <c r="A5820" t="str">
        <f>"20190312172524230"</f>
        <v>20190312172524230</v>
      </c>
      <c r="B5820" t="str">
        <f>"1552382724226740"</f>
        <v>1552382724226740</v>
      </c>
      <c r="C5820" t="s">
        <v>40</v>
      </c>
      <c r="D5820">
        <v>3.948372</v>
      </c>
      <c r="E5820">
        <v>0.59443610000000002</v>
      </c>
      <c r="F5820" t="s">
        <v>43</v>
      </c>
      <c r="G5820">
        <v>-304.37060000000002</v>
      </c>
      <c r="H5820" s="1">
        <v>-5.0161990000000001E-6</v>
      </c>
      <c r="I5820">
        <v>-10.55106</v>
      </c>
      <c r="J5820">
        <v>-304.65499999999997</v>
      </c>
      <c r="K5820">
        <v>1.0562499999999999</v>
      </c>
      <c r="L5820">
        <v>6.4444269999999904</v>
      </c>
      <c r="M5820">
        <v>0.56682849999999996</v>
      </c>
      <c r="N5820">
        <v>0</v>
      </c>
      <c r="O5820">
        <v>-0.82371450000000002</v>
      </c>
      <c r="P5820">
        <v>0.25194630000000001</v>
      </c>
      <c r="Q5820">
        <v>0.1560047</v>
      </c>
      <c r="R5820">
        <v>-0.95508400000000004</v>
      </c>
      <c r="S5820">
        <v>6.9854739999999999E-2</v>
      </c>
      <c r="T5820">
        <v>-0.19471550000000001</v>
      </c>
      <c r="U5820">
        <v>-3.1614990000000001</v>
      </c>
      <c r="V5820">
        <v>0.33569470000000001</v>
      </c>
      <c r="W5820">
        <v>0.16548109999999999</v>
      </c>
      <c r="X5820">
        <v>0.92732150000000002</v>
      </c>
      <c r="Y5820">
        <v>0.54847369999999995</v>
      </c>
      <c r="Z5820">
        <v>4.0231250000000003E-2</v>
      </c>
      <c r="AA5820">
        <v>0.83519940000000004</v>
      </c>
      <c r="AB5820">
        <v>18</v>
      </c>
      <c r="AC5820">
        <v>0.28439999999994803</v>
      </c>
      <c r="AD5820">
        <v>-1.0562550161990001</v>
      </c>
      <c r="AE5820">
        <v>-16.995487000000001</v>
      </c>
      <c r="AF5820">
        <v>9.3640428302058805</v>
      </c>
      <c r="AG5820">
        <v>-1.0562550161990001</v>
      </c>
      <c r="AH5820">
        <v>14.1075749998587</v>
      </c>
      <c r="AI5820">
        <v>93.569508318868202</v>
      </c>
      <c r="AJ5820">
        <v>56.425387185338202</v>
      </c>
      <c r="AK5820">
        <v>16.965395520347101</v>
      </c>
      <c r="AL5820">
        <v>80.474816756790105</v>
      </c>
      <c r="AM5820">
        <v>70.099508173901299</v>
      </c>
      <c r="AN5820">
        <v>1.0000000452137701</v>
      </c>
    </row>
    <row r="5821" spans="1:40" x14ac:dyDescent="0.25">
      <c r="A5821" t="str">
        <f>"20190312172524253"</f>
        <v>20190312172524253</v>
      </c>
      <c r="B5821" t="str">
        <f>"1552382724246260"</f>
        <v>1552382724246260</v>
      </c>
      <c r="C5821" t="s">
        <v>40</v>
      </c>
      <c r="D5821">
        <v>3.9520599999999999</v>
      </c>
      <c r="E5821">
        <v>0.59339980000000003</v>
      </c>
      <c r="F5821" t="s">
        <v>43</v>
      </c>
      <c r="G5821">
        <v>-304.36349999999999</v>
      </c>
      <c r="H5821" s="1">
        <v>-4.9970289999999999E-6</v>
      </c>
      <c r="I5821">
        <v>-10.603680000000001</v>
      </c>
      <c r="J5821">
        <v>-304.55840000000001</v>
      </c>
      <c r="K5821">
        <v>1.0562720000000001</v>
      </c>
      <c r="L5821">
        <v>6.2833560000000004</v>
      </c>
      <c r="M5821">
        <v>0.55877650000000001</v>
      </c>
      <c r="N5821">
        <v>0</v>
      </c>
      <c r="O5821">
        <v>-0.82919789999999904</v>
      </c>
      <c r="P5821">
        <v>0.2434762</v>
      </c>
      <c r="Q5821">
        <v>0.15606039999999999</v>
      </c>
      <c r="R5821">
        <v>-0.95726929999999999</v>
      </c>
      <c r="S5821">
        <v>5.4016109999999999E-2</v>
      </c>
      <c r="T5821">
        <v>-0.19571160000000001</v>
      </c>
      <c r="U5821">
        <v>-3.1588129999999999</v>
      </c>
      <c r="V5821">
        <v>0.33486070000000001</v>
      </c>
      <c r="W5821">
        <v>0.16555909999999999</v>
      </c>
      <c r="X5821">
        <v>0.92760900000000002</v>
      </c>
      <c r="Y5821">
        <v>0.54449429999999999</v>
      </c>
      <c r="Z5821">
        <v>4.105147E-2</v>
      </c>
      <c r="AA5821">
        <v>0.83775940000000004</v>
      </c>
      <c r="AB5821">
        <v>18</v>
      </c>
      <c r="AC5821">
        <v>0.194900000000018</v>
      </c>
      <c r="AD5821">
        <v>-1.05627699702899</v>
      </c>
      <c r="AE5821">
        <v>-16.887035999999998</v>
      </c>
      <c r="AF5821">
        <v>9.2392509442267006</v>
      </c>
      <c r="AG5821">
        <v>-1.05627699702899</v>
      </c>
      <c r="AH5821">
        <v>14.0580153854104</v>
      </c>
      <c r="AI5821">
        <v>93.5928901626488</v>
      </c>
      <c r="AJ5821">
        <v>56.686162619029801</v>
      </c>
      <c r="AK5821">
        <v>16.855482066119698</v>
      </c>
      <c r="AL5821">
        <v>80.470284556466595</v>
      </c>
      <c r="AM5821">
        <v>70.150753651186307</v>
      </c>
      <c r="AN5821">
        <v>0.99999998043914895</v>
      </c>
    </row>
    <row r="5822" spans="1:40" x14ac:dyDescent="0.25">
      <c r="A5822" t="str">
        <f>"20190312172524275"</f>
        <v>20190312172524275</v>
      </c>
      <c r="B5822" t="str">
        <f>"1552382724266290"</f>
        <v>1552382724266290</v>
      </c>
      <c r="C5822" t="s">
        <v>40</v>
      </c>
      <c r="D5822">
        <v>3.9595509999999998</v>
      </c>
      <c r="E5822">
        <v>0.58605640000000003</v>
      </c>
      <c r="F5822" t="s">
        <v>43</v>
      </c>
      <c r="G5822">
        <v>-304.37540000000001</v>
      </c>
      <c r="H5822" s="1">
        <v>-4.9352359999999999E-6</v>
      </c>
      <c r="I5822">
        <v>-10.79144</v>
      </c>
      <c r="J5822">
        <v>-304.47160000000002</v>
      </c>
      <c r="K5822">
        <v>1.05629</v>
      </c>
      <c r="L5822">
        <v>6.1356199999999896</v>
      </c>
      <c r="M5822">
        <v>0.55138390000000004</v>
      </c>
      <c r="N5822">
        <v>0</v>
      </c>
      <c r="O5822">
        <v>-0.83413199999999998</v>
      </c>
      <c r="P5822">
        <v>0.23606340000000001</v>
      </c>
      <c r="Q5822">
        <v>0.1568319</v>
      </c>
      <c r="R5822">
        <v>-0.95899840000000003</v>
      </c>
      <c r="S5822">
        <v>3.3843989999999997E-2</v>
      </c>
      <c r="T5822">
        <v>-0.1953058</v>
      </c>
      <c r="U5822">
        <v>-3.1571349999999998</v>
      </c>
      <c r="V5822">
        <v>0.3337214</v>
      </c>
      <c r="W5822">
        <v>0.1663557</v>
      </c>
      <c r="X5822">
        <v>0.92787710000000001</v>
      </c>
      <c r="Y5822">
        <v>0.54238409999999904</v>
      </c>
      <c r="Z5822">
        <v>4.1478080000000001E-2</v>
      </c>
      <c r="AA5822">
        <v>0.83910609999999997</v>
      </c>
      <c r="AB5822">
        <v>18</v>
      </c>
      <c r="AC5822">
        <v>9.6200000000010194E-2</v>
      </c>
      <c r="AD5822">
        <v>-1.056294935236</v>
      </c>
      <c r="AE5822">
        <v>-16.927059999999901</v>
      </c>
      <c r="AF5822">
        <v>9.2180934234868595</v>
      </c>
      <c r="AG5822">
        <v>-1.056294935236</v>
      </c>
      <c r="AH5822">
        <v>14.118881584983001</v>
      </c>
      <c r="AI5822">
        <v>93.584594097387594</v>
      </c>
      <c r="AJ5822">
        <v>56.859834167745802</v>
      </c>
      <c r="AK5822">
        <v>16.894727655843099</v>
      </c>
      <c r="AL5822">
        <v>80.424001611314907</v>
      </c>
      <c r="AM5822">
        <v>70.218309697698302</v>
      </c>
      <c r="AN5822">
        <v>1.0000000522224199</v>
      </c>
    </row>
    <row r="5823" spans="1:40" x14ac:dyDescent="0.25">
      <c r="A5823" t="str">
        <f>"20190312172524296"</f>
        <v>20190312172524296</v>
      </c>
      <c r="B5823" t="str">
        <f>"1552382724285807"</f>
        <v>1552382724285807</v>
      </c>
      <c r="C5823" t="s">
        <v>40</v>
      </c>
      <c r="D5823">
        <v>3.9454509999999998</v>
      </c>
      <c r="E5823">
        <v>0.58455919999999995</v>
      </c>
      <c r="F5823" t="s">
        <v>43</v>
      </c>
      <c r="G5823">
        <v>-304.11590000000001</v>
      </c>
      <c r="H5823" s="1">
        <v>-4.9518870000000002E-6</v>
      </c>
      <c r="I5823">
        <v>-10.607250000000001</v>
      </c>
      <c r="J5823">
        <v>-304.38319999999999</v>
      </c>
      <c r="K5823">
        <v>1.0563039999999999</v>
      </c>
      <c r="L5823">
        <v>5.9819639999999996</v>
      </c>
      <c r="M5823">
        <v>0.54368909999999904</v>
      </c>
      <c r="N5823">
        <v>0</v>
      </c>
      <c r="O5823">
        <v>-0.83916809999999997</v>
      </c>
      <c r="P5823">
        <v>0.22829679999999999</v>
      </c>
      <c r="Q5823">
        <v>0.15755179999999999</v>
      </c>
      <c r="R5823">
        <v>-0.96075949999999999</v>
      </c>
      <c r="S5823">
        <v>6.6802979999999998E-2</v>
      </c>
      <c r="T5823">
        <v>-0.19836880000000001</v>
      </c>
      <c r="U5823">
        <v>-3.1442570000000001</v>
      </c>
      <c r="V5823">
        <v>0.33262960000000003</v>
      </c>
      <c r="W5823">
        <v>0.167099</v>
      </c>
      <c r="X5823">
        <v>0.9281355</v>
      </c>
      <c r="Y5823">
        <v>0.52572909999999995</v>
      </c>
      <c r="Z5823">
        <v>4.3116259999999997E-2</v>
      </c>
      <c r="AA5823">
        <v>0.8495587</v>
      </c>
      <c r="AB5823">
        <v>18</v>
      </c>
      <c r="AC5823">
        <v>0.267299999999977</v>
      </c>
      <c r="AD5823">
        <v>-1.0563089518869999</v>
      </c>
      <c r="AE5823">
        <v>-16.589213999999998</v>
      </c>
      <c r="AF5823">
        <v>8.7604313337486293</v>
      </c>
      <c r="AG5823">
        <v>-1.0563089518869999</v>
      </c>
      <c r="AH5823">
        <v>14.0110753072167</v>
      </c>
      <c r="AI5823">
        <v>93.657612628642696</v>
      </c>
      <c r="AJ5823">
        <v>57.984298480697198</v>
      </c>
      <c r="AK5823">
        <v>16.5581151409108</v>
      </c>
      <c r="AL5823">
        <v>80.380808748497302</v>
      </c>
      <c r="AM5823">
        <v>70.283095294322393</v>
      </c>
      <c r="AN5823">
        <v>1.0000000164787</v>
      </c>
    </row>
    <row r="5824" spans="1:40" x14ac:dyDescent="0.25">
      <c r="A5824" t="str">
        <f>"20190312172524318"</f>
        <v>20190312172524318</v>
      </c>
      <c r="B5824" t="str">
        <f>"1552382724306302"</f>
        <v>1552382724306302</v>
      </c>
      <c r="C5824" t="s">
        <v>40</v>
      </c>
      <c r="D5824">
        <v>3.9599250000000001</v>
      </c>
      <c r="E5824">
        <v>0.58316959999999995</v>
      </c>
      <c r="F5824" t="s">
        <v>43</v>
      </c>
      <c r="G5824">
        <v>-304.09820000000002</v>
      </c>
      <c r="H5824" s="1">
        <v>-4.8581290000000003E-6</v>
      </c>
      <c r="I5824">
        <v>-10.873530000000001</v>
      </c>
      <c r="J5824">
        <v>-304.29649999999998</v>
      </c>
      <c r="K5824">
        <v>1.0563209999999901</v>
      </c>
      <c r="L5824">
        <v>5.8282470000000002</v>
      </c>
      <c r="M5824">
        <v>0.53598210000000002</v>
      </c>
      <c r="N5824">
        <v>0</v>
      </c>
      <c r="O5824">
        <v>-0.84411130000000001</v>
      </c>
      <c r="P5824">
        <v>0.2205085</v>
      </c>
      <c r="Q5824">
        <v>0.1578551</v>
      </c>
      <c r="R5824">
        <v>-0.96252669999999996</v>
      </c>
      <c r="S5824">
        <v>5.3131100000000001E-2</v>
      </c>
      <c r="T5824">
        <v>-0.1969157</v>
      </c>
      <c r="U5824">
        <v>-3.1421809999999999</v>
      </c>
      <c r="V5824">
        <v>0.3316153</v>
      </c>
      <c r="W5824">
        <v>0.16742580000000001</v>
      </c>
      <c r="X5824">
        <v>0.92843949999999997</v>
      </c>
      <c r="Y5824">
        <v>0.52162120000000001</v>
      </c>
      <c r="Z5824">
        <v>4.3366370000000001E-2</v>
      </c>
      <c r="AA5824">
        <v>0.85207429999999995</v>
      </c>
      <c r="AB5824">
        <v>18</v>
      </c>
      <c r="AC5824">
        <v>0.19829999999996001</v>
      </c>
      <c r="AD5824">
        <v>-1.05632585812899</v>
      </c>
      <c r="AE5824">
        <v>-16.701777</v>
      </c>
      <c r="AF5824">
        <v>8.7503444616255006</v>
      </c>
      <c r="AG5824">
        <v>-1.05632585812899</v>
      </c>
      <c r="AH5824">
        <v>14.149269179006399</v>
      </c>
      <c r="AI5824">
        <v>93.633106673865996</v>
      </c>
      <c r="AJ5824">
        <v>58.266075097389198</v>
      </c>
      <c r="AK5824">
        <v>16.669918140639801</v>
      </c>
      <c r="AL5824">
        <v>80.361816831739304</v>
      </c>
      <c r="AM5824">
        <v>70.344546931475904</v>
      </c>
      <c r="AN5824">
        <v>1.00000000542999</v>
      </c>
    </row>
    <row r="5825" spans="1:40" x14ac:dyDescent="0.25">
      <c r="A5825" t="str">
        <f>"20190312172524342"</f>
        <v>20190312172524342</v>
      </c>
      <c r="B5825" t="str">
        <f>"1552382724336562"</f>
        <v>1552382724336562</v>
      </c>
      <c r="C5825" t="s">
        <v>40</v>
      </c>
      <c r="D5825">
        <v>3.947943</v>
      </c>
      <c r="E5825">
        <v>0.58159019999999995</v>
      </c>
      <c r="F5825" t="s">
        <v>43</v>
      </c>
      <c r="G5825">
        <v>-304.0924</v>
      </c>
      <c r="H5825" s="1">
        <v>-4.8486480000000001E-6</v>
      </c>
      <c r="I5825">
        <v>-10.89838</v>
      </c>
      <c r="J5825">
        <v>-304.20740000000001</v>
      </c>
      <c r="K5825">
        <v>1.056351</v>
      </c>
      <c r="L5825">
        <v>5.6663819999999996</v>
      </c>
      <c r="M5825">
        <v>0.52786049999999995</v>
      </c>
      <c r="N5825">
        <v>0</v>
      </c>
      <c r="O5825">
        <v>-0.84921399999999903</v>
      </c>
      <c r="P5825">
        <v>0.21243200000000001</v>
      </c>
      <c r="Q5825">
        <v>0.1579325</v>
      </c>
      <c r="R5825">
        <v>-0.96432890000000004</v>
      </c>
      <c r="S5825">
        <v>3.8330080000000002E-2</v>
      </c>
      <c r="T5825">
        <v>-0.19833210000000001</v>
      </c>
      <c r="U5825">
        <v>-3.140533</v>
      </c>
      <c r="V5825">
        <v>0.33047749999999998</v>
      </c>
      <c r="W5825">
        <v>0.1675287</v>
      </c>
      <c r="X5825">
        <v>0.92882659999999995</v>
      </c>
      <c r="Y5825">
        <v>0.51744060000000003</v>
      </c>
      <c r="Z5825">
        <v>4.4256190000000001E-2</v>
      </c>
      <c r="AA5825">
        <v>0.8545739</v>
      </c>
      <c r="AB5825">
        <v>18</v>
      </c>
      <c r="AC5825">
        <v>0.115000000000009</v>
      </c>
      <c r="AD5825">
        <v>-1.056355848648</v>
      </c>
      <c r="AE5825">
        <v>-16.564761999999899</v>
      </c>
      <c r="AF5825">
        <v>8.6120622015669106</v>
      </c>
      <c r="AG5825">
        <v>-1.056355848648</v>
      </c>
      <c r="AH5825">
        <v>14.0719122541551</v>
      </c>
      <c r="AI5825">
        <v>93.663593461741101</v>
      </c>
      <c r="AJ5825">
        <v>58.533213994239198</v>
      </c>
      <c r="AK5825">
        <v>16.5318546307204</v>
      </c>
      <c r="AL5825">
        <v>80.355837046788693</v>
      </c>
      <c r="AM5825">
        <v>70.414386846962401</v>
      </c>
      <c r="AN5825">
        <v>1.0000000480987401</v>
      </c>
    </row>
    <row r="5826" spans="1:40" x14ac:dyDescent="0.25">
      <c r="A5826" t="str">
        <f>"20190312172524364"</f>
        <v>20190312172524364</v>
      </c>
      <c r="B5826" t="str">
        <f>"1552382724356586"</f>
        <v>1552382724356586</v>
      </c>
      <c r="C5826" t="s">
        <v>40</v>
      </c>
      <c r="D5826">
        <v>3.963454</v>
      </c>
      <c r="E5826">
        <v>0.58122649999999998</v>
      </c>
      <c r="F5826" t="s">
        <v>43</v>
      </c>
      <c r="G5826">
        <v>-304.07940000000002</v>
      </c>
      <c r="H5826" s="1">
        <v>-4.726463E-6</v>
      </c>
      <c r="I5826">
        <v>-11.250640000000001</v>
      </c>
      <c r="J5826">
        <v>-304.12169999999998</v>
      </c>
      <c r="K5826">
        <v>1.0563689999999999</v>
      </c>
      <c r="L5826">
        <v>5.5071719999999997</v>
      </c>
      <c r="M5826">
        <v>0.51986679999999996</v>
      </c>
      <c r="N5826">
        <v>0</v>
      </c>
      <c r="O5826">
        <v>-0.85413090000000003</v>
      </c>
      <c r="P5826">
        <v>0.2048006</v>
      </c>
      <c r="Q5826">
        <v>0.15795780000000001</v>
      </c>
      <c r="R5826">
        <v>-0.96597420000000001</v>
      </c>
      <c r="S5826">
        <v>2.3742679999999999E-2</v>
      </c>
      <c r="T5826">
        <v>-0.1959378</v>
      </c>
      <c r="U5826">
        <v>-3.137848</v>
      </c>
      <c r="V5826">
        <v>0.32909240000000001</v>
      </c>
      <c r="W5826">
        <v>0.1675828</v>
      </c>
      <c r="X5826">
        <v>0.92930849999999998</v>
      </c>
      <c r="Y5826">
        <v>0.51337149999999998</v>
      </c>
      <c r="Z5826">
        <v>4.429106E-2</v>
      </c>
      <c r="AA5826">
        <v>0.85702279999999997</v>
      </c>
      <c r="AB5826">
        <v>17</v>
      </c>
      <c r="AC5826">
        <v>4.22999999999547E-2</v>
      </c>
      <c r="AD5826">
        <v>-1.056373726463</v>
      </c>
      <c r="AE5826">
        <v>-16.757811999999898</v>
      </c>
      <c r="AF5826">
        <v>8.6422215484572202</v>
      </c>
      <c r="AG5826">
        <v>-1.056373726463</v>
      </c>
      <c r="AH5826">
        <v>14.280036454124801</v>
      </c>
      <c r="AI5826">
        <v>93.621304467946104</v>
      </c>
      <c r="AJ5826">
        <v>58.817839819873903</v>
      </c>
      <c r="AK5826">
        <v>16.724932283083099</v>
      </c>
      <c r="AL5826">
        <v>80.352692868697105</v>
      </c>
      <c r="AM5826">
        <v>70.499616481517506</v>
      </c>
      <c r="AN5826">
        <v>1.0000000453829201</v>
      </c>
    </row>
    <row r="5827" spans="1:40" x14ac:dyDescent="0.25">
      <c r="A5827" t="str">
        <f>"20190312172524385"</f>
        <v>20190312172524385</v>
      </c>
      <c r="B5827" t="str">
        <f>"1552382724376106"</f>
        <v>1552382724376106</v>
      </c>
      <c r="C5827" t="s">
        <v>40</v>
      </c>
      <c r="D5827">
        <v>3.9277920000000002</v>
      </c>
      <c r="E5827">
        <v>0.57442289999999996</v>
      </c>
      <c r="F5827" t="s">
        <v>43</v>
      </c>
      <c r="G5827">
        <v>-304.11040000000003</v>
      </c>
      <c r="H5827" s="1">
        <v>-4.7036080000000004E-6</v>
      </c>
      <c r="I5827">
        <v>-11.333970000000001</v>
      </c>
      <c r="J5827">
        <v>-304.04259999999999</v>
      </c>
      <c r="K5827">
        <v>1.0563800000000001</v>
      </c>
      <c r="L5827">
        <v>5.3569950000000004</v>
      </c>
      <c r="M5827">
        <v>0.51231949999999904</v>
      </c>
      <c r="N5827">
        <v>0</v>
      </c>
      <c r="O5827">
        <v>-0.85867909999999903</v>
      </c>
      <c r="P5827">
        <v>0.1973018</v>
      </c>
      <c r="Q5827">
        <v>0.15746070000000001</v>
      </c>
      <c r="R5827">
        <v>-0.96761490000000006</v>
      </c>
      <c r="S5827">
        <v>2.1057129999999999E-3</v>
      </c>
      <c r="T5827">
        <v>-0.1967971</v>
      </c>
      <c r="U5827">
        <v>-3.1374209999999998</v>
      </c>
      <c r="V5827">
        <v>0.32813930000000002</v>
      </c>
      <c r="W5827">
        <v>0.1671089</v>
      </c>
      <c r="X5827">
        <v>0.92973070000000002</v>
      </c>
      <c r="Y5827">
        <v>0.51171860000000002</v>
      </c>
      <c r="Z5827">
        <v>4.4940180000000003E-2</v>
      </c>
      <c r="AA5827">
        <v>0.85797699999999999</v>
      </c>
      <c r="AB5827">
        <v>17</v>
      </c>
      <c r="AC5827">
        <v>-6.7800000000033805E-2</v>
      </c>
      <c r="AD5827">
        <v>-1.0563847036080001</v>
      </c>
      <c r="AE5827">
        <v>-16.690964999999998</v>
      </c>
      <c r="AF5827">
        <v>8.5758298902157595</v>
      </c>
      <c r="AG5827">
        <v>-1.0563847036080001</v>
      </c>
      <c r="AH5827">
        <v>14.241821967350701</v>
      </c>
      <c r="AI5827">
        <v>93.635903556766095</v>
      </c>
      <c r="AJ5827">
        <v>58.945406659052502</v>
      </c>
      <c r="AK5827">
        <v>16.658040097731998</v>
      </c>
      <c r="AL5827">
        <v>80.380233072708904</v>
      </c>
      <c r="AM5827">
        <v>70.560017070590305</v>
      </c>
      <c r="AN5827">
        <v>0.99999997959309395</v>
      </c>
    </row>
    <row r="5828" spans="1:40" x14ac:dyDescent="0.25">
      <c r="A5828" t="str">
        <f>"20190312172524409"</f>
        <v>20190312172524409</v>
      </c>
      <c r="B5828" t="str">
        <f>"1552382724396602"</f>
        <v>1552382724396602</v>
      </c>
      <c r="C5828" t="s">
        <v>40</v>
      </c>
      <c r="D5828">
        <v>3.968372</v>
      </c>
      <c r="E5828">
        <v>0.57299820000000001</v>
      </c>
      <c r="F5828" t="s">
        <v>43</v>
      </c>
      <c r="G5828">
        <v>-303.88069999999999</v>
      </c>
      <c r="H5828" s="1">
        <v>-4.7529930000000001E-6</v>
      </c>
      <c r="I5828">
        <v>-11.069129999999999</v>
      </c>
      <c r="J5828">
        <v>-303.9579</v>
      </c>
      <c r="K5828">
        <v>1.0563929999999999</v>
      </c>
      <c r="L5828">
        <v>5.1924739999999998</v>
      </c>
      <c r="M5828">
        <v>0.50404199999999999</v>
      </c>
      <c r="N5828">
        <v>0</v>
      </c>
      <c r="O5828">
        <v>-0.8635642</v>
      </c>
      <c r="P5828">
        <v>0.18951499999999999</v>
      </c>
      <c r="Q5828">
        <v>0.156894899999999</v>
      </c>
      <c r="R5828">
        <v>-0.96926190000000001</v>
      </c>
      <c r="S5828">
        <v>3.0822749999999999E-2</v>
      </c>
      <c r="T5828">
        <v>-0.2010903</v>
      </c>
      <c r="U5828">
        <v>-3.1268310000000001</v>
      </c>
      <c r="V5828">
        <v>0.32670860000000002</v>
      </c>
      <c r="W5828">
        <v>0.16657339999999901</v>
      </c>
      <c r="X5828">
        <v>0.93033049999999995</v>
      </c>
      <c r="Y5828">
        <v>0.49549349999999998</v>
      </c>
      <c r="Z5828">
        <v>4.6855220000000003E-2</v>
      </c>
      <c r="AA5828">
        <v>0.86734690000000003</v>
      </c>
      <c r="AB5828">
        <v>17</v>
      </c>
      <c r="AC5828">
        <v>7.7200000000004806E-2</v>
      </c>
      <c r="AD5828">
        <v>-1.056397752993</v>
      </c>
      <c r="AE5828">
        <v>-16.261603999999998</v>
      </c>
      <c r="AF5828">
        <v>8.0965036848378098</v>
      </c>
      <c r="AG5828">
        <v>-1.056397752993</v>
      </c>
      <c r="AH5828">
        <v>14.0240667968037</v>
      </c>
      <c r="AI5828">
        <v>93.732465206003198</v>
      </c>
      <c r="AJ5828">
        <v>60.000904102129901</v>
      </c>
      <c r="AK5828">
        <v>16.2278710141637</v>
      </c>
      <c r="AL5828">
        <v>80.411351541624995</v>
      </c>
      <c r="AM5828">
        <v>70.650011926567004</v>
      </c>
      <c r="AN5828">
        <v>1.0000000230658801</v>
      </c>
    </row>
    <row r="5829" spans="1:40" x14ac:dyDescent="0.25">
      <c r="A5829" t="str">
        <f>"20190312172524431"</f>
        <v>20190312172524431</v>
      </c>
      <c r="B5829" t="str">
        <f>"1552382724425882"</f>
        <v>1552382724425882</v>
      </c>
      <c r="C5829" t="s">
        <v>40</v>
      </c>
      <c r="D5829">
        <v>4.0522720000000003</v>
      </c>
      <c r="E5829">
        <v>0.57153299999999996</v>
      </c>
      <c r="F5829" t="s">
        <v>43</v>
      </c>
      <c r="G5829">
        <v>-303.8691</v>
      </c>
      <c r="H5829" s="1">
        <v>-4.7071600000000002E-6</v>
      </c>
      <c r="I5829">
        <v>-11.197760000000001</v>
      </c>
      <c r="J5829">
        <v>-303.87959999999998</v>
      </c>
      <c r="K5829">
        <v>1.05640499999999</v>
      </c>
      <c r="L5829">
        <v>5.0367739999999896</v>
      </c>
      <c r="M5829">
        <v>0.49620259999999999</v>
      </c>
      <c r="N5829">
        <v>0</v>
      </c>
      <c r="O5829">
        <v>-0.86809249999999905</v>
      </c>
      <c r="P5829">
        <v>0.18295810000000001</v>
      </c>
      <c r="Q5829">
        <v>0.1568242</v>
      </c>
      <c r="R5829">
        <v>-0.97053239999999996</v>
      </c>
      <c r="S5829">
        <v>1.6937259999999999E-2</v>
      </c>
      <c r="T5829">
        <v>-0.2013779</v>
      </c>
      <c r="U5829">
        <v>-3.1244200000000002</v>
      </c>
      <c r="V5829">
        <v>0.32456800000000002</v>
      </c>
      <c r="W5829">
        <v>0.16654330000000001</v>
      </c>
      <c r="X5829">
        <v>0.93108480000000005</v>
      </c>
      <c r="Y5829">
        <v>0.49147410000000002</v>
      </c>
      <c r="Z5829">
        <v>4.746322E-2</v>
      </c>
      <c r="AA5829">
        <v>0.86959789999999904</v>
      </c>
      <c r="AB5829">
        <v>17</v>
      </c>
      <c r="AC5829">
        <v>1.0499999999979E-2</v>
      </c>
      <c r="AD5829">
        <v>-1.0564097071599901</v>
      </c>
      <c r="AE5829">
        <v>-16.234534</v>
      </c>
      <c r="AF5829">
        <v>8.0133700347594896</v>
      </c>
      <c r="AG5829">
        <v>-1.0564097071599901</v>
      </c>
      <c r="AH5829">
        <v>14.040235010183499</v>
      </c>
      <c r="AI5829">
        <v>93.7388076177443</v>
      </c>
      <c r="AJ5829">
        <v>60.284725908278901</v>
      </c>
      <c r="AK5829">
        <v>16.200564802640201</v>
      </c>
      <c r="AL5829">
        <v>80.413100169587395</v>
      </c>
      <c r="AM5829">
        <v>70.781892967546</v>
      </c>
      <c r="AN5829">
        <v>0.99999998109496402</v>
      </c>
    </row>
    <row r="5830" spans="1:40" x14ac:dyDescent="0.25">
      <c r="A5830" t="str">
        <f>"20190312172524453"</f>
        <v>20190312172524453</v>
      </c>
      <c r="B5830" t="str">
        <f>"1552382724446378"</f>
        <v>1552382724446378</v>
      </c>
      <c r="C5830" t="s">
        <v>40</v>
      </c>
      <c r="D5830">
        <v>4.0103559999999998</v>
      </c>
      <c r="E5830">
        <v>0.57012980000000002</v>
      </c>
      <c r="F5830" t="s">
        <v>43</v>
      </c>
      <c r="G5830">
        <v>-303.84179999999998</v>
      </c>
      <c r="H5830" s="1">
        <v>-4.8589719999999996E-6</v>
      </c>
      <c r="I5830">
        <v>-10.73743</v>
      </c>
      <c r="J5830">
        <v>-303.80250000000001</v>
      </c>
      <c r="K5830">
        <v>1.056416</v>
      </c>
      <c r="L5830">
        <v>4.8800660000000002</v>
      </c>
      <c r="M5830">
        <v>0.48830709999999999</v>
      </c>
      <c r="N5830">
        <v>0</v>
      </c>
      <c r="O5830">
        <v>-0.8725581</v>
      </c>
      <c r="P5830">
        <v>0.1758817</v>
      </c>
      <c r="Q5830">
        <v>0.15617929999999999</v>
      </c>
      <c r="R5830">
        <v>-0.97194329999999995</v>
      </c>
      <c r="S5830">
        <v>7.4768069999999898E-3</v>
      </c>
      <c r="T5830">
        <v>-0.20918129999999999</v>
      </c>
      <c r="U5830">
        <v>-3.1234739999999999</v>
      </c>
      <c r="V5830">
        <v>0.32293959999999999</v>
      </c>
      <c r="W5830">
        <v>0.16593160000000001</v>
      </c>
      <c r="X5830">
        <v>0.93176000000000003</v>
      </c>
      <c r="Y5830">
        <v>0.48619499999999999</v>
      </c>
      <c r="Z5830">
        <v>4.9852689999999998E-2</v>
      </c>
      <c r="AA5830">
        <v>0.87242719999999896</v>
      </c>
      <c r="AB5830">
        <v>17</v>
      </c>
      <c r="AC5830">
        <v>-3.9299999999968797E-2</v>
      </c>
      <c r="AD5830">
        <v>-1.0564208589720001</v>
      </c>
      <c r="AE5830">
        <v>-15.617495999999999</v>
      </c>
      <c r="AF5830">
        <v>7.6262913860581296</v>
      </c>
      <c r="AG5830">
        <v>-1.0564208589720001</v>
      </c>
      <c r="AH5830">
        <v>13.5473459381138</v>
      </c>
      <c r="AI5830">
        <v>93.887427660300901</v>
      </c>
      <c r="AJ5830">
        <v>60.623264838030998</v>
      </c>
      <c r="AK5830">
        <v>15.5822632278903</v>
      </c>
      <c r="AL5830">
        <v>80.448642624343293</v>
      </c>
      <c r="AM5830">
        <v>70.884145677653905</v>
      </c>
      <c r="AN5830">
        <v>0.99999998936335899</v>
      </c>
    </row>
    <row r="5831" spans="1:40" x14ac:dyDescent="0.25">
      <c r="A5831" t="str">
        <f>"20190312172524475"</f>
        <v>20190312172524475</v>
      </c>
      <c r="B5831" t="str">
        <f>"1552382724465899"</f>
        <v>1552382724465899</v>
      </c>
      <c r="C5831" t="s">
        <v>40</v>
      </c>
      <c r="D5831">
        <v>4.0198660000000004</v>
      </c>
      <c r="E5831">
        <v>0.54101599999999905</v>
      </c>
      <c r="F5831" t="s">
        <v>43</v>
      </c>
      <c r="G5831">
        <v>-303.82429999999999</v>
      </c>
      <c r="H5831" s="1">
        <v>-4.9007149999999997E-6</v>
      </c>
      <c r="I5831">
        <v>-10.60563</v>
      </c>
      <c r="J5831">
        <v>-303.726</v>
      </c>
      <c r="K5831">
        <v>1.056424</v>
      </c>
      <c r="L5831">
        <v>4.7210080000000003</v>
      </c>
      <c r="M5831">
        <v>0.48028589999999999</v>
      </c>
      <c r="N5831">
        <v>0</v>
      </c>
      <c r="O5831">
        <v>-0.87699879999999997</v>
      </c>
      <c r="P5831">
        <v>0.1691368</v>
      </c>
      <c r="Q5831">
        <v>0.15604709999999999</v>
      </c>
      <c r="R5831">
        <v>-0.97316100000000005</v>
      </c>
      <c r="S5831">
        <v>-4.3945310000000001E-3</v>
      </c>
      <c r="T5831">
        <v>-0.2129537</v>
      </c>
      <c r="U5831">
        <v>-3.121613</v>
      </c>
      <c r="V5831">
        <v>0.32085540000000001</v>
      </c>
      <c r="W5831">
        <v>0.1658384</v>
      </c>
      <c r="X5831">
        <v>0.93249629999999994</v>
      </c>
      <c r="Y5831">
        <v>0.48149229999999998</v>
      </c>
      <c r="Z5831">
        <v>5.131546E-2</v>
      </c>
      <c r="AA5831">
        <v>0.87494680000000002</v>
      </c>
      <c r="AB5831">
        <v>17</v>
      </c>
      <c r="AC5831">
        <v>-9.8299999999994697E-2</v>
      </c>
      <c r="AD5831">
        <v>-1.0564289007150001</v>
      </c>
      <c r="AE5831">
        <v>-15.326638000000001</v>
      </c>
      <c r="AF5831">
        <v>7.41289921531936</v>
      </c>
      <c r="AG5831">
        <v>-1.0564289007150001</v>
      </c>
      <c r="AH5831">
        <v>13.3322219695293</v>
      </c>
      <c r="AI5831">
        <v>93.961617861130094</v>
      </c>
      <c r="AJ5831">
        <v>60.925337265161197</v>
      </c>
      <c r="AK5831">
        <v>15.2910189144984</v>
      </c>
      <c r="AL5831">
        <v>80.454057294384995</v>
      </c>
      <c r="AM5831">
        <v>71.012570502515203</v>
      </c>
      <c r="AN5831">
        <v>0.99999995606870395</v>
      </c>
    </row>
    <row r="5832" spans="1:40" x14ac:dyDescent="0.25">
      <c r="A5832" t="str">
        <f>"20190312172524497"</f>
        <v>20190312172524497</v>
      </c>
      <c r="B5832" t="str">
        <f>"1552382724486395"</f>
        <v>1552382724486395</v>
      </c>
      <c r="C5832" t="s">
        <v>40</v>
      </c>
      <c r="D5832">
        <v>3.9558300000000002</v>
      </c>
      <c r="E5832">
        <v>0.52638809999999903</v>
      </c>
      <c r="F5832" t="s">
        <v>43</v>
      </c>
      <c r="G5832">
        <v>-302.7527</v>
      </c>
      <c r="H5832" s="1">
        <v>-4.313115E-7</v>
      </c>
      <c r="I5832">
        <v>-10.09967</v>
      </c>
      <c r="J5832">
        <v>-303.65219999999999</v>
      </c>
      <c r="K5832">
        <v>1.0564389999999999</v>
      </c>
      <c r="L5832">
        <v>4.5637210000000001</v>
      </c>
      <c r="M5832">
        <v>0.47234900000000002</v>
      </c>
      <c r="N5832">
        <v>0</v>
      </c>
      <c r="O5832">
        <v>-0.8812991</v>
      </c>
      <c r="P5832">
        <v>0.16323850000000001</v>
      </c>
      <c r="Q5832">
        <v>0.1557354</v>
      </c>
      <c r="R5832">
        <v>-0.97421769999999996</v>
      </c>
      <c r="S5832">
        <v>0.20245360000000001</v>
      </c>
      <c r="T5832">
        <v>-0.21974289999999999</v>
      </c>
      <c r="U5832">
        <v>-3.0827939999999998</v>
      </c>
      <c r="V5832">
        <v>0.31809270000000001</v>
      </c>
      <c r="W5832">
        <v>0.1655761</v>
      </c>
      <c r="X5832">
        <v>0.93348900000000001</v>
      </c>
      <c r="Y5832">
        <v>0.4136783</v>
      </c>
      <c r="Z5832">
        <v>5.5285880000000003E-2</v>
      </c>
      <c r="AA5832">
        <v>0.90874290000000002</v>
      </c>
      <c r="AB5832">
        <v>17</v>
      </c>
      <c r="AC5832">
        <v>0.89949999999998898</v>
      </c>
      <c r="AD5832">
        <v>-1.0564394313115</v>
      </c>
      <c r="AE5832">
        <v>-14.663391000000001</v>
      </c>
      <c r="AF5832">
        <v>6.1025604148893402</v>
      </c>
      <c r="AG5832">
        <v>-1.0564394313115</v>
      </c>
      <c r="AH5832">
        <v>13.280359904190099</v>
      </c>
      <c r="AI5832">
        <v>94.134305793614701</v>
      </c>
      <c r="AJ5832">
        <v>65.320381686409306</v>
      </c>
      <c r="AK5832">
        <v>14.653506988916501</v>
      </c>
      <c r="AL5832">
        <v>80.469297680603106</v>
      </c>
      <c r="AM5832">
        <v>71.183108818811405</v>
      </c>
      <c r="AN5832">
        <v>1.00000006190274</v>
      </c>
    </row>
    <row r="5833" spans="1:40" x14ac:dyDescent="0.25">
      <c r="A5833" t="str">
        <f>"20190312172524520"</f>
        <v>20190312172524520</v>
      </c>
      <c r="B5833" t="str">
        <f>"1552382724516651"</f>
        <v>1552382724516651</v>
      </c>
      <c r="C5833" t="s">
        <v>40</v>
      </c>
      <c r="D5833">
        <v>3.9832999999999998</v>
      </c>
      <c r="E5833">
        <v>0.51797720000000003</v>
      </c>
      <c r="F5833" t="s">
        <v>43</v>
      </c>
      <c r="G5833">
        <v>-302.06319999999999</v>
      </c>
      <c r="H5833" s="1">
        <v>-4.2010439999999996E-6</v>
      </c>
      <c r="I5833">
        <v>-11.74367</v>
      </c>
      <c r="J5833">
        <v>-303.57749999999999</v>
      </c>
      <c r="K5833">
        <v>1.0564579999999999</v>
      </c>
      <c r="L5833">
        <v>4.4011230000000001</v>
      </c>
      <c r="M5833">
        <v>0.46413569999999998</v>
      </c>
      <c r="N5833">
        <v>0</v>
      </c>
      <c r="O5833">
        <v>-0.88565239999999901</v>
      </c>
      <c r="P5833">
        <v>0.15755759999999999</v>
      </c>
      <c r="Q5833">
        <v>0.15588479999999999</v>
      </c>
      <c r="R5833">
        <v>-0.97512880000000002</v>
      </c>
      <c r="S5833">
        <v>0.29827880000000001</v>
      </c>
      <c r="T5833">
        <v>-0.19830729999999999</v>
      </c>
      <c r="U5833">
        <v>-3.061096</v>
      </c>
      <c r="V5833">
        <v>0.31483030000000001</v>
      </c>
      <c r="W5833">
        <v>0.1657815</v>
      </c>
      <c r="X5833">
        <v>0.93455790000000005</v>
      </c>
      <c r="Y5833">
        <v>0.37619720000000001</v>
      </c>
      <c r="Z5833">
        <v>5.1167949999999997E-2</v>
      </c>
      <c r="AA5833">
        <v>0.92512570000000005</v>
      </c>
      <c r="AB5833">
        <v>17</v>
      </c>
      <c r="AC5833">
        <v>1.51429999999999</v>
      </c>
      <c r="AD5833">
        <v>-1.0564622010439999</v>
      </c>
      <c r="AE5833">
        <v>-16.144793</v>
      </c>
      <c r="AF5833">
        <v>6.1268340665222798</v>
      </c>
      <c r="AG5833">
        <v>-1.0564622010439999</v>
      </c>
      <c r="AH5833">
        <v>14.939586924443599</v>
      </c>
      <c r="AI5833">
        <v>93.743372789033003</v>
      </c>
      <c r="AJ5833">
        <v>67.701106584492805</v>
      </c>
      <c r="AK5833">
        <v>16.181639766535898</v>
      </c>
      <c r="AL5833">
        <v>80.457364051607797</v>
      </c>
      <c r="AM5833">
        <v>71.382554360247596</v>
      </c>
      <c r="AN5833">
        <v>1.00000004599637</v>
      </c>
    </row>
    <row r="5834" spans="1:40" x14ac:dyDescent="0.25">
      <c r="A5834" t="str">
        <f>"20190312172524543"</f>
        <v>20190312172524543</v>
      </c>
      <c r="B5834" t="str">
        <f>"1552382724536170"</f>
        <v>1552382724536170</v>
      </c>
      <c r="C5834" t="s">
        <v>40</v>
      </c>
      <c r="D5834">
        <v>3.9788230000000002</v>
      </c>
      <c r="E5834">
        <v>0.51501090000000005</v>
      </c>
      <c r="F5834" t="s">
        <v>43</v>
      </c>
      <c r="G5834">
        <v>-301.6148</v>
      </c>
      <c r="H5834" s="1">
        <v>-3.656013E-6</v>
      </c>
      <c r="I5834">
        <v>-12.89015</v>
      </c>
      <c r="J5834">
        <v>-303.5052</v>
      </c>
      <c r="K5834">
        <v>1.0564739999999999</v>
      </c>
      <c r="L5834">
        <v>4.2394100000000003</v>
      </c>
      <c r="M5834">
        <v>0.45596320000000001</v>
      </c>
      <c r="N5834">
        <v>0</v>
      </c>
      <c r="O5834">
        <v>-0.88988750000000005</v>
      </c>
      <c r="P5834">
        <v>0.1522741</v>
      </c>
      <c r="Q5834">
        <v>0.15662490000000001</v>
      </c>
      <c r="R5834">
        <v>-0.97584910000000002</v>
      </c>
      <c r="S5834">
        <v>0.34625240000000002</v>
      </c>
      <c r="T5834">
        <v>-0.18637049999999999</v>
      </c>
      <c r="U5834">
        <v>-3.050354</v>
      </c>
      <c r="V5834">
        <v>0.31122610000000001</v>
      </c>
      <c r="W5834">
        <v>0.1665809</v>
      </c>
      <c r="X5834">
        <v>0.93562230000000002</v>
      </c>
      <c r="Y5834">
        <v>0.3528425</v>
      </c>
      <c r="Z5834">
        <v>4.8899159999999997E-2</v>
      </c>
      <c r="AA5834">
        <v>0.93440409999999996</v>
      </c>
      <c r="AB5834">
        <v>17</v>
      </c>
      <c r="AC5834">
        <v>1.8904000000000001</v>
      </c>
      <c r="AD5834">
        <v>-1.05647765601299</v>
      </c>
      <c r="AE5834">
        <v>-17.129559999999898</v>
      </c>
      <c r="AF5834">
        <v>6.1058652388485903</v>
      </c>
      <c r="AG5834">
        <v>-1.05647765601299</v>
      </c>
      <c r="AH5834">
        <v>16.046622031750701</v>
      </c>
      <c r="AI5834">
        <v>93.521193476297995</v>
      </c>
      <c r="AJ5834">
        <v>69.167788426716101</v>
      </c>
      <c r="AK5834">
        <v>17.2015061544767</v>
      </c>
      <c r="AL5834">
        <v>80.410915365055999</v>
      </c>
      <c r="AM5834">
        <v>71.600772684082997</v>
      </c>
      <c r="AN5834">
        <v>0.99999998491165398</v>
      </c>
    </row>
    <row r="5835" spans="1:40" x14ac:dyDescent="0.25">
      <c r="A5835" t="str">
        <f>"20190312172524564"</f>
        <v>20190312172524564</v>
      </c>
      <c r="B5835" t="str">
        <f>"1552382724556198"</f>
        <v>1552382724556198</v>
      </c>
      <c r="C5835" t="s">
        <v>40</v>
      </c>
      <c r="D5835">
        <v>3.9572989999999999</v>
      </c>
      <c r="E5835">
        <v>0.51308469999999995</v>
      </c>
      <c r="F5835" t="s">
        <v>43</v>
      </c>
      <c r="G5835">
        <v>-301.44920000000002</v>
      </c>
      <c r="H5835" s="1">
        <v>-3.3541129999999999E-6</v>
      </c>
      <c r="I5835">
        <v>-13.491160000000001</v>
      </c>
      <c r="J5835">
        <v>-303.4348</v>
      </c>
      <c r="K5835">
        <v>1.056495</v>
      </c>
      <c r="L5835">
        <v>4.0776979999999998</v>
      </c>
      <c r="M5835">
        <v>0.44778620000000002</v>
      </c>
      <c r="N5835">
        <v>0</v>
      </c>
      <c r="O5835">
        <v>-0.89403009999999905</v>
      </c>
      <c r="P5835">
        <v>0.14739720000000001</v>
      </c>
      <c r="Q5835">
        <v>0.15737129999999999</v>
      </c>
      <c r="R5835">
        <v>-0.9764777</v>
      </c>
      <c r="S5835">
        <v>0.353485099999999</v>
      </c>
      <c r="T5835">
        <v>-0.18163009999999999</v>
      </c>
      <c r="U5835">
        <v>-3.0482480000000001</v>
      </c>
      <c r="V5835">
        <v>0.30725940000000002</v>
      </c>
      <c r="W5835">
        <v>0.16739189999999901</v>
      </c>
      <c r="X5835">
        <v>0.93678799999999995</v>
      </c>
      <c r="Y5835">
        <v>0.34197860000000002</v>
      </c>
      <c r="Z5835">
        <v>4.8170020000000001E-2</v>
      </c>
      <c r="AA5835">
        <v>0.93847230000000004</v>
      </c>
      <c r="AB5835">
        <v>17</v>
      </c>
      <c r="AC5835">
        <v>1.9855999999999701</v>
      </c>
      <c r="AD5835">
        <v>-1.056498354113</v>
      </c>
      <c r="AE5835">
        <v>-17.568857999999999</v>
      </c>
      <c r="AF5835">
        <v>6.0708318941223798</v>
      </c>
      <c r="AG5835">
        <v>-1.056498354113</v>
      </c>
      <c r="AH5835">
        <v>16.538799865744799</v>
      </c>
      <c r="AI5835">
        <v>93.431784296089702</v>
      </c>
      <c r="AJ5835">
        <v>69.843528222801595</v>
      </c>
      <c r="AK5835">
        <v>17.649450123391901</v>
      </c>
      <c r="AL5835">
        <v>80.363787609690803</v>
      </c>
      <c r="AM5835">
        <v>71.840899615563401</v>
      </c>
      <c r="AN5835">
        <v>1.0000000720089799</v>
      </c>
    </row>
    <row r="5836" spans="1:40" x14ac:dyDescent="0.25">
      <c r="A5836" t="str">
        <f>"20190312172524586"</f>
        <v>20190312172524586</v>
      </c>
      <c r="B5836" t="str">
        <f>"1552382724576694"</f>
        <v>1552382724576694</v>
      </c>
      <c r="C5836" t="s">
        <v>40</v>
      </c>
      <c r="D5836">
        <v>3.967606</v>
      </c>
      <c r="E5836">
        <v>0.51134629999999903</v>
      </c>
      <c r="F5836" t="s">
        <v>43</v>
      </c>
      <c r="G5836">
        <v>-301.35289999999998</v>
      </c>
      <c r="H5836" s="1">
        <v>-3.16559E-6</v>
      </c>
      <c r="I5836">
        <v>-13.87093</v>
      </c>
      <c r="J5836">
        <v>-303.36849999999998</v>
      </c>
      <c r="K5836">
        <v>1.0565119999999999</v>
      </c>
      <c r="L5836">
        <v>3.9218139999999999</v>
      </c>
      <c r="M5836">
        <v>0.43989620000000001</v>
      </c>
      <c r="N5836">
        <v>0</v>
      </c>
      <c r="O5836">
        <v>-0.89793849999999997</v>
      </c>
      <c r="P5836">
        <v>0.1426374</v>
      </c>
      <c r="Q5836">
        <v>0.15682179999999901</v>
      </c>
      <c r="R5836">
        <v>-0.97727260000000005</v>
      </c>
      <c r="S5836">
        <v>0.35351559999999999</v>
      </c>
      <c r="T5836">
        <v>-0.1794019</v>
      </c>
      <c r="U5836">
        <v>-3.0478209999999999</v>
      </c>
      <c r="V5836">
        <v>0.30359130000000001</v>
      </c>
      <c r="W5836">
        <v>0.16690439999999901</v>
      </c>
      <c r="X5836">
        <v>0.93806990000000001</v>
      </c>
      <c r="Y5836">
        <v>0.33366639999999997</v>
      </c>
      <c r="Z5836">
        <v>4.8013470000000003E-2</v>
      </c>
      <c r="AA5836">
        <v>0.94146770000000002</v>
      </c>
      <c r="AB5836">
        <v>17</v>
      </c>
      <c r="AC5836">
        <v>2.0156000000000001</v>
      </c>
      <c r="AD5836">
        <v>-1.05651516559</v>
      </c>
      <c r="AE5836">
        <v>-17.792743999999999</v>
      </c>
      <c r="AF5836">
        <v>5.9967947726377604</v>
      </c>
      <c r="AG5836">
        <v>-1.05651516559</v>
      </c>
      <c r="AH5836">
        <v>16.8066055397687</v>
      </c>
      <c r="AI5836">
        <v>93.388356417131405</v>
      </c>
      <c r="AJ5836">
        <v>70.363001376703096</v>
      </c>
      <c r="AK5836">
        <v>17.875675137170099</v>
      </c>
      <c r="AL5836">
        <v>80.392116641210094</v>
      </c>
      <c r="AM5836">
        <v>72.066656520594606</v>
      </c>
      <c r="AN5836">
        <v>0.99999994673052806</v>
      </c>
    </row>
    <row r="5837" spans="1:40" x14ac:dyDescent="0.25">
      <c r="A5837" t="str">
        <f>"20190312172524609"</f>
        <v>20190312172524609</v>
      </c>
      <c r="B5837" t="str">
        <f>"1552382724605974"</f>
        <v>1552382724605974</v>
      </c>
      <c r="C5837" t="s">
        <v>40</v>
      </c>
      <c r="D5837">
        <v>3.961109</v>
      </c>
      <c r="E5837">
        <v>0.50925140000000002</v>
      </c>
      <c r="F5837" t="s">
        <v>43</v>
      </c>
      <c r="G5837">
        <v>-301.31459999999998</v>
      </c>
      <c r="H5837" s="1">
        <v>-3.160721E-6</v>
      </c>
      <c r="I5837">
        <v>-13.85852</v>
      </c>
      <c r="J5837">
        <v>-303.29899999999998</v>
      </c>
      <c r="K5837">
        <v>1.056524</v>
      </c>
      <c r="L5837">
        <v>3.7541199999999999</v>
      </c>
      <c r="M5837">
        <v>0.43140400000000001</v>
      </c>
      <c r="N5837">
        <v>0</v>
      </c>
      <c r="O5837">
        <v>-0.90204930000000005</v>
      </c>
      <c r="P5837">
        <v>0.13816889999999901</v>
      </c>
      <c r="Q5837">
        <v>0.15625069999999999</v>
      </c>
      <c r="R5837">
        <v>-0.97800569999999998</v>
      </c>
      <c r="S5837">
        <v>0.35202030000000001</v>
      </c>
      <c r="T5837">
        <v>-0.18108109999999999</v>
      </c>
      <c r="U5837">
        <v>-3.0474549999999998</v>
      </c>
      <c r="V5837">
        <v>0.29904120000000001</v>
      </c>
      <c r="W5837">
        <v>0.1664079</v>
      </c>
      <c r="X5837">
        <v>0.93961839999999996</v>
      </c>
      <c r="Y5837">
        <v>0.32520680000000002</v>
      </c>
      <c r="Z5837">
        <v>4.891504E-2</v>
      </c>
      <c r="AA5837">
        <v>0.94437700000000002</v>
      </c>
      <c r="AB5837">
        <v>17</v>
      </c>
      <c r="AC5837">
        <v>1.9844000000000499</v>
      </c>
      <c r="AD5837">
        <v>-1.0565271607210001</v>
      </c>
      <c r="AE5837">
        <v>-17.612639999999999</v>
      </c>
      <c r="AF5837">
        <v>5.7881436739552603</v>
      </c>
      <c r="AG5837">
        <v>-1.0565271607210001</v>
      </c>
      <c r="AH5837">
        <v>16.685912252538099</v>
      </c>
      <c r="AI5837">
        <v>93.423441002323202</v>
      </c>
      <c r="AJ5837">
        <v>70.868950610354602</v>
      </c>
      <c r="AK5837">
        <v>17.6928947470754</v>
      </c>
      <c r="AL5837">
        <v>80.420967825543798</v>
      </c>
      <c r="AM5837">
        <v>72.345905200422393</v>
      </c>
      <c r="AN5837">
        <v>0.99999998304920401</v>
      </c>
    </row>
    <row r="5838" spans="1:40" x14ac:dyDescent="0.25">
      <c r="A5838" t="str">
        <f>"20190312172524633"</f>
        <v>20190312172524633</v>
      </c>
      <c r="B5838" t="str">
        <f>"1552382724626470"</f>
        <v>1552382724626470</v>
      </c>
      <c r="C5838" t="s">
        <v>40</v>
      </c>
      <c r="D5838">
        <v>3.9598909999999998</v>
      </c>
      <c r="E5838">
        <v>0.50810599999999995</v>
      </c>
      <c r="F5838" t="s">
        <v>43</v>
      </c>
      <c r="G5838">
        <v>-301.2543</v>
      </c>
      <c r="H5838" s="1">
        <v>-3.1586749999999999E-6</v>
      </c>
      <c r="I5838">
        <v>-13.825889999999999</v>
      </c>
      <c r="J5838">
        <v>-303.23259999999999</v>
      </c>
      <c r="K5838">
        <v>1.0565359999999999</v>
      </c>
      <c r="L5838">
        <v>3.5899049999999999</v>
      </c>
      <c r="M5838">
        <v>0.4230815</v>
      </c>
      <c r="N5838">
        <v>0</v>
      </c>
      <c r="O5838">
        <v>-0.90598259999999997</v>
      </c>
      <c r="P5838">
        <v>0.13307659999999999</v>
      </c>
      <c r="Q5838">
        <v>0.1553882</v>
      </c>
      <c r="R5838">
        <v>-0.97884879999999996</v>
      </c>
      <c r="S5838">
        <v>0.35433959999999998</v>
      </c>
      <c r="T5838">
        <v>-0.18309880000000001</v>
      </c>
      <c r="U5838">
        <v>-3.0466609999999998</v>
      </c>
      <c r="V5838">
        <v>0.29531410000000002</v>
      </c>
      <c r="W5838">
        <v>0.16560800000000001</v>
      </c>
      <c r="X5838">
        <v>0.94093760000000004</v>
      </c>
      <c r="Y5838">
        <v>0.31575409999999998</v>
      </c>
      <c r="Z5838">
        <v>4.9912999999999999E-2</v>
      </c>
      <c r="AA5838">
        <v>0.94752729999999996</v>
      </c>
      <c r="AB5838">
        <v>17</v>
      </c>
      <c r="AC5838">
        <v>1.97829999999999</v>
      </c>
      <c r="AD5838">
        <v>-1.0565391586749999</v>
      </c>
      <c r="AE5838">
        <v>-17.415794999999999</v>
      </c>
      <c r="AF5838">
        <v>5.5563575799448799</v>
      </c>
      <c r="AG5838">
        <v>-1.0565391586749999</v>
      </c>
      <c r="AH5838">
        <v>16.5568727682539</v>
      </c>
      <c r="AI5838">
        <v>93.462000193435003</v>
      </c>
      <c r="AJ5838">
        <v>71.448648352452494</v>
      </c>
      <c r="AK5838">
        <v>17.496268756914201</v>
      </c>
      <c r="AL5838">
        <v>80.467443736564704</v>
      </c>
      <c r="AM5838">
        <v>72.575488537046098</v>
      </c>
      <c r="AN5838">
        <v>0.99999999720828403</v>
      </c>
    </row>
    <row r="5839" spans="1:40" x14ac:dyDescent="0.25">
      <c r="A5839" t="str">
        <f>"20190312172524654"</f>
        <v>20190312172524654</v>
      </c>
      <c r="B5839" t="str">
        <f>"1552382724645990"</f>
        <v>1552382724645990</v>
      </c>
      <c r="C5839" t="s">
        <v>40</v>
      </c>
      <c r="D5839">
        <v>4.0521089999999997</v>
      </c>
      <c r="E5839">
        <v>0.50751179999999996</v>
      </c>
      <c r="F5839" t="s">
        <v>43</v>
      </c>
      <c r="G5839">
        <v>-301.2706</v>
      </c>
      <c r="H5839" s="1">
        <v>-3.2502299999999998E-6</v>
      </c>
      <c r="I5839">
        <v>-13.6226</v>
      </c>
      <c r="J5839">
        <v>-303.16969999999998</v>
      </c>
      <c r="K5839">
        <v>1.056551</v>
      </c>
      <c r="L5839">
        <v>3.429932</v>
      </c>
      <c r="M5839">
        <v>0.41496660000000002</v>
      </c>
      <c r="N5839">
        <v>0</v>
      </c>
      <c r="O5839">
        <v>-0.90972830000000005</v>
      </c>
      <c r="P5839">
        <v>0.12841520000000001</v>
      </c>
      <c r="Q5839">
        <v>0.15510450000000001</v>
      </c>
      <c r="R5839">
        <v>-0.97951650000000001</v>
      </c>
      <c r="S5839">
        <v>0.34735110000000002</v>
      </c>
      <c r="T5839">
        <v>-0.18704970000000001</v>
      </c>
      <c r="U5839">
        <v>-3.0473020000000002</v>
      </c>
      <c r="V5839">
        <v>0.29138130000000001</v>
      </c>
      <c r="W5839">
        <v>0.16538839999999999</v>
      </c>
      <c r="X5839">
        <v>0.94220139999999997</v>
      </c>
      <c r="Y5839">
        <v>0.30944189999999999</v>
      </c>
      <c r="Z5839">
        <v>5.1382999999999998E-2</v>
      </c>
      <c r="AA5839">
        <v>0.94952910000000001</v>
      </c>
      <c r="AB5839">
        <v>17</v>
      </c>
      <c r="AC5839">
        <v>1.89909999999997</v>
      </c>
      <c r="AD5839">
        <v>-1.0565542502299901</v>
      </c>
      <c r="AE5839">
        <v>-17.052531999999999</v>
      </c>
      <c r="AF5839">
        <v>5.3288870945778699</v>
      </c>
      <c r="AG5839">
        <v>-1.0565542502299901</v>
      </c>
      <c r="AH5839">
        <v>16.241256470276301</v>
      </c>
      <c r="AI5839">
        <v>93.537043394023101</v>
      </c>
      <c r="AJ5839">
        <v>71.834919907747206</v>
      </c>
      <c r="AK5839">
        <v>17.125762940194299</v>
      </c>
      <c r="AL5839">
        <v>80.480201191321498</v>
      </c>
      <c r="AM5839">
        <v>72.815470211921706</v>
      </c>
      <c r="AN5839">
        <v>0.99999993150310196</v>
      </c>
    </row>
    <row r="5840" spans="1:40" x14ac:dyDescent="0.25">
      <c r="A5840" t="str">
        <f>"20190312172524676"</f>
        <v>20190312172524676</v>
      </c>
      <c r="B5840" t="str">
        <f>"1552382724666486"</f>
        <v>1552382724666486</v>
      </c>
      <c r="C5840" t="s">
        <v>40</v>
      </c>
      <c r="D5840">
        <v>3.9617079999999998</v>
      </c>
      <c r="E5840">
        <v>0.49566379999999999</v>
      </c>
      <c r="F5840" t="s">
        <v>43</v>
      </c>
      <c r="G5840">
        <v>-301.27100000000002</v>
      </c>
      <c r="H5840" s="1">
        <v>-3.2114799999999898E-6</v>
      </c>
      <c r="I5840">
        <v>-13.71313</v>
      </c>
      <c r="J5840">
        <v>-303.10879999999997</v>
      </c>
      <c r="K5840">
        <v>1.0565639999999901</v>
      </c>
      <c r="L5840">
        <v>3.270966</v>
      </c>
      <c r="M5840">
        <v>0.40689959999999997</v>
      </c>
      <c r="N5840">
        <v>0</v>
      </c>
      <c r="O5840">
        <v>-0.91336479999999998</v>
      </c>
      <c r="P5840">
        <v>0.12397660000000001</v>
      </c>
      <c r="Q5840">
        <v>0.15491460000000001</v>
      </c>
      <c r="R5840">
        <v>-0.98011820000000005</v>
      </c>
      <c r="S5840">
        <v>0.33761600000000003</v>
      </c>
      <c r="T5840">
        <v>-0.18786659999999999</v>
      </c>
      <c r="U5840">
        <v>-3.0482179999999999</v>
      </c>
      <c r="V5840">
        <v>0.2873037</v>
      </c>
      <c r="W5840">
        <v>0.1652642</v>
      </c>
      <c r="X5840">
        <v>0.94347460000000005</v>
      </c>
      <c r="Y5840">
        <v>0.30405219999999999</v>
      </c>
      <c r="Z5840">
        <v>5.1982159999999999E-2</v>
      </c>
      <c r="AA5840">
        <v>0.95123610000000003</v>
      </c>
      <c r="AB5840">
        <v>17</v>
      </c>
      <c r="AC5840">
        <v>1.8378000000000101</v>
      </c>
      <c r="AD5840">
        <v>-1.05656721147999</v>
      </c>
      <c r="AE5840">
        <v>-16.984095999999901</v>
      </c>
      <c r="AF5840">
        <v>5.2128166353648497</v>
      </c>
      <c r="AG5840">
        <v>-1.05656721147999</v>
      </c>
      <c r="AH5840">
        <v>16.200112515949399</v>
      </c>
      <c r="AI5840">
        <v>93.552635002003697</v>
      </c>
      <c r="AJ5840">
        <v>72.163041186393997</v>
      </c>
      <c r="AK5840">
        <v>17.050907221486199</v>
      </c>
      <c r="AL5840">
        <v>80.487417242202994</v>
      </c>
      <c r="AM5840">
        <v>73.063635839736406</v>
      </c>
      <c r="AN5840">
        <v>0.99999999634024495</v>
      </c>
    </row>
    <row r="5841" spans="1:40" x14ac:dyDescent="0.25">
      <c r="A5841" t="str">
        <f>"20190312172524698"</f>
        <v>20190312172524698</v>
      </c>
      <c r="B5841" t="str">
        <f>"1552382724686006"</f>
        <v>1552382724686006</v>
      </c>
      <c r="C5841" t="s">
        <v>40</v>
      </c>
      <c r="D5841">
        <v>3.9375900000000001</v>
      </c>
      <c r="E5841">
        <v>0.49565330000000002</v>
      </c>
      <c r="F5841" t="s">
        <v>43</v>
      </c>
      <c r="G5841">
        <v>-301.02949999999998</v>
      </c>
      <c r="H5841" s="1">
        <v>-3.9323520000000002E-6</v>
      </c>
      <c r="I5841">
        <v>-11.883010000000001</v>
      </c>
      <c r="J5841">
        <v>-303.048</v>
      </c>
      <c r="K5841">
        <v>1.0565800000000001</v>
      </c>
      <c r="L5841">
        <v>3.1080930000000002</v>
      </c>
      <c r="M5841">
        <v>0.39863310000000002</v>
      </c>
      <c r="N5841">
        <v>0</v>
      </c>
      <c r="O5841">
        <v>-0.91700320000000002</v>
      </c>
      <c r="P5841">
        <v>0.11886919999999999</v>
      </c>
      <c r="Q5841">
        <v>0.154621799999999</v>
      </c>
      <c r="R5841">
        <v>-0.98079720000000004</v>
      </c>
      <c r="S5841">
        <v>0.41732789999999997</v>
      </c>
      <c r="T5841">
        <v>-0.2120667</v>
      </c>
      <c r="U5841">
        <v>-3.041595</v>
      </c>
      <c r="V5841">
        <v>0.28369480000000002</v>
      </c>
      <c r="W5841">
        <v>0.16503139999999999</v>
      </c>
      <c r="X5841">
        <v>0.94460670000000002</v>
      </c>
      <c r="Y5841">
        <v>0.27055129999999999</v>
      </c>
      <c r="Z5841">
        <v>5.9418749999999999E-2</v>
      </c>
      <c r="AA5841">
        <v>0.96087009999999995</v>
      </c>
      <c r="AB5841">
        <v>17</v>
      </c>
      <c r="AC5841">
        <v>2.0185000000000102</v>
      </c>
      <c r="AD5841">
        <v>-1.0565839323520001</v>
      </c>
      <c r="AE5841">
        <v>-14.991103000000001</v>
      </c>
      <c r="AF5841">
        <v>4.1053544812806599</v>
      </c>
      <c r="AG5841">
        <v>-1.0565839323520001</v>
      </c>
      <c r="AH5841">
        <v>14.482302015955</v>
      </c>
      <c r="AI5841">
        <v>94.015074330290105</v>
      </c>
      <c r="AJ5841">
        <v>74.173351508859199</v>
      </c>
      <c r="AK5841">
        <v>15.0899760339243</v>
      </c>
      <c r="AL5841">
        <v>80.500941054953302</v>
      </c>
      <c r="AM5841">
        <v>73.283351393062304</v>
      </c>
      <c r="AN5841">
        <v>0.99999996010894399</v>
      </c>
    </row>
    <row r="5842" spans="1:40" x14ac:dyDescent="0.25">
      <c r="A5842" t="str">
        <f>"20190312172524722"</f>
        <v>20190312172524722</v>
      </c>
      <c r="B5842" t="str">
        <f>"1552382724716265"</f>
        <v>1552382724716265</v>
      </c>
      <c r="C5842" t="s">
        <v>40</v>
      </c>
      <c r="D5842">
        <v>3.9657429999999998</v>
      </c>
      <c r="E5842">
        <v>0.49503970000000003</v>
      </c>
      <c r="F5842" t="s">
        <v>43</v>
      </c>
      <c r="G5842">
        <v>-301.01929999999999</v>
      </c>
      <c r="H5842" s="1">
        <v>-3.751815E-6</v>
      </c>
      <c r="I5842">
        <v>-12.29749</v>
      </c>
      <c r="J5842">
        <v>-302.9873</v>
      </c>
      <c r="K5842">
        <v>1.0565990000000001</v>
      </c>
      <c r="L5842">
        <v>2.9407960000000002</v>
      </c>
      <c r="M5842">
        <v>0.39014159999999998</v>
      </c>
      <c r="N5842">
        <v>0</v>
      </c>
      <c r="O5842">
        <v>-0.92064789999999996</v>
      </c>
      <c r="P5842">
        <v>0.1135915</v>
      </c>
      <c r="Q5842">
        <v>0.15502759999999999</v>
      </c>
      <c r="R5842">
        <v>-0.98135810000000001</v>
      </c>
      <c r="S5842">
        <v>0.40072629999999998</v>
      </c>
      <c r="T5842">
        <v>-0.20870659999999999</v>
      </c>
      <c r="U5842">
        <v>-3.0430600000000001</v>
      </c>
      <c r="V5842">
        <v>0.28000700000000001</v>
      </c>
      <c r="W5842">
        <v>0.16549800000000001</v>
      </c>
      <c r="X5842">
        <v>0.94562489999999999</v>
      </c>
      <c r="Y5842">
        <v>0.26685910000000002</v>
      </c>
      <c r="Z5842">
        <v>5.88739E-2</v>
      </c>
      <c r="AA5842">
        <v>0.9619356</v>
      </c>
      <c r="AB5842">
        <v>17</v>
      </c>
      <c r="AC5842">
        <v>1.96800000000001</v>
      </c>
      <c r="AD5842">
        <v>-1.0566027518150001</v>
      </c>
      <c r="AE5842">
        <v>-15.238286</v>
      </c>
      <c r="AF5842">
        <v>4.1142053658048097</v>
      </c>
      <c r="AG5842">
        <v>-1.0566027518150001</v>
      </c>
      <c r="AH5842">
        <v>14.7287005136563</v>
      </c>
      <c r="AI5842">
        <v>93.952442235444707</v>
      </c>
      <c r="AJ5842">
        <v>74.393221928794404</v>
      </c>
      <c r="AK5842">
        <v>15.3289828099629</v>
      </c>
      <c r="AL5842">
        <v>80.473834290975205</v>
      </c>
      <c r="AM5842">
        <v>73.505562457629793</v>
      </c>
      <c r="AN5842">
        <v>0.99999997977650401</v>
      </c>
    </row>
    <row r="5843" spans="1:40" x14ac:dyDescent="0.25">
      <c r="A5843" t="str">
        <f>"20190312172524743"</f>
        <v>20190312172524743</v>
      </c>
      <c r="B5843" t="str">
        <f>"1552382724735782"</f>
        <v>1552382724735782</v>
      </c>
      <c r="C5843" t="s">
        <v>40</v>
      </c>
      <c r="D5843">
        <v>3.9856600000000002</v>
      </c>
      <c r="E5843">
        <v>0.49469099999999999</v>
      </c>
      <c r="F5843" t="s">
        <v>43</v>
      </c>
      <c r="G5843">
        <v>-300.97359999999998</v>
      </c>
      <c r="H5843" s="1">
        <v>-3.5187170000000001E-6</v>
      </c>
      <c r="I5843">
        <v>-12.8125</v>
      </c>
      <c r="J5843">
        <v>-302.93079999999998</v>
      </c>
      <c r="K5843">
        <v>1.0566230000000001</v>
      </c>
      <c r="L5843">
        <v>2.7802120000000001</v>
      </c>
      <c r="M5843">
        <v>0.38200460000000003</v>
      </c>
      <c r="N5843">
        <v>0</v>
      </c>
      <c r="O5843">
        <v>-0.92405400000000004</v>
      </c>
      <c r="P5843">
        <v>0.10883950000000001</v>
      </c>
      <c r="Q5843">
        <v>0.15554499999999999</v>
      </c>
      <c r="R5843">
        <v>-0.98181450000000003</v>
      </c>
      <c r="S5843">
        <v>0.38912960000000002</v>
      </c>
      <c r="T5843">
        <v>-0.20417940000000001</v>
      </c>
      <c r="U5843">
        <v>-3.0441889999999998</v>
      </c>
      <c r="V5843">
        <v>0.27619529999999998</v>
      </c>
      <c r="W5843">
        <v>0.16607920000000001</v>
      </c>
      <c r="X5843">
        <v>0.94664349999999997</v>
      </c>
      <c r="Y5843">
        <v>0.26199660000000002</v>
      </c>
      <c r="Z5843">
        <v>5.7973520000000001E-2</v>
      </c>
      <c r="AA5843">
        <v>0.96332589999999996</v>
      </c>
      <c r="AB5843">
        <v>17</v>
      </c>
      <c r="AC5843">
        <v>1.9572000000000001</v>
      </c>
      <c r="AD5843">
        <v>-1.0566265187170001</v>
      </c>
      <c r="AE5843">
        <v>-15.592712000000001</v>
      </c>
      <c r="AF5843">
        <v>4.1296680102557799</v>
      </c>
      <c r="AG5843">
        <v>-1.0566265187170001</v>
      </c>
      <c r="AH5843">
        <v>15.089442442697599</v>
      </c>
      <c r="AI5843">
        <v>93.863916809961495</v>
      </c>
      <c r="AJ5843">
        <v>74.694122896151896</v>
      </c>
      <c r="AK5843">
        <v>15.6799837597642</v>
      </c>
      <c r="AL5843">
        <v>80.440067170523704</v>
      </c>
      <c r="AM5843">
        <v>73.734722462585097</v>
      </c>
      <c r="AN5843">
        <v>1.0000000302534799</v>
      </c>
    </row>
    <row r="5844" spans="1:40" x14ac:dyDescent="0.25">
      <c r="A5844" t="str">
        <f>"20190312172524766"</f>
        <v>20190312172524766</v>
      </c>
      <c r="B5844" t="str">
        <f>"1552382724756278"</f>
        <v>1552382724756278</v>
      </c>
      <c r="C5844" t="s">
        <v>40</v>
      </c>
      <c r="D5844">
        <v>3.9671180000000001</v>
      </c>
      <c r="E5844">
        <v>0.4943168</v>
      </c>
      <c r="F5844" t="s">
        <v>43</v>
      </c>
      <c r="G5844">
        <v>-300.96539999999999</v>
      </c>
      <c r="H5844" s="1">
        <v>-3.4091539999999999E-6</v>
      </c>
      <c r="I5844">
        <v>-13.062849999999999</v>
      </c>
      <c r="J5844">
        <v>-302.87479999999999</v>
      </c>
      <c r="K5844">
        <v>1.056659</v>
      </c>
      <c r="L5844">
        <v>2.6168520000000002</v>
      </c>
      <c r="M5844">
        <v>0.37374200000000002</v>
      </c>
      <c r="N5844">
        <v>0</v>
      </c>
      <c r="O5844">
        <v>-0.9274268</v>
      </c>
      <c r="P5844">
        <v>0.1039606</v>
      </c>
      <c r="Q5844">
        <v>0.15597929999999999</v>
      </c>
      <c r="R5844">
        <v>-0.98227439999999999</v>
      </c>
      <c r="S5844">
        <v>0.37783810000000001</v>
      </c>
      <c r="T5844">
        <v>-0.20313909999999999</v>
      </c>
      <c r="U5844">
        <v>-3.045868</v>
      </c>
      <c r="V5844">
        <v>0.27240490000000001</v>
      </c>
      <c r="W5844">
        <v>0.166579</v>
      </c>
      <c r="X5844">
        <v>0.94765339999999998</v>
      </c>
      <c r="Y5844">
        <v>0.25696200000000002</v>
      </c>
      <c r="Z5844">
        <v>5.803531E-2</v>
      </c>
      <c r="AA5844">
        <v>0.96467740000000002</v>
      </c>
      <c r="AB5844">
        <v>17</v>
      </c>
      <c r="AC5844">
        <v>1.9094</v>
      </c>
      <c r="AD5844">
        <v>-1.056662409154</v>
      </c>
      <c r="AE5844">
        <v>-15.679702000000001</v>
      </c>
      <c r="AF5844">
        <v>4.0715156928904896</v>
      </c>
      <c r="AG5844">
        <v>-1.056662409154</v>
      </c>
      <c r="AH5844">
        <v>15.188925345729301</v>
      </c>
      <c r="AI5844">
        <v>93.844248119227501</v>
      </c>
      <c r="AJ5844">
        <v>74.994173904965905</v>
      </c>
      <c r="AK5844">
        <v>15.7606227238174</v>
      </c>
      <c r="AL5844">
        <v>80.411025718766595</v>
      </c>
      <c r="AM5844">
        <v>73.962595010764701</v>
      </c>
      <c r="AN5844">
        <v>0.99999997965828402</v>
      </c>
    </row>
    <row r="5845" spans="1:40" x14ac:dyDescent="0.25">
      <c r="A5845" t="str">
        <f>"20190312172524788"</f>
        <v>20190312172524788</v>
      </c>
      <c r="B5845" t="str">
        <f>"1552382724776774"</f>
        <v>1552382724776774</v>
      </c>
      <c r="C5845" t="s">
        <v>40</v>
      </c>
      <c r="D5845">
        <v>3.9663849999999998</v>
      </c>
      <c r="E5845">
        <v>0.49415340000000002</v>
      </c>
      <c r="F5845" t="s">
        <v>43</v>
      </c>
      <c r="G5845">
        <v>-300.9631</v>
      </c>
      <c r="H5845" s="1">
        <v>-3.3129730000000002E-6</v>
      </c>
      <c r="I5845">
        <v>-13.28558</v>
      </c>
      <c r="J5845">
        <v>-302.82100000000003</v>
      </c>
      <c r="K5845">
        <v>1.0566990000000001</v>
      </c>
      <c r="L5845">
        <v>2.4552</v>
      </c>
      <c r="M5845">
        <v>0.36559049999999998</v>
      </c>
      <c r="N5845">
        <v>0</v>
      </c>
      <c r="O5845">
        <v>-0.93067040000000001</v>
      </c>
      <c r="P5845">
        <v>9.8627450000000005E-2</v>
      </c>
      <c r="Q5845">
        <v>0.15663629999999901</v>
      </c>
      <c r="R5845">
        <v>-0.98271969999999997</v>
      </c>
      <c r="S5845">
        <v>0.36636350000000001</v>
      </c>
      <c r="T5845">
        <v>-0.20249700000000001</v>
      </c>
      <c r="U5845">
        <v>-3.0475159999999999</v>
      </c>
      <c r="V5845">
        <v>0.269179</v>
      </c>
      <c r="W5845">
        <v>0.16729459999999999</v>
      </c>
      <c r="X5845">
        <v>0.94844879999999998</v>
      </c>
      <c r="Y5845">
        <v>0.25212289999999998</v>
      </c>
      <c r="Z5845">
        <v>5.8192670000000002E-2</v>
      </c>
      <c r="AA5845">
        <v>0.96594389999999997</v>
      </c>
      <c r="AB5845">
        <v>17</v>
      </c>
      <c r="AC5845">
        <v>1.8578999999999699</v>
      </c>
      <c r="AD5845">
        <v>-1.056702312973</v>
      </c>
      <c r="AE5845">
        <v>-15.740780000000001</v>
      </c>
      <c r="AF5845">
        <v>4.0081668740184604</v>
      </c>
      <c r="AG5845">
        <v>-1.056702312973</v>
      </c>
      <c r="AH5845">
        <v>15.2623755557377</v>
      </c>
      <c r="AI5845">
        <v>93.831094802594706</v>
      </c>
      <c r="AJ5845">
        <v>75.285398152932103</v>
      </c>
      <c r="AK5845">
        <v>15.815249889666701</v>
      </c>
      <c r="AL5845">
        <v>80.369441251115603</v>
      </c>
      <c r="AM5845">
        <v>74.155541961077802</v>
      </c>
      <c r="AN5845">
        <v>0.99999997172579902</v>
      </c>
    </row>
    <row r="5846" spans="1:40" x14ac:dyDescent="0.25">
      <c r="A5846" t="str">
        <f>"20190312172524810"</f>
        <v>20190312172524810</v>
      </c>
      <c r="B5846" t="str">
        <f>"1552382724806054"</f>
        <v>1552382724806054</v>
      </c>
      <c r="C5846" t="s">
        <v>40</v>
      </c>
      <c r="D5846">
        <v>4.0168460000000001</v>
      </c>
      <c r="E5846">
        <v>0.49651590000000001</v>
      </c>
      <c r="F5846" t="s">
        <v>43</v>
      </c>
      <c r="G5846">
        <v>-300.96929999999998</v>
      </c>
      <c r="H5846" s="1">
        <v>-3.1685280000000002E-6</v>
      </c>
      <c r="I5846">
        <v>-13.626139999999999</v>
      </c>
      <c r="J5846">
        <v>-302.76639999999998</v>
      </c>
      <c r="K5846">
        <v>1.0567489999999999</v>
      </c>
      <c r="L5846">
        <v>2.2862550000000001</v>
      </c>
      <c r="M5846">
        <v>0.3571204</v>
      </c>
      <c r="N5846">
        <v>0</v>
      </c>
      <c r="O5846">
        <v>-0.93395329999999999</v>
      </c>
      <c r="P5846">
        <v>9.3033749999999998E-2</v>
      </c>
      <c r="Q5846">
        <v>0.15752479999999999</v>
      </c>
      <c r="R5846">
        <v>-0.98312299999999997</v>
      </c>
      <c r="S5846">
        <v>0.35113529999999998</v>
      </c>
      <c r="T5846">
        <v>-0.2003781</v>
      </c>
      <c r="U5846">
        <v>-3.0494379999999999</v>
      </c>
      <c r="V5846">
        <v>0.26588869999999998</v>
      </c>
      <c r="W5846">
        <v>0.16824790000000001</v>
      </c>
      <c r="X5846">
        <v>0.94920800000000005</v>
      </c>
      <c r="Y5846">
        <v>0.24815709999999999</v>
      </c>
      <c r="Z5846">
        <v>5.7916500000000003E-2</v>
      </c>
      <c r="AA5846">
        <v>0.96698700000000004</v>
      </c>
      <c r="AB5846">
        <v>17</v>
      </c>
      <c r="AC5846">
        <v>1.7970999999999999</v>
      </c>
      <c r="AD5846">
        <v>-1.0567521685279999</v>
      </c>
      <c r="AE5846">
        <v>-15.912395</v>
      </c>
      <c r="AF5846">
        <v>3.9872625340938299</v>
      </c>
      <c r="AG5846">
        <v>-1.0567521685279999</v>
      </c>
      <c r="AH5846">
        <v>15.4375087180139</v>
      </c>
      <c r="AI5846">
        <v>93.7919318690507</v>
      </c>
      <c r="AJ5846">
        <v>75.517912636641597</v>
      </c>
      <c r="AK5846">
        <v>15.9791008220185</v>
      </c>
      <c r="AL5846">
        <v>80.314036059767702</v>
      </c>
      <c r="AM5846">
        <v>74.351570912482003</v>
      </c>
      <c r="AN5846">
        <v>0.99999999195305</v>
      </c>
    </row>
    <row r="5847" spans="1:40" x14ac:dyDescent="0.25">
      <c r="A5847" t="str">
        <f>"20190312172524833"</f>
        <v>20190312172524833</v>
      </c>
      <c r="B5847" t="str">
        <f>"1552382724826550"</f>
        <v>1552382724826550</v>
      </c>
      <c r="C5847" t="s">
        <v>40</v>
      </c>
      <c r="D5847">
        <v>4.0219899999999997</v>
      </c>
      <c r="E5847">
        <v>0.52185369999999998</v>
      </c>
      <c r="F5847" t="s">
        <v>43</v>
      </c>
      <c r="G5847">
        <v>-301.09890000000001</v>
      </c>
      <c r="H5847" s="1">
        <v>-3.1011540000000001E-6</v>
      </c>
      <c r="I5847">
        <v>-13.86356</v>
      </c>
      <c r="J5847">
        <v>-302.71480000000003</v>
      </c>
      <c r="K5847">
        <v>1.056813</v>
      </c>
      <c r="L5847">
        <v>2.121826</v>
      </c>
      <c r="M5847">
        <v>0.34894229999999998</v>
      </c>
      <c r="N5847">
        <v>0</v>
      </c>
      <c r="O5847">
        <v>-0.93703979999999998</v>
      </c>
      <c r="P5847">
        <v>8.7463239999999998E-2</v>
      </c>
      <c r="Q5847">
        <v>0.15726109999999999</v>
      </c>
      <c r="R5847">
        <v>-0.98367640000000001</v>
      </c>
      <c r="S5847">
        <v>0.31530760000000002</v>
      </c>
      <c r="T5847">
        <v>-0.1998154</v>
      </c>
      <c r="U5847">
        <v>-3.0536799999999999</v>
      </c>
      <c r="V5847">
        <v>0.26294650000000003</v>
      </c>
      <c r="W5847">
        <v>0.16805239999999999</v>
      </c>
      <c r="X5847">
        <v>0.95006190000000001</v>
      </c>
      <c r="Y5847">
        <v>0.25105119999999997</v>
      </c>
      <c r="Z5847">
        <v>5.7981089999999999E-2</v>
      </c>
      <c r="AA5847">
        <v>0.96623579999999998</v>
      </c>
      <c r="AB5847">
        <v>17</v>
      </c>
      <c r="AC5847">
        <v>1.6159000000000101</v>
      </c>
      <c r="AD5847">
        <v>-1.056816101154</v>
      </c>
      <c r="AE5847">
        <v>-15.985386</v>
      </c>
      <c r="AF5847">
        <v>4.0467043247975703</v>
      </c>
      <c r="AG5847">
        <v>-1.056816101154</v>
      </c>
      <c r="AH5847">
        <v>15.477356850474299</v>
      </c>
      <c r="AI5847">
        <v>93.779511306050196</v>
      </c>
      <c r="AJ5847">
        <v>75.347475365456006</v>
      </c>
      <c r="AK5847">
        <v>16.0325060811128</v>
      </c>
      <c r="AL5847">
        <v>80.325399672696506</v>
      </c>
      <c r="AM5847">
        <v>74.529627562084201</v>
      </c>
      <c r="AN5847">
        <v>1.0000000424197999</v>
      </c>
    </row>
    <row r="5848" spans="1:40" x14ac:dyDescent="0.25">
      <c r="A5848" t="str">
        <f>"20190312172524856"</f>
        <v>20190312172524856</v>
      </c>
      <c r="B5848" t="str">
        <f>"1552382724846070"</f>
        <v>1552382724846070</v>
      </c>
      <c r="C5848" t="s">
        <v>40</v>
      </c>
      <c r="D5848">
        <v>4.012893</v>
      </c>
      <c r="E5848">
        <v>0.52177209999999996</v>
      </c>
      <c r="F5848" t="s">
        <v>43</v>
      </c>
      <c r="G5848">
        <v>-302.27730000000003</v>
      </c>
      <c r="H5848" s="1">
        <v>-4.2697059999999997E-6</v>
      </c>
      <c r="I5848">
        <v>-11.65353</v>
      </c>
      <c r="J5848">
        <v>-302.66230000000002</v>
      </c>
      <c r="K5848">
        <v>1.0568949999999999</v>
      </c>
      <c r="L5848">
        <v>1.9496770000000001</v>
      </c>
      <c r="M5848">
        <v>0.34047739999999999</v>
      </c>
      <c r="N5848">
        <v>0</v>
      </c>
      <c r="O5848">
        <v>-0.94014889999999995</v>
      </c>
      <c r="P5848">
        <v>8.2111630000000005E-2</v>
      </c>
      <c r="Q5848">
        <v>0.15682979999999899</v>
      </c>
      <c r="R5848">
        <v>-0.98420660000000004</v>
      </c>
      <c r="S5848">
        <v>9.7778320000000002E-2</v>
      </c>
      <c r="T5848">
        <v>-0.23620360000000001</v>
      </c>
      <c r="U5848">
        <v>-3.0788570000000002</v>
      </c>
      <c r="V5848">
        <v>0.25952150000000002</v>
      </c>
      <c r="W5848">
        <v>0.16770409999999999</v>
      </c>
      <c r="X5848">
        <v>0.95106460000000004</v>
      </c>
      <c r="Y5848">
        <v>0.31054599999999999</v>
      </c>
      <c r="Z5848">
        <v>6.774811E-2</v>
      </c>
      <c r="AA5848">
        <v>0.94814100000000001</v>
      </c>
      <c r="AB5848">
        <v>17</v>
      </c>
      <c r="AC5848">
        <v>0.38499999999999002</v>
      </c>
      <c r="AD5848">
        <v>-1.056899269706</v>
      </c>
      <c r="AE5848">
        <v>-13.603206999999999</v>
      </c>
      <c r="AF5848">
        <v>4.2444429347851704</v>
      </c>
      <c r="AG5848">
        <v>-1.056899269706</v>
      </c>
      <c r="AH5848">
        <v>12.8439148678336</v>
      </c>
      <c r="AI5848">
        <v>94.467569275983706</v>
      </c>
      <c r="AJ5848">
        <v>71.713173320714006</v>
      </c>
      <c r="AK5848">
        <v>13.5682895394044</v>
      </c>
      <c r="AL5848">
        <v>80.3456424225364</v>
      </c>
      <c r="AM5848">
        <v>74.737017592743399</v>
      </c>
      <c r="AN5848">
        <v>0.99999997374610905</v>
      </c>
    </row>
    <row r="5849" spans="1:40" x14ac:dyDescent="0.25">
      <c r="A5849" t="str">
        <f>"20190312172524877"</f>
        <v>20190312172524877</v>
      </c>
      <c r="B5849" t="str">
        <f>"1552382724866566"</f>
        <v>1552382724866566</v>
      </c>
      <c r="C5849" t="s">
        <v>40</v>
      </c>
      <c r="D5849">
        <v>4.0122179999999998</v>
      </c>
      <c r="E5849">
        <v>0.52159140000000004</v>
      </c>
      <c r="F5849" t="s">
        <v>43</v>
      </c>
      <c r="G5849">
        <v>-302.3021</v>
      </c>
      <c r="H5849" s="1">
        <v>-4.2921790000000002E-6</v>
      </c>
      <c r="I5849">
        <v>-11.600379999999999</v>
      </c>
      <c r="J5849">
        <v>-302.61649999999997</v>
      </c>
      <c r="K5849">
        <v>1.0569770000000001</v>
      </c>
      <c r="L5849">
        <v>1.79538</v>
      </c>
      <c r="M5849">
        <v>0.3330034</v>
      </c>
      <c r="N5849">
        <v>0</v>
      </c>
      <c r="O5849">
        <v>-0.9428223</v>
      </c>
      <c r="P5849">
        <v>7.7991690000000002E-2</v>
      </c>
      <c r="Q5849">
        <v>0.15660679999999999</v>
      </c>
      <c r="R5849">
        <v>-0.98457689999999998</v>
      </c>
      <c r="S5849">
        <v>8.1878660000000006E-2</v>
      </c>
      <c r="T5849">
        <v>-0.2402067</v>
      </c>
      <c r="U5849">
        <v>-3.07959</v>
      </c>
      <c r="V5849">
        <v>0.25591380000000002</v>
      </c>
      <c r="W5849">
        <v>0.16756960000000001</v>
      </c>
      <c r="X5849">
        <v>0.95206539999999995</v>
      </c>
      <c r="Y5849">
        <v>0.307899599999999</v>
      </c>
      <c r="Z5849">
        <v>6.9220569999999995E-2</v>
      </c>
      <c r="AA5849">
        <v>0.9488974</v>
      </c>
      <c r="AB5849">
        <v>17</v>
      </c>
      <c r="AC5849">
        <v>0.31439999999997698</v>
      </c>
      <c r="AD5849">
        <v>-1.0569812921789901</v>
      </c>
      <c r="AE5849">
        <v>-13.395759999999999</v>
      </c>
      <c r="AF5849">
        <v>4.1390610045513698</v>
      </c>
      <c r="AG5849">
        <v>-1.0569812921789901</v>
      </c>
      <c r="AH5849">
        <v>12.6570009105116</v>
      </c>
      <c r="AI5849">
        <v>94.538239760106407</v>
      </c>
      <c r="AJ5849">
        <v>71.891348588548595</v>
      </c>
      <c r="AK5849">
        <v>13.3584695044045</v>
      </c>
      <c r="AL5849">
        <v>80.353459431895203</v>
      </c>
      <c r="AM5849">
        <v>74.954604900285105</v>
      </c>
      <c r="AN5849">
        <v>0.99999998487587904</v>
      </c>
    </row>
    <row r="5850" spans="1:40" x14ac:dyDescent="0.25">
      <c r="A5850" t="str">
        <f>"20190312172524899"</f>
        <v>20190312172524899</v>
      </c>
      <c r="B5850" t="str">
        <f>"1552382724896822"</f>
        <v>1552382724896822</v>
      </c>
      <c r="C5850" t="s">
        <v>40</v>
      </c>
      <c r="D5850">
        <v>4.0093420000000002</v>
      </c>
      <c r="E5850">
        <v>0.52097479999999996</v>
      </c>
      <c r="F5850" t="s">
        <v>43</v>
      </c>
      <c r="G5850">
        <v>-302.30869999999999</v>
      </c>
      <c r="H5850" s="1">
        <v>-4.2599139999999996E-6</v>
      </c>
      <c r="I5850">
        <v>-11.69866</v>
      </c>
      <c r="J5850">
        <v>-302.5693</v>
      </c>
      <c r="K5850">
        <v>1.0570870000000001</v>
      </c>
      <c r="L5850">
        <v>1.63208</v>
      </c>
      <c r="M5850">
        <v>0.32523049999999998</v>
      </c>
      <c r="N5850">
        <v>0</v>
      </c>
      <c r="O5850">
        <v>-0.94553209999999999</v>
      </c>
      <c r="P5850">
        <v>7.3256660000000001E-2</v>
      </c>
      <c r="Q5850">
        <v>0.15627449999999901</v>
      </c>
      <c r="R5850">
        <v>-0.98499360000000002</v>
      </c>
      <c r="S5850">
        <v>7.0251460000000002E-2</v>
      </c>
      <c r="T5850">
        <v>-0.24123939999999999</v>
      </c>
      <c r="U5850">
        <v>-3.0798030000000001</v>
      </c>
      <c r="V5850">
        <v>0.2526119</v>
      </c>
      <c r="W5850">
        <v>0.1673299</v>
      </c>
      <c r="X5850">
        <v>0.95298890000000003</v>
      </c>
      <c r="Y5850">
        <v>0.30364780000000002</v>
      </c>
      <c r="Z5850">
        <v>6.9883100000000004E-2</v>
      </c>
      <c r="AA5850">
        <v>0.95021800000000001</v>
      </c>
      <c r="AB5850">
        <v>17</v>
      </c>
      <c r="AC5850">
        <v>0.26060000000000999</v>
      </c>
      <c r="AD5850">
        <v>-1.0570912599140001</v>
      </c>
      <c r="AE5850">
        <v>-13.330739999999899</v>
      </c>
      <c r="AF5850">
        <v>4.06400966249823</v>
      </c>
      <c r="AG5850">
        <v>-1.0570912599140001</v>
      </c>
      <c r="AH5850">
        <v>12.6113591356452</v>
      </c>
      <c r="AI5850">
        <v>94.561422331215795</v>
      </c>
      <c r="AJ5850">
        <v>72.138467465096497</v>
      </c>
      <c r="AK5850">
        <v>13.2921027575357</v>
      </c>
      <c r="AL5850">
        <v>80.367389634701595</v>
      </c>
      <c r="AM5850">
        <v>75.1538495169074</v>
      </c>
      <c r="AN5850">
        <v>0.99999995548941401</v>
      </c>
    </row>
    <row r="5851" spans="1:40" x14ac:dyDescent="0.25">
      <c r="A5851" t="str">
        <f>"20190312172524924"</f>
        <v>20190312172524924</v>
      </c>
      <c r="B5851" t="str">
        <f>"1552382724916342"</f>
        <v>1552382724916342</v>
      </c>
      <c r="C5851" t="s">
        <v>40</v>
      </c>
      <c r="D5851">
        <v>4.0048659999999998</v>
      </c>
      <c r="E5851">
        <v>0.52048850000000002</v>
      </c>
      <c r="F5851" t="s">
        <v>43</v>
      </c>
      <c r="G5851">
        <v>-302.30599999999998</v>
      </c>
      <c r="H5851" s="1">
        <v>-4.2643519999999997E-6</v>
      </c>
      <c r="I5851">
        <v>-11.684200000000001</v>
      </c>
      <c r="J5851">
        <v>-302.51990000000001</v>
      </c>
      <c r="K5851">
        <v>1.0572170000000001</v>
      </c>
      <c r="L5851">
        <v>1.4558409999999999</v>
      </c>
      <c r="M5851">
        <v>0.31704329999999997</v>
      </c>
      <c r="N5851">
        <v>0</v>
      </c>
      <c r="O5851">
        <v>-0.94830919999999996</v>
      </c>
      <c r="P5851">
        <v>6.7737179999999994E-2</v>
      </c>
      <c r="Q5851">
        <v>0.1557114</v>
      </c>
      <c r="R5851">
        <v>-0.98547779999999996</v>
      </c>
      <c r="S5851">
        <v>6.0913090000000003E-2</v>
      </c>
      <c r="T5851">
        <v>-0.2444973</v>
      </c>
      <c r="U5851">
        <v>-3.0799560000000001</v>
      </c>
      <c r="V5851">
        <v>0.24966940000000001</v>
      </c>
      <c r="W5851">
        <v>0.16686300000000001</v>
      </c>
      <c r="X5851">
        <v>0.95384590000000002</v>
      </c>
      <c r="Y5851">
        <v>0.29828850000000001</v>
      </c>
      <c r="Z5851">
        <v>7.1214470000000002E-2</v>
      </c>
      <c r="AA5851">
        <v>0.95181539999999998</v>
      </c>
      <c r="AB5851">
        <v>17</v>
      </c>
      <c r="AC5851">
        <v>0.21390000000002299</v>
      </c>
      <c r="AD5851">
        <v>-1.057221264352</v>
      </c>
      <c r="AE5851">
        <v>-13.140041</v>
      </c>
      <c r="AF5851">
        <v>3.9380155871026101</v>
      </c>
      <c r="AG5851">
        <v>-1.057221264352</v>
      </c>
      <c r="AH5851">
        <v>12.44927891076</v>
      </c>
      <c r="AI5851">
        <v>94.629024735623801</v>
      </c>
      <c r="AJ5851">
        <v>72.446545622746001</v>
      </c>
      <c r="AK5851">
        <v>13.1000087390793</v>
      </c>
      <c r="AL5851">
        <v>80.394523284706906</v>
      </c>
      <c r="AM5851">
        <v>75.331891937856199</v>
      </c>
      <c r="AN5851">
        <v>1.0000000355060801</v>
      </c>
    </row>
    <row r="5852" spans="1:40" x14ac:dyDescent="0.25">
      <c r="A5852" t="str">
        <f>"20190312172524945"</f>
        <v>20190312172524945</v>
      </c>
      <c r="B5852" t="str">
        <f>"1552382724935862"</f>
        <v>1552382724935862</v>
      </c>
      <c r="C5852" t="s">
        <v>40</v>
      </c>
      <c r="D5852">
        <v>4.0221739999999997</v>
      </c>
      <c r="E5852">
        <v>0.51988670000000003</v>
      </c>
      <c r="F5852" t="s">
        <v>43</v>
      </c>
      <c r="G5852">
        <v>-302.30759999999998</v>
      </c>
      <c r="H5852" s="1">
        <v>-4.2673959999999999E-6</v>
      </c>
      <c r="I5852">
        <v>-11.676119999999999</v>
      </c>
      <c r="J5852">
        <v>-302.47669999999999</v>
      </c>
      <c r="K5852">
        <v>1.057402</v>
      </c>
      <c r="L5852">
        <v>1.298187</v>
      </c>
      <c r="M5852">
        <v>0.30975140000000001</v>
      </c>
      <c r="N5852">
        <v>0</v>
      </c>
      <c r="O5852">
        <v>-0.95071510000000004</v>
      </c>
      <c r="P5852">
        <v>6.3580769999999995E-2</v>
      </c>
      <c r="Q5852">
        <v>0.1548031</v>
      </c>
      <c r="R5852">
        <v>-0.98589720000000003</v>
      </c>
      <c r="S5852">
        <v>4.977417E-2</v>
      </c>
      <c r="T5852">
        <v>-0.2479596</v>
      </c>
      <c r="U5852">
        <v>-3.0799560000000001</v>
      </c>
      <c r="V5852">
        <v>0.2463304</v>
      </c>
      <c r="W5852">
        <v>0.16614129999999999</v>
      </c>
      <c r="X5852">
        <v>0.95483949999999995</v>
      </c>
      <c r="Y5852">
        <v>0.29439949999999998</v>
      </c>
      <c r="Z5852">
        <v>7.2555179999999997E-2</v>
      </c>
      <c r="AA5852">
        <v>0.95292429999999995</v>
      </c>
      <c r="AB5852">
        <v>17</v>
      </c>
      <c r="AC5852">
        <v>0.16910000000001399</v>
      </c>
      <c r="AD5852">
        <v>-1.0574062673960001</v>
      </c>
      <c r="AE5852">
        <v>-12.974307</v>
      </c>
      <c r="AF5852">
        <v>3.8329645981667899</v>
      </c>
      <c r="AG5852">
        <v>-1.0574062673960001</v>
      </c>
      <c r="AH5852">
        <v>12.3067251596809</v>
      </c>
      <c r="AI5852">
        <v>94.689718161586001</v>
      </c>
      <c r="AJ5852">
        <v>72.700651201258296</v>
      </c>
      <c r="AK5852">
        <v>12.9331051871177</v>
      </c>
      <c r="AL5852">
        <v>80.436459012304397</v>
      </c>
      <c r="AM5852">
        <v>75.534195093550807</v>
      </c>
      <c r="AN5852">
        <v>1.0000000341450399</v>
      </c>
    </row>
    <row r="5853" spans="1:40" x14ac:dyDescent="0.25">
      <c r="A5853" t="str">
        <f>"20190312172524967"</f>
        <v>20190312172524967</v>
      </c>
      <c r="B5853" t="str">
        <f>"1552382724956358"</f>
        <v>1552382724956358</v>
      </c>
      <c r="C5853" t="s">
        <v>40</v>
      </c>
      <c r="D5853">
        <v>4.0060229999999999</v>
      </c>
      <c r="E5853">
        <v>0.51939369999999996</v>
      </c>
      <c r="F5853" t="s">
        <v>43</v>
      </c>
      <c r="G5853">
        <v>-302.29930000000002</v>
      </c>
      <c r="H5853" s="1">
        <v>-4.261271E-6</v>
      </c>
      <c r="I5853">
        <v>-11.6898</v>
      </c>
      <c r="J5853">
        <v>-302.43470000000002</v>
      </c>
      <c r="K5853">
        <v>1.057776</v>
      </c>
      <c r="L5853">
        <v>1.142212</v>
      </c>
      <c r="M5853">
        <v>0.30174709999999899</v>
      </c>
      <c r="N5853">
        <v>0</v>
      </c>
      <c r="O5853">
        <v>-0.95327989999999996</v>
      </c>
      <c r="P5853">
        <v>5.9133480000000002E-2</v>
      </c>
      <c r="Q5853">
        <v>0.15449760000000001</v>
      </c>
      <c r="R5853">
        <v>-0.98622200000000004</v>
      </c>
      <c r="S5853">
        <v>4.2053220000000002E-2</v>
      </c>
      <c r="T5853">
        <v>-0.25071979999999999</v>
      </c>
      <c r="U5853">
        <v>-3.0795590000000002</v>
      </c>
      <c r="V5853">
        <v>0.24252699999999999</v>
      </c>
      <c r="W5853">
        <v>0.1663895</v>
      </c>
      <c r="X5853">
        <v>0.95576939999999999</v>
      </c>
      <c r="Y5853">
        <v>0.28874949999999999</v>
      </c>
      <c r="Z5853">
        <v>7.3749629999999997E-2</v>
      </c>
      <c r="AA5853">
        <v>0.95455990000000002</v>
      </c>
      <c r="AB5853">
        <v>17</v>
      </c>
      <c r="AC5853">
        <v>0.13540000000000399</v>
      </c>
      <c r="AD5853">
        <v>-1.0577802612710001</v>
      </c>
      <c r="AE5853">
        <v>-12.832011999999899</v>
      </c>
      <c r="AF5853">
        <v>3.7180719365571</v>
      </c>
      <c r="AG5853">
        <v>-1.0577802612710001</v>
      </c>
      <c r="AH5853">
        <v>12.1917845295101</v>
      </c>
      <c r="AI5853">
        <v>94.744013538223001</v>
      </c>
      <c r="AJ5853">
        <v>73.0401100336491</v>
      </c>
      <c r="AK5853">
        <v>12.789940110123601</v>
      </c>
      <c r="AL5853">
        <v>80.422036931398097</v>
      </c>
      <c r="AM5853">
        <v>75.761686252552906</v>
      </c>
      <c r="AN5853">
        <v>0.99999997870780399</v>
      </c>
    </row>
    <row r="5854" spans="1:40" x14ac:dyDescent="0.25">
      <c r="A5854" t="str">
        <f>"20190312172524989"</f>
        <v>20190312172524989</v>
      </c>
      <c r="B5854" t="str">
        <f>"1552382724975879"</f>
        <v>1552382724975879</v>
      </c>
      <c r="C5854" t="s">
        <v>40</v>
      </c>
      <c r="D5854">
        <v>4.0230430000000004</v>
      </c>
      <c r="E5854">
        <v>0.51895709999999995</v>
      </c>
      <c r="F5854" t="s">
        <v>43</v>
      </c>
      <c r="G5854">
        <v>-302.29969999999997</v>
      </c>
      <c r="H5854" s="1">
        <v>-4.2255660000000002E-6</v>
      </c>
      <c r="I5854">
        <v>-11.794890000000001</v>
      </c>
      <c r="J5854">
        <v>-302.39069999999998</v>
      </c>
      <c r="K5854">
        <v>1.0578809999999901</v>
      </c>
      <c r="L5854">
        <v>0.97659300000000004</v>
      </c>
      <c r="M5854">
        <v>0.2928191</v>
      </c>
      <c r="N5854">
        <v>0</v>
      </c>
      <c r="O5854">
        <v>-0.95605720000000005</v>
      </c>
      <c r="P5854">
        <v>5.3537429999999997E-2</v>
      </c>
      <c r="Q5854">
        <v>0.15461040000000001</v>
      </c>
      <c r="R5854">
        <v>-0.98652430000000002</v>
      </c>
      <c r="S5854">
        <v>3.2135009999999999E-2</v>
      </c>
      <c r="T5854">
        <v>-0.25178489999999998</v>
      </c>
      <c r="U5854">
        <v>-3.079437</v>
      </c>
      <c r="V5854">
        <v>0.23907809999999999</v>
      </c>
      <c r="W5854">
        <v>0.166603</v>
      </c>
      <c r="X5854">
        <v>0.95660080000000003</v>
      </c>
      <c r="Y5854">
        <v>0.28286679999999997</v>
      </c>
      <c r="Z5854">
        <v>7.4474979999999996E-2</v>
      </c>
      <c r="AA5854">
        <v>0.95626350000000004</v>
      </c>
      <c r="AB5854">
        <v>17</v>
      </c>
      <c r="AC5854">
        <v>9.1000000000008199E-2</v>
      </c>
      <c r="AD5854">
        <v>-1.0578852255659901</v>
      </c>
      <c r="AE5854">
        <v>-12.7714829999999</v>
      </c>
      <c r="AF5854">
        <v>3.6282270772735701</v>
      </c>
      <c r="AG5854">
        <v>-1.0578852255659901</v>
      </c>
      <c r="AH5854">
        <v>12.1548183923809</v>
      </c>
      <c r="AI5854">
        <v>94.767321016519801</v>
      </c>
      <c r="AJ5854">
        <v>73.379576011030593</v>
      </c>
      <c r="AK5854">
        <v>12.7288162460809</v>
      </c>
      <c r="AL5854">
        <v>80.409631271370799</v>
      </c>
      <c r="AM5854">
        <v>75.967821020768596</v>
      </c>
      <c r="AN5854">
        <v>0.99999999403462403</v>
      </c>
    </row>
    <row r="5855" spans="1:40" x14ac:dyDescent="0.25">
      <c r="A5855" t="str">
        <f>"20190312172525013"</f>
        <v>20190312172525013</v>
      </c>
      <c r="B5855" t="str">
        <f>"1552382725006134"</f>
        <v>1552382725006134</v>
      </c>
      <c r="C5855" t="s">
        <v>40</v>
      </c>
      <c r="D5855">
        <v>4.0185440000000003</v>
      </c>
      <c r="E5855">
        <v>0.51443019999999995</v>
      </c>
      <c r="F5855" t="s">
        <v>43</v>
      </c>
      <c r="G5855">
        <v>-302.31849999999997</v>
      </c>
      <c r="H5855" s="1">
        <v>-4.1523040000000001E-6</v>
      </c>
      <c r="I5855">
        <v>-12.020009999999999</v>
      </c>
      <c r="J5855">
        <v>-302.34660000000002</v>
      </c>
      <c r="K5855">
        <v>1.0572170000000001</v>
      </c>
      <c r="L5855">
        <v>0.80578609999999995</v>
      </c>
      <c r="M5855">
        <v>0.28497250000000002</v>
      </c>
      <c r="N5855">
        <v>0</v>
      </c>
      <c r="O5855">
        <v>-0.95843540000000005</v>
      </c>
      <c r="P5855">
        <v>4.8638809999999998E-2</v>
      </c>
      <c r="Q5855">
        <v>0.15611059999999999</v>
      </c>
      <c r="R5855">
        <v>-0.98654149999999996</v>
      </c>
      <c r="S5855">
        <v>1.7089839999999999E-2</v>
      </c>
      <c r="T5855">
        <v>-0.25064969999999998</v>
      </c>
      <c r="U5855">
        <v>-3.0793460000000001</v>
      </c>
      <c r="V5855">
        <v>0.23631489999999999</v>
      </c>
      <c r="W5855">
        <v>0.1669349</v>
      </c>
      <c r="X5855">
        <v>0.95722929999999995</v>
      </c>
      <c r="Y5855">
        <v>0.2796728</v>
      </c>
      <c r="Z5855">
        <v>7.4469450000000006E-2</v>
      </c>
      <c r="AA5855">
        <v>0.95720289999999997</v>
      </c>
      <c r="AB5855">
        <v>16</v>
      </c>
      <c r="AC5855">
        <v>2.8100000000051702E-2</v>
      </c>
      <c r="AD5855">
        <v>-1.057221152304</v>
      </c>
      <c r="AE5855">
        <v>-12.8257961</v>
      </c>
      <c r="AF5855">
        <v>3.60392886913115</v>
      </c>
      <c r="AG5855">
        <v>-1.057221152304</v>
      </c>
      <c r="AH5855">
        <v>12.218865629761099</v>
      </c>
      <c r="AI5855">
        <v>94.744057004035398</v>
      </c>
      <c r="AJ5855">
        <v>73.566686462568697</v>
      </c>
      <c r="AK5855">
        <v>12.7830629012296</v>
      </c>
      <c r="AL5855">
        <v>80.390344409920203</v>
      </c>
      <c r="AM5855">
        <v>76.132458169097802</v>
      </c>
      <c r="AN5855">
        <v>0.99999996278925396</v>
      </c>
    </row>
    <row r="5856" spans="1:40" x14ac:dyDescent="0.25">
      <c r="A5856" t="str">
        <f>"20190312172525038"</f>
        <v>20190312172525038</v>
      </c>
      <c r="B5856" t="str">
        <f>"1552382725026630"</f>
        <v>1552382725026630</v>
      </c>
      <c r="C5856" t="s">
        <v>40</v>
      </c>
      <c r="D5856">
        <v>4.0023099999999996</v>
      </c>
      <c r="E5856">
        <v>0.51421589999999995</v>
      </c>
      <c r="F5856" t="s">
        <v>43</v>
      </c>
      <c r="G5856">
        <v>-302.18169999999998</v>
      </c>
      <c r="H5856" s="1">
        <v>-3.9222240000000001E-6</v>
      </c>
      <c r="I5856">
        <v>-12.62124</v>
      </c>
      <c r="J5856">
        <v>-302.30279999999999</v>
      </c>
      <c r="K5856">
        <v>1.05647</v>
      </c>
      <c r="L5856">
        <v>0.62826539999999997</v>
      </c>
      <c r="M5856">
        <v>0.2798756</v>
      </c>
      <c r="N5856">
        <v>0</v>
      </c>
      <c r="O5856">
        <v>-0.95994880000000005</v>
      </c>
      <c r="P5856">
        <v>4.6943659999999998E-2</v>
      </c>
      <c r="Q5856">
        <v>0.15759860000000001</v>
      </c>
      <c r="R5856">
        <v>-0.98638700000000001</v>
      </c>
      <c r="S5856">
        <v>3.7780759999999997E-2</v>
      </c>
      <c r="T5856">
        <v>-0.24230869999999999</v>
      </c>
      <c r="U5856">
        <v>-3.0773929999999998</v>
      </c>
      <c r="V5856">
        <v>0.23332079999999999</v>
      </c>
      <c r="W5856">
        <v>0.16686719999999999</v>
      </c>
      <c r="X5856">
        <v>0.95797529999999997</v>
      </c>
      <c r="Y5856">
        <v>0.26811010000000002</v>
      </c>
      <c r="Z5856">
        <v>7.2357160000000004E-2</v>
      </c>
      <c r="AA5856">
        <v>0.96066719999999906</v>
      </c>
      <c r="AB5856">
        <v>16</v>
      </c>
      <c r="AC5856">
        <v>0.121100000000012</v>
      </c>
      <c r="AD5856">
        <v>-1.0564739222240001</v>
      </c>
      <c r="AE5856">
        <v>-13.2495054</v>
      </c>
      <c r="AF5856">
        <v>3.5695718247791999</v>
      </c>
      <c r="AG5856">
        <v>-1.0564739222240001</v>
      </c>
      <c r="AH5856">
        <v>12.6732414770022</v>
      </c>
      <c r="AI5856">
        <v>94.587608890767399</v>
      </c>
      <c r="AJ5856">
        <v>74.269483666234194</v>
      </c>
      <c r="AK5856">
        <v>13.2086725182739</v>
      </c>
      <c r="AL5856">
        <v>80.394278554172402</v>
      </c>
      <c r="AM5856">
        <v>76.311765993646702</v>
      </c>
      <c r="AN5856">
        <v>0.99999996677928404</v>
      </c>
    </row>
    <row r="5857" spans="1:40" x14ac:dyDescent="0.25">
      <c r="A5857" t="str">
        <f>"20190312172525060"</f>
        <v>20190312172525060</v>
      </c>
      <c r="B5857" t="str">
        <f>"1552382725055911"</f>
        <v>1552382725055911</v>
      </c>
      <c r="C5857" t="s">
        <v>40</v>
      </c>
      <c r="D5857">
        <v>4.0008400000000002</v>
      </c>
      <c r="E5857">
        <v>0.5136231</v>
      </c>
      <c r="F5857" t="s">
        <v>43</v>
      </c>
      <c r="G5857">
        <v>-302.15550000000002</v>
      </c>
      <c r="H5857" s="1">
        <v>-3.7927819999999998E-6</v>
      </c>
      <c r="I5857">
        <v>-12.90668</v>
      </c>
      <c r="J5857">
        <v>-302.26400000000001</v>
      </c>
      <c r="K5857">
        <v>1.056837</v>
      </c>
      <c r="L5857">
        <v>0.46353149999999999</v>
      </c>
      <c r="M5857">
        <v>0.277339</v>
      </c>
      <c r="N5857">
        <v>0</v>
      </c>
      <c r="O5857">
        <v>-0.96069260000000001</v>
      </c>
      <c r="P5857">
        <v>4.8806769999999999E-2</v>
      </c>
      <c r="Q5857">
        <v>0.15831689999999901</v>
      </c>
      <c r="R5857">
        <v>-0.98618159999999999</v>
      </c>
      <c r="S5857">
        <v>3.3508299999999998E-2</v>
      </c>
      <c r="T5857">
        <v>-0.2402685</v>
      </c>
      <c r="U5857">
        <v>-3.0781860000000001</v>
      </c>
      <c r="V5857">
        <v>0.22916069999999999</v>
      </c>
      <c r="W5857">
        <v>0.16677320000000001</v>
      </c>
      <c r="X5857">
        <v>0.95899529999999999</v>
      </c>
      <c r="Y5857">
        <v>0.26689950000000001</v>
      </c>
      <c r="Z5857">
        <v>7.1832300000000002E-2</v>
      </c>
      <c r="AA5857">
        <v>0.9610436</v>
      </c>
      <c r="AB5857">
        <v>17</v>
      </c>
      <c r="AC5857">
        <v>0.10849999999999201</v>
      </c>
      <c r="AD5857">
        <v>-1.056840792782</v>
      </c>
      <c r="AE5857">
        <v>-13.3702115</v>
      </c>
      <c r="AF5857">
        <v>3.5817439756453502</v>
      </c>
      <c r="AG5857">
        <v>-1.056840792782</v>
      </c>
      <c r="AH5857">
        <v>12.795795170540901</v>
      </c>
      <c r="AI5857">
        <v>94.547484379134701</v>
      </c>
      <c r="AJ5857">
        <v>74.362232474357896</v>
      </c>
      <c r="AK5857">
        <v>13.3295977589272</v>
      </c>
      <c r="AL5857">
        <v>80.399740795608807</v>
      </c>
      <c r="AM5857">
        <v>76.560668464973602</v>
      </c>
      <c r="AN5857">
        <v>0.99999995604240899</v>
      </c>
    </row>
    <row r="5858" spans="1:40" x14ac:dyDescent="0.25">
      <c r="A5858" t="str">
        <f>"20190312172525101"</f>
        <v>20190312172525101</v>
      </c>
      <c r="B5858" t="str">
        <f>"1552382725095942"</f>
        <v>1552382725095942</v>
      </c>
      <c r="C5858" t="s">
        <v>40</v>
      </c>
      <c r="D5858">
        <v>4.0465790000000004</v>
      </c>
      <c r="E5858">
        <v>0.51278369999999995</v>
      </c>
      <c r="F5858" t="s">
        <v>43</v>
      </c>
      <c r="G5858">
        <v>-302.07659999999998</v>
      </c>
      <c r="H5858" s="1">
        <v>-3.6380000000000002E-6</v>
      </c>
      <c r="I5858">
        <v>-13.2186</v>
      </c>
      <c r="J5858">
        <v>-302.19580000000002</v>
      </c>
      <c r="K5858">
        <v>1.0605819999999999</v>
      </c>
      <c r="L5858">
        <v>0.16976930000000001</v>
      </c>
      <c r="M5858">
        <v>0.26906839999999999</v>
      </c>
      <c r="N5858">
        <v>0</v>
      </c>
      <c r="O5858">
        <v>-0.96306820000000004</v>
      </c>
      <c r="P5858">
        <v>4.6947170000000003E-2</v>
      </c>
      <c r="Q5858">
        <v>0.15942410000000001</v>
      </c>
      <c r="R5858">
        <v>-0.98609369999999996</v>
      </c>
      <c r="S5858">
        <v>4.214478E-2</v>
      </c>
      <c r="T5858">
        <v>-0.23776169999999999</v>
      </c>
      <c r="U5858">
        <v>-3.078125</v>
      </c>
      <c r="V5858">
        <v>0.2219949</v>
      </c>
      <c r="W5858">
        <v>0.16668479999999999</v>
      </c>
      <c r="X5858">
        <v>0.96069479999999996</v>
      </c>
      <c r="Y5858">
        <v>0.25589420000000002</v>
      </c>
      <c r="Z5858">
        <v>7.1473889999999998E-2</v>
      </c>
      <c r="AA5858">
        <v>0.96405890000000005</v>
      </c>
      <c r="AB5858">
        <v>16</v>
      </c>
      <c r="AC5858">
        <v>0.119200000000034</v>
      </c>
      <c r="AD5858">
        <v>-1.0605856379999901</v>
      </c>
      <c r="AE5858">
        <v>-13.388369300000001</v>
      </c>
      <c r="AF5858">
        <v>3.4660183132207298</v>
      </c>
      <c r="AG5858">
        <v>-1.0605856379999901</v>
      </c>
      <c r="AH5858">
        <v>12.8460372566743</v>
      </c>
      <c r="AI5858">
        <v>94.557459311067404</v>
      </c>
      <c r="AJ5858">
        <v>74.900451307200697</v>
      </c>
      <c r="AK5858">
        <v>13.3476139456825</v>
      </c>
      <c r="AL5858">
        <v>80.404878345905303</v>
      </c>
      <c r="AM5858">
        <v>76.988617845020201</v>
      </c>
      <c r="AN5858">
        <v>1.0000000284620401</v>
      </c>
    </row>
    <row r="5859" spans="1:40" x14ac:dyDescent="0.25">
      <c r="A5859" t="str">
        <f>"20190312172525124"</f>
        <v>20190312172525124</v>
      </c>
      <c r="B5859" t="str">
        <f>"1552382725116422"</f>
        <v>1552382725116422</v>
      </c>
      <c r="C5859" t="s">
        <v>40</v>
      </c>
      <c r="D5859">
        <v>4.0457850000000004</v>
      </c>
      <c r="E5859">
        <v>0.51248190000000005</v>
      </c>
      <c r="F5859" t="s">
        <v>43</v>
      </c>
      <c r="G5859">
        <v>-301.99489999999997</v>
      </c>
      <c r="H5859" s="1">
        <v>-3.460349E-6</v>
      </c>
      <c r="I5859">
        <v>-13.58201</v>
      </c>
      <c r="J5859">
        <v>-302.15730000000002</v>
      </c>
      <c r="K5859">
        <v>1.063035</v>
      </c>
      <c r="L5859">
        <v>7.2631839999999998E-3</v>
      </c>
      <c r="M5859">
        <v>0.2611849</v>
      </c>
      <c r="N5859">
        <v>0</v>
      </c>
      <c r="O5859">
        <v>-0.96525340000000004</v>
      </c>
      <c r="P5859">
        <v>4.2236969999999999E-2</v>
      </c>
      <c r="Q5859">
        <v>0.1609276</v>
      </c>
      <c r="R5859">
        <v>-0.98606229999999995</v>
      </c>
      <c r="S5859">
        <v>4.4982910000000001E-2</v>
      </c>
      <c r="T5859">
        <v>-0.23742869999999999</v>
      </c>
      <c r="U5859">
        <v>-3.0785520000000002</v>
      </c>
      <c r="V5859">
        <v>0.21819759999999999</v>
      </c>
      <c r="W5859">
        <v>0.1670595</v>
      </c>
      <c r="X5859">
        <v>0.96149929999999995</v>
      </c>
      <c r="Y5859">
        <v>0.2470898</v>
      </c>
      <c r="Z5859">
        <v>7.1701879999999996E-2</v>
      </c>
      <c r="AA5859">
        <v>0.96633610000000003</v>
      </c>
      <c r="AB5859">
        <v>16</v>
      </c>
      <c r="AC5859">
        <v>0.16240000000004701</v>
      </c>
      <c r="AD5859">
        <v>-1.063038460349</v>
      </c>
      <c r="AE5859">
        <v>-13.589273184</v>
      </c>
      <c r="AF5859">
        <v>3.3720399484546002</v>
      </c>
      <c r="AG5859">
        <v>-1.063038460349</v>
      </c>
      <c r="AH5859">
        <v>13.079928865335599</v>
      </c>
      <c r="AI5859">
        <v>94.499862887589501</v>
      </c>
      <c r="AJ5859">
        <v>75.543775330471803</v>
      </c>
      <c r="AK5859">
        <v>13.549363206601001</v>
      </c>
      <c r="AL5859">
        <v>80.383103907183596</v>
      </c>
      <c r="AM5859">
        <v>77.214149022239795</v>
      </c>
      <c r="AN5859">
        <v>0.99999998654324895</v>
      </c>
    </row>
    <row r="5860" spans="1:40" x14ac:dyDescent="0.25">
      <c r="A5860" t="str">
        <f>"20190312172525145"</f>
        <v>20190312172525145</v>
      </c>
      <c r="B5860" t="str">
        <f>"1552382725135943"</f>
        <v>1552382725135943</v>
      </c>
      <c r="C5860" t="s">
        <v>40</v>
      </c>
      <c r="D5860">
        <v>4.0351970000000001</v>
      </c>
      <c r="E5860">
        <v>0.51221139999999998</v>
      </c>
      <c r="F5860" t="s">
        <v>43</v>
      </c>
      <c r="G5860">
        <v>-301.99430000000001</v>
      </c>
      <c r="H5860" s="1">
        <v>-3.259927E-6</v>
      </c>
      <c r="I5860">
        <v>-14.04885</v>
      </c>
      <c r="J5860">
        <v>-302.11989999999997</v>
      </c>
      <c r="K5860">
        <v>1.065024</v>
      </c>
      <c r="L5860">
        <v>-0.15277099999999999</v>
      </c>
      <c r="M5860">
        <v>0.25354510000000002</v>
      </c>
      <c r="N5860">
        <v>0</v>
      </c>
      <c r="O5860">
        <v>-0.96730070000000001</v>
      </c>
      <c r="P5860">
        <v>3.8722939999999997E-2</v>
      </c>
      <c r="Q5860">
        <v>0.16231599999999999</v>
      </c>
      <c r="R5860">
        <v>-0.98597880000000004</v>
      </c>
      <c r="S5860">
        <v>3.5705569999999999E-2</v>
      </c>
      <c r="T5860">
        <v>-0.23285059999999999</v>
      </c>
      <c r="U5860">
        <v>-3.0788880000000001</v>
      </c>
      <c r="V5860">
        <v>0.21374589999999999</v>
      </c>
      <c r="W5860">
        <v>0.16721329999999901</v>
      </c>
      <c r="X5860">
        <v>0.96247199999999999</v>
      </c>
      <c r="Y5860">
        <v>0.24233540000000001</v>
      </c>
      <c r="Z5860">
        <v>7.0595439999999995E-2</v>
      </c>
      <c r="AA5860">
        <v>0.9676207</v>
      </c>
      <c r="AB5860">
        <v>17</v>
      </c>
      <c r="AC5860">
        <v>0.12559999999996299</v>
      </c>
      <c r="AD5860">
        <v>-1.0650272599270001</v>
      </c>
      <c r="AE5860">
        <v>-13.896079</v>
      </c>
      <c r="AF5860">
        <v>3.38200063434549</v>
      </c>
      <c r="AG5860">
        <v>-1.0650272599270001</v>
      </c>
      <c r="AH5860">
        <v>13.3951530028636</v>
      </c>
      <c r="AI5860">
        <v>94.408173101847893</v>
      </c>
      <c r="AJ5860">
        <v>75.830130220288297</v>
      </c>
      <c r="AK5860">
        <v>13.8564907290853</v>
      </c>
      <c r="AL5860">
        <v>80.374165974268806</v>
      </c>
      <c r="AM5860">
        <v>77.478951080002304</v>
      </c>
      <c r="AN5860">
        <v>0.999999974123849</v>
      </c>
    </row>
    <row r="5861" spans="1:40" x14ac:dyDescent="0.25">
      <c r="A5861" t="str">
        <f>"20190312172525168"</f>
        <v>20190312172525168</v>
      </c>
      <c r="B5861" t="str">
        <f>"1552382725156440"</f>
        <v>1552382725156440</v>
      </c>
      <c r="C5861" t="s">
        <v>40</v>
      </c>
      <c r="D5861">
        <v>4.0584009999999999</v>
      </c>
      <c r="E5861">
        <v>0.51201059999999998</v>
      </c>
      <c r="F5861" t="s">
        <v>43</v>
      </c>
      <c r="G5861">
        <v>-301.99299999999999</v>
      </c>
      <c r="H5861" s="1">
        <v>-3.0594689999999999E-6</v>
      </c>
      <c r="I5861">
        <v>-14.515319999999999</v>
      </c>
      <c r="J5861">
        <v>-302.08370000000002</v>
      </c>
      <c r="K5861">
        <v>1.0666169999999999</v>
      </c>
      <c r="L5861">
        <v>-0.31295780000000001</v>
      </c>
      <c r="M5861">
        <v>0.24717420000000001</v>
      </c>
      <c r="N5861">
        <v>0</v>
      </c>
      <c r="O5861">
        <v>-0.9689567</v>
      </c>
      <c r="P5861">
        <v>3.687021E-2</v>
      </c>
      <c r="Q5861">
        <v>0.163744</v>
      </c>
      <c r="R5861">
        <v>-0.98581390000000002</v>
      </c>
      <c r="S5861">
        <v>2.7191159999999999E-2</v>
      </c>
      <c r="T5861">
        <v>-0.2283316</v>
      </c>
      <c r="U5861">
        <v>-3.0791930000000001</v>
      </c>
      <c r="V5861">
        <v>0.2091469</v>
      </c>
      <c r="W5861">
        <v>0.1673665</v>
      </c>
      <c r="X5861">
        <v>0.96345530000000001</v>
      </c>
      <c r="Y5861">
        <v>0.2386238</v>
      </c>
      <c r="Z5861">
        <v>6.9443019999999994E-2</v>
      </c>
      <c r="AA5861">
        <v>0.96862599999999999</v>
      </c>
      <c r="AB5861">
        <v>16</v>
      </c>
      <c r="AC5861">
        <v>9.0700000000026607E-2</v>
      </c>
      <c r="AD5861">
        <v>-1.0666200594689901</v>
      </c>
      <c r="AE5861">
        <v>-14.2023622</v>
      </c>
      <c r="AF5861">
        <v>3.4034253796656002</v>
      </c>
      <c r="AG5861">
        <v>-1.0666200594689901</v>
      </c>
      <c r="AH5861">
        <v>13.7067780084683</v>
      </c>
      <c r="AI5861">
        <v>94.318986121550495</v>
      </c>
      <c r="AJ5861">
        <v>76.055338814032993</v>
      </c>
      <c r="AK5861">
        <v>14.1632180679266</v>
      </c>
      <c r="AL5861">
        <v>80.365263465665507</v>
      </c>
      <c r="AM5861">
        <v>77.752257571440694</v>
      </c>
      <c r="AN5861">
        <v>1.00000004309997</v>
      </c>
    </row>
    <row r="5862" spans="1:40" x14ac:dyDescent="0.25">
      <c r="A5862" t="str">
        <f>"20190312172525190"</f>
        <v>20190312172525190</v>
      </c>
      <c r="B5862" t="str">
        <f>"1552382725186695"</f>
        <v>1552382725186695</v>
      </c>
      <c r="C5862" t="s">
        <v>40</v>
      </c>
      <c r="D5862">
        <v>4.0694269999999904</v>
      </c>
      <c r="E5862">
        <v>0.51176100000000002</v>
      </c>
      <c r="F5862" t="s">
        <v>43</v>
      </c>
      <c r="G5862">
        <v>-301.97969999999998</v>
      </c>
      <c r="H5862" s="1">
        <v>-2.8795009999999999E-6</v>
      </c>
      <c r="I5862">
        <v>-14.92656</v>
      </c>
      <c r="J5862">
        <v>-302.04829999999998</v>
      </c>
      <c r="K5862">
        <v>1.06799</v>
      </c>
      <c r="L5862">
        <v>-0.47634890000000002</v>
      </c>
      <c r="M5862">
        <v>0.2419605</v>
      </c>
      <c r="N5862">
        <v>0</v>
      </c>
      <c r="O5862">
        <v>-0.97027810000000003</v>
      </c>
      <c r="P5862">
        <v>3.615177E-2</v>
      </c>
      <c r="Q5862">
        <v>0.16571540000000001</v>
      </c>
      <c r="R5862">
        <v>-0.98551060000000001</v>
      </c>
      <c r="S5862">
        <v>2.191162E-2</v>
      </c>
      <c r="T5862">
        <v>-0.22478029999999999</v>
      </c>
      <c r="U5862">
        <v>-3.0796809999999999</v>
      </c>
      <c r="V5862">
        <v>0.20466570000000001</v>
      </c>
      <c r="W5862">
        <v>0.16797379999999901</v>
      </c>
      <c r="X5862">
        <v>0.96431149999999999</v>
      </c>
      <c r="Y5862">
        <v>0.23506099999999999</v>
      </c>
      <c r="Z5862">
        <v>6.8533140000000006E-2</v>
      </c>
      <c r="AA5862">
        <v>0.96956149999999997</v>
      </c>
      <c r="AB5862">
        <v>16</v>
      </c>
      <c r="AC5862">
        <v>6.8600000000003505E-2</v>
      </c>
      <c r="AD5862">
        <v>-1.0679928795010001</v>
      </c>
      <c r="AE5862">
        <v>-14.450211100000001</v>
      </c>
      <c r="AF5862">
        <v>3.4112126542900398</v>
      </c>
      <c r="AG5862">
        <v>-1.0679928795010001</v>
      </c>
      <c r="AH5862">
        <v>13.961170201847899</v>
      </c>
      <c r="AI5862">
        <v>94.249914583080496</v>
      </c>
      <c r="AJ5862">
        <v>76.269609738739604</v>
      </c>
      <c r="AK5862">
        <v>14.411497284058299</v>
      </c>
      <c r="AL5862">
        <v>80.329967233781403</v>
      </c>
      <c r="AM5862">
        <v>78.017341803608801</v>
      </c>
      <c r="AN5862">
        <v>0.99999995763758898</v>
      </c>
    </row>
    <row r="5863" spans="1:40" x14ac:dyDescent="0.25">
      <c r="A5863" t="str">
        <f>"20190312172525213"</f>
        <v>20190312172525213</v>
      </c>
      <c r="B5863" t="str">
        <f>"1552382725206214"</f>
        <v>1552382725206214</v>
      </c>
      <c r="C5863" t="s">
        <v>40</v>
      </c>
      <c r="D5863">
        <v>4.0407669999999998</v>
      </c>
      <c r="E5863">
        <v>0.51164489999999996</v>
      </c>
      <c r="F5863" t="s">
        <v>43</v>
      </c>
      <c r="G5863">
        <v>-301.9479</v>
      </c>
      <c r="H5863" s="1">
        <v>-2.6480459999999999E-6</v>
      </c>
      <c r="I5863">
        <v>-15.44638</v>
      </c>
      <c r="J5863">
        <v>-302.01440000000002</v>
      </c>
      <c r="K5863">
        <v>1.069348</v>
      </c>
      <c r="L5863">
        <v>-0.63955689999999998</v>
      </c>
      <c r="M5863">
        <v>0.23731189999999999</v>
      </c>
      <c r="N5863">
        <v>0</v>
      </c>
      <c r="O5863">
        <v>-0.97143009999999996</v>
      </c>
      <c r="P5863">
        <v>3.4898690000000003E-2</v>
      </c>
      <c r="Q5863">
        <v>0.16768669999999999</v>
      </c>
      <c r="R5863">
        <v>-0.98522270000000001</v>
      </c>
      <c r="S5863">
        <v>2.0660399999999999E-2</v>
      </c>
      <c r="T5863">
        <v>-0.21975430000000001</v>
      </c>
      <c r="U5863">
        <v>-3.080292</v>
      </c>
      <c r="V5863">
        <v>0.2012372</v>
      </c>
      <c r="W5863">
        <v>0.16858299999999901</v>
      </c>
      <c r="X5863">
        <v>0.96492659999999997</v>
      </c>
      <c r="Y5863">
        <v>0.23079920000000001</v>
      </c>
      <c r="Z5863">
        <v>6.7153989999999997E-2</v>
      </c>
      <c r="AA5863">
        <v>0.97068129999999997</v>
      </c>
      <c r="AB5863">
        <v>16</v>
      </c>
      <c r="AC5863">
        <v>6.6500000000019099E-2</v>
      </c>
      <c r="AD5863">
        <v>-1.069350648046</v>
      </c>
      <c r="AE5863">
        <v>-14.806823100000001</v>
      </c>
      <c r="AF5863">
        <v>3.4313499517963799</v>
      </c>
      <c r="AG5863">
        <v>-1.069350648046</v>
      </c>
      <c r="AH5863">
        <v>14.324908979202201</v>
      </c>
      <c r="AI5863">
        <v>94.152164376393998</v>
      </c>
      <c r="AJ5863">
        <v>76.529336510012698</v>
      </c>
      <c r="AK5863">
        <v>14.768909592877799</v>
      </c>
      <c r="AL5863">
        <v>80.2945580118745</v>
      </c>
      <c r="AM5863">
        <v>78.219713878385903</v>
      </c>
      <c r="AN5863">
        <v>0.99999999097019898</v>
      </c>
    </row>
    <row r="5864" spans="1:40" x14ac:dyDescent="0.25">
      <c r="A5864" t="str">
        <f>"20190312172525237"</f>
        <v>20190312172525237</v>
      </c>
      <c r="B5864" t="str">
        <f>"1552382725226710"</f>
        <v>1552382725226710</v>
      </c>
      <c r="C5864" t="s">
        <v>40</v>
      </c>
      <c r="D5864">
        <v>4.059291</v>
      </c>
      <c r="E5864">
        <v>0.51152739999999997</v>
      </c>
      <c r="F5864" t="s">
        <v>43</v>
      </c>
      <c r="G5864">
        <v>-301.91660000000002</v>
      </c>
      <c r="H5864" s="1">
        <v>-2.3934420000000001E-6</v>
      </c>
      <c r="I5864">
        <v>-16.020429999999902</v>
      </c>
      <c r="J5864">
        <v>-301.97980000000001</v>
      </c>
      <c r="K5864">
        <v>1.0709229999999901</v>
      </c>
      <c r="L5864">
        <v>-0.81100459999999996</v>
      </c>
      <c r="M5864">
        <v>0.23242360000000001</v>
      </c>
      <c r="N5864">
        <v>0</v>
      </c>
      <c r="O5864">
        <v>-0.97261419999999998</v>
      </c>
      <c r="P5864">
        <v>3.3931759999999998E-2</v>
      </c>
      <c r="Q5864">
        <v>0.16931450000000001</v>
      </c>
      <c r="R5864">
        <v>-0.98497809999999997</v>
      </c>
      <c r="S5864">
        <v>1.9592289999999998E-2</v>
      </c>
      <c r="T5864">
        <v>-0.2141882</v>
      </c>
      <c r="U5864">
        <v>-3.0807500000000001</v>
      </c>
      <c r="V5864">
        <v>0.19720119999999999</v>
      </c>
      <c r="W5864">
        <v>0.16898629999999901</v>
      </c>
      <c r="X5864">
        <v>0.96568909999999997</v>
      </c>
      <c r="Y5864">
        <v>0.22624050000000001</v>
      </c>
      <c r="Z5864">
        <v>6.5611439999999993E-2</v>
      </c>
      <c r="AA5864">
        <v>0.97185929999999998</v>
      </c>
      <c r="AB5864">
        <v>16</v>
      </c>
      <c r="AC5864">
        <v>6.3199999999994802E-2</v>
      </c>
      <c r="AD5864">
        <v>-1.07092539344199</v>
      </c>
      <c r="AE5864">
        <v>-15.209425399999899</v>
      </c>
      <c r="AF5864">
        <v>3.4564256088680199</v>
      </c>
      <c r="AG5864">
        <v>-1.07092539344199</v>
      </c>
      <c r="AH5864">
        <v>14.734548539614501</v>
      </c>
      <c r="AI5864">
        <v>94.047527652313903</v>
      </c>
      <c r="AJ5864">
        <v>76.798273416015306</v>
      </c>
      <c r="AK5864">
        <v>15.1723656643984</v>
      </c>
      <c r="AL5864">
        <v>80.271114956881107</v>
      </c>
      <c r="AM5864">
        <v>78.458442353962795</v>
      </c>
      <c r="AN5864">
        <v>1.0000000603639601</v>
      </c>
    </row>
    <row r="5865" spans="1:40" x14ac:dyDescent="0.25">
      <c r="A5865" t="str">
        <f>"20190312172525257"</f>
        <v>20190312172525257</v>
      </c>
      <c r="B5865" t="str">
        <f>"1552382725246231"</f>
        <v>1552382725246231</v>
      </c>
      <c r="C5865" t="s">
        <v>40</v>
      </c>
      <c r="D5865">
        <v>4.0741779999999999</v>
      </c>
      <c r="E5865">
        <v>0.51153249999999995</v>
      </c>
      <c r="F5865" t="s">
        <v>43</v>
      </c>
      <c r="G5865">
        <v>-301.88690000000003</v>
      </c>
      <c r="H5865" s="1">
        <v>-2.1546819999999998E-6</v>
      </c>
      <c r="I5865">
        <v>-16.55855</v>
      </c>
      <c r="J5865">
        <v>-301.95</v>
      </c>
      <c r="K5865">
        <v>1.072422</v>
      </c>
      <c r="L5865">
        <v>-0.96130369999999998</v>
      </c>
      <c r="M5865">
        <v>0.22809289999999999</v>
      </c>
      <c r="N5865">
        <v>0</v>
      </c>
      <c r="O5865">
        <v>-0.97363940000000004</v>
      </c>
      <c r="P5865">
        <v>3.4546019999999997E-2</v>
      </c>
      <c r="Q5865">
        <v>0.17001060000000001</v>
      </c>
      <c r="R5865">
        <v>-0.98483639999999995</v>
      </c>
      <c r="S5865">
        <v>1.818848E-2</v>
      </c>
      <c r="T5865">
        <v>-0.209536</v>
      </c>
      <c r="U5865">
        <v>-3.0811459999999999</v>
      </c>
      <c r="V5865">
        <v>0.19213140000000001</v>
      </c>
      <c r="W5865">
        <v>0.16888810000000001</v>
      </c>
      <c r="X5865">
        <v>0.96672769999999997</v>
      </c>
      <c r="Y5865">
        <v>0.2223473</v>
      </c>
      <c r="Z5865">
        <v>6.4319230000000005E-2</v>
      </c>
      <c r="AA5865">
        <v>0.97284360000000003</v>
      </c>
      <c r="AB5865">
        <v>16</v>
      </c>
      <c r="AC5865">
        <v>6.3099999999963005E-2</v>
      </c>
      <c r="AD5865">
        <v>-1.0724241546819999</v>
      </c>
      <c r="AE5865">
        <v>-15.5972463</v>
      </c>
      <c r="AF5865">
        <v>3.4797340109802199</v>
      </c>
      <c r="AG5865">
        <v>-1.0724241546819999</v>
      </c>
      <c r="AH5865">
        <v>15.1289638367086</v>
      </c>
      <c r="AI5865">
        <v>93.951814799678601</v>
      </c>
      <c r="AJ5865">
        <v>77.046975329603796</v>
      </c>
      <c r="AK5865">
        <v>15.560982910059201</v>
      </c>
      <c r="AL5865">
        <v>80.276823404226704</v>
      </c>
      <c r="AM5865">
        <v>78.759275891353695</v>
      </c>
      <c r="AN5865">
        <v>1.00000005556742</v>
      </c>
    </row>
    <row r="5866" spans="1:40" x14ac:dyDescent="0.25">
      <c r="A5866" t="str">
        <f>"20190312172525280"</f>
        <v>20190312172525280</v>
      </c>
      <c r="B5866" t="str">
        <f>"1552382725276487"</f>
        <v>1552382725276487</v>
      </c>
      <c r="C5866" t="s">
        <v>40</v>
      </c>
      <c r="D5866">
        <v>4.0989969999999998</v>
      </c>
      <c r="E5866">
        <v>0.5115866</v>
      </c>
      <c r="F5866" t="s">
        <v>43</v>
      </c>
      <c r="G5866">
        <v>-301.84949999999998</v>
      </c>
      <c r="H5866" s="1">
        <v>-2.0012750000000002E-6</v>
      </c>
      <c r="I5866">
        <v>-16.892990000000001</v>
      </c>
      <c r="J5866">
        <v>-301.9187</v>
      </c>
      <c r="K5866">
        <v>1.0740050000000001</v>
      </c>
      <c r="L5866">
        <v>-1.1208499999999999</v>
      </c>
      <c r="M5866">
        <v>0.22366559999999999</v>
      </c>
      <c r="N5866">
        <v>0</v>
      </c>
      <c r="O5866">
        <v>-0.97466580000000003</v>
      </c>
      <c r="P5866">
        <v>3.4863209999999999E-2</v>
      </c>
      <c r="Q5866">
        <v>0.17145369999999999</v>
      </c>
      <c r="R5866">
        <v>-0.98457550000000005</v>
      </c>
      <c r="S5866">
        <v>1.9439700000000001E-2</v>
      </c>
      <c r="T5866">
        <v>-0.2074143</v>
      </c>
      <c r="U5866">
        <v>-3.081299</v>
      </c>
      <c r="V5866">
        <v>0.18719340000000001</v>
      </c>
      <c r="W5866">
        <v>0.16967199999999999</v>
      </c>
      <c r="X5866">
        <v>0.96755880000000005</v>
      </c>
      <c r="Y5866">
        <v>0.2175193</v>
      </c>
      <c r="Z5866">
        <v>6.3807550000000005E-2</v>
      </c>
      <c r="AA5866">
        <v>0.9739681</v>
      </c>
      <c r="AB5866">
        <v>16</v>
      </c>
      <c r="AC5866">
        <v>6.9200000000023396E-2</v>
      </c>
      <c r="AD5866">
        <v>-1.07400700127499</v>
      </c>
      <c r="AE5866">
        <v>-15.77214</v>
      </c>
      <c r="AF5866">
        <v>3.44426815090292</v>
      </c>
      <c r="AG5866">
        <v>-1.07400700127499</v>
      </c>
      <c r="AH5866">
        <v>15.317022255276401</v>
      </c>
      <c r="AI5866">
        <v>93.913523337758207</v>
      </c>
      <c r="AJ5866">
        <v>77.326957783630405</v>
      </c>
      <c r="AK5866">
        <v>15.736189020939699</v>
      </c>
      <c r="AL5866">
        <v>80.231250943428606</v>
      </c>
      <c r="AM5866">
        <v>79.050277973402103</v>
      </c>
      <c r="AN5866">
        <v>0.99999999402249995</v>
      </c>
    </row>
    <row r="5867" spans="1:40" x14ac:dyDescent="0.25">
      <c r="A5867" t="str">
        <f>"20190312172525302"</f>
        <v>20190312172525302</v>
      </c>
      <c r="B5867" t="str">
        <f>"1552382725296006"</f>
        <v>1552382725296006</v>
      </c>
      <c r="C5867" t="s">
        <v>40</v>
      </c>
      <c r="D5867">
        <v>4.3820730000000001</v>
      </c>
      <c r="E5867">
        <v>0.51165329999999998</v>
      </c>
      <c r="F5867" t="s">
        <v>43</v>
      </c>
      <c r="G5867">
        <v>-301.82060000000001</v>
      </c>
      <c r="H5867" s="1">
        <v>-1.7489999999999999E-6</v>
      </c>
      <c r="I5867">
        <v>-17.46312</v>
      </c>
      <c r="J5867">
        <v>-301.88709999999998</v>
      </c>
      <c r="K5867">
        <v>1.0754629999999901</v>
      </c>
      <c r="L5867">
        <v>-1.283234</v>
      </c>
      <c r="M5867">
        <v>0.2195105</v>
      </c>
      <c r="N5867">
        <v>0</v>
      </c>
      <c r="O5867">
        <v>-0.97560910000000001</v>
      </c>
      <c r="P5867">
        <v>3.4930990000000002E-2</v>
      </c>
      <c r="Q5867">
        <v>0.17377619999999999</v>
      </c>
      <c r="R5867">
        <v>-0.98416579999999998</v>
      </c>
      <c r="S5867">
        <v>1.849365E-2</v>
      </c>
      <c r="T5867">
        <v>-0.2025217</v>
      </c>
      <c r="U5867">
        <v>-3.081604</v>
      </c>
      <c r="V5867">
        <v>0.18274969999999999</v>
      </c>
      <c r="W5867">
        <v>0.17140899999999901</v>
      </c>
      <c r="X5867">
        <v>0.96810200000000002</v>
      </c>
      <c r="Y5867">
        <v>0.2136584</v>
      </c>
      <c r="Z5867">
        <v>6.2423510000000001E-2</v>
      </c>
      <c r="AA5867">
        <v>0.974912</v>
      </c>
      <c r="AB5867">
        <v>16</v>
      </c>
      <c r="AC5867">
        <v>6.64999999999622E-2</v>
      </c>
      <c r="AD5867">
        <v>-1.07546474899999</v>
      </c>
      <c r="AE5867">
        <v>-16.179886</v>
      </c>
      <c r="AF5867">
        <v>3.4714432570921701</v>
      </c>
      <c r="AG5867">
        <v>-1.07546474899999</v>
      </c>
      <c r="AH5867">
        <v>15.730359387786899</v>
      </c>
      <c r="AI5867">
        <v>93.819532470145802</v>
      </c>
      <c r="AJ5867">
        <v>77.555189706159197</v>
      </c>
      <c r="AK5867">
        <v>16.144712731494799</v>
      </c>
      <c r="AL5867">
        <v>80.130248504559603</v>
      </c>
      <c r="AM5867">
        <v>79.310004540612098</v>
      </c>
      <c r="AN5867">
        <v>0.99999999026754505</v>
      </c>
    </row>
    <row r="5868" spans="1:40" x14ac:dyDescent="0.25">
      <c r="A5868" t="str">
        <f>"20190312172525324"</f>
        <v>20190312172525324</v>
      </c>
      <c r="B5868" t="str">
        <f>"1552382725316502"</f>
        <v>1552382725316502</v>
      </c>
      <c r="C5868" t="s">
        <v>40</v>
      </c>
      <c r="D5868">
        <v>4.1027040000000001</v>
      </c>
      <c r="E5868">
        <v>0.51171869999999997</v>
      </c>
      <c r="F5868" t="s">
        <v>43</v>
      </c>
      <c r="G5868">
        <v>-301.7824</v>
      </c>
      <c r="H5868" s="1">
        <v>-1.3899459999999901E-6</v>
      </c>
      <c r="I5868">
        <v>-18.276389999999999</v>
      </c>
      <c r="J5868">
        <v>-301.8562</v>
      </c>
      <c r="K5868">
        <v>1.0768359999999999</v>
      </c>
      <c r="L5868">
        <v>-1.441559</v>
      </c>
      <c r="M5868">
        <v>0.21493870000000001</v>
      </c>
      <c r="N5868">
        <v>0</v>
      </c>
      <c r="O5868">
        <v>-0.97662570000000004</v>
      </c>
      <c r="P5868">
        <v>3.3968190000000002E-2</v>
      </c>
      <c r="Q5868">
        <v>0.17571529999999999</v>
      </c>
      <c r="R5868">
        <v>-0.98385500000000004</v>
      </c>
      <c r="S5868">
        <v>1.8981930000000001E-2</v>
      </c>
      <c r="T5868">
        <v>-0.1950558</v>
      </c>
      <c r="U5868">
        <v>-3.0820310000000002</v>
      </c>
      <c r="V5868">
        <v>0.1789509</v>
      </c>
      <c r="W5868">
        <v>0.17317650000000001</v>
      </c>
      <c r="X5868">
        <v>0.96849700000000005</v>
      </c>
      <c r="Y5868">
        <v>0.2089268</v>
      </c>
      <c r="Z5868">
        <v>6.0251810000000003E-2</v>
      </c>
      <c r="AA5868">
        <v>0.97607339999999998</v>
      </c>
      <c r="AB5868">
        <v>16</v>
      </c>
      <c r="AC5868">
        <v>7.3800000000005597E-2</v>
      </c>
      <c r="AD5868">
        <v>-1.076837389946</v>
      </c>
      <c r="AE5868">
        <v>-16.834830999999902</v>
      </c>
      <c r="AF5868">
        <v>3.53193744179748</v>
      </c>
      <c r="AG5868">
        <v>-1.076837389946</v>
      </c>
      <c r="AH5868">
        <v>16.3901616023076</v>
      </c>
      <c r="AI5868">
        <v>93.674827828368393</v>
      </c>
      <c r="AJ5868">
        <v>77.839216142509699</v>
      </c>
      <c r="AK5868">
        <v>16.800939206095499</v>
      </c>
      <c r="AL5868">
        <v>80.027440705828099</v>
      </c>
      <c r="AM5868">
        <v>79.531426532884495</v>
      </c>
      <c r="AN5868">
        <v>0.99999998188602901</v>
      </c>
    </row>
    <row r="5869" spans="1:40" x14ac:dyDescent="0.25">
      <c r="A5869" t="str">
        <f>"20190312172525346"</f>
        <v>20190312172525346</v>
      </c>
      <c r="B5869" t="str">
        <f>"1552382725336023"</f>
        <v>1552382725336023</v>
      </c>
      <c r="C5869" t="s">
        <v>40</v>
      </c>
      <c r="D5869">
        <v>4.0790040000000003</v>
      </c>
      <c r="E5869">
        <v>0.51179920000000001</v>
      </c>
      <c r="F5869" t="s">
        <v>43</v>
      </c>
      <c r="G5869">
        <v>-301.75850000000003</v>
      </c>
      <c r="H5869" s="1">
        <v>-1.087771E-6</v>
      </c>
      <c r="I5869">
        <v>-18.965920000000001</v>
      </c>
      <c r="J5869">
        <v>-301.82470000000001</v>
      </c>
      <c r="K5869">
        <v>1.077949</v>
      </c>
      <c r="L5869">
        <v>-1.6015010000000001</v>
      </c>
      <c r="M5869">
        <v>0.21012790000000001</v>
      </c>
      <c r="N5869">
        <v>0</v>
      </c>
      <c r="O5869">
        <v>-0.97767230000000005</v>
      </c>
      <c r="P5869">
        <v>3.424758E-2</v>
      </c>
      <c r="Q5869">
        <v>0.17660410000000001</v>
      </c>
      <c r="R5869">
        <v>-0.98368619999999996</v>
      </c>
      <c r="S5869">
        <v>1.7181399999999999E-2</v>
      </c>
      <c r="T5869">
        <v>-0.18941089999999999</v>
      </c>
      <c r="U5869">
        <v>-3.0824579999999999</v>
      </c>
      <c r="V5869">
        <v>0.1739127</v>
      </c>
      <c r="W5869">
        <v>0.17407059999999999</v>
      </c>
      <c r="X5869">
        <v>0.96925430000000001</v>
      </c>
      <c r="Y5869">
        <v>0.20468120000000001</v>
      </c>
      <c r="Z5869">
        <v>5.8630370000000001E-2</v>
      </c>
      <c r="AA5869">
        <v>0.97707120000000003</v>
      </c>
      <c r="AB5869">
        <v>16</v>
      </c>
      <c r="AC5869">
        <v>6.6199999999980705E-2</v>
      </c>
      <c r="AD5869">
        <v>-1.077950087771</v>
      </c>
      <c r="AE5869">
        <v>-17.364419000000002</v>
      </c>
      <c r="AF5869">
        <v>3.5702740888328401</v>
      </c>
      <c r="AG5869">
        <v>-1.077950087771</v>
      </c>
      <c r="AH5869">
        <v>16.9254242073158</v>
      </c>
      <c r="AI5869">
        <v>93.565882532667501</v>
      </c>
      <c r="AJ5869">
        <v>78.088566060745904</v>
      </c>
      <c r="AK5869">
        <v>17.331440161126501</v>
      </c>
      <c r="AL5869">
        <v>79.975423184090502</v>
      </c>
      <c r="AM5869">
        <v>79.827697389959596</v>
      </c>
      <c r="AN5869">
        <v>1.00000004953706</v>
      </c>
    </row>
    <row r="5870" spans="1:40" x14ac:dyDescent="0.25">
      <c r="A5870" t="str">
        <f>"20190312172525369"</f>
        <v>20190312172525369</v>
      </c>
      <c r="B5870" t="str">
        <f>"1552382725356520"</f>
        <v>1552382725356520</v>
      </c>
      <c r="C5870" t="s">
        <v>40</v>
      </c>
      <c r="D5870">
        <v>4.0897170000000003</v>
      </c>
      <c r="E5870">
        <v>0.51190190000000002</v>
      </c>
      <c r="F5870" t="s">
        <v>43</v>
      </c>
      <c r="G5870">
        <v>-301.72750000000002</v>
      </c>
      <c r="H5870" s="1">
        <v>-9.2865360000000003E-7</v>
      </c>
      <c r="I5870">
        <v>-19.317640000000001</v>
      </c>
      <c r="J5870">
        <v>-301.79430000000002</v>
      </c>
      <c r="K5870">
        <v>1.0786</v>
      </c>
      <c r="L5870">
        <v>-1.7567140000000001</v>
      </c>
      <c r="M5870">
        <v>0.2065582</v>
      </c>
      <c r="N5870">
        <v>0</v>
      </c>
      <c r="O5870">
        <v>-0.97843270000000004</v>
      </c>
      <c r="P5870">
        <v>3.6220349999999998E-2</v>
      </c>
      <c r="Q5870">
        <v>0.17682400000000001</v>
      </c>
      <c r="R5870">
        <v>-0.98357589999999995</v>
      </c>
      <c r="S5870">
        <v>1.690674E-2</v>
      </c>
      <c r="T5870">
        <v>-0.1875783</v>
      </c>
      <c r="U5870">
        <v>-3.0828549999999999</v>
      </c>
      <c r="V5870">
        <v>0.16868910000000001</v>
      </c>
      <c r="W5870">
        <v>0.17417009999999999</v>
      </c>
      <c r="X5870">
        <v>0.97015910000000005</v>
      </c>
      <c r="Y5870">
        <v>0.20119519999999999</v>
      </c>
      <c r="Z5870">
        <v>5.8148900000000003E-2</v>
      </c>
      <c r="AA5870">
        <v>0.97782369999999996</v>
      </c>
      <c r="AB5870">
        <v>16</v>
      </c>
      <c r="AC5870">
        <v>6.6800000000000595E-2</v>
      </c>
      <c r="AD5870">
        <v>-1.0786009286536</v>
      </c>
      <c r="AE5870">
        <v>-17.560925999999998</v>
      </c>
      <c r="AF5870">
        <v>3.5486127204212798</v>
      </c>
      <c r="AG5870">
        <v>-1.0786009286536</v>
      </c>
      <c r="AH5870">
        <v>17.131382676939701</v>
      </c>
      <c r="AI5870">
        <v>93.527920496542393</v>
      </c>
      <c r="AJ5870">
        <v>78.297197401360904</v>
      </c>
      <c r="AK5870">
        <v>17.528271581264899</v>
      </c>
      <c r="AL5870">
        <v>79.969632888009698</v>
      </c>
      <c r="AM5870">
        <v>80.136154806199499</v>
      </c>
      <c r="AN5870">
        <v>0.99999995775281403</v>
      </c>
    </row>
    <row r="5871" spans="1:40" x14ac:dyDescent="0.25">
      <c r="A5871" t="str">
        <f>"20190312172525392"</f>
        <v>20190312172525392</v>
      </c>
      <c r="B5871" t="str">
        <f>"1552382725385802"</f>
        <v>1552382725385802</v>
      </c>
      <c r="C5871" t="s">
        <v>40</v>
      </c>
      <c r="D5871">
        <v>4.1001510000000003</v>
      </c>
      <c r="E5871">
        <v>0.51320690000000002</v>
      </c>
      <c r="F5871" t="s">
        <v>43</v>
      </c>
      <c r="G5871">
        <v>-301.68959999999998</v>
      </c>
      <c r="H5871" s="1">
        <v>-8.3914109999999995E-7</v>
      </c>
      <c r="I5871">
        <v>-19.502770000000002</v>
      </c>
      <c r="J5871">
        <v>-301.7636</v>
      </c>
      <c r="K5871">
        <v>1.0793410000000001</v>
      </c>
      <c r="L5871">
        <v>-1.9176029999999999</v>
      </c>
      <c r="M5871">
        <v>0.2049414</v>
      </c>
      <c r="N5871">
        <v>0</v>
      </c>
      <c r="O5871">
        <v>-0.97877360000000002</v>
      </c>
      <c r="P5871">
        <v>4.0469930000000001E-2</v>
      </c>
      <c r="Q5871">
        <v>0.1776759</v>
      </c>
      <c r="R5871">
        <v>-0.98325709999999999</v>
      </c>
      <c r="S5871">
        <v>1.818848E-2</v>
      </c>
      <c r="T5871">
        <v>-0.1873919</v>
      </c>
      <c r="U5871">
        <v>-3.0831300000000001</v>
      </c>
      <c r="V5871">
        <v>0.16322120000000001</v>
      </c>
      <c r="W5871">
        <v>0.17512610000000001</v>
      </c>
      <c r="X5871">
        <v>0.97092210000000001</v>
      </c>
      <c r="Y5871">
        <v>0.19917029999999999</v>
      </c>
      <c r="Z5871">
        <v>5.8129569999999998E-2</v>
      </c>
      <c r="AA5871">
        <v>0.97823930000000003</v>
      </c>
      <c r="AB5871">
        <v>16</v>
      </c>
      <c r="AC5871">
        <v>7.4000000000012195E-2</v>
      </c>
      <c r="AD5871">
        <v>-1.0793418391410901</v>
      </c>
      <c r="AE5871">
        <v>-17.585166999999998</v>
      </c>
      <c r="AF5871">
        <v>3.5182478247042699</v>
      </c>
      <c r="AG5871">
        <v>-1.0793418391410901</v>
      </c>
      <c r="AH5871">
        <v>17.162419681157701</v>
      </c>
      <c r="AI5871">
        <v>93.525459469390299</v>
      </c>
      <c r="AJ5871">
        <v>78.415028230419694</v>
      </c>
      <c r="AK5871">
        <v>17.552541009037601</v>
      </c>
      <c r="AL5871">
        <v>79.914003750229</v>
      </c>
      <c r="AM5871">
        <v>80.457264327625694</v>
      </c>
      <c r="AN5871">
        <v>1.0000000176495201</v>
      </c>
    </row>
    <row r="5872" spans="1:40" x14ac:dyDescent="0.25">
      <c r="A5872" t="str">
        <f>"20190312172525414"</f>
        <v>20190312172525414</v>
      </c>
      <c r="B5872" t="str">
        <f>"1552382725406295"</f>
        <v>1552382725406295</v>
      </c>
      <c r="C5872" t="s">
        <v>40</v>
      </c>
      <c r="D5872">
        <v>4.105429</v>
      </c>
      <c r="E5872">
        <v>0.51371199999999995</v>
      </c>
      <c r="F5872" t="s">
        <v>43</v>
      </c>
      <c r="G5872">
        <v>-301.67410000000001</v>
      </c>
      <c r="H5872" s="1">
        <v>-1.734122E-6</v>
      </c>
      <c r="I5872">
        <v>-17.4069</v>
      </c>
      <c r="J5872">
        <v>-301.73480000000001</v>
      </c>
      <c r="K5872">
        <v>1.080749</v>
      </c>
      <c r="L5872">
        <v>-2.0731510000000002</v>
      </c>
      <c r="M5872">
        <v>0.2042475</v>
      </c>
      <c r="N5872">
        <v>0</v>
      </c>
      <c r="O5872">
        <v>-0.97891910000000004</v>
      </c>
      <c r="P5872">
        <v>4.4031420000000002E-2</v>
      </c>
      <c r="Q5872">
        <v>0.17857870000000001</v>
      </c>
      <c r="R5872">
        <v>-0.98294000000000004</v>
      </c>
      <c r="S5872">
        <v>1.7852779999999999E-2</v>
      </c>
      <c r="T5872">
        <v>-0.21526960000000001</v>
      </c>
      <c r="U5872">
        <v>-3.089264</v>
      </c>
      <c r="V5872">
        <v>0.1591757</v>
      </c>
      <c r="W5872">
        <v>0.17656620000000001</v>
      </c>
      <c r="X5872">
        <v>0.9713328</v>
      </c>
      <c r="Y5872">
        <v>0.1985952</v>
      </c>
      <c r="Z5872">
        <v>6.6625799999999999E-2</v>
      </c>
      <c r="AA5872">
        <v>0.97781439999999997</v>
      </c>
      <c r="AB5872">
        <v>16</v>
      </c>
      <c r="AC5872">
        <v>6.0699999999996999E-2</v>
      </c>
      <c r="AD5872">
        <v>-1.080750734122</v>
      </c>
      <c r="AE5872">
        <v>-15.333748999999999</v>
      </c>
      <c r="AF5872">
        <v>3.0572727126373298</v>
      </c>
      <c r="AG5872">
        <v>-1.080750734122</v>
      </c>
      <c r="AH5872">
        <v>14.948641222649799</v>
      </c>
      <c r="AI5872">
        <v>94.051573858695605</v>
      </c>
      <c r="AJ5872">
        <v>78.441355133533406</v>
      </c>
      <c r="AK5872">
        <v>15.2963006309449</v>
      </c>
      <c r="AL5872">
        <v>79.830185498824207</v>
      </c>
      <c r="AM5872">
        <v>80.693459636923706</v>
      </c>
      <c r="AN5872">
        <v>0.99999996740438402</v>
      </c>
    </row>
    <row r="5873" spans="1:40" x14ac:dyDescent="0.25">
      <c r="A5873" t="str">
        <f>"20190312172525437"</f>
        <v>20190312172525437</v>
      </c>
      <c r="B5873" t="str">
        <f>"1552382725426791"</f>
        <v>1552382725426791</v>
      </c>
      <c r="C5873" t="s">
        <v>40</v>
      </c>
      <c r="D5873">
        <v>4.1149709999999997</v>
      </c>
      <c r="E5873">
        <v>0.51391969999999998</v>
      </c>
      <c r="F5873" t="s">
        <v>43</v>
      </c>
      <c r="G5873">
        <v>-301.60809999999998</v>
      </c>
      <c r="H5873" s="1">
        <v>-1.5935770000000001E-6</v>
      </c>
      <c r="I5873">
        <v>-17.693619999999999</v>
      </c>
      <c r="J5873">
        <v>-301.70479999999998</v>
      </c>
      <c r="K5873">
        <v>1.0830649999999999</v>
      </c>
      <c r="L5873">
        <v>-2.2379760000000002</v>
      </c>
      <c r="M5873">
        <v>0.2024514</v>
      </c>
      <c r="N5873">
        <v>0</v>
      </c>
      <c r="O5873">
        <v>-0.97929250000000001</v>
      </c>
      <c r="P5873">
        <v>4.6135639999999999E-2</v>
      </c>
      <c r="Q5873">
        <v>0.1790622</v>
      </c>
      <c r="R5873">
        <v>-0.98275559999999995</v>
      </c>
      <c r="S5873">
        <v>2.505493E-2</v>
      </c>
      <c r="T5873">
        <v>-0.2137762</v>
      </c>
      <c r="U5873">
        <v>-3.0897830000000002</v>
      </c>
      <c r="V5873">
        <v>0.15522859999999999</v>
      </c>
      <c r="W5873">
        <v>0.177886299999999</v>
      </c>
      <c r="X5873">
        <v>0.97173069999999895</v>
      </c>
      <c r="Y5873">
        <v>0.19451740000000001</v>
      </c>
      <c r="Z5873">
        <v>6.6221189999999999E-2</v>
      </c>
      <c r="AA5873">
        <v>0.97866120000000001</v>
      </c>
      <c r="AB5873">
        <v>16</v>
      </c>
      <c r="AC5873">
        <v>9.6699999999998398E-2</v>
      </c>
      <c r="AD5873">
        <v>-1.0830665935770001</v>
      </c>
      <c r="AE5873">
        <v>-15.455643999999999</v>
      </c>
      <c r="AF5873">
        <v>3.0194916316071798</v>
      </c>
      <c r="AG5873">
        <v>-1.0830665935770001</v>
      </c>
      <c r="AH5873">
        <v>15.081115806462099</v>
      </c>
      <c r="AI5873">
        <v>94.028034869338796</v>
      </c>
      <c r="AJ5873">
        <v>78.6781281327345</v>
      </c>
      <c r="AK5873">
        <v>15.418508907393999</v>
      </c>
      <c r="AL5873">
        <v>79.753333138606905</v>
      </c>
      <c r="AM5873">
        <v>80.923999314862499</v>
      </c>
      <c r="AN5873">
        <v>1.0000000036540599</v>
      </c>
    </row>
    <row r="5874" spans="1:40" x14ac:dyDescent="0.25">
      <c r="A5874" t="str">
        <f>"20190312172525458"</f>
        <v>20190312172525458</v>
      </c>
      <c r="B5874" t="str">
        <f>"1552382725446310"</f>
        <v>1552382725446310</v>
      </c>
      <c r="C5874" t="s">
        <v>40</v>
      </c>
      <c r="D5874">
        <v>4.0946740000000004</v>
      </c>
      <c r="E5874">
        <v>0.51404510000000003</v>
      </c>
      <c r="F5874" t="s">
        <v>43</v>
      </c>
      <c r="G5874">
        <v>-301.54300000000001</v>
      </c>
      <c r="H5874" s="1">
        <v>-1.431331E-6</v>
      </c>
      <c r="I5874">
        <v>-18.03143</v>
      </c>
      <c r="J5874">
        <v>-301.67649999999998</v>
      </c>
      <c r="K5874">
        <v>1.0857190000000001</v>
      </c>
      <c r="L5874">
        <v>-2.392639</v>
      </c>
      <c r="M5874">
        <v>0.19915630000000001</v>
      </c>
      <c r="N5874">
        <v>0</v>
      </c>
      <c r="O5874">
        <v>-0.97996740000000004</v>
      </c>
      <c r="P5874">
        <v>4.7171579999999998E-2</v>
      </c>
      <c r="Q5874">
        <v>0.1779231</v>
      </c>
      <c r="R5874">
        <v>-0.98291300000000004</v>
      </c>
      <c r="S5874">
        <v>3.1646729999999998E-2</v>
      </c>
      <c r="T5874">
        <v>-0.21188570000000001</v>
      </c>
      <c r="U5874">
        <v>-3.0897519999999998</v>
      </c>
      <c r="V5874">
        <v>0.15074319999999999</v>
      </c>
      <c r="W5874">
        <v>0.17771789999999901</v>
      </c>
      <c r="X5874">
        <v>0.97246739999999998</v>
      </c>
      <c r="Y5874">
        <v>0.1891275</v>
      </c>
      <c r="Z5874">
        <v>6.5743739999999995E-2</v>
      </c>
      <c r="AA5874">
        <v>0.97974919999999999</v>
      </c>
      <c r="AB5874">
        <v>16</v>
      </c>
      <c r="AC5874">
        <v>0.133499999999969</v>
      </c>
      <c r="AD5874">
        <v>-1.085720431331</v>
      </c>
      <c r="AE5874">
        <v>-15.638790999999999</v>
      </c>
      <c r="AF5874">
        <v>2.9694280653768699</v>
      </c>
      <c r="AG5874">
        <v>-1.085720431331</v>
      </c>
      <c r="AH5874">
        <v>15.2784639262509</v>
      </c>
      <c r="AI5874">
        <v>93.990310874557494</v>
      </c>
      <c r="AJ5874">
        <v>79.001461607431096</v>
      </c>
      <c r="AK5874">
        <v>15.6021713820932</v>
      </c>
      <c r="AL5874">
        <v>79.763137981124103</v>
      </c>
      <c r="AM5874">
        <v>81.188648334209304</v>
      </c>
      <c r="AN5874">
        <v>1.0000000041946999</v>
      </c>
    </row>
    <row r="5875" spans="1:40" x14ac:dyDescent="0.25">
      <c r="A5875" t="str">
        <f>"20190312172525481"</f>
        <v>20190312172525481</v>
      </c>
      <c r="B5875" t="str">
        <f>"1552382725476566"</f>
        <v>1552382725476566</v>
      </c>
      <c r="C5875" t="s">
        <v>40</v>
      </c>
      <c r="D5875">
        <v>4.070684</v>
      </c>
      <c r="E5875">
        <v>0.51418699999999995</v>
      </c>
      <c r="F5875" t="s">
        <v>43</v>
      </c>
      <c r="G5875">
        <v>-301.50510000000003</v>
      </c>
      <c r="H5875" s="1">
        <v>-1.539314E-6</v>
      </c>
      <c r="I5875">
        <v>-17.756180000000001</v>
      </c>
      <c r="J5875">
        <v>-301.64749999999998</v>
      </c>
      <c r="K5875">
        <v>1.088517</v>
      </c>
      <c r="L5875">
        <v>-2.5514830000000002</v>
      </c>
      <c r="M5875">
        <v>0.19495899999999999</v>
      </c>
      <c r="N5875">
        <v>0</v>
      </c>
      <c r="O5875">
        <v>-0.98080979999999995</v>
      </c>
      <c r="P5875">
        <v>4.7306300000000003E-2</v>
      </c>
      <c r="Q5875">
        <v>0.17724589999999901</v>
      </c>
      <c r="R5875">
        <v>-0.98302900000000004</v>
      </c>
      <c r="S5875">
        <v>3.4484859999999999E-2</v>
      </c>
      <c r="T5875">
        <v>-0.21836810000000001</v>
      </c>
      <c r="U5875">
        <v>-3.0900270000000001</v>
      </c>
      <c r="V5875">
        <v>0.146227</v>
      </c>
      <c r="W5875">
        <v>0.17816599999999999</v>
      </c>
      <c r="X5875">
        <v>0.97307480000000002</v>
      </c>
      <c r="Y5875">
        <v>0.18402399999999999</v>
      </c>
      <c r="Z5875">
        <v>6.7862320000000004E-2</v>
      </c>
      <c r="AA5875">
        <v>0.98057629999999996</v>
      </c>
      <c r="AB5875">
        <v>16</v>
      </c>
      <c r="AC5875">
        <v>0.14239999999995201</v>
      </c>
      <c r="AD5875">
        <v>-1.088518539314</v>
      </c>
      <c r="AE5875">
        <v>-15.204696999999999</v>
      </c>
      <c r="AF5875">
        <v>2.8102277279544401</v>
      </c>
      <c r="AG5875">
        <v>-1.088518539314</v>
      </c>
      <c r="AH5875">
        <v>14.8645234227617</v>
      </c>
      <c r="AI5875">
        <v>94.115606090286093</v>
      </c>
      <c r="AJ5875">
        <v>79.294243191030702</v>
      </c>
      <c r="AK5875">
        <v>15.166947915754999</v>
      </c>
      <c r="AL5875">
        <v>79.737047450284507</v>
      </c>
      <c r="AM5875">
        <v>81.4539299312856</v>
      </c>
      <c r="AN5875">
        <v>1.0000000127400199</v>
      </c>
    </row>
    <row r="5876" spans="1:40" x14ac:dyDescent="0.25">
      <c r="A5876" t="str">
        <f>"20190312172525503"</f>
        <v>20190312172525503</v>
      </c>
      <c r="B5876" t="str">
        <f>"1552382725496087"</f>
        <v>1552382725496087</v>
      </c>
      <c r="C5876" t="s">
        <v>40</v>
      </c>
      <c r="D5876">
        <v>4.0336860000000003</v>
      </c>
      <c r="E5876">
        <v>0.51481469999999996</v>
      </c>
      <c r="F5876" t="s">
        <v>43</v>
      </c>
      <c r="G5876">
        <v>-301.49439999999998</v>
      </c>
      <c r="H5876" s="1">
        <v>-1.870609E-6</v>
      </c>
      <c r="I5876">
        <v>-16.977319999999999</v>
      </c>
      <c r="J5876">
        <v>-301.61849999999998</v>
      </c>
      <c r="K5876">
        <v>1.0910839999999999</v>
      </c>
      <c r="L5876">
        <v>-2.71225</v>
      </c>
      <c r="M5876">
        <v>0.1911552</v>
      </c>
      <c r="N5876">
        <v>0</v>
      </c>
      <c r="O5876">
        <v>-0.98155599999999998</v>
      </c>
      <c r="P5876">
        <v>4.7136780000000003E-2</v>
      </c>
      <c r="Q5876">
        <v>0.1769809</v>
      </c>
      <c r="R5876">
        <v>-0.98308499999999999</v>
      </c>
      <c r="S5876">
        <v>3.2806399999999999E-2</v>
      </c>
      <c r="T5876">
        <v>-0.23333200000000001</v>
      </c>
      <c r="U5876">
        <v>-3.092285</v>
      </c>
      <c r="V5876">
        <v>0.14249319999999999</v>
      </c>
      <c r="W5876">
        <v>0.1790447</v>
      </c>
      <c r="X5876">
        <v>0.97346739999999998</v>
      </c>
      <c r="Y5876">
        <v>0.18075620000000001</v>
      </c>
      <c r="Z5876">
        <v>7.2542090000000004E-2</v>
      </c>
      <c r="AA5876">
        <v>0.98084899999999997</v>
      </c>
      <c r="AB5876">
        <v>16</v>
      </c>
      <c r="AC5876">
        <v>0.124099999999998</v>
      </c>
      <c r="AD5876">
        <v>-1.0910858706090001</v>
      </c>
      <c r="AE5876">
        <v>-14.26507</v>
      </c>
      <c r="AF5876">
        <v>2.5898907798361299</v>
      </c>
      <c r="AG5876">
        <v>-1.0910858706090001</v>
      </c>
      <c r="AH5876">
        <v>13.944170178413</v>
      </c>
      <c r="AI5876">
        <v>94.3991599211558</v>
      </c>
      <c r="AJ5876">
        <v>79.478186258393904</v>
      </c>
      <c r="AK5876">
        <v>14.224552175484</v>
      </c>
      <c r="AL5876">
        <v>79.685879263044995</v>
      </c>
      <c r="AM5876">
        <v>81.672358440975103</v>
      </c>
      <c r="AN5876">
        <v>1.00000004775354</v>
      </c>
    </row>
    <row r="5877" spans="1:40" x14ac:dyDescent="0.25">
      <c r="A5877" t="str">
        <f>"20190312172525525"</f>
        <v>20190312172525525</v>
      </c>
      <c r="B5877" t="str">
        <f>"1552382725516583"</f>
        <v>1552382725516583</v>
      </c>
      <c r="C5877" t="s">
        <v>40</v>
      </c>
      <c r="D5877">
        <v>4.0514349999999997</v>
      </c>
      <c r="E5877">
        <v>0.51448909999999903</v>
      </c>
      <c r="F5877" t="s">
        <v>41</v>
      </c>
      <c r="G5877">
        <v>-301.61110000000002</v>
      </c>
      <c r="H5877">
        <v>1.0229349999999999</v>
      </c>
      <c r="I5877">
        <v>-3.5877729999999999</v>
      </c>
      <c r="J5877">
        <v>-301.59120000000001</v>
      </c>
      <c r="K5877">
        <v>1.0932519999999999</v>
      </c>
      <c r="L5877">
        <v>-2.8672179999999998</v>
      </c>
      <c r="M5877">
        <v>0.18842120000000001</v>
      </c>
      <c r="N5877">
        <v>0</v>
      </c>
      <c r="O5877">
        <v>-0.98208079999999998</v>
      </c>
      <c r="P5877">
        <v>4.7165539999999999E-2</v>
      </c>
      <c r="Q5877">
        <v>0.17659749999999999</v>
      </c>
      <c r="R5877">
        <v>-0.98315260000000004</v>
      </c>
      <c r="S5877">
        <v>2.6550290000000001E-2</v>
      </c>
      <c r="T5877">
        <v>-0.24071780000000001</v>
      </c>
      <c r="U5877">
        <v>-3.0936889999999999</v>
      </c>
      <c r="V5877">
        <v>0.13972770000000001</v>
      </c>
      <c r="W5877">
        <v>0.1796973</v>
      </c>
      <c r="X5877">
        <v>0.97374799999999995</v>
      </c>
      <c r="Y5877">
        <v>0.18000749999999999</v>
      </c>
      <c r="Z5877">
        <v>7.4858330000000001E-2</v>
      </c>
      <c r="AA5877">
        <v>0.98081269999999998</v>
      </c>
      <c r="AB5877">
        <v>16</v>
      </c>
      <c r="AC5877">
        <v>-1.9900000000006898E-2</v>
      </c>
      <c r="AD5877">
        <v>-7.0317000000000102E-2</v>
      </c>
      <c r="AE5877">
        <v>-0.72055499999999995</v>
      </c>
      <c r="AF5877">
        <v>0.15384836751366199</v>
      </c>
      <c r="AG5877">
        <v>-7.0317000000000102E-2</v>
      </c>
      <c r="AH5877">
        <v>0.69726366766307701</v>
      </c>
      <c r="AI5877">
        <v>95.624260397376901</v>
      </c>
      <c r="AJ5877">
        <v>77.557287537242701</v>
      </c>
      <c r="AK5877">
        <v>0.7174889705902</v>
      </c>
      <c r="AL5877">
        <v>79.6478717253501</v>
      </c>
      <c r="AM5877">
        <v>81.834100780517105</v>
      </c>
      <c r="AN5877">
        <v>1.0000000586392801</v>
      </c>
    </row>
    <row r="5878" spans="1:40" x14ac:dyDescent="0.25">
      <c r="A5878" t="str">
        <f>"20190312172525614"</f>
        <v>20190312172525614</v>
      </c>
      <c r="B5878" t="str">
        <f>"1552382725606374"</f>
        <v>1552382725606374</v>
      </c>
      <c r="C5878" t="s">
        <v>40</v>
      </c>
      <c r="D5878">
        <v>4.4612990000000003</v>
      </c>
      <c r="E5878">
        <v>0.49842500000000001</v>
      </c>
      <c r="F5878" t="s">
        <v>41</v>
      </c>
      <c r="G5878">
        <v>-301.58319999999998</v>
      </c>
      <c r="H5878">
        <v>1.0247269999999999</v>
      </c>
      <c r="I5878">
        <v>-3.7268620000000001</v>
      </c>
      <c r="J5878">
        <v>-301.4855</v>
      </c>
      <c r="K5878">
        <v>1.1005450000000001</v>
      </c>
      <c r="L5878">
        <v>-3.5001530000000001</v>
      </c>
      <c r="M5878">
        <v>0.17947099999999999</v>
      </c>
      <c r="N5878">
        <v>0</v>
      </c>
      <c r="O5878">
        <v>-0.98373600000000005</v>
      </c>
      <c r="P5878">
        <v>5.0403499999999997E-2</v>
      </c>
      <c r="Q5878">
        <v>0.17226129999999901</v>
      </c>
      <c r="R5878">
        <v>-0.983761</v>
      </c>
      <c r="S5878">
        <v>2.966309E-2</v>
      </c>
      <c r="T5878">
        <v>-0.24635409999999999</v>
      </c>
      <c r="U5878">
        <v>-3.0942379999999998</v>
      </c>
      <c r="V5878">
        <v>0.12757379999999999</v>
      </c>
      <c r="W5878">
        <v>0.1789983</v>
      </c>
      <c r="X5878">
        <v>0.97554319999999894</v>
      </c>
      <c r="Y5878">
        <v>0.17006180000000001</v>
      </c>
      <c r="Z5878">
        <v>7.6855709999999994E-2</v>
      </c>
      <c r="AA5878">
        <v>0.98243179999999997</v>
      </c>
      <c r="AB5878">
        <v>16</v>
      </c>
      <c r="AC5878">
        <v>-9.7699999999974793E-2</v>
      </c>
      <c r="AD5878">
        <v>-7.5818000000000094E-2</v>
      </c>
      <c r="AE5878">
        <v>-0.22670899999999999</v>
      </c>
      <c r="AF5878">
        <v>0.12501074828669401</v>
      </c>
      <c r="AG5878">
        <v>-7.5818000000000094E-2</v>
      </c>
      <c r="AH5878">
        <v>0.187780622209124</v>
      </c>
      <c r="AI5878">
        <v>108.577129756134</v>
      </c>
      <c r="AJ5878">
        <v>56.347196800328597</v>
      </c>
      <c r="AK5878">
        <v>0.23798659287540799</v>
      </c>
      <c r="AL5878">
        <v>79.6885809472993</v>
      </c>
      <c r="AM5878">
        <v>82.549591200644898</v>
      </c>
      <c r="AN5878">
        <v>1.00000000045778</v>
      </c>
    </row>
    <row r="5879" spans="1:40" x14ac:dyDescent="0.25">
      <c r="A5879" t="str">
        <f>"20190312172525637"</f>
        <v>20190312172525637</v>
      </c>
      <c r="B5879" t="str">
        <f>"1552382725625895"</f>
        <v>1552382725625895</v>
      </c>
      <c r="C5879" t="s">
        <v>40</v>
      </c>
      <c r="D5879">
        <v>3.9978790000000002</v>
      </c>
      <c r="E5879">
        <v>0.49625540000000001</v>
      </c>
      <c r="F5879" t="s">
        <v>41</v>
      </c>
      <c r="G5879">
        <v>-301.44709999999998</v>
      </c>
      <c r="H5879">
        <v>0.93371219999999999</v>
      </c>
      <c r="I5879">
        <v>-4.2336929999999997</v>
      </c>
      <c r="J5879">
        <v>-301.45920000000001</v>
      </c>
      <c r="K5879">
        <v>1.1020350000000001</v>
      </c>
      <c r="L5879">
        <v>-3.6618650000000001</v>
      </c>
      <c r="M5879">
        <v>0.17702899999999999</v>
      </c>
      <c r="N5879">
        <v>0</v>
      </c>
      <c r="O5879">
        <v>-0.98417319999999997</v>
      </c>
      <c r="P5879">
        <v>5.0362289999999997E-2</v>
      </c>
      <c r="Q5879">
        <v>0.1716618</v>
      </c>
      <c r="R5879">
        <v>-0.98386790000000002</v>
      </c>
      <c r="S5879">
        <v>0.1668396</v>
      </c>
      <c r="T5879">
        <v>-0.71999480000000005</v>
      </c>
      <c r="U5879">
        <v>-3.1670530000000001</v>
      </c>
      <c r="V5879">
        <v>0.12512409999999999</v>
      </c>
      <c r="W5879">
        <v>0.17914369999999999</v>
      </c>
      <c r="X5879">
        <v>0.97583379999999997</v>
      </c>
      <c r="Y5879">
        <v>0.126252</v>
      </c>
      <c r="Z5879">
        <v>0.2154652</v>
      </c>
      <c r="AA5879">
        <v>0.9683157</v>
      </c>
      <c r="AB5879">
        <v>16</v>
      </c>
      <c r="AC5879">
        <v>1.2100000000032101E-2</v>
      </c>
      <c r="AD5879">
        <v>-0.16832279999999999</v>
      </c>
      <c r="AE5879">
        <v>-0.571827999999999</v>
      </c>
      <c r="AF5879">
        <v>8.2204853644870901E-2</v>
      </c>
      <c r="AG5879">
        <v>-0.16832279999999999</v>
      </c>
      <c r="AH5879">
        <v>0.51990930020167103</v>
      </c>
      <c r="AI5879">
        <v>107.733318324415</v>
      </c>
      <c r="AJ5879">
        <v>81.015125715583594</v>
      </c>
      <c r="AK5879">
        <v>0.55262635061929999</v>
      </c>
      <c r="AL5879">
        <v>79.680113844319493</v>
      </c>
      <c r="AM5879">
        <v>82.693246758842207</v>
      </c>
      <c r="AN5879">
        <v>1.0000000554364601</v>
      </c>
    </row>
    <row r="5880" spans="1:40" x14ac:dyDescent="0.25">
      <c r="A5880" t="str">
        <f>"20190312172525662"</f>
        <v>20190312172525662</v>
      </c>
      <c r="B5880" t="str">
        <f>"1552382725656151"</f>
        <v>1552382725656151</v>
      </c>
      <c r="C5880" t="s">
        <v>40</v>
      </c>
      <c r="D5880">
        <v>3.9527610000000002</v>
      </c>
      <c r="E5880">
        <v>0.50052029999999903</v>
      </c>
      <c r="F5880" t="s">
        <v>41</v>
      </c>
      <c r="G5880">
        <v>-301.41680000000002</v>
      </c>
      <c r="H5880">
        <v>0.95914790000000005</v>
      </c>
      <c r="I5880">
        <v>-4.3853730000000004</v>
      </c>
      <c r="J5880">
        <v>-301.43189999999998</v>
      </c>
      <c r="K5880">
        <v>1.103356</v>
      </c>
      <c r="L5880">
        <v>-3.831696</v>
      </c>
      <c r="M5880">
        <v>0.174611299999999</v>
      </c>
      <c r="N5880">
        <v>0</v>
      </c>
      <c r="O5880">
        <v>-0.98459969999999997</v>
      </c>
      <c r="P5880">
        <v>4.998317E-2</v>
      </c>
      <c r="Q5880">
        <v>0.17030310000000001</v>
      </c>
      <c r="R5880">
        <v>-0.98412379999999999</v>
      </c>
      <c r="S5880">
        <v>0.18579100000000001</v>
      </c>
      <c r="T5880">
        <v>-0.62134429999999996</v>
      </c>
      <c r="U5880">
        <v>-3.1481020000000002</v>
      </c>
      <c r="V5880">
        <v>0.123081</v>
      </c>
      <c r="W5880">
        <v>0.17845269999999999</v>
      </c>
      <c r="X5880">
        <v>0.97622010000000004</v>
      </c>
      <c r="Y5880">
        <v>0.1173656</v>
      </c>
      <c r="Z5880">
        <v>0.188391</v>
      </c>
      <c r="AA5880">
        <v>0.97505600000000003</v>
      </c>
      <c r="AB5880">
        <v>16</v>
      </c>
      <c r="AC5880">
        <v>1.50999999999612E-2</v>
      </c>
      <c r="AD5880">
        <v>-0.14420810000000001</v>
      </c>
      <c r="AE5880">
        <v>-0.55367699999999997</v>
      </c>
      <c r="AF5880">
        <v>7.6620038656823097E-2</v>
      </c>
      <c r="AG5880">
        <v>-0.14420810000000001</v>
      </c>
      <c r="AH5880">
        <v>0.51303062737536897</v>
      </c>
      <c r="AI5880">
        <v>105.536317687078</v>
      </c>
      <c r="AJ5880">
        <v>81.5057791927198</v>
      </c>
      <c r="AK5880">
        <v>0.53839300799188305</v>
      </c>
      <c r="AL5880">
        <v>79.720352992531701</v>
      </c>
      <c r="AM5880">
        <v>82.814112284864606</v>
      </c>
      <c r="AN5880">
        <v>0.99999999117115002</v>
      </c>
    </row>
    <row r="5881" spans="1:40" x14ac:dyDescent="0.25">
      <c r="A5881" t="str">
        <f>"20190312172525682"</f>
        <v>20190312172525682</v>
      </c>
      <c r="B5881" t="str">
        <f>"1552382725676647"</f>
        <v>1552382725676647</v>
      </c>
      <c r="C5881" t="s">
        <v>40</v>
      </c>
      <c r="D5881">
        <v>6.8750330000000002</v>
      </c>
      <c r="E5881">
        <v>0.49890099999999998</v>
      </c>
      <c r="F5881" t="s">
        <v>43</v>
      </c>
      <c r="G5881">
        <v>-300.5478</v>
      </c>
      <c r="H5881" s="1">
        <v>-3.7854409999999999E-6</v>
      </c>
      <c r="I5881">
        <v>-21.926680000000001</v>
      </c>
      <c r="J5881">
        <v>-301.40890000000002</v>
      </c>
      <c r="K5881">
        <v>1.104279</v>
      </c>
      <c r="L5881">
        <v>-3.975708</v>
      </c>
      <c r="M5881">
        <v>0.17264860000000001</v>
      </c>
      <c r="N5881">
        <v>0</v>
      </c>
      <c r="O5881">
        <v>-0.98494139999999997</v>
      </c>
      <c r="P5881">
        <v>5.0273709999999999E-2</v>
      </c>
      <c r="Q5881">
        <v>0.16858989999999999</v>
      </c>
      <c r="R5881">
        <v>-0.98440329999999998</v>
      </c>
      <c r="S5881">
        <v>0.15014649999999999</v>
      </c>
      <c r="T5881">
        <v>-0.18739220000000001</v>
      </c>
      <c r="U5881">
        <v>-3.0732119999999998</v>
      </c>
      <c r="V5881">
        <v>0.1208665</v>
      </c>
      <c r="W5881">
        <v>0.177227</v>
      </c>
      <c r="X5881">
        <v>0.97672000000000003</v>
      </c>
      <c r="Y5881">
        <v>0.12447030000000001</v>
      </c>
      <c r="Z5881">
        <v>5.9223100000000001E-2</v>
      </c>
      <c r="AA5881">
        <v>0.99045430000000001</v>
      </c>
      <c r="AB5881">
        <v>16</v>
      </c>
      <c r="AC5881">
        <v>0.86110000000002096</v>
      </c>
      <c r="AD5881">
        <v>-1.104282785441</v>
      </c>
      <c r="AE5881">
        <v>-17.950971999999901</v>
      </c>
      <c r="AF5881">
        <v>2.2427028986415301</v>
      </c>
      <c r="AG5881">
        <v>-1.104282785441</v>
      </c>
      <c r="AH5881">
        <v>17.7629962250166</v>
      </c>
      <c r="AI5881">
        <v>93.529414768792705</v>
      </c>
      <c r="AJ5881">
        <v>82.804080971213594</v>
      </c>
      <c r="AK5881">
        <v>17.938037564119099</v>
      </c>
      <c r="AL5881">
        <v>79.791718530954896</v>
      </c>
      <c r="AM5881">
        <v>82.945662567794301</v>
      </c>
      <c r="AN5881">
        <v>1.0000000393756201</v>
      </c>
    </row>
    <row r="5882" spans="1:40" x14ac:dyDescent="0.25">
      <c r="A5882" t="str">
        <f>"20190312172525703"</f>
        <v>20190312172525703</v>
      </c>
      <c r="B5882" t="str">
        <f>"1552382725696167"</f>
        <v>1552382725696167</v>
      </c>
      <c r="C5882" t="s">
        <v>40</v>
      </c>
      <c r="D5882">
        <v>3.9337409999999999</v>
      </c>
      <c r="E5882">
        <v>0.49922569999999999</v>
      </c>
      <c r="F5882" t="s">
        <v>41</v>
      </c>
      <c r="G5882">
        <v>-301.36259999999999</v>
      </c>
      <c r="H5882">
        <v>1.0429630000000001</v>
      </c>
      <c r="I5882">
        <v>-4.8521619999999999</v>
      </c>
      <c r="J5882">
        <v>-301.38420000000002</v>
      </c>
      <c r="K5882">
        <v>1.105132</v>
      </c>
      <c r="L5882">
        <v>-4.1326599999999996</v>
      </c>
      <c r="M5882">
        <v>0.170492899999999</v>
      </c>
      <c r="N5882">
        <v>0</v>
      </c>
      <c r="O5882">
        <v>-0.98531219999999997</v>
      </c>
      <c r="P5882">
        <v>5.0327789999999997E-2</v>
      </c>
      <c r="Q5882">
        <v>0.16661870000000001</v>
      </c>
      <c r="R5882">
        <v>-0.98473599999999994</v>
      </c>
      <c r="S5882">
        <v>0.16323850000000001</v>
      </c>
      <c r="T5882">
        <v>-0.21507009999999999</v>
      </c>
      <c r="U5882">
        <v>-3.0760190000000001</v>
      </c>
      <c r="V5882">
        <v>0.1187136</v>
      </c>
      <c r="W5882">
        <v>0.17572650000000001</v>
      </c>
      <c r="X5882">
        <v>0.97725499999999998</v>
      </c>
      <c r="Y5882">
        <v>0.1181664</v>
      </c>
      <c r="Z5882">
        <v>6.7928160000000001E-2</v>
      </c>
      <c r="AA5882">
        <v>0.99066770000000004</v>
      </c>
      <c r="AB5882">
        <v>16</v>
      </c>
      <c r="AC5882">
        <v>2.16000000000349E-2</v>
      </c>
      <c r="AD5882">
        <v>-6.2169000000000099E-2</v>
      </c>
      <c r="AE5882">
        <v>-0.71950199999999997</v>
      </c>
      <c r="AF5882">
        <v>0.100641201836857</v>
      </c>
      <c r="AG5882">
        <v>-6.2169000000000099E-2</v>
      </c>
      <c r="AH5882">
        <v>0.70737310117759</v>
      </c>
      <c r="AI5882">
        <v>94.972833768934706</v>
      </c>
      <c r="AJ5882">
        <v>81.902611852932097</v>
      </c>
      <c r="AK5882">
        <v>0.71719616586940105</v>
      </c>
      <c r="AL5882">
        <v>79.879061608815306</v>
      </c>
      <c r="AM5882">
        <v>83.073840103492202</v>
      </c>
      <c r="AN5882">
        <v>1.0000000283260999</v>
      </c>
    </row>
    <row r="5883" spans="1:40" x14ac:dyDescent="0.25">
      <c r="A5883" t="str">
        <f>"20190312172525726"</f>
        <v>20190312172525726</v>
      </c>
      <c r="B5883" t="str">
        <f>"1552382725716663"</f>
        <v>1552382725716663</v>
      </c>
      <c r="C5883" t="s">
        <v>40</v>
      </c>
      <c r="D5883">
        <v>3.959654</v>
      </c>
      <c r="E5883">
        <v>0.49957030000000002</v>
      </c>
      <c r="F5883" t="s">
        <v>41</v>
      </c>
      <c r="G5883">
        <v>-301.34010000000001</v>
      </c>
      <c r="H5883">
        <v>1.0402119999999999</v>
      </c>
      <c r="I5883">
        <v>-4.9893739999999998</v>
      </c>
      <c r="J5883">
        <v>-301.36020000000002</v>
      </c>
      <c r="K5883">
        <v>1.105847</v>
      </c>
      <c r="L5883">
        <v>-4.2870790000000003</v>
      </c>
      <c r="M5883">
        <v>0.16831070000000001</v>
      </c>
      <c r="N5883">
        <v>0</v>
      </c>
      <c r="O5883">
        <v>-0.98568359999999999</v>
      </c>
      <c r="P5883">
        <v>4.8696290000000003E-2</v>
      </c>
      <c r="Q5883">
        <v>0.16583390000000001</v>
      </c>
      <c r="R5883">
        <v>-0.98495080000000002</v>
      </c>
      <c r="S5883">
        <v>0.15978999999999999</v>
      </c>
      <c r="T5883">
        <v>-0.23275290000000001</v>
      </c>
      <c r="U5883">
        <v>-3.077728</v>
      </c>
      <c r="V5883">
        <v>0.1181851</v>
      </c>
      <c r="W5883">
        <v>0.17534530000000001</v>
      </c>
      <c r="X5883">
        <v>0.97738749999999996</v>
      </c>
      <c r="Y5883">
        <v>0.1171247</v>
      </c>
      <c r="Z5883">
        <v>7.3491329999999994E-2</v>
      </c>
      <c r="AA5883">
        <v>0.99039429999999995</v>
      </c>
      <c r="AB5883">
        <v>16</v>
      </c>
      <c r="AC5883">
        <v>2.0100000000013499E-2</v>
      </c>
      <c r="AD5883">
        <v>-6.5634999999999805E-2</v>
      </c>
      <c r="AE5883">
        <v>-0.702294999999999</v>
      </c>
      <c r="AF5883">
        <v>9.75451123566978E-2</v>
      </c>
      <c r="AG5883">
        <v>-6.5634999999999805E-2</v>
      </c>
      <c r="AH5883">
        <v>0.68963962530664202</v>
      </c>
      <c r="AI5883">
        <v>95.383365487682198</v>
      </c>
      <c r="AJ5883">
        <v>81.949283458704599</v>
      </c>
      <c r="AK5883">
        <v>0.69958974761124504</v>
      </c>
      <c r="AL5883">
        <v>79.901247033976802</v>
      </c>
      <c r="AM5883">
        <v>83.105302882204597</v>
      </c>
      <c r="AN5883">
        <v>1.0000000086251699</v>
      </c>
    </row>
    <row r="5884" spans="1:40" x14ac:dyDescent="0.25">
      <c r="A5884" t="str">
        <f>"20190312172525748"</f>
        <v>20190312172525748</v>
      </c>
      <c r="B5884" t="str">
        <f>"1552382725736183"</f>
        <v>1552382725736183</v>
      </c>
      <c r="C5884" t="s">
        <v>40</v>
      </c>
      <c r="D5884">
        <v>3.9650400000000001</v>
      </c>
      <c r="E5884">
        <v>0.49938759999999999</v>
      </c>
      <c r="F5884" t="s">
        <v>41</v>
      </c>
      <c r="G5884">
        <v>-301.31880000000001</v>
      </c>
      <c r="H5884">
        <v>1.037728</v>
      </c>
      <c r="I5884">
        <v>-5.1282730000000001</v>
      </c>
      <c r="J5884">
        <v>-301.33629999999999</v>
      </c>
      <c r="K5884">
        <v>1.1064419999999999</v>
      </c>
      <c r="L5884">
        <v>-4.4433590000000001</v>
      </c>
      <c r="M5884">
        <v>0.16604260000000001</v>
      </c>
      <c r="N5884">
        <v>0</v>
      </c>
      <c r="O5884">
        <v>-0.98606499999999997</v>
      </c>
      <c r="P5884">
        <v>4.7326750000000001E-2</v>
      </c>
      <c r="Q5884">
        <v>0.16550519999999999</v>
      </c>
      <c r="R5884">
        <v>-0.98507310000000003</v>
      </c>
      <c r="S5884">
        <v>0.15252689999999999</v>
      </c>
      <c r="T5884">
        <v>-0.24913250000000001</v>
      </c>
      <c r="U5884">
        <v>-3.0802309999999999</v>
      </c>
      <c r="V5884">
        <v>0.117301</v>
      </c>
      <c r="W5884">
        <v>0.1753082</v>
      </c>
      <c r="X5884">
        <v>0.97750060000000005</v>
      </c>
      <c r="Y5884">
        <v>0.11723069999999999</v>
      </c>
      <c r="Z5884">
        <v>7.8617889999999996E-2</v>
      </c>
      <c r="AA5884">
        <v>0.98998799999999998</v>
      </c>
      <c r="AB5884">
        <v>16</v>
      </c>
      <c r="AC5884">
        <v>1.7499999999984001E-2</v>
      </c>
      <c r="AD5884">
        <v>-6.87139999999999E-2</v>
      </c>
      <c r="AE5884">
        <v>-0.68491400000000002</v>
      </c>
      <c r="AF5884">
        <v>9.5513138488454594E-2</v>
      </c>
      <c r="AG5884">
        <v>-6.87139999999999E-2</v>
      </c>
      <c r="AH5884">
        <v>0.67155643152200195</v>
      </c>
      <c r="AI5884">
        <v>95.784391121383607</v>
      </c>
      <c r="AJ5884">
        <v>81.905309800054994</v>
      </c>
      <c r="AK5884">
        <v>0.68178619386027395</v>
      </c>
      <c r="AL5884">
        <v>79.903405617558604</v>
      </c>
      <c r="AM5884">
        <v>83.157172965211203</v>
      </c>
      <c r="AN5884">
        <v>0.99999995629429905</v>
      </c>
    </row>
    <row r="5885" spans="1:40" x14ac:dyDescent="0.25">
      <c r="A5885" t="str">
        <f>"20190312172525771"</f>
        <v>20190312172525771</v>
      </c>
      <c r="B5885" t="str">
        <f>"1552382725766442"</f>
        <v>1552382725766442</v>
      </c>
      <c r="C5885" t="s">
        <v>40</v>
      </c>
      <c r="D5885">
        <v>3.988626</v>
      </c>
      <c r="E5885">
        <v>0.49921890000000002</v>
      </c>
      <c r="F5885" t="s">
        <v>41</v>
      </c>
      <c r="G5885">
        <v>-301.29640000000001</v>
      </c>
      <c r="H5885">
        <v>1.037547</v>
      </c>
      <c r="I5885">
        <v>-5.2686520000000003</v>
      </c>
      <c r="J5885">
        <v>-301.31180000000001</v>
      </c>
      <c r="K5885">
        <v>1.106905</v>
      </c>
      <c r="L5885">
        <v>-4.6057430000000004</v>
      </c>
      <c r="M5885">
        <v>0.1636493</v>
      </c>
      <c r="N5885">
        <v>0</v>
      </c>
      <c r="O5885">
        <v>-0.98646400000000001</v>
      </c>
      <c r="P5885">
        <v>4.6818119999999998E-2</v>
      </c>
      <c r="Q5885">
        <v>0.1643394</v>
      </c>
      <c r="R5885">
        <v>-0.98529230000000001</v>
      </c>
      <c r="S5885">
        <v>0.15023800000000001</v>
      </c>
      <c r="T5885">
        <v>-0.25682700000000003</v>
      </c>
      <c r="U5885">
        <v>-3.0813899999999999</v>
      </c>
      <c r="V5885">
        <v>0.1154633</v>
      </c>
      <c r="W5885">
        <v>0.17422969999999999</v>
      </c>
      <c r="X5885">
        <v>0.97791220000000001</v>
      </c>
      <c r="Y5885">
        <v>0.1155823</v>
      </c>
      <c r="Z5885">
        <v>8.1058500000000006E-2</v>
      </c>
      <c r="AA5885">
        <v>0.989985</v>
      </c>
      <c r="AB5885">
        <v>16</v>
      </c>
      <c r="AC5885">
        <v>1.53999999999996E-2</v>
      </c>
      <c r="AD5885">
        <v>-6.9358000000000003E-2</v>
      </c>
      <c r="AE5885">
        <v>-0.66290899999999897</v>
      </c>
      <c r="AF5885">
        <v>9.2288358783753605E-2</v>
      </c>
      <c r="AG5885">
        <v>-6.9358000000000003E-2</v>
      </c>
      <c r="AH5885">
        <v>0.64938657089187501</v>
      </c>
      <c r="AI5885">
        <v>96.0361907944243</v>
      </c>
      <c r="AJ5885">
        <v>81.911505190053106</v>
      </c>
      <c r="AK5885">
        <v>0.65956848907881205</v>
      </c>
      <c r="AL5885">
        <v>79.966165632179099</v>
      </c>
      <c r="AM5885">
        <v>83.266192725222098</v>
      </c>
      <c r="AN5885">
        <v>1.0000000164589</v>
      </c>
    </row>
    <row r="5886" spans="1:40" x14ac:dyDescent="0.25">
      <c r="A5886" t="str">
        <f>"20190312172525793"</f>
        <v>20190312172525793</v>
      </c>
      <c r="B5886" t="str">
        <f>"1552382725785959"</f>
        <v>1552382725785959</v>
      </c>
      <c r="C5886" t="s">
        <v>40</v>
      </c>
      <c r="D5886">
        <v>3.962488</v>
      </c>
      <c r="E5886">
        <v>0.4992219</v>
      </c>
      <c r="F5886" t="s">
        <v>41</v>
      </c>
      <c r="G5886">
        <v>-301.27280000000002</v>
      </c>
      <c r="H5886">
        <v>1.0379529999999999</v>
      </c>
      <c r="I5886">
        <v>-5.4094199999999999</v>
      </c>
      <c r="J5886">
        <v>-301.28870000000001</v>
      </c>
      <c r="K5886">
        <v>1.1072820000000001</v>
      </c>
      <c r="L5886">
        <v>-4.7616579999999997</v>
      </c>
      <c r="M5886">
        <v>0.16135070000000001</v>
      </c>
      <c r="N5886">
        <v>0</v>
      </c>
      <c r="O5886">
        <v>-0.98684190000000005</v>
      </c>
      <c r="P5886">
        <v>4.6275469999999999E-2</v>
      </c>
      <c r="Q5886">
        <v>0.16382149999999901</v>
      </c>
      <c r="R5886">
        <v>-0.98540439999999996</v>
      </c>
      <c r="S5886">
        <v>0.1499634</v>
      </c>
      <c r="T5886">
        <v>-0.2642968</v>
      </c>
      <c r="U5886">
        <v>-3.0817260000000002</v>
      </c>
      <c r="V5886">
        <v>0.11373709999999999</v>
      </c>
      <c r="W5886">
        <v>0.17380390000000001</v>
      </c>
      <c r="X5886">
        <v>0.97819020000000001</v>
      </c>
      <c r="Y5886">
        <v>0.113371</v>
      </c>
      <c r="Z5886">
        <v>8.3449640000000005E-2</v>
      </c>
      <c r="AA5886">
        <v>0.99004199999999998</v>
      </c>
      <c r="AB5886">
        <v>16</v>
      </c>
      <c r="AC5886">
        <v>1.5899999999987799E-2</v>
      </c>
      <c r="AD5886">
        <v>-6.9328999999999696E-2</v>
      </c>
      <c r="AE5886">
        <v>-0.64776199999999895</v>
      </c>
      <c r="AF5886">
        <v>8.7825464242003506E-2</v>
      </c>
      <c r="AG5886">
        <v>-6.9328999999999696E-2</v>
      </c>
      <c r="AH5886">
        <v>0.63457440816435595</v>
      </c>
      <c r="AI5886">
        <v>96.176579530007402</v>
      </c>
      <c r="AJ5886">
        <v>82.120287842302403</v>
      </c>
      <c r="AK5886">
        <v>0.64436364105019595</v>
      </c>
      <c r="AL5886">
        <v>79.990939955609306</v>
      </c>
      <c r="AM5886">
        <v>83.367829045050698</v>
      </c>
      <c r="AN5886">
        <v>0.99999999547383001</v>
      </c>
    </row>
    <row r="5887" spans="1:40" x14ac:dyDescent="0.25">
      <c r="A5887" t="str">
        <f>"20190312172525816"</f>
        <v>20190312172525816</v>
      </c>
      <c r="B5887" t="str">
        <f>"1552382725806455"</f>
        <v>1552382725806455</v>
      </c>
      <c r="C5887" t="s">
        <v>40</v>
      </c>
      <c r="D5887">
        <v>3.9863040000000001</v>
      </c>
      <c r="E5887">
        <v>0.49927460000000001</v>
      </c>
      <c r="F5887" t="s">
        <v>41</v>
      </c>
      <c r="G5887">
        <v>-301.25130000000001</v>
      </c>
      <c r="H5887">
        <v>1.0380689999999999</v>
      </c>
      <c r="I5887">
        <v>-5.5502570000000002</v>
      </c>
      <c r="J5887">
        <v>-301.26560000000001</v>
      </c>
      <c r="K5887">
        <v>1.1076699999999999</v>
      </c>
      <c r="L5887">
        <v>-4.9204100000000004</v>
      </c>
      <c r="M5887">
        <v>0.15901029999999999</v>
      </c>
      <c r="N5887">
        <v>0</v>
      </c>
      <c r="O5887">
        <v>-0.98721930000000002</v>
      </c>
      <c r="P5887">
        <v>4.5712240000000001E-2</v>
      </c>
      <c r="Q5887">
        <v>0.16260810000000001</v>
      </c>
      <c r="R5887">
        <v>-0.98563129999999999</v>
      </c>
      <c r="S5887">
        <v>0.147308299999999</v>
      </c>
      <c r="T5887">
        <v>-0.27011249999999998</v>
      </c>
      <c r="U5887">
        <v>-3.0824280000000002</v>
      </c>
      <c r="V5887">
        <v>0.1120027</v>
      </c>
      <c r="W5887">
        <v>0.17279890000000001</v>
      </c>
      <c r="X5887">
        <v>0.97856829999999995</v>
      </c>
      <c r="Y5887">
        <v>0.1118846</v>
      </c>
      <c r="Z5887">
        <v>8.531155E-2</v>
      </c>
      <c r="AA5887">
        <v>0.99005240000000005</v>
      </c>
      <c r="AB5887">
        <v>16</v>
      </c>
      <c r="AC5887">
        <v>1.42999999999915E-2</v>
      </c>
      <c r="AD5887">
        <v>-6.9600999999999996E-2</v>
      </c>
      <c r="AE5887">
        <v>-0.62984700000000005</v>
      </c>
      <c r="AF5887">
        <v>8.5002367230719494E-2</v>
      </c>
      <c r="AG5887">
        <v>-6.9600999999999996E-2</v>
      </c>
      <c r="AH5887">
        <v>0.61658110838735802</v>
      </c>
      <c r="AI5887">
        <v>96.380564499373705</v>
      </c>
      <c r="AJ5887">
        <v>82.150635529668406</v>
      </c>
      <c r="AK5887">
        <v>0.62629223598573303</v>
      </c>
      <c r="AL5887">
        <v>80.049406846876906</v>
      </c>
      <c r="AM5887">
        <v>83.470585680848899</v>
      </c>
      <c r="AN5887">
        <v>0.99999999120669503</v>
      </c>
    </row>
    <row r="5888" spans="1:40" x14ac:dyDescent="0.25">
      <c r="A5888" t="str">
        <f>"20190312172525838"</f>
        <v>20190312172525838</v>
      </c>
      <c r="B5888" t="str">
        <f>"1552382725825976"</f>
        <v>1552382725825976</v>
      </c>
      <c r="C5888" t="s">
        <v>40</v>
      </c>
      <c r="D5888">
        <v>3.9589889999999999</v>
      </c>
      <c r="E5888">
        <v>0.49910120000000002</v>
      </c>
      <c r="F5888" t="s">
        <v>41</v>
      </c>
      <c r="G5888">
        <v>-301.2294</v>
      </c>
      <c r="H5888">
        <v>1.0384119999999999</v>
      </c>
      <c r="I5888">
        <v>-5.6908310000000002</v>
      </c>
      <c r="J5888">
        <v>-301.24299999999999</v>
      </c>
      <c r="K5888">
        <v>1.1080049999999999</v>
      </c>
      <c r="L5888">
        <v>-5.0779110000000003</v>
      </c>
      <c r="M5888">
        <v>0.15667300000000001</v>
      </c>
      <c r="N5888">
        <v>0</v>
      </c>
      <c r="O5888">
        <v>-0.98759070000000004</v>
      </c>
      <c r="P5888">
        <v>4.5213629999999998E-2</v>
      </c>
      <c r="Q5888">
        <v>0.16134289999999901</v>
      </c>
      <c r="R5888">
        <v>-0.98586260000000003</v>
      </c>
      <c r="S5888">
        <v>0.144928</v>
      </c>
      <c r="T5888">
        <v>-0.27701100000000001</v>
      </c>
      <c r="U5888">
        <v>-3.082703</v>
      </c>
      <c r="V5888">
        <v>0.11020679999999999</v>
      </c>
      <c r="W5888">
        <v>0.1717641</v>
      </c>
      <c r="X5888">
        <v>0.97895430000000005</v>
      </c>
      <c r="Y5888">
        <v>0.11030860000000001</v>
      </c>
      <c r="Z5888">
        <v>8.7524939999999996E-2</v>
      </c>
      <c r="AA5888">
        <v>0.99003609999999997</v>
      </c>
      <c r="AB5888">
        <v>16</v>
      </c>
      <c r="AC5888">
        <v>1.35999999999967E-2</v>
      </c>
      <c r="AD5888">
        <v>-6.9592999999999794E-2</v>
      </c>
      <c r="AE5888">
        <v>-0.61291999999999902</v>
      </c>
      <c r="AF5888">
        <v>8.15508191198447E-2</v>
      </c>
      <c r="AG5888">
        <v>-6.9592999999999794E-2</v>
      </c>
      <c r="AH5888">
        <v>0.59975248026919403</v>
      </c>
      <c r="AI5888">
        <v>96.558961209082796</v>
      </c>
      <c r="AJ5888">
        <v>82.256745026629403</v>
      </c>
      <c r="AK5888">
        <v>0.60925918896407905</v>
      </c>
      <c r="AL5888">
        <v>80.109596412745304</v>
      </c>
      <c r="AM5888">
        <v>83.576910895823502</v>
      </c>
      <c r="AN5888">
        <v>0.99999998315176997</v>
      </c>
    </row>
    <row r="5889" spans="1:40" x14ac:dyDescent="0.25">
      <c r="A5889" t="str">
        <f>"20190312172525862"</f>
        <v>20190312172525862</v>
      </c>
      <c r="B5889" t="str">
        <f>"1552382725856231"</f>
        <v>1552382725856231</v>
      </c>
      <c r="C5889" t="s">
        <v>40</v>
      </c>
      <c r="D5889">
        <v>3.9947970000000002</v>
      </c>
      <c r="E5889">
        <v>0.49885170000000001</v>
      </c>
      <c r="F5889" t="s">
        <v>41</v>
      </c>
      <c r="G5889">
        <v>-301.20780000000002</v>
      </c>
      <c r="H5889">
        <v>1.0386919999999999</v>
      </c>
      <c r="I5889">
        <v>-5.8313030000000001</v>
      </c>
      <c r="J5889">
        <v>-301.2201</v>
      </c>
      <c r="K5889">
        <v>1.108279</v>
      </c>
      <c r="L5889">
        <v>-5.2406920000000001</v>
      </c>
      <c r="M5889">
        <v>0.15423410000000001</v>
      </c>
      <c r="N5889">
        <v>0</v>
      </c>
      <c r="O5889">
        <v>-0.98797239999999997</v>
      </c>
      <c r="P5889">
        <v>4.5131339999999999E-2</v>
      </c>
      <c r="Q5889">
        <v>0.16031879999999901</v>
      </c>
      <c r="R5889">
        <v>-0.98603280000000004</v>
      </c>
      <c r="S5889">
        <v>0.1453247</v>
      </c>
      <c r="T5889">
        <v>-0.28328599999999998</v>
      </c>
      <c r="U5889">
        <v>-3.0827330000000002</v>
      </c>
      <c r="V5889">
        <v>0.1078908</v>
      </c>
      <c r="W5889">
        <v>0.170902</v>
      </c>
      <c r="X5889">
        <v>0.97936310000000004</v>
      </c>
      <c r="Y5889">
        <v>0.10773629999999999</v>
      </c>
      <c r="Z5889">
        <v>8.9555549999999998E-2</v>
      </c>
      <c r="AA5889">
        <v>0.99013770000000001</v>
      </c>
      <c r="AB5889">
        <v>16</v>
      </c>
      <c r="AC5889">
        <v>1.22999999999819E-2</v>
      </c>
      <c r="AD5889">
        <v>-6.9586999999999996E-2</v>
      </c>
      <c r="AE5889">
        <v>-0.590611</v>
      </c>
      <c r="AF5889">
        <v>7.7864674682377899E-2</v>
      </c>
      <c r="AG5889">
        <v>-6.9586999999999996E-2</v>
      </c>
      <c r="AH5889">
        <v>0.577427871178675</v>
      </c>
      <c r="AI5889">
        <v>96.810635916552101</v>
      </c>
      <c r="AJ5889">
        <v>82.320136558098298</v>
      </c>
      <c r="AK5889">
        <v>0.58679485729369596</v>
      </c>
      <c r="AL5889">
        <v>80.159732627453707</v>
      </c>
      <c r="AM5889">
        <v>83.713403434678796</v>
      </c>
      <c r="AN5889">
        <v>0.99999999998512501</v>
      </c>
    </row>
    <row r="5890" spans="1:40" x14ac:dyDescent="0.25">
      <c r="A5890" t="str">
        <f>"20190312172525885"</f>
        <v>20190312172525885</v>
      </c>
      <c r="B5890" t="str">
        <f>"1552382725876728"</f>
        <v>1552382725876728</v>
      </c>
      <c r="C5890" t="s">
        <v>40</v>
      </c>
      <c r="D5890">
        <v>3.9715319999999998</v>
      </c>
      <c r="E5890">
        <v>0.49885010000000002</v>
      </c>
      <c r="F5890" t="s">
        <v>41</v>
      </c>
      <c r="G5890">
        <v>-301.1789</v>
      </c>
      <c r="H5890">
        <v>1.0270859999999999</v>
      </c>
      <c r="I5890">
        <v>-6.1088329999999997</v>
      </c>
      <c r="J5890">
        <v>-301.1968</v>
      </c>
      <c r="K5890">
        <v>1.108493</v>
      </c>
      <c r="L5890">
        <v>-5.4095149999999999</v>
      </c>
      <c r="M5890">
        <v>0.15171029999999999</v>
      </c>
      <c r="N5890">
        <v>0</v>
      </c>
      <c r="O5890">
        <v>-0.98836219999999997</v>
      </c>
      <c r="P5890">
        <v>4.5032709999999997E-2</v>
      </c>
      <c r="Q5890">
        <v>0.16090109999999999</v>
      </c>
      <c r="R5890">
        <v>-0.98594269999999995</v>
      </c>
      <c r="S5890">
        <v>0.14678959999999999</v>
      </c>
      <c r="T5890">
        <v>-0.28816659999999999</v>
      </c>
      <c r="U5890">
        <v>-3.0826419999999999</v>
      </c>
      <c r="V5890">
        <v>0.10547289999999999</v>
      </c>
      <c r="W5890">
        <v>0.17158419999999999</v>
      </c>
      <c r="X5890">
        <v>0.97950720000000002</v>
      </c>
      <c r="Y5890">
        <v>0.10473300000000001</v>
      </c>
      <c r="Z5890">
        <v>9.1156269999999998E-2</v>
      </c>
      <c r="AA5890">
        <v>0.99031389999999997</v>
      </c>
      <c r="AB5890">
        <v>16</v>
      </c>
      <c r="AC5890">
        <v>1.78999999999973E-2</v>
      </c>
      <c r="AD5890">
        <v>-8.1406999999999702E-2</v>
      </c>
      <c r="AE5890">
        <v>-0.699317999999999</v>
      </c>
      <c r="AF5890">
        <v>8.7226310824123299E-2</v>
      </c>
      <c r="AG5890">
        <v>-8.1406999999999702E-2</v>
      </c>
      <c r="AH5890">
        <v>0.68466627116616996</v>
      </c>
      <c r="AI5890">
        <v>96.726783336042701</v>
      </c>
      <c r="AJ5890">
        <v>82.739643724014897</v>
      </c>
      <c r="AK5890">
        <v>0.69498448315165595</v>
      </c>
      <c r="AL5890">
        <v>80.120059551026202</v>
      </c>
      <c r="AM5890">
        <v>83.854096606017606</v>
      </c>
      <c r="AN5890">
        <v>1.00000001258794</v>
      </c>
    </row>
    <row r="5891" spans="1:40" x14ac:dyDescent="0.25">
      <c r="A5891" t="str">
        <f>"20190312172525905"</f>
        <v>20190312172525905</v>
      </c>
      <c r="B5891" t="str">
        <f>"1552382725896247"</f>
        <v>1552382725896247</v>
      </c>
      <c r="C5891" t="s">
        <v>40</v>
      </c>
      <c r="D5891">
        <v>4.0864659999999997</v>
      </c>
      <c r="E5891">
        <v>0.49874069999999998</v>
      </c>
      <c r="F5891" t="s">
        <v>41</v>
      </c>
      <c r="G5891">
        <v>-301.1574</v>
      </c>
      <c r="H5891">
        <v>1.030114</v>
      </c>
      <c r="I5891">
        <v>-6.2507780000000004</v>
      </c>
      <c r="J5891">
        <v>-301.17779999999999</v>
      </c>
      <c r="K5891">
        <v>1.1086549999999999</v>
      </c>
      <c r="L5891">
        <v>-5.5499269999999896</v>
      </c>
      <c r="M5891">
        <v>0.1496285</v>
      </c>
      <c r="N5891">
        <v>0</v>
      </c>
      <c r="O5891">
        <v>-0.98867879999999997</v>
      </c>
      <c r="P5891">
        <v>4.5361209999999999E-2</v>
      </c>
      <c r="Q5891">
        <v>0.16142139999999999</v>
      </c>
      <c r="R5891">
        <v>-0.98584289999999997</v>
      </c>
      <c r="S5891">
        <v>0.1448364</v>
      </c>
      <c r="T5891">
        <v>-0.28709230000000002</v>
      </c>
      <c r="U5891">
        <v>-3.083008</v>
      </c>
      <c r="V5891">
        <v>0.10307040000000001</v>
      </c>
      <c r="W5891">
        <v>0.17219579999999901</v>
      </c>
      <c r="X5891">
        <v>0.97965559999999996</v>
      </c>
      <c r="Y5891">
        <v>0.10326879999999999</v>
      </c>
      <c r="Z5891">
        <v>9.0861010000000006E-2</v>
      </c>
      <c r="AA5891">
        <v>0.99049469999999995</v>
      </c>
      <c r="AB5891">
        <v>16</v>
      </c>
      <c r="AC5891">
        <v>2.0399999999994999E-2</v>
      </c>
      <c r="AD5891">
        <v>-7.8540999999999903E-2</v>
      </c>
      <c r="AE5891">
        <v>-0.700851</v>
      </c>
      <c r="AF5891">
        <v>8.3653866778258201E-2</v>
      </c>
      <c r="AG5891">
        <v>-7.8540999999999903E-2</v>
      </c>
      <c r="AH5891">
        <v>0.68738731878447101</v>
      </c>
      <c r="AI5891">
        <v>96.471023767807907</v>
      </c>
      <c r="AJ5891">
        <v>83.061321941072705</v>
      </c>
      <c r="AK5891">
        <v>0.69689883349999904</v>
      </c>
      <c r="AL5891">
        <v>80.0844878620385</v>
      </c>
      <c r="AM5891">
        <v>83.993958142655501</v>
      </c>
      <c r="AN5891">
        <v>0.99999999775257997</v>
      </c>
    </row>
    <row r="5892" spans="1:40" x14ac:dyDescent="0.25">
      <c r="A5892" t="str">
        <f>"20190312172525927"</f>
        <v>20190312172525927</v>
      </c>
      <c r="B5892" t="str">
        <f>"1552382725916743"</f>
        <v>1552382725916743</v>
      </c>
      <c r="C5892" t="s">
        <v>40</v>
      </c>
      <c r="D5892">
        <v>4.1400119999999996</v>
      </c>
      <c r="E5892">
        <v>0.49844359999999999</v>
      </c>
      <c r="F5892" t="s">
        <v>41</v>
      </c>
      <c r="G5892">
        <v>-301.13850000000002</v>
      </c>
      <c r="H5892">
        <v>1.0301499999999999</v>
      </c>
      <c r="I5892">
        <v>-6.3915499999999996</v>
      </c>
      <c r="J5892">
        <v>-301.15679999999998</v>
      </c>
      <c r="K5892">
        <v>1.108822</v>
      </c>
      <c r="L5892">
        <v>-5.7075199999999997</v>
      </c>
      <c r="M5892">
        <v>0.14729149999999999</v>
      </c>
      <c r="N5892">
        <v>0</v>
      </c>
      <c r="O5892">
        <v>-0.98902809999999997</v>
      </c>
      <c r="P5892">
        <v>4.4852379999999997E-2</v>
      </c>
      <c r="Q5892">
        <v>0.16217010000000001</v>
      </c>
      <c r="R5892">
        <v>-0.98574320000000004</v>
      </c>
      <c r="S5892">
        <v>0.14523320000000001</v>
      </c>
      <c r="T5892">
        <v>-0.28723070000000001</v>
      </c>
      <c r="U5892">
        <v>-3.0834350000000001</v>
      </c>
      <c r="V5892">
        <v>0.1012419</v>
      </c>
      <c r="W5892">
        <v>0.17305999999999999</v>
      </c>
      <c r="X5892">
        <v>0.97969399999999995</v>
      </c>
      <c r="Y5892">
        <v>0.1007977</v>
      </c>
      <c r="Z5892">
        <v>9.0952069999999996E-2</v>
      </c>
      <c r="AA5892">
        <v>0.99074090000000004</v>
      </c>
      <c r="AB5892">
        <v>16</v>
      </c>
      <c r="AC5892">
        <v>1.8299999999953801E-2</v>
      </c>
      <c r="AD5892">
        <v>-7.8672000000000006E-2</v>
      </c>
      <c r="AE5892">
        <v>-0.68402999999999903</v>
      </c>
      <c r="AF5892">
        <v>8.1579554549976799E-2</v>
      </c>
      <c r="AG5892">
        <v>-7.8672000000000006E-2</v>
      </c>
      <c r="AH5892">
        <v>0.67040235842623597</v>
      </c>
      <c r="AI5892">
        <v>96.644500775301694</v>
      </c>
      <c r="AJ5892">
        <v>83.061934325846195</v>
      </c>
      <c r="AK5892">
        <v>0.67991457514016496</v>
      </c>
      <c r="AL5892">
        <v>80.034218275013103</v>
      </c>
      <c r="AM5892">
        <v>84.099978382417603</v>
      </c>
      <c r="AN5892">
        <v>1.0000000097757999</v>
      </c>
    </row>
    <row r="5893" spans="1:40" x14ac:dyDescent="0.25">
      <c r="A5893" t="str">
        <f>"20190312172525950"</f>
        <v>20190312172525950</v>
      </c>
      <c r="B5893" t="str">
        <f>"1552382725946024"</f>
        <v>1552382725946024</v>
      </c>
      <c r="C5893" t="s">
        <v>40</v>
      </c>
      <c r="D5893">
        <v>4.1202809999999896</v>
      </c>
      <c r="E5893">
        <v>0.4983168</v>
      </c>
      <c r="F5893" t="s">
        <v>41</v>
      </c>
      <c r="G5893">
        <v>-301.11770000000001</v>
      </c>
      <c r="H5893">
        <v>1.0319849999999999</v>
      </c>
      <c r="I5893">
        <v>-6.532883</v>
      </c>
      <c r="J5893">
        <v>-301.13600000000002</v>
      </c>
      <c r="K5893">
        <v>1.108967</v>
      </c>
      <c r="L5893">
        <v>-5.866638</v>
      </c>
      <c r="M5893">
        <v>0.144917299999999</v>
      </c>
      <c r="N5893">
        <v>0</v>
      </c>
      <c r="O5893">
        <v>-0.98937759999999997</v>
      </c>
      <c r="P5893">
        <v>4.3759109999999997E-2</v>
      </c>
      <c r="Q5893">
        <v>0.1627902</v>
      </c>
      <c r="R5893">
        <v>-0.98569010000000001</v>
      </c>
      <c r="S5893">
        <v>0.14602660000000001</v>
      </c>
      <c r="T5893">
        <v>-0.287170599999999</v>
      </c>
      <c r="U5893">
        <v>-3.0839840000000001</v>
      </c>
      <c r="V5893">
        <v>9.9960510000000002E-2</v>
      </c>
      <c r="W5893">
        <v>0.1737889</v>
      </c>
      <c r="X5893">
        <v>0.97969660000000003</v>
      </c>
      <c r="Y5893">
        <v>9.8163650000000005E-2</v>
      </c>
      <c r="Z5893">
        <v>9.0977409999999995E-2</v>
      </c>
      <c r="AA5893">
        <v>0.99100299999999997</v>
      </c>
      <c r="AB5893">
        <v>16</v>
      </c>
      <c r="AC5893">
        <v>1.8299999999953801E-2</v>
      </c>
      <c r="AD5893">
        <v>-7.6982000000000106E-2</v>
      </c>
      <c r="AE5893">
        <v>-0.66624499999999998</v>
      </c>
      <c r="AF5893">
        <v>7.7417143653217696E-2</v>
      </c>
      <c r="AG5893">
        <v>-7.6982000000000106E-2</v>
      </c>
      <c r="AH5893">
        <v>0.65314963981948104</v>
      </c>
      <c r="AI5893">
        <v>96.675720630338802</v>
      </c>
      <c r="AJ5893">
        <v>83.240329243522197</v>
      </c>
      <c r="AK5893">
        <v>0.66221151790930199</v>
      </c>
      <c r="AL5893">
        <v>79.991813292615205</v>
      </c>
      <c r="AM5893">
        <v>84.174151738930306</v>
      </c>
      <c r="AN5893">
        <v>1.0000000566871099</v>
      </c>
    </row>
    <row r="5894" spans="1:40" x14ac:dyDescent="0.25">
      <c r="A5894" t="str">
        <f>"20190312172525973"</f>
        <v>20190312172525973</v>
      </c>
      <c r="B5894" t="str">
        <f>"1552382725966259"</f>
        <v>1552382725966259</v>
      </c>
      <c r="C5894" t="s">
        <v>40</v>
      </c>
      <c r="D5894">
        <v>4.0943690000000004</v>
      </c>
      <c r="E5894">
        <v>0.49832019999999999</v>
      </c>
      <c r="F5894" t="s">
        <v>41</v>
      </c>
      <c r="G5894">
        <v>-301.0985</v>
      </c>
      <c r="H5894">
        <v>1.0336620000000001</v>
      </c>
      <c r="I5894">
        <v>-6.6743629999999996</v>
      </c>
      <c r="J5894">
        <v>-301.11559999999997</v>
      </c>
      <c r="K5894">
        <v>1.109084</v>
      </c>
      <c r="L5894">
        <v>-6.0262760000000002</v>
      </c>
      <c r="M5894">
        <v>0.1425188</v>
      </c>
      <c r="N5894">
        <v>0</v>
      </c>
      <c r="O5894">
        <v>-0.98972490000000002</v>
      </c>
      <c r="P5894">
        <v>4.2977109999999999E-2</v>
      </c>
      <c r="Q5894">
        <v>0.1628462</v>
      </c>
      <c r="R5894">
        <v>-0.98571489999999995</v>
      </c>
      <c r="S5894">
        <v>0.14395139999999901</v>
      </c>
      <c r="T5894">
        <v>-0.28736909999999999</v>
      </c>
      <c r="U5894">
        <v>-3.084625</v>
      </c>
      <c r="V5894">
        <v>9.8358150000000005E-2</v>
      </c>
      <c r="W5894">
        <v>0.17393400000000001</v>
      </c>
      <c r="X5894">
        <v>0.97983290000000001</v>
      </c>
      <c r="Y5894">
        <v>9.6426929999999994E-2</v>
      </c>
      <c r="Z5894">
        <v>9.1078569999999998E-2</v>
      </c>
      <c r="AA5894">
        <v>0.99116420000000005</v>
      </c>
      <c r="AB5894">
        <v>16</v>
      </c>
      <c r="AC5894">
        <v>1.7099999999970798E-2</v>
      </c>
      <c r="AD5894">
        <v>-7.5421999999999795E-2</v>
      </c>
      <c r="AE5894">
        <v>-0.64808699999999997</v>
      </c>
      <c r="AF5894">
        <v>7.44378591256145E-2</v>
      </c>
      <c r="AG5894">
        <v>-7.5421999999999795E-2</v>
      </c>
      <c r="AH5894">
        <v>0.63530943974071397</v>
      </c>
      <c r="AI5894">
        <v>96.724716185850099</v>
      </c>
      <c r="AJ5894">
        <v>83.317244904490906</v>
      </c>
      <c r="AK5894">
        <v>0.64408660689294295</v>
      </c>
      <c r="AL5894">
        <v>79.983369890484695</v>
      </c>
      <c r="AM5894">
        <v>84.267704756981999</v>
      </c>
      <c r="AN5894">
        <v>0.99999993697491396</v>
      </c>
    </row>
    <row r="5895" spans="1:40" x14ac:dyDescent="0.25">
      <c r="A5895" t="str">
        <f>"20190312172525995"</f>
        <v>20190312172525995</v>
      </c>
      <c r="B5895" t="str">
        <f>"1552382725986756"</f>
        <v>1552382725986756</v>
      </c>
      <c r="C5895" t="s">
        <v>40</v>
      </c>
      <c r="D5895">
        <v>4.1048309999999999</v>
      </c>
      <c r="E5895">
        <v>0.49827149999999998</v>
      </c>
      <c r="F5895" t="s">
        <v>41</v>
      </c>
      <c r="G5895">
        <v>-301.07960000000003</v>
      </c>
      <c r="H5895">
        <v>1.0353079999999999</v>
      </c>
      <c r="I5895">
        <v>-6.8158250000000002</v>
      </c>
      <c r="J5895">
        <v>-301.09589999999997</v>
      </c>
      <c r="K5895">
        <v>1.1091759999999999</v>
      </c>
      <c r="L5895">
        <v>-6.1824649999999997</v>
      </c>
      <c r="M5895">
        <v>0.14015939999999999</v>
      </c>
      <c r="N5895">
        <v>0</v>
      </c>
      <c r="O5895">
        <v>-0.99006119999999997</v>
      </c>
      <c r="P5895">
        <v>4.2283569999999999E-2</v>
      </c>
      <c r="Q5895">
        <v>0.16240539999999901</v>
      </c>
      <c r="R5895">
        <v>-0.98581790000000002</v>
      </c>
      <c r="S5895">
        <v>0.1407166</v>
      </c>
      <c r="T5895">
        <v>-0.2882285</v>
      </c>
      <c r="U5895">
        <v>-3.0849609999999998</v>
      </c>
      <c r="V5895">
        <v>9.6718310000000002E-2</v>
      </c>
      <c r="W5895">
        <v>0.17356769999999999</v>
      </c>
      <c r="X5895">
        <v>0.98006110000000002</v>
      </c>
      <c r="Y5895">
        <v>9.5097940000000006E-2</v>
      </c>
      <c r="Z5895">
        <v>9.1393669999999996E-2</v>
      </c>
      <c r="AA5895">
        <v>0.99126360000000002</v>
      </c>
      <c r="AB5895">
        <v>16</v>
      </c>
      <c r="AC5895">
        <v>1.6299999999944199E-2</v>
      </c>
      <c r="AD5895">
        <v>-7.3868000000000003E-2</v>
      </c>
      <c r="AE5895">
        <v>-0.63335999999999903</v>
      </c>
      <c r="AF5895">
        <v>7.16640837955419E-2</v>
      </c>
      <c r="AG5895">
        <v>-7.3868000000000003E-2</v>
      </c>
      <c r="AH5895">
        <v>0.62095122560487603</v>
      </c>
      <c r="AI5895">
        <v>96.739671432952704</v>
      </c>
      <c r="AJ5895">
        <v>83.416610661770605</v>
      </c>
      <c r="AK5895">
        <v>0.629422470929067</v>
      </c>
      <c r="AL5895">
        <v>80.004681814990306</v>
      </c>
      <c r="AM5895">
        <v>84.363957744769607</v>
      </c>
      <c r="AN5895">
        <v>0.99999996885287701</v>
      </c>
    </row>
    <row r="5896" spans="1:40" x14ac:dyDescent="0.25">
      <c r="A5896" t="str">
        <f>"20190312172526017"</f>
        <v>20190312172526017</v>
      </c>
      <c r="B5896" t="str">
        <f>"1552382726006276"</f>
        <v>1552382726006276</v>
      </c>
      <c r="C5896" t="s">
        <v>40</v>
      </c>
      <c r="D5896">
        <v>3.9983010000000001</v>
      </c>
      <c r="E5896">
        <v>0.4982779</v>
      </c>
      <c r="F5896" t="s">
        <v>41</v>
      </c>
      <c r="G5896">
        <v>-301.06150000000002</v>
      </c>
      <c r="H5896">
        <v>1.036095</v>
      </c>
      <c r="I5896">
        <v>-6.956963</v>
      </c>
      <c r="J5896">
        <v>-301.07670000000002</v>
      </c>
      <c r="K5896">
        <v>1.1092550000000001</v>
      </c>
      <c r="L5896">
        <v>-6.3388059999999999</v>
      </c>
      <c r="M5896">
        <v>0.1377843</v>
      </c>
      <c r="N5896">
        <v>0</v>
      </c>
      <c r="O5896">
        <v>-0.99039359999999999</v>
      </c>
      <c r="P5896">
        <v>4.1496369999999998E-2</v>
      </c>
      <c r="Q5896">
        <v>0.16209419999999999</v>
      </c>
      <c r="R5896">
        <v>-0.98590259999999996</v>
      </c>
      <c r="S5896">
        <v>0.13793949999999999</v>
      </c>
      <c r="T5896">
        <v>-0.29089130000000002</v>
      </c>
      <c r="U5896">
        <v>-3.085175</v>
      </c>
      <c r="V5896">
        <v>9.5155439999999994E-2</v>
      </c>
      <c r="W5896">
        <v>0.17332400000000001</v>
      </c>
      <c r="X5896">
        <v>0.98025720000000005</v>
      </c>
      <c r="Y5896">
        <v>9.360752E-2</v>
      </c>
      <c r="Z5896">
        <v>9.2279520000000004E-2</v>
      </c>
      <c r="AA5896">
        <v>0.99132339999999997</v>
      </c>
      <c r="AB5896">
        <v>16</v>
      </c>
      <c r="AC5896">
        <v>1.51999999999929E-2</v>
      </c>
      <c r="AD5896">
        <v>-7.3159999999999795E-2</v>
      </c>
      <c r="AE5896">
        <v>-0.61815700000000096</v>
      </c>
      <c r="AF5896">
        <v>6.91550357818633E-2</v>
      </c>
      <c r="AG5896">
        <v>-7.3159999999999795E-2</v>
      </c>
      <c r="AH5896">
        <v>0.605873404519639</v>
      </c>
      <c r="AI5896">
        <v>96.841209765043601</v>
      </c>
      <c r="AJ5896">
        <v>83.488379309683495</v>
      </c>
      <c r="AK5896">
        <v>0.61418025601463999</v>
      </c>
      <c r="AL5896">
        <v>80.018859721364507</v>
      </c>
      <c r="AM5896">
        <v>84.455560628622493</v>
      </c>
      <c r="AN5896">
        <v>0.99999997244471595</v>
      </c>
    </row>
    <row r="5897" spans="1:40" x14ac:dyDescent="0.25">
      <c r="A5897" t="str">
        <f>"20190312172526039"</f>
        <v>20190312172526039</v>
      </c>
      <c r="B5897" t="str">
        <f>"1552382726036532"</f>
        <v>1552382726036532</v>
      </c>
      <c r="C5897" t="s">
        <v>40</v>
      </c>
      <c r="D5897">
        <v>4.1180139999999996</v>
      </c>
      <c r="E5897">
        <v>0.49829440000000003</v>
      </c>
      <c r="F5897" t="s">
        <v>41</v>
      </c>
      <c r="G5897">
        <v>-301.04379999999998</v>
      </c>
      <c r="H5897">
        <v>1.037158</v>
      </c>
      <c r="I5897">
        <v>-7.0982079999999996</v>
      </c>
      <c r="J5897">
        <v>-301.05790000000002</v>
      </c>
      <c r="K5897">
        <v>1.1093029999999999</v>
      </c>
      <c r="L5897">
        <v>-6.4948430000000004</v>
      </c>
      <c r="M5897">
        <v>0.13539209999999999</v>
      </c>
      <c r="N5897">
        <v>0</v>
      </c>
      <c r="O5897">
        <v>-0.99072269999999896</v>
      </c>
      <c r="P5897">
        <v>4.0413930000000001E-2</v>
      </c>
      <c r="Q5897">
        <v>0.1614814</v>
      </c>
      <c r="R5897">
        <v>-0.98604789999999998</v>
      </c>
      <c r="S5897">
        <v>0.13436890000000001</v>
      </c>
      <c r="T5897">
        <v>-0.29271409999999998</v>
      </c>
      <c r="U5897">
        <v>-3.0853579999999998</v>
      </c>
      <c r="V5897">
        <v>9.3878020000000006E-2</v>
      </c>
      <c r="W5897">
        <v>0.1727735</v>
      </c>
      <c r="X5897">
        <v>0.98047759999999995</v>
      </c>
      <c r="Y5897">
        <v>9.235322E-2</v>
      </c>
      <c r="Z5897">
        <v>9.2901600000000001E-2</v>
      </c>
      <c r="AA5897">
        <v>0.99138300000000001</v>
      </c>
      <c r="AB5897">
        <v>16</v>
      </c>
      <c r="AC5897">
        <v>1.4100000000041701E-2</v>
      </c>
      <c r="AD5897">
        <v>-7.2145000000000098E-2</v>
      </c>
      <c r="AE5897">
        <v>-0.60336500000000004</v>
      </c>
      <c r="AF5897">
        <v>6.6772184094344905E-2</v>
      </c>
      <c r="AG5897">
        <v>-7.2145000000000098E-2</v>
      </c>
      <c r="AH5897">
        <v>0.59126876754291402</v>
      </c>
      <c r="AI5897">
        <v>96.913172489616898</v>
      </c>
      <c r="AJ5897">
        <v>83.556865820745301</v>
      </c>
      <c r="AK5897">
        <v>0.59938483553176902</v>
      </c>
      <c r="AL5897">
        <v>80.050884918616504</v>
      </c>
      <c r="AM5897">
        <v>84.530759969790495</v>
      </c>
      <c r="AN5897">
        <v>1.00000004452156</v>
      </c>
    </row>
    <row r="5898" spans="1:40" x14ac:dyDescent="0.25">
      <c r="A5898" t="str">
        <f>"20190312172526064"</f>
        <v>20190312172526064</v>
      </c>
      <c r="B5898" t="str">
        <f>"1552382726056052"</f>
        <v>1552382726056052</v>
      </c>
      <c r="C5898" t="s">
        <v>40</v>
      </c>
      <c r="D5898">
        <v>4.1011069999999998</v>
      </c>
      <c r="E5898">
        <v>0.49829509999999999</v>
      </c>
      <c r="F5898" t="s">
        <v>41</v>
      </c>
      <c r="G5898">
        <v>-301.02670000000001</v>
      </c>
      <c r="H5898">
        <v>1.037941</v>
      </c>
      <c r="I5898">
        <v>-7.2393939999999999</v>
      </c>
      <c r="J5898">
        <v>-301.03769999999997</v>
      </c>
      <c r="K5898">
        <v>1.109372</v>
      </c>
      <c r="L5898">
        <v>-6.6662290000000004</v>
      </c>
      <c r="M5898">
        <v>0.13275410000000001</v>
      </c>
      <c r="N5898">
        <v>0</v>
      </c>
      <c r="O5898">
        <v>-0.99107749999999994</v>
      </c>
      <c r="P5898">
        <v>3.9334279999999999E-2</v>
      </c>
      <c r="Q5898">
        <v>0.159890899999999</v>
      </c>
      <c r="R5898">
        <v>-0.98635079999999997</v>
      </c>
      <c r="S5898">
        <v>0.1300354</v>
      </c>
      <c r="T5898">
        <v>-0.2955219</v>
      </c>
      <c r="U5898">
        <v>-3.0855100000000002</v>
      </c>
      <c r="V5898">
        <v>9.2376340000000001E-2</v>
      </c>
      <c r="W5898">
        <v>0.17135919999999999</v>
      </c>
      <c r="X5898">
        <v>0.98086830000000003</v>
      </c>
      <c r="Y5898">
        <v>9.1098239999999997E-2</v>
      </c>
      <c r="Z5898">
        <v>9.3839229999999996E-2</v>
      </c>
      <c r="AA5898">
        <v>0.99141080000000004</v>
      </c>
      <c r="AB5898">
        <v>16</v>
      </c>
      <c r="AC5898">
        <v>1.0999999999967199E-2</v>
      </c>
      <c r="AD5898">
        <v>-7.1430999999999994E-2</v>
      </c>
      <c r="AE5898">
        <v>-0.57316500000000004</v>
      </c>
      <c r="AF5898">
        <v>6.4196075604726996E-2</v>
      </c>
      <c r="AG5898">
        <v>-7.1430999999999994E-2</v>
      </c>
      <c r="AH5898">
        <v>0.560844038614431</v>
      </c>
      <c r="AI5898">
        <v>97.211717434534506</v>
      </c>
      <c r="AJ5898">
        <v>83.470153091606207</v>
      </c>
      <c r="AK5898">
        <v>0.56900752150862899</v>
      </c>
      <c r="AL5898">
        <v>80.133144710509796</v>
      </c>
      <c r="AM5898">
        <v>84.619859733112193</v>
      </c>
      <c r="AN5898">
        <v>0.99999999278066198</v>
      </c>
    </row>
    <row r="5899" spans="1:40" x14ac:dyDescent="0.25">
      <c r="A5899" t="str">
        <f>"20190312172526085"</f>
        <v>20190312172526085</v>
      </c>
      <c r="B5899" t="str">
        <f>"1552382726076079"</f>
        <v>1552382726076079</v>
      </c>
      <c r="C5899" t="s">
        <v>40</v>
      </c>
      <c r="D5899">
        <v>3.994828</v>
      </c>
      <c r="E5899">
        <v>0.4982974</v>
      </c>
      <c r="F5899" t="s">
        <v>41</v>
      </c>
      <c r="G5899">
        <v>-301.00319999999999</v>
      </c>
      <c r="H5899">
        <v>1.026678</v>
      </c>
      <c r="I5899">
        <v>-7.5131479999999904</v>
      </c>
      <c r="J5899">
        <v>-301.02030000000002</v>
      </c>
      <c r="K5899">
        <v>1.1098269999999999</v>
      </c>
      <c r="L5899">
        <v>-6.8164369999999996</v>
      </c>
      <c r="M5899">
        <v>0.13065080000000001</v>
      </c>
      <c r="N5899">
        <v>0</v>
      </c>
      <c r="O5899">
        <v>-0.99134169999999999</v>
      </c>
      <c r="P5899">
        <v>3.8671869999999997E-2</v>
      </c>
      <c r="Q5899">
        <v>0.1584441</v>
      </c>
      <c r="R5899">
        <v>-0.98661019999999999</v>
      </c>
      <c r="S5899">
        <v>0.12615970000000001</v>
      </c>
      <c r="T5899">
        <v>-0.30113329999999999</v>
      </c>
      <c r="U5899">
        <v>-3.0852970000000002</v>
      </c>
      <c r="V5899">
        <v>9.0938099999999994E-2</v>
      </c>
      <c r="W5899">
        <v>0.1711318</v>
      </c>
      <c r="X5899">
        <v>0.98104239999999998</v>
      </c>
      <c r="Y5899">
        <v>9.0234449999999994E-2</v>
      </c>
      <c r="Z5899">
        <v>9.5657850000000003E-2</v>
      </c>
      <c r="AA5899">
        <v>0.99131599999999997</v>
      </c>
      <c r="AB5899">
        <v>16</v>
      </c>
      <c r="AC5899">
        <v>1.71000000000276E-2</v>
      </c>
      <c r="AD5899">
        <v>-8.3149000000000098E-2</v>
      </c>
      <c r="AE5899">
        <v>-0.69671099999999897</v>
      </c>
      <c r="AF5899">
        <v>7.3040569827255999E-2</v>
      </c>
      <c r="AG5899">
        <v>-8.3149000000000098E-2</v>
      </c>
      <c r="AH5899">
        <v>0.68324660969415096</v>
      </c>
      <c r="AI5899">
        <v>96.899668774933303</v>
      </c>
      <c r="AJ5899">
        <v>83.898128587457506</v>
      </c>
      <c r="AK5899">
        <v>0.69215215863294199</v>
      </c>
      <c r="AL5899">
        <v>80.146369296011997</v>
      </c>
      <c r="AM5899">
        <v>84.704079514943103</v>
      </c>
      <c r="AN5899">
        <v>1.0000000108003</v>
      </c>
    </row>
    <row r="5900" spans="1:40" x14ac:dyDescent="0.25">
      <c r="A5900" t="str">
        <f>"20190312172526129"</f>
        <v>20190312172526129</v>
      </c>
      <c r="B5900" t="str">
        <f>"1552382726125855"</f>
        <v>1552382726125855</v>
      </c>
      <c r="C5900" t="s">
        <v>40</v>
      </c>
      <c r="D5900">
        <v>3.9811580000000002</v>
      </c>
      <c r="E5900">
        <v>0.49838549999999998</v>
      </c>
      <c r="F5900" t="s">
        <v>41</v>
      </c>
      <c r="G5900">
        <v>-300.9871</v>
      </c>
      <c r="H5900">
        <v>1.0271950000000001</v>
      </c>
      <c r="I5900">
        <v>-7.6474099999999998</v>
      </c>
      <c r="J5900">
        <v>-300.98750000000001</v>
      </c>
      <c r="K5900">
        <v>1.110916</v>
      </c>
      <c r="L5900">
        <v>-7.1026309999999997</v>
      </c>
      <c r="M5900">
        <v>0.12705089999999999</v>
      </c>
      <c r="N5900">
        <v>0</v>
      </c>
      <c r="O5900">
        <v>-0.99175820000000003</v>
      </c>
      <c r="P5900">
        <v>3.7715730000000003E-2</v>
      </c>
      <c r="Q5900">
        <v>0.15426989999999999</v>
      </c>
      <c r="R5900">
        <v>-0.98730890000000004</v>
      </c>
      <c r="S5900">
        <v>0.1239319</v>
      </c>
      <c r="T5900">
        <v>-0.30646099999999998</v>
      </c>
      <c r="U5900">
        <v>-3.085083</v>
      </c>
      <c r="V5900">
        <v>8.8288779999999997E-2</v>
      </c>
      <c r="W5900">
        <v>0.1704078</v>
      </c>
      <c r="X5900">
        <v>0.98141029999999996</v>
      </c>
      <c r="Y5900">
        <v>8.7343680000000007E-2</v>
      </c>
      <c r="Z5900">
        <v>9.7423739999999995E-2</v>
      </c>
      <c r="AA5900">
        <v>0.99140289999999998</v>
      </c>
      <c r="AB5900">
        <v>15</v>
      </c>
      <c r="AC5900">
        <v>4.0000000001327803E-4</v>
      </c>
      <c r="AD5900">
        <v>-8.3720999999999907E-2</v>
      </c>
      <c r="AE5900">
        <v>-0.54477900000000101</v>
      </c>
      <c r="AF5900">
        <v>6.7239376263179301E-2</v>
      </c>
      <c r="AG5900">
        <v>-8.3720999999999907E-2</v>
      </c>
      <c r="AH5900">
        <v>0.52794525954252602</v>
      </c>
      <c r="AI5900">
        <v>98.939837697823705</v>
      </c>
      <c r="AJ5900">
        <v>82.741856167013196</v>
      </c>
      <c r="AK5900">
        <v>0.53875461634652</v>
      </c>
      <c r="AL5900">
        <v>80.1884692750222</v>
      </c>
      <c r="AM5900">
        <v>84.859444618043199</v>
      </c>
      <c r="AN5900">
        <v>0.99999995196040803</v>
      </c>
    </row>
    <row r="5901" spans="1:40" x14ac:dyDescent="0.25">
      <c r="A5901" t="str">
        <f>"20190312172526151"</f>
        <v>20190312172526151</v>
      </c>
      <c r="B5901" t="str">
        <f>"1552382726146354"</f>
        <v>1552382726146354</v>
      </c>
      <c r="C5901" t="s">
        <v>40</v>
      </c>
      <c r="D5901">
        <v>4.0717049999999997</v>
      </c>
      <c r="E5901">
        <v>0.49833119999999997</v>
      </c>
      <c r="F5901" t="s">
        <v>41</v>
      </c>
      <c r="G5901">
        <v>-300.95639999999997</v>
      </c>
      <c r="H5901">
        <v>1.027487</v>
      </c>
      <c r="I5901">
        <v>-7.9061070000000004</v>
      </c>
      <c r="J5901">
        <v>-300.97190000000001</v>
      </c>
      <c r="K5901">
        <v>1.1113329999999999</v>
      </c>
      <c r="L5901">
        <v>-7.2406920000000001</v>
      </c>
      <c r="M5901">
        <v>0.1255182</v>
      </c>
      <c r="N5901">
        <v>0</v>
      </c>
      <c r="O5901">
        <v>-0.99192150000000001</v>
      </c>
      <c r="P5901">
        <v>3.7198450000000001E-2</v>
      </c>
      <c r="Q5901">
        <v>0.15211569999999999</v>
      </c>
      <c r="R5901">
        <v>-0.98766240000000005</v>
      </c>
      <c r="S5901">
        <v>0.12039179999999999</v>
      </c>
      <c r="T5901">
        <v>-0.31992920000000002</v>
      </c>
      <c r="U5901">
        <v>-3.0839539999999999</v>
      </c>
      <c r="V5901">
        <v>8.7293350000000006E-2</v>
      </c>
      <c r="W5901">
        <v>0.17006099999999999</v>
      </c>
      <c r="X5901">
        <v>0.98155950000000003</v>
      </c>
      <c r="Y5901">
        <v>8.6946700000000002E-2</v>
      </c>
      <c r="Z5901">
        <v>0.1017318</v>
      </c>
      <c r="AA5901">
        <v>0.99100500000000002</v>
      </c>
      <c r="AB5901">
        <v>15</v>
      </c>
      <c r="AC5901">
        <v>1.55000000000313E-2</v>
      </c>
      <c r="AD5901">
        <v>-8.3845999999999796E-2</v>
      </c>
      <c r="AE5901">
        <v>-0.66541499999999998</v>
      </c>
      <c r="AF5901">
        <v>6.7093696614096393E-2</v>
      </c>
      <c r="AG5901">
        <v>-8.3845999999999796E-2</v>
      </c>
      <c r="AH5901">
        <v>0.65175397299530102</v>
      </c>
      <c r="AI5901">
        <v>97.292528730527707</v>
      </c>
      <c r="AJ5901">
        <v>84.122487709221502</v>
      </c>
      <c r="AK5901">
        <v>0.66054141214348105</v>
      </c>
      <c r="AL5901">
        <v>80.208633884524204</v>
      </c>
      <c r="AM5901">
        <v>84.917866108295996</v>
      </c>
      <c r="AN5901">
        <v>0.99999996235773503</v>
      </c>
    </row>
    <row r="5902" spans="1:40" x14ac:dyDescent="0.25">
      <c r="A5902" t="str">
        <f>"20190312172526174"</f>
        <v>20190312172526174</v>
      </c>
      <c r="B5902" t="str">
        <f>"1552382726166379"</f>
        <v>1552382726166379</v>
      </c>
      <c r="C5902" t="s">
        <v>40</v>
      </c>
      <c r="D5902">
        <v>3.9878429999999998</v>
      </c>
      <c r="E5902">
        <v>0.49831490000000001</v>
      </c>
      <c r="F5902" t="s">
        <v>41</v>
      </c>
      <c r="G5902">
        <v>-300.94170000000003</v>
      </c>
      <c r="H5902">
        <v>1.027458</v>
      </c>
      <c r="I5902">
        <v>-8.0305199999999992</v>
      </c>
      <c r="J5902">
        <v>-300.95650000000001</v>
      </c>
      <c r="K5902">
        <v>1.111656</v>
      </c>
      <c r="L5902">
        <v>-7.3789669999999896</v>
      </c>
      <c r="M5902">
        <v>0.1239628</v>
      </c>
      <c r="N5902">
        <v>0</v>
      </c>
      <c r="O5902">
        <v>-0.99208180000000001</v>
      </c>
      <c r="P5902">
        <v>3.6506549999999999E-2</v>
      </c>
      <c r="Q5902">
        <v>0.15027550000000001</v>
      </c>
      <c r="R5902">
        <v>-0.98796989999999996</v>
      </c>
      <c r="S5902">
        <v>0.118866</v>
      </c>
      <c r="T5902">
        <v>-0.32703840000000001</v>
      </c>
      <c r="U5902">
        <v>-3.0833740000000001</v>
      </c>
      <c r="V5902">
        <v>8.6461780000000002E-2</v>
      </c>
      <c r="W5902">
        <v>0.170009299999999</v>
      </c>
      <c r="X5902">
        <v>0.98164209999999996</v>
      </c>
      <c r="Y5902">
        <v>8.5880629999999999E-2</v>
      </c>
      <c r="Z5902">
        <v>0.10402359999999999</v>
      </c>
      <c r="AA5902">
        <v>0.99085999999999996</v>
      </c>
      <c r="AB5902">
        <v>14</v>
      </c>
      <c r="AC5902">
        <v>1.4799999999979699E-2</v>
      </c>
      <c r="AD5902">
        <v>-8.4197999999999995E-2</v>
      </c>
      <c r="AE5902">
        <v>-0.65155299999999905</v>
      </c>
      <c r="AF5902">
        <v>6.5013833584500996E-2</v>
      </c>
      <c r="AG5902">
        <v>-8.4197999999999995E-2</v>
      </c>
      <c r="AH5902">
        <v>0.63771638623026905</v>
      </c>
      <c r="AI5902">
        <v>97.482943671401898</v>
      </c>
      <c r="AJ5902">
        <v>84.178928009265505</v>
      </c>
      <c r="AK5902">
        <v>0.64652787335732598</v>
      </c>
      <c r="AL5902">
        <v>80.211640290481</v>
      </c>
      <c r="AM5902">
        <v>84.966450765432</v>
      </c>
      <c r="AN5902">
        <v>1.00000000698983</v>
      </c>
    </row>
    <row r="5903" spans="1:40" x14ac:dyDescent="0.25">
      <c r="A5903" t="str">
        <f>"20190312172526195"</f>
        <v>20190312172526195</v>
      </c>
      <c r="B5903" t="str">
        <f>"1552382726185898"</f>
        <v>1552382726185898</v>
      </c>
      <c r="C5903" t="s">
        <v>40</v>
      </c>
      <c r="D5903">
        <v>3.9034930000000001</v>
      </c>
      <c r="E5903">
        <v>0.49827579999999999</v>
      </c>
      <c r="F5903" t="s">
        <v>41</v>
      </c>
      <c r="G5903">
        <v>-300.9273</v>
      </c>
      <c r="H5903">
        <v>1.0281690000000001</v>
      </c>
      <c r="I5903">
        <v>-8.1520709999999994</v>
      </c>
      <c r="J5903">
        <v>-300.94209999999998</v>
      </c>
      <c r="K5903">
        <v>1.111734</v>
      </c>
      <c r="L5903">
        <v>-7.5096129999999999</v>
      </c>
      <c r="M5903">
        <v>0.1221838</v>
      </c>
      <c r="N5903">
        <v>0</v>
      </c>
      <c r="O5903">
        <v>-0.99227299999999996</v>
      </c>
      <c r="P5903">
        <v>3.6167030000000003E-2</v>
      </c>
      <c r="Q5903">
        <v>0.1491082</v>
      </c>
      <c r="R5903">
        <v>-0.98815929999999996</v>
      </c>
      <c r="S5903">
        <v>0.1167908</v>
      </c>
      <c r="T5903">
        <v>-0.33272220000000002</v>
      </c>
      <c r="U5903">
        <v>-3.0828250000000001</v>
      </c>
      <c r="V5903">
        <v>8.5086690000000006E-2</v>
      </c>
      <c r="W5903">
        <v>0.17021510000000001</v>
      </c>
      <c r="X5903">
        <v>0.9817266</v>
      </c>
      <c r="Y5903">
        <v>8.4764370000000006E-2</v>
      </c>
      <c r="Z5903">
        <v>0.1058713</v>
      </c>
      <c r="AA5903">
        <v>0.99076039999999999</v>
      </c>
      <c r="AB5903">
        <v>14</v>
      </c>
      <c r="AC5903">
        <v>1.4799999999979699E-2</v>
      </c>
      <c r="AD5903">
        <v>-8.3564999999999806E-2</v>
      </c>
      <c r="AE5903">
        <v>-0.64245799999999997</v>
      </c>
      <c r="AF5903">
        <v>6.2765839585826294E-2</v>
      </c>
      <c r="AG5903">
        <v>-8.3564999999999806E-2</v>
      </c>
      <c r="AH5903">
        <v>0.62881791691154598</v>
      </c>
      <c r="AI5903">
        <v>97.532809419411606</v>
      </c>
      <c r="AJ5903">
        <v>84.299867614684501</v>
      </c>
      <c r="AK5903">
        <v>0.63744382691566603</v>
      </c>
      <c r="AL5903">
        <v>80.199674552663794</v>
      </c>
      <c r="AM5903">
        <v>85.046527149050704</v>
      </c>
      <c r="AN5903">
        <v>1.0000000211153599</v>
      </c>
    </row>
    <row r="5904" spans="1:40" x14ac:dyDescent="0.25">
      <c r="A5904" t="str">
        <f>"20190312172526218"</f>
        <v>20190312172526218</v>
      </c>
      <c r="B5904" t="str">
        <f>"1552382726206395"</f>
        <v>1552382726206395</v>
      </c>
      <c r="C5904" t="s">
        <v>40</v>
      </c>
      <c r="D5904">
        <v>3.9692150000000002</v>
      </c>
      <c r="E5904">
        <v>0.49823650000000003</v>
      </c>
      <c r="F5904" t="s">
        <v>41</v>
      </c>
      <c r="G5904">
        <v>-300.91399999999999</v>
      </c>
      <c r="H5904">
        <v>1.028618</v>
      </c>
      <c r="I5904">
        <v>-8.2715789999999991</v>
      </c>
      <c r="J5904">
        <v>-300.928</v>
      </c>
      <c r="K5904">
        <v>1.1113299999999999</v>
      </c>
      <c r="L5904">
        <v>-7.642944</v>
      </c>
      <c r="M5904">
        <v>0.1198347</v>
      </c>
      <c r="N5904">
        <v>0</v>
      </c>
      <c r="O5904">
        <v>-0.99255369999999998</v>
      </c>
      <c r="P5904">
        <v>3.5437870000000003E-2</v>
      </c>
      <c r="Q5904">
        <v>0.1494164</v>
      </c>
      <c r="R5904">
        <v>-0.98813930000000005</v>
      </c>
      <c r="S5904">
        <v>0.1148682</v>
      </c>
      <c r="T5904">
        <v>-0.33584999999999998</v>
      </c>
      <c r="U5904">
        <v>-3.0824280000000002</v>
      </c>
      <c r="V5904">
        <v>8.3577369999999998E-2</v>
      </c>
      <c r="W5904">
        <v>0.17074329999999999</v>
      </c>
      <c r="X5904">
        <v>0.98176450000000004</v>
      </c>
      <c r="Y5904">
        <v>8.3022849999999995E-2</v>
      </c>
      <c r="Z5904">
        <v>0.10692409999999999</v>
      </c>
      <c r="AA5904">
        <v>0.99079479999999998</v>
      </c>
      <c r="AB5904">
        <v>13</v>
      </c>
      <c r="AC5904">
        <v>1.4000000000009999E-2</v>
      </c>
      <c r="AD5904">
        <v>-8.2711999999999897E-2</v>
      </c>
      <c r="AE5904">
        <v>-0.62863499999999894</v>
      </c>
      <c r="AF5904">
        <v>6.0405974242407103E-2</v>
      </c>
      <c r="AG5904">
        <v>-8.2711999999999897E-2</v>
      </c>
      <c r="AH5904">
        <v>0.61513708918481502</v>
      </c>
      <c r="AI5904">
        <v>97.621893621239494</v>
      </c>
      <c r="AJ5904">
        <v>84.3915812577645</v>
      </c>
      <c r="AK5904">
        <v>0.62360548037917496</v>
      </c>
      <c r="AL5904">
        <v>80.168961034170806</v>
      </c>
      <c r="AM5904">
        <v>85.134156154676603</v>
      </c>
      <c r="AN5904">
        <v>0.99999999236562798</v>
      </c>
    </row>
    <row r="5905" spans="1:40" x14ac:dyDescent="0.25">
      <c r="A5905" t="str">
        <f>"20190312172526240"</f>
        <v>20190312172526240</v>
      </c>
      <c r="B5905" t="str">
        <f>"1552382726236651"</f>
        <v>1552382726236651</v>
      </c>
      <c r="C5905" t="s">
        <v>40</v>
      </c>
      <c r="D5905">
        <v>3.9791810000000001</v>
      </c>
      <c r="E5905">
        <v>0.49821290000000001</v>
      </c>
      <c r="F5905" t="s">
        <v>41</v>
      </c>
      <c r="G5905">
        <v>-300.90100000000001</v>
      </c>
      <c r="H5905">
        <v>1.0297590000000001</v>
      </c>
      <c r="I5905">
        <v>-8.3926300000000005</v>
      </c>
      <c r="J5905">
        <v>-300.91419999999999</v>
      </c>
      <c r="K5905">
        <v>1.110536</v>
      </c>
      <c r="L5905">
        <v>-7.7808229999999998</v>
      </c>
      <c r="M5905">
        <v>0.11723740000000001</v>
      </c>
      <c r="N5905">
        <v>0</v>
      </c>
      <c r="O5905">
        <v>-0.9928844</v>
      </c>
      <c r="P5905">
        <v>3.4647440000000002E-2</v>
      </c>
      <c r="Q5905">
        <v>0.15140229999999999</v>
      </c>
      <c r="R5905">
        <v>-0.98786490000000005</v>
      </c>
      <c r="S5905">
        <v>0.1116943</v>
      </c>
      <c r="T5905">
        <v>-0.33522000000000002</v>
      </c>
      <c r="U5905">
        <v>-3.082703</v>
      </c>
      <c r="V5905">
        <v>8.1897880000000006E-2</v>
      </c>
      <c r="W5905">
        <v>0.17172279999999901</v>
      </c>
      <c r="X5905">
        <v>0.98173520000000003</v>
      </c>
      <c r="Y5905">
        <v>8.1434320000000004E-2</v>
      </c>
      <c r="Z5905">
        <v>0.1067757</v>
      </c>
      <c r="AA5905">
        <v>0.99094269999999995</v>
      </c>
      <c r="AB5905">
        <v>13</v>
      </c>
      <c r="AC5905">
        <v>1.31999999999834E-2</v>
      </c>
      <c r="AD5905">
        <v>-8.0776999999999793E-2</v>
      </c>
      <c r="AE5905">
        <v>-0.61180699999999999</v>
      </c>
      <c r="AF5905">
        <v>5.7629246134836401E-2</v>
      </c>
      <c r="AG5905">
        <v>-8.0776999999999793E-2</v>
      </c>
      <c r="AH5905">
        <v>0.59870224762616697</v>
      </c>
      <c r="AI5905">
        <v>97.649022334350505</v>
      </c>
      <c r="AJ5905">
        <v>84.501822788162997</v>
      </c>
      <c r="AK5905">
        <v>0.60686937231309801</v>
      </c>
      <c r="AL5905">
        <v>80.111998515071903</v>
      </c>
      <c r="AM5905">
        <v>85.231338302071705</v>
      </c>
      <c r="AN5905">
        <v>0.99999999285368701</v>
      </c>
    </row>
    <row r="5906" spans="1:40" x14ac:dyDescent="0.25">
      <c r="A5906" t="str">
        <f>"20190312172526263"</f>
        <v>20190312172526263</v>
      </c>
      <c r="B5906" t="str">
        <f>"1552382726256171"</f>
        <v>1552382726256171</v>
      </c>
      <c r="C5906" t="s">
        <v>40</v>
      </c>
      <c r="D5906">
        <v>3.944356</v>
      </c>
      <c r="E5906">
        <v>0.49815900000000002</v>
      </c>
      <c r="F5906" t="s">
        <v>41</v>
      </c>
      <c r="G5906">
        <v>-300.88830000000002</v>
      </c>
      <c r="H5906">
        <v>1.031919</v>
      </c>
      <c r="I5906">
        <v>-8.5159830000000003</v>
      </c>
      <c r="J5906">
        <v>-300.90089999999998</v>
      </c>
      <c r="K5906">
        <v>1.109917</v>
      </c>
      <c r="L5906">
        <v>-7.9225770000000004</v>
      </c>
      <c r="M5906">
        <v>0.1146281</v>
      </c>
      <c r="N5906">
        <v>0</v>
      </c>
      <c r="O5906">
        <v>-0.99321329999999997</v>
      </c>
      <c r="P5906">
        <v>3.4501419999999998E-2</v>
      </c>
      <c r="Q5906">
        <v>0.15294250000000001</v>
      </c>
      <c r="R5906">
        <v>-0.98763270000000003</v>
      </c>
      <c r="S5906">
        <v>0.109375</v>
      </c>
      <c r="T5906">
        <v>-0.32935239999999999</v>
      </c>
      <c r="U5906">
        <v>-3.0834959999999998</v>
      </c>
      <c r="V5906">
        <v>7.951577E-2</v>
      </c>
      <c r="W5906">
        <v>0.17206189999999999</v>
      </c>
      <c r="X5906">
        <v>0.98187170000000001</v>
      </c>
      <c r="Y5906">
        <v>7.9559270000000001E-2</v>
      </c>
      <c r="Z5906">
        <v>0.104959</v>
      </c>
      <c r="AA5906">
        <v>0.99128899999999998</v>
      </c>
      <c r="AB5906">
        <v>13</v>
      </c>
      <c r="AC5906">
        <v>1.25999999999635E-2</v>
      </c>
      <c r="AD5906">
        <v>-7.7997999999999998E-2</v>
      </c>
      <c r="AE5906">
        <v>-0.59340599999999899</v>
      </c>
      <c r="AF5906">
        <v>5.4574825964953E-2</v>
      </c>
      <c r="AG5906">
        <v>-7.7997999999999998E-2</v>
      </c>
      <c r="AH5906">
        <v>0.58090595392533995</v>
      </c>
      <c r="AI5906">
        <v>97.614210554950304</v>
      </c>
      <c r="AJ5906">
        <v>84.6329418162411</v>
      </c>
      <c r="AK5906">
        <v>0.58865425076101596</v>
      </c>
      <c r="AL5906">
        <v>80.092276484067696</v>
      </c>
      <c r="AM5906">
        <v>85.370070030020997</v>
      </c>
      <c r="AN5906">
        <v>1.0000000451855899</v>
      </c>
    </row>
    <row r="5907" spans="1:40" x14ac:dyDescent="0.25">
      <c r="A5907" t="str">
        <f>"20190312172526288"</f>
        <v>20190312172526288</v>
      </c>
      <c r="B5907" t="str">
        <f>"1552382726276667"</f>
        <v>1552382726276667</v>
      </c>
      <c r="C5907" t="s">
        <v>40</v>
      </c>
      <c r="D5907">
        <v>3.929745</v>
      </c>
      <c r="E5907">
        <v>0.4981429</v>
      </c>
      <c r="F5907" t="s">
        <v>41</v>
      </c>
      <c r="G5907">
        <v>-300.87150000000003</v>
      </c>
      <c r="H5907">
        <v>1.021976</v>
      </c>
      <c r="I5907">
        <v>-8.7563569999999995</v>
      </c>
      <c r="J5907">
        <v>-300.88740000000001</v>
      </c>
      <c r="K5907">
        <v>1.1097049999999999</v>
      </c>
      <c r="L5907">
        <v>-8.0737919999999992</v>
      </c>
      <c r="M5907">
        <v>0.1118931</v>
      </c>
      <c r="N5907">
        <v>0</v>
      </c>
      <c r="O5907">
        <v>-0.99354140000000002</v>
      </c>
      <c r="P5907">
        <v>3.4047710000000002E-2</v>
      </c>
      <c r="Q5907">
        <v>0.15412579999999901</v>
      </c>
      <c r="R5907">
        <v>-0.98746480000000003</v>
      </c>
      <c r="S5907">
        <v>0.1092529</v>
      </c>
      <c r="T5907">
        <v>-0.32507180000000002</v>
      </c>
      <c r="U5907">
        <v>-3.084076</v>
      </c>
      <c r="V5907">
        <v>7.7236150000000003E-2</v>
      </c>
      <c r="W5907">
        <v>0.1724311</v>
      </c>
      <c r="X5907">
        <v>0.9819888</v>
      </c>
      <c r="Y5907">
        <v>7.6853630000000006E-2</v>
      </c>
      <c r="Z5907">
        <v>0.1036507</v>
      </c>
      <c r="AA5907">
        <v>0.99164010000000002</v>
      </c>
      <c r="AB5907">
        <v>14</v>
      </c>
      <c r="AC5907">
        <v>1.5899999999987799E-2</v>
      </c>
      <c r="AD5907">
        <v>-8.7728999999999904E-2</v>
      </c>
      <c r="AE5907">
        <v>-0.68256500000000198</v>
      </c>
      <c r="AF5907">
        <v>5.9603681318218298E-2</v>
      </c>
      <c r="AG5907">
        <v>-8.7728999999999904E-2</v>
      </c>
      <c r="AH5907">
        <v>0.66901078357733501</v>
      </c>
      <c r="AI5907">
        <v>97.441564416196897</v>
      </c>
      <c r="AJ5907">
        <v>84.908831502148402</v>
      </c>
      <c r="AK5907">
        <v>0.67736578361358302</v>
      </c>
      <c r="AL5907">
        <v>80.070801019359607</v>
      </c>
      <c r="AM5907">
        <v>85.502785999420198</v>
      </c>
      <c r="AN5907">
        <v>0.99999995521973495</v>
      </c>
    </row>
    <row r="5908" spans="1:40" x14ac:dyDescent="0.25">
      <c r="A5908" t="str">
        <f>"20190312172526308"</f>
        <v>20190312172526308</v>
      </c>
      <c r="B5908" t="str">
        <f>"1552382726296187"</f>
        <v>1552382726296187</v>
      </c>
      <c r="C5908" t="s">
        <v>40</v>
      </c>
      <c r="D5908">
        <v>3.9597009999999999</v>
      </c>
      <c r="E5908">
        <v>0.4981505</v>
      </c>
      <c r="F5908" t="s">
        <v>41</v>
      </c>
      <c r="G5908">
        <v>-300.85939999999999</v>
      </c>
      <c r="H5908">
        <v>1.025595</v>
      </c>
      <c r="I5908">
        <v>-8.8793050000000004</v>
      </c>
      <c r="J5908">
        <v>-300.8766</v>
      </c>
      <c r="K5908">
        <v>1.1097490000000001</v>
      </c>
      <c r="L5908">
        <v>-8.1961060000000003</v>
      </c>
      <c r="M5908">
        <v>0.1095877</v>
      </c>
      <c r="N5908">
        <v>0</v>
      </c>
      <c r="O5908">
        <v>-0.99380769999999996</v>
      </c>
      <c r="P5908">
        <v>3.4032689999999997E-2</v>
      </c>
      <c r="Q5908">
        <v>0.15459249999999999</v>
      </c>
      <c r="R5908">
        <v>-0.9873923</v>
      </c>
      <c r="S5908">
        <v>0.107910199999999</v>
      </c>
      <c r="T5908">
        <v>-0.3216697</v>
      </c>
      <c r="U5908">
        <v>-3.0845639999999999</v>
      </c>
      <c r="V5908">
        <v>7.4904620000000005E-2</v>
      </c>
      <c r="W5908">
        <v>0.17243629999999999</v>
      </c>
      <c r="X5908">
        <v>0.98216859999999995</v>
      </c>
      <c r="Y5908">
        <v>7.4972109999999995E-2</v>
      </c>
      <c r="Z5908">
        <v>0.1026097</v>
      </c>
      <c r="AA5908">
        <v>0.99189229999999995</v>
      </c>
      <c r="AB5908">
        <v>14</v>
      </c>
      <c r="AC5908">
        <v>1.7200000000002501E-2</v>
      </c>
      <c r="AD5908">
        <v>-8.4153999999999798E-2</v>
      </c>
      <c r="AE5908">
        <v>-0.683199</v>
      </c>
      <c r="AF5908">
        <v>5.6923328381298897E-2</v>
      </c>
      <c r="AG5908">
        <v>-8.4153999999999798E-2</v>
      </c>
      <c r="AH5908">
        <v>0.67079684684872498</v>
      </c>
      <c r="AI5908">
        <v>97.125270362161999</v>
      </c>
      <c r="AJ5908">
        <v>85.149542772239798</v>
      </c>
      <c r="AK5908">
        <v>0.67844717611041505</v>
      </c>
      <c r="AL5908">
        <v>80.070499694293304</v>
      </c>
      <c r="AM5908">
        <v>85.638806921582798</v>
      </c>
      <c r="AN5908">
        <v>1.00000006924049</v>
      </c>
    </row>
    <row r="5909" spans="1:40" x14ac:dyDescent="0.25">
      <c r="A5909" t="str">
        <f>"20190312172526330"</f>
        <v>20190312172526330</v>
      </c>
      <c r="B5909" t="str">
        <f>"1552382726326443"</f>
        <v>1552382726326443</v>
      </c>
      <c r="C5909" t="s">
        <v>40</v>
      </c>
      <c r="D5909">
        <v>3.955962</v>
      </c>
      <c r="E5909">
        <v>0.49810189999999999</v>
      </c>
      <c r="F5909" t="s">
        <v>41</v>
      </c>
      <c r="G5909">
        <v>-300.84899999999999</v>
      </c>
      <c r="H5909">
        <v>1.026119</v>
      </c>
      <c r="I5909">
        <v>-9.0006719999999998</v>
      </c>
      <c r="J5909">
        <v>-300.86529999999999</v>
      </c>
      <c r="K5909">
        <v>1.1098539999999999</v>
      </c>
      <c r="L5909">
        <v>-8.3275759999999899</v>
      </c>
      <c r="M5909">
        <v>0.1069634</v>
      </c>
      <c r="N5909">
        <v>0</v>
      </c>
      <c r="O5909">
        <v>-0.99410379999999998</v>
      </c>
      <c r="P5909">
        <v>3.3284540000000001E-2</v>
      </c>
      <c r="Q5909">
        <v>0.15523529999999999</v>
      </c>
      <c r="R5909">
        <v>-0.98731670000000005</v>
      </c>
      <c r="S5909">
        <v>0.10656740000000001</v>
      </c>
      <c r="T5909">
        <v>-0.3203317</v>
      </c>
      <c r="U5909">
        <v>-3.084778</v>
      </c>
      <c r="V5909">
        <v>7.2961090000000006E-2</v>
      </c>
      <c r="W5909">
        <v>0.17255980000000001</v>
      </c>
      <c r="X5909">
        <v>0.98229310000000003</v>
      </c>
      <c r="Y5909">
        <v>7.2770249999999995E-2</v>
      </c>
      <c r="Z5909">
        <v>0.1022337</v>
      </c>
      <c r="AA5909">
        <v>0.99209510000000001</v>
      </c>
      <c r="AB5909">
        <v>14</v>
      </c>
      <c r="AC5909">
        <v>1.6300000000001001E-2</v>
      </c>
      <c r="AD5909">
        <v>-8.3735000000000101E-2</v>
      </c>
      <c r="AE5909">
        <v>-0.67309600000000103</v>
      </c>
      <c r="AF5909">
        <v>5.4951639391790298E-2</v>
      </c>
      <c r="AG5909">
        <v>-8.3735000000000101E-2</v>
      </c>
      <c r="AH5909">
        <v>0.66075706009924395</v>
      </c>
      <c r="AI5909">
        <v>97.197771837073205</v>
      </c>
      <c r="AJ5909">
        <v>85.245955792212001</v>
      </c>
      <c r="AK5909">
        <v>0.66830466508011199</v>
      </c>
      <c r="AL5909">
        <v>80.063314982703005</v>
      </c>
      <c r="AM5909">
        <v>85.752082314689801</v>
      </c>
      <c r="AN5909">
        <v>0.999999969768818</v>
      </c>
    </row>
    <row r="5910" spans="1:40" x14ac:dyDescent="0.25">
      <c r="A5910" t="str">
        <f>"20190312172526352"</f>
        <v>20190312172526352</v>
      </c>
      <c r="B5910" t="str">
        <f>"1552382726345963"</f>
        <v>1552382726345963</v>
      </c>
      <c r="C5910" t="s">
        <v>40</v>
      </c>
      <c r="D5910">
        <v>3.9485489999999999</v>
      </c>
      <c r="E5910">
        <v>0.49805779999999999</v>
      </c>
      <c r="F5910" t="s">
        <v>41</v>
      </c>
      <c r="G5910">
        <v>-300.83870000000002</v>
      </c>
      <c r="H5910">
        <v>1.0277480000000001</v>
      </c>
      <c r="I5910">
        <v>-9.1228090000000002</v>
      </c>
      <c r="J5910">
        <v>-300.85329999999999</v>
      </c>
      <c r="K5910">
        <v>1.109923</v>
      </c>
      <c r="L5910">
        <v>-8.4672549999999998</v>
      </c>
      <c r="M5910">
        <v>0.10413550000000001</v>
      </c>
      <c r="N5910">
        <v>0</v>
      </c>
      <c r="O5910">
        <v>-0.99441570000000001</v>
      </c>
      <c r="P5910">
        <v>3.1977430000000001E-2</v>
      </c>
      <c r="Q5910">
        <v>0.15688050000000001</v>
      </c>
      <c r="R5910">
        <v>-0.98709990000000003</v>
      </c>
      <c r="S5910">
        <v>0.1028748</v>
      </c>
      <c r="T5910">
        <v>-0.31856790000000001</v>
      </c>
      <c r="U5910">
        <v>-3.0851440000000001</v>
      </c>
      <c r="V5910">
        <v>7.1373939999999997E-2</v>
      </c>
      <c r="W5910">
        <v>0.1735729</v>
      </c>
      <c r="X5910">
        <v>0.98223130000000003</v>
      </c>
      <c r="Y5910">
        <v>7.1120600000000006E-2</v>
      </c>
      <c r="Z5910">
        <v>0.10171910000000001</v>
      </c>
      <c r="AA5910">
        <v>0.99226769999999997</v>
      </c>
      <c r="AB5910">
        <v>14</v>
      </c>
      <c r="AC5910">
        <v>1.4599999999972999E-2</v>
      </c>
      <c r="AD5910">
        <v>-8.2175000000000095E-2</v>
      </c>
      <c r="AE5910">
        <v>-0.65555399999999997</v>
      </c>
      <c r="AF5910">
        <v>5.2924656585413697E-2</v>
      </c>
      <c r="AG5910">
        <v>-8.2175000000000095E-2</v>
      </c>
      <c r="AH5910">
        <v>0.64340450258733795</v>
      </c>
      <c r="AI5910">
        <v>97.254119026484005</v>
      </c>
      <c r="AJ5910">
        <v>85.2975960807034</v>
      </c>
      <c r="AK5910">
        <v>0.65078652709574702</v>
      </c>
      <c r="AL5910">
        <v>80.004380193408096</v>
      </c>
      <c r="AM5910">
        <v>85.843900961524895</v>
      </c>
      <c r="AN5910">
        <v>1.0000000588126099</v>
      </c>
    </row>
    <row r="5911" spans="1:40" x14ac:dyDescent="0.25">
      <c r="A5911" t="str">
        <f>"20190312172526375"</f>
        <v>20190312172526375</v>
      </c>
      <c r="B5911" t="str">
        <f>"1552382726366459"</f>
        <v>1552382726366459</v>
      </c>
      <c r="C5911" t="s">
        <v>40</v>
      </c>
      <c r="D5911">
        <v>3.988855</v>
      </c>
      <c r="E5911">
        <v>0.49798550000000003</v>
      </c>
      <c r="F5911" t="s">
        <v>41</v>
      </c>
      <c r="G5911">
        <v>-300.82859999999999</v>
      </c>
      <c r="H5911">
        <v>1.030716</v>
      </c>
      <c r="I5911">
        <v>-9.245749</v>
      </c>
      <c r="J5911">
        <v>-300.84230000000002</v>
      </c>
      <c r="K5911">
        <v>1.1099190000000001</v>
      </c>
      <c r="L5911">
        <v>-8.5988769999999999</v>
      </c>
      <c r="M5911">
        <v>0.10156949999999999</v>
      </c>
      <c r="N5911">
        <v>0</v>
      </c>
      <c r="O5911">
        <v>-0.99469110000000005</v>
      </c>
      <c r="P5911">
        <v>3.1108E-2</v>
      </c>
      <c r="Q5911">
        <v>0.15813829999999901</v>
      </c>
      <c r="R5911">
        <v>-0.986927</v>
      </c>
      <c r="S5911">
        <v>9.8846439999999994E-2</v>
      </c>
      <c r="T5911">
        <v>-0.3136449</v>
      </c>
      <c r="U5911">
        <v>-3.0858460000000001</v>
      </c>
      <c r="V5911">
        <v>6.9658880000000006E-2</v>
      </c>
      <c r="W5911">
        <v>0.17425789999999999</v>
      </c>
      <c r="X5911">
        <v>0.98223300000000002</v>
      </c>
      <c r="Y5911">
        <v>6.9842409999999994E-2</v>
      </c>
      <c r="Z5911">
        <v>0.1001875</v>
      </c>
      <c r="AA5911">
        <v>0.99251429999999996</v>
      </c>
      <c r="AB5911">
        <v>14</v>
      </c>
      <c r="AC5911">
        <v>1.37000000000284E-2</v>
      </c>
      <c r="AD5911">
        <v>-7.9203000000000107E-2</v>
      </c>
      <c r="AE5911">
        <v>-0.646872</v>
      </c>
      <c r="AF5911">
        <v>5.1313391411357899E-2</v>
      </c>
      <c r="AG5911">
        <v>-7.9203000000000107E-2</v>
      </c>
      <c r="AH5911">
        <v>0.63539613926583405</v>
      </c>
      <c r="AI5911">
        <v>97.082525028568298</v>
      </c>
      <c r="AJ5911">
        <v>85.382921062224199</v>
      </c>
      <c r="AK5911">
        <v>0.64236627646620903</v>
      </c>
      <c r="AL5911">
        <v>79.964523820416701</v>
      </c>
      <c r="AM5911">
        <v>85.943438284663898</v>
      </c>
      <c r="AN5911">
        <v>0.99999992078212896</v>
      </c>
    </row>
    <row r="5912" spans="1:40" x14ac:dyDescent="0.25">
      <c r="A5912" t="str">
        <f>"20190312172526396"</f>
        <v>20190312172526396</v>
      </c>
      <c r="B5912" t="str">
        <f>"1552382726385979"</f>
        <v>1552382726385979</v>
      </c>
      <c r="C5912" t="s">
        <v>40</v>
      </c>
      <c r="D5912">
        <v>4.1723109999999997</v>
      </c>
      <c r="E5912">
        <v>0.49801040000000002</v>
      </c>
      <c r="F5912" t="s">
        <v>41</v>
      </c>
      <c r="G5912">
        <v>-300.81810000000002</v>
      </c>
      <c r="H5912">
        <v>1.032537</v>
      </c>
      <c r="I5912">
        <v>-9.3679900000000007</v>
      </c>
      <c r="J5912">
        <v>-300.8313</v>
      </c>
      <c r="K5912">
        <v>1.109874</v>
      </c>
      <c r="L5912">
        <v>-8.7335510000000003</v>
      </c>
      <c r="M5912">
        <v>9.90756E-2</v>
      </c>
      <c r="N5912">
        <v>0</v>
      </c>
      <c r="O5912">
        <v>-0.99495100000000003</v>
      </c>
      <c r="P5912">
        <v>3.0366529999999999E-2</v>
      </c>
      <c r="Q5912">
        <v>0.158738299999999</v>
      </c>
      <c r="R5912">
        <v>-0.98685389999999995</v>
      </c>
      <c r="S5912">
        <v>9.7351069999999998E-2</v>
      </c>
      <c r="T5912">
        <v>-0.31029459999999998</v>
      </c>
      <c r="U5912">
        <v>-3.086395</v>
      </c>
      <c r="V5912">
        <v>6.7933240000000006E-2</v>
      </c>
      <c r="W5912">
        <v>0.1743664</v>
      </c>
      <c r="X5912">
        <v>0.98233470000000001</v>
      </c>
      <c r="Y5912">
        <v>6.7823449999999993E-2</v>
      </c>
      <c r="Z5912">
        <v>9.9155969999999996E-2</v>
      </c>
      <c r="AA5912">
        <v>0.99275780000000002</v>
      </c>
      <c r="AB5912">
        <v>14</v>
      </c>
      <c r="AC5912">
        <v>1.31999999999834E-2</v>
      </c>
      <c r="AD5912">
        <v>-7.7336999999999906E-2</v>
      </c>
      <c r="AE5912">
        <v>-0.63443899999999798</v>
      </c>
      <c r="AF5912">
        <v>4.9002626669006198E-2</v>
      </c>
      <c r="AG5912">
        <v>-7.7336999999999906E-2</v>
      </c>
      <c r="AH5912">
        <v>0.62336596485356799</v>
      </c>
      <c r="AI5912">
        <v>97.050650358085903</v>
      </c>
      <c r="AJ5912">
        <v>85.505237802507494</v>
      </c>
      <c r="AK5912">
        <v>0.630053485925824</v>
      </c>
      <c r="AL5912">
        <v>79.958211527581696</v>
      </c>
      <c r="AM5912">
        <v>86.044015485261099</v>
      </c>
      <c r="AN5912">
        <v>1.0000000146849699</v>
      </c>
    </row>
    <row r="5913" spans="1:40" x14ac:dyDescent="0.25">
      <c r="A5913" t="str">
        <f>"20190312172526419"</f>
        <v>20190312172526419</v>
      </c>
      <c r="B5913" t="str">
        <f>"1552382726406475"</f>
        <v>1552382726406475</v>
      </c>
      <c r="C5913" t="s">
        <v>40</v>
      </c>
      <c r="D5913">
        <v>3.893446</v>
      </c>
      <c r="E5913">
        <v>0.49803190000000003</v>
      </c>
      <c r="F5913" t="s">
        <v>41</v>
      </c>
      <c r="G5913">
        <v>-300.80810000000002</v>
      </c>
      <c r="H5913">
        <v>1.0342450000000001</v>
      </c>
      <c r="I5913">
        <v>-9.4900269999999995</v>
      </c>
      <c r="J5913">
        <v>-300.82089999999999</v>
      </c>
      <c r="K5913">
        <v>1.1097969999999999</v>
      </c>
      <c r="L5913">
        <v>-8.8679199999999998</v>
      </c>
      <c r="M5913">
        <v>9.664731E-2</v>
      </c>
      <c r="N5913">
        <v>0</v>
      </c>
      <c r="O5913">
        <v>-0.99519639999999998</v>
      </c>
      <c r="P5913">
        <v>2.9527560000000001E-2</v>
      </c>
      <c r="Q5913">
        <v>0.1585241</v>
      </c>
      <c r="R5913">
        <v>-0.98691410000000002</v>
      </c>
      <c r="S5913">
        <v>9.5367430000000003E-2</v>
      </c>
      <c r="T5913">
        <v>-0.30824960000000001</v>
      </c>
      <c r="U5913">
        <v>-3.0866090000000002</v>
      </c>
      <c r="V5913">
        <v>6.6400459999999994E-2</v>
      </c>
      <c r="W5913">
        <v>0.17374100000000001</v>
      </c>
      <c r="X5913">
        <v>0.98255029999999999</v>
      </c>
      <c r="Y5913">
        <v>6.602566E-2</v>
      </c>
      <c r="Z5913">
        <v>9.8544640000000003E-2</v>
      </c>
      <c r="AA5913">
        <v>0.99293989999999999</v>
      </c>
      <c r="AB5913">
        <v>14</v>
      </c>
      <c r="AC5913">
        <v>1.2799999999970099E-2</v>
      </c>
      <c r="AD5913">
        <v>-7.55519999999998E-2</v>
      </c>
      <c r="AE5913">
        <v>-0.62210699999999897</v>
      </c>
      <c r="AF5913">
        <v>4.6703682859780202E-2</v>
      </c>
      <c r="AG5913">
        <v>-7.55519999999998E-2</v>
      </c>
      <c r="AH5913">
        <v>0.61141728997660705</v>
      </c>
      <c r="AI5913">
        <v>97.023995956446598</v>
      </c>
      <c r="AJ5913">
        <v>85.631890690159693</v>
      </c>
      <c r="AK5913">
        <v>0.61783528644696595</v>
      </c>
      <c r="AL5913">
        <v>79.994599827012905</v>
      </c>
      <c r="AM5913">
        <v>86.133846533931305</v>
      </c>
      <c r="AN5913">
        <v>1.0000000240996501</v>
      </c>
    </row>
    <row r="5914" spans="1:40" x14ac:dyDescent="0.25">
      <c r="A5914" t="str">
        <f>"20190312172526442"</f>
        <v>20190312172526442</v>
      </c>
      <c r="B5914" t="str">
        <f>"1552382726436734"</f>
        <v>1552382726436734</v>
      </c>
      <c r="C5914" t="s">
        <v>40</v>
      </c>
      <c r="D5914">
        <v>3.9217330000000001</v>
      </c>
      <c r="E5914">
        <v>0.49806129999999998</v>
      </c>
      <c r="F5914" t="s">
        <v>41</v>
      </c>
      <c r="G5914">
        <v>-300.7989</v>
      </c>
      <c r="H5914">
        <v>1.035347</v>
      </c>
      <c r="I5914">
        <v>-9.6116419999999998</v>
      </c>
      <c r="J5914">
        <v>-300.81040000000002</v>
      </c>
      <c r="K5914">
        <v>1.10972</v>
      </c>
      <c r="L5914">
        <v>-9.0068970000000004</v>
      </c>
      <c r="M5914">
        <v>9.4097440000000004E-2</v>
      </c>
      <c r="N5914">
        <v>0</v>
      </c>
      <c r="O5914">
        <v>-0.99544670000000002</v>
      </c>
      <c r="P5914">
        <v>2.7599769999999999E-2</v>
      </c>
      <c r="Q5914">
        <v>0.15845789999999901</v>
      </c>
      <c r="R5914">
        <v>-0.98697979999999996</v>
      </c>
      <c r="S5914">
        <v>9.1888429999999993E-2</v>
      </c>
      <c r="T5914">
        <v>-0.3086332</v>
      </c>
      <c r="U5914">
        <v>-3.0866090000000002</v>
      </c>
      <c r="V5914">
        <v>6.5834610000000002E-2</v>
      </c>
      <c r="W5914">
        <v>0.17327039999999999</v>
      </c>
      <c r="X5914">
        <v>0.98267139999999997</v>
      </c>
      <c r="Y5914">
        <v>6.4587370000000005E-2</v>
      </c>
      <c r="Z5914">
        <v>9.8708770000000001E-2</v>
      </c>
      <c r="AA5914">
        <v>0.99301819999999996</v>
      </c>
      <c r="AB5914">
        <v>14</v>
      </c>
      <c r="AC5914">
        <v>1.15000000000122E-2</v>
      </c>
      <c r="AD5914">
        <v>-7.4372999999999995E-2</v>
      </c>
      <c r="AE5914">
        <v>-0.60474499999999898</v>
      </c>
      <c r="AF5914">
        <v>4.4785462130779698E-2</v>
      </c>
      <c r="AG5914">
        <v>-7.4372999999999995E-2</v>
      </c>
      <c r="AH5914">
        <v>0.59416013493225595</v>
      </c>
      <c r="AI5914">
        <v>97.114818907214996</v>
      </c>
      <c r="AJ5914">
        <v>85.6894199791532</v>
      </c>
      <c r="AK5914">
        <v>0.60046927206142997</v>
      </c>
      <c r="AL5914">
        <v>80.021977768345195</v>
      </c>
      <c r="AM5914">
        <v>86.167165380761304</v>
      </c>
      <c r="AN5914">
        <v>0.99999995388398499</v>
      </c>
    </row>
    <row r="5915" spans="1:40" x14ac:dyDescent="0.25">
      <c r="A5915" t="str">
        <f>"20190312172526465"</f>
        <v>20190312172526465</v>
      </c>
      <c r="B5915" t="str">
        <f>"1552382726456251"</f>
        <v>1552382726456251</v>
      </c>
      <c r="C5915" t="s">
        <v>40</v>
      </c>
      <c r="D5915">
        <v>3.9182869999999999</v>
      </c>
      <c r="E5915">
        <v>0.49809189999999998</v>
      </c>
      <c r="F5915" t="s">
        <v>41</v>
      </c>
      <c r="G5915">
        <v>-300.78730000000002</v>
      </c>
      <c r="H5915">
        <v>1.0254509999999999</v>
      </c>
      <c r="I5915">
        <v>-9.8495969999999993</v>
      </c>
      <c r="J5915">
        <v>-300.80029999999999</v>
      </c>
      <c r="K5915">
        <v>1.109659</v>
      </c>
      <c r="L5915">
        <v>-9.1495359999999994</v>
      </c>
      <c r="M5915">
        <v>9.1380130000000004E-2</v>
      </c>
      <c r="N5915">
        <v>0</v>
      </c>
      <c r="O5915">
        <v>-0.99570610000000004</v>
      </c>
      <c r="P5915">
        <v>2.531543E-2</v>
      </c>
      <c r="Q5915">
        <v>0.15892779999999901</v>
      </c>
      <c r="R5915">
        <v>-0.98696569999999995</v>
      </c>
      <c r="S5915">
        <v>8.4838869999999997E-2</v>
      </c>
      <c r="T5915">
        <v>-0.30861470000000002</v>
      </c>
      <c r="U5915">
        <v>-3.0867610000000001</v>
      </c>
      <c r="V5915">
        <v>6.5441849999999996E-2</v>
      </c>
      <c r="W5915">
        <v>0.1733315</v>
      </c>
      <c r="X5915">
        <v>0.98268690000000003</v>
      </c>
      <c r="Y5915">
        <v>6.4130629999999994E-2</v>
      </c>
      <c r="Z5915">
        <v>9.8740389999999997E-2</v>
      </c>
      <c r="AA5915">
        <v>0.99304460000000006</v>
      </c>
      <c r="AB5915">
        <v>14</v>
      </c>
      <c r="AC5915">
        <v>1.2999999999976799E-2</v>
      </c>
      <c r="AD5915">
        <v>-8.4207999999999797E-2</v>
      </c>
      <c r="AE5915">
        <v>-0.70006099999999905</v>
      </c>
      <c r="AF5915">
        <v>5.0305462362489201E-2</v>
      </c>
      <c r="AG5915">
        <v>-8.4207999999999797E-2</v>
      </c>
      <c r="AH5915">
        <v>0.68836302274934003</v>
      </c>
      <c r="AI5915">
        <v>96.956018522797706</v>
      </c>
      <c r="AJ5915">
        <v>85.820263655324794</v>
      </c>
      <c r="AK5915">
        <v>0.69531667454197599</v>
      </c>
      <c r="AL5915">
        <v>80.018423616554202</v>
      </c>
      <c r="AM5915">
        <v>86.190023900581295</v>
      </c>
      <c r="AN5915">
        <v>0.99999999402764095</v>
      </c>
    </row>
    <row r="5916" spans="1:40" x14ac:dyDescent="0.25">
      <c r="A5916" t="str">
        <f>"20190312172526488"</f>
        <v>20190312172526488</v>
      </c>
      <c r="B5916" t="str">
        <f>"1552382726476747"</f>
        <v>1552382726476747</v>
      </c>
      <c r="C5916" t="s">
        <v>40</v>
      </c>
      <c r="D5916">
        <v>3.9187720000000001</v>
      </c>
      <c r="E5916">
        <v>0.49810900000000002</v>
      </c>
      <c r="F5916" t="s">
        <v>41</v>
      </c>
      <c r="G5916">
        <v>-300.77980000000002</v>
      </c>
      <c r="H5916">
        <v>1.0276590000000001</v>
      </c>
      <c r="I5916">
        <v>-9.9720270000000006</v>
      </c>
      <c r="J5916">
        <v>-300.79109999999997</v>
      </c>
      <c r="K5916">
        <v>1.1096330000000001</v>
      </c>
      <c r="L5916">
        <v>-9.2853999999999992</v>
      </c>
      <c r="M5916">
        <v>8.8718850000000002E-2</v>
      </c>
      <c r="N5916">
        <v>0</v>
      </c>
      <c r="O5916">
        <v>-0.99595199999999995</v>
      </c>
      <c r="P5916">
        <v>2.3514050000000002E-2</v>
      </c>
      <c r="Q5916">
        <v>0.15901390000000001</v>
      </c>
      <c r="R5916">
        <v>-0.98699650000000005</v>
      </c>
      <c r="S5916">
        <v>7.8277589999999994E-2</v>
      </c>
      <c r="T5916">
        <v>-0.3073478</v>
      </c>
      <c r="U5916">
        <v>-3.087097</v>
      </c>
      <c r="V5916">
        <v>6.4614089999999999E-2</v>
      </c>
      <c r="W5916">
        <v>0.17306189999999999</v>
      </c>
      <c r="X5916">
        <v>0.98278920000000003</v>
      </c>
      <c r="Y5916">
        <v>6.3574339999999993E-2</v>
      </c>
      <c r="Z5916">
        <v>9.8368559999999994E-2</v>
      </c>
      <c r="AA5916">
        <v>0.99311729999999998</v>
      </c>
      <c r="AB5916">
        <v>14</v>
      </c>
      <c r="AC5916">
        <v>1.12999999999487E-2</v>
      </c>
      <c r="AD5916">
        <v>-8.1973999999999894E-2</v>
      </c>
      <c r="AE5916">
        <v>-0.68662700000000099</v>
      </c>
      <c r="AF5916">
        <v>4.8969894621548597E-2</v>
      </c>
      <c r="AG5916">
        <v>-8.1973999999999894E-2</v>
      </c>
      <c r="AH5916">
        <v>0.67529896744030005</v>
      </c>
      <c r="AI5916">
        <v>96.903274532107702</v>
      </c>
      <c r="AJ5916">
        <v>85.852406435532899</v>
      </c>
      <c r="AK5916">
        <v>0.682016482704913</v>
      </c>
      <c r="AL5916">
        <v>80.034107714773597</v>
      </c>
      <c r="AM5916">
        <v>86.238466671065794</v>
      </c>
      <c r="AN5916">
        <v>1.00000000674738</v>
      </c>
    </row>
    <row r="5917" spans="1:40" x14ac:dyDescent="0.25">
      <c r="A5917" t="str">
        <f>"20190312172526508"</f>
        <v>20190312172526508</v>
      </c>
      <c r="B5917" t="str">
        <f>"1552382726506027"</f>
        <v>1552382726506027</v>
      </c>
      <c r="C5917" t="s">
        <v>40</v>
      </c>
      <c r="D5917">
        <v>3.8953220000000002</v>
      </c>
      <c r="E5917">
        <v>0.49810310000000002</v>
      </c>
      <c r="F5917" t="s">
        <v>41</v>
      </c>
      <c r="G5917">
        <v>-300.77210000000002</v>
      </c>
      <c r="H5917">
        <v>1.0291650000000001</v>
      </c>
      <c r="I5917">
        <v>-10.09408</v>
      </c>
      <c r="J5917">
        <v>-300.7826</v>
      </c>
      <c r="K5917">
        <v>1.109629</v>
      </c>
      <c r="L5917">
        <v>-9.4163209999999999</v>
      </c>
      <c r="M5917">
        <v>8.6106290000000002E-2</v>
      </c>
      <c r="N5917">
        <v>0</v>
      </c>
      <c r="O5917">
        <v>-0.99618549999999995</v>
      </c>
      <c r="P5917">
        <v>2.1916660000000001E-2</v>
      </c>
      <c r="Q5917">
        <v>0.1590094</v>
      </c>
      <c r="R5917">
        <v>-0.98703379999999996</v>
      </c>
      <c r="S5917">
        <v>7.2662350000000001E-2</v>
      </c>
      <c r="T5917">
        <v>-0.30727199999999999</v>
      </c>
      <c r="U5917">
        <v>-3.0873110000000001</v>
      </c>
      <c r="V5917">
        <v>6.3623509999999994E-2</v>
      </c>
      <c r="W5917">
        <v>0.17275850000000001</v>
      </c>
      <c r="X5917">
        <v>0.98290719999999998</v>
      </c>
      <c r="Y5917">
        <v>6.2763319999999997E-2</v>
      </c>
      <c r="Z5917">
        <v>9.8376430000000001E-2</v>
      </c>
      <c r="AA5917">
        <v>0.9931681</v>
      </c>
      <c r="AB5917">
        <v>14</v>
      </c>
      <c r="AC5917">
        <v>1.0499999999979E-2</v>
      </c>
      <c r="AD5917">
        <v>-8.0463999999999994E-2</v>
      </c>
      <c r="AE5917">
        <v>-0.677759</v>
      </c>
      <c r="AF5917">
        <v>4.7238511653221099E-2</v>
      </c>
      <c r="AG5917">
        <v>-8.0463999999999994E-2</v>
      </c>
      <c r="AH5917">
        <v>0.66675015565099305</v>
      </c>
      <c r="AI5917">
        <v>96.864187166077102</v>
      </c>
      <c r="AJ5917">
        <v>85.947429006452893</v>
      </c>
      <c r="AK5917">
        <v>0.67324713318352503</v>
      </c>
      <c r="AL5917">
        <v>80.051757099732299</v>
      </c>
      <c r="AM5917">
        <v>86.296415311807493</v>
      </c>
      <c r="AN5917">
        <v>1.0000000070794</v>
      </c>
    </row>
    <row r="5918" spans="1:40" x14ac:dyDescent="0.25">
      <c r="A5918" t="str">
        <f>"20190312172526531"</f>
        <v>20190312172526531</v>
      </c>
      <c r="B5918" t="str">
        <f>"1552382726526524"</f>
        <v>1552382726526524</v>
      </c>
      <c r="C5918" t="s">
        <v>40</v>
      </c>
      <c r="D5918">
        <v>3.9148649999999998</v>
      </c>
      <c r="E5918">
        <v>0.498081</v>
      </c>
      <c r="F5918" t="s">
        <v>41</v>
      </c>
      <c r="G5918">
        <v>-300.7654</v>
      </c>
      <c r="H5918">
        <v>1.0298879999999999</v>
      </c>
      <c r="I5918">
        <v>-10.21584</v>
      </c>
      <c r="J5918">
        <v>-300.77449999999999</v>
      </c>
      <c r="K5918">
        <v>1.109631</v>
      </c>
      <c r="L5918">
        <v>-9.5484010000000001</v>
      </c>
      <c r="M5918">
        <v>8.3436560000000007E-2</v>
      </c>
      <c r="N5918">
        <v>0</v>
      </c>
      <c r="O5918">
        <v>-0.99641670000000004</v>
      </c>
      <c r="P5918">
        <v>2.0065779999999998E-2</v>
      </c>
      <c r="Q5918">
        <v>0.15900420000000001</v>
      </c>
      <c r="R5918">
        <v>-0.98707400000000001</v>
      </c>
      <c r="S5918">
        <v>6.7199709999999996E-2</v>
      </c>
      <c r="T5918">
        <v>-0.30757519999999999</v>
      </c>
      <c r="U5918">
        <v>-3.0874630000000001</v>
      </c>
      <c r="V5918">
        <v>6.2826759999999995E-2</v>
      </c>
      <c r="W5918">
        <v>0.17248659999999999</v>
      </c>
      <c r="X5918">
        <v>0.98300620000000005</v>
      </c>
      <c r="Y5918">
        <v>6.1846329999999998E-2</v>
      </c>
      <c r="Z5918">
        <v>9.8506220000000005E-2</v>
      </c>
      <c r="AA5918">
        <v>0.99321280000000001</v>
      </c>
      <c r="AB5918">
        <v>14</v>
      </c>
      <c r="AC5918">
        <v>9.0999999999894499E-3</v>
      </c>
      <c r="AD5918">
        <v>-7.9743000000000105E-2</v>
      </c>
      <c r="AE5918">
        <v>-0.66743899999999901</v>
      </c>
      <c r="AF5918">
        <v>4.5969824910511603E-2</v>
      </c>
      <c r="AG5918">
        <v>-7.9743000000000105E-2</v>
      </c>
      <c r="AH5918">
        <v>0.65650109226943298</v>
      </c>
      <c r="AI5918">
        <v>96.908847209975093</v>
      </c>
      <c r="AJ5918">
        <v>85.994546174460197</v>
      </c>
      <c r="AK5918">
        <v>0.66292220886184094</v>
      </c>
      <c r="AL5918">
        <v>80.067573273681703</v>
      </c>
      <c r="AM5918">
        <v>86.343035541418999</v>
      </c>
      <c r="AN5918">
        <v>1.0000000090950401</v>
      </c>
    </row>
    <row r="5919" spans="1:40" x14ac:dyDescent="0.25">
      <c r="A5919" t="str">
        <f>"20190312172526553"</f>
        <v>20190312172526553</v>
      </c>
      <c r="B5919" t="str">
        <f>"1552382726546043"</f>
        <v>1552382726546043</v>
      </c>
      <c r="C5919" t="s">
        <v>40</v>
      </c>
      <c r="D5919">
        <v>3.962332</v>
      </c>
      <c r="E5919">
        <v>0.4980369</v>
      </c>
      <c r="F5919" t="s">
        <v>41</v>
      </c>
      <c r="G5919">
        <v>-300.75889999999998</v>
      </c>
      <c r="H5919">
        <v>1.030939</v>
      </c>
      <c r="I5919">
        <v>-10.3378</v>
      </c>
      <c r="J5919">
        <v>-300.76639999999998</v>
      </c>
      <c r="K5919">
        <v>1.109634</v>
      </c>
      <c r="L5919">
        <v>-9.6845400000000001</v>
      </c>
      <c r="M5919">
        <v>8.0649299999999993E-2</v>
      </c>
      <c r="N5919">
        <v>0</v>
      </c>
      <c r="O5919">
        <v>-0.99664980000000003</v>
      </c>
      <c r="P5919">
        <v>1.831093E-2</v>
      </c>
      <c r="Q5919">
        <v>0.15860439999999901</v>
      </c>
      <c r="R5919">
        <v>-0.98717250000000001</v>
      </c>
      <c r="S5919">
        <v>6.1279300000000002E-2</v>
      </c>
      <c r="T5919">
        <v>-0.30762240000000002</v>
      </c>
      <c r="U5919">
        <v>-3.0875849999999998</v>
      </c>
      <c r="V5919">
        <v>6.1823309999999999E-2</v>
      </c>
      <c r="W5919">
        <v>0.1718346</v>
      </c>
      <c r="X5919">
        <v>0.98318399999999995</v>
      </c>
      <c r="Y5919">
        <v>6.0958989999999998E-2</v>
      </c>
      <c r="Z5919">
        <v>9.8556000000000005E-2</v>
      </c>
      <c r="AA5919">
        <v>0.9932626</v>
      </c>
      <c r="AB5919">
        <v>14</v>
      </c>
      <c r="AC5919">
        <v>7.4999999999931797E-3</v>
      </c>
      <c r="AD5919">
        <v>-7.8694999999999904E-2</v>
      </c>
      <c r="AE5919">
        <v>-0.65325999999999895</v>
      </c>
      <c r="AF5919">
        <v>4.4567595634760197E-2</v>
      </c>
      <c r="AG5919">
        <v>-7.8694999999999904E-2</v>
      </c>
      <c r="AH5919">
        <v>0.64241517268646098</v>
      </c>
      <c r="AI5919">
        <v>96.967280907822399</v>
      </c>
      <c r="AJ5919">
        <v>86.031460036327204</v>
      </c>
      <c r="AK5919">
        <v>0.64874989611054201</v>
      </c>
      <c r="AL5919">
        <v>80.105496411220997</v>
      </c>
      <c r="AM5919">
        <v>86.401937823377494</v>
      </c>
      <c r="AN5919">
        <v>1.00000001463625</v>
      </c>
    </row>
    <row r="5920" spans="1:40" x14ac:dyDescent="0.25">
      <c r="A5920" t="str">
        <f>"20190312172526575"</f>
        <v>20190312172526575</v>
      </c>
      <c r="B5920" t="str">
        <f>"1552382726566540"</f>
        <v>1552382726566540</v>
      </c>
      <c r="C5920" t="s">
        <v>40</v>
      </c>
      <c r="D5920">
        <v>3.8840940000000002</v>
      </c>
      <c r="E5920">
        <v>0.49802439999999998</v>
      </c>
      <c r="F5920" t="s">
        <v>41</v>
      </c>
      <c r="G5920">
        <v>-300.75240000000002</v>
      </c>
      <c r="H5920">
        <v>1.0319240000000001</v>
      </c>
      <c r="I5920">
        <v>-10.459820000000001</v>
      </c>
      <c r="J5920">
        <v>-300.75880000000001</v>
      </c>
      <c r="K5920">
        <v>1.1096109999999999</v>
      </c>
      <c r="L5920">
        <v>-9.818695</v>
      </c>
      <c r="M5920">
        <v>7.7870209999999995E-2</v>
      </c>
      <c r="N5920">
        <v>0</v>
      </c>
      <c r="O5920">
        <v>-0.99687400000000004</v>
      </c>
      <c r="P5920">
        <v>1.70294E-2</v>
      </c>
      <c r="Q5920">
        <v>0.15833929999999999</v>
      </c>
      <c r="R5920">
        <v>-0.98723810000000001</v>
      </c>
      <c r="S5920">
        <v>5.6793209999999997E-2</v>
      </c>
      <c r="T5920">
        <v>-0.30899569999999998</v>
      </c>
      <c r="U5920">
        <v>-3.0875849999999998</v>
      </c>
      <c r="V5920">
        <v>6.035716E-2</v>
      </c>
      <c r="W5920">
        <v>0.17133289999999901</v>
      </c>
      <c r="X5920">
        <v>0.98336259999999998</v>
      </c>
      <c r="Y5920">
        <v>5.9619239999999997E-2</v>
      </c>
      <c r="Z5920">
        <v>9.9029930000000002E-2</v>
      </c>
      <c r="AA5920">
        <v>0.99329690000000004</v>
      </c>
      <c r="AB5920">
        <v>14</v>
      </c>
      <c r="AC5920">
        <v>6.39999999998508E-3</v>
      </c>
      <c r="AD5920">
        <v>-7.7687000000000006E-2</v>
      </c>
      <c r="AE5920">
        <v>-0.64112499999999994</v>
      </c>
      <c r="AF5920">
        <v>4.2918328830298801E-2</v>
      </c>
      <c r="AG5920">
        <v>-7.7687000000000006E-2</v>
      </c>
      <c r="AH5920">
        <v>0.63042082141469402</v>
      </c>
      <c r="AI5920">
        <v>97.009101111884206</v>
      </c>
      <c r="AJ5920">
        <v>86.105378253452002</v>
      </c>
      <c r="AK5920">
        <v>0.63663778162449902</v>
      </c>
      <c r="AL5920">
        <v>80.134674044535501</v>
      </c>
      <c r="AM5920">
        <v>86.487686621829496</v>
      </c>
      <c r="AN5920">
        <v>0.99999997623221704</v>
      </c>
    </row>
    <row r="5921" spans="1:40" x14ac:dyDescent="0.25">
      <c r="A5921" t="str">
        <f>"20190312172526597"</f>
        <v>20190312172526597</v>
      </c>
      <c r="B5921" t="str">
        <f>"1552382726587035"</f>
        <v>1552382726587035</v>
      </c>
      <c r="C5921" t="s">
        <v>40</v>
      </c>
      <c r="D5921">
        <v>3.9589059999999998</v>
      </c>
      <c r="E5921">
        <v>0.4979614</v>
      </c>
      <c r="F5921" t="s">
        <v>41</v>
      </c>
      <c r="G5921">
        <v>-300.74579999999997</v>
      </c>
      <c r="H5921">
        <v>1.033005</v>
      </c>
      <c r="I5921">
        <v>-10.58193</v>
      </c>
      <c r="J5921">
        <v>-300.75150000000002</v>
      </c>
      <c r="K5921">
        <v>1.10959599999999</v>
      </c>
      <c r="L5921">
        <v>-9.955292</v>
      </c>
      <c r="M5921">
        <v>7.5011579999999994E-2</v>
      </c>
      <c r="N5921">
        <v>0</v>
      </c>
      <c r="O5921">
        <v>-0.9970966</v>
      </c>
      <c r="P5921">
        <v>1.5468269999999999E-2</v>
      </c>
      <c r="Q5921">
        <v>0.1583118</v>
      </c>
      <c r="R5921">
        <v>-0.98726809999999998</v>
      </c>
      <c r="S5921">
        <v>5.2948000000000002E-2</v>
      </c>
      <c r="T5921">
        <v>-0.30978729999999999</v>
      </c>
      <c r="U5921">
        <v>-3.087555</v>
      </c>
      <c r="V5921">
        <v>5.9091959999999999E-2</v>
      </c>
      <c r="W5921">
        <v>0.17107359999999999</v>
      </c>
      <c r="X5921">
        <v>0.98348460000000004</v>
      </c>
      <c r="Y5921">
        <v>5.7993690000000001E-2</v>
      </c>
      <c r="Z5921">
        <v>9.9320690000000003E-2</v>
      </c>
      <c r="AA5921">
        <v>0.99336400000000002</v>
      </c>
      <c r="AB5921">
        <v>14</v>
      </c>
      <c r="AC5921">
        <v>5.7000000000471101E-3</v>
      </c>
      <c r="AD5921">
        <v>-7.6590999999999798E-2</v>
      </c>
      <c r="AE5921">
        <v>-0.62663799999999903</v>
      </c>
      <c r="AF5921">
        <v>4.0716981034861301E-2</v>
      </c>
      <c r="AG5921">
        <v>-7.6590999999999798E-2</v>
      </c>
      <c r="AH5921">
        <v>0.61609673049059999</v>
      </c>
      <c r="AI5921">
        <v>97.071185983098403</v>
      </c>
      <c r="AJ5921">
        <v>86.218899669078098</v>
      </c>
      <c r="AK5921">
        <v>0.62217299454958697</v>
      </c>
      <c r="AL5921">
        <v>80.149753687905303</v>
      </c>
      <c r="AM5921">
        <v>86.561558332105605</v>
      </c>
      <c r="AN5921">
        <v>0.99999999739538004</v>
      </c>
    </row>
    <row r="5922" spans="1:40" x14ac:dyDescent="0.25">
      <c r="A5922" t="str">
        <f>"20190312172526620"</f>
        <v>20190312172526620</v>
      </c>
      <c r="B5922" t="str">
        <f>"1552382726616315"</f>
        <v>1552382726616315</v>
      </c>
      <c r="C5922" t="s">
        <v>40</v>
      </c>
      <c r="D5922">
        <v>3.946558</v>
      </c>
      <c r="E5922">
        <v>0.49787670000000001</v>
      </c>
      <c r="F5922" t="s">
        <v>41</v>
      </c>
      <c r="G5922">
        <v>-300.74</v>
      </c>
      <c r="H5922">
        <v>1.034241</v>
      </c>
      <c r="I5922">
        <v>-10.7043</v>
      </c>
      <c r="J5922">
        <v>-300.74470000000002</v>
      </c>
      <c r="K5922">
        <v>1.109575</v>
      </c>
      <c r="L5922">
        <v>-10.090389999999999</v>
      </c>
      <c r="M5922">
        <v>7.2164950000000005E-2</v>
      </c>
      <c r="N5922">
        <v>0</v>
      </c>
      <c r="O5922">
        <v>-0.99730940000000001</v>
      </c>
      <c r="P5922">
        <v>1.3506300000000001E-2</v>
      </c>
      <c r="Q5922">
        <v>0.1583946</v>
      </c>
      <c r="R5922">
        <v>-0.98728349999999998</v>
      </c>
      <c r="S5922">
        <v>4.8339840000000002E-2</v>
      </c>
      <c r="T5922">
        <v>-0.3102434</v>
      </c>
      <c r="U5922">
        <v>-3.0876769999999998</v>
      </c>
      <c r="V5922">
        <v>5.8239560000000003E-2</v>
      </c>
      <c r="W5922">
        <v>0.1709415</v>
      </c>
      <c r="X5922">
        <v>0.98355840000000005</v>
      </c>
      <c r="Y5922">
        <v>5.6626700000000002E-2</v>
      </c>
      <c r="Z5922">
        <v>9.9498089999999997E-2</v>
      </c>
      <c r="AA5922">
        <v>0.99342509999999995</v>
      </c>
      <c r="AB5922">
        <v>14</v>
      </c>
      <c r="AC5922">
        <v>4.7000000000139101E-3</v>
      </c>
      <c r="AD5922">
        <v>-7.5333999999999998E-2</v>
      </c>
      <c r="AE5922">
        <v>-0.61390999999999996</v>
      </c>
      <c r="AF5922">
        <v>3.9031020447977099E-2</v>
      </c>
      <c r="AG5922">
        <v>-7.5333999999999998E-2</v>
      </c>
      <c r="AH5922">
        <v>0.603560305959296</v>
      </c>
      <c r="AI5922">
        <v>97.099958943488801</v>
      </c>
      <c r="AJ5922">
        <v>86.299950247930596</v>
      </c>
      <c r="AK5922">
        <v>0.60949460624593699</v>
      </c>
      <c r="AL5922">
        <v>80.157435489113098</v>
      </c>
      <c r="AM5922">
        <v>86.6112950122385</v>
      </c>
      <c r="AN5922">
        <v>0.99999998449090099</v>
      </c>
    </row>
    <row r="5923" spans="1:40" x14ac:dyDescent="0.25">
      <c r="A5923" t="str">
        <f>"20190312172526643"</f>
        <v>20190312172526643</v>
      </c>
      <c r="B5923" t="str">
        <f>"1552382726636811"</f>
        <v>1552382726636811</v>
      </c>
      <c r="C5923" t="s">
        <v>40</v>
      </c>
      <c r="D5923">
        <v>4.1297610000000002</v>
      </c>
      <c r="E5923">
        <v>0.49782029999999999</v>
      </c>
      <c r="F5923" t="s">
        <v>41</v>
      </c>
      <c r="G5923">
        <v>-300.73450000000003</v>
      </c>
      <c r="H5923">
        <v>1.0355129999999999</v>
      </c>
      <c r="I5923">
        <v>-10.82682</v>
      </c>
      <c r="J5923">
        <v>-300.73809999999997</v>
      </c>
      <c r="K5923">
        <v>1.10955</v>
      </c>
      <c r="L5923">
        <v>-10.22968</v>
      </c>
      <c r="M5923">
        <v>6.9214940000000003E-2</v>
      </c>
      <c r="N5923">
        <v>0</v>
      </c>
      <c r="O5923">
        <v>-0.99752130000000006</v>
      </c>
      <c r="P5923">
        <v>1.204817E-2</v>
      </c>
      <c r="Q5923">
        <v>0.15817479999999901</v>
      </c>
      <c r="R5923">
        <v>-0.9873381</v>
      </c>
      <c r="S5923">
        <v>4.3060300000000003E-2</v>
      </c>
      <c r="T5923">
        <v>-0.3103861</v>
      </c>
      <c r="U5923">
        <v>-3.08786</v>
      </c>
      <c r="V5923">
        <v>5.6785269999999999E-2</v>
      </c>
      <c r="W5923">
        <v>0.17052100000000001</v>
      </c>
      <c r="X5923">
        <v>0.98371640000000005</v>
      </c>
      <c r="Y5923">
        <v>5.5372730000000002E-2</v>
      </c>
      <c r="Z5923">
        <v>9.9573599999999998E-2</v>
      </c>
      <c r="AA5923">
        <v>0.99348829999999999</v>
      </c>
      <c r="AB5923">
        <v>14</v>
      </c>
      <c r="AC5923">
        <v>3.59999999994897E-3</v>
      </c>
      <c r="AD5923">
        <v>-7.4037000000000103E-2</v>
      </c>
      <c r="AE5923">
        <v>-0.597139999999999</v>
      </c>
      <c r="AF5923">
        <v>3.7171562372119597E-2</v>
      </c>
      <c r="AG5923">
        <v>-7.4037000000000103E-2</v>
      </c>
      <c r="AH5923">
        <v>0.58693454476132001</v>
      </c>
      <c r="AI5923">
        <v>97.175198203518306</v>
      </c>
      <c r="AJ5923">
        <v>86.376200626830396</v>
      </c>
      <c r="AK5923">
        <v>0.592752361659034</v>
      </c>
      <c r="AL5923">
        <v>80.181887202905997</v>
      </c>
      <c r="AM5923">
        <v>86.696253432468495</v>
      </c>
      <c r="AN5923">
        <v>0.99999996697946603</v>
      </c>
    </row>
    <row r="5924" spans="1:40" x14ac:dyDescent="0.25">
      <c r="A5924" t="str">
        <f>"20190312172526665"</f>
        <v>20190312172526665</v>
      </c>
      <c r="B5924" t="str">
        <f>"1552382726656331"</f>
        <v>1552382726656331</v>
      </c>
      <c r="C5924" t="s">
        <v>40</v>
      </c>
      <c r="D5924">
        <v>3.8753090000000001</v>
      </c>
      <c r="E5924">
        <v>0.4977567</v>
      </c>
      <c r="F5924" t="s">
        <v>41</v>
      </c>
      <c r="G5924">
        <v>-300.72800000000001</v>
      </c>
      <c r="H5924">
        <v>1.0252270000000001</v>
      </c>
      <c r="I5924">
        <v>-11.06616</v>
      </c>
      <c r="J5924">
        <v>-300.73200000000003</v>
      </c>
      <c r="K5924">
        <v>1.1095349999999999</v>
      </c>
      <c r="L5924">
        <v>-10.36768</v>
      </c>
      <c r="M5924">
        <v>6.6280839999999994E-2</v>
      </c>
      <c r="N5924">
        <v>0</v>
      </c>
      <c r="O5924">
        <v>-0.99772289999999997</v>
      </c>
      <c r="P5924">
        <v>1.066603E-2</v>
      </c>
      <c r="Q5924">
        <v>0.15859760000000001</v>
      </c>
      <c r="R5924">
        <v>-0.9872862</v>
      </c>
      <c r="S5924">
        <v>3.805542E-2</v>
      </c>
      <c r="T5924">
        <v>-0.3110058</v>
      </c>
      <c r="U5924">
        <v>-3.0878299999999999</v>
      </c>
      <c r="V5924">
        <v>5.5265420000000003E-2</v>
      </c>
      <c r="W5924">
        <v>0.17076250000000001</v>
      </c>
      <c r="X5924">
        <v>0.98376110000000005</v>
      </c>
      <c r="Y5924">
        <v>5.4046110000000001E-2</v>
      </c>
      <c r="Z5924">
        <v>9.9805969999999994E-2</v>
      </c>
      <c r="AA5924">
        <v>0.99353800000000003</v>
      </c>
      <c r="AB5924">
        <v>14</v>
      </c>
      <c r="AC5924">
        <v>4.0000000000190898E-3</v>
      </c>
      <c r="AD5924">
        <v>-8.43079999999998E-2</v>
      </c>
      <c r="AE5924">
        <v>-0.69847999999999999</v>
      </c>
      <c r="AF5924">
        <v>4.1700729011156602E-2</v>
      </c>
      <c r="AG5924">
        <v>-8.43079999999998E-2</v>
      </c>
      <c r="AH5924">
        <v>0.68719750260854195</v>
      </c>
      <c r="AI5924">
        <v>96.981597008854607</v>
      </c>
      <c r="AJ5924">
        <v>86.527418219533402</v>
      </c>
      <c r="AK5924">
        <v>0.69360449627686105</v>
      </c>
      <c r="AL5924">
        <v>80.1678446339494</v>
      </c>
      <c r="AM5924">
        <v>86.784635464882996</v>
      </c>
      <c r="AN5924">
        <v>0.99999999996361799</v>
      </c>
    </row>
    <row r="5925" spans="1:40" x14ac:dyDescent="0.25">
      <c r="A5925" t="str">
        <f>"20190312172526688"</f>
        <v>20190312172526688</v>
      </c>
      <c r="B5925" t="str">
        <f>"1552382726676828"</f>
        <v>1552382726676828</v>
      </c>
      <c r="C5925" t="s">
        <v>40</v>
      </c>
      <c r="D5925">
        <v>3.9560209999999998</v>
      </c>
      <c r="E5925">
        <v>0.4977087</v>
      </c>
      <c r="F5925" t="s">
        <v>41</v>
      </c>
      <c r="G5925">
        <v>-300.72329999999999</v>
      </c>
      <c r="H5925">
        <v>1.02711</v>
      </c>
      <c r="I5925">
        <v>-11.189349999999999</v>
      </c>
      <c r="J5925">
        <v>-300.72629999999998</v>
      </c>
      <c r="K5925">
        <v>1.1095219999999999</v>
      </c>
      <c r="L5925">
        <v>-10.506959999999999</v>
      </c>
      <c r="M5925">
        <v>6.3312419999999994E-2</v>
      </c>
      <c r="N5925">
        <v>0</v>
      </c>
      <c r="O5925">
        <v>-0.99791770000000002</v>
      </c>
      <c r="P5925">
        <v>8.6721330000000003E-3</v>
      </c>
      <c r="Q5925">
        <v>0.1587964</v>
      </c>
      <c r="R5925">
        <v>-0.98727319999999996</v>
      </c>
      <c r="S5925">
        <v>3.2958979999999999E-2</v>
      </c>
      <c r="T5925">
        <v>-0.3096776</v>
      </c>
      <c r="U5925">
        <v>-3.0880130000000001</v>
      </c>
      <c r="V5925">
        <v>5.4324049999999999E-2</v>
      </c>
      <c r="W5925">
        <v>0.17079449999999999</v>
      </c>
      <c r="X5925">
        <v>0.98380800000000002</v>
      </c>
      <c r="Y5925">
        <v>5.2715190000000002E-2</v>
      </c>
      <c r="Z5925">
        <v>9.9411399999999997E-2</v>
      </c>
      <c r="AA5925">
        <v>0.99364909999999995</v>
      </c>
      <c r="AB5925">
        <v>14</v>
      </c>
      <c r="AC5925">
        <v>2.9999999999858998E-3</v>
      </c>
      <c r="AD5925">
        <v>-8.2411999999999902E-2</v>
      </c>
      <c r="AE5925">
        <v>-0.68238999999999705</v>
      </c>
      <c r="AF5925">
        <v>3.96349842277018E-2</v>
      </c>
      <c r="AG5925">
        <v>-8.2411999999999902E-2</v>
      </c>
      <c r="AH5925">
        <v>0.67141805319953096</v>
      </c>
      <c r="AI5925">
        <v>96.985624830088895</v>
      </c>
      <c r="AJ5925">
        <v>86.621650326279905</v>
      </c>
      <c r="AK5925">
        <v>0.67761705400689198</v>
      </c>
      <c r="AL5925">
        <v>80.165984054160305</v>
      </c>
      <c r="AM5925">
        <v>86.839443119023301</v>
      </c>
      <c r="AN5925">
        <v>1.0000000222513199</v>
      </c>
    </row>
    <row r="5926" spans="1:40" x14ac:dyDescent="0.25">
      <c r="A5926" t="str">
        <f>"20190312172526710"</f>
        <v>20190312172526710</v>
      </c>
      <c r="B5926" t="str">
        <f>"1552382726706108"</f>
        <v>1552382726706108</v>
      </c>
      <c r="C5926" t="s">
        <v>40</v>
      </c>
      <c r="D5926">
        <v>3.8924159999999999</v>
      </c>
      <c r="E5926">
        <v>0.4976235</v>
      </c>
      <c r="F5926" t="s">
        <v>41</v>
      </c>
      <c r="G5926">
        <v>-300.71929999999998</v>
      </c>
      <c r="H5926">
        <v>1.0289140000000001</v>
      </c>
      <c r="I5926">
        <v>-11.31268</v>
      </c>
      <c r="J5926">
        <v>-300.72129999999999</v>
      </c>
      <c r="K5926">
        <v>1.1095090000000001</v>
      </c>
      <c r="L5926">
        <v>-10.639250000000001</v>
      </c>
      <c r="M5926">
        <v>6.0483410000000001E-2</v>
      </c>
      <c r="N5926">
        <v>0</v>
      </c>
      <c r="O5926">
        <v>-0.99809490000000001</v>
      </c>
      <c r="P5926">
        <v>7.4023769999999999E-3</v>
      </c>
      <c r="Q5926">
        <v>0.15950129999999901</v>
      </c>
      <c r="R5926">
        <v>-0.98716999999999999</v>
      </c>
      <c r="S5926">
        <v>2.700806E-2</v>
      </c>
      <c r="T5926">
        <v>-0.3089403</v>
      </c>
      <c r="U5926">
        <v>-3.0881349999999999</v>
      </c>
      <c r="V5926">
        <v>5.2793390000000003E-2</v>
      </c>
      <c r="W5926">
        <v>0.17135539999999999</v>
      </c>
      <c r="X5926">
        <v>0.98379380000000005</v>
      </c>
      <c r="Y5926">
        <v>5.1799199999999997E-2</v>
      </c>
      <c r="Z5926">
        <v>9.9202620000000005E-2</v>
      </c>
      <c r="AA5926">
        <v>0.99371810000000005</v>
      </c>
      <c r="AB5926">
        <v>14</v>
      </c>
      <c r="AC5926">
        <v>2.0000000000095402E-3</v>
      </c>
      <c r="AD5926">
        <v>-8.0595000000000194E-2</v>
      </c>
      <c r="AE5926">
        <v>-0.67342999999999897</v>
      </c>
      <c r="AF5926">
        <v>3.8191024263600597E-2</v>
      </c>
      <c r="AG5926">
        <v>-8.0595000000000194E-2</v>
      </c>
      <c r="AH5926">
        <v>0.66282438815860301</v>
      </c>
      <c r="AI5926">
        <v>96.921381425659305</v>
      </c>
      <c r="AJ5926">
        <v>86.702342528099607</v>
      </c>
      <c r="AK5926">
        <v>0.66879763598350805</v>
      </c>
      <c r="AL5926">
        <v>80.1333660544352</v>
      </c>
      <c r="AM5926">
        <v>86.928279205779404</v>
      </c>
      <c r="AN5926">
        <v>1.00000002802764</v>
      </c>
    </row>
    <row r="5927" spans="1:40" x14ac:dyDescent="0.25">
      <c r="A5927" t="str">
        <f>"20190312172526732"</f>
        <v>20190312172526732</v>
      </c>
      <c r="B5927" t="str">
        <f>"1552382726726604"</f>
        <v>1552382726726604</v>
      </c>
      <c r="C5927" t="s">
        <v>40</v>
      </c>
      <c r="D5927">
        <v>3.843744</v>
      </c>
      <c r="E5927">
        <v>0.49757509999999999</v>
      </c>
      <c r="F5927" t="s">
        <v>41</v>
      </c>
      <c r="G5927">
        <v>-300.71519999999998</v>
      </c>
      <c r="H5927">
        <v>1.030368</v>
      </c>
      <c r="I5927">
        <v>-11.435969999999999</v>
      </c>
      <c r="J5927">
        <v>-300.71640000000002</v>
      </c>
      <c r="K5927">
        <v>1.109494</v>
      </c>
      <c r="L5927">
        <v>-10.77774</v>
      </c>
      <c r="M5927">
        <v>5.7512540000000001E-2</v>
      </c>
      <c r="N5927">
        <v>0</v>
      </c>
      <c r="O5927">
        <v>-0.9982723</v>
      </c>
      <c r="P5927">
        <v>6.4346869999999997E-3</v>
      </c>
      <c r="Q5927">
        <v>0.15953499999999901</v>
      </c>
      <c r="R5927">
        <v>-0.98717180000000004</v>
      </c>
      <c r="S5927">
        <v>2.401733E-2</v>
      </c>
      <c r="T5927">
        <v>-0.3064461</v>
      </c>
      <c r="U5927">
        <v>-3.0883180000000001</v>
      </c>
      <c r="V5927">
        <v>5.0826240000000002E-2</v>
      </c>
      <c r="W5927">
        <v>0.17125489999999999</v>
      </c>
      <c r="X5927">
        <v>0.98391490000000004</v>
      </c>
      <c r="Y5927">
        <v>4.9788899999999997E-2</v>
      </c>
      <c r="Z5927">
        <v>9.8435159999999994E-2</v>
      </c>
      <c r="AA5927">
        <v>0.99389720000000004</v>
      </c>
      <c r="AB5927">
        <v>14</v>
      </c>
      <c r="AC5927">
        <v>1.20000000003983E-3</v>
      </c>
      <c r="AD5927">
        <v>-7.9126000000000002E-2</v>
      </c>
      <c r="AE5927">
        <v>-0.65822999999999898</v>
      </c>
      <c r="AF5927">
        <v>3.6138980547229797E-2</v>
      </c>
      <c r="AG5927">
        <v>-7.9126000000000002E-2</v>
      </c>
      <c r="AH5927">
        <v>0.64784765356706697</v>
      </c>
      <c r="AI5927">
        <v>96.952727810517601</v>
      </c>
      <c r="AJ5927">
        <v>86.8071701686126</v>
      </c>
      <c r="AK5927">
        <v>0.65366163419872503</v>
      </c>
      <c r="AL5927">
        <v>80.139210783905895</v>
      </c>
      <c r="AM5927">
        <v>87.042891739120506</v>
      </c>
      <c r="AN5927">
        <v>1.00000003894427</v>
      </c>
    </row>
    <row r="5928" spans="1:40" x14ac:dyDescent="0.25">
      <c r="A5928" t="str">
        <f>"20190312172526754"</f>
        <v>20190312172526754</v>
      </c>
      <c r="B5928" t="str">
        <f>"1552382726746123"</f>
        <v>1552382726746123</v>
      </c>
      <c r="C5928" t="s">
        <v>40</v>
      </c>
      <c r="D5928">
        <v>3.8417089999999998</v>
      </c>
      <c r="E5928">
        <v>0.497498</v>
      </c>
      <c r="F5928" t="s">
        <v>41</v>
      </c>
      <c r="G5928">
        <v>-300.71120000000002</v>
      </c>
      <c r="H5928">
        <v>1.032068</v>
      </c>
      <c r="I5928">
        <v>-11.55949</v>
      </c>
      <c r="J5928">
        <v>-300.71190000000001</v>
      </c>
      <c r="K5928">
        <v>1.1094790000000001</v>
      </c>
      <c r="L5928">
        <v>-10.91602</v>
      </c>
      <c r="M5928">
        <v>5.4535439999999998E-2</v>
      </c>
      <c r="N5928">
        <v>0</v>
      </c>
      <c r="O5928">
        <v>-0.99844089999999996</v>
      </c>
      <c r="P5928">
        <v>4.8951359999999996E-3</v>
      </c>
      <c r="Q5928">
        <v>0.15997819999999999</v>
      </c>
      <c r="R5928">
        <v>-0.98710869999999995</v>
      </c>
      <c r="S5928">
        <v>2.0782470000000001E-2</v>
      </c>
      <c r="T5928">
        <v>-0.30580220000000002</v>
      </c>
      <c r="U5928">
        <v>-3.0882869999999998</v>
      </c>
      <c r="V5928">
        <v>4.9422399999999998E-2</v>
      </c>
      <c r="W5928">
        <v>0.1715739</v>
      </c>
      <c r="X5928">
        <v>0.98393079999999999</v>
      </c>
      <c r="Y5928">
        <v>4.785126E-2</v>
      </c>
      <c r="Z5928">
        <v>9.8260979999999998E-2</v>
      </c>
      <c r="AA5928">
        <v>0.99400960000000005</v>
      </c>
      <c r="AB5928">
        <v>14</v>
      </c>
      <c r="AC5928">
        <v>6.9999999999481501E-4</v>
      </c>
      <c r="AD5928">
        <v>-7.7411000000000105E-2</v>
      </c>
      <c r="AE5928">
        <v>-0.64346999999999999</v>
      </c>
      <c r="AF5928">
        <v>3.3904755322544403E-2</v>
      </c>
      <c r="AG5928">
        <v>-7.7411000000000105E-2</v>
      </c>
      <c r="AH5928">
        <v>0.63338370818138601</v>
      </c>
      <c r="AI5928">
        <v>96.958164171780197</v>
      </c>
      <c r="AJ5928">
        <v>86.935906160838201</v>
      </c>
      <c r="AK5928">
        <v>0.63899680526907598</v>
      </c>
      <c r="AL5928">
        <v>80.120658435241893</v>
      </c>
      <c r="AM5928">
        <v>87.1244755531403</v>
      </c>
      <c r="AN5928">
        <v>0.99999999798580497</v>
      </c>
    </row>
    <row r="5929" spans="1:40" x14ac:dyDescent="0.25">
      <c r="A5929" t="str">
        <f>"20190312172526776"</f>
        <v>20190312172526776</v>
      </c>
      <c r="B5929" t="str">
        <f>"1552382726766619"</f>
        <v>1552382726766619</v>
      </c>
      <c r="C5929" t="s">
        <v>40</v>
      </c>
      <c r="D5929">
        <v>3.8986969999999999</v>
      </c>
      <c r="E5929">
        <v>0.49742639999999999</v>
      </c>
      <c r="F5929" t="s">
        <v>41</v>
      </c>
      <c r="G5929">
        <v>-300.7079</v>
      </c>
      <c r="H5929">
        <v>1.0338309999999999</v>
      </c>
      <c r="I5929">
        <v>-11.68324</v>
      </c>
      <c r="J5929">
        <v>-300.7081</v>
      </c>
      <c r="K5929">
        <v>1.1094599999999999</v>
      </c>
      <c r="L5929">
        <v>-11.047969999999999</v>
      </c>
      <c r="M5929">
        <v>5.1683609999999998E-2</v>
      </c>
      <c r="N5929">
        <v>0</v>
      </c>
      <c r="O5929">
        <v>-0.99859399999999998</v>
      </c>
      <c r="P5929">
        <v>3.5144210000000002E-3</v>
      </c>
      <c r="Q5929">
        <v>0.16043929999999901</v>
      </c>
      <c r="R5929">
        <v>-0.98703960000000002</v>
      </c>
      <c r="S5929">
        <v>1.696777E-2</v>
      </c>
      <c r="T5929">
        <v>-0.30416599999999999</v>
      </c>
      <c r="U5929">
        <v>-3.0883790000000002</v>
      </c>
      <c r="V5929">
        <v>4.798463E-2</v>
      </c>
      <c r="W5929">
        <v>0.17192379999999999</v>
      </c>
      <c r="X5929">
        <v>0.98394090000000001</v>
      </c>
      <c r="Y5929">
        <v>4.6226000000000003E-2</v>
      </c>
      <c r="Z5929">
        <v>9.7763790000000003E-2</v>
      </c>
      <c r="AA5929">
        <v>0.99413549999999995</v>
      </c>
      <c r="AB5929">
        <v>14</v>
      </c>
      <c r="AC5929">
        <v>2.0000000000663901E-4</v>
      </c>
      <c r="AD5929">
        <v>-7.5629000000000099E-2</v>
      </c>
      <c r="AE5929">
        <v>-0.63527</v>
      </c>
      <c r="AF5929">
        <v>3.2179515193614699E-2</v>
      </c>
      <c r="AG5929">
        <v>-7.5629000000000099E-2</v>
      </c>
      <c r="AH5929">
        <v>0.62556508980018599</v>
      </c>
      <c r="AI5929">
        <v>96.884422892247002</v>
      </c>
      <c r="AJ5929">
        <v>87.055259738292193</v>
      </c>
      <c r="AK5929">
        <v>0.63094131931250996</v>
      </c>
      <c r="AL5929">
        <v>80.100308335977601</v>
      </c>
      <c r="AM5929">
        <v>87.2080230423052</v>
      </c>
      <c r="AN5929">
        <v>1.0000000062077401</v>
      </c>
    </row>
    <row r="5930" spans="1:40" x14ac:dyDescent="0.25">
      <c r="A5930" t="str">
        <f>"20190312172526798"</f>
        <v>20190312172526798</v>
      </c>
      <c r="B5930" t="str">
        <f>"1552382726786139"</f>
        <v>1552382726786139</v>
      </c>
      <c r="C5930" t="s">
        <v>40</v>
      </c>
      <c r="D5930">
        <v>3.9142199999999998</v>
      </c>
      <c r="E5930">
        <v>0.49735200000000002</v>
      </c>
      <c r="F5930" t="s">
        <v>41</v>
      </c>
      <c r="G5930">
        <v>-300.70460000000003</v>
      </c>
      <c r="H5930">
        <v>1.0352049999999999</v>
      </c>
      <c r="I5930">
        <v>-11.80696</v>
      </c>
      <c r="J5930">
        <v>-300.7045</v>
      </c>
      <c r="K5930">
        <v>1.109448</v>
      </c>
      <c r="L5930">
        <v>-11.18567</v>
      </c>
      <c r="M5930">
        <v>4.8699359999999997E-2</v>
      </c>
      <c r="N5930">
        <v>0</v>
      </c>
      <c r="O5930">
        <v>-0.99874540000000001</v>
      </c>
      <c r="P5930">
        <v>1.5813719999999999E-3</v>
      </c>
      <c r="Q5930">
        <v>0.16143479999999999</v>
      </c>
      <c r="R5930">
        <v>-0.98688240000000005</v>
      </c>
      <c r="S5930">
        <v>1.376343E-2</v>
      </c>
      <c r="T5930">
        <v>-0.30230839999999998</v>
      </c>
      <c r="U5930">
        <v>-3.08847</v>
      </c>
      <c r="V5930">
        <v>4.6965989999999999E-2</v>
      </c>
      <c r="W5930">
        <v>0.17280219999999999</v>
      </c>
      <c r="X5930">
        <v>0.98383620000000005</v>
      </c>
      <c r="Y5930">
        <v>4.4272150000000003E-2</v>
      </c>
      <c r="Z5930">
        <v>9.7196009999999999E-2</v>
      </c>
      <c r="AA5930">
        <v>0.9942801</v>
      </c>
      <c r="AB5930">
        <v>14</v>
      </c>
      <c r="AC5930">
        <v>-1.00000000031741E-4</v>
      </c>
      <c r="AD5930">
        <v>-7.4243000000000003E-2</v>
      </c>
      <c r="AE5930">
        <v>-0.62129000000000001</v>
      </c>
      <c r="AF5930">
        <v>2.9930956101518299E-2</v>
      </c>
      <c r="AG5930">
        <v>-7.4243000000000003E-2</v>
      </c>
      <c r="AH5930">
        <v>0.61181131137460099</v>
      </c>
      <c r="AI5930">
        <v>96.910799577911703</v>
      </c>
      <c r="AJ5930">
        <v>87.199216068089697</v>
      </c>
      <c r="AK5930">
        <v>0.61702590375774402</v>
      </c>
      <c r="AL5930">
        <v>80.049215338209606</v>
      </c>
      <c r="AM5930">
        <v>87.266911220732197</v>
      </c>
      <c r="AN5930">
        <v>1.00000003648597</v>
      </c>
    </row>
    <row r="5931" spans="1:40" x14ac:dyDescent="0.25">
      <c r="A5931" t="str">
        <f>"20190312172526821"</f>
        <v>20190312172526821</v>
      </c>
      <c r="B5931" t="str">
        <f>"1552382726816399"</f>
        <v>1552382726816399</v>
      </c>
      <c r="C5931" t="s">
        <v>40</v>
      </c>
      <c r="D5931">
        <v>3.9865810000000002</v>
      </c>
      <c r="E5931">
        <v>0.49032249999999999</v>
      </c>
      <c r="F5931" t="s">
        <v>41</v>
      </c>
      <c r="G5931">
        <v>-300.70260000000002</v>
      </c>
      <c r="H5931">
        <v>1.0372129999999999</v>
      </c>
      <c r="I5931">
        <v>-11.93122</v>
      </c>
      <c r="J5931">
        <v>-300.7013</v>
      </c>
      <c r="K5931">
        <v>1.109426</v>
      </c>
      <c r="L5931">
        <v>-11.32455</v>
      </c>
      <c r="M5931">
        <v>4.5681869999999999E-2</v>
      </c>
      <c r="N5931">
        <v>0</v>
      </c>
      <c r="O5931">
        <v>-0.99888949999999999</v>
      </c>
      <c r="P5931">
        <v>-6.8878339999999905E-4</v>
      </c>
      <c r="Q5931">
        <v>0.16178699999999999</v>
      </c>
      <c r="R5931">
        <v>-0.98682559999999997</v>
      </c>
      <c r="S5931">
        <v>8.7585449999999995E-3</v>
      </c>
      <c r="T5931">
        <v>-0.29878070000000001</v>
      </c>
      <c r="U5931">
        <v>-3.0887449999999999</v>
      </c>
      <c r="V5931">
        <v>4.6255230000000001E-2</v>
      </c>
      <c r="W5931">
        <v>0.1730351</v>
      </c>
      <c r="X5931">
        <v>0.98382890000000001</v>
      </c>
      <c r="Y5931">
        <v>4.2865109999999998E-2</v>
      </c>
      <c r="Z5931">
        <v>9.608767E-2</v>
      </c>
      <c r="AA5931">
        <v>0.99444949999999999</v>
      </c>
      <c r="AB5931">
        <v>14</v>
      </c>
      <c r="AC5931">
        <v>-1.3000000000147299E-3</v>
      </c>
      <c r="AD5931">
        <v>-7.2212999999999999E-2</v>
      </c>
      <c r="AE5931">
        <v>-0.60666999999999904</v>
      </c>
      <c r="AF5931">
        <v>2.8608959061378E-2</v>
      </c>
      <c r="AG5931">
        <v>-7.2212999999999999E-2</v>
      </c>
      <c r="AH5931">
        <v>0.59751134826437202</v>
      </c>
      <c r="AI5931">
        <v>96.883323638476597</v>
      </c>
      <c r="AJ5931">
        <v>87.258760478355697</v>
      </c>
      <c r="AK5931">
        <v>0.60253879643744401</v>
      </c>
      <c r="AL5931">
        <v>80.035666677549898</v>
      </c>
      <c r="AM5931">
        <v>87.308191186822498</v>
      </c>
      <c r="AN5931">
        <v>0.99999999830478603</v>
      </c>
    </row>
    <row r="5932" spans="1:40" x14ac:dyDescent="0.25">
      <c r="A5932" t="str">
        <f>"20190312172526843"</f>
        <v>20190312172526843</v>
      </c>
      <c r="B5932" t="str">
        <f>"1552382726835916"</f>
        <v>1552382726835916</v>
      </c>
      <c r="C5932" t="s">
        <v>40</v>
      </c>
      <c r="D5932">
        <v>3.932267</v>
      </c>
      <c r="E5932">
        <v>0.49026930000000002</v>
      </c>
      <c r="F5932" t="s">
        <v>41</v>
      </c>
      <c r="G5932">
        <v>-300.68779999999998</v>
      </c>
      <c r="H5932">
        <v>1.0377609999999999</v>
      </c>
      <c r="I5932">
        <v>-12.054500000000001</v>
      </c>
      <c r="J5932">
        <v>-300.69850000000002</v>
      </c>
      <c r="K5932">
        <v>1.1094120000000001</v>
      </c>
      <c r="L5932">
        <v>-11.463839999999999</v>
      </c>
      <c r="M5932">
        <v>4.2650420000000001E-2</v>
      </c>
      <c r="N5932">
        <v>0</v>
      </c>
      <c r="O5932">
        <v>-0.99902460000000004</v>
      </c>
      <c r="P5932">
        <v>-2.9932439999999999E-3</v>
      </c>
      <c r="Q5932">
        <v>0.16249720000000001</v>
      </c>
      <c r="R5932">
        <v>-0.98670460000000004</v>
      </c>
      <c r="S5932">
        <v>5.7647709999999998E-2</v>
      </c>
      <c r="T5932">
        <v>-0.30311830000000001</v>
      </c>
      <c r="U5932">
        <v>-3.0897830000000002</v>
      </c>
      <c r="V5932">
        <v>4.5563279999999998E-2</v>
      </c>
      <c r="W5932">
        <v>0.17362729999999901</v>
      </c>
      <c r="X5932">
        <v>0.98375679999999999</v>
      </c>
      <c r="Y5932">
        <v>2.4097380000000002E-2</v>
      </c>
      <c r="Z5932">
        <v>9.7479209999999997E-2</v>
      </c>
      <c r="AA5932">
        <v>0.99494579999999999</v>
      </c>
      <c r="AB5932">
        <v>14</v>
      </c>
      <c r="AC5932">
        <v>1.07000000000425E-2</v>
      </c>
      <c r="AD5932">
        <v>-7.1650999999999895E-2</v>
      </c>
      <c r="AE5932">
        <v>-0.59066000000000096</v>
      </c>
      <c r="AF5932">
        <v>1.4293025049367801E-2</v>
      </c>
      <c r="AG5932">
        <v>-7.1650999999999895E-2</v>
      </c>
      <c r="AH5932">
        <v>0.58201710009761898</v>
      </c>
      <c r="AI5932">
        <v>97.016165259706696</v>
      </c>
      <c r="AJ5932">
        <v>88.593227855809602</v>
      </c>
      <c r="AK5932">
        <v>0.58658508434165302</v>
      </c>
      <c r="AL5932">
        <v>80.001214114542194</v>
      </c>
      <c r="AM5932">
        <v>87.348207036955202</v>
      </c>
      <c r="AN5932">
        <v>0.99999994666794201</v>
      </c>
    </row>
    <row r="5933" spans="1:40" x14ac:dyDescent="0.25">
      <c r="A5933" t="str">
        <f>"20190312172526866"</f>
        <v>20190312172526866</v>
      </c>
      <c r="B5933" t="str">
        <f>"1552382726856412"</f>
        <v>1552382726856412</v>
      </c>
      <c r="C5933" t="s">
        <v>40</v>
      </c>
      <c r="D5933">
        <v>3.9867119999999998</v>
      </c>
      <c r="E5933">
        <v>0.49052659999999998</v>
      </c>
      <c r="F5933" t="s">
        <v>41</v>
      </c>
      <c r="G5933">
        <v>-300.68490000000003</v>
      </c>
      <c r="H5933">
        <v>1.029331</v>
      </c>
      <c r="I5933">
        <v>-12.298120000000001</v>
      </c>
      <c r="J5933">
        <v>-300.69619999999998</v>
      </c>
      <c r="K5933">
        <v>1.1093919999999999</v>
      </c>
      <c r="L5933">
        <v>-11.601990000000001</v>
      </c>
      <c r="M5933">
        <v>3.9640719999999997E-2</v>
      </c>
      <c r="N5933">
        <v>0</v>
      </c>
      <c r="O5933">
        <v>-0.99915019999999999</v>
      </c>
      <c r="P5933">
        <v>-5.2967400000000003E-3</v>
      </c>
      <c r="Q5933">
        <v>0.16374140000000001</v>
      </c>
      <c r="R5933">
        <v>-0.98648939999999996</v>
      </c>
      <c r="S5933">
        <v>5.059814E-2</v>
      </c>
      <c r="T5933">
        <v>-0.29649130000000001</v>
      </c>
      <c r="U5933">
        <v>-3.0894170000000001</v>
      </c>
      <c r="V5933">
        <v>4.4890149999999997E-2</v>
      </c>
      <c r="W5933">
        <v>0.17475750000000001</v>
      </c>
      <c r="X5933">
        <v>0.98358769999999995</v>
      </c>
      <c r="Y5933">
        <v>2.3349829999999999E-2</v>
      </c>
      <c r="Z5933">
        <v>9.5399310000000001E-2</v>
      </c>
      <c r="AA5933">
        <v>0.99516519999999997</v>
      </c>
      <c r="AB5933">
        <v>14</v>
      </c>
      <c r="AC5933">
        <v>1.12999999999487E-2</v>
      </c>
      <c r="AD5933">
        <v>-8.0060999999999896E-2</v>
      </c>
      <c r="AE5933">
        <v>-0.69613000000000003</v>
      </c>
      <c r="AF5933">
        <v>1.6092931490506401E-2</v>
      </c>
      <c r="AG5933">
        <v>-8.0060999999999896E-2</v>
      </c>
      <c r="AH5933">
        <v>0.68694688695363804</v>
      </c>
      <c r="AI5933">
        <v>96.645804267837505</v>
      </c>
      <c r="AJ5933">
        <v>88.657991689586197</v>
      </c>
      <c r="AK5933">
        <v>0.69178376076650705</v>
      </c>
      <c r="AL5933">
        <v>79.935453951220893</v>
      </c>
      <c r="AM5933">
        <v>87.386880108920295</v>
      </c>
      <c r="AN5933">
        <v>1.0000000364822801</v>
      </c>
    </row>
    <row r="5934" spans="1:40" x14ac:dyDescent="0.25">
      <c r="A5934" t="str">
        <f>"20190312172526888"</f>
        <v>20190312172526888</v>
      </c>
      <c r="B5934" t="str">
        <f>"1552382726875931"</f>
        <v>1552382726875931</v>
      </c>
      <c r="C5934" t="s">
        <v>40</v>
      </c>
      <c r="D5934">
        <v>3.8293949999999999</v>
      </c>
      <c r="E5934">
        <v>0.50456020000000001</v>
      </c>
      <c r="F5934" t="s">
        <v>41</v>
      </c>
      <c r="G5934">
        <v>-300.68520000000001</v>
      </c>
      <c r="H5934">
        <v>1.0313190000000001</v>
      </c>
      <c r="I5934">
        <v>-12.42333</v>
      </c>
      <c r="J5934">
        <v>-300.6943</v>
      </c>
      <c r="K5934">
        <v>1.1093820000000001</v>
      </c>
      <c r="L5934">
        <v>-11.74274</v>
      </c>
      <c r="M5934">
        <v>3.657519E-2</v>
      </c>
      <c r="N5934">
        <v>0</v>
      </c>
      <c r="O5934">
        <v>-0.99926820000000005</v>
      </c>
      <c r="P5934">
        <v>-7.687068E-3</v>
      </c>
      <c r="Q5934">
        <v>0.1642556</v>
      </c>
      <c r="R5934">
        <v>-0.98638789999999998</v>
      </c>
      <c r="S5934">
        <v>4.196167E-2</v>
      </c>
      <c r="T5934">
        <v>-0.29333670000000001</v>
      </c>
      <c r="U5934">
        <v>-3.0899960000000002</v>
      </c>
      <c r="V5934">
        <v>4.4252659999999999E-2</v>
      </c>
      <c r="W5934">
        <v>0.1751627</v>
      </c>
      <c r="X5934">
        <v>0.98354450000000004</v>
      </c>
      <c r="Y5934">
        <v>2.3065260000000001E-2</v>
      </c>
      <c r="Z5934">
        <v>9.4394679999999995E-2</v>
      </c>
      <c r="AA5934">
        <v>0.99526760000000003</v>
      </c>
      <c r="AB5934">
        <v>14</v>
      </c>
      <c r="AC5934">
        <v>9.0999999999894499E-3</v>
      </c>
      <c r="AD5934">
        <v>-7.8062999999999702E-2</v>
      </c>
      <c r="AE5934">
        <v>-0.68059000000000003</v>
      </c>
      <c r="AF5934">
        <v>1.5595226036342001E-2</v>
      </c>
      <c r="AG5934">
        <v>-7.8062999999999702E-2</v>
      </c>
      <c r="AH5934">
        <v>0.67163308429813595</v>
      </c>
      <c r="AI5934">
        <v>96.627893123015198</v>
      </c>
      <c r="AJ5934">
        <v>88.669839057119304</v>
      </c>
      <c r="AK5934">
        <v>0.67633426866302704</v>
      </c>
      <c r="AL5934">
        <v>79.911873891151302</v>
      </c>
      <c r="AM5934">
        <v>87.423825969936402</v>
      </c>
      <c r="AN5934">
        <v>1.0000000264343001</v>
      </c>
    </row>
    <row r="5935" spans="1:40" x14ac:dyDescent="0.25">
      <c r="A5935" t="str">
        <f>"20190312172526911"</f>
        <v>20190312172526911</v>
      </c>
      <c r="B5935" t="str">
        <f>"1552382726906188"</f>
        <v>1552382726906188</v>
      </c>
      <c r="C5935" t="s">
        <v>40</v>
      </c>
      <c r="D5935">
        <v>3.8480349999999999</v>
      </c>
      <c r="E5935">
        <v>0.50515759999999998</v>
      </c>
      <c r="F5935" t="s">
        <v>41</v>
      </c>
      <c r="G5935">
        <v>-300.71440000000001</v>
      </c>
      <c r="H5935">
        <v>1.0476799999999999</v>
      </c>
      <c r="I5935">
        <v>-12.55733</v>
      </c>
      <c r="J5935">
        <v>-300.6927</v>
      </c>
      <c r="K5935">
        <v>1.10937</v>
      </c>
      <c r="L5935">
        <v>-11.882720000000001</v>
      </c>
      <c r="M5935">
        <v>3.3526849999999997E-2</v>
      </c>
      <c r="N5935">
        <v>0</v>
      </c>
      <c r="O5935">
        <v>-0.99937619999999905</v>
      </c>
      <c r="P5935">
        <v>-9.8921180000000001E-3</v>
      </c>
      <c r="Q5935">
        <v>0.164047</v>
      </c>
      <c r="R5935">
        <v>-0.98640320000000004</v>
      </c>
      <c r="S5935">
        <v>-7.6019290000000003E-2</v>
      </c>
      <c r="T5935">
        <v>-0.23319790000000001</v>
      </c>
      <c r="U5935">
        <v>-3.0796510000000001</v>
      </c>
      <c r="V5935">
        <v>4.3450160000000002E-2</v>
      </c>
      <c r="W5935">
        <v>0.1748519</v>
      </c>
      <c r="X5935">
        <v>0.9836355</v>
      </c>
      <c r="Y5935">
        <v>5.8111400000000001E-2</v>
      </c>
      <c r="Z5935">
        <v>7.5367160000000002E-2</v>
      </c>
      <c r="AA5935">
        <v>0.99546109999999999</v>
      </c>
      <c r="AB5935">
        <v>14</v>
      </c>
      <c r="AC5935">
        <v>-2.1700000000009802E-2</v>
      </c>
      <c r="AD5935">
        <v>-6.1690000000000002E-2</v>
      </c>
      <c r="AE5935">
        <v>-0.67461000000000104</v>
      </c>
      <c r="AF5935">
        <v>4.3939684786913999E-2</v>
      </c>
      <c r="AG5935">
        <v>-6.1690000000000002E-2</v>
      </c>
      <c r="AH5935">
        <v>0.66792354034636303</v>
      </c>
      <c r="AI5935">
        <v>95.265599552697097</v>
      </c>
      <c r="AJ5935">
        <v>86.236191767505403</v>
      </c>
      <c r="AK5935">
        <v>0.672203992659961</v>
      </c>
      <c r="AL5935">
        <v>79.929959771222599</v>
      </c>
      <c r="AM5935">
        <v>87.470716077744598</v>
      </c>
      <c r="AN5935">
        <v>0.99999995009894105</v>
      </c>
    </row>
    <row r="5936" spans="1:40" x14ac:dyDescent="0.25">
      <c r="A5936" t="str">
        <f>"20190312172526933"</f>
        <v>20190312172526933</v>
      </c>
      <c r="B5936" t="str">
        <f>"1552382726926683"</f>
        <v>1552382726926683</v>
      </c>
      <c r="C5936" t="s">
        <v>40</v>
      </c>
      <c r="D5936">
        <v>3.8107289999999998</v>
      </c>
      <c r="E5936">
        <v>0.50494709999999998</v>
      </c>
      <c r="F5936" t="s">
        <v>41</v>
      </c>
      <c r="G5936">
        <v>-300.71570000000003</v>
      </c>
      <c r="H5936">
        <v>1.047933</v>
      </c>
      <c r="I5936">
        <v>-12.68219</v>
      </c>
      <c r="J5936">
        <v>-300.69170000000003</v>
      </c>
      <c r="K5936">
        <v>1.109354</v>
      </c>
      <c r="L5936">
        <v>-12.020720000000001</v>
      </c>
      <c r="M5936">
        <v>3.0524659999999999E-2</v>
      </c>
      <c r="N5936">
        <v>0</v>
      </c>
      <c r="O5936">
        <v>-0.99947370000000002</v>
      </c>
      <c r="P5936">
        <v>-1.2309280000000001E-2</v>
      </c>
      <c r="Q5936">
        <v>0.16438239999999901</v>
      </c>
      <c r="R5936">
        <v>-0.98631999999999997</v>
      </c>
      <c r="S5936">
        <v>-8.8073730000000003E-2</v>
      </c>
      <c r="T5936">
        <v>-0.2364057</v>
      </c>
      <c r="U5936">
        <v>-3.0798030000000001</v>
      </c>
      <c r="V5936">
        <v>4.2904610000000003E-2</v>
      </c>
      <c r="W5936">
        <v>0.17508850000000001</v>
      </c>
      <c r="X5936">
        <v>0.98361739999999998</v>
      </c>
      <c r="Y5936">
        <v>5.9002550000000001E-2</v>
      </c>
      <c r="Z5936">
        <v>7.6399159999999994E-2</v>
      </c>
      <c r="AA5936">
        <v>0.99533000000000005</v>
      </c>
      <c r="AB5936">
        <v>14</v>
      </c>
      <c r="AC5936">
        <v>-2.4000000000000899E-2</v>
      </c>
      <c r="AD5936">
        <v>-6.1421000000000101E-2</v>
      </c>
      <c r="AE5936">
        <v>-0.661470000000001</v>
      </c>
      <c r="AF5936">
        <v>4.3803992935521702E-2</v>
      </c>
      <c r="AG5936">
        <v>-6.1421000000000101E-2</v>
      </c>
      <c r="AH5936">
        <v>0.65479083614990097</v>
      </c>
      <c r="AI5936">
        <v>95.346923648071694</v>
      </c>
      <c r="AJ5936">
        <v>86.172747400435796</v>
      </c>
      <c r="AK5936">
        <v>0.659122422728875</v>
      </c>
      <c r="AL5936">
        <v>79.916191587459394</v>
      </c>
      <c r="AM5936">
        <v>87.502386802900403</v>
      </c>
      <c r="AN5936">
        <v>0.99999998898713005</v>
      </c>
    </row>
    <row r="5937" spans="1:40" x14ac:dyDescent="0.25">
      <c r="A5937" t="str">
        <f>"20190312172526954"</f>
        <v>20190312172526954</v>
      </c>
      <c r="B5937" t="str">
        <f>"1552382726946204"</f>
        <v>1552382726946204</v>
      </c>
      <c r="C5937" t="s">
        <v>40</v>
      </c>
      <c r="D5937">
        <v>3.8551769999999999</v>
      </c>
      <c r="E5937">
        <v>0.50468159999999995</v>
      </c>
      <c r="F5937" t="s">
        <v>41</v>
      </c>
      <c r="G5937">
        <v>-300.71589999999998</v>
      </c>
      <c r="H5937">
        <v>1.0496319999999999</v>
      </c>
      <c r="I5937">
        <v>-12.808590000000001</v>
      </c>
      <c r="J5937">
        <v>-300.69099999999997</v>
      </c>
      <c r="K5937">
        <v>1.109337</v>
      </c>
      <c r="L5937">
        <v>-12.16019</v>
      </c>
      <c r="M5937">
        <v>2.749387E-2</v>
      </c>
      <c r="N5937">
        <v>0</v>
      </c>
      <c r="O5937">
        <v>-0.99956259999999997</v>
      </c>
      <c r="P5937">
        <v>-1.542002E-2</v>
      </c>
      <c r="Q5937">
        <v>0.16447410000000001</v>
      </c>
      <c r="R5937">
        <v>-0.9862611</v>
      </c>
      <c r="S5937">
        <v>-9.4909670000000002E-2</v>
      </c>
      <c r="T5937">
        <v>-0.23347329999999999</v>
      </c>
      <c r="U5937">
        <v>-3.0793460000000001</v>
      </c>
      <c r="V5937">
        <v>4.3025699999999903E-2</v>
      </c>
      <c r="W5937">
        <v>0.1750796</v>
      </c>
      <c r="X5937">
        <v>0.98361370000000004</v>
      </c>
      <c r="Y5937">
        <v>5.8189570000000003E-2</v>
      </c>
      <c r="Z5937">
        <v>7.5477379999999997E-2</v>
      </c>
      <c r="AA5937">
        <v>0.99544820000000001</v>
      </c>
      <c r="AB5937">
        <v>14</v>
      </c>
      <c r="AC5937">
        <v>-2.4900000000002299E-2</v>
      </c>
      <c r="AD5937">
        <v>-5.9705000000000098E-2</v>
      </c>
      <c r="AE5937">
        <v>-0.64839999999999798</v>
      </c>
      <c r="AF5937">
        <v>4.23600351804167E-2</v>
      </c>
      <c r="AG5937">
        <v>-5.9705000000000098E-2</v>
      </c>
      <c r="AH5937">
        <v>0.64203454075284005</v>
      </c>
      <c r="AI5937">
        <v>95.301391698453102</v>
      </c>
      <c r="AJ5937">
        <v>86.225220697344795</v>
      </c>
      <c r="AK5937">
        <v>0.64619456135532205</v>
      </c>
      <c r="AL5937">
        <v>79.916709571353806</v>
      </c>
      <c r="AM5937">
        <v>87.495337325196203</v>
      </c>
      <c r="AN5937">
        <v>0.99999999401216999</v>
      </c>
    </row>
    <row r="5938" spans="1:40" x14ac:dyDescent="0.25">
      <c r="A5938" t="str">
        <f>"20190312172526977"</f>
        <v>20190312172526977</v>
      </c>
      <c r="B5938" t="str">
        <f>"1552382726966700"</f>
        <v>1552382726966700</v>
      </c>
      <c r="C5938" t="s">
        <v>40</v>
      </c>
      <c r="D5938">
        <v>3.8279649999999998</v>
      </c>
      <c r="E5938">
        <v>0.50423560000000001</v>
      </c>
      <c r="F5938" t="s">
        <v>41</v>
      </c>
      <c r="G5938">
        <v>-300.71690000000001</v>
      </c>
      <c r="H5938">
        <v>1.0505850000000001</v>
      </c>
      <c r="I5938">
        <v>-12.93463</v>
      </c>
      <c r="J5938">
        <v>-300.69069999999999</v>
      </c>
      <c r="K5938">
        <v>1.109316</v>
      </c>
      <c r="L5938">
        <v>-12.30139</v>
      </c>
      <c r="M5938">
        <v>2.4426880000000002E-2</v>
      </c>
      <c r="N5938">
        <v>0</v>
      </c>
      <c r="O5938">
        <v>-0.99964339999999996</v>
      </c>
      <c r="P5938">
        <v>-1.8305950000000001E-2</v>
      </c>
      <c r="Q5938">
        <v>0.164189</v>
      </c>
      <c r="R5938">
        <v>-0.986259</v>
      </c>
      <c r="S5938">
        <v>-0.1021118</v>
      </c>
      <c r="T5938">
        <v>-0.23313</v>
      </c>
      <c r="U5938">
        <v>-3.0790709999999999</v>
      </c>
      <c r="V5938">
        <v>4.2887990000000001E-2</v>
      </c>
      <c r="W5938">
        <v>0.17469179999999901</v>
      </c>
      <c r="X5938">
        <v>0.98368869999999997</v>
      </c>
      <c r="Y5938">
        <v>5.7455569999999997E-2</v>
      </c>
      <c r="Z5938">
        <v>7.5381519999999994E-2</v>
      </c>
      <c r="AA5938">
        <v>0.99549810000000005</v>
      </c>
      <c r="AB5938">
        <v>14</v>
      </c>
      <c r="AC5938">
        <v>-2.6200000000017099E-2</v>
      </c>
      <c r="AD5938">
        <v>-5.8730999999999797E-2</v>
      </c>
      <c r="AE5938">
        <v>-0.63324000000000003</v>
      </c>
      <c r="AF5938">
        <v>4.1306449546332502E-2</v>
      </c>
      <c r="AG5938">
        <v>-5.8730999999999797E-2</v>
      </c>
      <c r="AH5938">
        <v>0.62702656124925304</v>
      </c>
      <c r="AI5938">
        <v>95.339541299859306</v>
      </c>
      <c r="AJ5938">
        <v>86.230988194058497</v>
      </c>
      <c r="AK5938">
        <v>0.63112428383574903</v>
      </c>
      <c r="AL5938">
        <v>79.939277044190604</v>
      </c>
      <c r="AM5938">
        <v>87.5035338149561</v>
      </c>
      <c r="AN5938">
        <v>1.0000000315905799</v>
      </c>
    </row>
    <row r="5939" spans="1:40" x14ac:dyDescent="0.25">
      <c r="A5939" t="str">
        <f>"20190312172527000"</f>
        <v>20190312172527000</v>
      </c>
      <c r="B5939" t="str">
        <f>"1552382726996957"</f>
        <v>1552382726996957</v>
      </c>
      <c r="C5939" t="s">
        <v>40</v>
      </c>
      <c r="D5939">
        <v>3.835782</v>
      </c>
      <c r="E5939">
        <v>0.50371319999999997</v>
      </c>
      <c r="F5939" t="s">
        <v>41</v>
      </c>
      <c r="G5939">
        <v>-300.71719999999999</v>
      </c>
      <c r="H5939">
        <v>1.0517030000000001</v>
      </c>
      <c r="I5939">
        <v>-13.06108</v>
      </c>
      <c r="J5939">
        <v>-300.6909</v>
      </c>
      <c r="K5939">
        <v>1.109294</v>
      </c>
      <c r="L5939">
        <v>-12.44412</v>
      </c>
      <c r="M5939">
        <v>2.1327100000000002E-2</v>
      </c>
      <c r="N5939">
        <v>0</v>
      </c>
      <c r="O5939">
        <v>-0.99971540000000003</v>
      </c>
      <c r="P5939">
        <v>-2.0548070000000002E-2</v>
      </c>
      <c r="Q5939">
        <v>0.1643096</v>
      </c>
      <c r="R5939">
        <v>-0.98619489999999999</v>
      </c>
      <c r="S5939">
        <v>-0.1068115</v>
      </c>
      <c r="T5939">
        <v>-0.23336699999999999</v>
      </c>
      <c r="U5939">
        <v>-3.0786739999999999</v>
      </c>
      <c r="V5939">
        <v>4.2074689999999998E-2</v>
      </c>
      <c r="W5939">
        <v>0.1747068</v>
      </c>
      <c r="X5939">
        <v>0.98372110000000001</v>
      </c>
      <c r="Y5939">
        <v>5.5881779999999999E-2</v>
      </c>
      <c r="Z5939">
        <v>7.5476860000000007E-2</v>
      </c>
      <c r="AA5939">
        <v>0.99558049999999998</v>
      </c>
      <c r="AB5939">
        <v>14</v>
      </c>
      <c r="AC5939">
        <v>-2.6299999999992E-2</v>
      </c>
      <c r="AD5939">
        <v>-5.7590999999999899E-2</v>
      </c>
      <c r="AE5939">
        <v>-0.61695999999999995</v>
      </c>
      <c r="AF5939">
        <v>3.9112545895782502E-2</v>
      </c>
      <c r="AG5939">
        <v>-5.7590999999999899E-2</v>
      </c>
      <c r="AH5939">
        <v>0.61094487885182802</v>
      </c>
      <c r="AI5939">
        <v>95.374162793925294</v>
      </c>
      <c r="AJ5939">
        <v>86.336936750979106</v>
      </c>
      <c r="AK5939">
        <v>0.61489849530042395</v>
      </c>
      <c r="AL5939">
        <v>79.938403599518495</v>
      </c>
      <c r="AM5939">
        <v>87.550897542920495</v>
      </c>
      <c r="AN5939">
        <v>0.99999997404502206</v>
      </c>
    </row>
    <row r="5940" spans="1:40" x14ac:dyDescent="0.25">
      <c r="A5940" t="str">
        <f>"20190312172527023"</f>
        <v>20190312172527023</v>
      </c>
      <c r="B5940" t="str">
        <f>"1552382727016476"</f>
        <v>1552382727016476</v>
      </c>
      <c r="C5940" t="s">
        <v>40</v>
      </c>
      <c r="D5940">
        <v>3.9059780000000002</v>
      </c>
      <c r="E5940">
        <v>0.49852649999999998</v>
      </c>
      <c r="F5940" t="s">
        <v>41</v>
      </c>
      <c r="G5940">
        <v>-300.71769999999998</v>
      </c>
      <c r="H5940">
        <v>1.053107</v>
      </c>
      <c r="I5940">
        <v>-13.188129999999999</v>
      </c>
      <c r="J5940">
        <v>-300.69150000000002</v>
      </c>
      <c r="K5940">
        <v>1.109278</v>
      </c>
      <c r="L5940">
        <v>-12.58432</v>
      </c>
      <c r="M5940">
        <v>1.8282260000000002E-2</v>
      </c>
      <c r="N5940">
        <v>0</v>
      </c>
      <c r="O5940">
        <v>-0.99977709999999997</v>
      </c>
      <c r="P5940">
        <v>-2.277595E-2</v>
      </c>
      <c r="Q5940">
        <v>0.16464570000000001</v>
      </c>
      <c r="R5940">
        <v>-0.98609000000000002</v>
      </c>
      <c r="S5940">
        <v>-0.110321</v>
      </c>
      <c r="T5940">
        <v>-0.23228599999999999</v>
      </c>
      <c r="U5940">
        <v>-3.0783999999999998</v>
      </c>
      <c r="V5940">
        <v>4.1301459999999998E-2</v>
      </c>
      <c r="W5940">
        <v>0.17493829999999999</v>
      </c>
      <c r="X5940">
        <v>0.9837127</v>
      </c>
      <c r="Y5940">
        <v>5.3978409999999998E-2</v>
      </c>
      <c r="Z5940">
        <v>7.5145130000000004E-2</v>
      </c>
      <c r="AA5940">
        <v>0.9957106</v>
      </c>
      <c r="AB5940">
        <v>14</v>
      </c>
      <c r="AC5940">
        <v>-2.61999999999602E-2</v>
      </c>
      <c r="AD5940">
        <v>-5.6170999999999902E-2</v>
      </c>
      <c r="AE5940">
        <v>-0.60380999999999896</v>
      </c>
      <c r="AF5940">
        <v>3.6916368639012299E-2</v>
      </c>
      <c r="AG5940">
        <v>-5.6170999999999902E-2</v>
      </c>
      <c r="AH5940">
        <v>0.59806404832577897</v>
      </c>
      <c r="AI5940">
        <v>95.355425249650295</v>
      </c>
      <c r="AJ5940">
        <v>86.467816621759198</v>
      </c>
      <c r="AK5940">
        <v>0.60182938231222205</v>
      </c>
      <c r="AL5940">
        <v>79.924931898061203</v>
      </c>
      <c r="AM5940">
        <v>87.595832252234402</v>
      </c>
      <c r="AN5940">
        <v>0.99999994777315404</v>
      </c>
    </row>
    <row r="5941" spans="1:40" x14ac:dyDescent="0.25">
      <c r="A5941" t="str">
        <f>"20190312172527044"</f>
        <v>20190312172527044</v>
      </c>
      <c r="B5941" t="str">
        <f>"1552382727035996"</f>
        <v>1552382727035996</v>
      </c>
      <c r="C5941" t="s">
        <v>40</v>
      </c>
      <c r="D5941">
        <v>3.8522439999999998</v>
      </c>
      <c r="E5941">
        <v>0.4988515</v>
      </c>
      <c r="F5941" t="s">
        <v>41</v>
      </c>
      <c r="G5941">
        <v>-300.71280000000002</v>
      </c>
      <c r="H5941">
        <v>1.040219</v>
      </c>
      <c r="I5941">
        <v>-13.43136</v>
      </c>
      <c r="J5941">
        <v>-300.6925</v>
      </c>
      <c r="K5941">
        <v>1.1092580000000001</v>
      </c>
      <c r="L5941">
        <v>-12.72519</v>
      </c>
      <c r="M5941">
        <v>1.5229120000000001E-2</v>
      </c>
      <c r="N5941">
        <v>0</v>
      </c>
      <c r="O5941">
        <v>-0.99982939999999998</v>
      </c>
      <c r="P5941">
        <v>-2.5816639999999998E-2</v>
      </c>
      <c r="Q5941">
        <v>0.1651542</v>
      </c>
      <c r="R5941">
        <v>-0.98592999999999997</v>
      </c>
      <c r="S5941">
        <v>-7.7117920000000006E-2</v>
      </c>
      <c r="T5941">
        <v>-0.2509786</v>
      </c>
      <c r="U5941">
        <v>-3.0824579999999999</v>
      </c>
      <c r="V5941">
        <v>4.1332519999999998E-2</v>
      </c>
      <c r="W5941">
        <v>0.1753411</v>
      </c>
      <c r="X5941">
        <v>0.98363970000000001</v>
      </c>
      <c r="Y5941">
        <v>4.0150379999999999E-2</v>
      </c>
      <c r="Z5941">
        <v>8.109355E-2</v>
      </c>
      <c r="AA5941">
        <v>0.99589749999999999</v>
      </c>
      <c r="AB5941">
        <v>14</v>
      </c>
      <c r="AC5941">
        <v>-2.0300000000020101E-2</v>
      </c>
      <c r="AD5941">
        <v>-6.9039000000000003E-2</v>
      </c>
      <c r="AE5941">
        <v>-0.70616999999999996</v>
      </c>
      <c r="AF5941">
        <v>3.07588282479297E-2</v>
      </c>
      <c r="AG5941">
        <v>-6.9039000000000003E-2</v>
      </c>
      <c r="AH5941">
        <v>0.69910237268021902</v>
      </c>
      <c r="AI5941">
        <v>95.634472297485701</v>
      </c>
      <c r="AJ5941">
        <v>87.480747814270103</v>
      </c>
      <c r="AK5941">
        <v>0.70317609211583498</v>
      </c>
      <c r="AL5941">
        <v>79.9014910586193</v>
      </c>
      <c r="AM5941">
        <v>87.593848018701195</v>
      </c>
      <c r="AN5941">
        <v>0.99999996898742405</v>
      </c>
    </row>
    <row r="5942" spans="1:40" x14ac:dyDescent="0.25">
      <c r="A5942" t="str">
        <f>"20190312172527068"</f>
        <v>20190312172527068</v>
      </c>
      <c r="B5942" t="str">
        <f>"1552382727056493"</f>
        <v>1552382727056493</v>
      </c>
      <c r="C5942" t="s">
        <v>40</v>
      </c>
      <c r="D5942">
        <v>3.8155239999999999</v>
      </c>
      <c r="E5942">
        <v>0.49893579999999998</v>
      </c>
      <c r="F5942" t="s">
        <v>41</v>
      </c>
      <c r="G5942">
        <v>-300.71640000000002</v>
      </c>
      <c r="H5942">
        <v>1.0434540000000001</v>
      </c>
      <c r="I5942">
        <v>-13.559760000000001</v>
      </c>
      <c r="J5942">
        <v>-300.69400000000002</v>
      </c>
      <c r="K5942">
        <v>1.109235</v>
      </c>
      <c r="L5942">
        <v>-12.868930000000001</v>
      </c>
      <c r="M5942">
        <v>1.2120819999999999E-2</v>
      </c>
      <c r="N5942">
        <v>0</v>
      </c>
      <c r="O5942">
        <v>-0.99987320000000002</v>
      </c>
      <c r="P5942">
        <v>-2.8973269999999999E-2</v>
      </c>
      <c r="Q5942">
        <v>0.1650934</v>
      </c>
      <c r="R5942">
        <v>-0.98585259999999997</v>
      </c>
      <c r="S5942">
        <v>-8.7463379999999993E-2</v>
      </c>
      <c r="T5942">
        <v>-0.24257699999999999</v>
      </c>
      <c r="U5942">
        <v>-3.0811459999999999</v>
      </c>
      <c r="V5942">
        <v>4.1424870000000003E-2</v>
      </c>
      <c r="W5942">
        <v>0.17517769999999999</v>
      </c>
      <c r="X5942">
        <v>0.98366500000000001</v>
      </c>
      <c r="Y5942">
        <v>4.040229E-2</v>
      </c>
      <c r="Z5942">
        <v>7.8430180000000002E-2</v>
      </c>
      <c r="AA5942">
        <v>0.9961006</v>
      </c>
      <c r="AB5942">
        <v>14</v>
      </c>
      <c r="AC5942">
        <v>-2.24000000000046E-2</v>
      </c>
      <c r="AD5942">
        <v>-6.5780999999999798E-2</v>
      </c>
      <c r="AE5942">
        <v>-0.69083000000000006</v>
      </c>
      <c r="AF5942">
        <v>3.0496013300481999E-2</v>
      </c>
      <c r="AG5942">
        <v>-6.5780999999999798E-2</v>
      </c>
      <c r="AH5942">
        <v>0.68430967819932798</v>
      </c>
      <c r="AI5942">
        <v>95.485419551887603</v>
      </c>
      <c r="AJ5942">
        <v>87.448322632030397</v>
      </c>
      <c r="AK5942">
        <v>0.68814016193323002</v>
      </c>
      <c r="AL5942">
        <v>79.911001088774299</v>
      </c>
      <c r="AM5942">
        <v>87.588540200902401</v>
      </c>
      <c r="AN5942">
        <v>1.0000000393284001</v>
      </c>
    </row>
    <row r="5943" spans="1:40" x14ac:dyDescent="0.25">
      <c r="A5943" t="str">
        <f>"20190312172527091"</f>
        <v>20190312172527091</v>
      </c>
      <c r="B5943" t="str">
        <f>"1552382727086748"</f>
        <v>1552382727086748</v>
      </c>
      <c r="C5943" t="s">
        <v>40</v>
      </c>
      <c r="D5943">
        <v>3.8443529999999999</v>
      </c>
      <c r="E5943">
        <v>0.49873109999999998</v>
      </c>
      <c r="F5943" t="s">
        <v>41</v>
      </c>
      <c r="G5943">
        <v>-300.71960000000001</v>
      </c>
      <c r="H5943">
        <v>1.0456639999999999</v>
      </c>
      <c r="I5943">
        <v>-13.688650000000001</v>
      </c>
      <c r="J5943">
        <v>-300.69600000000003</v>
      </c>
      <c r="K5943">
        <v>1.109218</v>
      </c>
      <c r="L5943">
        <v>-13.022399999999999</v>
      </c>
      <c r="M5943">
        <v>8.81926699999999E-3</v>
      </c>
      <c r="N5943">
        <v>0</v>
      </c>
      <c r="O5943">
        <v>-0.99990860000000004</v>
      </c>
      <c r="P5943">
        <v>-3.137554E-2</v>
      </c>
      <c r="Q5943">
        <v>0.16417619999999999</v>
      </c>
      <c r="R5943">
        <v>-0.98593209999999998</v>
      </c>
      <c r="S5943">
        <v>-9.5825199999999999E-2</v>
      </c>
      <c r="T5943">
        <v>-0.23868780000000001</v>
      </c>
      <c r="U5943">
        <v>-3.0802</v>
      </c>
      <c r="V5943">
        <v>4.0570099999999998E-2</v>
      </c>
      <c r="W5943">
        <v>0.17415649999999999</v>
      </c>
      <c r="X5943">
        <v>0.98388189999999998</v>
      </c>
      <c r="Y5943">
        <v>3.9816440000000002E-2</v>
      </c>
      <c r="Z5943">
        <v>7.7205650000000001E-2</v>
      </c>
      <c r="AA5943">
        <v>0.99621979999999999</v>
      </c>
      <c r="AB5943">
        <v>14</v>
      </c>
      <c r="AC5943">
        <v>-2.3600000000044401E-2</v>
      </c>
      <c r="AD5943">
        <v>-6.3554000000000097E-2</v>
      </c>
      <c r="AE5943">
        <v>-0.66625000000000101</v>
      </c>
      <c r="AF5943">
        <v>2.9209769835396499E-2</v>
      </c>
      <c r="AG5943">
        <v>-6.3554000000000097E-2</v>
      </c>
      <c r="AH5943">
        <v>0.66001772139354098</v>
      </c>
      <c r="AI5943">
        <v>95.494785456290899</v>
      </c>
      <c r="AJ5943">
        <v>87.465969281682206</v>
      </c>
      <c r="AK5943">
        <v>0.66371357837802203</v>
      </c>
      <c r="AL5943">
        <v>79.970424696721494</v>
      </c>
      <c r="AM5943">
        <v>87.638761930408904</v>
      </c>
      <c r="AN5943">
        <v>1.0000000063269301</v>
      </c>
    </row>
    <row r="5944" spans="1:40" x14ac:dyDescent="0.25">
      <c r="A5944" t="str">
        <f>"20190312172527114"</f>
        <v>20190312172527114</v>
      </c>
      <c r="B5944" t="str">
        <f>"1552382727106270"</f>
        <v>1552382727106270</v>
      </c>
      <c r="C5944" t="s">
        <v>40</v>
      </c>
      <c r="D5944">
        <v>3.8138399999999999</v>
      </c>
      <c r="E5944">
        <v>0.49865359999999997</v>
      </c>
      <c r="F5944" t="s">
        <v>41</v>
      </c>
      <c r="G5944">
        <v>-300.72230000000002</v>
      </c>
      <c r="H5944">
        <v>1.047833</v>
      </c>
      <c r="I5944">
        <v>-13.8181799999999</v>
      </c>
      <c r="J5944">
        <v>-300.69839999999999</v>
      </c>
      <c r="K5944">
        <v>1.1092120000000001</v>
      </c>
      <c r="L5944">
        <v>-13.165679999999901</v>
      </c>
      <c r="M5944">
        <v>5.7657619999999998E-3</v>
      </c>
      <c r="N5944">
        <v>0</v>
      </c>
      <c r="O5944">
        <v>-0.99993189999999998</v>
      </c>
      <c r="P5944">
        <v>-3.2692529999999997E-2</v>
      </c>
      <c r="Q5944">
        <v>0.1631735</v>
      </c>
      <c r="R5944">
        <v>-0.98605569999999998</v>
      </c>
      <c r="S5944">
        <v>-0.10125729999999999</v>
      </c>
      <c r="T5944">
        <v>-0.23732880000000001</v>
      </c>
      <c r="U5944">
        <v>-3.0791019999999998</v>
      </c>
      <c r="V5944">
        <v>3.8870809999999999E-2</v>
      </c>
      <c r="W5944">
        <v>0.17305909999999999</v>
      </c>
      <c r="X5944">
        <v>0.98414409999999997</v>
      </c>
      <c r="Y5944">
        <v>3.8532909999999997E-2</v>
      </c>
      <c r="Z5944">
        <v>7.6798249999999998E-2</v>
      </c>
      <c r="AA5944">
        <v>0.99630180000000002</v>
      </c>
      <c r="AB5944">
        <v>14</v>
      </c>
      <c r="AC5944">
        <v>-2.3900000000026001E-2</v>
      </c>
      <c r="AD5944">
        <v>-6.1379000000000003E-2</v>
      </c>
      <c r="AE5944">
        <v>-0.65249999999999897</v>
      </c>
      <c r="AF5944">
        <v>2.7419653360098901E-2</v>
      </c>
      <c r="AG5944">
        <v>-6.1379000000000003E-2</v>
      </c>
      <c r="AH5944">
        <v>0.64663712428822795</v>
      </c>
      <c r="AI5944">
        <v>95.417448485916296</v>
      </c>
      <c r="AJ5944">
        <v>87.571915113137507</v>
      </c>
      <c r="AK5944">
        <v>0.65012213432487997</v>
      </c>
      <c r="AL5944">
        <v>80.034270540470004</v>
      </c>
      <c r="AM5944">
        <v>87.738160175059207</v>
      </c>
      <c r="AN5944">
        <v>1.0000000007638301</v>
      </c>
    </row>
    <row r="5945" spans="1:40" x14ac:dyDescent="0.25">
      <c r="A5945" t="str">
        <f>"20190312172527146"</f>
        <v>20190312172527146</v>
      </c>
      <c r="B5945" t="str">
        <f>"1552382727136527"</f>
        <v>1552382727136527</v>
      </c>
      <c r="C5945" t="s">
        <v>40</v>
      </c>
      <c r="D5945">
        <v>3.8196970000000001</v>
      </c>
      <c r="E5945">
        <v>0.49842189999999997</v>
      </c>
      <c r="F5945" t="s">
        <v>41</v>
      </c>
      <c r="G5945">
        <v>-300.72550000000001</v>
      </c>
      <c r="H5945">
        <v>1.0481940000000001</v>
      </c>
      <c r="I5945">
        <v>-13.946479999999999</v>
      </c>
      <c r="J5945">
        <v>-300.70229999999998</v>
      </c>
      <c r="K5945">
        <v>1.1092169999999999</v>
      </c>
      <c r="L5945">
        <v>-13.36734</v>
      </c>
      <c r="M5945">
        <v>1.5471629999999901E-3</v>
      </c>
      <c r="N5945">
        <v>0</v>
      </c>
      <c r="O5945">
        <v>-0.99994879999999997</v>
      </c>
      <c r="P5945">
        <v>-3.618304E-2</v>
      </c>
      <c r="Q5945">
        <v>0.16397519999999999</v>
      </c>
      <c r="R5945">
        <v>-0.98580069999999997</v>
      </c>
      <c r="S5945">
        <v>-0.1058655</v>
      </c>
      <c r="T5945">
        <v>-0.2401652</v>
      </c>
      <c r="U5945">
        <v>-3.0786440000000002</v>
      </c>
      <c r="V5945">
        <v>3.8190250000000002E-2</v>
      </c>
      <c r="W5945">
        <v>0.1737175</v>
      </c>
      <c r="X5945">
        <v>0.98405469999999895</v>
      </c>
      <c r="Y5945">
        <v>3.5809050000000002E-2</v>
      </c>
      <c r="Z5945">
        <v>7.7725870000000002E-2</v>
      </c>
      <c r="AA5945">
        <v>0.99633150000000004</v>
      </c>
      <c r="AB5945">
        <v>14</v>
      </c>
      <c r="AC5945">
        <v>-2.3200000000031199E-2</v>
      </c>
      <c r="AD5945">
        <v>-6.10229999999998E-2</v>
      </c>
      <c r="AE5945">
        <v>-0.57913999999999999</v>
      </c>
      <c r="AF5945">
        <v>2.3831872068280802E-2</v>
      </c>
      <c r="AG5945">
        <v>-6.10229999999998E-2</v>
      </c>
      <c r="AH5945">
        <v>0.57275460277347201</v>
      </c>
      <c r="AI5945">
        <v>96.076304448477302</v>
      </c>
      <c r="AJ5945">
        <v>87.6173417450089</v>
      </c>
      <c r="AK5945">
        <v>0.57648902821604198</v>
      </c>
      <c r="AL5945">
        <v>79.995966408809394</v>
      </c>
      <c r="AM5945">
        <v>87.777519294630295</v>
      </c>
      <c r="AN5945">
        <v>0.99999995879670001</v>
      </c>
    </row>
    <row r="5946" spans="1:40" x14ac:dyDescent="0.25">
      <c r="A5946" t="str">
        <f>"20190312172527166"</f>
        <v>20190312172527166</v>
      </c>
      <c r="B5946" t="str">
        <f>"1552382727156044"</f>
        <v>1552382727156044</v>
      </c>
      <c r="C5946" t="s">
        <v>40</v>
      </c>
      <c r="D5946">
        <v>3.8319040000000002</v>
      </c>
      <c r="E5946">
        <v>0.49827189999999999</v>
      </c>
      <c r="F5946" t="s">
        <v>41</v>
      </c>
      <c r="G5946">
        <v>-300.73289999999997</v>
      </c>
      <c r="H5946">
        <v>1.0451589999999999</v>
      </c>
      <c r="I5946">
        <v>-14.20093</v>
      </c>
      <c r="J5946">
        <v>-300.7054</v>
      </c>
      <c r="K5946">
        <v>1.109227</v>
      </c>
      <c r="L5946">
        <v>-13.50595</v>
      </c>
      <c r="M5946">
        <v>-1.276627E-3</v>
      </c>
      <c r="N5946">
        <v>0</v>
      </c>
      <c r="O5946">
        <v>-0.99995020000000001</v>
      </c>
      <c r="P5946">
        <v>-3.7926580000000001E-2</v>
      </c>
      <c r="Q5946">
        <v>0.16358059999999999</v>
      </c>
      <c r="R5946">
        <v>-0.98580089999999998</v>
      </c>
      <c r="S5946">
        <v>-0.1120911</v>
      </c>
      <c r="T5946">
        <v>-0.2361722</v>
      </c>
      <c r="U5946">
        <v>-3.0783689999999999</v>
      </c>
      <c r="V5946">
        <v>3.7134269999999997E-2</v>
      </c>
      <c r="W5946">
        <v>0.1732342</v>
      </c>
      <c r="X5946">
        <v>0.98418030000000001</v>
      </c>
      <c r="Y5946">
        <v>3.5006019999999999E-2</v>
      </c>
      <c r="Z5946">
        <v>7.6446410000000006E-2</v>
      </c>
      <c r="AA5946">
        <v>0.99645899999999998</v>
      </c>
      <c r="AB5946">
        <v>14</v>
      </c>
      <c r="AC5946">
        <v>-2.7499999999974899E-2</v>
      </c>
      <c r="AD5946">
        <v>-6.4068E-2</v>
      </c>
      <c r="AE5946">
        <v>-0.69497999999999904</v>
      </c>
      <c r="AF5946">
        <v>2.6388791689640399E-2</v>
      </c>
      <c r="AG5946">
        <v>-6.4068E-2</v>
      </c>
      <c r="AH5946">
        <v>0.68916687531009402</v>
      </c>
      <c r="AI5946">
        <v>95.307336501398893</v>
      </c>
      <c r="AJ5946">
        <v>87.807166666726602</v>
      </c>
      <c r="AK5946">
        <v>0.69264136389297304</v>
      </c>
      <c r="AL5946">
        <v>80.024083708896399</v>
      </c>
      <c r="AM5946">
        <v>87.839188465541497</v>
      </c>
      <c r="AN5946">
        <v>0.99999995248308005</v>
      </c>
    </row>
    <row r="5947" spans="1:40" x14ac:dyDescent="0.25">
      <c r="A5947" t="str">
        <f>"20190312172527190"</f>
        <v>20190312172527190</v>
      </c>
      <c r="B5947" t="str">
        <f>"1552382727186300"</f>
        <v>1552382727186300</v>
      </c>
      <c r="C5947" t="s">
        <v>40</v>
      </c>
      <c r="D5947">
        <v>3.8027039999999999</v>
      </c>
      <c r="E5947">
        <v>0.49788270000000001</v>
      </c>
      <c r="F5947" t="s">
        <v>41</v>
      </c>
      <c r="G5947">
        <v>-300.7364</v>
      </c>
      <c r="H5947">
        <v>1.0455639999999999</v>
      </c>
      <c r="I5947">
        <v>-14.330450000000001</v>
      </c>
      <c r="J5947">
        <v>-300.709</v>
      </c>
      <c r="K5947">
        <v>1.1092519999999999</v>
      </c>
      <c r="L5947">
        <v>-13.65155</v>
      </c>
      <c r="M5947">
        <v>-4.1737800000000002E-3</v>
      </c>
      <c r="N5947">
        <v>0</v>
      </c>
      <c r="O5947">
        <v>-0.99994349999999999</v>
      </c>
      <c r="P5947">
        <v>-3.7964369999999997E-2</v>
      </c>
      <c r="Q5947">
        <v>0.1618607</v>
      </c>
      <c r="R5947">
        <v>-0.98608340000000005</v>
      </c>
      <c r="S5947">
        <v>-0.1150513</v>
      </c>
      <c r="T5947">
        <v>-0.237373</v>
      </c>
      <c r="U5947">
        <v>-3.0781860000000001</v>
      </c>
      <c r="V5947">
        <v>3.4293089999999998E-2</v>
      </c>
      <c r="W5947">
        <v>0.17143720000000001</v>
      </c>
      <c r="X5947">
        <v>0.98459799999999997</v>
      </c>
      <c r="Y5947">
        <v>3.3068430000000003E-2</v>
      </c>
      <c r="Z5947">
        <v>7.6837610000000001E-2</v>
      </c>
      <c r="AA5947">
        <v>0.99649509999999997</v>
      </c>
      <c r="AB5947">
        <v>14</v>
      </c>
      <c r="AC5947">
        <v>-2.7400000000000001E-2</v>
      </c>
      <c r="AD5947">
        <v>-6.3688000000000106E-2</v>
      </c>
      <c r="AE5947">
        <v>-0.67889999999999995</v>
      </c>
      <c r="AF5947">
        <v>2.43520864784872E-2</v>
      </c>
      <c r="AG5947">
        <v>-6.3688000000000106E-2</v>
      </c>
      <c r="AH5947">
        <v>0.67309456839667303</v>
      </c>
      <c r="AI5947">
        <v>95.401703340261093</v>
      </c>
      <c r="AJ5947">
        <v>87.927982865408396</v>
      </c>
      <c r="AK5947">
        <v>0.67653934361939305</v>
      </c>
      <c r="AL5947">
        <v>80.128608340819397</v>
      </c>
      <c r="AM5947">
        <v>88.005221030312796</v>
      </c>
      <c r="AN5947">
        <v>0.99999997558479303</v>
      </c>
    </row>
    <row r="5948" spans="1:40" x14ac:dyDescent="0.25">
      <c r="A5948" t="str">
        <f>"20190312172527212"</f>
        <v>20190312172527212</v>
      </c>
      <c r="B5948" t="str">
        <f>"1552382727206796"</f>
        <v>1552382727206796</v>
      </c>
      <c r="C5948" t="s">
        <v>40</v>
      </c>
      <c r="D5948">
        <v>3.7953440000000001</v>
      </c>
      <c r="E5948">
        <v>0.497556</v>
      </c>
      <c r="F5948" t="s">
        <v>41</v>
      </c>
      <c r="G5948">
        <v>-300.7389</v>
      </c>
      <c r="H5948">
        <v>1.045642</v>
      </c>
      <c r="I5948">
        <v>-14.46027</v>
      </c>
      <c r="J5948">
        <v>-300.71300000000002</v>
      </c>
      <c r="K5948">
        <v>1.1092820000000001</v>
      </c>
      <c r="L5948">
        <v>-13.799899999999999</v>
      </c>
      <c r="M5948">
        <v>-7.03347E-3</v>
      </c>
      <c r="N5948">
        <v>0</v>
      </c>
      <c r="O5948">
        <v>-0.99992809999999999</v>
      </c>
      <c r="P5948">
        <v>-3.701049E-2</v>
      </c>
      <c r="Q5948">
        <v>0.16056979999999901</v>
      </c>
      <c r="R5948">
        <v>-0.98633059999999995</v>
      </c>
      <c r="S5948">
        <v>-0.11322019999999999</v>
      </c>
      <c r="T5948">
        <v>-0.24193780000000001</v>
      </c>
      <c r="U5948">
        <v>-3.0776979999999998</v>
      </c>
      <c r="V5948">
        <v>3.0494239999999999E-2</v>
      </c>
      <c r="W5948">
        <v>0.17007229999999901</v>
      </c>
      <c r="X5948">
        <v>0.98495969999999999</v>
      </c>
      <c r="Y5948">
        <v>2.961956E-2</v>
      </c>
      <c r="Z5948">
        <v>7.8321810000000006E-2</v>
      </c>
      <c r="AA5948">
        <v>0.99648800000000004</v>
      </c>
      <c r="AB5948">
        <v>14</v>
      </c>
      <c r="AC5948">
        <v>-2.5900000000035499E-2</v>
      </c>
      <c r="AD5948">
        <v>-6.3639999999999905E-2</v>
      </c>
      <c r="AE5948">
        <v>-0.66037000000000201</v>
      </c>
      <c r="AF5948">
        <v>2.10591669448074E-2</v>
      </c>
      <c r="AG5948">
        <v>-6.3639999999999905E-2</v>
      </c>
      <c r="AH5948">
        <v>0.65446699681292897</v>
      </c>
      <c r="AI5948">
        <v>95.551092840193604</v>
      </c>
      <c r="AJ5948">
        <v>88.156996130798504</v>
      </c>
      <c r="AK5948">
        <v>0.65789101531313199</v>
      </c>
      <c r="AL5948">
        <v>80.207977720655407</v>
      </c>
      <c r="AM5948">
        <v>88.226695634132795</v>
      </c>
      <c r="AN5948">
        <v>1.00000004826227</v>
      </c>
    </row>
    <row r="5949" spans="1:40" x14ac:dyDescent="0.25">
      <c r="A5949" t="str">
        <f>"20190312172527235"</f>
        <v>20190312172527235</v>
      </c>
      <c r="B5949" t="str">
        <f>"1552382727226316"</f>
        <v>1552382727226316</v>
      </c>
      <c r="C5949" t="s">
        <v>40</v>
      </c>
      <c r="D5949">
        <v>3.8888769999999999</v>
      </c>
      <c r="E5949">
        <v>0.49742700000000001</v>
      </c>
      <c r="F5949" t="s">
        <v>41</v>
      </c>
      <c r="G5949">
        <v>-300.74130000000002</v>
      </c>
      <c r="H5949">
        <v>1.0460240000000001</v>
      </c>
      <c r="I5949">
        <v>-14.590820000000001</v>
      </c>
      <c r="J5949">
        <v>-300.71730000000002</v>
      </c>
      <c r="K5949">
        <v>1.1093230000000001</v>
      </c>
      <c r="L5949">
        <v>-13.94699</v>
      </c>
      <c r="M5949">
        <v>-9.7587909999999993E-3</v>
      </c>
      <c r="N5949">
        <v>0</v>
      </c>
      <c r="O5949">
        <v>-0.99990610000000002</v>
      </c>
      <c r="P5949">
        <v>-3.6862430000000002E-2</v>
      </c>
      <c r="Q5949">
        <v>0.16097829999999999</v>
      </c>
      <c r="R5949">
        <v>-0.98626950000000002</v>
      </c>
      <c r="S5949">
        <v>-0.1097717</v>
      </c>
      <c r="T5949">
        <v>-0.24599579999999999</v>
      </c>
      <c r="U5949">
        <v>-3.077515</v>
      </c>
      <c r="V5949">
        <v>2.76373E-2</v>
      </c>
      <c r="W5949">
        <v>0.17039840000000001</v>
      </c>
      <c r="X5949">
        <v>0.98498759999999996</v>
      </c>
      <c r="Y5949">
        <v>2.577834E-2</v>
      </c>
      <c r="Z5949">
        <v>7.9635049999999999E-2</v>
      </c>
      <c r="AA5949">
        <v>0.99649069999999995</v>
      </c>
      <c r="AB5949">
        <v>14</v>
      </c>
      <c r="AC5949">
        <v>-2.4000000000000899E-2</v>
      </c>
      <c r="AD5949">
        <v>-6.3298999999999994E-2</v>
      </c>
      <c r="AE5949">
        <v>-0.64383000000000101</v>
      </c>
      <c r="AF5949">
        <v>1.75461959263651E-2</v>
      </c>
      <c r="AG5949">
        <v>-6.3298999999999994E-2</v>
      </c>
      <c r="AH5949">
        <v>0.63787634044905195</v>
      </c>
      <c r="AI5949">
        <v>95.665005124006896</v>
      </c>
      <c r="AJ5949">
        <v>88.424350510577995</v>
      </c>
      <c r="AK5949">
        <v>0.64124945075778494</v>
      </c>
      <c r="AL5949">
        <v>80.189016361115094</v>
      </c>
      <c r="AM5949">
        <v>88.392786579176402</v>
      </c>
      <c r="AN5949">
        <v>1.0000000036137999</v>
      </c>
    </row>
    <row r="5950" spans="1:40" x14ac:dyDescent="0.25">
      <c r="A5950" t="str">
        <f>"20190312172527256"</f>
        <v>20190312172527256</v>
      </c>
      <c r="B5950" t="str">
        <f>"1552382727246812"</f>
        <v>1552382727246812</v>
      </c>
      <c r="C5950" t="s">
        <v>40</v>
      </c>
      <c r="D5950">
        <v>3.9482119999999998</v>
      </c>
      <c r="E5950">
        <v>0.49731989999999998</v>
      </c>
      <c r="F5950" t="s">
        <v>41</v>
      </c>
      <c r="G5950">
        <v>-300.74509999999998</v>
      </c>
      <c r="H5950">
        <v>1.04758</v>
      </c>
      <c r="I5950">
        <v>-14.722659999999999</v>
      </c>
      <c r="J5950">
        <v>-300.72149999999999</v>
      </c>
      <c r="K5950">
        <v>1.109364</v>
      </c>
      <c r="L5950">
        <v>-14.08615</v>
      </c>
      <c r="M5950">
        <v>-1.2227760000000001E-2</v>
      </c>
      <c r="N5950">
        <v>0</v>
      </c>
      <c r="O5950">
        <v>-0.99987979999999999</v>
      </c>
      <c r="P5950">
        <v>-3.700287E-2</v>
      </c>
      <c r="Q5950">
        <v>0.163354</v>
      </c>
      <c r="R5950">
        <v>-0.98587340000000001</v>
      </c>
      <c r="S5950">
        <v>-0.1091309</v>
      </c>
      <c r="T5950">
        <v>-0.24452979999999999</v>
      </c>
      <c r="U5950">
        <v>-3.0776059999999998</v>
      </c>
      <c r="V5950">
        <v>2.5329850000000001E-2</v>
      </c>
      <c r="W5950">
        <v>0.1726857</v>
      </c>
      <c r="X5950">
        <v>0.98465119999999895</v>
      </c>
      <c r="Y5950">
        <v>2.3102890000000001E-2</v>
      </c>
      <c r="Z5950">
        <v>7.9160820000000007E-2</v>
      </c>
      <c r="AA5950">
        <v>0.99659410000000004</v>
      </c>
      <c r="AB5950">
        <v>14</v>
      </c>
      <c r="AC5950">
        <v>-2.35999999999876E-2</v>
      </c>
      <c r="AD5950">
        <v>-6.1783999999999999E-2</v>
      </c>
      <c r="AE5950">
        <v>-0.63651000000000102</v>
      </c>
      <c r="AF5950">
        <v>1.5667375461767798E-2</v>
      </c>
      <c r="AG5950">
        <v>-6.1783999999999999E-2</v>
      </c>
      <c r="AH5950">
        <v>0.63081563259843898</v>
      </c>
      <c r="AI5950">
        <v>95.5921676248946</v>
      </c>
      <c r="AJ5950">
        <v>88.577254697474004</v>
      </c>
      <c r="AK5950">
        <v>0.63402767419130002</v>
      </c>
      <c r="AL5950">
        <v>80.055991495875404</v>
      </c>
      <c r="AM5950">
        <v>88.526408649241901</v>
      </c>
      <c r="AN5950">
        <v>0.99999996897347498</v>
      </c>
    </row>
    <row r="5951" spans="1:40" x14ac:dyDescent="0.25">
      <c r="A5951" t="str">
        <f>"20190312172527279"</f>
        <v>20190312172527279</v>
      </c>
      <c r="B5951" t="str">
        <f>"1552382727276093"</f>
        <v>1552382727276093</v>
      </c>
      <c r="C5951" t="s">
        <v>40</v>
      </c>
      <c r="D5951">
        <v>3.8039990000000001</v>
      </c>
      <c r="E5951">
        <v>0.4970214</v>
      </c>
      <c r="F5951" t="s">
        <v>41</v>
      </c>
      <c r="G5951">
        <v>-300.74829999999997</v>
      </c>
      <c r="H5951">
        <v>1.050111</v>
      </c>
      <c r="I5951">
        <v>-14.85591</v>
      </c>
      <c r="J5951">
        <v>-300.72629999999998</v>
      </c>
      <c r="K5951">
        <v>1.1094040000000001</v>
      </c>
      <c r="L5951">
        <v>-14.23535</v>
      </c>
      <c r="M5951">
        <v>-1.475547E-2</v>
      </c>
      <c r="N5951">
        <v>0</v>
      </c>
      <c r="O5951">
        <v>-0.99984680000000004</v>
      </c>
      <c r="P5951">
        <v>-3.71644E-2</v>
      </c>
      <c r="Q5951">
        <v>0.16524739999999999</v>
      </c>
      <c r="R5951">
        <v>-0.98555199999999998</v>
      </c>
      <c r="S5951">
        <v>-0.1069946</v>
      </c>
      <c r="T5951">
        <v>-0.2368585</v>
      </c>
      <c r="U5951">
        <v>-3.078217</v>
      </c>
      <c r="V5951">
        <v>2.2982349999999999E-2</v>
      </c>
      <c r="W5951">
        <v>0.17448239999999901</v>
      </c>
      <c r="X5951">
        <v>0.98439200000000004</v>
      </c>
      <c r="Y5951">
        <v>1.9884389999999998E-2</v>
      </c>
      <c r="Z5951">
        <v>7.6676789999999995E-2</v>
      </c>
      <c r="AA5951">
        <v>0.99685769999999996</v>
      </c>
      <c r="AB5951">
        <v>14</v>
      </c>
      <c r="AC5951">
        <v>-2.1999999999991301E-2</v>
      </c>
      <c r="AD5951">
        <v>-5.9292999999999998E-2</v>
      </c>
      <c r="AE5951">
        <v>-0.620559999999999</v>
      </c>
      <c r="AF5951">
        <v>1.2724523663174E-2</v>
      </c>
      <c r="AG5951">
        <v>-5.9292999999999998E-2</v>
      </c>
      <c r="AH5951">
        <v>0.61520768082835897</v>
      </c>
      <c r="AI5951">
        <v>95.503927212892705</v>
      </c>
      <c r="AJ5951">
        <v>88.815103276946104</v>
      </c>
      <c r="AK5951">
        <v>0.61818934308321905</v>
      </c>
      <c r="AL5951">
        <v>79.951461120602701</v>
      </c>
      <c r="AM5951">
        <v>88.662572950218205</v>
      </c>
      <c r="AN5951">
        <v>0.99999995299264</v>
      </c>
    </row>
    <row r="5952" spans="1:40" x14ac:dyDescent="0.25">
      <c r="A5952" t="str">
        <f>"20190312172527302"</f>
        <v>20190312172527302</v>
      </c>
      <c r="B5952" t="str">
        <f>"1552382727296588"</f>
        <v>1552382727296588</v>
      </c>
      <c r="C5952" t="s">
        <v>40</v>
      </c>
      <c r="D5952">
        <v>3.796313</v>
      </c>
      <c r="E5952">
        <v>0.49685839999999998</v>
      </c>
      <c r="F5952" t="s">
        <v>43</v>
      </c>
      <c r="G5952">
        <v>-301.226</v>
      </c>
      <c r="H5952" s="1">
        <v>-9.0585460000000004E-7</v>
      </c>
      <c r="I5952">
        <v>-29.05969</v>
      </c>
      <c r="J5952">
        <v>-300.73140000000001</v>
      </c>
      <c r="K5952">
        <v>1.1094459999999999</v>
      </c>
      <c r="L5952">
        <v>-14.3855</v>
      </c>
      <c r="M5952">
        <v>-1.7175679999999999E-2</v>
      </c>
      <c r="N5952">
        <v>0</v>
      </c>
      <c r="O5952">
        <v>-0.99980930000000001</v>
      </c>
      <c r="P5952">
        <v>-3.6066090000000002E-2</v>
      </c>
      <c r="Q5952">
        <v>0.16444429999999999</v>
      </c>
      <c r="R5952">
        <v>-0.98572709999999997</v>
      </c>
      <c r="S5952">
        <v>-0.1037598</v>
      </c>
      <c r="T5952">
        <v>-0.2304003</v>
      </c>
      <c r="U5952">
        <v>-3.0787049999999998</v>
      </c>
      <c r="V5952">
        <v>1.9468869999999999E-2</v>
      </c>
      <c r="W5952">
        <v>0.17358879999999999</v>
      </c>
      <c r="X5952">
        <v>0.9846258</v>
      </c>
      <c r="Y5952">
        <v>1.6417810000000001E-2</v>
      </c>
      <c r="Z5952">
        <v>7.4585529999999997E-2</v>
      </c>
      <c r="AA5952">
        <v>0.99707950000000001</v>
      </c>
      <c r="AB5952">
        <v>15</v>
      </c>
      <c r="AC5952">
        <v>-0.49459999999999099</v>
      </c>
      <c r="AD5952">
        <v>-1.1094469058545999</v>
      </c>
      <c r="AE5952">
        <v>-14.674189999999999</v>
      </c>
      <c r="AF5952">
        <v>0.24110035287757101</v>
      </c>
      <c r="AG5952">
        <v>-1.1094469058545999</v>
      </c>
      <c r="AH5952">
        <v>14.597175457953901</v>
      </c>
      <c r="AI5952">
        <v>94.345774170225496</v>
      </c>
      <c r="AJ5952">
        <v>89.053736340376801</v>
      </c>
      <c r="AK5952">
        <v>14.6412613243313</v>
      </c>
      <c r="AL5952">
        <v>80.003454929811397</v>
      </c>
      <c r="AM5952">
        <v>88.867246069686203</v>
      </c>
      <c r="AN5952">
        <v>1.0000000372050699</v>
      </c>
    </row>
    <row r="5953" spans="1:40" x14ac:dyDescent="0.25">
      <c r="A5953" t="str">
        <f>"20190312172527324"</f>
        <v>20190312172527324</v>
      </c>
      <c r="B5953" t="str">
        <f>"1552382727316108"</f>
        <v>1552382727316108</v>
      </c>
      <c r="C5953" t="s">
        <v>40</v>
      </c>
      <c r="D5953">
        <v>3.855362</v>
      </c>
      <c r="E5953">
        <v>0.49679609999999902</v>
      </c>
      <c r="F5953" t="s">
        <v>41</v>
      </c>
      <c r="G5953">
        <v>-300.75940000000003</v>
      </c>
      <c r="H5953">
        <v>1.044292</v>
      </c>
      <c r="I5953">
        <v>-15.246840000000001</v>
      </c>
      <c r="J5953">
        <v>-300.73669999999998</v>
      </c>
      <c r="K5953">
        <v>1.10948</v>
      </c>
      <c r="L5953">
        <v>-14.53552</v>
      </c>
      <c r="M5953">
        <v>-1.9466190000000001E-2</v>
      </c>
      <c r="N5953">
        <v>0</v>
      </c>
      <c r="O5953">
        <v>-0.99976810000000005</v>
      </c>
      <c r="P5953">
        <v>-3.398673E-2</v>
      </c>
      <c r="Q5953">
        <v>0.16340370000000001</v>
      </c>
      <c r="R5953">
        <v>-0.98597400000000002</v>
      </c>
      <c r="S5953">
        <v>-9.9365229999999999E-2</v>
      </c>
      <c r="T5953">
        <v>-0.23259009999999999</v>
      </c>
      <c r="U5953">
        <v>-3.0786129999999998</v>
      </c>
      <c r="V5953">
        <v>1.510323E-2</v>
      </c>
      <c r="W5953">
        <v>0.17246259999999999</v>
      </c>
      <c r="X5953">
        <v>0.98490029999999995</v>
      </c>
      <c r="Y5953">
        <v>1.27046E-2</v>
      </c>
      <c r="Z5953">
        <v>7.5291689999999994E-2</v>
      </c>
      <c r="AA5953">
        <v>0.99708059999999998</v>
      </c>
      <c r="AB5953">
        <v>15</v>
      </c>
      <c r="AC5953">
        <v>-2.2700000000042998E-2</v>
      </c>
      <c r="AD5953">
        <v>-6.5187999999999996E-2</v>
      </c>
      <c r="AE5953">
        <v>-0.71131999999999695</v>
      </c>
      <c r="AF5953">
        <v>8.7748000564312305E-3</v>
      </c>
      <c r="AG5953">
        <v>-6.5187999999999996E-2</v>
      </c>
      <c r="AH5953">
        <v>0.70570621372971198</v>
      </c>
      <c r="AI5953">
        <v>95.277184446161002</v>
      </c>
      <c r="AJ5953">
        <v>89.287617011073195</v>
      </c>
      <c r="AK5953">
        <v>0.708764934626958</v>
      </c>
      <c r="AL5953">
        <v>80.0689694873126</v>
      </c>
      <c r="AM5953">
        <v>89.121450653556707</v>
      </c>
      <c r="AN5953">
        <v>1.00000002844764</v>
      </c>
    </row>
    <row r="5954" spans="1:40" x14ac:dyDescent="0.25">
      <c r="A5954" t="str">
        <f>"20190312172527346"</f>
        <v>20190312172527346</v>
      </c>
      <c r="B5954" t="str">
        <f>"1552382727336604"</f>
        <v>1552382727336604</v>
      </c>
      <c r="C5954" t="s">
        <v>40</v>
      </c>
      <c r="D5954">
        <v>3.79575</v>
      </c>
      <c r="E5954">
        <v>0.49674249999999998</v>
      </c>
      <c r="F5954" t="s">
        <v>41</v>
      </c>
      <c r="G5954">
        <v>-300.7627</v>
      </c>
      <c r="H5954">
        <v>1.044643</v>
      </c>
      <c r="I5954">
        <v>-15.38022</v>
      </c>
      <c r="J5954">
        <v>-300.74200000000002</v>
      </c>
      <c r="K5954">
        <v>1.109507</v>
      </c>
      <c r="L5954">
        <v>-14.67896</v>
      </c>
      <c r="M5954">
        <v>-2.157038E-2</v>
      </c>
      <c r="N5954">
        <v>0</v>
      </c>
      <c r="O5954">
        <v>-0.9997258</v>
      </c>
      <c r="P5954">
        <v>-3.1845199999999997E-2</v>
      </c>
      <c r="Q5954">
        <v>0.16416849999999999</v>
      </c>
      <c r="R5954">
        <v>-0.98591830000000003</v>
      </c>
      <c r="S5954">
        <v>-9.4451900000000005E-2</v>
      </c>
      <c r="T5954">
        <v>-0.23627219999999999</v>
      </c>
      <c r="U5954">
        <v>-3.0785830000000001</v>
      </c>
      <c r="V5954">
        <v>1.0875269999999999E-2</v>
      </c>
      <c r="W5954">
        <v>0.17314740000000001</v>
      </c>
      <c r="X5954">
        <v>0.98483589999999999</v>
      </c>
      <c r="Y5954">
        <v>9.0077990000000004E-3</v>
      </c>
      <c r="Z5954">
        <v>7.6475979999999999E-2</v>
      </c>
      <c r="AA5954">
        <v>0.99703070000000005</v>
      </c>
      <c r="AB5954">
        <v>15</v>
      </c>
      <c r="AC5954">
        <v>-2.0699999999976602E-2</v>
      </c>
      <c r="AD5954">
        <v>-6.4864000000000005E-2</v>
      </c>
      <c r="AE5954">
        <v>-0.70126000000000099</v>
      </c>
      <c r="AF5954">
        <v>5.5209170720902498E-3</v>
      </c>
      <c r="AG5954">
        <v>-6.4864000000000005E-2</v>
      </c>
      <c r="AH5954">
        <v>0.69559729583785901</v>
      </c>
      <c r="AI5954">
        <v>95.327222033851797</v>
      </c>
      <c r="AJ5954">
        <v>89.545256131523004</v>
      </c>
      <c r="AK5954">
        <v>0.69863682768535695</v>
      </c>
      <c r="AL5954">
        <v>80.029133988586594</v>
      </c>
      <c r="AM5954">
        <v>89.367324296023995</v>
      </c>
      <c r="AN5954">
        <v>1.0000000217765701</v>
      </c>
    </row>
    <row r="5955" spans="1:40" x14ac:dyDescent="0.25">
      <c r="A5955" t="str">
        <f>"20190312172527368"</f>
        <v>20190312172527368</v>
      </c>
      <c r="B5955" t="str">
        <f>"1552382727356123"</f>
        <v>1552382727356123</v>
      </c>
      <c r="C5955" t="s">
        <v>40</v>
      </c>
      <c r="D5955">
        <v>3.7877839999999998</v>
      </c>
      <c r="E5955">
        <v>0.49665749999999997</v>
      </c>
      <c r="F5955" t="s">
        <v>41</v>
      </c>
      <c r="G5955">
        <v>-300.76589999999999</v>
      </c>
      <c r="H5955">
        <v>1.0459130000000001</v>
      </c>
      <c r="I5955">
        <v>-15.51615</v>
      </c>
      <c r="J5955">
        <v>-300.74759999999998</v>
      </c>
      <c r="K5955">
        <v>1.1095250000000001</v>
      </c>
      <c r="L5955">
        <v>-14.825810000000001</v>
      </c>
      <c r="M5955">
        <v>-2.3646380000000002E-2</v>
      </c>
      <c r="N5955">
        <v>0</v>
      </c>
      <c r="O5955">
        <v>-0.99967969999999895</v>
      </c>
      <c r="P5955">
        <v>-3.0081119999999999E-2</v>
      </c>
      <c r="Q5955">
        <v>0.1654398</v>
      </c>
      <c r="R5955">
        <v>-0.9857612</v>
      </c>
      <c r="S5955">
        <v>-8.7127689999999994E-2</v>
      </c>
      <c r="T5955">
        <v>-0.2336193</v>
      </c>
      <c r="U5955">
        <v>-3.0789490000000002</v>
      </c>
      <c r="V5955">
        <v>7.0613489999999998E-3</v>
      </c>
      <c r="W5955">
        <v>0.174337299999999</v>
      </c>
      <c r="X5955">
        <v>0.98466070000000006</v>
      </c>
      <c r="Y5955">
        <v>4.5597529999999997E-3</v>
      </c>
      <c r="Z5955">
        <v>7.5611750000000005E-2</v>
      </c>
      <c r="AA5955">
        <v>0.99712690000000004</v>
      </c>
      <c r="AB5955">
        <v>15</v>
      </c>
      <c r="AC5955">
        <v>-1.8300000000010599E-2</v>
      </c>
      <c r="AD5955">
        <v>-6.3612000000000196E-2</v>
      </c>
      <c r="AE5955">
        <v>-0.69033999999999895</v>
      </c>
      <c r="AF5955">
        <v>1.9536005617515999E-3</v>
      </c>
      <c r="AG5955">
        <v>-6.3612000000000196E-2</v>
      </c>
      <c r="AH5955">
        <v>0.68476949775823004</v>
      </c>
      <c r="AI5955">
        <v>95.307266633468103</v>
      </c>
      <c r="AJ5955">
        <v>89.836539501645305</v>
      </c>
      <c r="AK5955">
        <v>0.687720559645568</v>
      </c>
      <c r="AL5955">
        <v>79.959904878851404</v>
      </c>
      <c r="AM5955">
        <v>89.589118810298203</v>
      </c>
      <c r="AN5955">
        <v>1.0000000254727299</v>
      </c>
    </row>
    <row r="5956" spans="1:40" x14ac:dyDescent="0.25">
      <c r="A5956" t="str">
        <f>"20190312172527391"</f>
        <v>20190312172527391</v>
      </c>
      <c r="B5956" t="str">
        <f>"1552382727386380"</f>
        <v>1552382727386380</v>
      </c>
      <c r="C5956" t="s">
        <v>40</v>
      </c>
      <c r="D5956">
        <v>3.784443</v>
      </c>
      <c r="E5956">
        <v>0.49653760000000002</v>
      </c>
      <c r="F5956" t="s">
        <v>43</v>
      </c>
      <c r="G5956">
        <v>-301.13010000000003</v>
      </c>
      <c r="H5956" s="1">
        <v>-6.0141119999999899E-7</v>
      </c>
      <c r="I5956">
        <v>-29.709869999999999</v>
      </c>
      <c r="J5956">
        <v>-300.75360000000001</v>
      </c>
      <c r="K5956">
        <v>1.109529</v>
      </c>
      <c r="L5956">
        <v>-14.977259999999999</v>
      </c>
      <c r="M5956">
        <v>-2.571039E-2</v>
      </c>
      <c r="N5956">
        <v>0</v>
      </c>
      <c r="O5956">
        <v>-0.99962960000000001</v>
      </c>
      <c r="P5956">
        <v>-2.8298739999999999E-2</v>
      </c>
      <c r="Q5956">
        <v>0.16547799999999999</v>
      </c>
      <c r="R5956">
        <v>-0.98580769999999995</v>
      </c>
      <c r="S5956">
        <v>-7.9132079999999994E-2</v>
      </c>
      <c r="T5956">
        <v>-0.22955510000000001</v>
      </c>
      <c r="U5956">
        <v>-3.079437</v>
      </c>
      <c r="V5956">
        <v>3.2377669999999999E-3</v>
      </c>
      <c r="W5956">
        <v>0.17429739999999999</v>
      </c>
      <c r="X5956">
        <v>0.98468770000000005</v>
      </c>
      <c r="Y5956" s="1">
        <v>-9.3977870000000005E-5</v>
      </c>
      <c r="Z5956">
        <v>7.4289279999999999E-2</v>
      </c>
      <c r="AA5956">
        <v>0.99723669999999998</v>
      </c>
      <c r="AB5956">
        <v>15</v>
      </c>
      <c r="AC5956">
        <v>-0.37650000000002098</v>
      </c>
      <c r="AD5956">
        <v>-1.1095296014111999</v>
      </c>
      <c r="AE5956">
        <v>-14.732609999999999</v>
      </c>
      <c r="AF5956">
        <v>-2.40705745109864E-3</v>
      </c>
      <c r="AG5956">
        <v>-1.1095296014111999</v>
      </c>
      <c r="AH5956">
        <v>14.654357987487399</v>
      </c>
      <c r="AI5956">
        <v>94.3297907965935</v>
      </c>
      <c r="AJ5956">
        <v>90.0094111411684</v>
      </c>
      <c r="AK5956">
        <v>14.696301227035599</v>
      </c>
      <c r="AL5956">
        <v>79.962225929414103</v>
      </c>
      <c r="AM5956">
        <v>89.811605531794498</v>
      </c>
      <c r="AN5956">
        <v>0.99999996665659696</v>
      </c>
    </row>
    <row r="5957" spans="1:40" x14ac:dyDescent="0.25">
      <c r="A5957" t="str">
        <f>"20190312172527413"</f>
        <v>20190312172527413</v>
      </c>
      <c r="B5957" t="str">
        <f>"1552382727405900"</f>
        <v>1552382727405900</v>
      </c>
      <c r="C5957" t="s">
        <v>40</v>
      </c>
      <c r="D5957">
        <v>3.7871670000000002</v>
      </c>
      <c r="E5957">
        <v>0.49650139999999998</v>
      </c>
      <c r="F5957" t="s">
        <v>43</v>
      </c>
      <c r="G5957">
        <v>-301.09629999999999</v>
      </c>
      <c r="H5957" s="1">
        <v>-5.2111110000000001E-7</v>
      </c>
      <c r="I5957">
        <v>-29.876069999999999</v>
      </c>
      <c r="J5957">
        <v>-300.75979999999998</v>
      </c>
      <c r="K5957">
        <v>1.109524</v>
      </c>
      <c r="L5957">
        <v>-15.128539999999999</v>
      </c>
      <c r="M5957">
        <v>-2.770048E-2</v>
      </c>
      <c r="N5957">
        <v>0</v>
      </c>
      <c r="O5957">
        <v>-0.99957700000000005</v>
      </c>
      <c r="P5957">
        <v>-2.5592190000000001E-2</v>
      </c>
      <c r="Q5957">
        <v>0.1645964</v>
      </c>
      <c r="R5957">
        <v>-0.98602920000000005</v>
      </c>
      <c r="S5957">
        <v>-7.08313E-2</v>
      </c>
      <c r="T5957">
        <v>-0.22934470000000001</v>
      </c>
      <c r="U5957">
        <v>-3.0796510000000001</v>
      </c>
      <c r="V5957">
        <v>-1.442027E-3</v>
      </c>
      <c r="W5957">
        <v>0.17333799999999999</v>
      </c>
      <c r="X5957">
        <v>0.98486130000000005</v>
      </c>
      <c r="Y5957">
        <v>-4.7727969999999996E-3</v>
      </c>
      <c r="Z5957">
        <v>7.4212520000000004E-2</v>
      </c>
      <c r="AA5957">
        <v>0.99723099999999998</v>
      </c>
      <c r="AB5957">
        <v>15</v>
      </c>
      <c r="AC5957">
        <v>-0.33650000000000002</v>
      </c>
      <c r="AD5957">
        <v>-1.1095245211111</v>
      </c>
      <c r="AE5957">
        <v>-14.747529999999999</v>
      </c>
      <c r="AF5957">
        <v>-7.1752904085340005E-2</v>
      </c>
      <c r="AG5957">
        <v>-1.1095245211111</v>
      </c>
      <c r="AH5957">
        <v>14.668209577854901</v>
      </c>
      <c r="AI5957">
        <v>94.325646353009304</v>
      </c>
      <c r="AJ5957">
        <v>90.280273182539403</v>
      </c>
      <c r="AK5957">
        <v>14.7102877389284</v>
      </c>
      <c r="AL5957">
        <v>80.018045136525501</v>
      </c>
      <c r="AM5957">
        <v>90.0838920180949</v>
      </c>
      <c r="AN5957">
        <v>0.99999996096177801</v>
      </c>
    </row>
    <row r="5958" spans="1:40" x14ac:dyDescent="0.25">
      <c r="A5958" t="str">
        <f>"20190312172527435"</f>
        <v>20190312172527435</v>
      </c>
      <c r="B5958" t="str">
        <f>"1552382727426397"</f>
        <v>1552382727426397</v>
      </c>
      <c r="C5958" t="s">
        <v>40</v>
      </c>
      <c r="D5958">
        <v>3.7286069999999998</v>
      </c>
      <c r="E5958">
        <v>0.49623669999999998</v>
      </c>
      <c r="F5958" t="s">
        <v>43</v>
      </c>
      <c r="G5958">
        <v>-301.05939999999998</v>
      </c>
      <c r="H5958" s="1">
        <v>-5.2501979999999999E-7</v>
      </c>
      <c r="I5958">
        <v>-29.844080000000002</v>
      </c>
      <c r="J5958">
        <v>-300.7663</v>
      </c>
      <c r="K5958">
        <v>1.1095159999999999</v>
      </c>
      <c r="L5958">
        <v>-15.278320000000001</v>
      </c>
      <c r="M5958">
        <v>-2.9609050000000001E-2</v>
      </c>
      <c r="N5958">
        <v>0</v>
      </c>
      <c r="O5958">
        <v>-0.9995231</v>
      </c>
      <c r="P5958">
        <v>-2.350124E-2</v>
      </c>
      <c r="Q5958">
        <v>0.16479199999999999</v>
      </c>
      <c r="R5958">
        <v>-0.98604849999999999</v>
      </c>
      <c r="S5958">
        <v>-6.268311E-2</v>
      </c>
      <c r="T5958">
        <v>-0.23219989999999999</v>
      </c>
      <c r="U5958">
        <v>-3.0796510000000001</v>
      </c>
      <c r="V5958">
        <v>-5.4205080000000001E-3</v>
      </c>
      <c r="W5958">
        <v>0.17344599999999999</v>
      </c>
      <c r="X5958">
        <v>0.9848285</v>
      </c>
      <c r="Y5958">
        <v>-9.3207589999999996E-3</v>
      </c>
      <c r="Z5958">
        <v>7.5125979999999995E-2</v>
      </c>
      <c r="AA5958">
        <v>0.99713050000000003</v>
      </c>
      <c r="AB5958">
        <v>15</v>
      </c>
      <c r="AC5958">
        <v>-0.29309999999998099</v>
      </c>
      <c r="AD5958">
        <v>-1.1095165250198</v>
      </c>
      <c r="AE5958">
        <v>-14.5657599999999</v>
      </c>
      <c r="AF5958">
        <v>-0.13752576779541301</v>
      </c>
      <c r="AG5958">
        <v>-1.1095165250198</v>
      </c>
      <c r="AH5958">
        <v>14.484045018636801</v>
      </c>
      <c r="AI5958">
        <v>94.380258271010902</v>
      </c>
      <c r="AJ5958">
        <v>90.544006130601304</v>
      </c>
      <c r="AK5958">
        <v>14.5271298045415</v>
      </c>
      <c r="AL5958">
        <v>80.011762774369302</v>
      </c>
      <c r="AM5958">
        <v>90.3153534804283</v>
      </c>
      <c r="AN5958">
        <v>1.00000003561761</v>
      </c>
    </row>
    <row r="5959" spans="1:40" x14ac:dyDescent="0.25">
      <c r="A5959" t="str">
        <f>"20190312172527481"</f>
        <v>20190312172527481</v>
      </c>
      <c r="B5959" t="str">
        <f>"1552382727476172"</f>
        <v>1552382727476172</v>
      </c>
      <c r="C5959" t="s">
        <v>40</v>
      </c>
      <c r="D5959">
        <v>3.9311790000000002</v>
      </c>
      <c r="E5959">
        <v>0.4874423</v>
      </c>
      <c r="F5959" t="s">
        <v>43</v>
      </c>
      <c r="G5959">
        <v>-301.02460000000002</v>
      </c>
      <c r="H5959" s="1">
        <v>-4.0286850000000002E-7</v>
      </c>
      <c r="I5959">
        <v>-30.10727</v>
      </c>
      <c r="J5959">
        <v>-300.77999999999997</v>
      </c>
      <c r="K5959">
        <v>1.1095109999999999</v>
      </c>
      <c r="L5959">
        <v>-15.58347</v>
      </c>
      <c r="M5959">
        <v>-3.331514E-2</v>
      </c>
      <c r="N5959">
        <v>0</v>
      </c>
      <c r="O5959">
        <v>-0.99940850000000003</v>
      </c>
      <c r="P5959">
        <v>-2.154116E-2</v>
      </c>
      <c r="Q5959">
        <v>0.16408879999999901</v>
      </c>
      <c r="R5959">
        <v>-0.98621049999999999</v>
      </c>
      <c r="S5959">
        <v>-5.36499E-2</v>
      </c>
      <c r="T5959">
        <v>-0.23042480000000001</v>
      </c>
      <c r="U5959">
        <v>-3.0796809999999999</v>
      </c>
      <c r="V5959">
        <v>-1.105743E-2</v>
      </c>
      <c r="W5959">
        <v>0.1725293</v>
      </c>
      <c r="X5959">
        <v>0.98494230000000005</v>
      </c>
      <c r="Y5959">
        <v>-1.5951480000000001E-2</v>
      </c>
      <c r="Z5959">
        <v>7.4540010000000004E-2</v>
      </c>
      <c r="AA5959">
        <v>0.99709049999999999</v>
      </c>
      <c r="AB5959">
        <v>15</v>
      </c>
      <c r="AC5959">
        <v>-0.244600000000048</v>
      </c>
      <c r="AD5959">
        <v>-1.1095114028685</v>
      </c>
      <c r="AE5959">
        <v>-14.5237999999999</v>
      </c>
      <c r="AF5959">
        <v>-0.23802712711399401</v>
      </c>
      <c r="AG5959">
        <v>-1.1095114028685</v>
      </c>
      <c r="AH5959">
        <v>14.4396429004137</v>
      </c>
      <c r="AI5959">
        <v>94.393257523773201</v>
      </c>
      <c r="AJ5959">
        <v>90.944394179396497</v>
      </c>
      <c r="AK5959">
        <v>14.484162369906199</v>
      </c>
      <c r="AL5959">
        <v>80.065089217858798</v>
      </c>
      <c r="AM5959">
        <v>90.643202609226805</v>
      </c>
      <c r="AN5959">
        <v>0.99999998022299197</v>
      </c>
    </row>
    <row r="5960" spans="1:40" x14ac:dyDescent="0.25">
      <c r="A5960" t="str">
        <f>"20190312172527503"</f>
        <v>20190312172527503</v>
      </c>
      <c r="B5960" t="str">
        <f>"1552382727496668"</f>
        <v>1552382727496668</v>
      </c>
      <c r="C5960" t="s">
        <v>40</v>
      </c>
      <c r="D5960">
        <v>4.0319799999999999</v>
      </c>
      <c r="E5960">
        <v>0.48786030000000002</v>
      </c>
      <c r="F5960" t="s">
        <v>41</v>
      </c>
      <c r="G5960">
        <v>-300.77519999999998</v>
      </c>
      <c r="H5960">
        <v>0.96243440000000002</v>
      </c>
      <c r="I5960">
        <v>-16.2835</v>
      </c>
      <c r="J5960">
        <v>-300.78719999999998</v>
      </c>
      <c r="K5960">
        <v>1.109507</v>
      </c>
      <c r="L5960">
        <v>-15.7374299999999</v>
      </c>
      <c r="M5960">
        <v>-3.5081059999999997E-2</v>
      </c>
      <c r="N5960">
        <v>0</v>
      </c>
      <c r="O5960">
        <v>-0.99934909999999999</v>
      </c>
      <c r="P5960">
        <v>-2.0499280000000002E-2</v>
      </c>
      <c r="Q5960">
        <v>0.16246340000000001</v>
      </c>
      <c r="R5960">
        <v>-0.98650179999999998</v>
      </c>
      <c r="S5960">
        <v>2.2552490000000001E-2</v>
      </c>
      <c r="T5960">
        <v>-0.66203619999999996</v>
      </c>
      <c r="U5960">
        <v>-3.1525880000000002</v>
      </c>
      <c r="V5960">
        <v>-1.3864090000000001E-2</v>
      </c>
      <c r="W5960">
        <v>0.17078929999999901</v>
      </c>
      <c r="X5960">
        <v>0.98521000000000003</v>
      </c>
      <c r="Y5960">
        <v>-4.2077740000000002E-2</v>
      </c>
      <c r="Z5960">
        <v>0.20523279999999999</v>
      </c>
      <c r="AA5960">
        <v>0.97780820000000002</v>
      </c>
      <c r="AB5960">
        <v>15</v>
      </c>
      <c r="AC5960">
        <v>1.2000000000000399E-2</v>
      </c>
      <c r="AD5960">
        <v>-0.147072599999999</v>
      </c>
      <c r="AE5960">
        <v>-0.54607000000000205</v>
      </c>
      <c r="AF5960">
        <v>-2.9044206553892799E-2</v>
      </c>
      <c r="AG5960">
        <v>-0.147072599999999</v>
      </c>
      <c r="AH5960">
        <v>0.508448703545752</v>
      </c>
      <c r="AI5960">
        <v>106.108015054953</v>
      </c>
      <c r="AJ5960">
        <v>93.269364144917105</v>
      </c>
      <c r="AK5960">
        <v>0.53008867158472694</v>
      </c>
      <c r="AL5960">
        <v>80.166285926480697</v>
      </c>
      <c r="AM5960">
        <v>90.806225490434002</v>
      </c>
      <c r="AN5960">
        <v>0.99999997104300797</v>
      </c>
    </row>
    <row r="5961" spans="1:40" x14ac:dyDescent="0.25">
      <c r="A5961" t="str">
        <f>"20190312172527527"</f>
        <v>20190312172527527</v>
      </c>
      <c r="B5961" t="str">
        <f>"1552382727516188"</f>
        <v>1552382727516188</v>
      </c>
      <c r="C5961" t="s">
        <v>40</v>
      </c>
      <c r="D5961">
        <v>3.7202120000000001</v>
      </c>
      <c r="E5961">
        <v>0.49621979999999999</v>
      </c>
      <c r="F5961" t="s">
        <v>41</v>
      </c>
      <c r="G5961">
        <v>-300.78089999999997</v>
      </c>
      <c r="H5961">
        <v>0.96182840000000003</v>
      </c>
      <c r="I5961">
        <v>-16.558900000000001</v>
      </c>
      <c r="J5961">
        <v>-300.7953</v>
      </c>
      <c r="K5961">
        <v>1.10951</v>
      </c>
      <c r="L5961">
        <v>-15.906219999999999</v>
      </c>
      <c r="M5961">
        <v>-3.6928450000000002E-2</v>
      </c>
      <c r="N5961">
        <v>0</v>
      </c>
      <c r="O5961">
        <v>-0.99928360000000005</v>
      </c>
      <c r="P5961">
        <v>-1.9038550000000001E-2</v>
      </c>
      <c r="Q5961">
        <v>0.16169020000000001</v>
      </c>
      <c r="R5961">
        <v>-0.98665800000000004</v>
      </c>
      <c r="S5961">
        <v>2.523804E-2</v>
      </c>
      <c r="T5961">
        <v>-0.56321259999999995</v>
      </c>
      <c r="U5961">
        <v>-3.1343380000000001</v>
      </c>
      <c r="V5961">
        <v>-1.7166020000000001E-2</v>
      </c>
      <c r="W5961">
        <v>0.16988900000000001</v>
      </c>
      <c r="X5961">
        <v>0.98531369999999896</v>
      </c>
      <c r="Y5961">
        <v>-4.4847949999999998E-2</v>
      </c>
      <c r="Z5961">
        <v>0.17658650000000001</v>
      </c>
      <c r="AA5961">
        <v>0.98326279999999999</v>
      </c>
      <c r="AB5961">
        <v>15</v>
      </c>
      <c r="AC5961">
        <v>1.44000000000232E-2</v>
      </c>
      <c r="AD5961">
        <v>-0.1476816</v>
      </c>
      <c r="AE5961">
        <v>-0.65268000000000004</v>
      </c>
      <c r="AF5961">
        <v>-3.6619533359223799E-2</v>
      </c>
      <c r="AG5961">
        <v>-0.1476816</v>
      </c>
      <c r="AH5961">
        <v>0.61997692184646203</v>
      </c>
      <c r="AI5961">
        <v>103.375976180384</v>
      </c>
      <c r="AJ5961">
        <v>93.380302937595999</v>
      </c>
      <c r="AK5961">
        <v>0.63837467746161503</v>
      </c>
      <c r="AL5961">
        <v>80.218634810728204</v>
      </c>
      <c r="AM5961">
        <v>90.998099393549893</v>
      </c>
      <c r="AN5961">
        <v>1.0000000159856599</v>
      </c>
    </row>
    <row r="5962" spans="1:40" x14ac:dyDescent="0.25">
      <c r="A5962" t="str">
        <f>"20190312172527547"</f>
        <v>20190312172527547</v>
      </c>
      <c r="B5962" t="str">
        <f>"1552382727536684"</f>
        <v>1552382727536684</v>
      </c>
      <c r="C5962" t="s">
        <v>40</v>
      </c>
      <c r="D5962">
        <v>3.7748499999999998</v>
      </c>
      <c r="E5962">
        <v>0.49483440000000001</v>
      </c>
      <c r="F5962" t="s">
        <v>50</v>
      </c>
      <c r="G5962">
        <v>-301.11410000000001</v>
      </c>
      <c r="H5962" s="1">
        <v>-3.4686990000000001E-6</v>
      </c>
      <c r="I5962">
        <v>-45.76144</v>
      </c>
      <c r="J5962">
        <v>-300.8023</v>
      </c>
      <c r="K5962">
        <v>1.1095060000000001</v>
      </c>
      <c r="L5962">
        <v>-16.047179999999901</v>
      </c>
      <c r="M5962">
        <v>-3.8413740000000002E-2</v>
      </c>
      <c r="N5962">
        <v>0</v>
      </c>
      <c r="O5962">
        <v>-0.99922869999999997</v>
      </c>
      <c r="P5962">
        <v>-1.882261E-2</v>
      </c>
      <c r="Q5962">
        <v>0.1623732</v>
      </c>
      <c r="R5962">
        <v>-0.98655020000000004</v>
      </c>
      <c r="S5962">
        <v>-3.2653809999999998E-2</v>
      </c>
      <c r="T5962">
        <v>-0.1136658</v>
      </c>
      <c r="U5962">
        <v>-3.0585629999999999</v>
      </c>
      <c r="V5962">
        <v>-1.8851730000000001E-2</v>
      </c>
      <c r="W5962">
        <v>0.17046510000000001</v>
      </c>
      <c r="X5962">
        <v>0.98518340000000004</v>
      </c>
      <c r="Y5962">
        <v>-2.7752470000000001E-2</v>
      </c>
      <c r="Z5962">
        <v>3.708819E-2</v>
      </c>
      <c r="AA5962">
        <v>0.9989266</v>
      </c>
      <c r="AB5962">
        <v>15</v>
      </c>
      <c r="AC5962">
        <v>-0.31180000000000502</v>
      </c>
      <c r="AD5962">
        <v>-1.1095094686989999</v>
      </c>
      <c r="AE5962">
        <v>-29.714259999999999</v>
      </c>
      <c r="AF5962">
        <v>-0.82874856530343</v>
      </c>
      <c r="AG5962">
        <v>-1.1095094686989999</v>
      </c>
      <c r="AH5962">
        <v>29.6629526290466</v>
      </c>
      <c r="AI5962">
        <v>92.1412510053717</v>
      </c>
      <c r="AJ5962">
        <v>91.600361450739996</v>
      </c>
      <c r="AK5962">
        <v>29.695262149351102</v>
      </c>
      <c r="AL5962">
        <v>80.185138299564599</v>
      </c>
      <c r="AM5962">
        <v>91.096235241555704</v>
      </c>
      <c r="AN5962">
        <v>1.0000000348387801</v>
      </c>
    </row>
    <row r="5963" spans="1:40" x14ac:dyDescent="0.25">
      <c r="A5963" t="str">
        <f>"20190312172527589"</f>
        <v>20190312172527589</v>
      </c>
      <c r="B5963" t="str">
        <f>"1552382727586460"</f>
        <v>1552382727586460</v>
      </c>
      <c r="C5963" t="s">
        <v>40</v>
      </c>
      <c r="D5963">
        <v>3.7645170000000001</v>
      </c>
      <c r="E5963">
        <v>0.4935445</v>
      </c>
      <c r="F5963" t="s">
        <v>43</v>
      </c>
      <c r="G5963">
        <v>-300.9409</v>
      </c>
      <c r="H5963" s="1">
        <v>-1.672621E-6</v>
      </c>
      <c r="I5963">
        <v>-37.09554</v>
      </c>
      <c r="J5963">
        <v>-300.81689999999998</v>
      </c>
      <c r="K5963">
        <v>1.10951</v>
      </c>
      <c r="L5963">
        <v>-16.33475</v>
      </c>
      <c r="M5963">
        <v>-4.1266209999999998E-2</v>
      </c>
      <c r="N5963">
        <v>0</v>
      </c>
      <c r="O5963">
        <v>-0.99911649999999996</v>
      </c>
      <c r="P5963">
        <v>-2.078897E-2</v>
      </c>
      <c r="Q5963">
        <v>0.1635412</v>
      </c>
      <c r="R5963">
        <v>-0.98631760000000002</v>
      </c>
      <c r="S5963">
        <v>-2.0202640000000001E-2</v>
      </c>
      <c r="T5963">
        <v>-0.16167590000000001</v>
      </c>
      <c r="U5963">
        <v>-3.0671390000000001</v>
      </c>
      <c r="V5963">
        <v>-1.970529E-2</v>
      </c>
      <c r="W5963">
        <v>0.1714165</v>
      </c>
      <c r="X5963">
        <v>0.98500160000000003</v>
      </c>
      <c r="Y5963">
        <v>-3.4694660000000002E-2</v>
      </c>
      <c r="Z5963">
        <v>5.2555589999999999E-2</v>
      </c>
      <c r="AA5963">
        <v>0.99801510000000004</v>
      </c>
      <c r="AB5963">
        <v>15</v>
      </c>
      <c r="AC5963">
        <v>-0.12400000000002299</v>
      </c>
      <c r="AD5963">
        <v>-1.1095116726209999</v>
      </c>
      <c r="AE5963">
        <v>-20.76079</v>
      </c>
      <c r="AF5963">
        <v>-0.73076480077737804</v>
      </c>
      <c r="AG5963">
        <v>-1.1095116726209999</v>
      </c>
      <c r="AH5963">
        <v>20.689133266214998</v>
      </c>
      <c r="AI5963">
        <v>93.067793839004494</v>
      </c>
      <c r="AJ5963">
        <v>92.0229141233429</v>
      </c>
      <c r="AK5963">
        <v>20.731745431896002</v>
      </c>
      <c r="AL5963">
        <v>80.129812761159101</v>
      </c>
      <c r="AM5963">
        <v>91.146068564298005</v>
      </c>
      <c r="AN5963">
        <v>1.0000000334643899</v>
      </c>
    </row>
    <row r="5964" spans="1:40" x14ac:dyDescent="0.25">
      <c r="A5964" t="str">
        <f>"20190312172527614"</f>
        <v>20190312172527614</v>
      </c>
      <c r="B5964" t="str">
        <f>"1552382727605981"</f>
        <v>1552382727605981</v>
      </c>
      <c r="C5964" t="s">
        <v>40</v>
      </c>
      <c r="D5964">
        <v>3.8601420000000002</v>
      </c>
      <c r="E5964">
        <v>0.49321189999999998</v>
      </c>
      <c r="F5964" t="s">
        <v>43</v>
      </c>
      <c r="G5964">
        <v>-300.89890000000003</v>
      </c>
      <c r="H5964" s="1">
        <v>-2.9923850000000001E-6</v>
      </c>
      <c r="I5964">
        <v>-33.993090000000002</v>
      </c>
      <c r="J5964">
        <v>-300.82619999999997</v>
      </c>
      <c r="K5964">
        <v>1.1095120000000001</v>
      </c>
      <c r="L5964">
        <v>-16.514859999999999</v>
      </c>
      <c r="M5964">
        <v>-4.2930349999999999E-2</v>
      </c>
      <c r="N5964">
        <v>0</v>
      </c>
      <c r="O5964">
        <v>-0.99904749999999998</v>
      </c>
      <c r="P5964">
        <v>-1.935928E-2</v>
      </c>
      <c r="Q5964">
        <v>0.1623272</v>
      </c>
      <c r="R5964">
        <v>-0.98654719999999996</v>
      </c>
      <c r="S5964">
        <v>-1.428223E-2</v>
      </c>
      <c r="T5964">
        <v>-0.19310440000000001</v>
      </c>
      <c r="U5964">
        <v>-3.073334</v>
      </c>
      <c r="V5964">
        <v>-2.2795929999999999E-2</v>
      </c>
      <c r="W5964">
        <v>0.17007320000000001</v>
      </c>
      <c r="X5964">
        <v>0.98516769999999998</v>
      </c>
      <c r="Y5964">
        <v>-3.8297480000000002E-2</v>
      </c>
      <c r="Z5964">
        <v>6.2598570000000006E-2</v>
      </c>
      <c r="AA5964">
        <v>0.99730370000000002</v>
      </c>
      <c r="AB5964">
        <v>16</v>
      </c>
      <c r="AC5964">
        <v>-7.2700000000054305E-2</v>
      </c>
      <c r="AD5964">
        <v>-1.1095149923850001</v>
      </c>
      <c r="AE5964">
        <v>-17.47823</v>
      </c>
      <c r="AF5964">
        <v>-0.67501641699987502</v>
      </c>
      <c r="AG5964">
        <v>-1.1095149923850001</v>
      </c>
      <c r="AH5964">
        <v>17.395140618369201</v>
      </c>
      <c r="AI5964">
        <v>93.646818084889702</v>
      </c>
      <c r="AJ5964">
        <v>92.222241104602503</v>
      </c>
      <c r="AK5964">
        <v>17.4435543343203</v>
      </c>
      <c r="AL5964">
        <v>80.207924642465997</v>
      </c>
      <c r="AM5964">
        <v>91.325538330356494</v>
      </c>
      <c r="AN5964">
        <v>0.99999997245304695</v>
      </c>
    </row>
    <row r="5965" spans="1:40" x14ac:dyDescent="0.25">
      <c r="A5965" t="str">
        <f>"20190312172527646"</f>
        <v>20190312172527646</v>
      </c>
      <c r="B5965" t="str">
        <f>"1552382727636236"</f>
        <v>1552382727636236</v>
      </c>
      <c r="C5965" t="s">
        <v>40</v>
      </c>
      <c r="D5965">
        <v>3.7755990000000001</v>
      </c>
      <c r="E5965">
        <v>0.49334099999999997</v>
      </c>
      <c r="F5965" t="s">
        <v>43</v>
      </c>
      <c r="G5965">
        <v>-300.85809999999998</v>
      </c>
      <c r="H5965" s="1">
        <v>-3.316479E-6</v>
      </c>
      <c r="I5965">
        <v>-33.212269999999997</v>
      </c>
      <c r="J5965">
        <v>-300.83870000000002</v>
      </c>
      <c r="K5965">
        <v>1.109513</v>
      </c>
      <c r="L5965">
        <v>-16.74774</v>
      </c>
      <c r="M5965">
        <v>-4.4943370000000003E-2</v>
      </c>
      <c r="N5965">
        <v>0</v>
      </c>
      <c r="O5965">
        <v>-0.99896039999999997</v>
      </c>
      <c r="P5965">
        <v>-1.7991989999999999E-2</v>
      </c>
      <c r="Q5965">
        <v>0.1617779</v>
      </c>
      <c r="R5965">
        <v>-0.98666330000000002</v>
      </c>
      <c r="S5965">
        <v>-5.859375E-3</v>
      </c>
      <c r="T5965">
        <v>-0.204289</v>
      </c>
      <c r="U5965">
        <v>-3.0744020000000001</v>
      </c>
      <c r="V5965">
        <v>-2.6168259999999999E-2</v>
      </c>
      <c r="W5965">
        <v>0.16934859999999999</v>
      </c>
      <c r="X5965">
        <v>0.98520870000000005</v>
      </c>
      <c r="Y5965">
        <v>-4.3044810000000003E-2</v>
      </c>
      <c r="Z5965">
        <v>6.6170939999999998E-2</v>
      </c>
      <c r="AA5965">
        <v>0.99687939999999997</v>
      </c>
      <c r="AB5965">
        <v>16</v>
      </c>
      <c r="AC5965">
        <v>-1.9399999999961798E-2</v>
      </c>
      <c r="AD5965">
        <v>-1.1095163164790001</v>
      </c>
      <c r="AE5965">
        <v>-16.46453</v>
      </c>
      <c r="AF5965">
        <v>-0.71735497312929297</v>
      </c>
      <c r="AG5965">
        <v>-1.1095163164790001</v>
      </c>
      <c r="AH5965">
        <v>16.374405129718699</v>
      </c>
      <c r="AI5965">
        <v>93.872686625716995</v>
      </c>
      <c r="AJ5965">
        <v>92.508497091528895</v>
      </c>
      <c r="AK5965">
        <v>16.427622103218798</v>
      </c>
      <c r="AL5965">
        <v>80.250052096310299</v>
      </c>
      <c r="AM5965">
        <v>91.521483128217596</v>
      </c>
      <c r="AN5965">
        <v>0.99999995435453704</v>
      </c>
    </row>
    <row r="5966" spans="1:40" x14ac:dyDescent="0.25">
      <c r="A5966" t="str">
        <f>"20190312172527670"</f>
        <v>20190312172527670</v>
      </c>
      <c r="B5966" t="str">
        <f>"1552382727666492"</f>
        <v>1552382727666492</v>
      </c>
      <c r="C5966" t="s">
        <v>40</v>
      </c>
      <c r="D5966">
        <v>3.8078729999999998</v>
      </c>
      <c r="E5966">
        <v>0.49355100000000002</v>
      </c>
      <c r="F5966" t="s">
        <v>43</v>
      </c>
      <c r="G5966">
        <v>-300.85019999999997</v>
      </c>
      <c r="H5966" s="1">
        <v>-3.4789779999999999E-6</v>
      </c>
      <c r="I5966">
        <v>-32.828589999999998</v>
      </c>
      <c r="J5966">
        <v>-300.84750000000003</v>
      </c>
      <c r="K5966">
        <v>1.109521</v>
      </c>
      <c r="L5966">
        <v>-16.909579999999998</v>
      </c>
      <c r="M5966">
        <v>-4.6235810000000002E-2</v>
      </c>
      <c r="N5966">
        <v>0</v>
      </c>
      <c r="O5966">
        <v>-0.99890239999999997</v>
      </c>
      <c r="P5966">
        <v>-1.787238E-2</v>
      </c>
      <c r="Q5966">
        <v>0.1619611</v>
      </c>
      <c r="R5966">
        <v>-0.98663559999999995</v>
      </c>
      <c r="S5966">
        <v>-2.1972659999999998E-3</v>
      </c>
      <c r="T5966">
        <v>-0.21218500000000001</v>
      </c>
      <c r="U5966">
        <v>-3.0753170000000001</v>
      </c>
      <c r="V5966">
        <v>-2.7575490000000001E-2</v>
      </c>
      <c r="W5966">
        <v>0.16939370000000001</v>
      </c>
      <c r="X5966">
        <v>0.9851626</v>
      </c>
      <c r="Y5966">
        <v>-4.5525009999999998E-2</v>
      </c>
      <c r="Z5966">
        <v>6.8686479999999994E-2</v>
      </c>
      <c r="AA5966">
        <v>0.99659900000000001</v>
      </c>
      <c r="AB5966">
        <v>16</v>
      </c>
      <c r="AC5966">
        <v>-2.69999999994752E-3</v>
      </c>
      <c r="AD5966">
        <v>-1.1095244789780001</v>
      </c>
      <c r="AE5966">
        <v>-15.91901</v>
      </c>
      <c r="AF5966">
        <v>-0.72980663810450797</v>
      </c>
      <c r="AG5966">
        <v>-1.1095244789780001</v>
      </c>
      <c r="AH5966">
        <v>15.8252331701384</v>
      </c>
      <c r="AI5966">
        <v>94.006263318273497</v>
      </c>
      <c r="AJ5966">
        <v>92.6404182724241</v>
      </c>
      <c r="AK5966">
        <v>15.8808585154494</v>
      </c>
      <c r="AL5966">
        <v>80.247430535255603</v>
      </c>
      <c r="AM5966">
        <v>91.603336103229196</v>
      </c>
      <c r="AN5966">
        <v>0.99999999084359503</v>
      </c>
    </row>
    <row r="5967" spans="1:40" x14ac:dyDescent="0.25">
      <c r="A5967" t="str">
        <f>"20190312172527692"</f>
        <v>20190312172527692</v>
      </c>
      <c r="B5967" t="str">
        <f>"1552382727686012"</f>
        <v>1552382727686012</v>
      </c>
      <c r="C5967" t="s">
        <v>40</v>
      </c>
      <c r="D5967">
        <v>3.7934610000000002</v>
      </c>
      <c r="E5967">
        <v>0.49361129999999998</v>
      </c>
      <c r="F5967" t="s">
        <v>43</v>
      </c>
      <c r="G5967">
        <v>-300.85669999999999</v>
      </c>
      <c r="H5967" s="1">
        <v>-3.458394E-6</v>
      </c>
      <c r="I5967">
        <v>-32.88064</v>
      </c>
      <c r="J5967">
        <v>-300.85660000000001</v>
      </c>
      <c r="K5967">
        <v>1.1095280000000001</v>
      </c>
      <c r="L5967">
        <v>-17.07443</v>
      </c>
      <c r="M5967">
        <v>-4.7469810000000001E-2</v>
      </c>
      <c r="N5967">
        <v>0</v>
      </c>
      <c r="O5967">
        <v>-0.9988456</v>
      </c>
      <c r="P5967">
        <v>-1.7157869999999999E-2</v>
      </c>
      <c r="Q5967">
        <v>0.16194040000000001</v>
      </c>
      <c r="R5967">
        <v>-0.98665150000000001</v>
      </c>
      <c r="S5967">
        <v>-1.77002E-3</v>
      </c>
      <c r="T5967">
        <v>-0.21367050000000001</v>
      </c>
      <c r="U5967">
        <v>-3.0756839999999999</v>
      </c>
      <c r="V5967">
        <v>-2.9522550000000002E-2</v>
      </c>
      <c r="W5967">
        <v>0.16921989999999901</v>
      </c>
      <c r="X5967">
        <v>0.98513609999999896</v>
      </c>
      <c r="Y5967">
        <v>-4.6897559999999998E-2</v>
      </c>
      <c r="Z5967">
        <v>6.9148619999999994E-2</v>
      </c>
      <c r="AA5967">
        <v>0.99650340000000004</v>
      </c>
      <c r="AB5967">
        <v>16</v>
      </c>
      <c r="AC5967" s="1">
        <v>-9.9999999974897906E-5</v>
      </c>
      <c r="AD5967">
        <v>-1.1095314583939999</v>
      </c>
      <c r="AE5967">
        <v>-15.80621</v>
      </c>
      <c r="AF5967">
        <v>-0.74655954168195204</v>
      </c>
      <c r="AG5967">
        <v>-1.1095314583939999</v>
      </c>
      <c r="AH5967">
        <v>15.7109796800402</v>
      </c>
      <c r="AI5967">
        <v>94.0350637391997</v>
      </c>
      <c r="AJ5967">
        <v>92.720553417342302</v>
      </c>
      <c r="AK5967">
        <v>15.7677929246004</v>
      </c>
      <c r="AL5967">
        <v>80.257534945310496</v>
      </c>
      <c r="AM5967">
        <v>91.716525681256599</v>
      </c>
      <c r="AN5967">
        <v>1.00000004551886</v>
      </c>
    </row>
    <row r="5968" spans="1:40" x14ac:dyDescent="0.25">
      <c r="A5968" t="str">
        <f>"20190312172527716"</f>
        <v>20190312172527716</v>
      </c>
      <c r="B5968" t="str">
        <f>"1552382727706508"</f>
        <v>1552382727706508</v>
      </c>
      <c r="C5968" t="s">
        <v>40</v>
      </c>
      <c r="D5968">
        <v>3.8519269999999999</v>
      </c>
      <c r="E5968">
        <v>0.49376179999999997</v>
      </c>
      <c r="F5968" t="s">
        <v>43</v>
      </c>
      <c r="G5968">
        <v>-300.85160000000002</v>
      </c>
      <c r="H5968" s="1">
        <v>-3.420857E-6</v>
      </c>
      <c r="I5968">
        <v>-32.964950000000002</v>
      </c>
      <c r="J5968">
        <v>-300.86590000000001</v>
      </c>
      <c r="K5968">
        <v>1.1095349999999999</v>
      </c>
      <c r="L5968">
        <v>-17.241420000000002</v>
      </c>
      <c r="M5968">
        <v>-4.8628089999999999E-2</v>
      </c>
      <c r="N5968">
        <v>0</v>
      </c>
      <c r="O5968">
        <v>-0.99879130000000005</v>
      </c>
      <c r="P5968">
        <v>-1.5929869999999999E-2</v>
      </c>
      <c r="Q5968">
        <v>0.1607333</v>
      </c>
      <c r="R5968">
        <v>-0.98686960000000001</v>
      </c>
      <c r="S5968">
        <v>9.765625E-4</v>
      </c>
      <c r="T5968">
        <v>-0.21476780000000001</v>
      </c>
      <c r="U5968">
        <v>-3.0758670000000001</v>
      </c>
      <c r="V5968">
        <v>-3.192068E-2</v>
      </c>
      <c r="W5968">
        <v>0.1678357</v>
      </c>
      <c r="X5968">
        <v>0.98529800000000001</v>
      </c>
      <c r="Y5968">
        <v>-4.8945610000000001E-2</v>
      </c>
      <c r="Z5968">
        <v>6.9488659999999994E-2</v>
      </c>
      <c r="AA5968">
        <v>0.99638130000000003</v>
      </c>
      <c r="AB5968">
        <v>16</v>
      </c>
      <c r="AC5968">
        <v>1.42999999999915E-2</v>
      </c>
      <c r="AD5968">
        <v>-1.1095384208569901</v>
      </c>
      <c r="AE5968">
        <v>-15.723529999999901</v>
      </c>
      <c r="AF5968">
        <v>-0.77504856560922497</v>
      </c>
      <c r="AG5968">
        <v>-1.1095384208569901</v>
      </c>
      <c r="AH5968">
        <v>15.626420507293</v>
      </c>
      <c r="AI5968">
        <v>94.056443871611606</v>
      </c>
      <c r="AJ5968">
        <v>92.839463541814695</v>
      </c>
      <c r="AK5968">
        <v>15.6849224944581</v>
      </c>
      <c r="AL5968">
        <v>80.337993661132401</v>
      </c>
      <c r="AM5968">
        <v>91.855561250849107</v>
      </c>
      <c r="AN5968">
        <v>0.99999995040507395</v>
      </c>
    </row>
    <row r="5969" spans="1:40" x14ac:dyDescent="0.25">
      <c r="A5969" t="str">
        <f>"20190312172527736"</f>
        <v>20190312172527736</v>
      </c>
      <c r="B5969" t="str">
        <f>"1552382727726028"</f>
        <v>1552382727726028</v>
      </c>
      <c r="C5969" t="s">
        <v>40</v>
      </c>
      <c r="D5969">
        <v>3.8285809999999998</v>
      </c>
      <c r="E5969">
        <v>0.49397489999999999</v>
      </c>
      <c r="F5969" t="s">
        <v>43</v>
      </c>
      <c r="G5969">
        <v>-300.8519</v>
      </c>
      <c r="H5969" s="1">
        <v>-3.51404E-6</v>
      </c>
      <c r="I5969">
        <v>-32.747959999999999</v>
      </c>
      <c r="J5969">
        <v>-300.87459999999999</v>
      </c>
      <c r="K5969">
        <v>1.1095250000000001</v>
      </c>
      <c r="L5969">
        <v>-17.39621</v>
      </c>
      <c r="M5969">
        <v>-4.9610849999999998E-2</v>
      </c>
      <c r="N5969">
        <v>0</v>
      </c>
      <c r="O5969">
        <v>-0.99874419999999997</v>
      </c>
      <c r="P5969">
        <v>-1.497619E-2</v>
      </c>
      <c r="Q5969">
        <v>0.16054209999999999</v>
      </c>
      <c r="R5969">
        <v>-0.9869154</v>
      </c>
      <c r="S5969">
        <v>2.7770999999999998E-3</v>
      </c>
      <c r="T5969">
        <v>-0.220083</v>
      </c>
      <c r="U5969">
        <v>-3.075806</v>
      </c>
      <c r="V5969">
        <v>-3.3861349999999998E-2</v>
      </c>
      <c r="W5969">
        <v>0.167454399999999</v>
      </c>
      <c r="X5969">
        <v>0.98529820000000001</v>
      </c>
      <c r="Y5969">
        <v>-5.0511449999999999E-2</v>
      </c>
      <c r="Z5969">
        <v>7.1193210000000007E-2</v>
      </c>
      <c r="AA5969">
        <v>0.99618280000000003</v>
      </c>
      <c r="AB5969">
        <v>16</v>
      </c>
      <c r="AC5969">
        <v>2.2699999999986099E-2</v>
      </c>
      <c r="AD5969">
        <v>-1.10952851404</v>
      </c>
      <c r="AE5969">
        <v>-15.351749999999999</v>
      </c>
      <c r="AF5969">
        <v>-0.78022848138460399</v>
      </c>
      <c r="AG5969">
        <v>-1.10952851404</v>
      </c>
      <c r="AH5969">
        <v>15.252050272029599</v>
      </c>
      <c r="AI5969">
        <v>94.155305957769301</v>
      </c>
      <c r="AJ5969">
        <v>92.928449895644306</v>
      </c>
      <c r="AK5969">
        <v>15.3122450185187</v>
      </c>
      <c r="AL5969">
        <v>80.360155189530602</v>
      </c>
      <c r="AM5969">
        <v>91.968286540976706</v>
      </c>
      <c r="AN5969">
        <v>1.0000000550132</v>
      </c>
    </row>
    <row r="5970" spans="1:40" x14ac:dyDescent="0.25">
      <c r="A5970" t="str">
        <f>"20190312172527759"</f>
        <v>20190312172527759</v>
      </c>
      <c r="B5970" t="str">
        <f>"1552382727756285"</f>
        <v>1552382727756285</v>
      </c>
      <c r="C5970" t="s">
        <v>40</v>
      </c>
      <c r="D5970">
        <v>3.7980879999999999</v>
      </c>
      <c r="E5970">
        <v>0.49420269999999999</v>
      </c>
      <c r="F5970" t="s">
        <v>43</v>
      </c>
      <c r="G5970">
        <v>-300.85610000000003</v>
      </c>
      <c r="H5970" s="1">
        <v>-3.4943020000000002E-6</v>
      </c>
      <c r="I5970">
        <v>-32.79654</v>
      </c>
      <c r="J5970">
        <v>-300.88389999999998</v>
      </c>
      <c r="K5970">
        <v>1.1095269999999999</v>
      </c>
      <c r="L5970">
        <v>-17.559999999999999</v>
      </c>
      <c r="M5970">
        <v>-5.055399E-2</v>
      </c>
      <c r="N5970">
        <v>0</v>
      </c>
      <c r="O5970">
        <v>-0.99869839999999999</v>
      </c>
      <c r="P5970">
        <v>-1.47254E-2</v>
      </c>
      <c r="Q5970">
        <v>0.16111700000000001</v>
      </c>
      <c r="R5970">
        <v>-0.98682539999999996</v>
      </c>
      <c r="S5970">
        <v>3.692627E-3</v>
      </c>
      <c r="T5970">
        <v>-0.2216032</v>
      </c>
      <c r="U5970">
        <v>-3.0758670000000001</v>
      </c>
      <c r="V5970">
        <v>-3.5055830000000003E-2</v>
      </c>
      <c r="W5970">
        <v>0.16780980000000001</v>
      </c>
      <c r="X5970">
        <v>0.98519590000000001</v>
      </c>
      <c r="Y5970">
        <v>-5.1750919999999999E-2</v>
      </c>
      <c r="Z5970">
        <v>7.1673619999999993E-2</v>
      </c>
      <c r="AA5970">
        <v>0.99608470000000005</v>
      </c>
      <c r="AB5970">
        <v>16</v>
      </c>
      <c r="AC5970">
        <v>2.7799999999956498E-2</v>
      </c>
      <c r="AD5970">
        <v>-1.1095304943019999</v>
      </c>
      <c r="AE5970">
        <v>-15.23654</v>
      </c>
      <c r="AF5970">
        <v>-0.79384041381193804</v>
      </c>
      <c r="AG5970">
        <v>-1.1095304943019999</v>
      </c>
      <c r="AH5970">
        <v>15.1353913771159</v>
      </c>
      <c r="AI5970">
        <v>94.186948885427498</v>
      </c>
      <c r="AJ5970">
        <v>93.002371424531205</v>
      </c>
      <c r="AK5970">
        <v>15.196753359150801</v>
      </c>
      <c r="AL5970">
        <v>80.339499462792901</v>
      </c>
      <c r="AM5970">
        <v>92.037872934642294</v>
      </c>
      <c r="AN5970">
        <v>1.0000000007849099</v>
      </c>
    </row>
    <row r="5971" spans="1:40" x14ac:dyDescent="0.25">
      <c r="A5971" t="str">
        <f>"20190312172527782"</f>
        <v>20190312172527782</v>
      </c>
      <c r="B5971" t="str">
        <f>"1552382727776695"</f>
        <v>1552382727776695</v>
      </c>
      <c r="C5971" t="s">
        <v>40</v>
      </c>
      <c r="D5971">
        <v>3.8128190000000002</v>
      </c>
      <c r="E5971">
        <v>0.49425720000000001</v>
      </c>
      <c r="F5971" t="s">
        <v>43</v>
      </c>
      <c r="G5971">
        <v>-300.85939999999999</v>
      </c>
      <c r="H5971" s="1">
        <v>-3.4223759999999998E-6</v>
      </c>
      <c r="I5971">
        <v>-32.966270000000002</v>
      </c>
      <c r="J5971">
        <v>-300.89350000000002</v>
      </c>
      <c r="K5971">
        <v>1.109532</v>
      </c>
      <c r="L5971">
        <v>-17.729220000000002</v>
      </c>
      <c r="M5971">
        <v>-5.142029E-2</v>
      </c>
      <c r="N5971">
        <v>0</v>
      </c>
      <c r="O5971">
        <v>-0.99865590000000004</v>
      </c>
      <c r="P5971">
        <v>-1.453141E-2</v>
      </c>
      <c r="Q5971">
        <v>0.16150980000000001</v>
      </c>
      <c r="R5971">
        <v>-0.98676430000000004</v>
      </c>
      <c r="S5971">
        <v>4.8828129999999997E-3</v>
      </c>
      <c r="T5971">
        <v>-0.22154879999999999</v>
      </c>
      <c r="U5971">
        <v>-3.0762939999999999</v>
      </c>
      <c r="V5971">
        <v>-3.6120270000000003E-2</v>
      </c>
      <c r="W5971">
        <v>0.16796820000000001</v>
      </c>
      <c r="X5971">
        <v>0.98513039999999996</v>
      </c>
      <c r="Y5971">
        <v>-5.3002269999999997E-2</v>
      </c>
      <c r="Z5971">
        <v>7.1639099999999997E-2</v>
      </c>
      <c r="AA5971">
        <v>0.99602139999999995</v>
      </c>
      <c r="AB5971">
        <v>16</v>
      </c>
      <c r="AC5971">
        <v>3.41000000000235E-2</v>
      </c>
      <c r="AD5971">
        <v>-1.1095354223759999</v>
      </c>
      <c r="AE5971">
        <v>-15.23705</v>
      </c>
      <c r="AF5971">
        <v>-0.81325275693542798</v>
      </c>
      <c r="AG5971">
        <v>-1.1095354223759999</v>
      </c>
      <c r="AH5971">
        <v>15.134886300962901</v>
      </c>
      <c r="AI5971">
        <v>94.186822954261999</v>
      </c>
      <c r="AJ5971">
        <v>93.075753703719599</v>
      </c>
      <c r="AK5971">
        <v>15.197277132540799</v>
      </c>
      <c r="AL5971">
        <v>80.330292616230906</v>
      </c>
      <c r="AM5971">
        <v>92.099836096438594</v>
      </c>
      <c r="AN5971">
        <v>0.99999994756013499</v>
      </c>
    </row>
    <row r="5972" spans="1:40" x14ac:dyDescent="0.25">
      <c r="A5972" t="str">
        <f>"20190312172527804"</f>
        <v>20190312172527804</v>
      </c>
      <c r="B5972" t="str">
        <f>"1552382727796215"</f>
        <v>1552382727796215</v>
      </c>
      <c r="C5972" t="s">
        <v>40</v>
      </c>
      <c r="D5972">
        <v>3.8864540000000001</v>
      </c>
      <c r="E5972">
        <v>0.49431629999999899</v>
      </c>
      <c r="F5972" t="s">
        <v>43</v>
      </c>
      <c r="G5972">
        <v>-300.8621</v>
      </c>
      <c r="H5972" s="1">
        <v>-3.3332289999999999E-6</v>
      </c>
      <c r="I5972">
        <v>-33.175730000000001</v>
      </c>
      <c r="J5972">
        <v>-300.90289999999999</v>
      </c>
      <c r="K5972">
        <v>1.1095389999999901</v>
      </c>
      <c r="L5972">
        <v>-17.894679999999902</v>
      </c>
      <c r="M5972">
        <v>-5.2157040000000002E-2</v>
      </c>
      <c r="N5972">
        <v>0</v>
      </c>
      <c r="O5972">
        <v>-0.99861909999999998</v>
      </c>
      <c r="P5972">
        <v>-1.4012719999999999E-2</v>
      </c>
      <c r="Q5972">
        <v>0.1613523</v>
      </c>
      <c r="R5972">
        <v>-0.98679749999999999</v>
      </c>
      <c r="S5972">
        <v>6.2561040000000002E-3</v>
      </c>
      <c r="T5972">
        <v>-0.22098799999999999</v>
      </c>
      <c r="U5972">
        <v>-3.076508</v>
      </c>
      <c r="V5972">
        <v>-3.7385420000000003E-2</v>
      </c>
      <c r="W5972">
        <v>0.1675828</v>
      </c>
      <c r="X5972">
        <v>0.98514889999999999</v>
      </c>
      <c r="Y5972">
        <v>-5.41834E-2</v>
      </c>
      <c r="Z5972">
        <v>7.1447360000000001E-2</v>
      </c>
      <c r="AA5972">
        <v>0.99597159999999996</v>
      </c>
      <c r="AB5972">
        <v>17</v>
      </c>
      <c r="AC5972">
        <v>4.0799999999990101E-2</v>
      </c>
      <c r="AD5972">
        <v>-1.10954233322899</v>
      </c>
      <c r="AE5972">
        <v>-15.28105</v>
      </c>
      <c r="AF5972">
        <v>-0.83338094349151304</v>
      </c>
      <c r="AG5972">
        <v>-1.10954233322899</v>
      </c>
      <c r="AH5972">
        <v>15.1781025345893</v>
      </c>
      <c r="AI5972">
        <v>94.174705719820096</v>
      </c>
      <c r="AJ5972">
        <v>93.1427718462607</v>
      </c>
      <c r="AK5972">
        <v>15.241404283618699</v>
      </c>
      <c r="AL5972">
        <v>80.352692522407196</v>
      </c>
      <c r="AM5972">
        <v>92.173274928711805</v>
      </c>
      <c r="AN5972">
        <v>1.0000000098278099</v>
      </c>
    </row>
    <row r="5973" spans="1:40" x14ac:dyDescent="0.25">
      <c r="A5973" t="str">
        <f>"20190312172527826"</f>
        <v>20190312172527826</v>
      </c>
      <c r="B5973" t="str">
        <f>"1552382727816710"</f>
        <v>1552382727816710</v>
      </c>
      <c r="C5973" t="s">
        <v>40</v>
      </c>
      <c r="D5973">
        <v>3.831286</v>
      </c>
      <c r="E5973">
        <v>0.4943632</v>
      </c>
      <c r="F5973" t="s">
        <v>43</v>
      </c>
      <c r="G5973">
        <v>-300.86489999999998</v>
      </c>
      <c r="H5973" s="1">
        <v>-3.3195480000000002E-6</v>
      </c>
      <c r="I5973">
        <v>-33.209380000000003</v>
      </c>
      <c r="J5973">
        <v>-300.91239999999999</v>
      </c>
      <c r="K5973">
        <v>1.1095440000000001</v>
      </c>
      <c r="L5973">
        <v>-18.060269999999999</v>
      </c>
      <c r="M5973">
        <v>-5.2812400000000002E-2</v>
      </c>
      <c r="N5973">
        <v>0</v>
      </c>
      <c r="O5973">
        <v>-0.99858599999999997</v>
      </c>
      <c r="P5973">
        <v>-1.3114570000000001E-2</v>
      </c>
      <c r="Q5973">
        <v>0.1611235</v>
      </c>
      <c r="R5973">
        <v>-0.98684740000000004</v>
      </c>
      <c r="S5973">
        <v>7.6293949999999998E-3</v>
      </c>
      <c r="T5973">
        <v>-0.22290479999999999</v>
      </c>
      <c r="U5973">
        <v>-3.0766909999999998</v>
      </c>
      <c r="V5973">
        <v>-3.8947000000000002E-2</v>
      </c>
      <c r="W5973">
        <v>0.1671357</v>
      </c>
      <c r="X5973">
        <v>0.98516429999999999</v>
      </c>
      <c r="Y5973">
        <v>-5.5282919999999999E-2</v>
      </c>
      <c r="Z5973">
        <v>7.2053629999999994E-2</v>
      </c>
      <c r="AA5973">
        <v>0.99586750000000002</v>
      </c>
      <c r="AB5973">
        <v>17</v>
      </c>
      <c r="AC5973">
        <v>4.7500000000013601E-2</v>
      </c>
      <c r="AD5973">
        <v>-1.1095473195479999</v>
      </c>
      <c r="AE5973">
        <v>-15.149109999999901</v>
      </c>
      <c r="AF5973">
        <v>-0.84298727032868304</v>
      </c>
      <c r="AG5973">
        <v>-1.1095473195479999</v>
      </c>
      <c r="AH5973">
        <v>15.044754671777399</v>
      </c>
      <c r="AI5973">
        <v>94.211333056869194</v>
      </c>
      <c r="AJ5973">
        <v>93.207042053356503</v>
      </c>
      <c r="AK5973">
        <v>15.1091484183001</v>
      </c>
      <c r="AL5973">
        <v>80.378675398717604</v>
      </c>
      <c r="AM5973">
        <v>92.263924178459007</v>
      </c>
      <c r="AN5973">
        <v>0.99999995450898804</v>
      </c>
    </row>
    <row r="5974" spans="1:40" x14ac:dyDescent="0.25">
      <c r="A5974" t="str">
        <f>"20190312172527848"</f>
        <v>20190312172527848</v>
      </c>
      <c r="B5974" t="str">
        <f>"1552382727836231"</f>
        <v>1552382727836231</v>
      </c>
      <c r="C5974" t="s">
        <v>40</v>
      </c>
      <c r="D5974">
        <v>3.8128820000000001</v>
      </c>
      <c r="E5974">
        <v>0.49443330000000002</v>
      </c>
      <c r="F5974" t="s">
        <v>43</v>
      </c>
      <c r="G5974">
        <v>-300.86439999999999</v>
      </c>
      <c r="H5974" s="1">
        <v>-3.3024069999999999E-6</v>
      </c>
      <c r="I5974">
        <v>-33.249040000000001</v>
      </c>
      <c r="J5974">
        <v>-300.9221</v>
      </c>
      <c r="K5974">
        <v>1.1095459999999999</v>
      </c>
      <c r="L5974">
        <v>-18.230589999999999</v>
      </c>
      <c r="M5974">
        <v>-5.3404519999999997E-2</v>
      </c>
      <c r="N5974">
        <v>0</v>
      </c>
      <c r="O5974">
        <v>-0.99855590000000005</v>
      </c>
      <c r="P5974">
        <v>-1.343167E-2</v>
      </c>
      <c r="Q5974">
        <v>0.16174179999999999</v>
      </c>
      <c r="R5974">
        <v>-0.98674200000000001</v>
      </c>
      <c r="S5974">
        <v>9.7045900000000008E-3</v>
      </c>
      <c r="T5974">
        <v>-0.22476280000000001</v>
      </c>
      <c r="U5974">
        <v>-3.076813</v>
      </c>
      <c r="V5974">
        <v>-3.9221880000000001E-2</v>
      </c>
      <c r="W5974">
        <v>0.1675442</v>
      </c>
      <c r="X5974">
        <v>0.98508410000000002</v>
      </c>
      <c r="Y5974">
        <v>-5.6546289999999999E-2</v>
      </c>
      <c r="Z5974">
        <v>7.2642100000000001E-2</v>
      </c>
      <c r="AA5974">
        <v>0.99575380000000002</v>
      </c>
      <c r="AB5974">
        <v>17</v>
      </c>
      <c r="AC5974">
        <v>5.7700000000011097E-2</v>
      </c>
      <c r="AD5974">
        <v>-1.109549302407</v>
      </c>
      <c r="AE5974">
        <v>-15.01845</v>
      </c>
      <c r="AF5974">
        <v>-0.85501771508152302</v>
      </c>
      <c r="AG5974">
        <v>-1.109549302407</v>
      </c>
      <c r="AH5974">
        <v>14.912542625353799</v>
      </c>
      <c r="AI5974">
        <v>94.248229713735597</v>
      </c>
      <c r="AJ5974">
        <v>93.281488074150005</v>
      </c>
      <c r="AK5974">
        <v>14.978186889626199</v>
      </c>
      <c r="AL5974">
        <v>80.354936243143399</v>
      </c>
      <c r="AM5974">
        <v>92.280071112139893</v>
      </c>
      <c r="AN5974">
        <v>1.0000000494485899</v>
      </c>
    </row>
    <row r="5975" spans="1:40" x14ac:dyDescent="0.25">
      <c r="A5975" t="str">
        <f>"20190312172527870"</f>
        <v>20190312172527870</v>
      </c>
      <c r="B5975" t="str">
        <f>"1552382727866490"</f>
        <v>1552382727866490</v>
      </c>
      <c r="C5975" t="s">
        <v>40</v>
      </c>
      <c r="D5975">
        <v>3.807525</v>
      </c>
      <c r="E5975">
        <v>0.49453979999999997</v>
      </c>
      <c r="F5975" t="s">
        <v>43</v>
      </c>
      <c r="G5975">
        <v>-300.87439999999998</v>
      </c>
      <c r="H5975" s="1">
        <v>-3.196246E-6</v>
      </c>
      <c r="I5975">
        <v>-33.502679999999998</v>
      </c>
      <c r="J5975">
        <v>-300.93200000000002</v>
      </c>
      <c r="K5975">
        <v>1.10955</v>
      </c>
      <c r="L5975">
        <v>-18.404599999999999</v>
      </c>
      <c r="M5975">
        <v>-5.3920849999999999E-2</v>
      </c>
      <c r="N5975">
        <v>0</v>
      </c>
      <c r="O5975">
        <v>-0.99852940000000001</v>
      </c>
      <c r="P5975">
        <v>-1.368403E-2</v>
      </c>
      <c r="Q5975">
        <v>0.16243869999999999</v>
      </c>
      <c r="R5975">
        <v>-0.98662419999999995</v>
      </c>
      <c r="S5975">
        <v>9.6130369999999996E-3</v>
      </c>
      <c r="T5975">
        <v>-0.2235568</v>
      </c>
      <c r="U5975">
        <v>-3.0770870000000001</v>
      </c>
      <c r="V5975">
        <v>-3.9484810000000002E-2</v>
      </c>
      <c r="W5975">
        <v>0.16804340000000001</v>
      </c>
      <c r="X5975">
        <v>0.98498850000000004</v>
      </c>
      <c r="Y5975">
        <v>-5.7032659999999999E-2</v>
      </c>
      <c r="Z5975">
        <v>7.2243950000000001E-2</v>
      </c>
      <c r="AA5975">
        <v>0.99575499999999995</v>
      </c>
      <c r="AB5975">
        <v>17</v>
      </c>
      <c r="AC5975">
        <v>5.7600000000036199E-2</v>
      </c>
      <c r="AD5975">
        <v>-1.1095531962459999</v>
      </c>
      <c r="AE5975">
        <v>-15.09808</v>
      </c>
      <c r="AF5975">
        <v>-0.86694827409374098</v>
      </c>
      <c r="AG5975">
        <v>-1.1095531962459999</v>
      </c>
      <c r="AH5975">
        <v>14.992042064176101</v>
      </c>
      <c r="AI5975">
        <v>94.2256800728006</v>
      </c>
      <c r="AJ5975">
        <v>93.309570484724304</v>
      </c>
      <c r="AK5975">
        <v>15.0580222094164</v>
      </c>
      <c r="AL5975">
        <v>80.325922260036094</v>
      </c>
      <c r="AM5975">
        <v>92.295562171270007</v>
      </c>
      <c r="AN5975">
        <v>0.99999998981827298</v>
      </c>
    </row>
    <row r="5976" spans="1:40" x14ac:dyDescent="0.25">
      <c r="A5976" t="str">
        <f>"20190312172527905"</f>
        <v>20190312172527905</v>
      </c>
      <c r="B5976" t="str">
        <f>"1552382727896353"</f>
        <v>1552382727896353</v>
      </c>
      <c r="C5976" t="s">
        <v>40</v>
      </c>
      <c r="D5976">
        <v>3.8205960000000001</v>
      </c>
      <c r="E5976">
        <v>0.49461650000000001</v>
      </c>
      <c r="F5976" t="s">
        <v>43</v>
      </c>
      <c r="G5976">
        <v>-300.8886</v>
      </c>
      <c r="H5976" s="1">
        <v>-3.0861699999999998E-6</v>
      </c>
      <c r="I5976">
        <v>-33.768070000000002</v>
      </c>
      <c r="J5976">
        <v>-300.947</v>
      </c>
      <c r="K5976">
        <v>1.1095600000000001</v>
      </c>
      <c r="L5976">
        <v>-18.66797</v>
      </c>
      <c r="M5976">
        <v>-5.4527840000000001E-2</v>
      </c>
      <c r="N5976">
        <v>0</v>
      </c>
      <c r="O5976">
        <v>-0.998498</v>
      </c>
      <c r="P5976">
        <v>-1.3333360000000001E-2</v>
      </c>
      <c r="Q5976">
        <v>0.16229660000000001</v>
      </c>
      <c r="R5976">
        <v>-0.98665250000000004</v>
      </c>
      <c r="S5976">
        <v>8.6975100000000003E-3</v>
      </c>
      <c r="T5976">
        <v>-0.22225010000000001</v>
      </c>
      <c r="U5976">
        <v>-3.0773929999999998</v>
      </c>
      <c r="V5976">
        <v>-4.0455770000000002E-2</v>
      </c>
      <c r="W5976">
        <v>0.16761799999999999</v>
      </c>
      <c r="X5976">
        <v>0.98502160000000005</v>
      </c>
      <c r="Y5976">
        <v>-5.7343020000000001E-2</v>
      </c>
      <c r="Z5976">
        <v>7.1812630000000002E-2</v>
      </c>
      <c r="AA5976">
        <v>0.9957684</v>
      </c>
      <c r="AB5976">
        <v>17</v>
      </c>
      <c r="AC5976">
        <v>5.8400000000005899E-2</v>
      </c>
      <c r="AD5976">
        <v>-1.1095630861700001</v>
      </c>
      <c r="AE5976">
        <v>-15.100099999999999</v>
      </c>
      <c r="AF5976">
        <v>-0.87696566104899298</v>
      </c>
      <c r="AG5976">
        <v>-1.1095630861700001</v>
      </c>
      <c r="AH5976">
        <v>14.993495271563599</v>
      </c>
      <c r="AI5976">
        <v>94.225147853566</v>
      </c>
      <c r="AJ5976">
        <v>93.347401593674604</v>
      </c>
      <c r="AK5976">
        <v>15.060049783159799</v>
      </c>
      <c r="AL5976">
        <v>80.350646754716806</v>
      </c>
      <c r="AM5976">
        <v>92.351870126272402</v>
      </c>
      <c r="AN5976">
        <v>1.0000000078584199</v>
      </c>
    </row>
    <row r="5977" spans="1:40" x14ac:dyDescent="0.25">
      <c r="A5977" t="str">
        <f>"20190312172527926"</f>
        <v>20190312172527926</v>
      </c>
      <c r="B5977" t="str">
        <f>"1552382727916849"</f>
        <v>1552382727916849</v>
      </c>
      <c r="C5977" t="s">
        <v>40</v>
      </c>
      <c r="D5977">
        <v>3.7915329999999998</v>
      </c>
      <c r="E5977">
        <v>0.49462159999999999</v>
      </c>
      <c r="F5977" t="s">
        <v>43</v>
      </c>
      <c r="G5977">
        <v>-300.9024</v>
      </c>
      <c r="H5977" s="1">
        <v>-3.0270419999999999E-6</v>
      </c>
      <c r="I5977">
        <v>-33.914470000000001</v>
      </c>
      <c r="J5977">
        <v>-300.95679999999999</v>
      </c>
      <c r="K5977">
        <v>1.109575</v>
      </c>
      <c r="L5977">
        <v>-18.839020000000001</v>
      </c>
      <c r="M5977">
        <v>-5.4803869999999998E-2</v>
      </c>
      <c r="N5977">
        <v>0</v>
      </c>
      <c r="O5977">
        <v>-0.99848369999999997</v>
      </c>
      <c r="P5977">
        <v>-1.286939E-2</v>
      </c>
      <c r="Q5977">
        <v>0.16263269999999999</v>
      </c>
      <c r="R5977">
        <v>-0.98660300000000001</v>
      </c>
      <c r="S5977">
        <v>9.0026859999999993E-3</v>
      </c>
      <c r="T5977">
        <v>-0.2239681</v>
      </c>
      <c r="U5977">
        <v>-3.0775450000000002</v>
      </c>
      <c r="V5977">
        <v>-4.1204280000000003E-2</v>
      </c>
      <c r="W5977">
        <v>0.16777449999999999</v>
      </c>
      <c r="X5977">
        <v>0.9849639</v>
      </c>
      <c r="Y5977">
        <v>-5.7717449999999997E-2</v>
      </c>
      <c r="Z5977">
        <v>7.2358839999999994E-2</v>
      </c>
      <c r="AA5977">
        <v>0.99570720000000001</v>
      </c>
      <c r="AB5977">
        <v>17</v>
      </c>
      <c r="AC5977">
        <v>5.4399999999986903E-2</v>
      </c>
      <c r="AD5977">
        <v>-1.1095780270419999</v>
      </c>
      <c r="AE5977">
        <v>-15.07545</v>
      </c>
      <c r="AF5977">
        <v>-0.87577812421187995</v>
      </c>
      <c r="AG5977">
        <v>-1.1095780270419999</v>
      </c>
      <c r="AH5977">
        <v>14.9687241449135</v>
      </c>
      <c r="AI5977">
        <v>94.232166982691098</v>
      </c>
      <c r="AJ5977">
        <v>93.348398436694794</v>
      </c>
      <c r="AK5977">
        <v>15.035320191052101</v>
      </c>
      <c r="AL5977">
        <v>80.3415508875472</v>
      </c>
      <c r="AM5977">
        <v>92.395474205225099</v>
      </c>
      <c r="AN5977">
        <v>0.99999997992188905</v>
      </c>
    </row>
    <row r="5978" spans="1:40" x14ac:dyDescent="0.25">
      <c r="A5978" t="str">
        <f>"20190312172527949"</f>
        <v>20190312172527949</v>
      </c>
      <c r="B5978" t="str">
        <f>"1552382727946128"</f>
        <v>1552382727946128</v>
      </c>
      <c r="C5978" t="s">
        <v>40</v>
      </c>
      <c r="D5978">
        <v>3.8172519999999999</v>
      </c>
      <c r="E5978">
        <v>0.49470890000000001</v>
      </c>
      <c r="F5978" t="s">
        <v>43</v>
      </c>
      <c r="G5978">
        <v>-300.90480000000002</v>
      </c>
      <c r="H5978" s="1">
        <v>-2.9249920000000001E-6</v>
      </c>
      <c r="I5978">
        <v>-34.153849999999998</v>
      </c>
      <c r="J5978">
        <v>-300.96660000000003</v>
      </c>
      <c r="K5978">
        <v>1.109588</v>
      </c>
      <c r="L5978">
        <v>-19.01239</v>
      </c>
      <c r="M5978">
        <v>-5.5006230000000003E-2</v>
      </c>
      <c r="N5978">
        <v>0</v>
      </c>
      <c r="O5978">
        <v>-0.99847339999999996</v>
      </c>
      <c r="P5978">
        <v>-1.26085E-2</v>
      </c>
      <c r="Q5978">
        <v>0.16316710000000001</v>
      </c>
      <c r="R5978">
        <v>-0.98651820000000001</v>
      </c>
      <c r="S5978">
        <v>1.043701E-2</v>
      </c>
      <c r="T5978">
        <v>-0.2229785</v>
      </c>
      <c r="U5978">
        <v>-3.0776370000000002</v>
      </c>
      <c r="V5978">
        <v>-4.1675589999999998E-2</v>
      </c>
      <c r="W5978">
        <v>0.1681318</v>
      </c>
      <c r="X5978">
        <v>0.98488319999999996</v>
      </c>
      <c r="Y5978">
        <v>-5.8383740000000003E-2</v>
      </c>
      <c r="Z5978">
        <v>7.2035979999999999E-2</v>
      </c>
      <c r="AA5978">
        <v>0.99569180000000002</v>
      </c>
      <c r="AB5978">
        <v>18</v>
      </c>
      <c r="AC5978">
        <v>6.1800000000005101E-2</v>
      </c>
      <c r="AD5978">
        <v>-1.109590924992</v>
      </c>
      <c r="AE5978">
        <v>-15.14146</v>
      </c>
      <c r="AF5978">
        <v>-0.88981315915440795</v>
      </c>
      <c r="AG5978">
        <v>-1.109590924992</v>
      </c>
      <c r="AH5978">
        <v>15.0343996388929</v>
      </c>
      <c r="AI5978">
        <v>94.213628022642993</v>
      </c>
      <c r="AJ5978">
        <v>93.387107965638293</v>
      </c>
      <c r="AK5978">
        <v>15.1015274717815</v>
      </c>
      <c r="AL5978">
        <v>80.320784673288102</v>
      </c>
      <c r="AM5978">
        <v>92.423040356880904</v>
      </c>
      <c r="AN5978">
        <v>1.0000000373076601</v>
      </c>
    </row>
    <row r="5979" spans="1:40" x14ac:dyDescent="0.25">
      <c r="A5979" t="str">
        <f>"20190312172527971"</f>
        <v>20190312172527971</v>
      </c>
      <c r="B5979" t="str">
        <f>"1552382727966627"</f>
        <v>1552382727966627</v>
      </c>
      <c r="C5979" t="s">
        <v>40</v>
      </c>
      <c r="D5979">
        <v>3.807471</v>
      </c>
      <c r="E5979">
        <v>0.49473</v>
      </c>
      <c r="F5979" t="s">
        <v>43</v>
      </c>
      <c r="G5979">
        <v>-300.90949999999998</v>
      </c>
      <c r="H5979" s="1">
        <v>-2.828121E-6</v>
      </c>
      <c r="I5979">
        <v>-34.38259</v>
      </c>
      <c r="J5979">
        <v>-300.97669999999999</v>
      </c>
      <c r="K5979">
        <v>1.109612</v>
      </c>
      <c r="L5979">
        <v>-19.192440000000001</v>
      </c>
      <c r="M5979">
        <v>-5.5131520000000003E-2</v>
      </c>
      <c r="N5979">
        <v>0</v>
      </c>
      <c r="O5979">
        <v>-0.9984672</v>
      </c>
      <c r="P5979">
        <v>-1.239296E-2</v>
      </c>
      <c r="Q5979">
        <v>0.162970899999999</v>
      </c>
      <c r="R5979">
        <v>-0.98655300000000001</v>
      </c>
      <c r="S5979">
        <v>1.141357E-2</v>
      </c>
      <c r="T5979">
        <v>-0.22219549999999999</v>
      </c>
      <c r="U5979">
        <v>-3.0778810000000001</v>
      </c>
      <c r="V5979">
        <v>-4.2032859999999998E-2</v>
      </c>
      <c r="W5979">
        <v>0.16775950000000001</v>
      </c>
      <c r="X5979">
        <v>0.98493149999999996</v>
      </c>
      <c r="Y5979">
        <v>-5.8824679999999997E-2</v>
      </c>
      <c r="Z5979">
        <v>7.1776960000000001E-2</v>
      </c>
      <c r="AA5979">
        <v>0.99568460000000003</v>
      </c>
      <c r="AB5979">
        <v>18</v>
      </c>
      <c r="AC5979">
        <v>6.7200000000013901E-2</v>
      </c>
      <c r="AD5979">
        <v>-1.1096148281209901</v>
      </c>
      <c r="AE5979">
        <v>-15.190149999999999</v>
      </c>
      <c r="AF5979">
        <v>-0.89976271311634404</v>
      </c>
      <c r="AG5979">
        <v>-1.1096148281209901</v>
      </c>
      <c r="AH5979">
        <v>15.0828604742133</v>
      </c>
      <c r="AI5979">
        <v>94.200112085410197</v>
      </c>
      <c r="AJ5979">
        <v>93.413913649459801</v>
      </c>
      <c r="AK5979">
        <v>15.1503629689617</v>
      </c>
      <c r="AL5979">
        <v>80.342423221633197</v>
      </c>
      <c r="AM5979">
        <v>92.443667447806902</v>
      </c>
      <c r="AN5979">
        <v>1.00000003542613</v>
      </c>
    </row>
    <row r="5980" spans="1:40" x14ac:dyDescent="0.25">
      <c r="A5980" t="str">
        <f>"20190312172527994"</f>
        <v>20190312172527994</v>
      </c>
      <c r="B5980" t="str">
        <f>"1552382727986144"</f>
        <v>1552382727986144</v>
      </c>
      <c r="C5980" t="s">
        <v>40</v>
      </c>
      <c r="D5980">
        <v>3.8416350000000001</v>
      </c>
      <c r="E5980">
        <v>0.49474810000000002</v>
      </c>
      <c r="F5980" t="s">
        <v>43</v>
      </c>
      <c r="G5980">
        <v>-300.91559999999998</v>
      </c>
      <c r="H5980" s="1">
        <v>-2.790253E-6</v>
      </c>
      <c r="I5980">
        <v>-34.474609999999998</v>
      </c>
      <c r="J5980">
        <v>-300.98689999999999</v>
      </c>
      <c r="K5980">
        <v>1.1096220000000001</v>
      </c>
      <c r="L5980">
        <v>-19.376860000000001</v>
      </c>
      <c r="M5980">
        <v>-5.5175139999999998E-2</v>
      </c>
      <c r="N5980">
        <v>0</v>
      </c>
      <c r="O5980">
        <v>-0.99846579999999996</v>
      </c>
      <c r="P5980">
        <v>-1.1183729999999999E-2</v>
      </c>
      <c r="Q5980">
        <v>0.16251399999999999</v>
      </c>
      <c r="R5980">
        <v>-0.98664280000000004</v>
      </c>
      <c r="S5980">
        <v>1.229858E-2</v>
      </c>
      <c r="T5980">
        <v>-0.22348689999999999</v>
      </c>
      <c r="U5980">
        <v>-3.0779719999999999</v>
      </c>
      <c r="V5980">
        <v>-4.3303710000000002E-2</v>
      </c>
      <c r="W5980">
        <v>0.16712959999999999</v>
      </c>
      <c r="X5980">
        <v>0.98498350000000001</v>
      </c>
      <c r="Y5980">
        <v>-5.9154310000000002E-2</v>
      </c>
      <c r="Z5980">
        <v>7.2188820000000001E-2</v>
      </c>
      <c r="AA5980">
        <v>0.9956353</v>
      </c>
      <c r="AB5980">
        <v>18</v>
      </c>
      <c r="AC5980">
        <v>7.1300000000007899E-2</v>
      </c>
      <c r="AD5980">
        <v>-1.1096247902530001</v>
      </c>
      <c r="AE5980">
        <v>-15.0977499999999</v>
      </c>
      <c r="AF5980">
        <v>-0.89936296371595803</v>
      </c>
      <c r="AG5980">
        <v>-1.1096247902530001</v>
      </c>
      <c r="AH5980">
        <v>14.9898485706429</v>
      </c>
      <c r="AI5980">
        <v>94.226031202521995</v>
      </c>
      <c r="AJ5980">
        <v>93.433523910232296</v>
      </c>
      <c r="AK5980">
        <v>15.057744887148701</v>
      </c>
      <c r="AL5980">
        <v>80.379030378366906</v>
      </c>
      <c r="AM5980">
        <v>92.517324553039998</v>
      </c>
      <c r="AN5980">
        <v>1.00000000488408</v>
      </c>
    </row>
    <row r="5981" spans="1:40" x14ac:dyDescent="0.25">
      <c r="A5981" t="str">
        <f>"20190312172528016"</f>
        <v>20190312172528016</v>
      </c>
      <c r="B5981" t="str">
        <f>"1552382728006640"</f>
        <v>1552382728006640</v>
      </c>
      <c r="C5981" t="s">
        <v>40</v>
      </c>
      <c r="D5981">
        <v>3.7947489999999999</v>
      </c>
      <c r="E5981">
        <v>0.49473519999999999</v>
      </c>
      <c r="F5981" t="s">
        <v>43</v>
      </c>
      <c r="G5981">
        <v>-300.911</v>
      </c>
      <c r="H5981" s="1">
        <v>-2.774499E-6</v>
      </c>
      <c r="I5981">
        <v>-34.508479999999999</v>
      </c>
      <c r="J5981">
        <v>-300.9966</v>
      </c>
      <c r="K5981">
        <v>1.1096299999999999</v>
      </c>
      <c r="L5981">
        <v>-19.553070000000002</v>
      </c>
      <c r="M5981">
        <v>-5.5142570000000002E-2</v>
      </c>
      <c r="N5981">
        <v>0</v>
      </c>
      <c r="O5981">
        <v>-0.99846849999999998</v>
      </c>
      <c r="P5981">
        <v>-1.032574E-2</v>
      </c>
      <c r="Q5981">
        <v>0.16242679999999901</v>
      </c>
      <c r="R5981">
        <v>-0.98666690000000001</v>
      </c>
      <c r="S5981">
        <v>1.544189E-2</v>
      </c>
      <c r="T5981">
        <v>-0.22571240000000001</v>
      </c>
      <c r="U5981">
        <v>-3.0779719999999999</v>
      </c>
      <c r="V5981">
        <v>-4.414299E-2</v>
      </c>
      <c r="W5981">
        <v>0.16688420000000001</v>
      </c>
      <c r="X5981">
        <v>0.98498790000000003</v>
      </c>
      <c r="Y5981">
        <v>-6.0138129999999998E-2</v>
      </c>
      <c r="Z5981">
        <v>7.2901729999999998E-2</v>
      </c>
      <c r="AA5981">
        <v>0.99552430000000003</v>
      </c>
      <c r="AB5981">
        <v>18</v>
      </c>
      <c r="AC5981">
        <v>8.5599999999999399E-2</v>
      </c>
      <c r="AD5981">
        <v>-1.109632774499</v>
      </c>
      <c r="AE5981">
        <v>-14.955409999999899</v>
      </c>
      <c r="AF5981">
        <v>-0.90517484908395995</v>
      </c>
      <c r="AG5981">
        <v>-1.109632774499</v>
      </c>
      <c r="AH5981">
        <v>14.846207944150899</v>
      </c>
      <c r="AI5981">
        <v>94.266550382137794</v>
      </c>
      <c r="AJ5981">
        <v>93.489010643486296</v>
      </c>
      <c r="AK5981">
        <v>14.9151103489926</v>
      </c>
      <c r="AL5981">
        <v>80.393291494994003</v>
      </c>
      <c r="AM5981">
        <v>92.566037405212199</v>
      </c>
      <c r="AN5981">
        <v>1.0000000514610901</v>
      </c>
    </row>
    <row r="5982" spans="1:40" x14ac:dyDescent="0.25">
      <c r="A5982" t="str">
        <f>"20190312172528038"</f>
        <v>20190312172528038</v>
      </c>
      <c r="B5982" t="str">
        <f>"1552382728026160"</f>
        <v>1552382728026160</v>
      </c>
      <c r="C5982" t="s">
        <v>40</v>
      </c>
      <c r="D5982">
        <v>3.8084950000000002</v>
      </c>
      <c r="E5982">
        <v>0.49472939999999999</v>
      </c>
      <c r="F5982" t="s">
        <v>43</v>
      </c>
      <c r="G5982">
        <v>-300.90789999999998</v>
      </c>
      <c r="H5982" s="1">
        <v>-2.7353240000000001E-6</v>
      </c>
      <c r="I5982">
        <v>-34.597850000000001</v>
      </c>
      <c r="J5982">
        <v>-301.00670000000002</v>
      </c>
      <c r="K5982">
        <v>1.1096360000000001</v>
      </c>
      <c r="L5982">
        <v>-19.736999999999998</v>
      </c>
      <c r="M5982">
        <v>-5.5035670000000002E-2</v>
      </c>
      <c r="N5982">
        <v>0</v>
      </c>
      <c r="O5982">
        <v>-0.998475</v>
      </c>
      <c r="P5982">
        <v>-9.6778850000000007E-3</v>
      </c>
      <c r="Q5982">
        <v>0.16282199999999999</v>
      </c>
      <c r="R5982">
        <v>-0.98660829999999999</v>
      </c>
      <c r="S5982">
        <v>1.8157960000000001E-2</v>
      </c>
      <c r="T5982">
        <v>-0.2270259</v>
      </c>
      <c r="U5982">
        <v>-3.0780940000000001</v>
      </c>
      <c r="V5982">
        <v>-4.4693530000000002E-2</v>
      </c>
      <c r="W5982">
        <v>0.1671192</v>
      </c>
      <c r="X5982">
        <v>0.9849232</v>
      </c>
      <c r="Y5982">
        <v>-6.0909230000000002E-2</v>
      </c>
      <c r="Z5982">
        <v>7.3319519999999999E-2</v>
      </c>
      <c r="AA5982">
        <v>0.99544679999999997</v>
      </c>
      <c r="AB5982">
        <v>18</v>
      </c>
      <c r="AC5982">
        <v>9.8800000000039703E-2</v>
      </c>
      <c r="AD5982">
        <v>-1.109638735324</v>
      </c>
      <c r="AE5982">
        <v>-14.860849999999999</v>
      </c>
      <c r="AF5982">
        <v>-0.91145326819211403</v>
      </c>
      <c r="AG5982">
        <v>-1.109638735324</v>
      </c>
      <c r="AH5982">
        <v>14.750651607737501</v>
      </c>
      <c r="AI5982">
        <v>94.293894825305301</v>
      </c>
      <c r="AJ5982">
        <v>93.535851525617005</v>
      </c>
      <c r="AK5982">
        <v>14.820383532010201</v>
      </c>
      <c r="AL5982">
        <v>80.379634942755104</v>
      </c>
      <c r="AM5982">
        <v>92.598167213546105</v>
      </c>
      <c r="AN5982">
        <v>1.0000000242653699</v>
      </c>
    </row>
    <row r="5983" spans="1:40" x14ac:dyDescent="0.25">
      <c r="A5983" t="str">
        <f>"20190312172528062"</f>
        <v>20190312172528062</v>
      </c>
      <c r="B5983" t="str">
        <f>"1552382728056416"</f>
        <v>1552382728056416</v>
      </c>
      <c r="C5983" t="s">
        <v>40</v>
      </c>
      <c r="D5983">
        <v>3.8403890000000001</v>
      </c>
      <c r="E5983">
        <v>0.49474940000000001</v>
      </c>
      <c r="F5983" t="s">
        <v>43</v>
      </c>
      <c r="G5983">
        <v>-300.904</v>
      </c>
      <c r="H5983" s="1">
        <v>-2.6250639999999999E-6</v>
      </c>
      <c r="I5983">
        <v>-34.852499999999999</v>
      </c>
      <c r="J5983">
        <v>-301.01710000000003</v>
      </c>
      <c r="K5983">
        <v>1.1096490000000001</v>
      </c>
      <c r="L5983">
        <v>-19.929020000000001</v>
      </c>
      <c r="M5983">
        <v>-5.4847390000000003E-2</v>
      </c>
      <c r="N5983">
        <v>0</v>
      </c>
      <c r="O5983">
        <v>-0.99848619999999999</v>
      </c>
      <c r="P5983">
        <v>-8.6829539999999997E-3</v>
      </c>
      <c r="Q5983">
        <v>0.1629766</v>
      </c>
      <c r="R5983">
        <v>-0.98659209999999997</v>
      </c>
      <c r="S5983">
        <v>2.0904539999999999E-2</v>
      </c>
      <c r="T5983">
        <v>-0.22597400000000001</v>
      </c>
      <c r="U5983">
        <v>-3.078217</v>
      </c>
      <c r="V5983">
        <v>-4.5513119999999997E-2</v>
      </c>
      <c r="W5983">
        <v>0.1671098</v>
      </c>
      <c r="X5983">
        <v>0.98488719999999996</v>
      </c>
      <c r="Y5983">
        <v>-6.1609070000000002E-2</v>
      </c>
      <c r="Z5983">
        <v>7.2978100000000004E-2</v>
      </c>
      <c r="AA5983">
        <v>0.9954288</v>
      </c>
      <c r="AB5983">
        <v>18</v>
      </c>
      <c r="AC5983">
        <v>0.113100000000031</v>
      </c>
      <c r="AD5983">
        <v>-1.1096516250639901</v>
      </c>
      <c r="AE5983">
        <v>-14.9234799999999</v>
      </c>
      <c r="AF5983">
        <v>-0.92632944576292797</v>
      </c>
      <c r="AG5983">
        <v>-1.1096516250639901</v>
      </c>
      <c r="AH5983">
        <v>14.812919358561199</v>
      </c>
      <c r="AI5983">
        <v>94.275765129121496</v>
      </c>
      <c r="AJ5983">
        <v>93.578345534871502</v>
      </c>
      <c r="AK5983">
        <v>14.8832789698484</v>
      </c>
      <c r="AL5983">
        <v>80.380180610269804</v>
      </c>
      <c r="AM5983">
        <v>92.645841885041506</v>
      </c>
      <c r="AN5983">
        <v>0.99999996303600602</v>
      </c>
    </row>
    <row r="5984" spans="1:40" x14ac:dyDescent="0.25">
      <c r="A5984" t="str">
        <f>"20190312172528083"</f>
        <v>20190312172528083</v>
      </c>
      <c r="B5984" t="str">
        <f>"1552382728076913"</f>
        <v>1552382728076913</v>
      </c>
      <c r="C5984" t="s">
        <v>40</v>
      </c>
      <c r="D5984">
        <v>3.856169</v>
      </c>
      <c r="E5984">
        <v>0.4947704</v>
      </c>
      <c r="F5984" t="s">
        <v>43</v>
      </c>
      <c r="G5984">
        <v>-300.90030000000002</v>
      </c>
      <c r="H5984" s="1">
        <v>-2.554688E-6</v>
      </c>
      <c r="I5984">
        <v>-35.014229999999998</v>
      </c>
      <c r="J5984">
        <v>-301.02659999999997</v>
      </c>
      <c r="K5984">
        <v>1.109648</v>
      </c>
      <c r="L5984">
        <v>-20.108000000000001</v>
      </c>
      <c r="M5984">
        <v>-5.4604649999999998E-2</v>
      </c>
      <c r="N5984">
        <v>0</v>
      </c>
      <c r="O5984">
        <v>-0.99849980000000005</v>
      </c>
      <c r="P5984">
        <v>-7.8614129999999994E-3</v>
      </c>
      <c r="Q5984">
        <v>0.163081</v>
      </c>
      <c r="R5984">
        <v>-0.98658159999999895</v>
      </c>
      <c r="S5984">
        <v>2.3834230000000001E-2</v>
      </c>
      <c r="T5984">
        <v>-0.2264438</v>
      </c>
      <c r="U5984">
        <v>-3.0783999999999998</v>
      </c>
      <c r="V5984">
        <v>-4.6104279999999997E-2</v>
      </c>
      <c r="W5984">
        <v>0.1670624</v>
      </c>
      <c r="X5984">
        <v>0.98486779999999996</v>
      </c>
      <c r="Y5984">
        <v>-6.2313189999999997E-2</v>
      </c>
      <c r="Z5984">
        <v>7.312428E-2</v>
      </c>
      <c r="AA5984">
        <v>0.99537430000000005</v>
      </c>
      <c r="AB5984">
        <v>19</v>
      </c>
      <c r="AC5984">
        <v>0.126299999999957</v>
      </c>
      <c r="AD5984">
        <v>-1.109650554688</v>
      </c>
      <c r="AE5984">
        <v>-14.9062299999999</v>
      </c>
      <c r="AF5984">
        <v>-0.93488732417899201</v>
      </c>
      <c r="AG5984">
        <v>-1.109650554688</v>
      </c>
      <c r="AH5984">
        <v>14.795110693242499</v>
      </c>
      <c r="AI5984">
        <v>94.280714005197794</v>
      </c>
      <c r="AJ5984">
        <v>93.6156522984909</v>
      </c>
      <c r="AK5984">
        <v>14.866090242149401</v>
      </c>
      <c r="AL5984">
        <v>80.382935674819294</v>
      </c>
      <c r="AM5984">
        <v>92.680211076095006</v>
      </c>
      <c r="AN5984">
        <v>1.0000000168024501</v>
      </c>
    </row>
    <row r="5985" spans="1:40" x14ac:dyDescent="0.25">
      <c r="A5985" t="str">
        <f>"20190312172528106"</f>
        <v>20190312172528106</v>
      </c>
      <c r="B5985" t="str">
        <f>"1552382728096432"</f>
        <v>1552382728096432</v>
      </c>
      <c r="C5985" t="s">
        <v>40</v>
      </c>
      <c r="D5985">
        <v>3.8964660000000002</v>
      </c>
      <c r="E5985">
        <v>0.49476239999999999</v>
      </c>
      <c r="F5985" t="s">
        <v>43</v>
      </c>
      <c r="G5985">
        <v>-300.89699999999999</v>
      </c>
      <c r="H5985" s="1">
        <v>-2.4851499999999998E-6</v>
      </c>
      <c r="I5985">
        <v>-35.174280000000003</v>
      </c>
      <c r="J5985">
        <v>-301.03660000000002</v>
      </c>
      <c r="K5985">
        <v>1.1096459999999999</v>
      </c>
      <c r="L5985">
        <v>-20.295470000000002</v>
      </c>
      <c r="M5985">
        <v>-5.4302540000000003E-2</v>
      </c>
      <c r="N5985">
        <v>0</v>
      </c>
      <c r="O5985">
        <v>-0.99851699999999999</v>
      </c>
      <c r="P5985">
        <v>-7.0110049999999998E-3</v>
      </c>
      <c r="Q5985">
        <v>0.16282339999999901</v>
      </c>
      <c r="R5985">
        <v>-0.98663060000000002</v>
      </c>
      <c r="S5985">
        <v>2.6489260000000001E-2</v>
      </c>
      <c r="T5985">
        <v>-0.22673479999999999</v>
      </c>
      <c r="U5985">
        <v>-3.0784910000000001</v>
      </c>
      <c r="V5985">
        <v>-4.6666899999999997E-2</v>
      </c>
      <c r="W5985">
        <v>0.16664909999999999</v>
      </c>
      <c r="X5985">
        <v>0.98491130000000005</v>
      </c>
      <c r="Y5985">
        <v>-6.286928E-2</v>
      </c>
      <c r="Z5985">
        <v>7.3215859999999994E-2</v>
      </c>
      <c r="AA5985">
        <v>0.99533249999999995</v>
      </c>
      <c r="AB5985">
        <v>19</v>
      </c>
      <c r="AC5985">
        <v>0.13960000000002901</v>
      </c>
      <c r="AD5985">
        <v>-1.1096484851499999</v>
      </c>
      <c r="AE5985">
        <v>-14.8788099999999</v>
      </c>
      <c r="AF5985">
        <v>-0.942117631227125</v>
      </c>
      <c r="AG5985">
        <v>-1.1096484851499999</v>
      </c>
      <c r="AH5985">
        <v>14.7671474188394</v>
      </c>
      <c r="AI5985">
        <v>94.288617212608798</v>
      </c>
      <c r="AJ5985">
        <v>93.650421104201897</v>
      </c>
      <c r="AK5985">
        <v>14.838717878624101</v>
      </c>
      <c r="AL5985">
        <v>80.406952500914002</v>
      </c>
      <c r="AM5985">
        <v>92.712750035749494</v>
      </c>
      <c r="AN5985">
        <v>0.99999999547705498</v>
      </c>
    </row>
    <row r="5986" spans="1:40" x14ac:dyDescent="0.25">
      <c r="A5986" t="str">
        <f>"20190312172528130"</f>
        <v>20190312172528130</v>
      </c>
      <c r="B5986" t="str">
        <f>"1552382728126688"</f>
        <v>1552382728126688</v>
      </c>
      <c r="C5986" t="s">
        <v>40</v>
      </c>
      <c r="D5986">
        <v>3.836436</v>
      </c>
      <c r="E5986">
        <v>0.49478820000000001</v>
      </c>
      <c r="F5986" t="s">
        <v>43</v>
      </c>
      <c r="G5986">
        <v>-300.89510000000001</v>
      </c>
      <c r="H5986" s="1">
        <v>-2.4496580000000001E-6</v>
      </c>
      <c r="I5986">
        <v>-35.255859999999998</v>
      </c>
      <c r="J5986">
        <v>-301.04719999999998</v>
      </c>
      <c r="K5986">
        <v>1.109639</v>
      </c>
      <c r="L5986">
        <v>-20.498049999999999</v>
      </c>
      <c r="M5986">
        <v>-5.3928860000000002E-2</v>
      </c>
      <c r="N5986">
        <v>0</v>
      </c>
      <c r="O5986">
        <v>-0.99853780000000003</v>
      </c>
      <c r="P5986">
        <v>-6.4823679999999996E-3</v>
      </c>
      <c r="Q5986">
        <v>0.162935</v>
      </c>
      <c r="R5986">
        <v>-0.98661549999999998</v>
      </c>
      <c r="S5986">
        <v>2.9113770000000001E-2</v>
      </c>
      <c r="T5986">
        <v>-0.22834380000000001</v>
      </c>
      <c r="U5986">
        <v>-3.0785520000000002</v>
      </c>
      <c r="V5986">
        <v>-4.6833119999999999E-2</v>
      </c>
      <c r="W5986">
        <v>0.16659460000000001</v>
      </c>
      <c r="X5986">
        <v>0.98491260000000003</v>
      </c>
      <c r="Y5986">
        <v>-6.3343679999999999E-2</v>
      </c>
      <c r="Z5986">
        <v>7.3732019999999995E-2</v>
      </c>
      <c r="AA5986">
        <v>0.99526440000000005</v>
      </c>
      <c r="AB5986">
        <v>19</v>
      </c>
      <c r="AC5986">
        <v>0.15209999999996099</v>
      </c>
      <c r="AD5986">
        <v>-1.109641449658</v>
      </c>
      <c r="AE5986">
        <v>-14.757809999999999</v>
      </c>
      <c r="AF5986">
        <v>-0.94242857015227899</v>
      </c>
      <c r="AG5986">
        <v>-1.109641449658</v>
      </c>
      <c r="AH5986">
        <v>14.6453417758523</v>
      </c>
      <c r="AI5986">
        <v>94.323972004940202</v>
      </c>
      <c r="AJ5986">
        <v>93.681910069429307</v>
      </c>
      <c r="AK5986">
        <v>14.7175239591503</v>
      </c>
      <c r="AL5986">
        <v>80.410119103590006</v>
      </c>
      <c r="AM5986">
        <v>92.722394317011094</v>
      </c>
      <c r="AN5986">
        <v>0.99999996575842598</v>
      </c>
    </row>
    <row r="5987" spans="1:40" x14ac:dyDescent="0.25">
      <c r="A5987" t="str">
        <f>"20190312172528150"</f>
        <v>20190312172528150</v>
      </c>
      <c r="B5987" t="str">
        <f>"1552382728147185"</f>
        <v>1552382728147185</v>
      </c>
      <c r="C5987" t="s">
        <v>40</v>
      </c>
      <c r="D5987">
        <v>3.8524880000000001</v>
      </c>
      <c r="E5987">
        <v>0.4948207</v>
      </c>
      <c r="F5987" t="s">
        <v>43</v>
      </c>
      <c r="G5987">
        <v>-300.89550000000003</v>
      </c>
      <c r="H5987" s="1">
        <v>-2.3752690000000001E-6</v>
      </c>
      <c r="I5987">
        <v>-35.429499999999997</v>
      </c>
      <c r="J5987">
        <v>-301.05630000000002</v>
      </c>
      <c r="K5987">
        <v>1.109629</v>
      </c>
      <c r="L5987">
        <v>-20.671479999999999</v>
      </c>
      <c r="M5987">
        <v>-5.3575770000000002E-2</v>
      </c>
      <c r="N5987">
        <v>0</v>
      </c>
      <c r="O5987">
        <v>-0.99855760000000005</v>
      </c>
      <c r="P5987">
        <v>-6.2806819999999897E-3</v>
      </c>
      <c r="Q5987">
        <v>0.16323579999999999</v>
      </c>
      <c r="R5987">
        <v>-0.98656759999999999</v>
      </c>
      <c r="S5987">
        <v>3.1280519999999999E-2</v>
      </c>
      <c r="T5987">
        <v>-0.22879389999999999</v>
      </c>
      <c r="U5987">
        <v>-3.0786739999999999</v>
      </c>
      <c r="V5987">
        <v>-4.6689090000000003E-2</v>
      </c>
      <c r="W5987">
        <v>0.1667525</v>
      </c>
      <c r="X5987">
        <v>0.98489269999999995</v>
      </c>
      <c r="Y5987">
        <v>-6.3690650000000001E-2</v>
      </c>
      <c r="Z5987">
        <v>7.3874640000000005E-2</v>
      </c>
      <c r="AA5987">
        <v>0.99523159999999999</v>
      </c>
      <c r="AB5987">
        <v>19</v>
      </c>
      <c r="AC5987">
        <v>0.160799999999994</v>
      </c>
      <c r="AD5987">
        <v>-1.1096313752689999</v>
      </c>
      <c r="AE5987">
        <v>-14.758019999999901</v>
      </c>
      <c r="AF5987">
        <v>-0.94589941526180898</v>
      </c>
      <c r="AG5987">
        <v>-1.1096313752689999</v>
      </c>
      <c r="AH5987">
        <v>14.645424040133101</v>
      </c>
      <c r="AI5987">
        <v>94.323843261625697</v>
      </c>
      <c r="AJ5987">
        <v>93.695411872290705</v>
      </c>
      <c r="AK5987">
        <v>14.717827720423999</v>
      </c>
      <c r="AL5987">
        <v>80.400943593243994</v>
      </c>
      <c r="AM5987">
        <v>92.714089192525194</v>
      </c>
      <c r="AN5987">
        <v>0.99999994894728195</v>
      </c>
    </row>
    <row r="5988" spans="1:40" x14ac:dyDescent="0.25">
      <c r="A5988" t="str">
        <f>"20190312172528172"</f>
        <v>20190312172528172</v>
      </c>
      <c r="B5988" t="str">
        <f>"1552382728166704"</f>
        <v>1552382728166704</v>
      </c>
      <c r="C5988" t="s">
        <v>40</v>
      </c>
      <c r="D5988">
        <v>3.804986</v>
      </c>
      <c r="E5988">
        <v>0.49484489999999998</v>
      </c>
      <c r="F5988" t="s">
        <v>43</v>
      </c>
      <c r="G5988">
        <v>-300.90190000000001</v>
      </c>
      <c r="H5988" s="1">
        <v>-2.2961229999999999E-6</v>
      </c>
      <c r="I5988">
        <v>-35.61795</v>
      </c>
      <c r="J5988">
        <v>-301.06619999999998</v>
      </c>
      <c r="K5988">
        <v>1.10961</v>
      </c>
      <c r="L5988">
        <v>-20.86627</v>
      </c>
      <c r="M5988">
        <v>-5.3150839999999998E-2</v>
      </c>
      <c r="N5988">
        <v>0</v>
      </c>
      <c r="O5988">
        <v>-0.99858080000000005</v>
      </c>
      <c r="P5988">
        <v>-6.2154039999999999E-3</v>
      </c>
      <c r="Q5988">
        <v>0.16382739999999901</v>
      </c>
      <c r="R5988">
        <v>-0.98646990000000001</v>
      </c>
      <c r="S5988">
        <v>3.1799319999999999E-2</v>
      </c>
      <c r="T5988">
        <v>-0.22857549999999999</v>
      </c>
      <c r="U5988">
        <v>-3.0788570000000002</v>
      </c>
      <c r="V5988">
        <v>-4.6333439999999997E-2</v>
      </c>
      <c r="W5988">
        <v>0.1671822</v>
      </c>
      <c r="X5988">
        <v>0.98483670000000001</v>
      </c>
      <c r="Y5988">
        <v>-6.3433089999999998E-2</v>
      </c>
      <c r="Z5988">
        <v>7.3803209999999994E-2</v>
      </c>
      <c r="AA5988">
        <v>0.99525339999999995</v>
      </c>
      <c r="AB5988">
        <v>19</v>
      </c>
      <c r="AC5988">
        <v>0.164299999999968</v>
      </c>
      <c r="AD5988">
        <v>-1.1096122961229999</v>
      </c>
      <c r="AE5988">
        <v>-14.751679999999901</v>
      </c>
      <c r="AF5988">
        <v>-0.942802726373137</v>
      </c>
      <c r="AG5988">
        <v>-1.1096122961229999</v>
      </c>
      <c r="AH5988">
        <v>14.639277346424</v>
      </c>
      <c r="AI5988">
        <v>94.325628800453799</v>
      </c>
      <c r="AJ5988">
        <v>93.684889470875206</v>
      </c>
      <c r="AK5988">
        <v>14.71151105951</v>
      </c>
      <c r="AL5988">
        <v>80.375973572139699</v>
      </c>
      <c r="AM5988">
        <v>92.693598350478396</v>
      </c>
      <c r="AN5988">
        <v>1.0000000006629799</v>
      </c>
    </row>
    <row r="5989" spans="1:40" x14ac:dyDescent="0.25">
      <c r="A5989" t="str">
        <f>"20190312172528195"</f>
        <v>20190312172528195</v>
      </c>
      <c r="B5989" t="str">
        <f>"1552382728186224"</f>
        <v>1552382728186224</v>
      </c>
      <c r="C5989" t="s">
        <v>40</v>
      </c>
      <c r="D5989">
        <v>3.8839260000000002</v>
      </c>
      <c r="E5989">
        <v>0.49489529999999898</v>
      </c>
      <c r="F5989" t="s">
        <v>43</v>
      </c>
      <c r="G5989">
        <v>-300.90750000000003</v>
      </c>
      <c r="H5989" s="1">
        <v>-2.1649499999999999E-6</v>
      </c>
      <c r="I5989">
        <v>-35.927209999999903</v>
      </c>
      <c r="J5989">
        <v>-301.0761</v>
      </c>
      <c r="K5989">
        <v>1.1095839999999999</v>
      </c>
      <c r="L5989">
        <v>-21.061920000000001</v>
      </c>
      <c r="M5989">
        <v>-5.2705849999999999E-2</v>
      </c>
      <c r="N5989">
        <v>0</v>
      </c>
      <c r="O5989">
        <v>-0.99860510000000002</v>
      </c>
      <c r="P5989">
        <v>-6.2021269999999896E-3</v>
      </c>
      <c r="Q5989">
        <v>0.1638106</v>
      </c>
      <c r="R5989">
        <v>-0.98647260000000003</v>
      </c>
      <c r="S5989">
        <v>3.2440190000000001E-2</v>
      </c>
      <c r="T5989">
        <v>-0.22684779999999999</v>
      </c>
      <c r="U5989">
        <v>-3.0790410000000001</v>
      </c>
      <c r="V5989">
        <v>-4.5910329999999999E-2</v>
      </c>
      <c r="W5989">
        <v>0.16700219999999999</v>
      </c>
      <c r="X5989">
        <v>0.98488710000000002</v>
      </c>
      <c r="Y5989">
        <v>-6.3195299999999996E-2</v>
      </c>
      <c r="Z5989">
        <v>7.3247160000000006E-2</v>
      </c>
      <c r="AA5989">
        <v>0.99530960000000002</v>
      </c>
      <c r="AB5989">
        <v>19</v>
      </c>
      <c r="AC5989">
        <v>0.168599999999969</v>
      </c>
      <c r="AD5989">
        <v>-1.1095861649499901</v>
      </c>
      <c r="AE5989">
        <v>-14.8652899999999</v>
      </c>
      <c r="AF5989">
        <v>-0.94658404614397695</v>
      </c>
      <c r="AG5989">
        <v>-1.1095861649499901</v>
      </c>
      <c r="AH5989">
        <v>14.753552547808701</v>
      </c>
      <c r="AI5989">
        <v>94.292215572893696</v>
      </c>
      <c r="AJ5989">
        <v>93.671050383979306</v>
      </c>
      <c r="AK5989">
        <v>14.825468478089199</v>
      </c>
      <c r="AL5989">
        <v>80.386434315536704</v>
      </c>
      <c r="AM5989">
        <v>92.668900162500904</v>
      </c>
      <c r="AN5989">
        <v>1.00000004647597</v>
      </c>
    </row>
    <row r="5990" spans="1:40" x14ac:dyDescent="0.25">
      <c r="A5990" t="str">
        <f>"20190312172528216"</f>
        <v>20190312172528216</v>
      </c>
      <c r="B5990" t="str">
        <f>"1552382728206721"</f>
        <v>1552382728206721</v>
      </c>
      <c r="C5990" t="s">
        <v>40</v>
      </c>
      <c r="D5990">
        <v>3.8309609999999998</v>
      </c>
      <c r="E5990">
        <v>0.4949287</v>
      </c>
      <c r="F5990" t="s">
        <v>43</v>
      </c>
      <c r="G5990">
        <v>-300.91660000000002</v>
      </c>
      <c r="H5990" s="1">
        <v>-2.0911549999999998E-6</v>
      </c>
      <c r="I5990">
        <v>-36.104849999999999</v>
      </c>
      <c r="J5990">
        <v>-301.08580000000001</v>
      </c>
      <c r="K5990">
        <v>1.109551</v>
      </c>
      <c r="L5990">
        <v>-21.25433</v>
      </c>
      <c r="M5990">
        <v>-5.2260330000000001E-2</v>
      </c>
      <c r="N5990">
        <v>0</v>
      </c>
      <c r="O5990">
        <v>-0.99862870000000004</v>
      </c>
      <c r="P5990">
        <v>-6.2067900000000002E-3</v>
      </c>
      <c r="Q5990">
        <v>0.16422639999999999</v>
      </c>
      <c r="R5990">
        <v>-0.98640329999999998</v>
      </c>
      <c r="S5990">
        <v>3.2653809999999998E-2</v>
      </c>
      <c r="T5990">
        <v>-0.22711619999999999</v>
      </c>
      <c r="U5990">
        <v>-3.0790709999999999</v>
      </c>
      <c r="V5990">
        <v>-4.5461700000000001E-2</v>
      </c>
      <c r="W5990">
        <v>0.167258399999999</v>
      </c>
      <c r="X5990">
        <v>0.98486439999999997</v>
      </c>
      <c r="Y5990">
        <v>-6.2818910000000006E-2</v>
      </c>
      <c r="Z5990">
        <v>7.3336059999999995E-2</v>
      </c>
      <c r="AA5990">
        <v>0.99532690000000001</v>
      </c>
      <c r="AB5990">
        <v>19</v>
      </c>
      <c r="AC5990">
        <v>0.169199999999989</v>
      </c>
      <c r="AD5990">
        <v>-1.109553091155</v>
      </c>
      <c r="AE5990">
        <v>-14.850519999999999</v>
      </c>
      <c r="AF5990">
        <v>-0.939819905727724</v>
      </c>
      <c r="AG5990">
        <v>-1.109553091155</v>
      </c>
      <c r="AH5990">
        <v>14.7391165790639</v>
      </c>
      <c r="AI5990">
        <v>94.296384184367994</v>
      </c>
      <c r="AJ5990">
        <v>93.648448891293</v>
      </c>
      <c r="AK5990">
        <v>14.8106693653099</v>
      </c>
      <c r="AL5990">
        <v>80.371545396136199</v>
      </c>
      <c r="AM5990">
        <v>92.642917991968801</v>
      </c>
      <c r="AN5990">
        <v>1.0000000124624</v>
      </c>
    </row>
    <row r="5991" spans="1:40" x14ac:dyDescent="0.25">
      <c r="A5991" t="str">
        <f>"20190312172528239"</f>
        <v>20190312172528239</v>
      </c>
      <c r="B5991" t="str">
        <f>"1552382728236001"</f>
        <v>1552382728236001</v>
      </c>
      <c r="C5991" t="s">
        <v>40</v>
      </c>
      <c r="D5991">
        <v>3.8700009999999998</v>
      </c>
      <c r="E5991">
        <v>0.49493350000000003</v>
      </c>
      <c r="F5991" t="s">
        <v>43</v>
      </c>
      <c r="G5991">
        <v>-300.9248</v>
      </c>
      <c r="H5991" s="1">
        <v>-1.9883920000000001E-6</v>
      </c>
      <c r="I5991">
        <v>-36.349499999999999</v>
      </c>
      <c r="J5991">
        <v>-301.09570000000002</v>
      </c>
      <c r="K5991">
        <v>1.1095219999999999</v>
      </c>
      <c r="L5991">
        <v>-21.45364</v>
      </c>
      <c r="M5991">
        <v>-5.1798400000000001E-2</v>
      </c>
      <c r="N5991">
        <v>0</v>
      </c>
      <c r="O5991">
        <v>-0.99865320000000002</v>
      </c>
      <c r="P5991">
        <v>-5.7651169999999897E-3</v>
      </c>
      <c r="Q5991">
        <v>0.1640857</v>
      </c>
      <c r="R5991">
        <v>-0.98642949999999996</v>
      </c>
      <c r="S5991">
        <v>3.2836909999999997E-2</v>
      </c>
      <c r="T5991">
        <v>-0.22633710000000001</v>
      </c>
      <c r="U5991">
        <v>-3.0792540000000002</v>
      </c>
      <c r="V5991">
        <v>-4.5446689999999998E-2</v>
      </c>
      <c r="W5991">
        <v>0.16695660000000001</v>
      </c>
      <c r="X5991">
        <v>0.98491629999999997</v>
      </c>
      <c r="Y5991">
        <v>-6.2415980000000003E-2</v>
      </c>
      <c r="Z5991">
        <v>7.3085049999999999E-2</v>
      </c>
      <c r="AA5991">
        <v>0.99537070000000005</v>
      </c>
      <c r="AB5991">
        <v>20</v>
      </c>
      <c r="AC5991">
        <v>0.17090000000001701</v>
      </c>
      <c r="AD5991">
        <v>-1.1095239883919901</v>
      </c>
      <c r="AE5991">
        <v>-14.895860000000001</v>
      </c>
      <c r="AF5991">
        <v>-0.93705747116093896</v>
      </c>
      <c r="AG5991">
        <v>-1.1095239883919901</v>
      </c>
      <c r="AH5991">
        <v>14.784993231629</v>
      </c>
      <c r="AI5991">
        <v>94.283094543782994</v>
      </c>
      <c r="AJ5991">
        <v>93.626496269014197</v>
      </c>
      <c r="AK5991">
        <v>14.856148391975401</v>
      </c>
      <c r="AL5991">
        <v>80.389083881237497</v>
      </c>
      <c r="AM5991">
        <v>92.641907596648906</v>
      </c>
      <c r="AN5991">
        <v>1.0000000129605999</v>
      </c>
    </row>
    <row r="5992" spans="1:40" x14ac:dyDescent="0.25">
      <c r="A5992" t="str">
        <f>"20190312172528262"</f>
        <v>20190312172528262</v>
      </c>
      <c r="B5992" t="str">
        <f>"1552382728256499"</f>
        <v>1552382728256499</v>
      </c>
      <c r="C5992" t="s">
        <v>40</v>
      </c>
      <c r="D5992">
        <v>3.8558759999999999</v>
      </c>
      <c r="E5992">
        <v>0.49488729999999997</v>
      </c>
      <c r="F5992" t="s">
        <v>43</v>
      </c>
      <c r="G5992">
        <v>-300.92899999999997</v>
      </c>
      <c r="H5992" s="1">
        <v>-1.945161E-6</v>
      </c>
      <c r="I5992">
        <v>-36.452820000000003</v>
      </c>
      <c r="J5992">
        <v>-301.10579999999999</v>
      </c>
      <c r="K5992">
        <v>1.109488</v>
      </c>
      <c r="L5992">
        <v>-21.65878</v>
      </c>
      <c r="M5992">
        <v>-5.1327079999999997E-2</v>
      </c>
      <c r="N5992">
        <v>0</v>
      </c>
      <c r="O5992">
        <v>-0.99867819999999996</v>
      </c>
      <c r="P5992">
        <v>-4.8266709999999899E-3</v>
      </c>
      <c r="Q5992">
        <v>0.16406679999999901</v>
      </c>
      <c r="R5992">
        <v>-0.98643760000000003</v>
      </c>
      <c r="S5992">
        <v>3.4240720000000002E-2</v>
      </c>
      <c r="T5992">
        <v>-0.22778860000000001</v>
      </c>
      <c r="U5992">
        <v>-3.0793759999999999</v>
      </c>
      <c r="V5992">
        <v>-4.5916789999999999E-2</v>
      </c>
      <c r="W5992">
        <v>0.16677879999999901</v>
      </c>
      <c r="X5992">
        <v>0.98492460000000004</v>
      </c>
      <c r="Y5992">
        <v>-6.2397830000000001E-2</v>
      </c>
      <c r="Z5992">
        <v>7.3550840000000006E-2</v>
      </c>
      <c r="AA5992">
        <v>0.99533749999999999</v>
      </c>
      <c r="AB5992">
        <v>20</v>
      </c>
      <c r="AC5992">
        <v>0.17679999999995699</v>
      </c>
      <c r="AD5992">
        <v>-1.1094899451610001</v>
      </c>
      <c r="AE5992">
        <v>-14.794040000000001</v>
      </c>
      <c r="AF5992">
        <v>-0.93067095393842802</v>
      </c>
      <c r="AG5992">
        <v>-1.1094899451610001</v>
      </c>
      <c r="AH5992">
        <v>14.682895017335399</v>
      </c>
      <c r="AI5992">
        <v>94.3126318769975</v>
      </c>
      <c r="AJ5992">
        <v>93.626824147404704</v>
      </c>
      <c r="AK5992">
        <v>14.7541357745213</v>
      </c>
      <c r="AL5992">
        <v>80.399415746792698</v>
      </c>
      <c r="AM5992">
        <v>92.669173674912798</v>
      </c>
      <c r="AN5992">
        <v>0.99999999370925197</v>
      </c>
    </row>
    <row r="5993" spans="1:40" x14ac:dyDescent="0.25">
      <c r="A5993" t="str">
        <f>"20190312172528284"</f>
        <v>20190312172528284</v>
      </c>
      <c r="B5993" t="str">
        <f>"1552382728276016"</f>
        <v>1552382728276016</v>
      </c>
      <c r="C5993" t="s">
        <v>40</v>
      </c>
      <c r="D5993">
        <v>3.8045339999999999</v>
      </c>
      <c r="E5993">
        <v>0.49485859999999898</v>
      </c>
      <c r="F5993" t="s">
        <v>43</v>
      </c>
      <c r="G5993">
        <v>-300.92200000000003</v>
      </c>
      <c r="H5993" s="1">
        <v>-1.877853E-6</v>
      </c>
      <c r="I5993">
        <v>-36.605379999999997</v>
      </c>
      <c r="J5993">
        <v>-301.1155</v>
      </c>
      <c r="K5993">
        <v>1.109459</v>
      </c>
      <c r="L5993">
        <v>-21.85867</v>
      </c>
      <c r="M5993">
        <v>-5.0874309999999999E-2</v>
      </c>
      <c r="N5993">
        <v>0</v>
      </c>
      <c r="O5993">
        <v>-0.99870159999999997</v>
      </c>
      <c r="P5993">
        <v>-3.5804890000000001E-3</v>
      </c>
      <c r="Q5993">
        <v>0.16386199999999901</v>
      </c>
      <c r="R5993">
        <v>-0.98647680000000004</v>
      </c>
      <c r="S5993">
        <v>3.7872309999999999E-2</v>
      </c>
      <c r="T5993">
        <v>-0.2285874</v>
      </c>
      <c r="U5993">
        <v>-3.079437</v>
      </c>
      <c r="V5993">
        <v>-4.671372E-2</v>
      </c>
      <c r="W5993">
        <v>0.16643229999999901</v>
      </c>
      <c r="X5993">
        <v>0.98494570000000004</v>
      </c>
      <c r="Y5993">
        <v>-6.3118519999999997E-2</v>
      </c>
      <c r="Z5993">
        <v>7.380631E-2</v>
      </c>
      <c r="AA5993">
        <v>0.99527319999999997</v>
      </c>
      <c r="AB5993">
        <v>20</v>
      </c>
      <c r="AC5993">
        <v>0.193499999999971</v>
      </c>
      <c r="AD5993">
        <v>-1.109460877853</v>
      </c>
      <c r="AE5993">
        <v>-14.746709999999901</v>
      </c>
      <c r="AF5993">
        <v>-0.93817137242944104</v>
      </c>
      <c r="AG5993">
        <v>-1.109460877853</v>
      </c>
      <c r="AH5993">
        <v>14.634946773512301</v>
      </c>
      <c r="AI5993">
        <v>94.326397731630095</v>
      </c>
      <c r="AJ5993">
        <v>93.667919680040796</v>
      </c>
      <c r="AK5993">
        <v>14.706894166583</v>
      </c>
      <c r="AL5993">
        <v>80.419549785775601</v>
      </c>
      <c r="AM5993">
        <v>92.715372915941103</v>
      </c>
      <c r="AN5993">
        <v>0.99999995703400801</v>
      </c>
    </row>
    <row r="5994" spans="1:40" x14ac:dyDescent="0.25">
      <c r="A5994" t="str">
        <f>"20190312172528318"</f>
        <v>20190312172528318</v>
      </c>
      <c r="B5994" t="str">
        <f>"1552382728306271"</f>
        <v>1552382728306271</v>
      </c>
      <c r="C5994" t="s">
        <v>40</v>
      </c>
      <c r="D5994">
        <v>3.8555649999999999</v>
      </c>
      <c r="E5994">
        <v>0.49479820000000002</v>
      </c>
      <c r="F5994" t="s">
        <v>43</v>
      </c>
      <c r="G5994">
        <v>-300.9153</v>
      </c>
      <c r="H5994" s="1">
        <v>-1.819196E-6</v>
      </c>
      <c r="I5994">
        <v>-36.73798</v>
      </c>
      <c r="J5994">
        <v>-301.13060000000002</v>
      </c>
      <c r="K5994">
        <v>1.1094280000000001</v>
      </c>
      <c r="L5994">
        <v>-22.169799999999999</v>
      </c>
      <c r="M5994">
        <v>-5.018272E-2</v>
      </c>
      <c r="N5994">
        <v>0</v>
      </c>
      <c r="O5994">
        <v>-0.99873730000000005</v>
      </c>
      <c r="P5994">
        <v>-1.6356679999999901E-3</v>
      </c>
      <c r="Q5994">
        <v>0.16407969999999999</v>
      </c>
      <c r="R5994">
        <v>-0.98644589999999999</v>
      </c>
      <c r="S5994">
        <v>4.144287E-2</v>
      </c>
      <c r="T5994">
        <v>-0.22961290000000001</v>
      </c>
      <c r="U5994">
        <v>-3.0794069999999998</v>
      </c>
      <c r="V5994">
        <v>-4.7968879999999998E-2</v>
      </c>
      <c r="W5994">
        <v>0.16645679999999999</v>
      </c>
      <c r="X5994">
        <v>0.98488129999999996</v>
      </c>
      <c r="Y5994">
        <v>-6.3580990000000004E-2</v>
      </c>
      <c r="Z5994">
        <v>7.4138579999999996E-2</v>
      </c>
      <c r="AA5994">
        <v>0.99521910000000002</v>
      </c>
      <c r="AB5994">
        <v>20</v>
      </c>
      <c r="AC5994">
        <v>0.21530000000001301</v>
      </c>
      <c r="AD5994">
        <v>-1.1094298191959999</v>
      </c>
      <c r="AE5994">
        <v>-14.56818</v>
      </c>
      <c r="AF5994">
        <v>-0.940647564709999</v>
      </c>
      <c r="AG5994">
        <v>-1.1094298191959999</v>
      </c>
      <c r="AH5994">
        <v>14.455206027983399</v>
      </c>
      <c r="AI5994">
        <v>94.379591628362505</v>
      </c>
      <c r="AJ5994">
        <v>93.723174510564903</v>
      </c>
      <c r="AK5994">
        <v>14.528201322812301</v>
      </c>
      <c r="AL5994">
        <v>80.418126861606396</v>
      </c>
      <c r="AM5994">
        <v>92.788401197959502</v>
      </c>
      <c r="AN5994">
        <v>1.0000000274021901</v>
      </c>
    </row>
    <row r="5995" spans="1:40" x14ac:dyDescent="0.25">
      <c r="A5995" t="str">
        <f>"20190312172528341"</f>
        <v>20190312172528341</v>
      </c>
      <c r="B5995" t="str">
        <f>"1552382728336528"</f>
        <v>1552382728336528</v>
      </c>
      <c r="C5995" t="s">
        <v>40</v>
      </c>
      <c r="D5995">
        <v>3.9013949999999999</v>
      </c>
      <c r="E5995">
        <v>0.49477870000000002</v>
      </c>
      <c r="F5995" t="s">
        <v>43</v>
      </c>
      <c r="G5995">
        <v>-300.90089999999998</v>
      </c>
      <c r="H5995" s="1">
        <v>-1.6801330000000001E-6</v>
      </c>
      <c r="I5995">
        <v>-37.053229999999999</v>
      </c>
      <c r="J5995">
        <v>-301.14060000000001</v>
      </c>
      <c r="K5995">
        <v>1.1094120000000001</v>
      </c>
      <c r="L5995">
        <v>-22.379059999999999</v>
      </c>
      <c r="M5995">
        <v>-4.9723980000000001E-2</v>
      </c>
      <c r="N5995">
        <v>0</v>
      </c>
      <c r="O5995">
        <v>-0.99876050000000005</v>
      </c>
      <c r="P5995">
        <v>-2.5952789999999999E-4</v>
      </c>
      <c r="Q5995">
        <v>0.165134</v>
      </c>
      <c r="R5995">
        <v>-0.98627120000000001</v>
      </c>
      <c r="S5995">
        <v>4.7515870000000002E-2</v>
      </c>
      <c r="T5995">
        <v>-0.22954959999999999</v>
      </c>
      <c r="U5995">
        <v>-3.0794980000000001</v>
      </c>
      <c r="V5995">
        <v>-4.8881429999999997E-2</v>
      </c>
      <c r="W5995">
        <v>0.16739799999999999</v>
      </c>
      <c r="X5995">
        <v>0.98467680000000002</v>
      </c>
      <c r="Y5995">
        <v>-6.5084390000000006E-2</v>
      </c>
      <c r="Z5995">
        <v>7.4113970000000001E-2</v>
      </c>
      <c r="AA5995">
        <v>0.99512370000000006</v>
      </c>
      <c r="AB5995">
        <v>20</v>
      </c>
      <c r="AC5995">
        <v>0.239700000000027</v>
      </c>
      <c r="AD5995">
        <v>-1.1094136801329999</v>
      </c>
      <c r="AE5995">
        <v>-14.67417</v>
      </c>
      <c r="AF5995">
        <v>-0.96355737591587198</v>
      </c>
      <c r="AG5995">
        <v>-1.1094136801329999</v>
      </c>
      <c r="AH5995">
        <v>14.560893548341101</v>
      </c>
      <c r="AI5995">
        <v>94.347550916242497</v>
      </c>
      <c r="AJ5995">
        <v>93.785989927977994</v>
      </c>
      <c r="AK5995">
        <v>14.634850954364699</v>
      </c>
      <c r="AL5995">
        <v>80.363431843720605</v>
      </c>
      <c r="AM5995">
        <v>92.841950178119802</v>
      </c>
      <c r="AN5995">
        <v>0.99999994253054003</v>
      </c>
    </row>
    <row r="5996" spans="1:40" x14ac:dyDescent="0.25">
      <c r="A5996" t="str">
        <f>"20190312172528363"</f>
        <v>20190312172528363</v>
      </c>
      <c r="B5996" t="str">
        <f>"1552382728356049"</f>
        <v>1552382728356049</v>
      </c>
      <c r="C5996" t="s">
        <v>40</v>
      </c>
      <c r="D5996">
        <v>3.8045059999999999</v>
      </c>
      <c r="E5996">
        <v>0.49476880000000001</v>
      </c>
      <c r="F5996" t="s">
        <v>43</v>
      </c>
      <c r="G5996">
        <v>-300.88459999999998</v>
      </c>
      <c r="H5996" s="1">
        <v>-1.5054710000000001E-6</v>
      </c>
      <c r="I5996">
        <v>-37.450279999999999</v>
      </c>
      <c r="J5996">
        <v>-301.15050000000002</v>
      </c>
      <c r="K5996">
        <v>1.109405</v>
      </c>
      <c r="L5996">
        <v>-22.588560000000001</v>
      </c>
      <c r="M5996">
        <v>-4.9274440000000003E-2</v>
      </c>
      <c r="N5996">
        <v>0</v>
      </c>
      <c r="O5996">
        <v>-0.99878279999999997</v>
      </c>
      <c r="P5996">
        <v>7.3061449999999896E-4</v>
      </c>
      <c r="Q5996">
        <v>0.16572609999999999</v>
      </c>
      <c r="R5996">
        <v>-0.98617180000000004</v>
      </c>
      <c r="S5996">
        <v>5.230713E-2</v>
      </c>
      <c r="T5996">
        <v>-0.22670409999999999</v>
      </c>
      <c r="U5996">
        <v>-3.079742</v>
      </c>
      <c r="V5996">
        <v>-4.9421859999999998E-2</v>
      </c>
      <c r="W5996">
        <v>0.1678925</v>
      </c>
      <c r="X5996">
        <v>0.98456569999999999</v>
      </c>
      <c r="Y5996">
        <v>-6.6182879999999999E-2</v>
      </c>
      <c r="Z5996">
        <v>7.3193320000000006E-2</v>
      </c>
      <c r="AA5996">
        <v>0.99511939999999999</v>
      </c>
      <c r="AB5996">
        <v>21</v>
      </c>
      <c r="AC5996">
        <v>0.26590000000004399</v>
      </c>
      <c r="AD5996">
        <v>-1.1094065054709901</v>
      </c>
      <c r="AE5996">
        <v>-14.861719999999901</v>
      </c>
      <c r="AF5996">
        <v>-0.99235371094982905</v>
      </c>
      <c r="AG5996">
        <v>-1.1094065054709901</v>
      </c>
      <c r="AH5996">
        <v>14.7484070217448</v>
      </c>
      <c r="AI5996">
        <v>94.2921400944727</v>
      </c>
      <c r="AJ5996">
        <v>93.849372142525496</v>
      </c>
      <c r="AK5996">
        <v>14.8233281809811</v>
      </c>
      <c r="AL5996">
        <v>80.334693043993695</v>
      </c>
      <c r="AM5996">
        <v>92.873641920078597</v>
      </c>
      <c r="AN5996">
        <v>1.00000001470929</v>
      </c>
    </row>
    <row r="5997" spans="1:40" x14ac:dyDescent="0.25">
      <c r="A5997" t="str">
        <f>"20190312172528384"</f>
        <v>20190312172528384</v>
      </c>
      <c r="B5997" t="str">
        <f>"1552382728376545"</f>
        <v>1552382728376545</v>
      </c>
      <c r="C5997" t="s">
        <v>40</v>
      </c>
      <c r="D5997">
        <v>3.8212649999999999</v>
      </c>
      <c r="E5997">
        <v>0.49475970000000002</v>
      </c>
      <c r="F5997" t="s">
        <v>43</v>
      </c>
      <c r="G5997">
        <v>-300.8777</v>
      </c>
      <c r="H5997" s="1">
        <v>-1.3684819999999901E-6</v>
      </c>
      <c r="I5997">
        <v>-37.765300000000003</v>
      </c>
      <c r="J5997">
        <v>-301.1601</v>
      </c>
      <c r="K5997">
        <v>1.1093930000000001</v>
      </c>
      <c r="L5997">
        <v>-22.793089999999999</v>
      </c>
      <c r="M5997">
        <v>-4.8848250000000003E-2</v>
      </c>
      <c r="N5997">
        <v>0</v>
      </c>
      <c r="O5997">
        <v>-0.99880400000000003</v>
      </c>
      <c r="P5997">
        <v>2.1041469999999998E-3</v>
      </c>
      <c r="Q5997">
        <v>0.16530239999999999</v>
      </c>
      <c r="R5997">
        <v>-0.98624080000000003</v>
      </c>
      <c r="S5997">
        <v>5.5358890000000001E-2</v>
      </c>
      <c r="T5997">
        <v>-0.22513530000000001</v>
      </c>
      <c r="U5997">
        <v>-3.0798649999999999</v>
      </c>
      <c r="V5997">
        <v>-5.0374090000000003E-2</v>
      </c>
      <c r="W5997">
        <v>0.16738810000000001</v>
      </c>
      <c r="X5997">
        <v>0.98460329999999996</v>
      </c>
      <c r="Y5997">
        <v>-6.6742839999999998E-2</v>
      </c>
      <c r="Z5997">
        <v>7.2686970000000004E-2</v>
      </c>
      <c r="AA5997">
        <v>0.99511910000000003</v>
      </c>
      <c r="AB5997">
        <v>21</v>
      </c>
      <c r="AC5997">
        <v>0.28239999999999499</v>
      </c>
      <c r="AD5997">
        <v>-1.109394368482</v>
      </c>
      <c r="AE5997">
        <v>-14.97221</v>
      </c>
      <c r="AF5997">
        <v>-1.0078989943588501</v>
      </c>
      <c r="AG5997">
        <v>-1.109394368482</v>
      </c>
      <c r="AH5997">
        <v>14.858989443548399</v>
      </c>
      <c r="AI5997">
        <v>94.2601133763105</v>
      </c>
      <c r="AJ5997">
        <v>93.880481581728304</v>
      </c>
      <c r="AK5997">
        <v>14.9343959881587</v>
      </c>
      <c r="AL5997">
        <v>80.364007667970895</v>
      </c>
      <c r="AM5997">
        <v>92.928802332995403</v>
      </c>
      <c r="AN5997">
        <v>0.99999999166791398</v>
      </c>
    </row>
    <row r="5998" spans="1:40" x14ac:dyDescent="0.25">
      <c r="A5998" t="str">
        <f>"20190312172528406"</f>
        <v>20190312172528406</v>
      </c>
      <c r="B5998" t="str">
        <f>"1552382728396064"</f>
        <v>1552382728396064</v>
      </c>
      <c r="C5998" t="s">
        <v>40</v>
      </c>
      <c r="D5998">
        <v>3.8197369999999999</v>
      </c>
      <c r="E5998">
        <v>0.49477640000000001</v>
      </c>
      <c r="F5998" t="s">
        <v>43</v>
      </c>
      <c r="G5998">
        <v>-300.87180000000001</v>
      </c>
      <c r="H5998" s="1">
        <v>-1.3285700000000001E-6</v>
      </c>
      <c r="I5998">
        <v>-37.85463</v>
      </c>
      <c r="J5998">
        <v>-301.16989999999998</v>
      </c>
      <c r="K5998">
        <v>1.1093729999999999</v>
      </c>
      <c r="L5998">
        <v>-23.00357</v>
      </c>
      <c r="M5998">
        <v>-4.842283E-2</v>
      </c>
      <c r="N5998">
        <v>0</v>
      </c>
      <c r="O5998">
        <v>-0.99882490000000002</v>
      </c>
      <c r="P5998">
        <v>3.1342620000000001E-3</v>
      </c>
      <c r="Q5998">
        <v>0.16524659999999999</v>
      </c>
      <c r="R5998">
        <v>-0.98624750000000005</v>
      </c>
      <c r="S5998">
        <v>5.8959959999999999E-2</v>
      </c>
      <c r="T5998">
        <v>-0.22684589999999999</v>
      </c>
      <c r="U5998">
        <v>-3.079742</v>
      </c>
      <c r="V5998">
        <v>-5.0980829999999998E-2</v>
      </c>
      <c r="W5998">
        <v>0.1672631</v>
      </c>
      <c r="X5998">
        <v>0.9845933</v>
      </c>
      <c r="Y5998">
        <v>-6.748092E-2</v>
      </c>
      <c r="Z5998">
        <v>7.3238810000000001E-2</v>
      </c>
      <c r="AA5998">
        <v>0.99502889999999999</v>
      </c>
      <c r="AB5998">
        <v>21</v>
      </c>
      <c r="AC5998">
        <v>0.298099999999976</v>
      </c>
      <c r="AD5998">
        <v>-1.10937432857</v>
      </c>
      <c r="AE5998">
        <v>-14.85106</v>
      </c>
      <c r="AF5998">
        <v>-1.0112415670955099</v>
      </c>
      <c r="AG5998">
        <v>-1.10937432857</v>
      </c>
      <c r="AH5998">
        <v>14.7370029678117</v>
      </c>
      <c r="AI5998">
        <v>94.2949389428817</v>
      </c>
      <c r="AJ5998">
        <v>93.9254379975538</v>
      </c>
      <c r="AK5998">
        <v>14.813256812099199</v>
      </c>
      <c r="AL5998">
        <v>80.371271923472094</v>
      </c>
      <c r="AM5998">
        <v>92.964046351472106</v>
      </c>
      <c r="AN5998">
        <v>0.99999997802699403</v>
      </c>
    </row>
    <row r="5999" spans="1:40" x14ac:dyDescent="0.25">
      <c r="A5999" t="str">
        <f>"20190312172528429"</f>
        <v>20190312172528429</v>
      </c>
      <c r="B5999" t="str">
        <f>"1552382728426321"</f>
        <v>1552382728426321</v>
      </c>
      <c r="C5999" t="s">
        <v>40</v>
      </c>
      <c r="D5999">
        <v>3.8106369999999998</v>
      </c>
      <c r="E5999">
        <v>0.49474649999999998</v>
      </c>
      <c r="F5999" t="s">
        <v>43</v>
      </c>
      <c r="G5999">
        <v>-300.8664</v>
      </c>
      <c r="H5999" s="1">
        <v>-1.248548E-6</v>
      </c>
      <c r="I5999">
        <v>-38.037860000000002</v>
      </c>
      <c r="J5999">
        <v>-301.1798</v>
      </c>
      <c r="K5999">
        <v>1.1093500000000001</v>
      </c>
      <c r="L5999">
        <v>-23.217829999999999</v>
      </c>
      <c r="M5999">
        <v>-4.8007399999999999E-2</v>
      </c>
      <c r="N5999">
        <v>0</v>
      </c>
      <c r="O5999">
        <v>-0.99884490000000004</v>
      </c>
      <c r="P5999">
        <v>4.0902330000000004E-3</v>
      </c>
      <c r="Q5999">
        <v>0.16541639999999999</v>
      </c>
      <c r="R5999">
        <v>-0.98621550000000002</v>
      </c>
      <c r="S5999">
        <v>6.216431E-2</v>
      </c>
      <c r="T5999">
        <v>-0.2272506</v>
      </c>
      <c r="U5999">
        <v>-3.0797119999999998</v>
      </c>
      <c r="V5999">
        <v>-5.152114E-2</v>
      </c>
      <c r="W5999">
        <v>0.16737589999999999</v>
      </c>
      <c r="X5999">
        <v>0.98454600000000003</v>
      </c>
      <c r="Y5999">
        <v>-6.8100839999999996E-2</v>
      </c>
      <c r="Z5999">
        <v>7.3369409999999996E-2</v>
      </c>
      <c r="AA5999">
        <v>0.994977</v>
      </c>
      <c r="AB5999">
        <v>21</v>
      </c>
      <c r="AC5999">
        <v>0.31340000000000101</v>
      </c>
      <c r="AD5999">
        <v>-1.1093512485479999</v>
      </c>
      <c r="AE5999">
        <v>-14.8200299999999</v>
      </c>
      <c r="AF5999">
        <v>-1.0188051603444199</v>
      </c>
      <c r="AG5999">
        <v>-1.1093512485479999</v>
      </c>
      <c r="AH5999">
        <v>14.70553463571</v>
      </c>
      <c r="AI5999">
        <v>94.303811418023997</v>
      </c>
      <c r="AJ5999">
        <v>93.963141264186106</v>
      </c>
      <c r="AK5999">
        <v>14.782468436275</v>
      </c>
      <c r="AL5999">
        <v>80.364716496982396</v>
      </c>
      <c r="AM5999">
        <v>92.995546931722302</v>
      </c>
      <c r="AN5999">
        <v>0.99999997294185405</v>
      </c>
    </row>
    <row r="6000" spans="1:40" x14ac:dyDescent="0.25">
      <c r="A6000" t="str">
        <f>"20190312172528451"</f>
        <v>20190312172528451</v>
      </c>
      <c r="B6000" t="str">
        <f>"1552382728446815"</f>
        <v>1552382728446815</v>
      </c>
      <c r="C6000" t="s">
        <v>40</v>
      </c>
      <c r="D6000">
        <v>3.827909</v>
      </c>
      <c r="E6000">
        <v>0.49474279999999998</v>
      </c>
      <c r="F6000" t="s">
        <v>43</v>
      </c>
      <c r="G6000">
        <v>-300.86149999999998</v>
      </c>
      <c r="H6000" s="1">
        <v>-1.1444020000000001E-6</v>
      </c>
      <c r="I6000">
        <v>-38.2776</v>
      </c>
      <c r="J6000">
        <v>-301.19</v>
      </c>
      <c r="K6000">
        <v>1.109326</v>
      </c>
      <c r="L6000">
        <v>-23.438289999999999</v>
      </c>
      <c r="M6000">
        <v>-4.7603310000000003E-2</v>
      </c>
      <c r="N6000">
        <v>0</v>
      </c>
      <c r="O6000">
        <v>-0.99886450000000004</v>
      </c>
      <c r="P6000">
        <v>4.9224610000000004E-3</v>
      </c>
      <c r="Q6000">
        <v>0.16494200000000001</v>
      </c>
      <c r="R6000">
        <v>-0.98629140000000004</v>
      </c>
      <c r="S6000">
        <v>6.5093990000000004E-2</v>
      </c>
      <c r="T6000">
        <v>-0.2268616</v>
      </c>
      <c r="U6000">
        <v>-3.0797119999999998</v>
      </c>
      <c r="V6000">
        <v>-5.1952039999999998E-2</v>
      </c>
      <c r="W6000">
        <v>0.16685829999999999</v>
      </c>
      <c r="X6000">
        <v>0.98461120000000002</v>
      </c>
      <c r="Y6000">
        <v>-6.8643510000000005E-2</v>
      </c>
      <c r="Z6000">
        <v>7.3244530000000002E-2</v>
      </c>
      <c r="AA6000">
        <v>0.99494890000000002</v>
      </c>
      <c r="AB6000">
        <v>22</v>
      </c>
      <c r="AC6000">
        <v>0.328500000000019</v>
      </c>
      <c r="AD6000">
        <v>-1.1093271444020001</v>
      </c>
      <c r="AE6000">
        <v>-14.839309999999999</v>
      </c>
      <c r="AF6000">
        <v>-1.02878265201097</v>
      </c>
      <c r="AG6000">
        <v>-1.1093271444020001</v>
      </c>
      <c r="AH6000">
        <v>14.7246017028907</v>
      </c>
      <c r="AI6000">
        <v>94.297991916823804</v>
      </c>
      <c r="AJ6000">
        <v>93.996662893799595</v>
      </c>
      <c r="AK6000">
        <v>14.802124704486101</v>
      </c>
      <c r="AL6000">
        <v>80.394795680968301</v>
      </c>
      <c r="AM6000">
        <v>93.020354509701605</v>
      </c>
      <c r="AN6000">
        <v>0.99999996095224497</v>
      </c>
    </row>
    <row r="6001" spans="1:40" x14ac:dyDescent="0.25">
      <c r="A6001" t="str">
        <f>"20190312172528474"</f>
        <v>20190312172528474</v>
      </c>
      <c r="B6001" t="str">
        <f>"1552382728466336"</f>
        <v>1552382728466336</v>
      </c>
      <c r="C6001" t="s">
        <v>40</v>
      </c>
      <c r="D6001">
        <v>3.9149349999999998</v>
      </c>
      <c r="E6001">
        <v>0.4947414</v>
      </c>
      <c r="F6001" t="s">
        <v>43</v>
      </c>
      <c r="G6001">
        <v>-300.85969999999998</v>
      </c>
      <c r="H6001" s="1">
        <v>-1.092471E-6</v>
      </c>
      <c r="I6001">
        <v>-38.397509999999997</v>
      </c>
      <c r="J6001">
        <v>-301.19990000000001</v>
      </c>
      <c r="K6001">
        <v>1.1093109999999999</v>
      </c>
      <c r="L6001">
        <v>-23.656369999999999</v>
      </c>
      <c r="M6001">
        <v>-4.7232169999999997E-2</v>
      </c>
      <c r="N6001">
        <v>0</v>
      </c>
      <c r="O6001">
        <v>-0.9988823</v>
      </c>
      <c r="P6001">
        <v>5.7268769999999896E-3</v>
      </c>
      <c r="Q6001">
        <v>0.16376779999999999</v>
      </c>
      <c r="R6001">
        <v>-0.98648250000000004</v>
      </c>
      <c r="S6001">
        <v>6.7993159999999997E-2</v>
      </c>
      <c r="T6001">
        <v>-0.2283703</v>
      </c>
      <c r="U6001">
        <v>-3.0795590000000002</v>
      </c>
      <c r="V6001">
        <v>-5.2392349999999997E-2</v>
      </c>
      <c r="W6001">
        <v>0.16566120000000001</v>
      </c>
      <c r="X6001">
        <v>0.98479000000000005</v>
      </c>
      <c r="Y6001">
        <v>-6.9209270000000003E-2</v>
      </c>
      <c r="Z6001">
        <v>7.373238E-2</v>
      </c>
      <c r="AA6001">
        <v>0.99487360000000002</v>
      </c>
      <c r="AB6001">
        <v>22</v>
      </c>
      <c r="AC6001">
        <v>0.34020000000003803</v>
      </c>
      <c r="AD6001">
        <v>-1.109312092471</v>
      </c>
      <c r="AE6001">
        <v>-14.7411399999999</v>
      </c>
      <c r="AF6001">
        <v>-1.0302463214419</v>
      </c>
      <c r="AG6001">
        <v>-1.109312092471</v>
      </c>
      <c r="AH6001">
        <v>14.625837714948601</v>
      </c>
      <c r="AI6001">
        <v>94.326674572634104</v>
      </c>
      <c r="AJ6001">
        <v>94.029268401356205</v>
      </c>
      <c r="AK6001">
        <v>14.7039827824083</v>
      </c>
      <c r="AL6001">
        <v>80.464352625137593</v>
      </c>
      <c r="AM6001">
        <v>93.045352992988995</v>
      </c>
      <c r="AN6001">
        <v>0.99999996781197997</v>
      </c>
    </row>
    <row r="6002" spans="1:40" x14ac:dyDescent="0.25">
      <c r="A6002" t="str">
        <f>"20190312172528496"</f>
        <v>20190312172528496</v>
      </c>
      <c r="B6002" t="str">
        <f>"1552382728486832"</f>
        <v>1552382728486832</v>
      </c>
      <c r="C6002" t="s">
        <v>40</v>
      </c>
      <c r="D6002">
        <v>3.9050090000000002</v>
      </c>
      <c r="E6002">
        <v>0.49472559999999899</v>
      </c>
      <c r="F6002" t="s">
        <v>43</v>
      </c>
      <c r="G6002">
        <v>-300.86540000000002</v>
      </c>
      <c r="H6002" s="1">
        <v>-1.10925E-6</v>
      </c>
      <c r="I6002">
        <v>-38.361960000000003</v>
      </c>
      <c r="J6002">
        <v>-301.20999999999998</v>
      </c>
      <c r="K6002">
        <v>1.109294</v>
      </c>
      <c r="L6002">
        <v>-23.87753</v>
      </c>
      <c r="M6002">
        <v>-4.6883500000000002E-2</v>
      </c>
      <c r="N6002">
        <v>0</v>
      </c>
      <c r="O6002">
        <v>-0.99889850000000002</v>
      </c>
      <c r="P6002">
        <v>6.3074409999999996E-3</v>
      </c>
      <c r="Q6002">
        <v>0.16316220000000001</v>
      </c>
      <c r="R6002">
        <v>-0.9865794</v>
      </c>
      <c r="S6002">
        <v>7.0037840000000004E-2</v>
      </c>
      <c r="T6002">
        <v>-0.23228260000000001</v>
      </c>
      <c r="U6002">
        <v>-3.0792540000000002</v>
      </c>
      <c r="V6002">
        <v>-5.2625980000000003E-2</v>
      </c>
      <c r="W6002">
        <v>0.16505590000000001</v>
      </c>
      <c r="X6002">
        <v>0.98487919999999995</v>
      </c>
      <c r="Y6002">
        <v>-6.9521379999999994E-2</v>
      </c>
      <c r="Z6002">
        <v>7.4996309999999997E-2</v>
      </c>
      <c r="AA6002">
        <v>0.99475740000000001</v>
      </c>
      <c r="AB6002">
        <v>22</v>
      </c>
      <c r="AC6002">
        <v>0.344599999999957</v>
      </c>
      <c r="AD6002">
        <v>-1.1092951092500001</v>
      </c>
      <c r="AE6002">
        <v>-14.4844299999999</v>
      </c>
      <c r="AF6002">
        <v>-1.0173394610626401</v>
      </c>
      <c r="AG6002">
        <v>-1.1092951092500001</v>
      </c>
      <c r="AH6002">
        <v>14.368120371458</v>
      </c>
      <c r="AI6002">
        <v>94.403798683730002</v>
      </c>
      <c r="AJ6002">
        <v>94.0500872000177</v>
      </c>
      <c r="AK6002">
        <v>14.446743516348199</v>
      </c>
      <c r="AL6002">
        <v>80.499518088558403</v>
      </c>
      <c r="AM6002">
        <v>93.058630698974099</v>
      </c>
      <c r="AN6002">
        <v>0.99999999124420502</v>
      </c>
    </row>
    <row r="6003" spans="1:40" x14ac:dyDescent="0.25">
      <c r="A6003" t="str">
        <f>"20190312172528520"</f>
        <v>20190312172528520</v>
      </c>
      <c r="B6003" t="str">
        <f>"1552382728516112"</f>
        <v>1552382728516112</v>
      </c>
      <c r="C6003" t="s">
        <v>40</v>
      </c>
      <c r="D6003">
        <v>3.8882379999999999</v>
      </c>
      <c r="E6003">
        <v>0.49470049999999999</v>
      </c>
      <c r="F6003" t="s">
        <v>43</v>
      </c>
      <c r="G6003">
        <v>-300.8741</v>
      </c>
      <c r="H6003" s="1">
        <v>-1.07436E-6</v>
      </c>
      <c r="I6003">
        <v>-38.448650000000001</v>
      </c>
      <c r="J6003">
        <v>-301.22050000000002</v>
      </c>
      <c r="K6003">
        <v>1.109281</v>
      </c>
      <c r="L6003">
        <v>-24.109470000000002</v>
      </c>
      <c r="M6003">
        <v>-4.6542140000000003E-2</v>
      </c>
      <c r="N6003">
        <v>0</v>
      </c>
      <c r="O6003">
        <v>-0.99891450000000004</v>
      </c>
      <c r="P6003">
        <v>6.7380419999999996E-3</v>
      </c>
      <c r="Q6003">
        <v>0.16294900000000001</v>
      </c>
      <c r="R6003">
        <v>-0.98661180000000004</v>
      </c>
      <c r="S6003">
        <v>7.0983889999999994E-2</v>
      </c>
      <c r="T6003">
        <v>-0.2344135</v>
      </c>
      <c r="U6003">
        <v>-3.079132</v>
      </c>
      <c r="V6003">
        <v>-5.2715039999999998E-2</v>
      </c>
      <c r="W6003">
        <v>0.1648645</v>
      </c>
      <c r="X6003">
        <v>0.98490650000000002</v>
      </c>
      <c r="Y6003">
        <v>-6.9485649999999996E-2</v>
      </c>
      <c r="Z6003">
        <v>7.5684989999999994E-2</v>
      </c>
      <c r="AA6003">
        <v>0.99470780000000003</v>
      </c>
      <c r="AB6003">
        <v>22</v>
      </c>
      <c r="AC6003">
        <v>0.34640000000001597</v>
      </c>
      <c r="AD6003">
        <v>-1.10928207436</v>
      </c>
      <c r="AE6003">
        <v>-14.339180000000001</v>
      </c>
      <c r="AF6003">
        <v>-1.0073767221121599</v>
      </c>
      <c r="AG6003">
        <v>-1.10928207436</v>
      </c>
      <c r="AH6003">
        <v>14.222452649137299</v>
      </c>
      <c r="AI6003">
        <v>94.448662884485799</v>
      </c>
      <c r="AJ6003">
        <v>94.051495412590597</v>
      </c>
      <c r="AK6003">
        <v>14.3011703695083</v>
      </c>
      <c r="AL6003">
        <v>80.510636873226105</v>
      </c>
      <c r="AM6003">
        <v>93.063712266071306</v>
      </c>
      <c r="AN6003">
        <v>0.99999999627235003</v>
      </c>
    </row>
    <row r="6004" spans="1:40" x14ac:dyDescent="0.25">
      <c r="A6004" t="str">
        <f>"20190312172528544"</f>
        <v>20190312172528544</v>
      </c>
      <c r="B6004" t="str">
        <f>"1552382728536608"</f>
        <v>1552382728536608</v>
      </c>
      <c r="C6004" t="s">
        <v>40</v>
      </c>
      <c r="D6004">
        <v>3.7950439999999999</v>
      </c>
      <c r="E6004">
        <v>0.49468859999999998</v>
      </c>
      <c r="F6004" t="s">
        <v>43</v>
      </c>
      <c r="G6004">
        <v>-300.88049999999998</v>
      </c>
      <c r="H6004" s="1">
        <v>-1.0043390000000001E-6</v>
      </c>
      <c r="I6004">
        <v>-38.615839999999999</v>
      </c>
      <c r="J6004">
        <v>-301.23129999999998</v>
      </c>
      <c r="K6004">
        <v>1.1092789999999999</v>
      </c>
      <c r="L6004">
        <v>-24.347629999999999</v>
      </c>
      <c r="M6004">
        <v>-4.6209380000000001E-2</v>
      </c>
      <c r="N6004">
        <v>0</v>
      </c>
      <c r="O6004">
        <v>-0.99892990000000004</v>
      </c>
      <c r="P6004">
        <v>7.3895999999999996E-3</v>
      </c>
      <c r="Q6004">
        <v>0.16325379999999901</v>
      </c>
      <c r="R6004">
        <v>-0.98655689999999996</v>
      </c>
      <c r="S6004">
        <v>7.2174070000000007E-2</v>
      </c>
      <c r="T6004">
        <v>-0.23545440000000001</v>
      </c>
      <c r="U6004">
        <v>-3.0791019999999998</v>
      </c>
      <c r="V6004">
        <v>-5.3032200000000002E-2</v>
      </c>
      <c r="W6004">
        <v>0.16521250000000001</v>
      </c>
      <c r="X6004">
        <v>0.98483120000000002</v>
      </c>
      <c r="Y6004">
        <v>-6.9537230000000005E-2</v>
      </c>
      <c r="Z6004">
        <v>7.6021160000000004E-2</v>
      </c>
      <c r="AA6004">
        <v>0.99467850000000002</v>
      </c>
      <c r="AB6004">
        <v>22</v>
      </c>
      <c r="AC6004">
        <v>0.35079999999999201</v>
      </c>
      <c r="AD6004">
        <v>-1.1092800043390001</v>
      </c>
      <c r="AE6004">
        <v>-14.26821</v>
      </c>
      <c r="AF6004">
        <v>-1.00368874476339</v>
      </c>
      <c r="AG6004">
        <v>-1.1092800043390001</v>
      </c>
      <c r="AH6004">
        <v>14.151275652629099</v>
      </c>
      <c r="AI6004">
        <v>94.470909586791606</v>
      </c>
      <c r="AJ6004">
        <v>94.056948045073696</v>
      </c>
      <c r="AK6004">
        <v>14.230126345928401</v>
      </c>
      <c r="AL6004">
        <v>80.490421124944504</v>
      </c>
      <c r="AM6004">
        <v>93.082344859157601</v>
      </c>
      <c r="AN6004">
        <v>1.0000000384432599</v>
      </c>
    </row>
    <row r="6005" spans="1:40" x14ac:dyDescent="0.25">
      <c r="A6005" t="str">
        <f>"20190312172528563"</f>
        <v>20190312172528563</v>
      </c>
      <c r="B6005" t="str">
        <f>"1552382728556128"</f>
        <v>1552382728556128</v>
      </c>
      <c r="C6005" t="s">
        <v>40</v>
      </c>
      <c r="D6005">
        <v>3.8025319999999998</v>
      </c>
      <c r="E6005">
        <v>0.49470500000000001</v>
      </c>
      <c r="F6005" t="s">
        <v>43</v>
      </c>
      <c r="G6005">
        <v>-300.87860000000001</v>
      </c>
      <c r="H6005" s="1">
        <v>-8.796868E-7</v>
      </c>
      <c r="I6005">
        <v>-38.905270000000002</v>
      </c>
      <c r="J6005">
        <v>-301.24020000000002</v>
      </c>
      <c r="K6005">
        <v>1.1092850000000001</v>
      </c>
      <c r="L6005">
        <v>-24.54834</v>
      </c>
      <c r="M6005">
        <v>-4.5938079999999999E-2</v>
      </c>
      <c r="N6005">
        <v>0</v>
      </c>
      <c r="O6005">
        <v>-0.99894229999999995</v>
      </c>
      <c r="P6005">
        <v>8.3248479999999993E-3</v>
      </c>
      <c r="Q6005">
        <v>0.16290189999999999</v>
      </c>
      <c r="R6005">
        <v>-0.98660729999999996</v>
      </c>
      <c r="S6005">
        <v>7.4584960000000006E-2</v>
      </c>
      <c r="T6005">
        <v>-0.23462959999999999</v>
      </c>
      <c r="U6005">
        <v>-3.0791629999999999</v>
      </c>
      <c r="V6005">
        <v>-5.3700369999999997E-2</v>
      </c>
      <c r="W6005">
        <v>0.1649111</v>
      </c>
      <c r="X6005">
        <v>0.98484550000000004</v>
      </c>
      <c r="Y6005">
        <v>-7.0044690000000007E-2</v>
      </c>
      <c r="Z6005">
        <v>7.5754269999999999E-2</v>
      </c>
      <c r="AA6005">
        <v>0.99466330000000003</v>
      </c>
      <c r="AB6005">
        <v>22</v>
      </c>
      <c r="AC6005">
        <v>0.36160000000000903</v>
      </c>
      <c r="AD6005">
        <v>-1.1092858796867999</v>
      </c>
      <c r="AE6005">
        <v>-14.35693</v>
      </c>
      <c r="AF6005">
        <v>-1.0146956170839401</v>
      </c>
      <c r="AG6005">
        <v>-1.1092858796867999</v>
      </c>
      <c r="AH6005">
        <v>14.240203867449299</v>
      </c>
      <c r="AI6005">
        <v>94.443021623813706</v>
      </c>
      <c r="AJ6005">
        <v>94.075761823154906</v>
      </c>
      <c r="AK6005">
        <v>14.319341065311599</v>
      </c>
      <c r="AL6005">
        <v>80.507930157638697</v>
      </c>
      <c r="AM6005">
        <v>93.121058794998504</v>
      </c>
      <c r="AN6005">
        <v>1.0000000297557901</v>
      </c>
    </row>
    <row r="6006" spans="1:40" x14ac:dyDescent="0.25">
      <c r="A6006" t="str">
        <f>"20190312172528585"</f>
        <v>20190312172528585</v>
      </c>
      <c r="B6006" t="str">
        <f>"1552382728576624"</f>
        <v>1552382728576624</v>
      </c>
      <c r="C6006" t="s">
        <v>40</v>
      </c>
      <c r="D6006">
        <v>3.8141090000000002</v>
      </c>
      <c r="E6006">
        <v>0.49470360000000002</v>
      </c>
      <c r="F6006" t="s">
        <v>43</v>
      </c>
      <c r="G6006">
        <v>-300.87400000000002</v>
      </c>
      <c r="H6006" s="1">
        <v>-8.2274119999999897E-7</v>
      </c>
      <c r="I6006">
        <v>-39.0351</v>
      </c>
      <c r="J6006">
        <v>-301.25040000000001</v>
      </c>
      <c r="K6006">
        <v>1.1092949999999999</v>
      </c>
      <c r="L6006">
        <v>-24.77563</v>
      </c>
      <c r="M6006">
        <v>-4.563532E-2</v>
      </c>
      <c r="N6006">
        <v>0</v>
      </c>
      <c r="O6006">
        <v>-0.99895619999999996</v>
      </c>
      <c r="P6006">
        <v>9.2949480000000008E-3</v>
      </c>
      <c r="Q6006">
        <v>0.16265350000000001</v>
      </c>
      <c r="R6006">
        <v>-0.98663990000000001</v>
      </c>
      <c r="S6006">
        <v>7.7850340000000004E-2</v>
      </c>
      <c r="T6006">
        <v>-0.23576710000000001</v>
      </c>
      <c r="U6006">
        <v>-3.0790099999999998</v>
      </c>
      <c r="V6006">
        <v>-5.4373089999999999E-2</v>
      </c>
      <c r="W6006">
        <v>0.164731399999999</v>
      </c>
      <c r="X6006">
        <v>0.98483860000000001</v>
      </c>
      <c r="Y6006">
        <v>-7.079705E-2</v>
      </c>
      <c r="Z6006">
        <v>7.6121709999999995E-2</v>
      </c>
      <c r="AA6006">
        <v>0.99458190000000002</v>
      </c>
      <c r="AB6006">
        <v>23</v>
      </c>
      <c r="AC6006">
        <v>0.37639999999998902</v>
      </c>
      <c r="AD6006">
        <v>-1.1092958227412</v>
      </c>
      <c r="AE6006">
        <v>-14.25947</v>
      </c>
      <c r="AF6006">
        <v>-1.0205725575948099</v>
      </c>
      <c r="AG6006">
        <v>-1.1092958227412</v>
      </c>
      <c r="AH6006">
        <v>14.141911670473901</v>
      </c>
      <c r="AI6006">
        <v>94.4735279562709</v>
      </c>
      <c r="AJ6006">
        <v>94.127681303928597</v>
      </c>
      <c r="AK6006">
        <v>14.222017130602501</v>
      </c>
      <c r="AL6006">
        <v>80.5183683806993</v>
      </c>
      <c r="AM6006">
        <v>93.160100539587305</v>
      </c>
      <c r="AN6006">
        <v>0.99999996755603304</v>
      </c>
    </row>
    <row r="6007" spans="1:40" x14ac:dyDescent="0.25">
      <c r="A6007" t="str">
        <f>"20190312172528618"</f>
        <v>20190312172528618</v>
      </c>
      <c r="B6007" t="str">
        <f>"1552382728616640"</f>
        <v>1552382728616640</v>
      </c>
      <c r="C6007" t="s">
        <v>40</v>
      </c>
      <c r="D6007">
        <v>3.8577599999999999</v>
      </c>
      <c r="E6007">
        <v>0.49468279999999998</v>
      </c>
      <c r="F6007" t="s">
        <v>43</v>
      </c>
      <c r="G6007">
        <v>-300.86959999999999</v>
      </c>
      <c r="H6007" s="1">
        <v>-7.4792299999999997E-7</v>
      </c>
      <c r="I6007">
        <v>-39.206800000000001</v>
      </c>
      <c r="J6007">
        <v>-301.2654</v>
      </c>
      <c r="K6007">
        <v>1.1093170000000001</v>
      </c>
      <c r="L6007">
        <v>-25.116150000000001</v>
      </c>
      <c r="M6007">
        <v>-4.518382E-2</v>
      </c>
      <c r="N6007">
        <v>0</v>
      </c>
      <c r="O6007">
        <v>-0.99897619999999998</v>
      </c>
      <c r="P6007">
        <v>1.090437E-2</v>
      </c>
      <c r="Q6007">
        <v>0.16347329999999999</v>
      </c>
      <c r="R6007">
        <v>-0.98648789999999997</v>
      </c>
      <c r="S6007">
        <v>8.1237790000000004E-2</v>
      </c>
      <c r="T6007">
        <v>-0.2366682</v>
      </c>
      <c r="U6007">
        <v>-3.0788880000000001</v>
      </c>
      <c r="V6007">
        <v>-5.553172E-2</v>
      </c>
      <c r="W6007">
        <v>0.1656617</v>
      </c>
      <c r="X6007">
        <v>0.98461790000000005</v>
      </c>
      <c r="Y6007">
        <v>-7.1440149999999994E-2</v>
      </c>
      <c r="Z6007">
        <v>7.6413469999999997E-2</v>
      </c>
      <c r="AA6007">
        <v>0.9945136</v>
      </c>
      <c r="AB6007">
        <v>23</v>
      </c>
      <c r="AC6007">
        <v>0.39580000000000798</v>
      </c>
      <c r="AD6007">
        <v>-1.1093177479230001</v>
      </c>
      <c r="AE6007">
        <v>-14.09065</v>
      </c>
      <c r="AF6007">
        <v>-1.02571439936495</v>
      </c>
      <c r="AG6007">
        <v>-1.1093177479230001</v>
      </c>
      <c r="AH6007">
        <v>13.9718463111793</v>
      </c>
      <c r="AI6007">
        <v>94.527436897582803</v>
      </c>
      <c r="AJ6007">
        <v>94.198719834929406</v>
      </c>
      <c r="AK6007">
        <v>14.0532973083948</v>
      </c>
      <c r="AL6007">
        <v>80.464323788326794</v>
      </c>
      <c r="AM6007">
        <v>93.228019765190595</v>
      </c>
      <c r="AN6007">
        <v>0.999999989886729</v>
      </c>
    </row>
    <row r="6008" spans="1:40" x14ac:dyDescent="0.25">
      <c r="A6008" t="str">
        <f>"20190312172528642"</f>
        <v>20190312172528642</v>
      </c>
      <c r="B6008" t="str">
        <f>"1552382728636160"</f>
        <v>1552382728636160</v>
      </c>
      <c r="C6008" t="s">
        <v>40</v>
      </c>
      <c r="D6008">
        <v>3.804942</v>
      </c>
      <c r="E6008">
        <v>0.48272470000000001</v>
      </c>
      <c r="F6008" t="s">
        <v>43</v>
      </c>
      <c r="G6008">
        <v>-300.84949999999998</v>
      </c>
      <c r="H6008" s="1">
        <v>-5.3942569999999897E-7</v>
      </c>
      <c r="I6008">
        <v>-39.680349999999997</v>
      </c>
      <c r="J6008">
        <v>-301.27569999999997</v>
      </c>
      <c r="K6008">
        <v>1.1093280000000001</v>
      </c>
      <c r="L6008">
        <v>-25.351929999999999</v>
      </c>
      <c r="M6008">
        <v>-4.4869289999999999E-2</v>
      </c>
      <c r="N6008">
        <v>0</v>
      </c>
      <c r="O6008">
        <v>-0.9989903</v>
      </c>
      <c r="P6008">
        <v>1.168725E-2</v>
      </c>
      <c r="Q6008">
        <v>0.16324359999999999</v>
      </c>
      <c r="R6008">
        <v>-0.98651699999999998</v>
      </c>
      <c r="S6008">
        <v>8.7921139999999995E-2</v>
      </c>
      <c r="T6008">
        <v>-0.23451810000000001</v>
      </c>
      <c r="U6008">
        <v>-3.0789789999999999</v>
      </c>
      <c r="V6008">
        <v>-5.6007809999999998E-2</v>
      </c>
      <c r="W6008">
        <v>0.16551260000000001</v>
      </c>
      <c r="X6008">
        <v>0.98461600000000005</v>
      </c>
      <c r="Y6008">
        <v>-7.3283840000000003E-2</v>
      </c>
      <c r="Z6008">
        <v>7.5715309999999994E-2</v>
      </c>
      <c r="AA6008">
        <v>0.99443289999999995</v>
      </c>
      <c r="AB6008">
        <v>23</v>
      </c>
      <c r="AC6008">
        <v>0.42619999999999397</v>
      </c>
      <c r="AD6008">
        <v>-1.1093285394257</v>
      </c>
      <c r="AE6008">
        <v>-14.3284199999999</v>
      </c>
      <c r="AF6008">
        <v>-1.06231643895158</v>
      </c>
      <c r="AG6008">
        <v>-1.1093285394257</v>
      </c>
      <c r="AH6008">
        <v>14.209766524834899</v>
      </c>
      <c r="AI6008">
        <v>94.451542590973403</v>
      </c>
      <c r="AJ6008">
        <v>94.275456132575002</v>
      </c>
      <c r="AK6008">
        <v>14.2925361890453</v>
      </c>
      <c r="AL6008">
        <v>80.472986091294999</v>
      </c>
      <c r="AM6008">
        <v>93.255641532133694</v>
      </c>
      <c r="AN6008">
        <v>0.99999998149787706</v>
      </c>
    </row>
    <row r="6009" spans="1:40" x14ac:dyDescent="0.25">
      <c r="A6009" t="str">
        <f>"20190312172528664"</f>
        <v>20190312172528664</v>
      </c>
      <c r="B6009" t="str">
        <f>"1552382728656656"</f>
        <v>1552382728656656</v>
      </c>
      <c r="C6009" t="s">
        <v>40</v>
      </c>
      <c r="D6009">
        <v>3.788036</v>
      </c>
      <c r="E6009">
        <v>0.48012320000000003</v>
      </c>
      <c r="F6009" t="s">
        <v>43</v>
      </c>
      <c r="G6009">
        <v>-300.36810000000003</v>
      </c>
      <c r="H6009" s="1">
        <v>-1.23429399999999E-7</v>
      </c>
      <c r="I6009">
        <v>-40.351469999999999</v>
      </c>
      <c r="J6009">
        <v>-301.28590000000003</v>
      </c>
      <c r="K6009">
        <v>1.1093420000000001</v>
      </c>
      <c r="L6009">
        <v>-25.587219999999999</v>
      </c>
      <c r="M6009">
        <v>-4.4552019999999998E-2</v>
      </c>
      <c r="N6009">
        <v>0</v>
      </c>
      <c r="O6009">
        <v>-0.99900409999999995</v>
      </c>
      <c r="P6009">
        <v>1.2567439999999999E-2</v>
      </c>
      <c r="Q6009">
        <v>0.16333590000000001</v>
      </c>
      <c r="R6009">
        <v>-0.98649070000000005</v>
      </c>
      <c r="S6009">
        <v>0.18615719999999999</v>
      </c>
      <c r="T6009">
        <v>-0.22752620000000001</v>
      </c>
      <c r="U6009">
        <v>-3.0764469999999999</v>
      </c>
      <c r="V6009">
        <v>-5.6575130000000001E-2</v>
      </c>
      <c r="W6009">
        <v>0.16568939999999999</v>
      </c>
      <c r="X6009">
        <v>0.98455389999999998</v>
      </c>
      <c r="Y6009">
        <v>-0.1046475</v>
      </c>
      <c r="Z6009">
        <v>7.3376860000000002E-2</v>
      </c>
      <c r="AA6009">
        <v>0.99179879999999998</v>
      </c>
      <c r="AB6009">
        <v>23</v>
      </c>
      <c r="AC6009">
        <v>0.91779999999999895</v>
      </c>
      <c r="AD6009">
        <v>-1.1093421234293901</v>
      </c>
      <c r="AE6009">
        <v>-14.764249999999899</v>
      </c>
      <c r="AF6009">
        <v>-1.56586162940617</v>
      </c>
      <c r="AG6009">
        <v>-1.1093421234293901</v>
      </c>
      <c r="AH6009">
        <v>14.6264431952281</v>
      </c>
      <c r="AI6009">
        <v>94.312742243098995</v>
      </c>
      <c r="AJ6009">
        <v>96.1106342918942</v>
      </c>
      <c r="AK6009">
        <v>14.7517932175209</v>
      </c>
      <c r="AL6009">
        <v>80.462715055603795</v>
      </c>
      <c r="AM6009">
        <v>93.288753858970594</v>
      </c>
      <c r="AN6009">
        <v>1.0000000523060399</v>
      </c>
    </row>
    <row r="6010" spans="1:40" x14ac:dyDescent="0.25">
      <c r="A6010" t="str">
        <f>"20190312172528685"</f>
        <v>20190312172528685</v>
      </c>
      <c r="B6010" t="str">
        <f>"1552382728676177"</f>
        <v>1552382728676177</v>
      </c>
      <c r="C6010" t="s">
        <v>40</v>
      </c>
      <c r="D6010">
        <v>3.768767</v>
      </c>
      <c r="E6010">
        <v>0.47913090000000003</v>
      </c>
      <c r="F6010" t="s">
        <v>50</v>
      </c>
      <c r="G6010">
        <v>-300.26979999999998</v>
      </c>
      <c r="H6010" s="1">
        <v>-1.183507E-7</v>
      </c>
      <c r="I6010">
        <v>-40.480310000000003</v>
      </c>
      <c r="J6010">
        <v>-301.29599999999999</v>
      </c>
      <c r="K6010">
        <v>1.109351</v>
      </c>
      <c r="L6010">
        <v>-25.820430000000002</v>
      </c>
      <c r="M6010">
        <v>-4.4235509999999999E-2</v>
      </c>
      <c r="N6010">
        <v>0</v>
      </c>
      <c r="O6010">
        <v>-0.99901799999999996</v>
      </c>
      <c r="P6010">
        <v>1.3454310000000001E-2</v>
      </c>
      <c r="Q6010">
        <v>0.16324610000000001</v>
      </c>
      <c r="R6010">
        <v>-0.98649379999999998</v>
      </c>
      <c r="S6010">
        <v>0.2098999</v>
      </c>
      <c r="T6010">
        <v>-0.2291485</v>
      </c>
      <c r="U6010">
        <v>-3.076355</v>
      </c>
      <c r="V6010">
        <v>-5.7151639999999997E-2</v>
      </c>
      <c r="W6010">
        <v>0.16568749999999999</v>
      </c>
      <c r="X6010">
        <v>0.98452090000000003</v>
      </c>
      <c r="Y6010">
        <v>-0.1119518</v>
      </c>
      <c r="Z6010">
        <v>7.3853210000000002E-2</v>
      </c>
      <c r="AA6010">
        <v>0.9909654</v>
      </c>
      <c r="AB6010">
        <v>23</v>
      </c>
      <c r="AC6010">
        <v>1.02620000000001</v>
      </c>
      <c r="AD6010">
        <v>-1.1093511183507001</v>
      </c>
      <c r="AE6010">
        <v>-14.6598799999999</v>
      </c>
      <c r="AF6010">
        <v>-1.6642014583354099</v>
      </c>
      <c r="AG6010">
        <v>-1.1093511183507001</v>
      </c>
      <c r="AH6010">
        <v>14.517408910730101</v>
      </c>
      <c r="AI6010">
        <v>94.341454830302695</v>
      </c>
      <c r="AJ6010">
        <v>96.539548881121704</v>
      </c>
      <c r="AK6010">
        <v>14.6545347206609</v>
      </c>
      <c r="AL6010">
        <v>80.462825229329795</v>
      </c>
      <c r="AM6010">
        <v>93.322303228222196</v>
      </c>
      <c r="AN6010">
        <v>1.0000000300738701</v>
      </c>
    </row>
    <row r="6011" spans="1:40" x14ac:dyDescent="0.25">
      <c r="A6011" t="str">
        <f>"20190312172528709"</f>
        <v>20190312172528709</v>
      </c>
      <c r="B6011" t="str">
        <f>"1552382728706432"</f>
        <v>1552382728706432</v>
      </c>
      <c r="C6011" t="s">
        <v>40</v>
      </c>
      <c r="D6011">
        <v>3.762086</v>
      </c>
      <c r="E6011">
        <v>0.47829630000000001</v>
      </c>
      <c r="F6011" t="s">
        <v>50</v>
      </c>
      <c r="G6011">
        <v>-300.22699999999998</v>
      </c>
      <c r="H6011" s="1">
        <v>-2.311909E-7</v>
      </c>
      <c r="I6011">
        <v>-40.690899999999999</v>
      </c>
      <c r="J6011">
        <v>-301.30619999999999</v>
      </c>
      <c r="K6011">
        <v>1.1093599999999999</v>
      </c>
      <c r="L6011">
        <v>-26.058009999999999</v>
      </c>
      <c r="M6011">
        <v>-4.3911199999999997E-2</v>
      </c>
      <c r="N6011">
        <v>0</v>
      </c>
      <c r="O6011">
        <v>-0.99903200000000003</v>
      </c>
      <c r="P6011">
        <v>1.394111E-2</v>
      </c>
      <c r="Q6011">
        <v>0.16324159999999999</v>
      </c>
      <c r="R6011">
        <v>-0.98648760000000002</v>
      </c>
      <c r="S6011">
        <v>0.2211304</v>
      </c>
      <c r="T6011">
        <v>-0.22947409999999999</v>
      </c>
      <c r="U6011">
        <v>-3.0760190000000001</v>
      </c>
      <c r="V6011">
        <v>-5.7319809999999999E-2</v>
      </c>
      <c r="W6011">
        <v>0.16577259999999999</v>
      </c>
      <c r="X6011">
        <v>0.98449679999999995</v>
      </c>
      <c r="Y6011">
        <v>-0.1152357</v>
      </c>
      <c r="Z6011">
        <v>7.3943819999999993E-2</v>
      </c>
      <c r="AA6011">
        <v>0.99058219999999997</v>
      </c>
      <c r="AB6011">
        <v>24</v>
      </c>
      <c r="AC6011">
        <v>1.07919999999995</v>
      </c>
      <c r="AD6011">
        <v>-1.1093602311908899</v>
      </c>
      <c r="AE6011">
        <v>-14.63289</v>
      </c>
      <c r="AF6011">
        <v>-1.71092850589066</v>
      </c>
      <c r="AG6011">
        <v>-1.1093602311908899</v>
      </c>
      <c r="AH6011">
        <v>14.488562784697599</v>
      </c>
      <c r="AI6011">
        <v>94.348383228366203</v>
      </c>
      <c r="AJ6011">
        <v>96.734766802894697</v>
      </c>
      <c r="AK6011">
        <v>14.6313501783308</v>
      </c>
      <c r="AL6011">
        <v>80.457881007581406</v>
      </c>
      <c r="AM6011">
        <v>93.332138569619502</v>
      </c>
      <c r="AN6011">
        <v>1.00000003236971</v>
      </c>
    </row>
    <row r="6012" spans="1:40" x14ac:dyDescent="0.25">
      <c r="A6012" t="str">
        <f>"20190312172528731"</f>
        <v>20190312172528731</v>
      </c>
      <c r="B6012" t="str">
        <f>"1552382728725952"</f>
        <v>1552382728725952</v>
      </c>
      <c r="C6012" t="s">
        <v>40</v>
      </c>
      <c r="D6012">
        <v>3.8626019999999999</v>
      </c>
      <c r="E6012">
        <v>0.47835250000000001</v>
      </c>
      <c r="F6012" t="s">
        <v>50</v>
      </c>
      <c r="G6012">
        <v>-300.20690000000002</v>
      </c>
      <c r="H6012" s="1">
        <v>-2.7347669999999998E-7</v>
      </c>
      <c r="I6012">
        <v>-40.76182</v>
      </c>
      <c r="J6012">
        <v>-301.31619999999998</v>
      </c>
      <c r="K6012">
        <v>1.109372</v>
      </c>
      <c r="L6012">
        <v>-26.294429999999998</v>
      </c>
      <c r="M6012">
        <v>-4.3588210000000002E-2</v>
      </c>
      <c r="N6012">
        <v>0</v>
      </c>
      <c r="O6012">
        <v>-0.99904579999999998</v>
      </c>
      <c r="P6012">
        <v>1.4789739999999999E-2</v>
      </c>
      <c r="Q6012">
        <v>0.1635115</v>
      </c>
      <c r="R6012">
        <v>-0.98643060000000005</v>
      </c>
      <c r="S6012">
        <v>0.2299805</v>
      </c>
      <c r="T6012">
        <v>-0.23209540000000001</v>
      </c>
      <c r="U6012">
        <v>-3.076263</v>
      </c>
      <c r="V6012">
        <v>-5.7847629999999997E-2</v>
      </c>
      <c r="W6012">
        <v>0.16613510000000001</v>
      </c>
      <c r="X6012">
        <v>0.98440479999999997</v>
      </c>
      <c r="Y6012">
        <v>-0.1177386</v>
      </c>
      <c r="Z6012">
        <v>7.4760590000000002E-2</v>
      </c>
      <c r="AA6012">
        <v>0.99022650000000001</v>
      </c>
      <c r="AB6012">
        <v>24</v>
      </c>
      <c r="AC6012">
        <v>1.10929999999996</v>
      </c>
      <c r="AD6012">
        <v>-1.1093722734767</v>
      </c>
      <c r="AE6012">
        <v>-14.46739</v>
      </c>
      <c r="AF6012">
        <v>-1.7287501441064299</v>
      </c>
      <c r="AG6012">
        <v>-1.1093722734767</v>
      </c>
      <c r="AH6012">
        <v>14.3215692152739</v>
      </c>
      <c r="AI6012">
        <v>94.397584396854697</v>
      </c>
      <c r="AJ6012">
        <v>96.882847029501406</v>
      </c>
      <c r="AK6012">
        <v>14.4681245740347</v>
      </c>
      <c r="AL6012">
        <v>80.436819067821006</v>
      </c>
      <c r="AM6012">
        <v>93.363065476358699</v>
      </c>
      <c r="AN6012">
        <v>1.0000000150058299</v>
      </c>
    </row>
    <row r="6013" spans="1:40" x14ac:dyDescent="0.25">
      <c r="A6013" t="str">
        <f>"20190312172528755"</f>
        <v>20190312172528755</v>
      </c>
      <c r="B6013" t="str">
        <f>"1552382728746448"</f>
        <v>1552382728746448</v>
      </c>
      <c r="C6013" t="s">
        <v>40</v>
      </c>
      <c r="D6013">
        <v>3.788799</v>
      </c>
      <c r="E6013">
        <v>0.47859970000000002</v>
      </c>
      <c r="F6013" t="s">
        <v>50</v>
      </c>
      <c r="G6013">
        <v>-300.20549999999997</v>
      </c>
      <c r="H6013" s="1">
        <v>-4.2159660000000002E-7</v>
      </c>
      <c r="I6013">
        <v>-40.995159999999998</v>
      </c>
      <c r="J6013">
        <v>-301.3272</v>
      </c>
      <c r="K6013">
        <v>1.109389</v>
      </c>
      <c r="L6013">
        <v>-26.556059999999999</v>
      </c>
      <c r="M6013">
        <v>-4.323047E-2</v>
      </c>
      <c r="N6013">
        <v>0</v>
      </c>
      <c r="O6013">
        <v>-0.99906110000000004</v>
      </c>
      <c r="P6013">
        <v>1.560538E-2</v>
      </c>
      <c r="Q6013">
        <v>0.16381709999999999</v>
      </c>
      <c r="R6013">
        <v>-0.98636760000000001</v>
      </c>
      <c r="S6013">
        <v>0.23242189999999999</v>
      </c>
      <c r="T6013">
        <v>-0.23214650000000001</v>
      </c>
      <c r="U6013">
        <v>-3.076263</v>
      </c>
      <c r="V6013">
        <v>-5.8309079999999999E-2</v>
      </c>
      <c r="W6013">
        <v>0.1665555</v>
      </c>
      <c r="X6013">
        <v>0.98430649999999997</v>
      </c>
      <c r="Y6013">
        <v>-0.1181644</v>
      </c>
      <c r="Z6013">
        <v>7.477462E-2</v>
      </c>
      <c r="AA6013">
        <v>0.99017469999999996</v>
      </c>
      <c r="AB6013">
        <v>24</v>
      </c>
      <c r="AC6013">
        <v>1.1217000000000299</v>
      </c>
      <c r="AD6013">
        <v>-1.1093894215966</v>
      </c>
      <c r="AE6013">
        <v>-14.4391</v>
      </c>
      <c r="AF6013">
        <v>-1.7346841676506199</v>
      </c>
      <c r="AG6013">
        <v>-1.1093894215966</v>
      </c>
      <c r="AH6013">
        <v>14.2932395823471</v>
      </c>
      <c r="AI6013">
        <v>94.405991482195205</v>
      </c>
      <c r="AJ6013">
        <v>96.919800758643504</v>
      </c>
      <c r="AK6013">
        <v>14.4407954008296</v>
      </c>
      <c r="AL6013">
        <v>80.412391294365406</v>
      </c>
      <c r="AM6013">
        <v>93.390168049174903</v>
      </c>
      <c r="AN6013">
        <v>0.999999984666473</v>
      </c>
    </row>
    <row r="6014" spans="1:40" x14ac:dyDescent="0.25">
      <c r="A6014" t="str">
        <f>"20190312172528775"</f>
        <v>20190312172528775</v>
      </c>
      <c r="B6014" t="str">
        <f>"1552382728765969"</f>
        <v>1552382728765969</v>
      </c>
      <c r="C6014" t="s">
        <v>40</v>
      </c>
      <c r="D6014">
        <v>3.794915</v>
      </c>
      <c r="E6014">
        <v>0.47870649999999998</v>
      </c>
      <c r="F6014" t="s">
        <v>50</v>
      </c>
      <c r="G6014">
        <v>-300.20929999999998</v>
      </c>
      <c r="H6014" s="1">
        <v>-6.5584690000000002E-7</v>
      </c>
      <c r="I6014">
        <v>-41.362850000000002</v>
      </c>
      <c r="J6014">
        <v>-301.33620000000002</v>
      </c>
      <c r="K6014">
        <v>1.109405</v>
      </c>
      <c r="L6014">
        <v>-26.772030000000001</v>
      </c>
      <c r="M6014">
        <v>-4.2935420000000002E-2</v>
      </c>
      <c r="N6014">
        <v>0</v>
      </c>
      <c r="O6014">
        <v>-0.99907349999999995</v>
      </c>
      <c r="P6014">
        <v>1.6520730000000001E-2</v>
      </c>
      <c r="Q6014">
        <v>0.16437170000000001</v>
      </c>
      <c r="R6014">
        <v>-0.98626020000000003</v>
      </c>
      <c r="S6014">
        <v>0.2322388</v>
      </c>
      <c r="T6014">
        <v>-0.23047329999999999</v>
      </c>
      <c r="U6014">
        <v>-3.0760800000000001</v>
      </c>
      <c r="V6014">
        <v>-5.8929820000000001E-2</v>
      </c>
      <c r="W6014">
        <v>0.1672255</v>
      </c>
      <c r="X6014">
        <v>0.98415600000000003</v>
      </c>
      <c r="Y6014">
        <v>-0.11781999999999999</v>
      </c>
      <c r="Z6014">
        <v>7.4246190000000004E-2</v>
      </c>
      <c r="AA6014">
        <v>0.99025549999999996</v>
      </c>
      <c r="AB6014">
        <v>24</v>
      </c>
      <c r="AC6014">
        <v>1.12690000000003</v>
      </c>
      <c r="AD6014">
        <v>-1.1094056558469001</v>
      </c>
      <c r="AE6014">
        <v>-14.590820000000001</v>
      </c>
      <c r="AF6014">
        <v>-1.7423135140016099</v>
      </c>
      <c r="AG6014">
        <v>-1.1094056558469001</v>
      </c>
      <c r="AH6014">
        <v>14.4459604043717</v>
      </c>
      <c r="AI6014">
        <v>94.360046936811401</v>
      </c>
      <c r="AJ6014">
        <v>96.877171373073395</v>
      </c>
      <c r="AK6014">
        <v>14.5928821449011</v>
      </c>
      <c r="AL6014">
        <v>80.373457836305704</v>
      </c>
      <c r="AM6014">
        <v>93.426695873853504</v>
      </c>
      <c r="AN6014">
        <v>1.0000000619357301</v>
      </c>
    </row>
    <row r="6015" spans="1:40" x14ac:dyDescent="0.25">
      <c r="A6015" t="str">
        <f>"20190312172528798"</f>
        <v>20190312172528798</v>
      </c>
      <c r="B6015" t="str">
        <f>"1552382728786465"</f>
        <v>1552382728786465</v>
      </c>
      <c r="C6015" t="s">
        <v>40</v>
      </c>
      <c r="D6015">
        <v>3.8062320000000001</v>
      </c>
      <c r="E6015">
        <v>0.47878100000000001</v>
      </c>
      <c r="F6015" t="s">
        <v>50</v>
      </c>
      <c r="G6015">
        <v>-300.20420000000001</v>
      </c>
      <c r="H6015" s="1">
        <v>-8.6024249999999899E-7</v>
      </c>
      <c r="I6015">
        <v>-41.685540000000003</v>
      </c>
      <c r="J6015">
        <v>-301.34620000000001</v>
      </c>
      <c r="K6015">
        <v>1.109437</v>
      </c>
      <c r="L6015">
        <v>-27.011869999999998</v>
      </c>
      <c r="M6015">
        <v>-4.2608310000000003E-2</v>
      </c>
      <c r="N6015">
        <v>0</v>
      </c>
      <c r="O6015">
        <v>-0.99908710000000001</v>
      </c>
      <c r="P6015">
        <v>1.7406580000000001E-2</v>
      </c>
      <c r="Q6015">
        <v>0.16549620000000001</v>
      </c>
      <c r="R6015">
        <v>-0.98605699999999996</v>
      </c>
      <c r="S6015">
        <v>0.23349</v>
      </c>
      <c r="T6015">
        <v>-0.2288229</v>
      </c>
      <c r="U6015">
        <v>-3.0760190000000001</v>
      </c>
      <c r="V6015">
        <v>-5.9485410000000002E-2</v>
      </c>
      <c r="W6015">
        <v>0.168506399999999</v>
      </c>
      <c r="X6015">
        <v>0.983904</v>
      </c>
      <c r="Y6015">
        <v>-0.1178998</v>
      </c>
      <c r="Z6015">
        <v>7.3719000000000007E-2</v>
      </c>
      <c r="AA6015">
        <v>0.99028539999999998</v>
      </c>
      <c r="AB6015">
        <v>24</v>
      </c>
      <c r="AC6015">
        <v>1.1419999999999899</v>
      </c>
      <c r="AD6015">
        <v>-1.1094378602424999</v>
      </c>
      <c r="AE6015">
        <v>-14.67367</v>
      </c>
      <c r="AF6015">
        <v>-1.7562072595626901</v>
      </c>
      <c r="AG6015">
        <v>-1.1094378602424999</v>
      </c>
      <c r="AH6015">
        <v>14.529129708931199</v>
      </c>
      <c r="AI6015">
        <v>94.335172798658405</v>
      </c>
      <c r="AJ6015">
        <v>96.892185384237095</v>
      </c>
      <c r="AK6015">
        <v>14.676877270156201</v>
      </c>
      <c r="AL6015">
        <v>80.2990106653602</v>
      </c>
      <c r="AM6015">
        <v>93.459808426845498</v>
      </c>
      <c r="AN6015">
        <v>1.0000000010299099</v>
      </c>
    </row>
    <row r="6016" spans="1:40" x14ac:dyDescent="0.25">
      <c r="A6016" t="str">
        <f>"20190312172528820"</f>
        <v>20190312172528820</v>
      </c>
      <c r="B6016" t="str">
        <f>"1552382728816721"</f>
        <v>1552382728816721</v>
      </c>
      <c r="C6016" t="s">
        <v>40</v>
      </c>
      <c r="D6016">
        <v>3.8907910000000001</v>
      </c>
      <c r="E6016">
        <v>0.47887970000000002</v>
      </c>
      <c r="F6016" t="s">
        <v>50</v>
      </c>
      <c r="G6016">
        <v>-300.19060000000002</v>
      </c>
      <c r="H6016" s="1">
        <v>-1.146992E-6</v>
      </c>
      <c r="I6016">
        <v>-42.139659999999999</v>
      </c>
      <c r="J6016">
        <v>-301.3562</v>
      </c>
      <c r="K6016">
        <v>1.10948</v>
      </c>
      <c r="L6016">
        <v>-27.255459999999999</v>
      </c>
      <c r="M6016">
        <v>-4.2276920000000003E-2</v>
      </c>
      <c r="N6016">
        <v>0</v>
      </c>
      <c r="O6016">
        <v>-0.99910069999999995</v>
      </c>
      <c r="P6016">
        <v>1.8624229999999999E-2</v>
      </c>
      <c r="Q6016">
        <v>0.16631850000000001</v>
      </c>
      <c r="R6016">
        <v>-0.98589649999999995</v>
      </c>
      <c r="S6016">
        <v>0.23498540000000001</v>
      </c>
      <c r="T6016">
        <v>-0.2255974</v>
      </c>
      <c r="U6016">
        <v>-3.0761409999999998</v>
      </c>
      <c r="V6016">
        <v>-6.0370779999999999E-2</v>
      </c>
      <c r="W6016">
        <v>0.16952529999999999</v>
      </c>
      <c r="X6016">
        <v>0.98367499999999997</v>
      </c>
      <c r="Y6016">
        <v>-0.1180519</v>
      </c>
      <c r="Z6016">
        <v>7.2682109999999994E-2</v>
      </c>
      <c r="AA6016">
        <v>0.99034390000000005</v>
      </c>
      <c r="AB6016">
        <v>24</v>
      </c>
      <c r="AC6016">
        <v>1.16559999999998</v>
      </c>
      <c r="AD6016">
        <v>-1.1094811469920001</v>
      </c>
      <c r="AE6016">
        <v>-14.8842</v>
      </c>
      <c r="AF6016">
        <v>-1.78396737225082</v>
      </c>
      <c r="AG6016">
        <v>-1.1094811469920001</v>
      </c>
      <c r="AH6016">
        <v>14.7402117043128</v>
      </c>
      <c r="AI6016">
        <v>94.273412908402904</v>
      </c>
      <c r="AJ6016">
        <v>96.900788248267901</v>
      </c>
      <c r="AK6016">
        <v>14.889168179879899</v>
      </c>
      <c r="AL6016">
        <v>80.239779671625001</v>
      </c>
      <c r="AM6016">
        <v>93.511991055924597</v>
      </c>
      <c r="AN6016">
        <v>0.99999998202144902</v>
      </c>
    </row>
    <row r="6017" spans="1:40" x14ac:dyDescent="0.25">
      <c r="A6017" t="str">
        <f>"20190312172528843"</f>
        <v>20190312172528843</v>
      </c>
      <c r="B6017" t="str">
        <f>"1552382728836241"</f>
        <v>1552382728836241</v>
      </c>
      <c r="C6017" t="s">
        <v>40</v>
      </c>
      <c r="D6017">
        <v>3.9197769999999998</v>
      </c>
      <c r="E6017">
        <v>0.47665550000000001</v>
      </c>
      <c r="F6017" t="s">
        <v>50</v>
      </c>
      <c r="G6017">
        <v>-300.17599999999999</v>
      </c>
      <c r="H6017" s="1">
        <v>-1.406115E-6</v>
      </c>
      <c r="I6017">
        <v>-42.550519999999999</v>
      </c>
      <c r="J6017">
        <v>-301.3664</v>
      </c>
      <c r="K6017">
        <v>1.1095389999999901</v>
      </c>
      <c r="L6017">
        <v>-27.5062</v>
      </c>
      <c r="M6017">
        <v>-4.1936380000000002E-2</v>
      </c>
      <c r="N6017">
        <v>0</v>
      </c>
      <c r="O6017">
        <v>-0.9991141</v>
      </c>
      <c r="P6017">
        <v>2.028218E-2</v>
      </c>
      <c r="Q6017">
        <v>0.1666059</v>
      </c>
      <c r="R6017">
        <v>-0.98581529999999995</v>
      </c>
      <c r="S6017">
        <v>0.23736570000000001</v>
      </c>
      <c r="T6017">
        <v>-0.22313440000000001</v>
      </c>
      <c r="U6017">
        <v>-3.0760800000000001</v>
      </c>
      <c r="V6017">
        <v>-6.1689979999999998E-2</v>
      </c>
      <c r="W6017">
        <v>0.17006569999999999</v>
      </c>
      <c r="X6017">
        <v>0.98349989999999998</v>
      </c>
      <c r="Y6017">
        <v>-0.1184813</v>
      </c>
      <c r="Z6017">
        <v>7.1891769999999994E-2</v>
      </c>
      <c r="AA6017">
        <v>0.99035030000000002</v>
      </c>
      <c r="AB6017">
        <v>24</v>
      </c>
      <c r="AC6017">
        <v>1.1904000000000099</v>
      </c>
      <c r="AD6017">
        <v>-1.1095404061149901</v>
      </c>
      <c r="AE6017">
        <v>-15.044320000000001</v>
      </c>
      <c r="AF6017">
        <v>-1.81047459058966</v>
      </c>
      <c r="AG6017">
        <v>-1.1095404061149901</v>
      </c>
      <c r="AH6017">
        <v>14.9006194165768</v>
      </c>
      <c r="AI6017">
        <v>94.227561912949696</v>
      </c>
      <c r="AJ6017">
        <v>96.927668898078693</v>
      </c>
      <c r="AK6017">
        <v>15.051158000420999</v>
      </c>
      <c r="AL6017">
        <v>80.208361229348</v>
      </c>
      <c r="AM6017">
        <v>93.589172610955103</v>
      </c>
      <c r="AN6017">
        <v>1.00000002462444</v>
      </c>
    </row>
    <row r="6018" spans="1:40" x14ac:dyDescent="0.25">
      <c r="A6018" t="str">
        <f>"20190312172528864"</f>
        <v>20190312172528864</v>
      </c>
      <c r="B6018" t="str">
        <f>"1552382728856737"</f>
        <v>1552382728856737</v>
      </c>
      <c r="C6018" t="s">
        <v>40</v>
      </c>
      <c r="D6018">
        <v>3.931073</v>
      </c>
      <c r="E6018">
        <v>0.47746850000000002</v>
      </c>
      <c r="F6018" t="s">
        <v>50</v>
      </c>
      <c r="G6018">
        <v>-300.19279999999998</v>
      </c>
      <c r="H6018" s="1">
        <v>-7.0235419999999897E-7</v>
      </c>
      <c r="I6018">
        <v>-41.439639999999997</v>
      </c>
      <c r="J6018">
        <v>-301.37610000000001</v>
      </c>
      <c r="K6018">
        <v>1.1095999999999999</v>
      </c>
      <c r="L6018">
        <v>-27.745940000000001</v>
      </c>
      <c r="M6018">
        <v>-4.1610479999999998E-2</v>
      </c>
      <c r="N6018">
        <v>0</v>
      </c>
      <c r="O6018">
        <v>-0.99912670000000003</v>
      </c>
      <c r="P6018">
        <v>2.250191E-2</v>
      </c>
      <c r="Q6018">
        <v>0.16607539999999901</v>
      </c>
      <c r="R6018">
        <v>-0.98585639999999997</v>
      </c>
      <c r="S6018">
        <v>0.25936890000000001</v>
      </c>
      <c r="T6018">
        <v>-0.24520790000000001</v>
      </c>
      <c r="U6018">
        <v>-3.079285</v>
      </c>
      <c r="V6018">
        <v>-6.3589469999999995E-2</v>
      </c>
      <c r="W6018">
        <v>0.16982939999999999</v>
      </c>
      <c r="X6018">
        <v>0.98341970000000001</v>
      </c>
      <c r="Y6018">
        <v>-0.12506239999999999</v>
      </c>
      <c r="Z6018">
        <v>7.8826579999999993E-2</v>
      </c>
      <c r="AA6018">
        <v>0.98901249999999996</v>
      </c>
      <c r="AB6018">
        <v>24</v>
      </c>
      <c r="AC6018">
        <v>1.18330000000003</v>
      </c>
      <c r="AD6018">
        <v>-1.1096007023541901</v>
      </c>
      <c r="AE6018">
        <v>-13.6937</v>
      </c>
      <c r="AF6018">
        <v>-1.7407359511217799</v>
      </c>
      <c r="AG6018">
        <v>-1.1096007023541901</v>
      </c>
      <c r="AH6018">
        <v>13.5443307032423</v>
      </c>
      <c r="AI6018">
        <v>94.645380038381106</v>
      </c>
      <c r="AJ6018">
        <v>97.323585194417106</v>
      </c>
      <c r="AK6018">
        <v>13.700739745319799</v>
      </c>
      <c r="AL6018">
        <v>80.222099599902407</v>
      </c>
      <c r="AM6018">
        <v>93.699684998343002</v>
      </c>
      <c r="AN6018">
        <v>0.99999997607366498</v>
      </c>
    </row>
    <row r="6019" spans="1:40" x14ac:dyDescent="0.25">
      <c r="A6019" t="str">
        <f>"20190312172528886"</f>
        <v>20190312172528886</v>
      </c>
      <c r="B6019" t="str">
        <f>"1552382728876256"</f>
        <v>1552382728876256</v>
      </c>
      <c r="C6019" t="s">
        <v>40</v>
      </c>
      <c r="D6019">
        <v>3.8077839999999998</v>
      </c>
      <c r="E6019">
        <v>0.47777930000000002</v>
      </c>
      <c r="F6019" t="s">
        <v>50</v>
      </c>
      <c r="G6019">
        <v>-300.19510000000002</v>
      </c>
      <c r="H6019" s="1">
        <v>-9.3239920000000002E-7</v>
      </c>
      <c r="I6019">
        <v>-41.801049999999996</v>
      </c>
      <c r="J6019">
        <v>-301.38600000000002</v>
      </c>
      <c r="K6019">
        <v>1.1096680000000001</v>
      </c>
      <c r="L6019">
        <v>-27.991299999999999</v>
      </c>
      <c r="M6019">
        <v>-4.1276640000000003E-2</v>
      </c>
      <c r="N6019">
        <v>0</v>
      </c>
      <c r="O6019">
        <v>-0.99913890000000005</v>
      </c>
      <c r="P6019">
        <v>2.4337359999999999E-2</v>
      </c>
      <c r="Q6019">
        <v>0.16632239999999901</v>
      </c>
      <c r="R6019">
        <v>-0.98577090000000001</v>
      </c>
      <c r="S6019">
        <v>0.25863649999999999</v>
      </c>
      <c r="T6019">
        <v>-0.2430023</v>
      </c>
      <c r="U6019">
        <v>-3.0780639999999999</v>
      </c>
      <c r="V6019">
        <v>-6.5092239999999996E-2</v>
      </c>
      <c r="W6019">
        <v>0.17041149999999999</v>
      </c>
      <c r="X6019">
        <v>0.98322069999999995</v>
      </c>
      <c r="Y6019">
        <v>-0.12453450000000001</v>
      </c>
      <c r="Z6019">
        <v>7.8157630000000006E-2</v>
      </c>
      <c r="AA6019">
        <v>0.98913220000000002</v>
      </c>
      <c r="AB6019">
        <v>25</v>
      </c>
      <c r="AC6019">
        <v>1.1908999999999399</v>
      </c>
      <c r="AD6019">
        <v>-1.1096689323991999</v>
      </c>
      <c r="AE6019">
        <v>-13.8097499999999</v>
      </c>
      <c r="AF6019">
        <v>-1.74870254810332</v>
      </c>
      <c r="AG6019">
        <v>-1.1096689323991999</v>
      </c>
      <c r="AH6019">
        <v>13.6612672226409</v>
      </c>
      <c r="AI6019">
        <v>94.606369908922105</v>
      </c>
      <c r="AJ6019">
        <v>97.294445311689401</v>
      </c>
      <c r="AK6019">
        <v>13.817363998595299</v>
      </c>
      <c r="AL6019">
        <v>80.188254728490094</v>
      </c>
      <c r="AM6019">
        <v>93.787630069831593</v>
      </c>
      <c r="AN6019">
        <v>1.0000000119744701</v>
      </c>
    </row>
    <row r="6020" spans="1:40" x14ac:dyDescent="0.25">
      <c r="A6020" t="str">
        <f>"20190312172528909"</f>
        <v>20190312172528909</v>
      </c>
      <c r="B6020" t="str">
        <f>"1552382728906513"</f>
        <v>1552382728906513</v>
      </c>
      <c r="C6020" t="s">
        <v>40</v>
      </c>
      <c r="D6020">
        <v>3.9363679999999999</v>
      </c>
      <c r="E6020">
        <v>0.4739584</v>
      </c>
      <c r="F6020" t="s">
        <v>50</v>
      </c>
      <c r="G6020">
        <v>-300.1712</v>
      </c>
      <c r="H6020" s="1">
        <v>-1.239141E-6</v>
      </c>
      <c r="I6020">
        <v>-42.288870000000003</v>
      </c>
      <c r="J6020">
        <v>-301.39580000000001</v>
      </c>
      <c r="K6020">
        <v>1.1097360000000001</v>
      </c>
      <c r="L6020">
        <v>-28.237179999999999</v>
      </c>
      <c r="M6020">
        <v>-4.0941640000000001E-2</v>
      </c>
      <c r="N6020">
        <v>0</v>
      </c>
      <c r="O6020">
        <v>-0.99915129999999996</v>
      </c>
      <c r="P6020">
        <v>2.5657920000000001E-2</v>
      </c>
      <c r="Q6020">
        <v>0.16744619999999999</v>
      </c>
      <c r="R6020">
        <v>-0.98554739999999996</v>
      </c>
      <c r="S6020">
        <v>0.26144410000000001</v>
      </c>
      <c r="T6020">
        <v>-0.23882510000000001</v>
      </c>
      <c r="U6020">
        <v>-3.0771480000000002</v>
      </c>
      <c r="V6020">
        <v>-6.6073980000000004E-2</v>
      </c>
      <c r="W6020">
        <v>0.17189849999999901</v>
      </c>
      <c r="X6020">
        <v>0.98289629999999995</v>
      </c>
      <c r="Y6020">
        <v>-0.1251312</v>
      </c>
      <c r="Z6020">
        <v>7.684059E-2</v>
      </c>
      <c r="AA6020">
        <v>0.98916009999999999</v>
      </c>
      <c r="AB6020">
        <v>25</v>
      </c>
      <c r="AC6020">
        <v>1.2245999999999999</v>
      </c>
      <c r="AD6020">
        <v>-1.1097372391410001</v>
      </c>
      <c r="AE6020">
        <v>-14.051690000000001</v>
      </c>
      <c r="AF6020">
        <v>-1.78781159968099</v>
      </c>
      <c r="AG6020">
        <v>-1.1097372391410001</v>
      </c>
      <c r="AH6020">
        <v>13.9037051006495</v>
      </c>
      <c r="AI6020">
        <v>94.526332689420101</v>
      </c>
      <c r="AJ6020">
        <v>97.327186514969199</v>
      </c>
      <c r="AK6020">
        <v>14.0620340840761</v>
      </c>
      <c r="AL6020">
        <v>80.101779772438107</v>
      </c>
      <c r="AM6020">
        <v>93.845851229170293</v>
      </c>
      <c r="AN6020">
        <v>1.00000000084449</v>
      </c>
    </row>
    <row r="6021" spans="1:40" x14ac:dyDescent="0.25">
      <c r="A6021" t="str">
        <f>"20190312172528932"</f>
        <v>20190312172528932</v>
      </c>
      <c r="B6021" t="str">
        <f>"1552382728927009"</f>
        <v>1552382728927009</v>
      </c>
      <c r="C6021" t="s">
        <v>40</v>
      </c>
      <c r="D6021">
        <v>3.986469</v>
      </c>
      <c r="E6021">
        <v>0.47559449999999998</v>
      </c>
      <c r="F6021" t="s">
        <v>50</v>
      </c>
      <c r="G6021">
        <v>-300.1592</v>
      </c>
      <c r="H6021" s="1">
        <v>-4.6916089999999998E-7</v>
      </c>
      <c r="I6021">
        <v>-41.080120000000001</v>
      </c>
      <c r="J6021">
        <v>-301.40570000000002</v>
      </c>
      <c r="K6021">
        <v>1.109818</v>
      </c>
      <c r="L6021">
        <v>-28.490300000000001</v>
      </c>
      <c r="M6021">
        <v>-4.0596760000000003E-2</v>
      </c>
      <c r="N6021">
        <v>0</v>
      </c>
      <c r="O6021">
        <v>-0.99916320000000003</v>
      </c>
      <c r="P6021">
        <v>2.726814E-2</v>
      </c>
      <c r="Q6021">
        <v>0.16863259999999999</v>
      </c>
      <c r="R6021">
        <v>-0.9853016</v>
      </c>
      <c r="S6021">
        <v>0.29669190000000001</v>
      </c>
      <c r="T6021">
        <v>-0.26626830000000001</v>
      </c>
      <c r="U6021">
        <v>-3.081512</v>
      </c>
      <c r="V6021">
        <v>-6.7335179999999994E-2</v>
      </c>
      <c r="W6021">
        <v>0.1734986</v>
      </c>
      <c r="X6021">
        <v>0.98252949999999994</v>
      </c>
      <c r="Y6021">
        <v>-0.13581849999999901</v>
      </c>
      <c r="Z6021">
        <v>8.5385989999999995E-2</v>
      </c>
      <c r="AA6021">
        <v>0.98704740000000002</v>
      </c>
      <c r="AB6021">
        <v>25</v>
      </c>
      <c r="AC6021">
        <v>1.2465000000000199</v>
      </c>
      <c r="AD6021">
        <v>-1.1098184691609001</v>
      </c>
      <c r="AE6021">
        <v>-12.58982</v>
      </c>
      <c r="AF6021">
        <v>-1.7431703099342299</v>
      </c>
      <c r="AG6021">
        <v>-1.1098184691609001</v>
      </c>
      <c r="AH6021">
        <v>12.433158855430399</v>
      </c>
      <c r="AI6021">
        <v>95.0517126082527</v>
      </c>
      <c r="AJ6021">
        <v>97.981036239028796</v>
      </c>
      <c r="AK6021">
        <v>12.603720835066699</v>
      </c>
      <c r="AL6021">
        <v>80.008702306814399</v>
      </c>
      <c r="AM6021">
        <v>93.920491547747901</v>
      </c>
      <c r="AN6021">
        <v>1.0000000045189199</v>
      </c>
    </row>
    <row r="6022" spans="1:40" x14ac:dyDescent="0.25">
      <c r="A6022" t="str">
        <f>"20190312172528956"</f>
        <v>20190312172528956</v>
      </c>
      <c r="B6022" t="str">
        <f>"1552382728946529"</f>
        <v>1552382728946529</v>
      </c>
      <c r="C6022" t="s">
        <v>40</v>
      </c>
      <c r="D6022">
        <v>3.8199399999999999</v>
      </c>
      <c r="E6022">
        <v>0.47584399999999899</v>
      </c>
      <c r="F6022" t="s">
        <v>50</v>
      </c>
      <c r="G6022">
        <v>-300.13679999999999</v>
      </c>
      <c r="H6022" s="1">
        <v>-1.0837249999999999E-6</v>
      </c>
      <c r="I6022">
        <v>-42.051900000000003</v>
      </c>
      <c r="J6022">
        <v>-301.41579999999999</v>
      </c>
      <c r="K6022">
        <v>1.109909</v>
      </c>
      <c r="L6022">
        <v>-28.749300000000002</v>
      </c>
      <c r="M6022">
        <v>-4.0243000000000001E-2</v>
      </c>
      <c r="N6022">
        <v>0</v>
      </c>
      <c r="O6022">
        <v>-0.99917489999999998</v>
      </c>
      <c r="P6022">
        <v>2.9190190000000001E-2</v>
      </c>
      <c r="Q6022">
        <v>0.168676399999999</v>
      </c>
      <c r="R6022">
        <v>-0.98523899999999998</v>
      </c>
      <c r="S6022">
        <v>0.28817749999999998</v>
      </c>
      <c r="T6022">
        <v>-0.25204690000000002</v>
      </c>
      <c r="U6022">
        <v>-3.0799259999999999</v>
      </c>
      <c r="V6022">
        <v>-6.8906410000000001E-2</v>
      </c>
      <c r="W6022">
        <v>0.17403440000000001</v>
      </c>
      <c r="X6022">
        <v>0.98232580000000003</v>
      </c>
      <c r="Y6022">
        <v>-0.1328462</v>
      </c>
      <c r="Z6022">
        <v>8.0926399999999996E-2</v>
      </c>
      <c r="AA6022">
        <v>0.98782729999999996</v>
      </c>
      <c r="AB6022">
        <v>25</v>
      </c>
      <c r="AC6022">
        <v>1.2789999999999899</v>
      </c>
      <c r="AD6022">
        <v>-1.109910083725</v>
      </c>
      <c r="AE6022">
        <v>-13.3026</v>
      </c>
      <c r="AF6022">
        <v>-1.8008864162185001</v>
      </c>
      <c r="AG6022">
        <v>-1.109910083725</v>
      </c>
      <c r="AH6022">
        <v>13.1496492195825</v>
      </c>
      <c r="AI6022">
        <v>94.780263286944106</v>
      </c>
      <c r="AJ6022">
        <v>97.798325713871805</v>
      </c>
      <c r="AK6022">
        <v>13.3187224190664</v>
      </c>
      <c r="AL6022">
        <v>79.977529156751601</v>
      </c>
      <c r="AM6022">
        <v>94.012507954967802</v>
      </c>
      <c r="AN6022">
        <v>1.0000000215340401</v>
      </c>
    </row>
    <row r="6023" spans="1:40" x14ac:dyDescent="0.25">
      <c r="A6023" t="str">
        <f>"20190312172528976"</f>
        <v>20190312172528976</v>
      </c>
      <c r="B6023" t="str">
        <f>"1552382728967025"</f>
        <v>1552382728967025</v>
      </c>
      <c r="C6023" t="s">
        <v>40</v>
      </c>
      <c r="D6023">
        <v>3.8049409999999999</v>
      </c>
      <c r="E6023">
        <v>0.47643920000000001</v>
      </c>
      <c r="F6023" t="s">
        <v>50</v>
      </c>
      <c r="G6023">
        <v>-300.14460000000003</v>
      </c>
      <c r="H6023" s="1">
        <v>-1.1820150000000001E-6</v>
      </c>
      <c r="I6023">
        <v>-42.204830000000001</v>
      </c>
      <c r="J6023">
        <v>-301.4248</v>
      </c>
      <c r="K6023">
        <v>1.1100239999999999</v>
      </c>
      <c r="L6023">
        <v>-28.9801</v>
      </c>
      <c r="M6023">
        <v>-3.9918549999999997E-2</v>
      </c>
      <c r="N6023">
        <v>0</v>
      </c>
      <c r="O6023">
        <v>-0.99918499999999999</v>
      </c>
      <c r="P6023">
        <v>3.045724E-2</v>
      </c>
      <c r="Q6023">
        <v>0.16777890000000001</v>
      </c>
      <c r="R6023">
        <v>-0.98535419999999996</v>
      </c>
      <c r="S6023">
        <v>0.290985099999999</v>
      </c>
      <c r="T6023">
        <v>-0.25404719999999997</v>
      </c>
      <c r="U6023">
        <v>-3.079834</v>
      </c>
      <c r="V6023">
        <v>-6.9860530000000004E-2</v>
      </c>
      <c r="W6023">
        <v>0.17366019999999999</v>
      </c>
      <c r="X6023">
        <v>0.98232459999999999</v>
      </c>
      <c r="Y6023">
        <v>-0.13341500000000001</v>
      </c>
      <c r="Z6023">
        <v>8.1561739999999994E-2</v>
      </c>
      <c r="AA6023">
        <v>0.98769839999999998</v>
      </c>
      <c r="AB6023">
        <v>25</v>
      </c>
      <c r="AC6023">
        <v>1.28019999999997</v>
      </c>
      <c r="AD6023">
        <v>-1.110025182015</v>
      </c>
      <c r="AE6023">
        <v>-13.224729999999999</v>
      </c>
      <c r="AF6023">
        <v>-1.79457534385844</v>
      </c>
      <c r="AG6023">
        <v>-1.110025182015</v>
      </c>
      <c r="AH6023">
        <v>13.071845531900699</v>
      </c>
      <c r="AI6023">
        <v>94.808864631505401</v>
      </c>
      <c r="AJ6023">
        <v>97.817016387258406</v>
      </c>
      <c r="AK6023">
        <v>13.2410649941522</v>
      </c>
      <c r="AL6023">
        <v>79.999300435297201</v>
      </c>
      <c r="AM6023">
        <v>94.067887278080093</v>
      </c>
      <c r="AN6023">
        <v>0.99999998924054001</v>
      </c>
    </row>
    <row r="6024" spans="1:40" x14ac:dyDescent="0.25">
      <c r="A6024" t="str">
        <f>"20190312172529000"</f>
        <v>20190312172529000</v>
      </c>
      <c r="B6024" t="str">
        <f>"1552382728996305"</f>
        <v>1552382728996305</v>
      </c>
      <c r="C6024" t="s">
        <v>40</v>
      </c>
      <c r="D6024">
        <v>3.805212</v>
      </c>
      <c r="E6024">
        <v>0.47742980000000002</v>
      </c>
      <c r="F6024" t="s">
        <v>50</v>
      </c>
      <c r="G6024">
        <v>-300.1995</v>
      </c>
      <c r="H6024" s="1">
        <v>-1.0844440000000001E-6</v>
      </c>
      <c r="I6024">
        <v>-42.039290000000001</v>
      </c>
      <c r="J6024">
        <v>-301.43450000000001</v>
      </c>
      <c r="K6024">
        <v>1.1101780000000001</v>
      </c>
      <c r="L6024">
        <v>-29.234680000000001</v>
      </c>
      <c r="M6024">
        <v>-3.956639E-2</v>
      </c>
      <c r="N6024">
        <v>0</v>
      </c>
      <c r="O6024">
        <v>-0.99919449999999999</v>
      </c>
      <c r="P6024">
        <v>3.1447700000000002E-2</v>
      </c>
      <c r="Q6024">
        <v>0.16766239999999999</v>
      </c>
      <c r="R6024">
        <v>-0.98534290000000002</v>
      </c>
      <c r="S6024">
        <v>0.28900150000000002</v>
      </c>
      <c r="T6024">
        <v>-0.26181839999999901</v>
      </c>
      <c r="U6024">
        <v>-3.0802309999999999</v>
      </c>
      <c r="V6024">
        <v>-7.0508479999999998E-2</v>
      </c>
      <c r="W6024">
        <v>0.1742406</v>
      </c>
      <c r="X6024">
        <v>0.98217549999999998</v>
      </c>
      <c r="Y6024">
        <v>-0.1324041</v>
      </c>
      <c r="Z6024">
        <v>8.4038440000000006E-2</v>
      </c>
      <c r="AA6024">
        <v>0.98762680000000003</v>
      </c>
      <c r="AB6024">
        <v>25</v>
      </c>
      <c r="AC6024">
        <v>1.2350000000000101</v>
      </c>
      <c r="AD6024">
        <v>-1.110179084444</v>
      </c>
      <c r="AE6024">
        <v>-12.80461</v>
      </c>
      <c r="AF6024">
        <v>-1.7278079507099899</v>
      </c>
      <c r="AG6024">
        <v>-1.110179084444</v>
      </c>
      <c r="AH6024">
        <v>12.651490593298</v>
      </c>
      <c r="AI6024">
        <v>94.969016941036003</v>
      </c>
      <c r="AJ6024">
        <v>97.776746406387204</v>
      </c>
      <c r="AK6024">
        <v>12.817099209508401</v>
      </c>
      <c r="AL6024">
        <v>79.965530962682394</v>
      </c>
      <c r="AM6024">
        <v>94.106109243510602</v>
      </c>
      <c r="AN6024">
        <v>0.99999997262025897</v>
      </c>
    </row>
    <row r="6025" spans="1:40" x14ac:dyDescent="0.25">
      <c r="A6025" t="str">
        <f>"20190312172529022"</f>
        <v>20190312172529022</v>
      </c>
      <c r="B6025" t="str">
        <f>"1552382729016800"</f>
        <v>1552382729016800</v>
      </c>
      <c r="C6025" t="s">
        <v>40</v>
      </c>
      <c r="D6025">
        <v>3.8021310000000001</v>
      </c>
      <c r="E6025">
        <v>0.47788619999999998</v>
      </c>
      <c r="F6025" t="s">
        <v>50</v>
      </c>
      <c r="G6025">
        <v>-300.226</v>
      </c>
      <c r="H6025" s="1">
        <v>-1.2941339999999999E-6</v>
      </c>
      <c r="I6025">
        <v>-42.363379999999999</v>
      </c>
      <c r="J6025">
        <v>-301.44400000000002</v>
      </c>
      <c r="K6025">
        <v>1.1103339999999999</v>
      </c>
      <c r="L6025">
        <v>-29.482939999999999</v>
      </c>
      <c r="M6025">
        <v>-3.9211240000000001E-2</v>
      </c>
      <c r="N6025">
        <v>0</v>
      </c>
      <c r="O6025">
        <v>-0.99920279999999995</v>
      </c>
      <c r="P6025">
        <v>3.1807759999999997E-2</v>
      </c>
      <c r="Q6025">
        <v>0.16884739999999901</v>
      </c>
      <c r="R6025">
        <v>-0.98512889999999997</v>
      </c>
      <c r="S6025">
        <v>0.28350829999999999</v>
      </c>
      <c r="T6025">
        <v>-0.2604399</v>
      </c>
      <c r="U6025">
        <v>-3.079895</v>
      </c>
      <c r="V6025">
        <v>-7.0514830000000001E-2</v>
      </c>
      <c r="W6025">
        <v>0.17620379999999899</v>
      </c>
      <c r="X6025">
        <v>0.98182480000000005</v>
      </c>
      <c r="Y6025">
        <v>-0.13031860000000001</v>
      </c>
      <c r="Z6025">
        <v>8.3628339999999995E-2</v>
      </c>
      <c r="AA6025">
        <v>0.98793889999999995</v>
      </c>
      <c r="AB6025">
        <v>25</v>
      </c>
      <c r="AC6025">
        <v>1.21800000000001</v>
      </c>
      <c r="AD6025">
        <v>-1.1103352941339999</v>
      </c>
      <c r="AE6025">
        <v>-12.880439999999901</v>
      </c>
      <c r="AF6025">
        <v>-1.7095444390105601</v>
      </c>
      <c r="AG6025">
        <v>-1.1103352941339999</v>
      </c>
      <c r="AH6025">
        <v>12.729022060184599</v>
      </c>
      <c r="AI6025">
        <v>94.9410746189577</v>
      </c>
      <c r="AJ6025">
        <v>97.649217546681996</v>
      </c>
      <c r="AK6025">
        <v>12.8912136458527</v>
      </c>
      <c r="AL6025">
        <v>79.851280862226702</v>
      </c>
      <c r="AM6025">
        <v>94.107939555567796</v>
      </c>
      <c r="AN6025">
        <v>1.0000000291397</v>
      </c>
    </row>
    <row r="6026" spans="1:40" x14ac:dyDescent="0.25">
      <c r="A6026" t="str">
        <f>"20190312172529044"</f>
        <v>20190312172529044</v>
      </c>
      <c r="B6026" t="str">
        <f>"1552382729036321"</f>
        <v>1552382729036321</v>
      </c>
      <c r="C6026" t="s">
        <v>40</v>
      </c>
      <c r="D6026">
        <v>3.7968459999999999</v>
      </c>
      <c r="E6026">
        <v>0.47789409999999999</v>
      </c>
      <c r="F6026" t="s">
        <v>50</v>
      </c>
      <c r="G6026">
        <v>-300.22430000000003</v>
      </c>
      <c r="H6026" s="1">
        <v>-1.59244E-6</v>
      </c>
      <c r="I6026">
        <v>-42.833069999999999</v>
      </c>
      <c r="J6026">
        <v>-301.45319999999998</v>
      </c>
      <c r="K6026">
        <v>1.1104750000000001</v>
      </c>
      <c r="L6026">
        <v>-29.729189999999999</v>
      </c>
      <c r="M6026">
        <v>-3.8821670000000003E-2</v>
      </c>
      <c r="N6026">
        <v>0</v>
      </c>
      <c r="O6026">
        <v>-0.99921150000000003</v>
      </c>
      <c r="P6026">
        <v>3.2148410000000002E-2</v>
      </c>
      <c r="Q6026">
        <v>0.17037669999999999</v>
      </c>
      <c r="R6026">
        <v>-0.98485429999999996</v>
      </c>
      <c r="S6026">
        <v>0.2814026</v>
      </c>
      <c r="T6026">
        <v>-0.25617380000000001</v>
      </c>
      <c r="U6026">
        <v>-3.0801090000000002</v>
      </c>
      <c r="V6026">
        <v>-7.0467109999999999E-2</v>
      </c>
      <c r="W6026">
        <v>0.1785226</v>
      </c>
      <c r="X6026">
        <v>0.98140930000000004</v>
      </c>
      <c r="Y6026">
        <v>-0.12926650000000001</v>
      </c>
      <c r="Z6026">
        <v>8.2272449999999997E-2</v>
      </c>
      <c r="AA6026">
        <v>0.98819100000000004</v>
      </c>
      <c r="AB6026">
        <v>25</v>
      </c>
      <c r="AC6026">
        <v>1.2288999999999499</v>
      </c>
      <c r="AD6026">
        <v>-1.11047659244</v>
      </c>
      <c r="AE6026">
        <v>-13.103879999999901</v>
      </c>
      <c r="AF6026">
        <v>-1.7244295251705699</v>
      </c>
      <c r="AG6026">
        <v>-1.11047659244</v>
      </c>
      <c r="AH6026">
        <v>12.954071991485</v>
      </c>
      <c r="AI6026">
        <v>94.857014612937803</v>
      </c>
      <c r="AJ6026">
        <v>97.582561562141095</v>
      </c>
      <c r="AK6026">
        <v>13.115441151948099</v>
      </c>
      <c r="AL6026">
        <v>79.716283509561194</v>
      </c>
      <c r="AM6026">
        <v>94.106901130934503</v>
      </c>
      <c r="AN6026">
        <v>1.00000007321449</v>
      </c>
    </row>
    <row r="6027" spans="1:40" x14ac:dyDescent="0.25">
      <c r="A6027" t="str">
        <f>"20190312172529066"</f>
        <v>20190312172529066</v>
      </c>
      <c r="B6027" t="str">
        <f>"1552382729056818"</f>
        <v>1552382729056818</v>
      </c>
      <c r="C6027" t="s">
        <v>40</v>
      </c>
      <c r="D6027">
        <v>3.7943190000000002</v>
      </c>
      <c r="E6027">
        <v>0.47802990000000001</v>
      </c>
      <c r="F6027" t="s">
        <v>50</v>
      </c>
      <c r="G6027">
        <v>-300.21800000000002</v>
      </c>
      <c r="H6027" s="1">
        <v>-1.807512E-6</v>
      </c>
      <c r="I6027">
        <v>-43.172809999999998</v>
      </c>
      <c r="J6027">
        <v>-301.46230000000003</v>
      </c>
      <c r="K6027">
        <v>1.1106009999999999</v>
      </c>
      <c r="L6027">
        <v>-29.976009999999999</v>
      </c>
      <c r="M6027">
        <v>-3.8396270000000003E-2</v>
      </c>
      <c r="N6027">
        <v>0</v>
      </c>
      <c r="O6027">
        <v>-0.99922129999999998</v>
      </c>
      <c r="P6027">
        <v>3.3096510000000003E-2</v>
      </c>
      <c r="Q6027">
        <v>0.16956860000000001</v>
      </c>
      <c r="R6027">
        <v>-0.98496260000000002</v>
      </c>
      <c r="S6027">
        <v>0.28308109999999997</v>
      </c>
      <c r="T6027">
        <v>-0.25449260000000001</v>
      </c>
      <c r="U6027">
        <v>-3.0809329999999999</v>
      </c>
      <c r="V6027">
        <v>-7.1007899999999999E-2</v>
      </c>
      <c r="W6027">
        <v>0.17846389999999901</v>
      </c>
      <c r="X6027">
        <v>0.9813809</v>
      </c>
      <c r="Y6027">
        <v>-0.1293588</v>
      </c>
      <c r="Z6027">
        <v>8.1714060000000005E-2</v>
      </c>
      <c r="AA6027">
        <v>0.98822520000000003</v>
      </c>
      <c r="AB6027">
        <v>25</v>
      </c>
      <c r="AC6027">
        <v>1.2443</v>
      </c>
      <c r="AD6027">
        <v>-1.110602807512</v>
      </c>
      <c r="AE6027">
        <v>-13.1968</v>
      </c>
      <c r="AF6027">
        <v>-1.73791105650977</v>
      </c>
      <c r="AG6027">
        <v>-1.110602807512</v>
      </c>
      <c r="AH6027">
        <v>13.0476946564463</v>
      </c>
      <c r="AI6027">
        <v>94.822824928966199</v>
      </c>
      <c r="AJ6027">
        <v>97.586956575997903</v>
      </c>
      <c r="AK6027">
        <v>13.2096975470391</v>
      </c>
      <c r="AL6027">
        <v>79.719700675575098</v>
      </c>
      <c r="AM6027">
        <v>94.138429227134097</v>
      </c>
      <c r="AN6027">
        <v>0.99999997817521402</v>
      </c>
    </row>
    <row r="6028" spans="1:40" x14ac:dyDescent="0.25">
      <c r="A6028" t="str">
        <f>"20190312172529088"</f>
        <v>20190312172529088</v>
      </c>
      <c r="B6028" t="str">
        <f>"1552382729076337"</f>
        <v>1552382729076337</v>
      </c>
      <c r="C6028" t="s">
        <v>40</v>
      </c>
      <c r="D6028">
        <v>3.7722850000000001</v>
      </c>
      <c r="E6028">
        <v>0.47805429999999999</v>
      </c>
      <c r="F6028" t="s">
        <v>50</v>
      </c>
      <c r="G6028">
        <v>-300.24349999999998</v>
      </c>
      <c r="H6028" s="1">
        <v>-1.8055450000000001E-6</v>
      </c>
      <c r="I6028">
        <v>-43.16413</v>
      </c>
      <c r="J6028">
        <v>-301.471</v>
      </c>
      <c r="K6028">
        <v>1.110708</v>
      </c>
      <c r="L6028">
        <v>-30.21564</v>
      </c>
      <c r="M6028">
        <v>-3.7941059999999999E-2</v>
      </c>
      <c r="N6028">
        <v>0</v>
      </c>
      <c r="O6028">
        <v>-0.99923209999999996</v>
      </c>
      <c r="P6028">
        <v>3.4268199999999999E-2</v>
      </c>
      <c r="Q6028">
        <v>0.16793810000000001</v>
      </c>
      <c r="R6028">
        <v>-0.98520189999999996</v>
      </c>
      <c r="S6028">
        <v>0.28472900000000001</v>
      </c>
      <c r="T6028">
        <v>-0.25945010000000002</v>
      </c>
      <c r="U6028">
        <v>-3.080902</v>
      </c>
      <c r="V6028">
        <v>-7.1751540000000003E-2</v>
      </c>
      <c r="W6028">
        <v>0.17750060000000001</v>
      </c>
      <c r="X6028">
        <v>0.98150150000000003</v>
      </c>
      <c r="Y6028">
        <v>-0.12942029999999999</v>
      </c>
      <c r="Z6028">
        <v>8.3295399999999895E-2</v>
      </c>
      <c r="AA6028">
        <v>0.9880852</v>
      </c>
      <c r="AB6028">
        <v>25</v>
      </c>
      <c r="AC6028">
        <v>1.22750000000002</v>
      </c>
      <c r="AD6028">
        <v>-1.110709805545</v>
      </c>
      <c r="AE6028">
        <v>-12.9484899999999</v>
      </c>
      <c r="AF6028">
        <v>-1.7054817757127401</v>
      </c>
      <c r="AG6028">
        <v>-1.110709805545</v>
      </c>
      <c r="AH6028">
        <v>12.799252269399499</v>
      </c>
      <c r="AI6028">
        <v>94.916423037135601</v>
      </c>
      <c r="AJ6028">
        <v>97.5898703064112</v>
      </c>
      <c r="AK6028">
        <v>12.960061844572699</v>
      </c>
      <c r="AL6028">
        <v>79.7757891511107</v>
      </c>
      <c r="AM6028">
        <v>94.181104565442894</v>
      </c>
      <c r="AN6028">
        <v>0.99999997049749001</v>
      </c>
    </row>
    <row r="6029" spans="1:40" x14ac:dyDescent="0.25">
      <c r="A6029" t="str">
        <f>"20190312172529110"</f>
        <v>20190312172529110</v>
      </c>
      <c r="B6029" t="str">
        <f>"1552382729106593"</f>
        <v>1552382729106593</v>
      </c>
      <c r="C6029" t="s">
        <v>40</v>
      </c>
      <c r="D6029">
        <v>3.8149109999999999</v>
      </c>
      <c r="E6029">
        <v>0.47799819999999998</v>
      </c>
      <c r="F6029" t="s">
        <v>50</v>
      </c>
      <c r="G6029">
        <v>-300.27519999999998</v>
      </c>
      <c r="H6029" s="1">
        <v>-1.7239820000000001E-6</v>
      </c>
      <c r="I6029">
        <v>-43.028869999999998</v>
      </c>
      <c r="J6029">
        <v>-301.4796</v>
      </c>
      <c r="K6029">
        <v>1.1108169999999999</v>
      </c>
      <c r="L6029">
        <v>-30.457789999999999</v>
      </c>
      <c r="M6029">
        <v>-3.7419800000000003E-2</v>
      </c>
      <c r="N6029">
        <v>0</v>
      </c>
      <c r="O6029">
        <v>-0.9992453</v>
      </c>
      <c r="P6029">
        <v>3.550296E-2</v>
      </c>
      <c r="Q6029">
        <v>0.16692570000000001</v>
      </c>
      <c r="R6029">
        <v>-0.98533009999999999</v>
      </c>
      <c r="S6029">
        <v>0.28750609999999999</v>
      </c>
      <c r="T6029">
        <v>-0.26703759999999999</v>
      </c>
      <c r="U6029">
        <v>-3.0805660000000001</v>
      </c>
      <c r="V6029">
        <v>-7.2496350000000001E-2</v>
      </c>
      <c r="W6029">
        <v>0.17709510000000001</v>
      </c>
      <c r="X6029">
        <v>0.98152010000000001</v>
      </c>
      <c r="Y6029">
        <v>-0.12977710000000001</v>
      </c>
      <c r="Z6029">
        <v>8.5719729999999994E-2</v>
      </c>
      <c r="AA6029">
        <v>0.98783100000000001</v>
      </c>
      <c r="AB6029">
        <v>25</v>
      </c>
      <c r="AC6029">
        <v>1.2044000000000199</v>
      </c>
      <c r="AD6029">
        <v>-1.110818723982</v>
      </c>
      <c r="AE6029">
        <v>-12.571079999999901</v>
      </c>
      <c r="AF6029">
        <v>-1.6611370009769399</v>
      </c>
      <c r="AG6029">
        <v>-1.110818723982</v>
      </c>
      <c r="AH6029">
        <v>12.4211016819301</v>
      </c>
      <c r="AI6029">
        <v>95.065504945184003</v>
      </c>
      <c r="AJ6029">
        <v>97.617258379204998</v>
      </c>
      <c r="AK6029">
        <v>12.5808211721815</v>
      </c>
      <c r="AL6029">
        <v>79.799397427214402</v>
      </c>
      <c r="AM6029">
        <v>94.224270047025101</v>
      </c>
      <c r="AN6029">
        <v>1.0000000509556699</v>
      </c>
    </row>
    <row r="6030" spans="1:40" x14ac:dyDescent="0.25">
      <c r="A6030" t="str">
        <f>"20190312172529133"</f>
        <v>20190312172529133</v>
      </c>
      <c r="B6030" t="str">
        <f>"1552382729126113"</f>
        <v>1552382729126113</v>
      </c>
      <c r="C6030" t="s">
        <v>40</v>
      </c>
      <c r="D6030">
        <v>3.7679100000000001</v>
      </c>
      <c r="E6030">
        <v>0.47798000000000002</v>
      </c>
      <c r="F6030" t="s">
        <v>50</v>
      </c>
      <c r="G6030">
        <v>-300.28890000000001</v>
      </c>
      <c r="H6030" s="1">
        <v>-1.693876E-6</v>
      </c>
      <c r="I6030">
        <v>-42.978490000000001</v>
      </c>
      <c r="J6030">
        <v>-301.48829999999998</v>
      </c>
      <c r="K6030">
        <v>1.1109329999999999</v>
      </c>
      <c r="L6030">
        <v>-30.706669999999999</v>
      </c>
      <c r="M6030">
        <v>-3.6792640000000001E-2</v>
      </c>
      <c r="N6030">
        <v>0</v>
      </c>
      <c r="O6030">
        <v>-0.99926269999999995</v>
      </c>
      <c r="P6030">
        <v>3.7229390000000001E-2</v>
      </c>
      <c r="Q6030">
        <v>0.1665739</v>
      </c>
      <c r="R6030">
        <v>-0.98532620000000004</v>
      </c>
      <c r="S6030">
        <v>0.29293819999999998</v>
      </c>
      <c r="T6030">
        <v>-0.27328999999999998</v>
      </c>
      <c r="U6030">
        <v>-3.0804140000000002</v>
      </c>
      <c r="V6030">
        <v>-7.3632779999999995E-2</v>
      </c>
      <c r="W6030">
        <v>0.17729549999999999</v>
      </c>
      <c r="X6030">
        <v>0.98139920000000003</v>
      </c>
      <c r="Y6030">
        <v>-0.13086980000000001</v>
      </c>
      <c r="Z6030">
        <v>8.7705199999999997E-2</v>
      </c>
      <c r="AA6030">
        <v>0.98751250000000002</v>
      </c>
      <c r="AB6030">
        <v>25</v>
      </c>
      <c r="AC6030">
        <v>1.1993999999999601</v>
      </c>
      <c r="AD6030">
        <v>-1.1109346938760001</v>
      </c>
      <c r="AE6030">
        <v>-12.2718199999999</v>
      </c>
      <c r="AF6030">
        <v>-1.6368403485826499</v>
      </c>
      <c r="AG6030">
        <v>-1.1109346938760001</v>
      </c>
      <c r="AH6030">
        <v>12.120984371586699</v>
      </c>
      <c r="AI6030">
        <v>95.189899209680405</v>
      </c>
      <c r="AJ6030">
        <v>97.690803573257995</v>
      </c>
      <c r="AK6030">
        <v>12.281355151491001</v>
      </c>
      <c r="AL6030">
        <v>79.787729541514693</v>
      </c>
      <c r="AM6030">
        <v>94.290769581221099</v>
      </c>
      <c r="AN6030">
        <v>0.99999993518570696</v>
      </c>
    </row>
    <row r="6031" spans="1:40" x14ac:dyDescent="0.25">
      <c r="A6031" t="str">
        <f>"20190312172529156"</f>
        <v>20190312172529156</v>
      </c>
      <c r="B6031" t="str">
        <f>"1552382729146608"</f>
        <v>1552382729146608</v>
      </c>
      <c r="C6031" t="s">
        <v>40</v>
      </c>
      <c r="D6031">
        <v>3.822991</v>
      </c>
      <c r="E6031">
        <v>0.47806749999999998</v>
      </c>
      <c r="F6031" t="s">
        <v>50</v>
      </c>
      <c r="G6031">
        <v>-300.279</v>
      </c>
      <c r="H6031" s="1">
        <v>-1.7771539999999999E-6</v>
      </c>
      <c r="I6031">
        <v>-43.11168</v>
      </c>
      <c r="J6031">
        <v>-301.49650000000003</v>
      </c>
      <c r="K6031">
        <v>1.1110629999999999</v>
      </c>
      <c r="L6031">
        <v>-30.951319999999999</v>
      </c>
      <c r="M6031">
        <v>-3.6056119999999997E-2</v>
      </c>
      <c r="N6031">
        <v>0</v>
      </c>
      <c r="O6031">
        <v>-0.9992837</v>
      </c>
      <c r="P6031">
        <v>3.9571469999999997E-2</v>
      </c>
      <c r="Q6031">
        <v>0.16687060000000001</v>
      </c>
      <c r="R6031">
        <v>-0.98518430000000001</v>
      </c>
      <c r="S6031">
        <v>0.3002319</v>
      </c>
      <c r="T6031">
        <v>-0.27582620000000002</v>
      </c>
      <c r="U6031">
        <v>-3.0799560000000001</v>
      </c>
      <c r="V6031">
        <v>-7.5280029999999998E-2</v>
      </c>
      <c r="W6031">
        <v>0.17806739999999999</v>
      </c>
      <c r="X6031">
        <v>0.98113450000000002</v>
      </c>
      <c r="Y6031">
        <v>-0.1324631</v>
      </c>
      <c r="Z6031">
        <v>8.8509920000000006E-2</v>
      </c>
      <c r="AA6031">
        <v>0.9872282</v>
      </c>
      <c r="AB6031">
        <v>24</v>
      </c>
      <c r="AC6031">
        <v>1.21750000000002</v>
      </c>
      <c r="AD6031">
        <v>-1.1110647771540001</v>
      </c>
      <c r="AE6031">
        <v>-12.160359999999899</v>
      </c>
      <c r="AF6031">
        <v>-1.64162420891245</v>
      </c>
      <c r="AG6031">
        <v>-1.1110647771540001</v>
      </c>
      <c r="AH6031">
        <v>12.0092912838386</v>
      </c>
      <c r="AI6031">
        <v>95.237361253969794</v>
      </c>
      <c r="AJ6031">
        <v>97.783870542367694</v>
      </c>
      <c r="AK6031">
        <v>12.1717900130754</v>
      </c>
      <c r="AL6031">
        <v>79.742788429597695</v>
      </c>
      <c r="AM6031">
        <v>94.387567267928304</v>
      </c>
      <c r="AN6031">
        <v>0.99999999447490495</v>
      </c>
    </row>
    <row r="6032" spans="1:40" x14ac:dyDescent="0.25">
      <c r="A6032" t="str">
        <f>"20190312172529177"</f>
        <v>20190312172529177</v>
      </c>
      <c r="B6032" t="str">
        <f>"1552382729166129"</f>
        <v>1552382729166129</v>
      </c>
      <c r="C6032" t="s">
        <v>40</v>
      </c>
      <c r="D6032">
        <v>3.7961279999999999</v>
      </c>
      <c r="E6032">
        <v>0.47819099999999998</v>
      </c>
      <c r="F6032" t="s">
        <v>50</v>
      </c>
      <c r="G6032">
        <v>-300.25560000000002</v>
      </c>
      <c r="H6032" s="1">
        <v>-1.9536199999999999E-6</v>
      </c>
      <c r="I6032">
        <v>-43.394419999999997</v>
      </c>
      <c r="J6032">
        <v>-301.50400000000002</v>
      </c>
      <c r="K6032">
        <v>1.1111839999999999</v>
      </c>
      <c r="L6032">
        <v>-31.186039999999998</v>
      </c>
      <c r="M6032">
        <v>-3.520703E-2</v>
      </c>
      <c r="N6032">
        <v>0</v>
      </c>
      <c r="O6032">
        <v>-0.99930929999999996</v>
      </c>
      <c r="P6032">
        <v>4.2504849999999997E-2</v>
      </c>
      <c r="Q6032">
        <v>0.1668414</v>
      </c>
      <c r="R6032">
        <v>-0.98506740000000004</v>
      </c>
      <c r="S6032">
        <v>0.3070679</v>
      </c>
      <c r="T6032">
        <v>-0.27495989999999998</v>
      </c>
      <c r="U6032">
        <v>-3.0793460000000001</v>
      </c>
      <c r="V6032">
        <v>-7.7415970000000001E-2</v>
      </c>
      <c r="W6032">
        <v>0.17843200000000001</v>
      </c>
      <c r="X6032">
        <v>0.98090200000000005</v>
      </c>
      <c r="Y6032">
        <v>-0.13381270000000001</v>
      </c>
      <c r="Z6032">
        <v>8.8237839999999998E-2</v>
      </c>
      <c r="AA6032">
        <v>0.98707060000000002</v>
      </c>
      <c r="AB6032">
        <v>24</v>
      </c>
      <c r="AC6032">
        <v>1.2484</v>
      </c>
      <c r="AD6032">
        <v>-1.1111859536199999</v>
      </c>
      <c r="AE6032">
        <v>-12.20838</v>
      </c>
      <c r="AF6032">
        <v>-1.6638359958611599</v>
      </c>
      <c r="AG6032">
        <v>-1.1111859536199999</v>
      </c>
      <c r="AH6032">
        <v>12.057995968775399</v>
      </c>
      <c r="AI6032">
        <v>95.215987163073606</v>
      </c>
      <c r="AJ6032">
        <v>97.856410135280001</v>
      </c>
      <c r="AK6032">
        <v>12.2228618264157</v>
      </c>
      <c r="AL6032">
        <v>79.721558165025499</v>
      </c>
      <c r="AM6032">
        <v>94.512614912233403</v>
      </c>
      <c r="AN6032">
        <v>0.99999997231951998</v>
      </c>
    </row>
    <row r="6033" spans="1:40" x14ac:dyDescent="0.25">
      <c r="A6033" t="str">
        <f>"20190312172529200"</f>
        <v>20190312172529200</v>
      </c>
      <c r="B6033" t="str">
        <f>"1552382729196385"</f>
        <v>1552382729196385</v>
      </c>
      <c r="C6033" t="s">
        <v>40</v>
      </c>
      <c r="D6033">
        <v>3.7797969999999999</v>
      </c>
      <c r="E6033">
        <v>0.47816449999999999</v>
      </c>
      <c r="F6033" t="s">
        <v>50</v>
      </c>
      <c r="G6033">
        <v>-300.23950000000002</v>
      </c>
      <c r="H6033" s="1">
        <v>-2.0834720000000001E-6</v>
      </c>
      <c r="I6033">
        <v>-43.602249999999998</v>
      </c>
      <c r="J6033">
        <v>-301.51139999999998</v>
      </c>
      <c r="K6033">
        <v>1.111321</v>
      </c>
      <c r="L6033">
        <v>-31.428070000000002</v>
      </c>
      <c r="M6033">
        <v>-3.4165239999999999E-2</v>
      </c>
      <c r="N6033">
        <v>0</v>
      </c>
      <c r="O6033">
        <v>-0.99934069999999997</v>
      </c>
      <c r="P6033">
        <v>4.6162139999999997E-2</v>
      </c>
      <c r="Q6033">
        <v>0.16679749999999999</v>
      </c>
      <c r="R6033">
        <v>-0.98491039999999996</v>
      </c>
      <c r="S6033">
        <v>0.31353760000000003</v>
      </c>
      <c r="T6033">
        <v>-0.27551959999999998</v>
      </c>
      <c r="U6033">
        <v>-3.0786129999999998</v>
      </c>
      <c r="V6033">
        <v>-8.0092179999999999E-2</v>
      </c>
      <c r="W6033">
        <v>0.17873789999999901</v>
      </c>
      <c r="X6033">
        <v>0.98063140000000004</v>
      </c>
      <c r="Y6033">
        <v>-0.134854799999999</v>
      </c>
      <c r="Z6033">
        <v>8.8426130000000006E-2</v>
      </c>
      <c r="AA6033">
        <v>0.98691180000000001</v>
      </c>
      <c r="AB6033">
        <v>24</v>
      </c>
      <c r="AC6033">
        <v>1.2718999999999501</v>
      </c>
      <c r="AD6033">
        <v>-1.111323083472</v>
      </c>
      <c r="AE6033">
        <v>-12.1741799999999</v>
      </c>
      <c r="AF6033">
        <v>-1.67332922455698</v>
      </c>
      <c r="AG6033">
        <v>-1.111323083472</v>
      </c>
      <c r="AH6033">
        <v>12.0244953623379</v>
      </c>
      <c r="AI6033">
        <v>95.230250238819707</v>
      </c>
      <c r="AJ6033">
        <v>97.922403792467904</v>
      </c>
      <c r="AK6033">
        <v>12.191126215756199</v>
      </c>
      <c r="AL6033">
        <v>79.703744989906298</v>
      </c>
      <c r="AM6033">
        <v>94.669216970127707</v>
      </c>
      <c r="AN6033">
        <v>0.99999996842976002</v>
      </c>
    </row>
    <row r="6034" spans="1:40" x14ac:dyDescent="0.25">
      <c r="A6034" t="str">
        <f>"20190312172529222"</f>
        <v>20190312172529222</v>
      </c>
      <c r="B6034" t="str">
        <f>"1552382729216881"</f>
        <v>1552382729216881</v>
      </c>
      <c r="C6034" t="s">
        <v>40</v>
      </c>
      <c r="D6034">
        <v>3.838409</v>
      </c>
      <c r="E6034">
        <v>0.47811029999999999</v>
      </c>
      <c r="F6034" t="s">
        <v>50</v>
      </c>
      <c r="G6034">
        <v>-300.21019999999999</v>
      </c>
      <c r="H6034" s="1">
        <v>-2.2131149999999998E-6</v>
      </c>
      <c r="I6034">
        <v>-43.812620000000003</v>
      </c>
      <c r="J6034">
        <v>-301.51830000000001</v>
      </c>
      <c r="K6034">
        <v>1.111462</v>
      </c>
      <c r="L6034">
        <v>-31.671810000000001</v>
      </c>
      <c r="M6034">
        <v>-3.2923300000000003E-2</v>
      </c>
      <c r="N6034">
        <v>0</v>
      </c>
      <c r="O6034">
        <v>-0.99937810000000005</v>
      </c>
      <c r="P6034">
        <v>4.9522440000000001E-2</v>
      </c>
      <c r="Q6034">
        <v>0.16755539999999999</v>
      </c>
      <c r="R6034">
        <v>-0.98461810000000005</v>
      </c>
      <c r="S6034">
        <v>0.3233337</v>
      </c>
      <c r="T6034">
        <v>-0.2761651</v>
      </c>
      <c r="U6034">
        <v>-3.0775760000000001</v>
      </c>
      <c r="V6034">
        <v>-8.2278270000000001E-2</v>
      </c>
      <c r="W6034">
        <v>0.17979479999999901</v>
      </c>
      <c r="X6034">
        <v>0.98025720000000005</v>
      </c>
      <c r="Y6034">
        <v>-0.136763</v>
      </c>
      <c r="Z6034">
        <v>8.8640689999999994E-2</v>
      </c>
      <c r="AA6034">
        <v>0.98663000000000001</v>
      </c>
      <c r="AB6034">
        <v>24</v>
      </c>
      <c r="AC6034">
        <v>1.30810000000002</v>
      </c>
      <c r="AD6034">
        <v>-1.1114642131149901</v>
      </c>
      <c r="AE6034">
        <v>-12.14081</v>
      </c>
      <c r="AF6034">
        <v>-1.69311102688557</v>
      </c>
      <c r="AG6034">
        <v>-1.1114642131149901</v>
      </c>
      <c r="AH6034">
        <v>11.9918068302187</v>
      </c>
      <c r="AI6034">
        <v>95.243635670925897</v>
      </c>
      <c r="AJ6034">
        <v>98.036413684229302</v>
      </c>
      <c r="AK6034">
        <v>12.161636760719301</v>
      </c>
      <c r="AL6034">
        <v>79.642192606775495</v>
      </c>
      <c r="AM6034">
        <v>94.797897365017207</v>
      </c>
      <c r="AN6034">
        <v>1.00000003098653</v>
      </c>
    </row>
    <row r="6035" spans="1:40" x14ac:dyDescent="0.25">
      <c r="A6035" t="str">
        <f>"20190312172529245"</f>
        <v>20190312172529245</v>
      </c>
      <c r="B6035" t="str">
        <f>"1552382729236401"</f>
        <v>1552382729236401</v>
      </c>
      <c r="C6035" t="s">
        <v>40</v>
      </c>
      <c r="D6035">
        <v>3.8479209999999999</v>
      </c>
      <c r="E6035">
        <v>0.47806520000000002</v>
      </c>
      <c r="F6035" t="s">
        <v>50</v>
      </c>
      <c r="G6035">
        <v>-300.16730000000001</v>
      </c>
      <c r="H6035" s="1">
        <v>-2.376714E-6</v>
      </c>
      <c r="I6035">
        <v>-44.079419999999999</v>
      </c>
      <c r="J6035">
        <v>-301.5247</v>
      </c>
      <c r="K6035">
        <v>1.111605</v>
      </c>
      <c r="L6035">
        <v>-31.912929999999999</v>
      </c>
      <c r="M6035">
        <v>-3.1495679999999998E-2</v>
      </c>
      <c r="N6035">
        <v>0</v>
      </c>
      <c r="O6035">
        <v>-0.99942030000000004</v>
      </c>
      <c r="P6035">
        <v>5.3096579999999997E-2</v>
      </c>
      <c r="Q6035">
        <v>0.1679851</v>
      </c>
      <c r="R6035">
        <v>-0.98435870000000003</v>
      </c>
      <c r="S6035">
        <v>0.33505249999999998</v>
      </c>
      <c r="T6035">
        <v>-0.27562959999999997</v>
      </c>
      <c r="U6035">
        <v>-3.0769350000000002</v>
      </c>
      <c r="V6035">
        <v>-8.4496950000000001E-2</v>
      </c>
      <c r="W6035">
        <v>0.18047489999999999</v>
      </c>
      <c r="X6035">
        <v>0.97994340000000002</v>
      </c>
      <c r="Y6035">
        <v>-0.13908599999999999</v>
      </c>
      <c r="Z6035">
        <v>8.8462379999999993E-2</v>
      </c>
      <c r="AA6035">
        <v>0.98632120000000001</v>
      </c>
      <c r="AB6035">
        <v>24</v>
      </c>
      <c r="AC6035">
        <v>1.35739999999998</v>
      </c>
      <c r="AD6035">
        <v>-1.111607376714</v>
      </c>
      <c r="AE6035">
        <v>-12.16649</v>
      </c>
      <c r="AF6035">
        <v>-1.7257214884585701</v>
      </c>
      <c r="AG6035">
        <v>-1.111607376714</v>
      </c>
      <c r="AH6035">
        <v>12.018601810204601</v>
      </c>
      <c r="AI6035">
        <v>95.230938753043603</v>
      </c>
      <c r="AJ6035">
        <v>98.1711099488695</v>
      </c>
      <c r="AK6035">
        <v>12.1926443025271</v>
      </c>
      <c r="AL6035">
        <v>79.602577352753997</v>
      </c>
      <c r="AM6035">
        <v>94.928216754232906</v>
      </c>
      <c r="AN6035">
        <v>0.99999999564643605</v>
      </c>
    </row>
    <row r="6036" spans="1:40" x14ac:dyDescent="0.25">
      <c r="A6036" t="str">
        <f>"20190312172529266"</f>
        <v>20190312172529266</v>
      </c>
      <c r="B6036" t="str">
        <f>"1552382729256897"</f>
        <v>1552382729256897</v>
      </c>
      <c r="C6036" t="s">
        <v>40</v>
      </c>
      <c r="D6036">
        <v>4.0005940000000004</v>
      </c>
      <c r="E6036">
        <v>0.47807440000000001</v>
      </c>
      <c r="F6036" t="s">
        <v>50</v>
      </c>
      <c r="G6036">
        <v>-300.12520000000001</v>
      </c>
      <c r="H6036" s="1">
        <v>-2.507579E-6</v>
      </c>
      <c r="I6036">
        <v>-44.294510000000002</v>
      </c>
      <c r="J6036">
        <v>-301.53039999999999</v>
      </c>
      <c r="K6036">
        <v>1.1117330000000001</v>
      </c>
      <c r="L6036">
        <v>-32.150179999999999</v>
      </c>
      <c r="M6036">
        <v>-2.993525E-2</v>
      </c>
      <c r="N6036">
        <v>0</v>
      </c>
      <c r="O6036">
        <v>-0.9994651</v>
      </c>
      <c r="P6036">
        <v>5.7631769999999999E-2</v>
      </c>
      <c r="Q6036">
        <v>0.16761029999999999</v>
      </c>
      <c r="R6036">
        <v>-0.98416760000000003</v>
      </c>
      <c r="S6036">
        <v>0.34768680000000002</v>
      </c>
      <c r="T6036">
        <v>-0.2761651</v>
      </c>
      <c r="U6036">
        <v>-3.07605</v>
      </c>
      <c r="V6036">
        <v>-8.7539759999999994E-2</v>
      </c>
      <c r="W6036">
        <v>0.18031169999999999</v>
      </c>
      <c r="X6036">
        <v>0.97970630000000003</v>
      </c>
      <c r="Y6036">
        <v>-0.14157040000000001</v>
      </c>
      <c r="Z6036">
        <v>8.8628879999999993E-2</v>
      </c>
      <c r="AA6036">
        <v>0.98595270000000002</v>
      </c>
      <c r="AB6036">
        <v>24</v>
      </c>
      <c r="AC6036">
        <v>1.40519999999997</v>
      </c>
      <c r="AD6036">
        <v>-1.1117355075790001</v>
      </c>
      <c r="AE6036">
        <v>-12.144329999999901</v>
      </c>
      <c r="AF6036">
        <v>-1.7536434372799501</v>
      </c>
      <c r="AG6036">
        <v>-1.1117355075790001</v>
      </c>
      <c r="AH6036">
        <v>11.9976034623632</v>
      </c>
      <c r="AI6036">
        <v>95.238737192645502</v>
      </c>
      <c r="AJ6036">
        <v>98.315815642902905</v>
      </c>
      <c r="AK6036">
        <v>12.1759480117171</v>
      </c>
      <c r="AL6036">
        <v>79.612083783393501</v>
      </c>
      <c r="AM6036">
        <v>95.105993580589598</v>
      </c>
      <c r="AN6036">
        <v>0.99999997649871797</v>
      </c>
    </row>
    <row r="6037" spans="1:40" x14ac:dyDescent="0.25">
      <c r="A6037" t="str">
        <f>"20190312172529289"</f>
        <v>20190312172529289</v>
      </c>
      <c r="B6037" t="str">
        <f>"1552382729276418"</f>
        <v>1552382729276418</v>
      </c>
      <c r="C6037" t="s">
        <v>40</v>
      </c>
      <c r="D6037">
        <v>3.8450570000000002</v>
      </c>
      <c r="E6037">
        <v>0.47809960000000001</v>
      </c>
      <c r="F6037" t="s">
        <v>50</v>
      </c>
      <c r="G6037">
        <v>-300.08920000000001</v>
      </c>
      <c r="H6037" s="1">
        <v>-2.579408E-6</v>
      </c>
      <c r="I6037">
        <v>-44.415399999999998</v>
      </c>
      <c r="J6037">
        <v>-301.53559999999999</v>
      </c>
      <c r="K6037">
        <v>1.111842</v>
      </c>
      <c r="L6037">
        <v>-32.388399999999997</v>
      </c>
      <c r="M6037">
        <v>-2.8211739999999999E-2</v>
      </c>
      <c r="N6037">
        <v>0</v>
      </c>
      <c r="O6037">
        <v>-0.99951230000000002</v>
      </c>
      <c r="P6037">
        <v>6.1936819999999997E-2</v>
      </c>
      <c r="Q6037">
        <v>0.16670070000000001</v>
      </c>
      <c r="R6037">
        <v>-0.98406070000000001</v>
      </c>
      <c r="S6037">
        <v>0.36126710000000001</v>
      </c>
      <c r="T6037">
        <v>-0.27868150000000003</v>
      </c>
      <c r="U6037">
        <v>-3.074554</v>
      </c>
      <c r="V6037">
        <v>-9.0186859999999994E-2</v>
      </c>
      <c r="W6037">
        <v>0.17958650000000001</v>
      </c>
      <c r="X6037">
        <v>0.97959940000000001</v>
      </c>
      <c r="Y6037">
        <v>-0.1442059</v>
      </c>
      <c r="Z6037">
        <v>8.9440099999999995E-2</v>
      </c>
      <c r="AA6037">
        <v>0.98549739999999997</v>
      </c>
      <c r="AB6037">
        <v>24</v>
      </c>
      <c r="AC6037">
        <v>1.4463999999999799</v>
      </c>
      <c r="AD6037">
        <v>-1.1118445794079901</v>
      </c>
      <c r="AE6037">
        <v>-12.026999999999999</v>
      </c>
      <c r="AF6037">
        <v>-1.77024401316272</v>
      </c>
      <c r="AG6037">
        <v>-1.1118445794079901</v>
      </c>
      <c r="AH6037">
        <v>11.881310392765499</v>
      </c>
      <c r="AI6037">
        <v>95.288091924480995</v>
      </c>
      <c r="AJ6037">
        <v>98.474386353232603</v>
      </c>
      <c r="AK6037">
        <v>12.0638094681628</v>
      </c>
      <c r="AL6037">
        <v>79.654324284605593</v>
      </c>
      <c r="AM6037">
        <v>95.260110279680603</v>
      </c>
      <c r="AN6037">
        <v>0.99999998258963396</v>
      </c>
    </row>
    <row r="6038" spans="1:40" x14ac:dyDescent="0.25">
      <c r="A6038" t="str">
        <f>"20190312172529312"</f>
        <v>20190312172529312</v>
      </c>
      <c r="B6038" t="str">
        <f>"1552382729306673"</f>
        <v>1552382729306673</v>
      </c>
      <c r="C6038" t="s">
        <v>40</v>
      </c>
      <c r="D6038">
        <v>3.8265539999999998</v>
      </c>
      <c r="E6038">
        <v>0.47810609999999998</v>
      </c>
      <c r="F6038" t="s">
        <v>50</v>
      </c>
      <c r="G6038">
        <v>-300.06720000000001</v>
      </c>
      <c r="H6038" s="1">
        <v>-2.6026380000000001E-6</v>
      </c>
      <c r="I6038">
        <v>-44.456769999999999</v>
      </c>
      <c r="J6038">
        <v>-301.54039999999998</v>
      </c>
      <c r="K6038">
        <v>1.1119540000000001</v>
      </c>
      <c r="L6038">
        <v>-32.635350000000003</v>
      </c>
      <c r="M6038">
        <v>-2.625566E-2</v>
      </c>
      <c r="N6038">
        <v>0</v>
      </c>
      <c r="O6038">
        <v>-0.99956299999999998</v>
      </c>
      <c r="P6038">
        <v>6.6238489999999997E-2</v>
      </c>
      <c r="Q6038">
        <v>0.1669899</v>
      </c>
      <c r="R6038">
        <v>-0.98373140000000003</v>
      </c>
      <c r="S6038">
        <v>0.37390139999999999</v>
      </c>
      <c r="T6038">
        <v>-0.28311429999999999</v>
      </c>
      <c r="U6038">
        <v>-3.073029</v>
      </c>
      <c r="V6038">
        <v>-9.2599409999999993E-2</v>
      </c>
      <c r="W6038">
        <v>0.18003540000000001</v>
      </c>
      <c r="X6038">
        <v>0.97929189999999999</v>
      </c>
      <c r="Y6038">
        <v>-0.14630499999999999</v>
      </c>
      <c r="Z6038">
        <v>9.0866710000000003E-2</v>
      </c>
      <c r="AA6038">
        <v>0.98505739999999997</v>
      </c>
      <c r="AB6038">
        <v>24</v>
      </c>
      <c r="AC6038">
        <v>1.4731999999999601</v>
      </c>
      <c r="AD6038">
        <v>-1.1119566026379999</v>
      </c>
      <c r="AE6038">
        <v>-11.8214199999999</v>
      </c>
      <c r="AF6038">
        <v>-1.7676987512123501</v>
      </c>
      <c r="AG6038">
        <v>-1.1119566026379999</v>
      </c>
      <c r="AH6038">
        <v>11.676925174231901</v>
      </c>
      <c r="AI6038">
        <v>95.378774285377602</v>
      </c>
      <c r="AJ6038">
        <v>98.6082979832739</v>
      </c>
      <c r="AK6038">
        <v>11.8621999597797</v>
      </c>
      <c r="AL6038">
        <v>79.628178350677899</v>
      </c>
      <c r="AM6038">
        <v>95.401685776024607</v>
      </c>
      <c r="AN6038">
        <v>1.00000001069555</v>
      </c>
    </row>
    <row r="6039" spans="1:40" x14ac:dyDescent="0.25">
      <c r="A6039" t="str">
        <f>"20190312172529334"</f>
        <v>20190312172529334</v>
      </c>
      <c r="B6039" t="str">
        <f>"1552382729326193"</f>
        <v>1552382729326193</v>
      </c>
      <c r="C6039" t="s">
        <v>40</v>
      </c>
      <c r="D6039">
        <v>3.8326440000000002</v>
      </c>
      <c r="E6039">
        <v>0.4781647</v>
      </c>
      <c r="F6039" t="s">
        <v>50</v>
      </c>
      <c r="G6039">
        <v>-300.03269999999998</v>
      </c>
      <c r="H6039" s="1">
        <v>-2.695727E-6</v>
      </c>
      <c r="I6039">
        <v>-44.610779999999998</v>
      </c>
      <c r="J6039">
        <v>-301.54430000000002</v>
      </c>
      <c r="K6039">
        <v>1.112069</v>
      </c>
      <c r="L6039">
        <v>-32.873600000000003</v>
      </c>
      <c r="M6039">
        <v>-2.4208839999999999E-2</v>
      </c>
      <c r="N6039">
        <v>0</v>
      </c>
      <c r="O6039">
        <v>-0.99961230000000001</v>
      </c>
      <c r="P6039">
        <v>7.0565020000000006E-2</v>
      </c>
      <c r="Q6039">
        <v>0.16834679999999999</v>
      </c>
      <c r="R6039">
        <v>-0.98319920000000005</v>
      </c>
      <c r="S6039">
        <v>0.38674930000000002</v>
      </c>
      <c r="T6039">
        <v>-0.2852441</v>
      </c>
      <c r="U6039">
        <v>-3.0719910000000001</v>
      </c>
      <c r="V6039">
        <v>-9.4946409999999995E-2</v>
      </c>
      <c r="W6039">
        <v>0.1815174</v>
      </c>
      <c r="X6039">
        <v>0.97879340000000004</v>
      </c>
      <c r="Y6039">
        <v>-0.148369</v>
      </c>
      <c r="Z6039">
        <v>9.1544669999999995E-2</v>
      </c>
      <c r="AA6039">
        <v>0.98468580000000006</v>
      </c>
      <c r="AB6039">
        <v>24</v>
      </c>
      <c r="AC6039">
        <v>1.51160000000004</v>
      </c>
      <c r="AD6039">
        <v>-1.112071695727</v>
      </c>
      <c r="AE6039">
        <v>-11.737179999999899</v>
      </c>
      <c r="AF6039">
        <v>-1.77961212072557</v>
      </c>
      <c r="AG6039">
        <v>-1.112071695727</v>
      </c>
      <c r="AH6039">
        <v>11.5947524307726</v>
      </c>
      <c r="AI6039">
        <v>95.415540707039199</v>
      </c>
      <c r="AJ6039">
        <v>98.725906192055902</v>
      </c>
      <c r="AK6039">
        <v>11.7831238085483</v>
      </c>
      <c r="AL6039">
        <v>79.541842960616606</v>
      </c>
      <c r="AM6039">
        <v>95.540557671819201</v>
      </c>
      <c r="AN6039">
        <v>0.99999995357910298</v>
      </c>
    </row>
    <row r="6040" spans="1:40" x14ac:dyDescent="0.25">
      <c r="A6040" t="str">
        <f>"20190312172529359"</f>
        <v>20190312172529359</v>
      </c>
      <c r="B6040" t="str">
        <f>"1552382729346691"</f>
        <v>1552382729346691</v>
      </c>
      <c r="C6040" t="s">
        <v>40</v>
      </c>
      <c r="D6040">
        <v>3.8163689999999999</v>
      </c>
      <c r="E6040">
        <v>0.4796144</v>
      </c>
      <c r="F6040" t="s">
        <v>50</v>
      </c>
      <c r="G6040">
        <v>-299.97050000000002</v>
      </c>
      <c r="H6040" s="1">
        <v>-2.9009539999999998E-6</v>
      </c>
      <c r="I6040">
        <v>-44.947279999999999</v>
      </c>
      <c r="J6040">
        <v>-301.54790000000003</v>
      </c>
      <c r="K6040">
        <v>1.112198</v>
      </c>
      <c r="L6040">
        <v>-33.13147</v>
      </c>
      <c r="M6040">
        <v>-2.1828730000000001E-2</v>
      </c>
      <c r="N6040">
        <v>0</v>
      </c>
      <c r="O6040">
        <v>-0.99966500000000003</v>
      </c>
      <c r="P6040">
        <v>7.5027380000000005E-2</v>
      </c>
      <c r="Q6040">
        <v>0.1703443</v>
      </c>
      <c r="R6040">
        <v>-0.98252430000000002</v>
      </c>
      <c r="S6040">
        <v>0.40029910000000002</v>
      </c>
      <c r="T6040">
        <v>-0.28285670000000002</v>
      </c>
      <c r="U6040">
        <v>-3.0709529999999998</v>
      </c>
      <c r="V6040">
        <v>-9.7110000000000002E-2</v>
      </c>
      <c r="W6040">
        <v>0.18362519999999999</v>
      </c>
      <c r="X6040">
        <v>0.97818780000000005</v>
      </c>
      <c r="Y6040">
        <v>-0.1503391</v>
      </c>
      <c r="Z6040">
        <v>9.0783870000000003E-2</v>
      </c>
      <c r="AA6040">
        <v>0.98445740000000004</v>
      </c>
      <c r="AB6040">
        <v>24</v>
      </c>
      <c r="AC6040">
        <v>1.5774000000000099</v>
      </c>
      <c r="AD6040">
        <v>-1.1122009009539999</v>
      </c>
      <c r="AE6040">
        <v>-11.815810000000001</v>
      </c>
      <c r="AF6040">
        <v>-1.81913759082249</v>
      </c>
      <c r="AG6040">
        <v>-1.1122009009539999</v>
      </c>
      <c r="AH6040">
        <v>11.676910827926401</v>
      </c>
      <c r="AI6040">
        <v>95.376421462085005</v>
      </c>
      <c r="AJ6040">
        <v>98.854889425321403</v>
      </c>
      <c r="AK6040">
        <v>11.8699831045276</v>
      </c>
      <c r="AL6040">
        <v>79.419010557446398</v>
      </c>
      <c r="AM6040">
        <v>95.669485591225396</v>
      </c>
      <c r="AN6040">
        <v>0.999999969121939</v>
      </c>
    </row>
    <row r="6041" spans="1:40" x14ac:dyDescent="0.25">
      <c r="A6041" t="str">
        <f>"20190312172529380"</f>
        <v>20190312172529380</v>
      </c>
      <c r="B6041" t="str">
        <f>"1552382729376946"</f>
        <v>1552382729376946</v>
      </c>
      <c r="C6041" t="s">
        <v>40</v>
      </c>
      <c r="D6041">
        <v>3.8020399999999999</v>
      </c>
      <c r="E6041">
        <v>0.47924679999999997</v>
      </c>
      <c r="F6041" t="s">
        <v>50</v>
      </c>
      <c r="G6041">
        <v>-300.15679999999998</v>
      </c>
      <c r="H6041" s="1">
        <v>-2.159559E-6</v>
      </c>
      <c r="I6041">
        <v>-43.740070000000003</v>
      </c>
      <c r="J6041">
        <v>-301.5505</v>
      </c>
      <c r="K6041">
        <v>1.1123179999999999</v>
      </c>
      <c r="L6041">
        <v>-33.36374</v>
      </c>
      <c r="M6041">
        <v>-1.953643E-2</v>
      </c>
      <c r="N6041">
        <v>0</v>
      </c>
      <c r="O6041">
        <v>-0.99971089999999996</v>
      </c>
      <c r="P6041">
        <v>7.8789059999999994E-2</v>
      </c>
      <c r="Q6041">
        <v>0.17289669999999999</v>
      </c>
      <c r="R6041">
        <v>-0.98178379999999998</v>
      </c>
      <c r="S6041">
        <v>0.4036865</v>
      </c>
      <c r="T6041">
        <v>-0.32274750000000002</v>
      </c>
      <c r="U6041">
        <v>-3.0784910000000001</v>
      </c>
      <c r="V6041">
        <v>-9.8660940000000003E-2</v>
      </c>
      <c r="W6041">
        <v>0.18625649999999999</v>
      </c>
      <c r="X6041">
        <v>0.97753489999999998</v>
      </c>
      <c r="Y6041">
        <v>-0.14867069999999999</v>
      </c>
      <c r="Z6041">
        <v>0.1032214</v>
      </c>
      <c r="AA6041">
        <v>0.98348480000000005</v>
      </c>
      <c r="AB6041">
        <v>24</v>
      </c>
      <c r="AC6041">
        <v>1.3937000000000199</v>
      </c>
      <c r="AD6041">
        <v>-1.112320159559</v>
      </c>
      <c r="AE6041">
        <v>-10.376329999999999</v>
      </c>
      <c r="AF6041">
        <v>-1.5783542617513999</v>
      </c>
      <c r="AG6041">
        <v>-1.112320159559</v>
      </c>
      <c r="AH6041">
        <v>10.2316267128089</v>
      </c>
      <c r="AI6041">
        <v>96.132506161361206</v>
      </c>
      <c r="AJ6041">
        <v>98.769452887830397</v>
      </c>
      <c r="AK6041">
        <v>10.4122352789021</v>
      </c>
      <c r="AL6041">
        <v>79.265601803270499</v>
      </c>
      <c r="AM6041">
        <v>95.763249597030295</v>
      </c>
      <c r="AN6041">
        <v>0.99999997279597097</v>
      </c>
    </row>
    <row r="6042" spans="1:40" x14ac:dyDescent="0.25">
      <c r="A6042" t="str">
        <f>"20190312172529401"</f>
        <v>20190312172529401</v>
      </c>
      <c r="B6042" t="str">
        <f>"1552382729396465"</f>
        <v>1552382729396465</v>
      </c>
      <c r="C6042" t="s">
        <v>40</v>
      </c>
      <c r="D6042">
        <v>3.8087430000000002</v>
      </c>
      <c r="E6042">
        <v>0.47953950000000001</v>
      </c>
      <c r="F6042" t="s">
        <v>50</v>
      </c>
      <c r="G6042">
        <v>-300.08569999999997</v>
      </c>
      <c r="H6042" s="1">
        <v>-2.4151259999999998E-6</v>
      </c>
      <c r="I6042">
        <v>-44.157710000000002</v>
      </c>
      <c r="J6042">
        <v>-301.55220000000003</v>
      </c>
      <c r="K6042">
        <v>1.1124270000000001</v>
      </c>
      <c r="L6042">
        <v>-33.579619999999998</v>
      </c>
      <c r="M6042">
        <v>-1.7272309999999999E-2</v>
      </c>
      <c r="N6042">
        <v>0</v>
      </c>
      <c r="O6042">
        <v>-0.99975130000000001</v>
      </c>
      <c r="P6042">
        <v>8.2794989999999999E-2</v>
      </c>
      <c r="Q6042">
        <v>0.174239899999999</v>
      </c>
      <c r="R6042">
        <v>-0.98121650000000005</v>
      </c>
      <c r="S6042">
        <v>0.41769410000000001</v>
      </c>
      <c r="T6042">
        <v>-0.31718839999999998</v>
      </c>
      <c r="U6042">
        <v>-3.0780029999999998</v>
      </c>
      <c r="V6042">
        <v>-0.100484</v>
      </c>
      <c r="W6042">
        <v>0.18765850000000001</v>
      </c>
      <c r="X6042">
        <v>0.97708099999999998</v>
      </c>
      <c r="Y6042">
        <v>-0.15087329999999999</v>
      </c>
      <c r="Z6042">
        <v>0.10143729999999999</v>
      </c>
      <c r="AA6042">
        <v>0.98333499999999996</v>
      </c>
      <c r="AB6042">
        <v>24</v>
      </c>
      <c r="AC6042">
        <v>1.4665000000000501</v>
      </c>
      <c r="AD6042">
        <v>-1.1124294151259999</v>
      </c>
      <c r="AE6042">
        <v>-10.5780899999999</v>
      </c>
      <c r="AF6042">
        <v>-1.6313064083559901</v>
      </c>
      <c r="AG6042">
        <v>-1.1124294151259999</v>
      </c>
      <c r="AH6042">
        <v>10.4379193292698</v>
      </c>
      <c r="AI6042">
        <v>96.010955900664598</v>
      </c>
      <c r="AJ6042">
        <v>98.882703429974896</v>
      </c>
      <c r="AK6042">
        <v>10.623032510819399</v>
      </c>
      <c r="AL6042">
        <v>79.183831781866203</v>
      </c>
      <c r="AM6042">
        <v>95.8717137921073</v>
      </c>
      <c r="AN6042">
        <v>1.0000000137196201</v>
      </c>
    </row>
    <row r="6043" spans="1:40" x14ac:dyDescent="0.25">
      <c r="A6043" t="str">
        <f>"20190312172529423"</f>
        <v>20190312172529423</v>
      </c>
      <c r="B6043" t="str">
        <f>"1552382729415984"</f>
        <v>1552382729415984</v>
      </c>
      <c r="C6043" t="s">
        <v>40</v>
      </c>
      <c r="D6043">
        <v>3.8213219999999999</v>
      </c>
      <c r="E6043">
        <v>0.47958260000000003</v>
      </c>
      <c r="F6043" t="s">
        <v>50</v>
      </c>
      <c r="G6043">
        <v>-300.03050000000002</v>
      </c>
      <c r="H6043" s="1">
        <v>-2.6420159999999999E-6</v>
      </c>
      <c r="I6043">
        <v>-44.52675</v>
      </c>
      <c r="J6043">
        <v>-301.5532</v>
      </c>
      <c r="K6043">
        <v>1.112541</v>
      </c>
      <c r="L6043">
        <v>-33.818730000000002</v>
      </c>
      <c r="M6043">
        <v>-1.4600159999999999E-2</v>
      </c>
      <c r="N6043">
        <v>0</v>
      </c>
      <c r="O6043">
        <v>-0.99979249999999997</v>
      </c>
      <c r="P6043">
        <v>8.7236590000000003E-2</v>
      </c>
      <c r="Q6043">
        <v>0.17513139999999999</v>
      </c>
      <c r="R6043">
        <v>-0.98067269999999895</v>
      </c>
      <c r="S6043">
        <v>0.42767329999999998</v>
      </c>
      <c r="T6043">
        <v>-0.31266680000000002</v>
      </c>
      <c r="U6043">
        <v>-3.0768740000000001</v>
      </c>
      <c r="V6043">
        <v>-0.1023477</v>
      </c>
      <c r="W6043">
        <v>0.18860260000000001</v>
      </c>
      <c r="X6043">
        <v>0.97670570000000001</v>
      </c>
      <c r="Y6043">
        <v>-0.15142949999999999</v>
      </c>
      <c r="Z6043">
        <v>0.1000225</v>
      </c>
      <c r="AA6043">
        <v>0.9833944</v>
      </c>
      <c r="AB6043">
        <v>24</v>
      </c>
      <c r="AC6043">
        <v>1.52269999999998</v>
      </c>
      <c r="AD6043">
        <v>-1.112543642016</v>
      </c>
      <c r="AE6043">
        <v>-10.7080199999999</v>
      </c>
      <c r="AF6043">
        <v>-1.6613140998229701</v>
      </c>
      <c r="AG6043">
        <v>-1.112543642016</v>
      </c>
      <c r="AH6043">
        <v>10.572775360828</v>
      </c>
      <c r="AI6043">
        <v>95.934680390286402</v>
      </c>
      <c r="AJ6043">
        <v>98.929944742206004</v>
      </c>
      <c r="AK6043">
        <v>10.760171779492801</v>
      </c>
      <c r="AL6043">
        <v>79.128755334198601</v>
      </c>
      <c r="AM6043">
        <v>95.982116913535506</v>
      </c>
      <c r="AN6043">
        <v>1.00000000841727</v>
      </c>
    </row>
    <row r="6044" spans="1:40" x14ac:dyDescent="0.25">
      <c r="A6044" t="str">
        <f>"20190312172529445"</f>
        <v>20190312172529445</v>
      </c>
      <c r="B6044" t="str">
        <f>"1552382729436481"</f>
        <v>1552382729436481</v>
      </c>
      <c r="C6044" t="s">
        <v>40</v>
      </c>
      <c r="D6044">
        <v>3.9552100000000001</v>
      </c>
      <c r="E6044">
        <v>0.48224889999999998</v>
      </c>
      <c r="F6044" t="s">
        <v>50</v>
      </c>
      <c r="G6044">
        <v>-299.96339999999998</v>
      </c>
      <c r="H6044" s="1">
        <v>-2.8675500000000002E-6</v>
      </c>
      <c r="I6044">
        <v>-44.896279999999997</v>
      </c>
      <c r="J6044">
        <v>-301.55349999999999</v>
      </c>
      <c r="K6044">
        <v>1.1126480000000001</v>
      </c>
      <c r="L6044">
        <v>-34.053739999999998</v>
      </c>
      <c r="M6044">
        <v>-1.1815020000000001E-2</v>
      </c>
      <c r="N6044">
        <v>0</v>
      </c>
      <c r="O6044">
        <v>-0.99982800000000005</v>
      </c>
      <c r="P6044">
        <v>9.1632809999999995E-2</v>
      </c>
      <c r="Q6044">
        <v>0.174847</v>
      </c>
      <c r="R6044">
        <v>-0.98032249999999999</v>
      </c>
      <c r="S6044">
        <v>0.4413147</v>
      </c>
      <c r="T6044">
        <v>-0.30883050000000001</v>
      </c>
      <c r="U6044">
        <v>-3.0750120000000001</v>
      </c>
      <c r="V6044">
        <v>-0.1040537</v>
      </c>
      <c r="W6044">
        <v>0.18836240000000001</v>
      </c>
      <c r="X6044">
        <v>0.97657179999999999</v>
      </c>
      <c r="Y6044">
        <v>-0.15305150000000001</v>
      </c>
      <c r="Z6044">
        <v>9.8828959999999993E-2</v>
      </c>
      <c r="AA6044">
        <v>0.98326400000000003</v>
      </c>
      <c r="AB6044">
        <v>24</v>
      </c>
      <c r="AC6044">
        <v>1.5901000000000001</v>
      </c>
      <c r="AD6044">
        <v>-1.11265086754999</v>
      </c>
      <c r="AE6044">
        <v>-10.8425399999999</v>
      </c>
      <c r="AF6044">
        <v>-1.7005757647753901</v>
      </c>
      <c r="AG6044">
        <v>-1.11265086754999</v>
      </c>
      <c r="AH6044">
        <v>10.712558864786001</v>
      </c>
      <c r="AI6044">
        <v>95.856896674225098</v>
      </c>
      <c r="AJ6044">
        <v>99.020207214342506</v>
      </c>
      <c r="AK6044">
        <v>10.9036171666244</v>
      </c>
      <c r="AL6044">
        <v>79.142769117264194</v>
      </c>
      <c r="AM6044">
        <v>96.081917297415202</v>
      </c>
      <c r="AN6044">
        <v>1.00000002338634</v>
      </c>
    </row>
    <row r="6045" spans="1:40" x14ac:dyDescent="0.25">
      <c r="A6045" t="str">
        <f>"20190312172529467"</f>
        <v>20190312172529467</v>
      </c>
      <c r="B6045" t="str">
        <f>"1552382729456978"</f>
        <v>1552382729456978</v>
      </c>
      <c r="C6045" t="s">
        <v>40</v>
      </c>
      <c r="D6045">
        <v>3.813739</v>
      </c>
      <c r="E6045">
        <v>0.48219689999999998</v>
      </c>
      <c r="F6045" t="s">
        <v>50</v>
      </c>
      <c r="G6045">
        <v>-299.93450000000001</v>
      </c>
      <c r="H6045" s="1">
        <v>-3.2475759999999998E-6</v>
      </c>
      <c r="I6045">
        <v>-45.512909999999998</v>
      </c>
      <c r="J6045">
        <v>-301.553</v>
      </c>
      <c r="K6045">
        <v>1.1127370000000001</v>
      </c>
      <c r="L6045">
        <v>-34.28922</v>
      </c>
      <c r="M6045">
        <v>-8.8937069999999903E-3</v>
      </c>
      <c r="N6045">
        <v>0</v>
      </c>
      <c r="O6045">
        <v>-0.99985740000000001</v>
      </c>
      <c r="P6045">
        <v>9.6201469999999997E-2</v>
      </c>
      <c r="Q6045">
        <v>0.17382879999999901</v>
      </c>
      <c r="R6045">
        <v>-0.98006610000000005</v>
      </c>
      <c r="S6045">
        <v>0.4341431</v>
      </c>
      <c r="T6045">
        <v>-0.29836430000000003</v>
      </c>
      <c r="U6045">
        <v>-3.072845</v>
      </c>
      <c r="V6045">
        <v>-0.1057911</v>
      </c>
      <c r="W6045">
        <v>0.1873822</v>
      </c>
      <c r="X6045">
        <v>0.97657369999999999</v>
      </c>
      <c r="Y6045">
        <v>-0.14805460000000001</v>
      </c>
      <c r="Z6045">
        <v>9.5633700000000002E-2</v>
      </c>
      <c r="AA6045">
        <v>0.98434449999999996</v>
      </c>
      <c r="AB6045">
        <v>24</v>
      </c>
      <c r="AC6045">
        <v>1.6184999999999801</v>
      </c>
      <c r="AD6045">
        <v>-1.112740247576</v>
      </c>
      <c r="AE6045">
        <v>-11.2236899999999</v>
      </c>
      <c r="AF6045">
        <v>-1.7018792046495601</v>
      </c>
      <c r="AG6045">
        <v>-1.112740247576</v>
      </c>
      <c r="AH6045">
        <v>11.1019502127868</v>
      </c>
      <c r="AI6045">
        <v>95.6579412975086</v>
      </c>
      <c r="AJ6045">
        <v>98.715340043690304</v>
      </c>
      <c r="AK6045">
        <v>11.286624039675999</v>
      </c>
      <c r="AL6045">
        <v>79.199948558269796</v>
      </c>
      <c r="AM6045">
        <v>96.182675929611904</v>
      </c>
      <c r="AN6045">
        <v>1.00000001862386</v>
      </c>
    </row>
    <row r="6046" spans="1:40" x14ac:dyDescent="0.25">
      <c r="A6046" t="str">
        <f>"20190312172529490"</f>
        <v>20190312172529490</v>
      </c>
      <c r="B6046" t="str">
        <f>"1552382729486261"</f>
        <v>1552382729486261</v>
      </c>
      <c r="C6046" t="s">
        <v>40</v>
      </c>
      <c r="D6046">
        <v>3.9757229999999999</v>
      </c>
      <c r="E6046">
        <v>0.48287429999999898</v>
      </c>
      <c r="F6046" t="s">
        <v>50</v>
      </c>
      <c r="G6046">
        <v>-299.91370000000001</v>
      </c>
      <c r="H6046" s="1">
        <v>-3.2539310000000001E-6</v>
      </c>
      <c r="I6046">
        <v>-45.516330000000004</v>
      </c>
      <c r="J6046">
        <v>-301.55160000000001</v>
      </c>
      <c r="K6046">
        <v>1.112819</v>
      </c>
      <c r="L6046">
        <v>-34.521299999999997</v>
      </c>
      <c r="M6046">
        <v>-5.8798019999999999E-3</v>
      </c>
      <c r="N6046">
        <v>0</v>
      </c>
      <c r="O6046">
        <v>-0.99987870000000001</v>
      </c>
      <c r="P6046">
        <v>0.100678</v>
      </c>
      <c r="Q6046">
        <v>0.17324600000000001</v>
      </c>
      <c r="R6046">
        <v>-0.97971920000000001</v>
      </c>
      <c r="S6046">
        <v>0.44839479999999998</v>
      </c>
      <c r="T6046">
        <v>-0.3043709</v>
      </c>
      <c r="U6046">
        <v>-3.0709840000000002</v>
      </c>
      <c r="V6046">
        <v>-0.1073443</v>
      </c>
      <c r="W6046">
        <v>0.186829</v>
      </c>
      <c r="X6046">
        <v>0.97651019999999999</v>
      </c>
      <c r="Y6046">
        <v>-0.14960509999999999</v>
      </c>
      <c r="Z6046">
        <v>9.7558759999999994E-2</v>
      </c>
      <c r="AA6046">
        <v>0.98392109999999999</v>
      </c>
      <c r="AB6046">
        <v>24</v>
      </c>
      <c r="AC6046">
        <v>1.6378999999999999</v>
      </c>
      <c r="AD6046">
        <v>-1.112822253931</v>
      </c>
      <c r="AE6046">
        <v>-10.99503</v>
      </c>
      <c r="AF6046">
        <v>-1.6856346559855999</v>
      </c>
      <c r="AG6046">
        <v>-1.112822253931</v>
      </c>
      <c r="AH6046">
        <v>10.876213928597499</v>
      </c>
      <c r="AI6046">
        <v>95.773551512622305</v>
      </c>
      <c r="AJ6046">
        <v>98.809814693984407</v>
      </c>
      <c r="AK6046">
        <v>11.0621773165558</v>
      </c>
      <c r="AL6046">
        <v>79.232214444985701</v>
      </c>
      <c r="AM6046">
        <v>96.273134751645799</v>
      </c>
      <c r="AN6046">
        <v>1.00000002234376</v>
      </c>
    </row>
    <row r="6047" spans="1:40" x14ac:dyDescent="0.25">
      <c r="A6047" t="str">
        <f>"20190312172529513"</f>
        <v>20190312172529513</v>
      </c>
      <c r="B6047" t="str">
        <f>"1552382729506753"</f>
        <v>1552382729506753</v>
      </c>
      <c r="C6047" t="s">
        <v>40</v>
      </c>
      <c r="D6047">
        <v>3.7357079999999998</v>
      </c>
      <c r="E6047">
        <v>0.4826143</v>
      </c>
      <c r="F6047" t="s">
        <v>50</v>
      </c>
      <c r="G6047">
        <v>-299.91289999999998</v>
      </c>
      <c r="H6047" s="1">
        <v>-3.2506019999999999E-6</v>
      </c>
      <c r="I6047">
        <v>-45.509459999999997</v>
      </c>
      <c r="J6047">
        <v>-301.54919999999998</v>
      </c>
      <c r="K6047">
        <v>1.112906</v>
      </c>
      <c r="L6047">
        <v>-34.767580000000002</v>
      </c>
      <c r="M6047">
        <v>-2.5231350000000001E-3</v>
      </c>
      <c r="N6047">
        <v>0</v>
      </c>
      <c r="O6047">
        <v>-0.99989220000000001</v>
      </c>
      <c r="P6047">
        <v>0.10512879999999999</v>
      </c>
      <c r="Q6047">
        <v>0.1726192</v>
      </c>
      <c r="R6047">
        <v>-0.97936270000000003</v>
      </c>
      <c r="S6047">
        <v>0.45782469999999997</v>
      </c>
      <c r="T6047">
        <v>-0.3109169</v>
      </c>
      <c r="U6047">
        <v>-3.0700379999999998</v>
      </c>
      <c r="V6047">
        <v>-0.1085405</v>
      </c>
      <c r="W6047">
        <v>0.186227</v>
      </c>
      <c r="X6047">
        <v>0.9764929</v>
      </c>
      <c r="Y6047">
        <v>-0.1492568</v>
      </c>
      <c r="Z6047">
        <v>9.964895E-2</v>
      </c>
      <c r="AA6047">
        <v>0.98376450000000004</v>
      </c>
      <c r="AB6047">
        <v>24</v>
      </c>
      <c r="AC6047">
        <v>1.6363000000000001</v>
      </c>
      <c r="AD6047">
        <v>-1.112909250602</v>
      </c>
      <c r="AE6047">
        <v>-10.741879999999901</v>
      </c>
      <c r="AF6047">
        <v>-1.64613207352201</v>
      </c>
      <c r="AG6047">
        <v>-1.112909250602</v>
      </c>
      <c r="AH6047">
        <v>10.626242057331501</v>
      </c>
      <c r="AI6047">
        <v>95.908940946978802</v>
      </c>
      <c r="AJ6047">
        <v>98.805807415009497</v>
      </c>
      <c r="AK6047">
        <v>10.810427284088</v>
      </c>
      <c r="AL6047">
        <v>79.267321985581603</v>
      </c>
      <c r="AM6047">
        <v>96.342584818592002</v>
      </c>
      <c r="AN6047">
        <v>0.99999995970982902</v>
      </c>
    </row>
    <row r="6048" spans="1:40" x14ac:dyDescent="0.25">
      <c r="A6048" t="str">
        <f>"20190312172529536"</f>
        <v>20190312172529536</v>
      </c>
      <c r="B6048" t="str">
        <f>"1552382729526273"</f>
        <v>1552382729526273</v>
      </c>
      <c r="C6048" t="s">
        <v>40</v>
      </c>
      <c r="D6048">
        <v>3.7938459999999998</v>
      </c>
      <c r="E6048">
        <v>0.48302010000000001</v>
      </c>
      <c r="F6048" t="s">
        <v>50</v>
      </c>
      <c r="G6048">
        <v>-299.86320000000001</v>
      </c>
      <c r="H6048" s="1">
        <v>-3.334369E-6</v>
      </c>
      <c r="I6048">
        <v>-45.652209999999997</v>
      </c>
      <c r="J6048">
        <v>-301.5462</v>
      </c>
      <c r="K6048">
        <v>1.1130100000000001</v>
      </c>
      <c r="L6048">
        <v>-34.991390000000003</v>
      </c>
      <c r="M6048">
        <v>6.7974399999999905E-4</v>
      </c>
      <c r="N6048">
        <v>0</v>
      </c>
      <c r="O6048">
        <v>-0.99989459999999997</v>
      </c>
      <c r="P6048">
        <v>0.10915370000000001</v>
      </c>
      <c r="Q6048">
        <v>0.1721501</v>
      </c>
      <c r="R6048">
        <v>-0.97900469999999895</v>
      </c>
      <c r="S6048">
        <v>0.47515869999999999</v>
      </c>
      <c r="T6048">
        <v>-0.313637</v>
      </c>
      <c r="U6048">
        <v>-3.0674739999999998</v>
      </c>
      <c r="V6048">
        <v>-0.10946500000000001</v>
      </c>
      <c r="W6048">
        <v>0.18577250000000001</v>
      </c>
      <c r="X6048">
        <v>0.97647629999999996</v>
      </c>
      <c r="Y6048">
        <v>-0.15162929999999999</v>
      </c>
      <c r="Z6048">
        <v>0.10053429999999999</v>
      </c>
      <c r="AA6048">
        <v>0.9833115</v>
      </c>
      <c r="AB6048">
        <v>24</v>
      </c>
      <c r="AC6048">
        <v>1.6829999999999901</v>
      </c>
      <c r="AD6048">
        <v>-1.1130133343690001</v>
      </c>
      <c r="AE6048">
        <v>-10.6608199999999</v>
      </c>
      <c r="AF6048">
        <v>-1.6581184915363301</v>
      </c>
      <c r="AG6048">
        <v>-1.1130133343690001</v>
      </c>
      <c r="AH6048">
        <v>10.5497671902442</v>
      </c>
      <c r="AI6048">
        <v>95.949987631392005</v>
      </c>
      <c r="AJ6048">
        <v>98.932169174281896</v>
      </c>
      <c r="AK6048">
        <v>10.7371198830417</v>
      </c>
      <c r="AL6048">
        <v>79.293825696163907</v>
      </c>
      <c r="AM6048">
        <v>96.396270136557106</v>
      </c>
      <c r="AN6048">
        <v>0.99999998622146902</v>
      </c>
    </row>
    <row r="6049" spans="1:40" x14ac:dyDescent="0.25">
      <c r="A6049" t="str">
        <f>"20190312172529562"</f>
        <v>20190312172529562</v>
      </c>
      <c r="B6049" t="str">
        <f>"1552382729556531"</f>
        <v>1552382729556531</v>
      </c>
      <c r="C6049" t="s">
        <v>40</v>
      </c>
      <c r="D6049">
        <v>3.7811170000000001</v>
      </c>
      <c r="E6049">
        <v>0.48367199999999999</v>
      </c>
      <c r="F6049" t="s">
        <v>50</v>
      </c>
      <c r="G6049">
        <v>-300.01990000000001</v>
      </c>
      <c r="H6049" s="1">
        <v>-2.6918070000000002E-6</v>
      </c>
      <c r="I6049">
        <v>-44.607410000000002</v>
      </c>
      <c r="J6049">
        <v>-301.54129999999998</v>
      </c>
      <c r="K6049">
        <v>1.1131450000000001</v>
      </c>
      <c r="L6049">
        <v>-35.26932</v>
      </c>
      <c r="M6049">
        <v>4.8617199999999999E-3</v>
      </c>
      <c r="N6049">
        <v>0</v>
      </c>
      <c r="O6049">
        <v>-0.9998823</v>
      </c>
      <c r="P6049">
        <v>0.11346249999999999</v>
      </c>
      <c r="Q6049">
        <v>0.17210629999999999</v>
      </c>
      <c r="R6049">
        <v>-0.97852249999999996</v>
      </c>
      <c r="S6049">
        <v>0.48767090000000002</v>
      </c>
      <c r="T6049">
        <v>-0.3556298</v>
      </c>
      <c r="U6049">
        <v>-3.0725099999999999</v>
      </c>
      <c r="V6049">
        <v>-0.10973479999999999</v>
      </c>
      <c r="W6049">
        <v>0.18574109999999999</v>
      </c>
      <c r="X6049">
        <v>0.97645199999999999</v>
      </c>
      <c r="Y6049">
        <v>-0.15093960000000001</v>
      </c>
      <c r="Z6049">
        <v>0.1136158</v>
      </c>
      <c r="AA6049">
        <v>0.98199219999999998</v>
      </c>
      <c r="AB6049">
        <v>24</v>
      </c>
      <c r="AC6049">
        <v>1.5213999999999701</v>
      </c>
      <c r="AD6049">
        <v>-1.113147691807</v>
      </c>
      <c r="AE6049">
        <v>-9.3380899999999905</v>
      </c>
      <c r="AF6049">
        <v>-1.4558258871045699</v>
      </c>
      <c r="AG6049">
        <v>-1.113147691807</v>
      </c>
      <c r="AH6049">
        <v>9.2177806978318593</v>
      </c>
      <c r="AI6049">
        <v>96.802237886486196</v>
      </c>
      <c r="AJ6049">
        <v>98.974972563946494</v>
      </c>
      <c r="AK6049">
        <v>9.3981917298308293</v>
      </c>
      <c r="AL6049">
        <v>79.295656749799704</v>
      </c>
      <c r="AM6049">
        <v>96.412062221494907</v>
      </c>
      <c r="AN6049">
        <v>0.99999999543212403</v>
      </c>
    </row>
    <row r="6050" spans="1:40" x14ac:dyDescent="0.25">
      <c r="A6050" t="str">
        <f>"20190312172529582"</f>
        <v>20190312172529582</v>
      </c>
      <c r="B6050" t="str">
        <f>"1552382729577026"</f>
        <v>1552382729577026</v>
      </c>
      <c r="C6050" t="s">
        <v>40</v>
      </c>
      <c r="D6050">
        <v>3.8069480000000002</v>
      </c>
      <c r="E6050">
        <v>0.48628379999999999</v>
      </c>
      <c r="F6050" t="s">
        <v>50</v>
      </c>
      <c r="G6050">
        <v>-300.00220000000002</v>
      </c>
      <c r="H6050" s="1">
        <v>-2.8004159999999999E-6</v>
      </c>
      <c r="I6050">
        <v>-44.782159999999998</v>
      </c>
      <c r="J6050">
        <v>-301.53629999999998</v>
      </c>
      <c r="K6050">
        <v>1.1132629999999999</v>
      </c>
      <c r="L6050">
        <v>-35.484830000000002</v>
      </c>
      <c r="M6050">
        <v>8.2929809999999996E-3</v>
      </c>
      <c r="N6050">
        <v>0</v>
      </c>
      <c r="O6050">
        <v>-0.9998591</v>
      </c>
      <c r="P6050">
        <v>0.11657149999999999</v>
      </c>
      <c r="Q6050">
        <v>0.17187259999999999</v>
      </c>
      <c r="R6050">
        <v>-0.97819789999999995</v>
      </c>
      <c r="S6050">
        <v>0.49691770000000002</v>
      </c>
      <c r="T6050">
        <v>-0.35940539999999999</v>
      </c>
      <c r="U6050">
        <v>-3.0714419999999998</v>
      </c>
      <c r="V6050">
        <v>-0.1095324</v>
      </c>
      <c r="W6050">
        <v>0.18551290000000001</v>
      </c>
      <c r="X6050">
        <v>0.97651810000000006</v>
      </c>
      <c r="Y6050">
        <v>-0.15046089999999901</v>
      </c>
      <c r="Z6050">
        <v>0.1148185</v>
      </c>
      <c r="AA6050">
        <v>0.98192579999999996</v>
      </c>
      <c r="AB6050">
        <v>23</v>
      </c>
      <c r="AC6050">
        <v>1.5340999999999601</v>
      </c>
      <c r="AD6050">
        <v>-1.1132658004160001</v>
      </c>
      <c r="AE6050">
        <v>-9.2973299999999899</v>
      </c>
      <c r="AF6050">
        <v>-1.43688083429073</v>
      </c>
      <c r="AG6050">
        <v>-1.1132658004160001</v>
      </c>
      <c r="AH6050">
        <v>9.18157975038282</v>
      </c>
      <c r="AI6050">
        <v>96.831018006415903</v>
      </c>
      <c r="AJ6050">
        <v>98.894419494392295</v>
      </c>
      <c r="AK6050">
        <v>9.35977531711994</v>
      </c>
      <c r="AL6050">
        <v>79.308962857915901</v>
      </c>
      <c r="AM6050">
        <v>96.399904103419999</v>
      </c>
      <c r="AN6050">
        <v>0.99999999117188998</v>
      </c>
    </row>
    <row r="6051" spans="1:40" x14ac:dyDescent="0.25">
      <c r="A6051" t="str">
        <f>"20190312172529602"</f>
        <v>20190312172529602</v>
      </c>
      <c r="B6051" t="str">
        <f>"1552382729596432"</f>
        <v>1552382729596432</v>
      </c>
      <c r="C6051" t="s">
        <v>40</v>
      </c>
      <c r="D6051">
        <v>3.7746759999999999</v>
      </c>
      <c r="E6051">
        <v>0.47232540000000001</v>
      </c>
      <c r="F6051" t="s">
        <v>50</v>
      </c>
      <c r="G6051">
        <v>-299.96469999999999</v>
      </c>
      <c r="H6051" s="1">
        <v>-3.1839160000000001E-6</v>
      </c>
      <c r="I6051">
        <v>-45.397320000000001</v>
      </c>
      <c r="J6051">
        <v>-301.53089999999997</v>
      </c>
      <c r="K6051">
        <v>1.113359</v>
      </c>
      <c r="L6051">
        <v>-35.686979999999998</v>
      </c>
      <c r="M6051">
        <v>1.16288E-2</v>
      </c>
      <c r="N6051">
        <v>0</v>
      </c>
      <c r="O6051">
        <v>-0.99982570000000004</v>
      </c>
      <c r="P6051">
        <v>0.1199341</v>
      </c>
      <c r="Q6051">
        <v>0.171543</v>
      </c>
      <c r="R6051">
        <v>-0.97784950000000004</v>
      </c>
      <c r="S6051">
        <v>0.48666379999999998</v>
      </c>
      <c r="T6051">
        <v>-0.34472599999999998</v>
      </c>
      <c r="U6051">
        <v>-3.0694270000000001</v>
      </c>
      <c r="V6051">
        <v>-0.10967150000000001</v>
      </c>
      <c r="W6051">
        <v>0.18518589999999999</v>
      </c>
      <c r="X6051">
        <v>0.9765646</v>
      </c>
      <c r="Y6051">
        <v>-0.14414299999999999</v>
      </c>
      <c r="Z6051">
        <v>0.1103335</v>
      </c>
      <c r="AA6051">
        <v>0.9833866</v>
      </c>
      <c r="AB6051">
        <v>23</v>
      </c>
      <c r="AC6051">
        <v>1.5661999999999801</v>
      </c>
      <c r="AD6051">
        <v>-1.1133621839159999</v>
      </c>
      <c r="AE6051">
        <v>-9.7103400000000004</v>
      </c>
      <c r="AF6051">
        <v>-1.4347786305829799</v>
      </c>
      <c r="AG6051">
        <v>-1.1133621839159999</v>
      </c>
      <c r="AH6051">
        <v>9.6048316869338901</v>
      </c>
      <c r="AI6051">
        <v>96.540110541141402</v>
      </c>
      <c r="AJ6051">
        <v>98.496072534831001</v>
      </c>
      <c r="AK6051">
        <v>9.7750169721428701</v>
      </c>
      <c r="AL6051">
        <v>79.328029434000399</v>
      </c>
      <c r="AM6051">
        <v>96.407661477137296</v>
      </c>
      <c r="AN6051">
        <v>1.0000000367221</v>
      </c>
    </row>
    <row r="6052" spans="1:40" x14ac:dyDescent="0.25">
      <c r="A6052" t="str">
        <f>"20190312172529624"</f>
        <v>20190312172529624</v>
      </c>
      <c r="B6052" t="str">
        <f>"1552382729616928"</f>
        <v>1552382729616928</v>
      </c>
      <c r="C6052" t="s">
        <v>40</v>
      </c>
      <c r="D6052">
        <v>3.6944530000000002</v>
      </c>
      <c r="E6052">
        <v>0.46544229999999998</v>
      </c>
      <c r="F6052" t="s">
        <v>50</v>
      </c>
      <c r="G6052">
        <v>-299.27449999999999</v>
      </c>
      <c r="H6052" s="1">
        <v>-4.1520880000000001E-6</v>
      </c>
      <c r="I6052">
        <v>-47.000889999999998</v>
      </c>
      <c r="J6052">
        <v>-301.52350000000001</v>
      </c>
      <c r="K6052">
        <v>1.113442</v>
      </c>
      <c r="L6052">
        <v>-35.921779999999998</v>
      </c>
      <c r="M6052">
        <v>1.5669740000000001E-2</v>
      </c>
      <c r="N6052">
        <v>0</v>
      </c>
      <c r="O6052">
        <v>-0.99977000000000005</v>
      </c>
      <c r="P6052">
        <v>0.1246473</v>
      </c>
      <c r="Q6052">
        <v>0.17067179999999901</v>
      </c>
      <c r="R6052">
        <v>-0.97741199999999995</v>
      </c>
      <c r="S6052">
        <v>0.60748290000000005</v>
      </c>
      <c r="T6052">
        <v>-0.2997515</v>
      </c>
      <c r="U6052">
        <v>-3.0460509999999998</v>
      </c>
      <c r="V6052">
        <v>-0.110470899999999</v>
      </c>
      <c r="W6052">
        <v>0.18431230000000001</v>
      </c>
      <c r="X6052">
        <v>0.9766397</v>
      </c>
      <c r="Y6052">
        <v>-0.17928229999999901</v>
      </c>
      <c r="Z6052">
        <v>9.6184480000000003E-2</v>
      </c>
      <c r="AA6052">
        <v>0.97908450000000002</v>
      </c>
      <c r="AB6052">
        <v>23</v>
      </c>
      <c r="AC6052">
        <v>2.2490000000000201</v>
      </c>
      <c r="AD6052">
        <v>-1.1134461520879999</v>
      </c>
      <c r="AE6052">
        <v>-11.07911</v>
      </c>
      <c r="AF6052">
        <v>-2.0551624346363702</v>
      </c>
      <c r="AG6052">
        <v>-1.1134461520879999</v>
      </c>
      <c r="AH6052">
        <v>11.006229135654101</v>
      </c>
      <c r="AI6052">
        <v>95.679177728691897</v>
      </c>
      <c r="AJ6052">
        <v>100.576875335024</v>
      </c>
      <c r="AK6052">
        <v>11.2516903064767</v>
      </c>
      <c r="AL6052">
        <v>79.378959078055104</v>
      </c>
      <c r="AM6052">
        <v>96.453482406492697</v>
      </c>
      <c r="AN6052">
        <v>0.99999997364709403</v>
      </c>
    </row>
    <row r="6053" spans="1:40" x14ac:dyDescent="0.25">
      <c r="A6053" t="str">
        <f>"20190312172529647"</f>
        <v>20190312172529647</v>
      </c>
      <c r="B6053" t="str">
        <f>"1552382729636448"</f>
        <v>1552382729636448</v>
      </c>
      <c r="C6053" t="s">
        <v>40</v>
      </c>
      <c r="D6053">
        <v>3.673092</v>
      </c>
      <c r="E6053">
        <v>0.46348980000000001</v>
      </c>
      <c r="F6053" t="s">
        <v>50</v>
      </c>
      <c r="G6053">
        <v>-298.83080000000001</v>
      </c>
      <c r="H6053" s="1">
        <v>-4.756482E-6</v>
      </c>
      <c r="I6053">
        <v>-47.993960000000001</v>
      </c>
      <c r="J6053">
        <v>-301.51530000000002</v>
      </c>
      <c r="K6053">
        <v>1.1135029999999999</v>
      </c>
      <c r="L6053">
        <v>-36.147579999999998</v>
      </c>
      <c r="M6053">
        <v>1.9725670000000001E-2</v>
      </c>
      <c r="N6053">
        <v>0</v>
      </c>
      <c r="O6053">
        <v>-0.99969770000000002</v>
      </c>
      <c r="P6053">
        <v>0.129183399999999</v>
      </c>
      <c r="Q6053">
        <v>0.1685885</v>
      </c>
      <c r="R6053">
        <v>-0.97718470000000002</v>
      </c>
      <c r="S6053">
        <v>0.67626949999999997</v>
      </c>
      <c r="T6053">
        <v>-0.27964169999999999</v>
      </c>
      <c r="U6053">
        <v>-3.0319210000000001</v>
      </c>
      <c r="V6053">
        <v>-0.1110633</v>
      </c>
      <c r="W6053">
        <v>0.18222969999999999</v>
      </c>
      <c r="X6053">
        <v>0.97696329999999998</v>
      </c>
      <c r="Y6053">
        <v>-0.1975239</v>
      </c>
      <c r="Z6053">
        <v>8.9817250000000001E-2</v>
      </c>
      <c r="AA6053">
        <v>0.97617480000000001</v>
      </c>
      <c r="AB6053">
        <v>23</v>
      </c>
      <c r="AC6053">
        <v>2.6845000000000101</v>
      </c>
      <c r="AD6053">
        <v>-1.113507756482</v>
      </c>
      <c r="AE6053">
        <v>-11.8463799999999</v>
      </c>
      <c r="AF6053">
        <v>-2.42985499826493</v>
      </c>
      <c r="AG6053">
        <v>-1.113507756482</v>
      </c>
      <c r="AH6053">
        <v>11.7978886827021</v>
      </c>
      <c r="AI6053">
        <v>95.281509534440801</v>
      </c>
      <c r="AJ6053">
        <v>101.63772411817899</v>
      </c>
      <c r="AK6053">
        <v>12.096870347563801</v>
      </c>
      <c r="AL6053">
        <v>79.500339511808605</v>
      </c>
      <c r="AM6053">
        <v>96.485664271506806</v>
      </c>
      <c r="AN6053">
        <v>1.0000000048579301</v>
      </c>
    </row>
    <row r="6054" spans="1:40" x14ac:dyDescent="0.25">
      <c r="A6054" t="str">
        <f>"20190312172529668"</f>
        <v>20190312172529668</v>
      </c>
      <c r="B6054" t="str">
        <f>"1552382729656944"</f>
        <v>1552382729656944</v>
      </c>
      <c r="C6054" t="s">
        <v>40</v>
      </c>
      <c r="D6054">
        <v>3.6528130000000001</v>
      </c>
      <c r="E6054">
        <v>0.4626767</v>
      </c>
      <c r="F6054" t="s">
        <v>50</v>
      </c>
      <c r="G6054">
        <v>-298.62950000000001</v>
      </c>
      <c r="H6054" s="1">
        <v>-5.0736479999999996E-6</v>
      </c>
      <c r="I6054">
        <v>-48.528840000000002</v>
      </c>
      <c r="J6054">
        <v>-301.50599999999997</v>
      </c>
      <c r="K6054">
        <v>1.113575</v>
      </c>
      <c r="L6054">
        <v>-36.374209999999998</v>
      </c>
      <c r="M6054">
        <v>2.3969049999999999E-2</v>
      </c>
      <c r="N6054">
        <v>0</v>
      </c>
      <c r="O6054">
        <v>-0.99960470000000001</v>
      </c>
      <c r="P6054">
        <v>0.1341734</v>
      </c>
      <c r="Q6054">
        <v>0.16667839999999901</v>
      </c>
      <c r="R6054">
        <v>-0.97683989999999998</v>
      </c>
      <c r="S6054">
        <v>0.70477290000000004</v>
      </c>
      <c r="T6054">
        <v>-0.27194559999999901</v>
      </c>
      <c r="U6054">
        <v>-3.0238040000000002</v>
      </c>
      <c r="V6054">
        <v>-0.111928</v>
      </c>
      <c r="W6054">
        <v>0.180315</v>
      </c>
      <c r="X6054">
        <v>0.97721979999999997</v>
      </c>
      <c r="Y6054">
        <v>-0.20271110000000001</v>
      </c>
      <c r="Z6054">
        <v>8.7442980000000003E-2</v>
      </c>
      <c r="AA6054">
        <v>0.97532660000000004</v>
      </c>
      <c r="AB6054">
        <v>23</v>
      </c>
      <c r="AC6054">
        <v>2.8764999999999601</v>
      </c>
      <c r="AD6054">
        <v>-1.1135800736479999</v>
      </c>
      <c r="AE6054">
        <v>-12.154629999999999</v>
      </c>
      <c r="AF6054">
        <v>-2.5639272951326402</v>
      </c>
      <c r="AG6054">
        <v>-1.1135800736479999</v>
      </c>
      <c r="AH6054">
        <v>12.123724609386599</v>
      </c>
      <c r="AI6054">
        <v>95.135021741068698</v>
      </c>
      <c r="AJ6054">
        <v>101.940980134542</v>
      </c>
      <c r="AK6054">
        <v>12.4418038145359</v>
      </c>
      <c r="AL6054">
        <v>79.611891351350195</v>
      </c>
      <c r="AM6054">
        <v>96.534023505495497</v>
      </c>
      <c r="AN6054">
        <v>0.99999995696051902</v>
      </c>
    </row>
    <row r="6055" spans="1:40" x14ac:dyDescent="0.25">
      <c r="A6055" t="str">
        <f>"20190312172529693"</f>
        <v>20190312172529693</v>
      </c>
      <c r="B6055" t="str">
        <f>"1552382729686866"</f>
        <v>1552382729686866</v>
      </c>
      <c r="C6055" t="s">
        <v>40</v>
      </c>
      <c r="D6055">
        <v>3.6551300000000002</v>
      </c>
      <c r="E6055">
        <v>0.46139279999999999</v>
      </c>
      <c r="F6055" t="s">
        <v>50</v>
      </c>
      <c r="G6055">
        <v>-298.51799999999997</v>
      </c>
      <c r="H6055" s="1">
        <v>-5.2339610000000002E-6</v>
      </c>
      <c r="I6055">
        <v>-48.794919999999998</v>
      </c>
      <c r="J6055">
        <v>-301.4948</v>
      </c>
      <c r="K6055">
        <v>1.1136809999999999</v>
      </c>
      <c r="L6055">
        <v>-36.615690000000001</v>
      </c>
      <c r="M6055">
        <v>2.8682470000000002E-2</v>
      </c>
      <c r="N6055">
        <v>0</v>
      </c>
      <c r="O6055">
        <v>-0.99948020000000004</v>
      </c>
      <c r="P6055">
        <v>0.13998160000000001</v>
      </c>
      <c r="Q6055">
        <v>0.1653145</v>
      </c>
      <c r="R6055">
        <v>-0.97625629999999997</v>
      </c>
      <c r="S6055">
        <v>0.72592159999999994</v>
      </c>
      <c r="T6055">
        <v>-0.27054109999999998</v>
      </c>
      <c r="U6055">
        <v>-3.0175779999999999</v>
      </c>
      <c r="V6055">
        <v>-0.1131646</v>
      </c>
      <c r="W6055">
        <v>0.17893779999999901</v>
      </c>
      <c r="X6055">
        <v>0.97733060000000005</v>
      </c>
      <c r="Y6055">
        <v>-0.20501820000000001</v>
      </c>
      <c r="Z6055">
        <v>8.7061959999999994E-2</v>
      </c>
      <c r="AA6055">
        <v>0.97487829999999998</v>
      </c>
      <c r="AB6055">
        <v>23</v>
      </c>
      <c r="AC6055">
        <v>2.9768000000000199</v>
      </c>
      <c r="AD6055">
        <v>-1.1136862339610001</v>
      </c>
      <c r="AE6055">
        <v>-12.179229999999899</v>
      </c>
      <c r="AF6055">
        <v>-2.6056477189530698</v>
      </c>
      <c r="AG6055">
        <v>-1.1136862339610001</v>
      </c>
      <c r="AH6055">
        <v>12.1636359781654</v>
      </c>
      <c r="AI6055">
        <v>95.115911861667996</v>
      </c>
      <c r="AJ6055">
        <v>102.090948291809</v>
      </c>
      <c r="AK6055">
        <v>12.489344949688901</v>
      </c>
      <c r="AL6055">
        <v>79.692104557807298</v>
      </c>
      <c r="AM6055">
        <v>96.604835740329406</v>
      </c>
      <c r="AN6055">
        <v>1.00000003232917</v>
      </c>
    </row>
    <row r="6056" spans="1:40" x14ac:dyDescent="0.25">
      <c r="A6056" t="str">
        <f>"20190312172529714"</f>
        <v>20190312172529714</v>
      </c>
      <c r="B6056" t="str">
        <f>"1552382729706383"</f>
        <v>1552382729706383</v>
      </c>
      <c r="C6056" t="s">
        <v>40</v>
      </c>
      <c r="D6056">
        <v>3.6063809999999998</v>
      </c>
      <c r="E6056">
        <v>0.46129179999999997</v>
      </c>
      <c r="F6056" t="s">
        <v>50</v>
      </c>
      <c r="G6056">
        <v>-298.50299999999999</v>
      </c>
      <c r="H6056" s="1">
        <v>-5.1271700000000002E-6</v>
      </c>
      <c r="I6056">
        <v>-48.578830000000004</v>
      </c>
      <c r="J6056">
        <v>-301.48340000000002</v>
      </c>
      <c r="K6056">
        <v>1.113796</v>
      </c>
      <c r="L6056">
        <v>-36.835270000000001</v>
      </c>
      <c r="M6056">
        <v>3.3138500000000001E-2</v>
      </c>
      <c r="N6056">
        <v>0</v>
      </c>
      <c r="O6056">
        <v>-0.99934219999999896</v>
      </c>
      <c r="P6056">
        <v>0.145850799999999</v>
      </c>
      <c r="Q6056">
        <v>0.1664301</v>
      </c>
      <c r="R6056">
        <v>-0.9752073</v>
      </c>
      <c r="S6056">
        <v>0.7533569</v>
      </c>
      <c r="T6056">
        <v>-0.28043839999999998</v>
      </c>
      <c r="U6056">
        <v>-3.012451</v>
      </c>
      <c r="V6056">
        <v>-0.11474669999999999</v>
      </c>
      <c r="W6056">
        <v>0.18002839999999901</v>
      </c>
      <c r="X6056">
        <v>0.97694579999999998</v>
      </c>
      <c r="Y6056">
        <v>-0.2093361</v>
      </c>
      <c r="Z6056">
        <v>9.0212749999999994E-2</v>
      </c>
      <c r="AA6056">
        <v>0.97367349999999997</v>
      </c>
      <c r="AB6056">
        <v>23</v>
      </c>
      <c r="AC6056">
        <v>2.9804000000000301</v>
      </c>
      <c r="AD6056">
        <v>-1.1138011271699999</v>
      </c>
      <c r="AE6056">
        <v>-11.743559999999899</v>
      </c>
      <c r="AF6056">
        <v>-2.56785562612456</v>
      </c>
      <c r="AG6056">
        <v>-1.1138011271699999</v>
      </c>
      <c r="AH6056">
        <v>11.736698777222101</v>
      </c>
      <c r="AI6056">
        <v>95.296529382752595</v>
      </c>
      <c r="AJ6056">
        <v>102.34119663352701</v>
      </c>
      <c r="AK6056">
        <v>12.065841605737701</v>
      </c>
      <c r="AL6056">
        <v>79.628586632189595</v>
      </c>
      <c r="AM6056">
        <v>96.698955505396498</v>
      </c>
      <c r="AN6056">
        <v>1.0000000630525401</v>
      </c>
    </row>
    <row r="6057" spans="1:40" x14ac:dyDescent="0.25">
      <c r="A6057" t="str">
        <f>"20190312172529736"</f>
        <v>20190312172529736</v>
      </c>
      <c r="B6057" t="str">
        <f>"1552382729726879"</f>
        <v>1552382729726879</v>
      </c>
      <c r="C6057" t="s">
        <v>40</v>
      </c>
      <c r="D6057">
        <v>3.6086589999999998</v>
      </c>
      <c r="E6057">
        <v>0.4614547</v>
      </c>
      <c r="F6057" t="s">
        <v>50</v>
      </c>
      <c r="G6057">
        <v>-298.36110000000002</v>
      </c>
      <c r="H6057" s="1">
        <v>-5.375275E-6</v>
      </c>
      <c r="I6057">
        <v>-49.003990000000002</v>
      </c>
      <c r="J6057">
        <v>-301.47039999999998</v>
      </c>
      <c r="K6057">
        <v>1.1139300000000001</v>
      </c>
      <c r="L6057">
        <v>-37.062260000000002</v>
      </c>
      <c r="M6057">
        <v>3.7921280000000002E-2</v>
      </c>
      <c r="N6057">
        <v>0</v>
      </c>
      <c r="O6057">
        <v>-0.99917180000000005</v>
      </c>
      <c r="P6057">
        <v>0.15216379999999999</v>
      </c>
      <c r="Q6057">
        <v>0.1689997</v>
      </c>
      <c r="R6057">
        <v>-0.97379950000000004</v>
      </c>
      <c r="S6057">
        <v>0.77175899999999997</v>
      </c>
      <c r="T6057">
        <v>-0.27530459999999901</v>
      </c>
      <c r="U6057">
        <v>-3.0078130000000001</v>
      </c>
      <c r="V6057">
        <v>-0.11648559999999999</v>
      </c>
      <c r="W6057">
        <v>0.182563</v>
      </c>
      <c r="X6057">
        <v>0.97626939999999995</v>
      </c>
      <c r="Y6057">
        <v>-0.2106432</v>
      </c>
      <c r="Z6057">
        <v>8.8605729999999994E-2</v>
      </c>
      <c r="AA6057">
        <v>0.97353909999999999</v>
      </c>
      <c r="AB6057">
        <v>23</v>
      </c>
      <c r="AC6057">
        <v>3.1092999999999602</v>
      </c>
      <c r="AD6057">
        <v>-1.1139353752750001</v>
      </c>
      <c r="AE6057">
        <v>-11.94173</v>
      </c>
      <c r="AF6057">
        <v>-2.6327144198813701</v>
      </c>
      <c r="AG6057">
        <v>-1.1139353752750001</v>
      </c>
      <c r="AH6057">
        <v>11.953651368119701</v>
      </c>
      <c r="AI6057">
        <v>95.199979567057099</v>
      </c>
      <c r="AJ6057">
        <v>102.42072713978899</v>
      </c>
      <c r="AK6057">
        <v>12.290720819687101</v>
      </c>
      <c r="AL6057">
        <v>79.4809174201893</v>
      </c>
      <c r="AM6057">
        <v>96.804196503246601</v>
      </c>
      <c r="AN6057">
        <v>1.00000004267635</v>
      </c>
    </row>
    <row r="6058" spans="1:40" x14ac:dyDescent="0.25">
      <c r="A6058" t="str">
        <f>"20190312172529760"</f>
        <v>20190312172529760</v>
      </c>
      <c r="B6058" t="str">
        <f>"1552382729756159"</f>
        <v>1552382729756159</v>
      </c>
      <c r="C6058" t="s">
        <v>40</v>
      </c>
      <c r="D6058">
        <v>3.6065499999999999</v>
      </c>
      <c r="E6058">
        <v>0.46194010000000002</v>
      </c>
      <c r="F6058" t="s">
        <v>50</v>
      </c>
      <c r="G6058">
        <v>-298.15879999999999</v>
      </c>
      <c r="H6058" s="1">
        <v>-5.7281460000000003E-6</v>
      </c>
      <c r="I6058">
        <v>-49.65157</v>
      </c>
      <c r="J6058">
        <v>-301.4554</v>
      </c>
      <c r="K6058">
        <v>1.114074</v>
      </c>
      <c r="L6058">
        <v>-37.300289999999997</v>
      </c>
      <c r="M6058">
        <v>4.3136830000000001E-2</v>
      </c>
      <c r="N6058">
        <v>0</v>
      </c>
      <c r="O6058">
        <v>-0.99895999999999996</v>
      </c>
      <c r="P6058">
        <v>0.15922159999999999</v>
      </c>
      <c r="Q6058">
        <v>0.17115169999999999</v>
      </c>
      <c r="R6058">
        <v>-0.97229399999999999</v>
      </c>
      <c r="S6058">
        <v>0.79003909999999999</v>
      </c>
      <c r="T6058">
        <v>-0.26574750000000003</v>
      </c>
      <c r="U6058">
        <v>-3.003387</v>
      </c>
      <c r="V6058">
        <v>-0.1185596</v>
      </c>
      <c r="W6058">
        <v>0.18467510000000001</v>
      </c>
      <c r="X6058">
        <v>0.97562219999999999</v>
      </c>
      <c r="Y6058">
        <v>-0.21150379999999999</v>
      </c>
      <c r="Z6058">
        <v>8.5575070000000003E-2</v>
      </c>
      <c r="AA6058">
        <v>0.97362369999999998</v>
      </c>
      <c r="AB6058">
        <v>23</v>
      </c>
      <c r="AC6058">
        <v>3.29660000000001</v>
      </c>
      <c r="AD6058">
        <v>-1.114079728146</v>
      </c>
      <c r="AE6058">
        <v>-12.3512799999999</v>
      </c>
      <c r="AF6058">
        <v>-2.7398685180640601</v>
      </c>
      <c r="AG6058">
        <v>-1.114079728146</v>
      </c>
      <c r="AH6058">
        <v>12.387915827866999</v>
      </c>
      <c r="AI6058">
        <v>95.018310102900401</v>
      </c>
      <c r="AJ6058">
        <v>102.471490389585</v>
      </c>
      <c r="AK6058">
        <v>12.736110540320499</v>
      </c>
      <c r="AL6058">
        <v>79.357809107827507</v>
      </c>
      <c r="AM6058">
        <v>96.928726392900998</v>
      </c>
      <c r="AN6058">
        <v>0.99999997422250397</v>
      </c>
    </row>
    <row r="6059" spans="1:40" x14ac:dyDescent="0.25">
      <c r="A6059" t="str">
        <f>"20190312172529785"</f>
        <v>20190312172529785</v>
      </c>
      <c r="B6059" t="str">
        <f>"1552382729776654"</f>
        <v>1552382729776654</v>
      </c>
      <c r="C6059" t="s">
        <v>40</v>
      </c>
      <c r="D6059">
        <v>3.688231</v>
      </c>
      <c r="E6059">
        <v>0.46189819999999998</v>
      </c>
      <c r="F6059" t="s">
        <v>50</v>
      </c>
      <c r="G6059">
        <v>-297.93990000000002</v>
      </c>
      <c r="H6059" s="1">
        <v>-6.0287980000000001E-6</v>
      </c>
      <c r="I6059">
        <v>-50.355649999999997</v>
      </c>
      <c r="J6059">
        <v>-301.43779999999998</v>
      </c>
      <c r="K6059">
        <v>1.114215</v>
      </c>
      <c r="L6059">
        <v>-37.553440000000002</v>
      </c>
      <c r="M6059">
        <v>4.8939080000000003E-2</v>
      </c>
      <c r="N6059">
        <v>0</v>
      </c>
      <c r="O6059">
        <v>-0.99869220000000003</v>
      </c>
      <c r="P6059">
        <v>0.1669746</v>
      </c>
      <c r="Q6059">
        <v>0.1719261</v>
      </c>
      <c r="R6059">
        <v>-0.97085580000000005</v>
      </c>
      <c r="S6059">
        <v>0.80737300000000001</v>
      </c>
      <c r="T6059">
        <v>-0.25585940000000001</v>
      </c>
      <c r="U6059">
        <v>-2.998291</v>
      </c>
      <c r="V6059">
        <v>-0.1207516</v>
      </c>
      <c r="W6059">
        <v>0.1854085</v>
      </c>
      <c r="X6059">
        <v>0.97521420000000003</v>
      </c>
      <c r="Y6059">
        <v>-0.21155860000000001</v>
      </c>
      <c r="Z6059">
        <v>8.2454310000000003E-2</v>
      </c>
      <c r="AA6059">
        <v>0.973881</v>
      </c>
      <c r="AB6059">
        <v>23</v>
      </c>
      <c r="AC6059">
        <v>3.4978999999999498</v>
      </c>
      <c r="AD6059">
        <v>-1.1142210287979999</v>
      </c>
      <c r="AE6059">
        <v>-12.802209999999899</v>
      </c>
      <c r="AF6059">
        <v>-2.8470430731549299</v>
      </c>
      <c r="AG6059">
        <v>-1.1142210287979999</v>
      </c>
      <c r="AH6059">
        <v>12.8673719866315</v>
      </c>
      <c r="AI6059">
        <v>94.832744069750802</v>
      </c>
      <c r="AJ6059">
        <v>102.47629559156999</v>
      </c>
      <c r="AK6059">
        <v>13.2255965689176</v>
      </c>
      <c r="AL6059">
        <v>79.3150502188481</v>
      </c>
      <c r="AM6059">
        <v>97.058471260314903</v>
      </c>
      <c r="AN6059">
        <v>0.99999999832822495</v>
      </c>
    </row>
    <row r="6060" spans="1:40" x14ac:dyDescent="0.25">
      <c r="A6060" t="str">
        <f>"20190312172529803"</f>
        <v>20190312172529803</v>
      </c>
      <c r="B6060" t="str">
        <f>"1552382729796176"</f>
        <v>1552382729796176</v>
      </c>
      <c r="C6060" t="s">
        <v>40</v>
      </c>
      <c r="D6060">
        <v>3.6192150000000001</v>
      </c>
      <c r="E6060">
        <v>0.46223150000000002</v>
      </c>
      <c r="F6060" t="s">
        <v>50</v>
      </c>
      <c r="G6060">
        <v>-297.82319999999999</v>
      </c>
      <c r="H6060" s="1">
        <v>-8.0152879999999998E-6</v>
      </c>
      <c r="I6060">
        <v>-50.56955</v>
      </c>
      <c r="J6060">
        <v>-301.42309999999998</v>
      </c>
      <c r="K6060">
        <v>1.1143149999999999</v>
      </c>
      <c r="L6060">
        <v>-37.746220000000001</v>
      </c>
      <c r="M6060">
        <v>5.352258E-2</v>
      </c>
      <c r="N6060">
        <v>0</v>
      </c>
      <c r="O6060">
        <v>-0.99845680000000003</v>
      </c>
      <c r="P6060">
        <v>0.17357729999999999</v>
      </c>
      <c r="Q6060">
        <v>0.17124029999999901</v>
      </c>
      <c r="R6060">
        <v>-0.96981850000000003</v>
      </c>
      <c r="S6060">
        <v>0.83102419999999999</v>
      </c>
      <c r="T6060">
        <v>-0.25616729999999999</v>
      </c>
      <c r="U6060">
        <v>-2.9924930000000001</v>
      </c>
      <c r="V6060">
        <v>-0.1229483</v>
      </c>
      <c r="W6060">
        <v>0.18468870000000001</v>
      </c>
      <c r="X6060">
        <v>0.97507630000000001</v>
      </c>
      <c r="Y6060">
        <v>-0.21470400000000001</v>
      </c>
      <c r="Z6060">
        <v>8.2564120000000005E-2</v>
      </c>
      <c r="AA6060">
        <v>0.97318309999999997</v>
      </c>
      <c r="AB6060">
        <v>23</v>
      </c>
      <c r="AC6060">
        <v>3.5998999999999901</v>
      </c>
      <c r="AD6060">
        <v>-1.1143230152879999</v>
      </c>
      <c r="AE6060">
        <v>-12.82333</v>
      </c>
      <c r="AF6060">
        <v>-2.8881101856762399</v>
      </c>
      <c r="AG6060">
        <v>-1.1143230152879999</v>
      </c>
      <c r="AH6060">
        <v>12.9072961437689</v>
      </c>
      <c r="AI6060">
        <v>94.815766645298694</v>
      </c>
      <c r="AJ6060">
        <v>102.612630625262</v>
      </c>
      <c r="AK6060">
        <v>13.273326258702401</v>
      </c>
      <c r="AL6060">
        <v>79.357016476871095</v>
      </c>
      <c r="AM6060">
        <v>97.186553423871601</v>
      </c>
      <c r="AN6060">
        <v>0.99999999560113495</v>
      </c>
    </row>
    <row r="6061" spans="1:40" x14ac:dyDescent="0.25">
      <c r="A6061" t="str">
        <f>"20190312172529825"</f>
        <v>20190312172529825</v>
      </c>
      <c r="B6061" t="str">
        <f>"1552382729816671"</f>
        <v>1552382729816671</v>
      </c>
      <c r="C6061" t="s">
        <v>40</v>
      </c>
      <c r="D6061">
        <v>3.5963479999999999</v>
      </c>
      <c r="E6061">
        <v>0.4626343</v>
      </c>
      <c r="F6061" t="s">
        <v>50</v>
      </c>
      <c r="G6061">
        <v>-297.76170000000002</v>
      </c>
      <c r="H6061" s="1">
        <v>-8.0283810000000006E-6</v>
      </c>
      <c r="I6061">
        <v>-50.644869999999997</v>
      </c>
      <c r="J6061">
        <v>-301.40519999999998</v>
      </c>
      <c r="K6061">
        <v>1.114414</v>
      </c>
      <c r="L6061">
        <v>-37.965760000000003</v>
      </c>
      <c r="M6061">
        <v>5.8902349999999999E-2</v>
      </c>
      <c r="N6061">
        <v>0</v>
      </c>
      <c r="O6061">
        <v>-0.99815379999999998</v>
      </c>
      <c r="P6061">
        <v>0.18092259999999999</v>
      </c>
      <c r="Q6061">
        <v>0.17084579999999999</v>
      </c>
      <c r="R6061">
        <v>-0.96854510000000005</v>
      </c>
      <c r="S6061">
        <v>0.84793090000000004</v>
      </c>
      <c r="T6061">
        <v>-0.25806200000000001</v>
      </c>
      <c r="U6061">
        <v>-2.987152</v>
      </c>
      <c r="V6061">
        <v>-0.1251244</v>
      </c>
      <c r="W6061">
        <v>0.1842599</v>
      </c>
      <c r="X6061">
        <v>0.97488059999999999</v>
      </c>
      <c r="Y6061">
        <v>-0.21498049999999999</v>
      </c>
      <c r="Z6061">
        <v>8.3210039999999999E-2</v>
      </c>
      <c r="AA6061">
        <v>0.97306700000000002</v>
      </c>
      <c r="AB6061">
        <v>23</v>
      </c>
      <c r="AC6061">
        <v>3.64349999999996</v>
      </c>
      <c r="AD6061">
        <v>-1.114422028381</v>
      </c>
      <c r="AE6061">
        <v>-12.67911</v>
      </c>
      <c r="AF6061">
        <v>-2.8697820774970602</v>
      </c>
      <c r="AG6061">
        <v>-1.114422028381</v>
      </c>
      <c r="AH6061">
        <v>12.780521808066799</v>
      </c>
      <c r="AI6061">
        <v>94.862926552202893</v>
      </c>
      <c r="AJ6061">
        <v>102.655481497675</v>
      </c>
      <c r="AK6061">
        <v>13.1460763468091</v>
      </c>
      <c r="AL6061">
        <v>79.382014033833698</v>
      </c>
      <c r="AM6061">
        <v>97.313837524867097</v>
      </c>
      <c r="AN6061">
        <v>1.0000000052398601</v>
      </c>
    </row>
    <row r="6062" spans="1:40" x14ac:dyDescent="0.25">
      <c r="A6062" t="str">
        <f>"20190312172529847"</f>
        <v>20190312172529847</v>
      </c>
      <c r="B6062" t="str">
        <f>"1552382729836191"</f>
        <v>1552382729836191</v>
      </c>
      <c r="C6062" t="s">
        <v>40</v>
      </c>
      <c r="D6062">
        <v>3.5892729999999999</v>
      </c>
      <c r="E6062">
        <v>0.46302409999999999</v>
      </c>
      <c r="F6062" t="s">
        <v>50</v>
      </c>
      <c r="G6062">
        <v>-297.66109999999998</v>
      </c>
      <c r="H6062" s="1">
        <v>-8.0427339999999998E-6</v>
      </c>
      <c r="I6062">
        <v>-50.831299999999999</v>
      </c>
      <c r="J6062">
        <v>-301.38549999999998</v>
      </c>
      <c r="K6062">
        <v>1.1144940000000001</v>
      </c>
      <c r="L6062">
        <v>-38.188139999999997</v>
      </c>
      <c r="M6062">
        <v>6.4512749999999994E-2</v>
      </c>
      <c r="N6062">
        <v>0</v>
      </c>
      <c r="O6062">
        <v>-0.99780670000000005</v>
      </c>
      <c r="P6062">
        <v>0.18825810000000001</v>
      </c>
      <c r="Q6062">
        <v>0.170455</v>
      </c>
      <c r="R6062">
        <v>-0.96721480000000004</v>
      </c>
      <c r="S6062">
        <v>0.86749270000000001</v>
      </c>
      <c r="T6062">
        <v>-0.25820989999999999</v>
      </c>
      <c r="U6062">
        <v>-2.9809269999999999</v>
      </c>
      <c r="V6062">
        <v>-0.12706769999999901</v>
      </c>
      <c r="W6062">
        <v>0.18383849999999999</v>
      </c>
      <c r="X6062">
        <v>0.97470880000000004</v>
      </c>
      <c r="Y6062">
        <v>-0.21592020000000001</v>
      </c>
      <c r="Z6062">
        <v>8.3297460000000004E-2</v>
      </c>
      <c r="AA6062">
        <v>0.97285149999999998</v>
      </c>
      <c r="AB6062">
        <v>23</v>
      </c>
      <c r="AC6062">
        <v>3.7244000000000002</v>
      </c>
      <c r="AD6062">
        <v>-1.114502042734</v>
      </c>
      <c r="AE6062">
        <v>-12.6431599999999</v>
      </c>
      <c r="AF6062">
        <v>-2.8803107936083601</v>
      </c>
      <c r="AG6062">
        <v>-1.114502042734</v>
      </c>
      <c r="AH6062">
        <v>12.7658380900121</v>
      </c>
      <c r="AI6062">
        <v>94.867716955966003</v>
      </c>
      <c r="AJ6062">
        <v>102.714542596771</v>
      </c>
      <c r="AK6062">
        <v>13.134113110957999</v>
      </c>
      <c r="AL6062">
        <v>79.406578256809993</v>
      </c>
      <c r="AM6062">
        <v>97.427464277452998</v>
      </c>
      <c r="AN6062">
        <v>1.00000001963149</v>
      </c>
    </row>
    <row r="6063" spans="1:40" x14ac:dyDescent="0.25">
      <c r="A6063" t="str">
        <f>"20190312172529870"</f>
        <v>20190312172529870</v>
      </c>
      <c r="B6063" t="str">
        <f>"1552382729866447"</f>
        <v>1552382729866447</v>
      </c>
      <c r="C6063" t="s">
        <v>40</v>
      </c>
      <c r="D6063">
        <v>3.7257660000000001</v>
      </c>
      <c r="E6063">
        <v>0.47138790000000003</v>
      </c>
      <c r="F6063" t="s">
        <v>50</v>
      </c>
      <c r="G6063">
        <v>-297.55650000000003</v>
      </c>
      <c r="H6063" s="1">
        <v>-8.0588369999999994E-6</v>
      </c>
      <c r="I6063">
        <v>-51.014470000000003</v>
      </c>
      <c r="J6063">
        <v>-301.36439999999999</v>
      </c>
      <c r="K6063">
        <v>1.1145609999999999</v>
      </c>
      <c r="L6063">
        <v>-38.411709999999999</v>
      </c>
      <c r="M6063">
        <v>7.0325600000000002E-2</v>
      </c>
      <c r="N6063">
        <v>0</v>
      </c>
      <c r="O6063">
        <v>-0.99741360000000001</v>
      </c>
      <c r="P6063">
        <v>0.19533059999999999</v>
      </c>
      <c r="Q6063">
        <v>0.16908090000000001</v>
      </c>
      <c r="R6063">
        <v>-0.96605280000000004</v>
      </c>
      <c r="S6063">
        <v>0.88793949999999999</v>
      </c>
      <c r="T6063">
        <v>-0.25845050000000003</v>
      </c>
      <c r="U6063">
        <v>-2.974396</v>
      </c>
      <c r="V6063">
        <v>-0.1285318</v>
      </c>
      <c r="W6063">
        <v>0.18243970000000001</v>
      </c>
      <c r="X6063">
        <v>0.97477970000000003</v>
      </c>
      <c r="Y6063">
        <v>-0.21695410000000001</v>
      </c>
      <c r="Z6063">
        <v>8.3410880000000007E-2</v>
      </c>
      <c r="AA6063">
        <v>0.97261169999999997</v>
      </c>
      <c r="AB6063">
        <v>23</v>
      </c>
      <c r="AC6063">
        <v>3.8078999999999601</v>
      </c>
      <c r="AD6063">
        <v>-1.1145690588370001</v>
      </c>
      <c r="AE6063">
        <v>-12.60276</v>
      </c>
      <c r="AF6063">
        <v>-2.8913530446639402</v>
      </c>
      <c r="AG6063">
        <v>-1.1145690588370001</v>
      </c>
      <c r="AH6063">
        <v>12.7480064479023</v>
      </c>
      <c r="AI6063">
        <v>94.873551063535402</v>
      </c>
      <c r="AJ6063">
        <v>102.778958088683</v>
      </c>
      <c r="AK6063">
        <v>13.1192170121377</v>
      </c>
      <c r="AL6063">
        <v>79.488102905423702</v>
      </c>
      <c r="AM6063">
        <v>97.511532972344099</v>
      </c>
      <c r="AN6063">
        <v>1.0000000656396999</v>
      </c>
    </row>
    <row r="6064" spans="1:40" x14ac:dyDescent="0.25">
      <c r="A6064" t="str">
        <f>"20190312172529893"</f>
        <v>20190312172529893</v>
      </c>
      <c r="B6064" t="str">
        <f>"1552382729886475"</f>
        <v>1552382729886475</v>
      </c>
      <c r="C6064" t="s">
        <v>40</v>
      </c>
      <c r="D6064">
        <v>3.0004309999999998</v>
      </c>
      <c r="E6064">
        <v>0.45635039999999999</v>
      </c>
      <c r="F6064" t="s">
        <v>50</v>
      </c>
      <c r="G6064">
        <v>-298.13380000000001</v>
      </c>
      <c r="H6064" s="1">
        <v>-5.7928720000000001E-6</v>
      </c>
      <c r="I6064">
        <v>-49.812289999999997</v>
      </c>
      <c r="J6064">
        <v>-301.34120000000001</v>
      </c>
      <c r="K6064">
        <v>1.1146469999999999</v>
      </c>
      <c r="L6064">
        <v>-38.640630000000002</v>
      </c>
      <c r="M6064">
        <v>7.6465909999999998E-2</v>
      </c>
      <c r="N6064">
        <v>0</v>
      </c>
      <c r="O6064">
        <v>-0.99696149999999994</v>
      </c>
      <c r="P6064">
        <v>0.20255790000000001</v>
      </c>
      <c r="Q6064">
        <v>0.16753100000000001</v>
      </c>
      <c r="R6064">
        <v>-0.96483339999999995</v>
      </c>
      <c r="S6064">
        <v>0.8459778</v>
      </c>
      <c r="T6064">
        <v>-0.2918693</v>
      </c>
      <c r="U6064">
        <v>-2.9854430000000001</v>
      </c>
      <c r="V6064">
        <v>-0.12983620000000001</v>
      </c>
      <c r="W6064">
        <v>0.180866</v>
      </c>
      <c r="X6064">
        <v>0.97489999999999999</v>
      </c>
      <c r="Y6064">
        <v>-0.19704759999999999</v>
      </c>
      <c r="Z6064">
        <v>9.4088489999999997E-2</v>
      </c>
      <c r="AA6064">
        <v>0.97586859999999997</v>
      </c>
      <c r="AB6064">
        <v>23</v>
      </c>
      <c r="AC6064">
        <v>3.2073999999999998</v>
      </c>
      <c r="AD6064">
        <v>-1.114652792872</v>
      </c>
      <c r="AE6064">
        <v>-11.171659999999999</v>
      </c>
      <c r="AF6064">
        <v>-2.3223036696173698</v>
      </c>
      <c r="AG6064">
        <v>-1.114652792872</v>
      </c>
      <c r="AH6064">
        <v>11.280481845668101</v>
      </c>
      <c r="AI6064">
        <v>95.528032455813204</v>
      </c>
      <c r="AJ6064">
        <v>101.632910529047</v>
      </c>
      <c r="AK6064">
        <v>11.5708606357964</v>
      </c>
      <c r="AL6064">
        <v>79.579793872656694</v>
      </c>
      <c r="AM6064">
        <v>97.585954591098698</v>
      </c>
      <c r="AN6064">
        <v>0.99999997939321905</v>
      </c>
    </row>
    <row r="6065" spans="1:40" x14ac:dyDescent="0.25">
      <c r="A6065" t="str">
        <f>"20190312172529914"</f>
        <v>20190312172529914</v>
      </c>
      <c r="B6065" t="str">
        <f>"1552382729905995"</f>
        <v>1552382729905995</v>
      </c>
      <c r="C6065" t="s">
        <v>40</v>
      </c>
      <c r="D6065">
        <v>4.0379719999999999</v>
      </c>
      <c r="E6065">
        <v>0.44262570000000001</v>
      </c>
      <c r="F6065" t="s">
        <v>50</v>
      </c>
      <c r="G6065">
        <v>-299.31229999999999</v>
      </c>
      <c r="H6065" s="1">
        <v>-2.9355889999999998E-6</v>
      </c>
      <c r="I6065">
        <v>-44.734380000000002</v>
      </c>
      <c r="J6065">
        <v>-301.31729999999999</v>
      </c>
      <c r="K6065">
        <v>1.1147400000000001</v>
      </c>
      <c r="L6065">
        <v>-38.860500000000002</v>
      </c>
      <c r="M6065">
        <v>8.2554299999999997E-2</v>
      </c>
      <c r="N6065">
        <v>0</v>
      </c>
      <c r="O6065">
        <v>-0.99647540000000001</v>
      </c>
      <c r="P6065">
        <v>0.2098661</v>
      </c>
      <c r="Q6065">
        <v>0.1668492</v>
      </c>
      <c r="R6065">
        <v>-0.96338880000000005</v>
      </c>
      <c r="S6065">
        <v>0.99719239999999998</v>
      </c>
      <c r="T6065">
        <v>-0.5478575</v>
      </c>
      <c r="U6065">
        <v>-2.995117</v>
      </c>
      <c r="V6065">
        <v>-0.1313021</v>
      </c>
      <c r="W6065">
        <v>0.18015220000000001</v>
      </c>
      <c r="X6065">
        <v>0.97483589999999998</v>
      </c>
      <c r="Y6065">
        <v>-0.231765</v>
      </c>
      <c r="Z6065">
        <v>0.17209140000000001</v>
      </c>
      <c r="AA6065">
        <v>0.95742859999999996</v>
      </c>
      <c r="AB6065">
        <v>23</v>
      </c>
      <c r="AC6065">
        <v>2.0049999999999901</v>
      </c>
      <c r="AD6065">
        <v>-1.114742935589</v>
      </c>
      <c r="AE6065">
        <v>-5.8738799999999998</v>
      </c>
      <c r="AF6065">
        <v>-1.4659000214837601</v>
      </c>
      <c r="AG6065">
        <v>-1.114742935589</v>
      </c>
      <c r="AH6065">
        <v>5.8312613574613499</v>
      </c>
      <c r="AI6065">
        <v>100.503281870661</v>
      </c>
      <c r="AJ6065">
        <v>104.11098332038701</v>
      </c>
      <c r="AK6065">
        <v>6.1151552477801898</v>
      </c>
      <c r="AL6065">
        <v>79.621375316948502</v>
      </c>
      <c r="AM6065">
        <v>97.671087131352706</v>
      </c>
      <c r="AN6065">
        <v>1.00000004427902</v>
      </c>
    </row>
    <row r="6066" spans="1:40" x14ac:dyDescent="0.25">
      <c r="A6066" t="str">
        <f>"20190312172529937"</f>
        <v>20190312172529937</v>
      </c>
      <c r="B6066" t="str">
        <f>"1552382729926491"</f>
        <v>1552382729926491</v>
      </c>
      <c r="C6066" t="s">
        <v>40</v>
      </c>
      <c r="D6066">
        <v>3.244561</v>
      </c>
      <c r="E6066">
        <v>0.43765660000000001</v>
      </c>
      <c r="F6066" t="s">
        <v>50</v>
      </c>
      <c r="G6066">
        <v>-299.17700000000002</v>
      </c>
      <c r="H6066" s="1">
        <v>-2.8210659999999999E-6</v>
      </c>
      <c r="I6066">
        <v>-44.49756</v>
      </c>
      <c r="J6066">
        <v>-301.29199999999997</v>
      </c>
      <c r="K6066">
        <v>1.114852</v>
      </c>
      <c r="L6066">
        <v>-39.079990000000002</v>
      </c>
      <c r="M6066">
        <v>8.8826859999999994E-2</v>
      </c>
      <c r="N6066">
        <v>0</v>
      </c>
      <c r="O6066">
        <v>-0.99593589999999999</v>
      </c>
      <c r="P6066">
        <v>0.21741070000000001</v>
      </c>
      <c r="Q6066">
        <v>0.16654099999999999</v>
      </c>
      <c r="R6066">
        <v>-0.96176790000000001</v>
      </c>
      <c r="S6066">
        <v>1.127686</v>
      </c>
      <c r="T6066">
        <v>-0.58733800000000003</v>
      </c>
      <c r="U6066">
        <v>-2.970062</v>
      </c>
      <c r="V6066">
        <v>-0.13285039999999901</v>
      </c>
      <c r="W6066">
        <v>0.17980650000000001</v>
      </c>
      <c r="X6066">
        <v>0.9746899</v>
      </c>
      <c r="Y6066">
        <v>-0.26449470000000003</v>
      </c>
      <c r="Z6066">
        <v>0.18328269999999999</v>
      </c>
      <c r="AA6066">
        <v>0.94681040000000005</v>
      </c>
      <c r="AB6066">
        <v>23</v>
      </c>
      <c r="AC6066">
        <v>2.1150000000000002</v>
      </c>
      <c r="AD6066">
        <v>-1.1148548210660001</v>
      </c>
      <c r="AE6066">
        <v>-5.4175699999999898</v>
      </c>
      <c r="AF6066">
        <v>-1.5677487743002001</v>
      </c>
      <c r="AG6066">
        <v>-1.1148548210660001</v>
      </c>
      <c r="AH6066">
        <v>5.3861165294727398</v>
      </c>
      <c r="AI6066">
        <v>101.24044557243</v>
      </c>
      <c r="AJ6066">
        <v>106.228809470169</v>
      </c>
      <c r="AK6066">
        <v>5.7193521276831101</v>
      </c>
      <c r="AL6066">
        <v>79.6415108545159</v>
      </c>
      <c r="AM6066">
        <v>97.761596070907004</v>
      </c>
      <c r="AN6066">
        <v>1.0000000036922001</v>
      </c>
    </row>
    <row r="6067" spans="1:40" x14ac:dyDescent="0.25">
      <c r="A6067" t="str">
        <f>"20190312172529959"</f>
        <v>20190312172529959</v>
      </c>
      <c r="B6067" t="str">
        <f>"1552382729956747"</f>
        <v>1552382729956747</v>
      </c>
      <c r="C6067" t="s">
        <v>40</v>
      </c>
      <c r="D6067">
        <v>3.3416549999999998</v>
      </c>
      <c r="E6067">
        <v>0.42991550000000001</v>
      </c>
      <c r="F6067" t="s">
        <v>50</v>
      </c>
      <c r="G6067">
        <v>-299.01010000000002</v>
      </c>
      <c r="H6067" s="1">
        <v>-3.0205300000000001E-6</v>
      </c>
      <c r="I6067">
        <v>-44.741500000000002</v>
      </c>
      <c r="J6067">
        <v>-301.26459999999997</v>
      </c>
      <c r="K6067">
        <v>1.114995</v>
      </c>
      <c r="L6067">
        <v>-39.302219999999998</v>
      </c>
      <c r="M6067">
        <v>9.5393249999999999E-2</v>
      </c>
      <c r="N6067">
        <v>0</v>
      </c>
      <c r="O6067">
        <v>-0.99532790000000004</v>
      </c>
      <c r="P6067">
        <v>0.22524710000000001</v>
      </c>
      <c r="Q6067">
        <v>0.16702620000000001</v>
      </c>
      <c r="R6067">
        <v>-0.95987800000000001</v>
      </c>
      <c r="S6067">
        <v>1.189392</v>
      </c>
      <c r="T6067">
        <v>-0.58110930000000005</v>
      </c>
      <c r="U6067">
        <v>-2.9510190000000001</v>
      </c>
      <c r="V6067">
        <v>-0.1344427</v>
      </c>
      <c r="W6067">
        <v>0.1802484</v>
      </c>
      <c r="X6067">
        <v>0.97438990000000003</v>
      </c>
      <c r="Y6067">
        <v>-0.27743839999999997</v>
      </c>
      <c r="Z6067">
        <v>0.181311</v>
      </c>
      <c r="AA6067">
        <v>0.94347990000000004</v>
      </c>
      <c r="AB6067">
        <v>23</v>
      </c>
      <c r="AC6067">
        <v>2.25449999999995</v>
      </c>
      <c r="AD6067">
        <v>-1.1149980205299901</v>
      </c>
      <c r="AE6067">
        <v>-5.4392800000000001</v>
      </c>
      <c r="AF6067">
        <v>-1.66556076433628</v>
      </c>
      <c r="AG6067">
        <v>-1.1149980205299901</v>
      </c>
      <c r="AH6067">
        <v>5.4346692319258096</v>
      </c>
      <c r="AI6067">
        <v>101.09814945646499</v>
      </c>
      <c r="AJ6067">
        <v>107.03870853791101</v>
      </c>
      <c r="AK6067">
        <v>5.7924902162993304</v>
      </c>
      <c r="AL6067">
        <v>79.615771280430707</v>
      </c>
      <c r="AM6067">
        <v>97.855857629639701</v>
      </c>
      <c r="AN6067">
        <v>1.0000000012539201</v>
      </c>
    </row>
    <row r="6068" spans="1:40" x14ac:dyDescent="0.25">
      <c r="A6068" t="str">
        <f>"20190312172529987"</f>
        <v>20190312172529987</v>
      </c>
      <c r="B6068" t="str">
        <f>"1552382729976267"</f>
        <v>1552382729976267</v>
      </c>
      <c r="C6068" t="s">
        <v>40</v>
      </c>
      <c r="D6068">
        <v>3.4097110000000002</v>
      </c>
      <c r="E6068">
        <v>0.42873559999999999</v>
      </c>
      <c r="F6068" t="s">
        <v>50</v>
      </c>
      <c r="G6068">
        <v>-298.0532</v>
      </c>
      <c r="H6068" s="1">
        <v>-4.251727E-6</v>
      </c>
      <c r="I6068">
        <v>-46.664949999999997</v>
      </c>
      <c r="J6068">
        <v>-301.2294</v>
      </c>
      <c r="K6068">
        <v>1.1151709999999999</v>
      </c>
      <c r="L6068">
        <v>-39.567990000000002</v>
      </c>
      <c r="M6068">
        <v>0.10358580000000001</v>
      </c>
      <c r="N6068">
        <v>0</v>
      </c>
      <c r="O6068">
        <v>-0.99450839999999996</v>
      </c>
      <c r="P6068">
        <v>0.23437959999999999</v>
      </c>
      <c r="Q6068">
        <v>0.16810539999999999</v>
      </c>
      <c r="R6068">
        <v>-0.95750049999999998</v>
      </c>
      <c r="S6068">
        <v>1.266937</v>
      </c>
      <c r="T6068">
        <v>-0.43987229999999999</v>
      </c>
      <c r="U6068">
        <v>-2.904633</v>
      </c>
      <c r="V6068">
        <v>-0.1358066</v>
      </c>
      <c r="W6068">
        <v>0.1812773</v>
      </c>
      <c r="X6068">
        <v>0.97400980000000004</v>
      </c>
      <c r="Y6068">
        <v>-0.29881629999999998</v>
      </c>
      <c r="Z6068">
        <v>0.13894719999999999</v>
      </c>
      <c r="AA6068">
        <v>0.94414109999999996</v>
      </c>
      <c r="AB6068">
        <v>23</v>
      </c>
      <c r="AC6068">
        <v>3.1761999999999899</v>
      </c>
      <c r="AD6068">
        <v>-1.1151752517269999</v>
      </c>
      <c r="AE6068">
        <v>-7.0969599999999904</v>
      </c>
      <c r="AF6068">
        <v>-2.3750271515511598</v>
      </c>
      <c r="AG6068">
        <v>-1.1151752517269999</v>
      </c>
      <c r="AH6068">
        <v>7.23890853330143</v>
      </c>
      <c r="AI6068">
        <v>98.327587689332006</v>
      </c>
      <c r="AJ6068">
        <v>108.164243626012</v>
      </c>
      <c r="AK6068">
        <v>7.6997510717018596</v>
      </c>
      <c r="AL6068">
        <v>79.555832152023299</v>
      </c>
      <c r="AM6068">
        <v>97.937600964811907</v>
      </c>
      <c r="AN6068">
        <v>0.99999999129744399</v>
      </c>
    </row>
    <row r="6069" spans="1:40" x14ac:dyDescent="0.25">
      <c r="A6069" t="str">
        <f>"20190312172530009"</f>
        <v>20190312172530009</v>
      </c>
      <c r="B6069" t="str">
        <f>"1552382730006055"</f>
        <v>1552382730006055</v>
      </c>
      <c r="C6069" t="s">
        <v>40</v>
      </c>
      <c r="D6069">
        <v>3.5132729999999999</v>
      </c>
      <c r="E6069">
        <v>0.42863659999999998</v>
      </c>
      <c r="F6069" t="s">
        <v>50</v>
      </c>
      <c r="G6069">
        <v>-297.56540000000001</v>
      </c>
      <c r="H6069" s="1">
        <v>-4.8795480000000001E-6</v>
      </c>
      <c r="I6069">
        <v>-47.684840000000001</v>
      </c>
      <c r="J6069">
        <v>-301.19720000000001</v>
      </c>
      <c r="K6069">
        <v>1.1153189999999999</v>
      </c>
      <c r="L6069">
        <v>-39.795439999999999</v>
      </c>
      <c r="M6069">
        <v>0.11087320000000001</v>
      </c>
      <c r="N6069">
        <v>0</v>
      </c>
      <c r="O6069">
        <v>-0.99372210000000005</v>
      </c>
      <c r="P6069">
        <v>0.2421798</v>
      </c>
      <c r="Q6069">
        <v>0.1693325</v>
      </c>
      <c r="R6069">
        <v>-0.95534070000000004</v>
      </c>
      <c r="S6069">
        <v>1.3018799999999999</v>
      </c>
      <c r="T6069">
        <v>-0.39623770000000003</v>
      </c>
      <c r="U6069">
        <v>-2.8840330000000001</v>
      </c>
      <c r="V6069">
        <v>-0.136709</v>
      </c>
      <c r="W6069">
        <v>0.18246499999999999</v>
      </c>
      <c r="X6069">
        <v>0.97366169999999996</v>
      </c>
      <c r="Y6069">
        <v>-0.30456919999999998</v>
      </c>
      <c r="Z6069">
        <v>0.12565100000000001</v>
      </c>
      <c r="AA6069">
        <v>0.94416599999999995</v>
      </c>
      <c r="AB6069">
        <v>22</v>
      </c>
      <c r="AC6069">
        <v>3.6317999999999899</v>
      </c>
      <c r="AD6069">
        <v>-1.1153238795480001</v>
      </c>
      <c r="AE6069">
        <v>-7.8894000000000002</v>
      </c>
      <c r="AF6069">
        <v>-2.69021855813613</v>
      </c>
      <c r="AG6069">
        <v>-1.1153238795480001</v>
      </c>
      <c r="AH6069">
        <v>8.1097255453643395</v>
      </c>
      <c r="AI6069">
        <v>97.437019158674005</v>
      </c>
      <c r="AJ6069">
        <v>108.352099553513</v>
      </c>
      <c r="AK6069">
        <v>8.6167784970930494</v>
      </c>
      <c r="AL6069">
        <v>79.486627520820207</v>
      </c>
      <c r="AM6069">
        <v>97.992484937626301</v>
      </c>
      <c r="AN6069">
        <v>0.99999996647644396</v>
      </c>
    </row>
    <row r="6070" spans="1:40" x14ac:dyDescent="0.25">
      <c r="A6070" t="str">
        <f>"20190312172530031"</f>
        <v>20190312172530031</v>
      </c>
      <c r="B6070" t="str">
        <f>"1552382730026552"</f>
        <v>1552382730026552</v>
      </c>
      <c r="C6070" t="s">
        <v>40</v>
      </c>
      <c r="D6070">
        <v>3.5192600000000001</v>
      </c>
      <c r="E6070">
        <v>0.42879129999999899</v>
      </c>
      <c r="F6070" t="s">
        <v>50</v>
      </c>
      <c r="G6070">
        <v>-297.04169999999999</v>
      </c>
      <c r="H6070" s="1">
        <v>-5.56060899999999E-6</v>
      </c>
      <c r="I6070">
        <v>-48.793570000000003</v>
      </c>
      <c r="J6070">
        <v>-301.16680000000002</v>
      </c>
      <c r="K6070">
        <v>1.1154250000000001</v>
      </c>
      <c r="L6070">
        <v>-39.998629999999999</v>
      </c>
      <c r="M6070">
        <v>0.1175749</v>
      </c>
      <c r="N6070">
        <v>0</v>
      </c>
      <c r="O6070">
        <v>-0.99295120000000003</v>
      </c>
      <c r="P6070">
        <v>0.24972569999999999</v>
      </c>
      <c r="Q6070">
        <v>0.1695005</v>
      </c>
      <c r="R6070">
        <v>-0.95336620000000005</v>
      </c>
      <c r="S6070">
        <v>1.3242799999999999</v>
      </c>
      <c r="T6070">
        <v>-0.35543170000000002</v>
      </c>
      <c r="U6070">
        <v>-2.8675229999999998</v>
      </c>
      <c r="V6070">
        <v>-0.13789580000000001</v>
      </c>
      <c r="W6070">
        <v>0.1825996</v>
      </c>
      <c r="X6070">
        <v>0.97346909999999998</v>
      </c>
      <c r="Y6070">
        <v>-0.30691380000000001</v>
      </c>
      <c r="Z6070">
        <v>0.1131287</v>
      </c>
      <c r="AA6070">
        <v>0.94498990000000005</v>
      </c>
      <c r="AB6070">
        <v>22</v>
      </c>
      <c r="AC6070">
        <v>4.12510000000003</v>
      </c>
      <c r="AD6070">
        <v>-1.115430560609</v>
      </c>
      <c r="AE6070">
        <v>-8.7949400000000004</v>
      </c>
      <c r="AF6070">
        <v>-3.0224524260035799</v>
      </c>
      <c r="AG6070">
        <v>-1.115430560609</v>
      </c>
      <c r="AH6070">
        <v>9.0990214314588993</v>
      </c>
      <c r="AI6070">
        <v>96.635822292967205</v>
      </c>
      <c r="AJ6070">
        <v>108.375112061287</v>
      </c>
      <c r="AK6070">
        <v>9.6525434478765195</v>
      </c>
      <c r="AL6070">
        <v>79.4787838450697</v>
      </c>
      <c r="AM6070">
        <v>98.062535164530601</v>
      </c>
      <c r="AN6070">
        <v>0.99999997711630395</v>
      </c>
    </row>
    <row r="6071" spans="1:40" x14ac:dyDescent="0.25">
      <c r="A6071" t="str">
        <f>"20190312172530049"</f>
        <v>20190312172530049</v>
      </c>
      <c r="B6071" t="str">
        <f>"1552382730046072"</f>
        <v>1552382730046072</v>
      </c>
      <c r="C6071" t="s">
        <v>40</v>
      </c>
      <c r="D6071">
        <v>3.485141</v>
      </c>
      <c r="E6071">
        <v>0.42910350000000003</v>
      </c>
      <c r="F6071" t="s">
        <v>50</v>
      </c>
      <c r="G6071">
        <v>-296.72800000000001</v>
      </c>
      <c r="H6071" s="1">
        <v>-5.86355E-6</v>
      </c>
      <c r="I6071">
        <v>-49.418860000000002</v>
      </c>
      <c r="J6071">
        <v>-301.137</v>
      </c>
      <c r="K6071">
        <v>1.115518</v>
      </c>
      <c r="L6071">
        <v>-40.18741</v>
      </c>
      <c r="M6071">
        <v>0.12397569999999999</v>
      </c>
      <c r="N6071">
        <v>0</v>
      </c>
      <c r="O6071">
        <v>-0.9921721</v>
      </c>
      <c r="P6071">
        <v>0.2571425</v>
      </c>
      <c r="Q6071">
        <v>0.16889879999999999</v>
      </c>
      <c r="R6071">
        <v>-0.9514994</v>
      </c>
      <c r="S6071">
        <v>1.345032</v>
      </c>
      <c r="T6071">
        <v>-0.33799829999999997</v>
      </c>
      <c r="U6071">
        <v>-2.8545229999999999</v>
      </c>
      <c r="V6071">
        <v>-0.13922409999999999</v>
      </c>
      <c r="W6071">
        <v>0.18196760000000001</v>
      </c>
      <c r="X6071">
        <v>0.9733984</v>
      </c>
      <c r="Y6071">
        <v>-0.30830879999999999</v>
      </c>
      <c r="Z6071">
        <v>0.10777970000000001</v>
      </c>
      <c r="AA6071">
        <v>0.94516089999999997</v>
      </c>
      <c r="AB6071">
        <v>22</v>
      </c>
      <c r="AC6071">
        <v>4.40899999999999</v>
      </c>
      <c r="AD6071">
        <v>-1.11552386355</v>
      </c>
      <c r="AE6071">
        <v>-9.2314499999999899</v>
      </c>
      <c r="AF6071">
        <v>-3.1924162378504799</v>
      </c>
      <c r="AG6071">
        <v>-1.11552386355</v>
      </c>
      <c r="AH6071">
        <v>9.5928273086887401</v>
      </c>
      <c r="AI6071">
        <v>96.296415965917703</v>
      </c>
      <c r="AJ6071">
        <v>108.407030067656</v>
      </c>
      <c r="AK6071">
        <v>10.1714429015831</v>
      </c>
      <c r="AL6071">
        <v>79.515612051258501</v>
      </c>
      <c r="AM6071">
        <v>98.139746123137201</v>
      </c>
      <c r="AN6071">
        <v>1.00000000129656</v>
      </c>
    </row>
    <row r="6072" spans="1:40" x14ac:dyDescent="0.25">
      <c r="A6072" t="str">
        <f>"20190312172530072"</f>
        <v>20190312172530072</v>
      </c>
      <c r="B6072" t="str">
        <f>"1552382730066567"</f>
        <v>1552382730066567</v>
      </c>
      <c r="C6072" t="s">
        <v>40</v>
      </c>
      <c r="D6072">
        <v>3.5488940000000002</v>
      </c>
      <c r="E6072">
        <v>0.42959029999999998</v>
      </c>
      <c r="F6072" t="s">
        <v>50</v>
      </c>
      <c r="G6072">
        <v>-296.4873</v>
      </c>
      <c r="H6072" s="1">
        <v>-6.0743309999999901E-6</v>
      </c>
      <c r="I6072">
        <v>-49.876460000000002</v>
      </c>
      <c r="J6072">
        <v>-301.10230000000001</v>
      </c>
      <c r="K6072">
        <v>1.115621</v>
      </c>
      <c r="L6072">
        <v>-40.397190000000002</v>
      </c>
      <c r="M6072">
        <v>0.1312981</v>
      </c>
      <c r="N6072">
        <v>0</v>
      </c>
      <c r="O6072">
        <v>-0.99122940000000004</v>
      </c>
      <c r="P6072">
        <v>0.26539119999999999</v>
      </c>
      <c r="Q6072">
        <v>0.16801450000000001</v>
      </c>
      <c r="R6072">
        <v>-0.94938840000000002</v>
      </c>
      <c r="S6072">
        <v>1.364044</v>
      </c>
      <c r="T6072">
        <v>-0.32724979999999998</v>
      </c>
      <c r="U6072">
        <v>-2.8423769999999999</v>
      </c>
      <c r="V6072">
        <v>-0.14050319999999999</v>
      </c>
      <c r="W6072">
        <v>0.1810523</v>
      </c>
      <c r="X6072">
        <v>0.97338530000000001</v>
      </c>
      <c r="Y6072">
        <v>-0.30814920000000001</v>
      </c>
      <c r="Z6072">
        <v>0.1045024</v>
      </c>
      <c r="AA6072">
        <v>0.945581</v>
      </c>
      <c r="AB6072">
        <v>22</v>
      </c>
      <c r="AC6072">
        <v>4.6150000000000002</v>
      </c>
      <c r="AD6072">
        <v>-1.1156270743309999</v>
      </c>
      <c r="AE6072">
        <v>-9.4792699999999908</v>
      </c>
      <c r="AF6072">
        <v>-3.2934113342675602</v>
      </c>
      <c r="AG6072">
        <v>-1.1156270743309999</v>
      </c>
      <c r="AH6072">
        <v>9.8924300532547296</v>
      </c>
      <c r="AI6072">
        <v>96.107509629060502</v>
      </c>
      <c r="AJ6072">
        <v>108.413754788397</v>
      </c>
      <c r="AK6072">
        <v>10.4857691346033</v>
      </c>
      <c r="AL6072">
        <v>79.568940844634696</v>
      </c>
      <c r="AM6072">
        <v>98.213622041548007</v>
      </c>
      <c r="AN6072">
        <v>1.00000001340081</v>
      </c>
    </row>
    <row r="6073" spans="1:40" x14ac:dyDescent="0.25">
      <c r="A6073" t="str">
        <f>"20190312172530095"</f>
        <v>20190312172530095</v>
      </c>
      <c r="B6073" t="str">
        <f>"1552382730086087"</f>
        <v>1552382730086087</v>
      </c>
      <c r="C6073" t="s">
        <v>40</v>
      </c>
      <c r="D6073">
        <v>3.5933860000000002</v>
      </c>
      <c r="E6073">
        <v>0.42981049999999899</v>
      </c>
      <c r="F6073" t="s">
        <v>50</v>
      </c>
      <c r="G6073">
        <v>-296.2724</v>
      </c>
      <c r="H6073" s="1">
        <v>-6.2541139999999999E-6</v>
      </c>
      <c r="I6073">
        <v>-50.262810000000002</v>
      </c>
      <c r="J6073">
        <v>-301.06279999999998</v>
      </c>
      <c r="K6073">
        <v>1.115731</v>
      </c>
      <c r="L6073">
        <v>-40.623440000000002</v>
      </c>
      <c r="M6073">
        <v>0.13943829999999999</v>
      </c>
      <c r="N6073">
        <v>0</v>
      </c>
      <c r="O6073">
        <v>-0.99011669999999996</v>
      </c>
      <c r="P6073">
        <v>0.27459990000000001</v>
      </c>
      <c r="Q6073">
        <v>0.16718729999999901</v>
      </c>
      <c r="R6073">
        <v>-0.94691259999999999</v>
      </c>
      <c r="S6073">
        <v>1.385162</v>
      </c>
      <c r="T6073">
        <v>-0.31994899999999998</v>
      </c>
      <c r="U6073">
        <v>-2.8293460000000001</v>
      </c>
      <c r="V6073">
        <v>-0.14198379999999999</v>
      </c>
      <c r="W6073">
        <v>0.18018970000000001</v>
      </c>
      <c r="X6073">
        <v>0.97333049999999999</v>
      </c>
      <c r="Y6073">
        <v>-0.30784549999999999</v>
      </c>
      <c r="Z6073">
        <v>0.10229149999999999</v>
      </c>
      <c r="AA6073">
        <v>0.94592149999999997</v>
      </c>
      <c r="AB6073">
        <v>22</v>
      </c>
      <c r="AC6073">
        <v>4.7903999999999698</v>
      </c>
      <c r="AD6073">
        <v>-1.115737254114</v>
      </c>
      <c r="AE6073">
        <v>-9.6393699999999907</v>
      </c>
      <c r="AF6073">
        <v>-3.3632069771089799</v>
      </c>
      <c r="AG6073">
        <v>-1.115737254114</v>
      </c>
      <c r="AH6073">
        <v>10.1046545501952</v>
      </c>
      <c r="AI6073">
        <v>95.980912703493502</v>
      </c>
      <c r="AJ6073">
        <v>108.409371767644</v>
      </c>
      <c r="AK6073">
        <v>10.7079444511948</v>
      </c>
      <c r="AL6073">
        <v>79.619190460399196</v>
      </c>
      <c r="AM6073">
        <v>98.299437221275397</v>
      </c>
      <c r="AN6073">
        <v>0.99999999483938995</v>
      </c>
    </row>
    <row r="6074" spans="1:40" x14ac:dyDescent="0.25">
      <c r="A6074" t="str">
        <f>"20190312172530116"</f>
        <v>20190312172530116</v>
      </c>
      <c r="B6074" t="str">
        <f>"1552382730106583"</f>
        <v>1552382730106583</v>
      </c>
      <c r="C6074" t="s">
        <v>40</v>
      </c>
      <c r="D6074">
        <v>3.4418389999999999</v>
      </c>
      <c r="E6074">
        <v>0.42981279999999999</v>
      </c>
      <c r="F6074" t="s">
        <v>50</v>
      </c>
      <c r="G6074">
        <v>-296.02839999999998</v>
      </c>
      <c r="H6074" s="1">
        <v>-8.6344169999999997E-6</v>
      </c>
      <c r="I6074">
        <v>-50.665959999999998</v>
      </c>
      <c r="J6074">
        <v>-301.02640000000002</v>
      </c>
      <c r="K6074">
        <v>1.1158330000000001</v>
      </c>
      <c r="L6074">
        <v>-40.822049999999997</v>
      </c>
      <c r="M6074">
        <v>0.14678840000000001</v>
      </c>
      <c r="N6074">
        <v>0</v>
      </c>
      <c r="O6074">
        <v>-0.98905339999999997</v>
      </c>
      <c r="P6074">
        <v>0.28316770000000002</v>
      </c>
      <c r="Q6074">
        <v>0.1666579</v>
      </c>
      <c r="R6074">
        <v>-0.94447950000000003</v>
      </c>
      <c r="S6074">
        <v>1.410828</v>
      </c>
      <c r="T6074">
        <v>-0.3126698</v>
      </c>
      <c r="U6074">
        <v>-2.81427</v>
      </c>
      <c r="V6074">
        <v>-0.14360319999999999</v>
      </c>
      <c r="W6074">
        <v>0.1796227</v>
      </c>
      <c r="X6074">
        <v>0.9731978</v>
      </c>
      <c r="Y6074">
        <v>-0.30980180000000002</v>
      </c>
      <c r="Z6074">
        <v>0.100079</v>
      </c>
      <c r="AA6074">
        <v>0.94551940000000001</v>
      </c>
      <c r="AB6074">
        <v>22</v>
      </c>
      <c r="AC6074">
        <v>4.9980000000000402</v>
      </c>
      <c r="AD6074">
        <v>-1.1158416344169999</v>
      </c>
      <c r="AE6074">
        <v>-9.8439099999999993</v>
      </c>
      <c r="AF6074">
        <v>-3.4633334119080601</v>
      </c>
      <c r="AG6074">
        <v>-1.1158416344169999</v>
      </c>
      <c r="AH6074">
        <v>10.365101535785501</v>
      </c>
      <c r="AI6074">
        <v>95.829965847528101</v>
      </c>
      <c r="AJ6074">
        <v>108.47622910064</v>
      </c>
      <c r="AK6074">
        <v>10.985222379282099</v>
      </c>
      <c r="AL6074">
        <v>79.652216866272894</v>
      </c>
      <c r="AM6074">
        <v>98.393883934808301</v>
      </c>
      <c r="AN6074">
        <v>1.0000000756651799</v>
      </c>
    </row>
    <row r="6075" spans="1:40" x14ac:dyDescent="0.25">
      <c r="A6075" t="str">
        <f>"20190312172530138"</f>
        <v>20190312172530138</v>
      </c>
      <c r="B6075" t="str">
        <f>"1552382730126103"</f>
        <v>1552382730126103</v>
      </c>
      <c r="C6075" t="s">
        <v>40</v>
      </c>
      <c r="D6075">
        <v>3.4595030000000002</v>
      </c>
      <c r="E6075">
        <v>0.42997570000000002</v>
      </c>
      <c r="F6075" t="s">
        <v>50</v>
      </c>
      <c r="G6075">
        <v>-295.79790000000003</v>
      </c>
      <c r="H6075" s="1">
        <v>-8.6756899999999999E-6</v>
      </c>
      <c r="I6075">
        <v>-51.018459999999997</v>
      </c>
      <c r="J6075">
        <v>-300.98559999999998</v>
      </c>
      <c r="K6075">
        <v>1.115944</v>
      </c>
      <c r="L6075">
        <v>-41.033659999999998</v>
      </c>
      <c r="M6075">
        <v>0.15483189999999999</v>
      </c>
      <c r="N6075">
        <v>0</v>
      </c>
      <c r="O6075">
        <v>-0.98782579999999998</v>
      </c>
      <c r="P6075">
        <v>0.29248239999999998</v>
      </c>
      <c r="Q6075">
        <v>0.165720799999999</v>
      </c>
      <c r="R6075">
        <v>-0.94180200000000003</v>
      </c>
      <c r="S6075">
        <v>1.4357599999999999</v>
      </c>
      <c r="T6075">
        <v>-0.30641259999999998</v>
      </c>
      <c r="U6075">
        <v>-2.799957</v>
      </c>
      <c r="V6075">
        <v>-0.14531469999999999</v>
      </c>
      <c r="W6075">
        <v>0.17864549999999901</v>
      </c>
      <c r="X6075">
        <v>0.97312359999999998</v>
      </c>
      <c r="Y6075">
        <v>-0.31078169999999999</v>
      </c>
      <c r="Z6075">
        <v>9.8154480000000002E-2</v>
      </c>
      <c r="AA6075">
        <v>0.94539960000000001</v>
      </c>
      <c r="AB6075">
        <v>22</v>
      </c>
      <c r="AC6075">
        <v>5.1876999999999498</v>
      </c>
      <c r="AD6075">
        <v>-1.11595267569</v>
      </c>
      <c r="AE6075">
        <v>-9.9847999999999999</v>
      </c>
      <c r="AF6075">
        <v>-3.5441242385893599</v>
      </c>
      <c r="AG6075">
        <v>-1.11595267569</v>
      </c>
      <c r="AH6075">
        <v>10.5637690968636</v>
      </c>
      <c r="AI6075">
        <v>95.719290743831493</v>
      </c>
      <c r="AJ6075">
        <v>108.546503944715</v>
      </c>
      <c r="AK6075">
        <v>11.198186662347901</v>
      </c>
      <c r="AL6075">
        <v>79.709126662408593</v>
      </c>
      <c r="AM6075">
        <v>98.493112093310899</v>
      </c>
      <c r="AN6075">
        <v>1.00000005879164</v>
      </c>
    </row>
    <row r="6076" spans="1:40" x14ac:dyDescent="0.25">
      <c r="A6076" t="str">
        <f>"20190312172530161"</f>
        <v>20190312172530161</v>
      </c>
      <c r="B6076" t="str">
        <f>"1552382730156359"</f>
        <v>1552382730156359</v>
      </c>
      <c r="C6076" t="s">
        <v>40</v>
      </c>
      <c r="D6076">
        <v>3.5243389999999999</v>
      </c>
      <c r="E6076">
        <v>0.43068849999999997</v>
      </c>
      <c r="F6076" t="s">
        <v>50</v>
      </c>
      <c r="G6076">
        <v>-295.59800000000001</v>
      </c>
      <c r="H6076" s="1">
        <v>-8.7146990000000004E-6</v>
      </c>
      <c r="I6076">
        <v>-51.295490000000001</v>
      </c>
      <c r="J6076">
        <v>-300.94170000000003</v>
      </c>
      <c r="K6076">
        <v>1.1160589999999999</v>
      </c>
      <c r="L6076">
        <v>-41.25018</v>
      </c>
      <c r="M6076">
        <v>0.1632845</v>
      </c>
      <c r="N6076">
        <v>0</v>
      </c>
      <c r="O6076">
        <v>-0.9864636</v>
      </c>
      <c r="P6076">
        <v>0.30198560000000002</v>
      </c>
      <c r="Q6076">
        <v>0.165500799999999</v>
      </c>
      <c r="R6076">
        <v>-0.93883689999999997</v>
      </c>
      <c r="S6076">
        <v>1.461975</v>
      </c>
      <c r="T6076">
        <v>-0.30282340000000002</v>
      </c>
      <c r="U6076">
        <v>-2.784637</v>
      </c>
      <c r="V6076">
        <v>-0.14686450000000001</v>
      </c>
      <c r="W6076">
        <v>0.17838419999999999</v>
      </c>
      <c r="X6076">
        <v>0.97293879999999999</v>
      </c>
      <c r="Y6076">
        <v>-0.31181009999999998</v>
      </c>
      <c r="Z6076">
        <v>9.7069920000000004E-2</v>
      </c>
      <c r="AA6076">
        <v>0.94517300000000004</v>
      </c>
      <c r="AB6076">
        <v>22</v>
      </c>
      <c r="AC6076">
        <v>5.3437000000000099</v>
      </c>
      <c r="AD6076">
        <v>-1.1160677146989999</v>
      </c>
      <c r="AE6076">
        <v>-10.045310000000001</v>
      </c>
      <c r="AF6076">
        <v>-3.5969285026242401</v>
      </c>
      <c r="AG6076">
        <v>-1.1160677146989999</v>
      </c>
      <c r="AH6076">
        <v>10.6803450842944</v>
      </c>
      <c r="AI6076">
        <v>95.655675071088396</v>
      </c>
      <c r="AJ6076">
        <v>108.612505260936</v>
      </c>
      <c r="AK6076">
        <v>11.3248961547731</v>
      </c>
      <c r="AL6076">
        <v>79.724341912080902</v>
      </c>
      <c r="AM6076">
        <v>98.583956190098903</v>
      </c>
      <c r="AN6076">
        <v>1.00000000635766</v>
      </c>
    </row>
    <row r="6077" spans="1:40" x14ac:dyDescent="0.25">
      <c r="A6077" t="str">
        <f>"20190312172530186"</f>
        <v>20190312172530186</v>
      </c>
      <c r="B6077" t="str">
        <f>"1552382730176856"</f>
        <v>1552382730176856</v>
      </c>
      <c r="C6077" t="s">
        <v>40</v>
      </c>
      <c r="D6077">
        <v>3.5091760000000001</v>
      </c>
      <c r="E6077">
        <v>0.43119459999999998</v>
      </c>
      <c r="F6077" t="s">
        <v>50</v>
      </c>
      <c r="G6077">
        <v>-295.36160000000001</v>
      </c>
      <c r="H6077" s="1">
        <v>-8.7558830000000005E-6</v>
      </c>
      <c r="I6077">
        <v>-51.667020000000001</v>
      </c>
      <c r="J6077">
        <v>-300.89190000000002</v>
      </c>
      <c r="K6077">
        <v>1.116188</v>
      </c>
      <c r="L6077">
        <v>-41.482759999999999</v>
      </c>
      <c r="M6077">
        <v>0.17265269999999999</v>
      </c>
      <c r="N6077">
        <v>0</v>
      </c>
      <c r="O6077">
        <v>-0.98486660000000004</v>
      </c>
      <c r="P6077">
        <v>0.3128397</v>
      </c>
      <c r="Q6077">
        <v>0.1655537</v>
      </c>
      <c r="R6077">
        <v>-0.93526670000000001</v>
      </c>
      <c r="S6077">
        <v>1.48407</v>
      </c>
      <c r="T6077">
        <v>-0.29682449999999999</v>
      </c>
      <c r="U6077">
        <v>-2.770416</v>
      </c>
      <c r="V6077">
        <v>-0.14894849999999901</v>
      </c>
      <c r="W6077">
        <v>0.1783874</v>
      </c>
      <c r="X6077">
        <v>0.97262130000000002</v>
      </c>
      <c r="Y6077">
        <v>-0.31074020000000002</v>
      </c>
      <c r="Z6077">
        <v>9.5212379999999999E-2</v>
      </c>
      <c r="AA6077">
        <v>0.9457141</v>
      </c>
      <c r="AB6077">
        <v>22</v>
      </c>
      <c r="AC6077">
        <v>5.5303000000000102</v>
      </c>
      <c r="AD6077">
        <v>-1.1161967558829999</v>
      </c>
      <c r="AE6077">
        <v>-10.18426</v>
      </c>
      <c r="AF6077">
        <v>-3.6547853957903902</v>
      </c>
      <c r="AG6077">
        <v>-1.1161967558829999</v>
      </c>
      <c r="AH6077">
        <v>10.8852364545307</v>
      </c>
      <c r="AI6077">
        <v>95.552234305670297</v>
      </c>
      <c r="AJ6077">
        <v>108.559794810935</v>
      </c>
      <c r="AK6077">
        <v>11.536538655860801</v>
      </c>
      <c r="AL6077">
        <v>79.724155060783005</v>
      </c>
      <c r="AM6077">
        <v>98.706707258254298</v>
      </c>
      <c r="AN6077">
        <v>0.99999995667234898</v>
      </c>
    </row>
    <row r="6078" spans="1:40" x14ac:dyDescent="0.25">
      <c r="A6078" t="str">
        <f>"20190312172530207"</f>
        <v>20190312172530207</v>
      </c>
      <c r="B6078" t="str">
        <f>"1552382730196883"</f>
        <v>1552382730196883</v>
      </c>
      <c r="C6078" t="s">
        <v>40</v>
      </c>
      <c r="D6078">
        <v>3.514691</v>
      </c>
      <c r="E6078">
        <v>0.43182510000000002</v>
      </c>
      <c r="F6078" t="s">
        <v>50</v>
      </c>
      <c r="G6078">
        <v>-295.14909999999998</v>
      </c>
      <c r="H6078" s="1">
        <v>-8.7988749999999997E-6</v>
      </c>
      <c r="I6078">
        <v>-51.947749999999999</v>
      </c>
      <c r="J6078">
        <v>-300.84530000000001</v>
      </c>
      <c r="K6078">
        <v>1.1163019999999999</v>
      </c>
      <c r="L6078">
        <v>-41.690249999999999</v>
      </c>
      <c r="M6078">
        <v>0.18122530000000001</v>
      </c>
      <c r="N6078">
        <v>0</v>
      </c>
      <c r="O6078">
        <v>-0.98332509999999995</v>
      </c>
      <c r="P6078">
        <v>0.32232759999999999</v>
      </c>
      <c r="Q6078">
        <v>0.16684549999999901</v>
      </c>
      <c r="R6078">
        <v>-0.93180909999999995</v>
      </c>
      <c r="S6078">
        <v>1.5113529999999999</v>
      </c>
      <c r="T6078">
        <v>-0.29375479999999998</v>
      </c>
      <c r="U6078">
        <v>-2.7541199999999999</v>
      </c>
      <c r="V6078">
        <v>-0.15046670000000001</v>
      </c>
      <c r="W6078">
        <v>0.1796391</v>
      </c>
      <c r="X6078">
        <v>0.97215720000000005</v>
      </c>
      <c r="Y6078">
        <v>-0.3120637</v>
      </c>
      <c r="Z6078">
        <v>9.4272060000000005E-2</v>
      </c>
      <c r="AA6078">
        <v>0.9453724</v>
      </c>
      <c r="AB6078">
        <v>22</v>
      </c>
      <c r="AC6078">
        <v>5.6962000000000304</v>
      </c>
      <c r="AD6078">
        <v>-1.1163107988750001</v>
      </c>
      <c r="AE6078">
        <v>-10.2575</v>
      </c>
      <c r="AF6078">
        <v>-3.7091508567943099</v>
      </c>
      <c r="AG6078">
        <v>-1.1163107988750001</v>
      </c>
      <c r="AH6078">
        <v>11.020269426877199</v>
      </c>
      <c r="AI6078">
        <v>95.483827642454798</v>
      </c>
      <c r="AJ6078">
        <v>108.601963541136</v>
      </c>
      <c r="AK6078">
        <v>11.681193779708799</v>
      </c>
      <c r="AL6078">
        <v>79.651261177593696</v>
      </c>
      <c r="AM6078">
        <v>98.798205010810705</v>
      </c>
      <c r="AN6078">
        <v>1.00000002778476</v>
      </c>
    </row>
    <row r="6079" spans="1:40" x14ac:dyDescent="0.25">
      <c r="A6079" t="str">
        <f>"20190312172530228"</f>
        <v>20190312172530228</v>
      </c>
      <c r="B6079" t="str">
        <f>"1552382730216403"</f>
        <v>1552382730216403</v>
      </c>
      <c r="C6079" t="s">
        <v>40</v>
      </c>
      <c r="D6079">
        <v>3.5455489999999998</v>
      </c>
      <c r="E6079">
        <v>0.43248769999999997</v>
      </c>
      <c r="F6079" t="s">
        <v>50</v>
      </c>
      <c r="G6079">
        <v>-294.8811</v>
      </c>
      <c r="H6079" s="1">
        <v>-8.8493800000000006E-6</v>
      </c>
      <c r="I6079">
        <v>-52.335149999999999</v>
      </c>
      <c r="J6079">
        <v>-300.80110000000002</v>
      </c>
      <c r="K6079">
        <v>1.1163799999999999</v>
      </c>
      <c r="L6079">
        <v>-41.878880000000002</v>
      </c>
      <c r="M6079">
        <v>0.1891728</v>
      </c>
      <c r="N6079">
        <v>0</v>
      </c>
      <c r="O6079">
        <v>-0.9818268</v>
      </c>
      <c r="P6079">
        <v>0.33124399999999998</v>
      </c>
      <c r="Q6079">
        <v>0.1675256</v>
      </c>
      <c r="R6079">
        <v>-0.9285542</v>
      </c>
      <c r="S6079">
        <v>1.535156</v>
      </c>
      <c r="T6079">
        <v>-0.287334599999999</v>
      </c>
      <c r="U6079">
        <v>-2.73996</v>
      </c>
      <c r="V6079">
        <v>-0.1519904</v>
      </c>
      <c r="W6079">
        <v>0.1802859</v>
      </c>
      <c r="X6079">
        <v>0.97180029999999995</v>
      </c>
      <c r="Y6079">
        <v>-0.31280859999999999</v>
      </c>
      <c r="Z6079">
        <v>9.2240059999999999E-2</v>
      </c>
      <c r="AA6079">
        <v>0.94532669999999996</v>
      </c>
      <c r="AB6079">
        <v>22</v>
      </c>
      <c r="AC6079">
        <v>5.9200000000000097</v>
      </c>
      <c r="AD6079">
        <v>-1.1163888493799901</v>
      </c>
      <c r="AE6079">
        <v>-10.4562699999999</v>
      </c>
      <c r="AF6079">
        <v>-3.8019936435185202</v>
      </c>
      <c r="AG6079">
        <v>-1.1163888493799901</v>
      </c>
      <c r="AH6079">
        <v>11.289999413085001</v>
      </c>
      <c r="AI6079">
        <v>95.3536623685698</v>
      </c>
      <c r="AJ6079">
        <v>108.611345931884</v>
      </c>
      <c r="AK6079">
        <v>11.965181422604299</v>
      </c>
      <c r="AL6079">
        <v>79.613586420495096</v>
      </c>
      <c r="AM6079">
        <v>98.889096446878995</v>
      </c>
      <c r="AN6079">
        <v>0.99999995525552898</v>
      </c>
    </row>
    <row r="6080" spans="1:40" x14ac:dyDescent="0.25">
      <c r="A6080" t="str">
        <f>"20190312172530250"</f>
        <v>20190312172530250</v>
      </c>
      <c r="B6080" t="str">
        <f>"1552382730246659"</f>
        <v>1552382730246659</v>
      </c>
      <c r="C6080" t="s">
        <v>40</v>
      </c>
      <c r="D6080">
        <v>3.6548050000000001</v>
      </c>
      <c r="E6080">
        <v>0.43354320000000002</v>
      </c>
      <c r="F6080" t="s">
        <v>50</v>
      </c>
      <c r="G6080">
        <v>-294.66250000000002</v>
      </c>
      <c r="H6080" s="1">
        <v>-8.8928429999999999E-6</v>
      </c>
      <c r="I6080">
        <v>-52.631050000000002</v>
      </c>
      <c r="J6080">
        <v>-300.75020000000001</v>
      </c>
      <c r="K6080">
        <v>1.116458</v>
      </c>
      <c r="L6080">
        <v>-42.08728</v>
      </c>
      <c r="M6080">
        <v>0.19812540000000001</v>
      </c>
      <c r="N6080">
        <v>0</v>
      </c>
      <c r="O6080">
        <v>-0.98005920000000002</v>
      </c>
      <c r="P6080">
        <v>0.34074009999999999</v>
      </c>
      <c r="Q6080">
        <v>0.1678588</v>
      </c>
      <c r="R6080">
        <v>-0.92505150000000003</v>
      </c>
      <c r="S6080">
        <v>1.5566709999999999</v>
      </c>
      <c r="T6080">
        <v>-0.28309990000000002</v>
      </c>
      <c r="U6080">
        <v>-2.7265929999999998</v>
      </c>
      <c r="V6080">
        <v>-0.1531284</v>
      </c>
      <c r="W6080">
        <v>0.18059500000000001</v>
      </c>
      <c r="X6080">
        <v>0.97156430000000005</v>
      </c>
      <c r="Y6080">
        <v>-0.3118245</v>
      </c>
      <c r="Z6080">
        <v>9.0882980000000002E-2</v>
      </c>
      <c r="AA6080">
        <v>0.94578309999999999</v>
      </c>
      <c r="AB6080">
        <v>22</v>
      </c>
      <c r="AC6080">
        <v>6.0876999999999803</v>
      </c>
      <c r="AD6080">
        <v>-1.1164668928429999</v>
      </c>
      <c r="AE6080">
        <v>-10.54377</v>
      </c>
      <c r="AF6080">
        <v>-3.84542749494755</v>
      </c>
      <c r="AG6080">
        <v>-1.1164668928429999</v>
      </c>
      <c r="AH6080">
        <v>11.4447352483998</v>
      </c>
      <c r="AI6080">
        <v>95.283261841368898</v>
      </c>
      <c r="AJ6080">
        <v>108.572332547611</v>
      </c>
      <c r="AK6080">
        <v>12.1250062205212</v>
      </c>
      <c r="AL6080">
        <v>79.595581480874898</v>
      </c>
      <c r="AM6080">
        <v>98.956717200547601</v>
      </c>
      <c r="AN6080">
        <v>1.0000000249730201</v>
      </c>
    </row>
    <row r="6081" spans="1:40" x14ac:dyDescent="0.25">
      <c r="A6081" t="str">
        <f>"20190312172530273"</f>
        <v>20190312172530273</v>
      </c>
      <c r="B6081" t="str">
        <f>"1552382730266178"</f>
        <v>1552382730266178</v>
      </c>
      <c r="C6081" t="s">
        <v>40</v>
      </c>
      <c r="D6081">
        <v>3.6797879999999998</v>
      </c>
      <c r="E6081">
        <v>0.434336</v>
      </c>
      <c r="F6081" t="s">
        <v>50</v>
      </c>
      <c r="G6081">
        <v>-294.43400000000003</v>
      </c>
      <c r="H6081" s="1">
        <v>-8.9368390000000006E-6</v>
      </c>
      <c r="I6081">
        <v>-52.9529</v>
      </c>
      <c r="J6081">
        <v>-300.69690000000003</v>
      </c>
      <c r="K6081">
        <v>1.11652</v>
      </c>
      <c r="L6081">
        <v>-42.29645</v>
      </c>
      <c r="M6081">
        <v>0.2072861</v>
      </c>
      <c r="N6081">
        <v>0</v>
      </c>
      <c r="O6081">
        <v>-0.97816230000000004</v>
      </c>
      <c r="P6081">
        <v>0.35062290000000002</v>
      </c>
      <c r="Q6081">
        <v>0.16790920000000001</v>
      </c>
      <c r="R6081">
        <v>-0.92134170000000004</v>
      </c>
      <c r="S6081">
        <v>1.576935</v>
      </c>
      <c r="T6081">
        <v>-0.27874290000000002</v>
      </c>
      <c r="U6081">
        <v>-2.7127690000000002</v>
      </c>
      <c r="V6081">
        <v>-0.15447379999999999</v>
      </c>
      <c r="W6081">
        <v>0.18061940000000001</v>
      </c>
      <c r="X6081">
        <v>0.97134670000000001</v>
      </c>
      <c r="Y6081">
        <v>-0.31037179999999998</v>
      </c>
      <c r="Z6081">
        <v>8.9495939999999996E-2</v>
      </c>
      <c r="AA6081">
        <v>0.94639309999999999</v>
      </c>
      <c r="AB6081">
        <v>22</v>
      </c>
      <c r="AC6081">
        <v>6.2629000000000001</v>
      </c>
      <c r="AD6081">
        <v>-1.1165289368389999</v>
      </c>
      <c r="AE6081">
        <v>-10.65645</v>
      </c>
      <c r="AF6081">
        <v>-3.88594391329671</v>
      </c>
      <c r="AG6081">
        <v>-1.1165289368389999</v>
      </c>
      <c r="AH6081">
        <v>11.6284219167686</v>
      </c>
      <c r="AI6081">
        <v>95.203395911946302</v>
      </c>
      <c r="AJ6081">
        <v>108.478410412914</v>
      </c>
      <c r="AK6081">
        <v>12.3112709838777</v>
      </c>
      <c r="AL6081">
        <v>79.594159480321395</v>
      </c>
      <c r="AM6081">
        <v>99.036109823096794</v>
      </c>
      <c r="AN6081">
        <v>0.99999996707184402</v>
      </c>
    </row>
    <row r="6082" spans="1:40" x14ac:dyDescent="0.25">
      <c r="A6082" t="str">
        <f>"20190312172530294"</f>
        <v>20190312172530294</v>
      </c>
      <c r="B6082" t="str">
        <f>"1552382730286675"</f>
        <v>1552382730286675</v>
      </c>
      <c r="C6082" t="s">
        <v>40</v>
      </c>
      <c r="D6082">
        <v>3.60894</v>
      </c>
      <c r="E6082">
        <v>0.43401909999999999</v>
      </c>
      <c r="F6082" t="s">
        <v>50</v>
      </c>
      <c r="G6082">
        <v>-294.21780000000001</v>
      </c>
      <c r="H6082" s="1">
        <v>-8.9830020000000007E-6</v>
      </c>
      <c r="I6082">
        <v>-53.216970000000003</v>
      </c>
      <c r="J6082">
        <v>-300.64260000000002</v>
      </c>
      <c r="K6082">
        <v>1.1165889999999901</v>
      </c>
      <c r="L6082">
        <v>-42.50076</v>
      </c>
      <c r="M6082">
        <v>0.21640110000000001</v>
      </c>
      <c r="N6082">
        <v>0</v>
      </c>
      <c r="O6082">
        <v>-0.97618590000000005</v>
      </c>
      <c r="P6082">
        <v>0.36049959999999998</v>
      </c>
      <c r="Q6082">
        <v>0.16829439999999901</v>
      </c>
      <c r="R6082">
        <v>-0.91745160000000003</v>
      </c>
      <c r="S6082">
        <v>1.600311</v>
      </c>
      <c r="T6082">
        <v>-0.27578160000000002</v>
      </c>
      <c r="U6082">
        <v>-2.6973569999999998</v>
      </c>
      <c r="V6082">
        <v>-0.1558977</v>
      </c>
      <c r="W6082">
        <v>0.18097630000000001</v>
      </c>
      <c r="X6082">
        <v>0.97105280000000005</v>
      </c>
      <c r="Y6082">
        <v>-0.30998710000000002</v>
      </c>
      <c r="Z6082">
        <v>8.8543819999999995E-2</v>
      </c>
      <c r="AA6082">
        <v>0.94660869999999997</v>
      </c>
      <c r="AB6082">
        <v>22</v>
      </c>
      <c r="AC6082">
        <v>6.4248000000000003</v>
      </c>
      <c r="AD6082">
        <v>-1.1165979830020001</v>
      </c>
      <c r="AE6082">
        <v>-10.716209999999901</v>
      </c>
      <c r="AF6082">
        <v>-3.9219354981621599</v>
      </c>
      <c r="AG6082">
        <v>-1.1165979830020001</v>
      </c>
      <c r="AH6082">
        <v>11.758809830642701</v>
      </c>
      <c r="AI6082">
        <v>95.147317277695194</v>
      </c>
      <c r="AJ6082">
        <v>108.44517576235501</v>
      </c>
      <c r="AK6082">
        <v>12.4458016110096</v>
      </c>
      <c r="AL6082">
        <v>79.573368611636695</v>
      </c>
      <c r="AM6082">
        <v>99.120722715677005</v>
      </c>
      <c r="AN6082">
        <v>1.0000000272074001</v>
      </c>
    </row>
    <row r="6083" spans="1:40" x14ac:dyDescent="0.25">
      <c r="A6083" t="str">
        <f>"20190312172530316"</f>
        <v>20190312172530316</v>
      </c>
      <c r="B6083" t="str">
        <f>"1552382730306195"</f>
        <v>1552382730306195</v>
      </c>
      <c r="C6083" t="s">
        <v>40</v>
      </c>
      <c r="D6083">
        <v>3.5634209999999999</v>
      </c>
      <c r="E6083">
        <v>0.41939310000000002</v>
      </c>
      <c r="F6083" t="s">
        <v>50</v>
      </c>
      <c r="G6083">
        <v>-293.97300000000001</v>
      </c>
      <c r="H6083" s="1">
        <v>-9.0423660000000004E-6</v>
      </c>
      <c r="I6083">
        <v>-53.453400000000002</v>
      </c>
      <c r="J6083">
        <v>-300.58659999999998</v>
      </c>
      <c r="K6083">
        <v>1.116657</v>
      </c>
      <c r="L6083">
        <v>-42.703159999999997</v>
      </c>
      <c r="M6083">
        <v>0.2255838</v>
      </c>
      <c r="N6083">
        <v>0</v>
      </c>
      <c r="O6083">
        <v>-0.97410459999999999</v>
      </c>
      <c r="P6083">
        <v>0.37051830000000002</v>
      </c>
      <c r="Q6083">
        <v>0.16845729999999901</v>
      </c>
      <c r="R6083">
        <v>-0.9134215</v>
      </c>
      <c r="S6083">
        <v>1.631378</v>
      </c>
      <c r="T6083">
        <v>-0.2731169</v>
      </c>
      <c r="U6083">
        <v>-2.6789860000000001</v>
      </c>
      <c r="V6083">
        <v>-0.15742120000000001</v>
      </c>
      <c r="W6083">
        <v>0.18110950000000001</v>
      </c>
      <c r="X6083">
        <v>0.97078209999999998</v>
      </c>
      <c r="Y6083">
        <v>-0.311971</v>
      </c>
      <c r="Z6083">
        <v>8.7655289999999997E-2</v>
      </c>
      <c r="AA6083">
        <v>0.94603939999999997</v>
      </c>
      <c r="AB6083">
        <v>22</v>
      </c>
      <c r="AC6083">
        <v>6.61359999999996</v>
      </c>
      <c r="AD6083">
        <v>-1.116666042366</v>
      </c>
      <c r="AE6083">
        <v>-10.75024</v>
      </c>
      <c r="AF6083">
        <v>-3.9865210233053401</v>
      </c>
      <c r="AG6083">
        <v>-1.116666042366</v>
      </c>
      <c r="AH6083">
        <v>11.8722410242489</v>
      </c>
      <c r="AI6083">
        <v>95.095269351928295</v>
      </c>
      <c r="AJ6083">
        <v>108.561281316166</v>
      </c>
      <c r="AK6083">
        <v>12.573360722467401</v>
      </c>
      <c r="AL6083">
        <v>79.565608140358094</v>
      </c>
      <c r="AM6083">
        <v>99.210858368797005</v>
      </c>
      <c r="AN6083">
        <v>0.99999998544004998</v>
      </c>
    </row>
    <row r="6084" spans="1:40" x14ac:dyDescent="0.25">
      <c r="A6084" t="str">
        <f>"20190312172530339"</f>
        <v>20190312172530339</v>
      </c>
      <c r="B6084" t="str">
        <f>"1552382730336451"</f>
        <v>1552382730336451</v>
      </c>
      <c r="C6084" t="s">
        <v>40</v>
      </c>
      <c r="D6084">
        <v>3.5677029999999998</v>
      </c>
      <c r="E6084">
        <v>0.42048869999999999</v>
      </c>
      <c r="F6084" t="s">
        <v>50</v>
      </c>
      <c r="G6084">
        <v>-292.05590000000001</v>
      </c>
      <c r="H6084" s="1">
        <v>-9.5410030000000005E-6</v>
      </c>
      <c r="I6084">
        <v>-55.320239999999998</v>
      </c>
      <c r="J6084">
        <v>-300.52809999999999</v>
      </c>
      <c r="K6084">
        <v>1.1167149999999999</v>
      </c>
      <c r="L6084">
        <v>-42.906770000000002</v>
      </c>
      <c r="M6084">
        <v>0.23497309999999999</v>
      </c>
      <c r="N6084">
        <v>0</v>
      </c>
      <c r="O6084">
        <v>-0.97188209999999997</v>
      </c>
      <c r="P6084">
        <v>0.38006289999999998</v>
      </c>
      <c r="Q6084">
        <v>0.1689552</v>
      </c>
      <c r="R6084">
        <v>-0.90939910000000002</v>
      </c>
      <c r="S6084">
        <v>1.7652890000000001</v>
      </c>
      <c r="T6084">
        <v>-0.2310759</v>
      </c>
      <c r="U6084">
        <v>-2.6109010000000001</v>
      </c>
      <c r="V6084">
        <v>-0.15827759999999999</v>
      </c>
      <c r="W6084">
        <v>0.18158679999999999</v>
      </c>
      <c r="X6084">
        <v>0.97055360000000002</v>
      </c>
      <c r="Y6084">
        <v>-0.34817979999999998</v>
      </c>
      <c r="Z6084">
        <v>7.4173089999999997E-2</v>
      </c>
      <c r="AA6084">
        <v>0.93448880000000001</v>
      </c>
      <c r="AB6084">
        <v>22</v>
      </c>
      <c r="AC6084">
        <v>8.4721999999999795</v>
      </c>
      <c r="AD6084">
        <v>-1.116724541003</v>
      </c>
      <c r="AE6084">
        <v>-12.41347</v>
      </c>
      <c r="AF6084">
        <v>-5.2885681562323601</v>
      </c>
      <c r="AG6084">
        <v>-1.116724541003</v>
      </c>
      <c r="AH6084">
        <v>13.9796214016998</v>
      </c>
      <c r="AI6084">
        <v>94.272894175028497</v>
      </c>
      <c r="AJ6084">
        <v>110.72190787164099</v>
      </c>
      <c r="AK6084">
        <v>14.9881900634619</v>
      </c>
      <c r="AL6084">
        <v>79.537799159749596</v>
      </c>
      <c r="AM6084">
        <v>99.262243710992493</v>
      </c>
      <c r="AN6084">
        <v>0.99999992753447697</v>
      </c>
    </row>
    <row r="6085" spans="1:40" x14ac:dyDescent="0.25">
      <c r="A6085" t="str">
        <f>"20190312172530363"</f>
        <v>20190312172530363</v>
      </c>
      <c r="B6085" t="str">
        <f>"1552382730356947"</f>
        <v>1552382730356947</v>
      </c>
      <c r="C6085" t="s">
        <v>40</v>
      </c>
      <c r="D6085">
        <v>3.5638339999999902</v>
      </c>
      <c r="E6085">
        <v>0.42124899999999998</v>
      </c>
      <c r="F6085" t="s">
        <v>50</v>
      </c>
      <c r="G6085">
        <v>-291.91079999999999</v>
      </c>
      <c r="H6085" s="1">
        <v>-9.5820340000000004E-6</v>
      </c>
      <c r="I6085">
        <v>-55.437759999999997</v>
      </c>
      <c r="J6085">
        <v>-300.46570000000003</v>
      </c>
      <c r="K6085">
        <v>1.1167849999999999</v>
      </c>
      <c r="L6085">
        <v>-43.115389999999998</v>
      </c>
      <c r="M6085">
        <v>0.24475079999999999</v>
      </c>
      <c r="N6085">
        <v>0</v>
      </c>
      <c r="O6085">
        <v>-0.96946549999999998</v>
      </c>
      <c r="P6085">
        <v>0.38992759999999999</v>
      </c>
      <c r="Q6085">
        <v>0.16920660000000001</v>
      </c>
      <c r="R6085">
        <v>-0.90516589999999997</v>
      </c>
      <c r="S6085">
        <v>1.7850950000000001</v>
      </c>
      <c r="T6085">
        <v>-0.23133219999999999</v>
      </c>
      <c r="U6085">
        <v>-2.595825</v>
      </c>
      <c r="V6085">
        <v>-0.15909909999999999</v>
      </c>
      <c r="W6085">
        <v>0.18181710000000001</v>
      </c>
      <c r="X6085">
        <v>0.97037629999999997</v>
      </c>
      <c r="Y6085">
        <v>-0.34610869999999999</v>
      </c>
      <c r="Z6085">
        <v>7.4217320000000003E-2</v>
      </c>
      <c r="AA6085">
        <v>0.93525429999999998</v>
      </c>
      <c r="AB6085">
        <v>22</v>
      </c>
      <c r="AC6085">
        <v>8.5549000000000301</v>
      </c>
      <c r="AD6085">
        <v>-1.1167945820339999</v>
      </c>
      <c r="AE6085">
        <v>-12.3223699999999</v>
      </c>
      <c r="AF6085">
        <v>-5.2492926710460699</v>
      </c>
      <c r="AG6085">
        <v>-1.1167945820339999</v>
      </c>
      <c r="AH6085">
        <v>13.9641744834985</v>
      </c>
      <c r="AI6085">
        <v>94.281240664733602</v>
      </c>
      <c r="AJ6085">
        <v>110.601813911158</v>
      </c>
      <c r="AK6085">
        <v>14.959962322491</v>
      </c>
      <c r="AL6085">
        <v>79.5243821063208</v>
      </c>
      <c r="AM6085">
        <v>99.311148700009198</v>
      </c>
      <c r="AN6085">
        <v>1.00000007253745</v>
      </c>
    </row>
    <row r="6086" spans="1:40" x14ac:dyDescent="0.25">
      <c r="A6086" t="str">
        <f>"20190312172530389"</f>
        <v>20190312172530389</v>
      </c>
      <c r="B6086" t="str">
        <f>"1552382730376466"</f>
        <v>1552382730376466</v>
      </c>
      <c r="C6086" t="s">
        <v>40</v>
      </c>
      <c r="D6086">
        <v>3.5515219999999998</v>
      </c>
      <c r="E6086">
        <v>0.42184739999999998</v>
      </c>
      <c r="F6086" t="s">
        <v>50</v>
      </c>
      <c r="G6086">
        <v>-291.73790000000002</v>
      </c>
      <c r="H6086" s="1">
        <v>-9.6322799999999995E-6</v>
      </c>
      <c r="I6086">
        <v>-55.563920000000003</v>
      </c>
      <c r="J6086">
        <v>-300.38929999999999</v>
      </c>
      <c r="K6086">
        <v>1.116857</v>
      </c>
      <c r="L6086">
        <v>-43.359189999999998</v>
      </c>
      <c r="M6086">
        <v>0.25639509999999999</v>
      </c>
      <c r="N6086">
        <v>0</v>
      </c>
      <c r="O6086">
        <v>-0.96645119999999896</v>
      </c>
      <c r="P6086">
        <v>0.40178940000000002</v>
      </c>
      <c r="Q6086">
        <v>0.16899449999999999</v>
      </c>
      <c r="R6086">
        <v>-0.90000369999999996</v>
      </c>
      <c r="S6086">
        <v>1.8079529999999999</v>
      </c>
      <c r="T6086">
        <v>-0.2313433</v>
      </c>
      <c r="U6086">
        <v>-2.5787049999999998</v>
      </c>
      <c r="V6086">
        <v>-0.16019949999999999</v>
      </c>
      <c r="W6086">
        <v>0.18158070000000001</v>
      </c>
      <c r="X6086">
        <v>0.97023950000000003</v>
      </c>
      <c r="Y6086">
        <v>-0.34330090000000002</v>
      </c>
      <c r="Z6086">
        <v>7.4148190000000003E-2</v>
      </c>
      <c r="AA6086">
        <v>0.93629399999999996</v>
      </c>
      <c r="AB6086">
        <v>22</v>
      </c>
      <c r="AC6086">
        <v>8.6513999999999598</v>
      </c>
      <c r="AD6086">
        <v>-1.1168666322799901</v>
      </c>
      <c r="AE6086">
        <v>-12.2047299999999</v>
      </c>
      <c r="AF6086">
        <v>-5.2035316434577004</v>
      </c>
      <c r="AG6086">
        <v>-1.1168666322799901</v>
      </c>
      <c r="AH6086">
        <v>13.9374078002273</v>
      </c>
      <c r="AI6086">
        <v>94.293305498990193</v>
      </c>
      <c r="AJ6086">
        <v>110.47311922222001</v>
      </c>
      <c r="AK6086">
        <v>14.918963396583701</v>
      </c>
      <c r="AL6086">
        <v>79.538155962260305</v>
      </c>
      <c r="AM6086">
        <v>99.375707668411906</v>
      </c>
      <c r="AN6086">
        <v>1.0000000588864899</v>
      </c>
    </row>
    <row r="6087" spans="1:40" x14ac:dyDescent="0.25">
      <c r="A6087" t="str">
        <f>"20190312172530408"</f>
        <v>20190312172530408</v>
      </c>
      <c r="B6087" t="str">
        <f>"1552382730396962"</f>
        <v>1552382730396962</v>
      </c>
      <c r="C6087" t="s">
        <v>40</v>
      </c>
      <c r="D6087">
        <v>3.5490029999999999</v>
      </c>
      <c r="E6087">
        <v>0.42256149999999998</v>
      </c>
      <c r="F6087" t="s">
        <v>50</v>
      </c>
      <c r="G6087">
        <v>-291.5292</v>
      </c>
      <c r="H6087" s="1">
        <v>-9.6957590000000008E-6</v>
      </c>
      <c r="I6087">
        <v>-55.688000000000002</v>
      </c>
      <c r="J6087">
        <v>-300.334</v>
      </c>
      <c r="K6087">
        <v>1.116895</v>
      </c>
      <c r="L6087">
        <v>-43.529690000000002</v>
      </c>
      <c r="M6087">
        <v>0.26464140000000003</v>
      </c>
      <c r="N6087">
        <v>0</v>
      </c>
      <c r="O6087">
        <v>-0.96422529999999995</v>
      </c>
      <c r="P6087">
        <v>0.40971180000000001</v>
      </c>
      <c r="Q6087">
        <v>0.16882949999999999</v>
      </c>
      <c r="R6087">
        <v>-0.89645620000000004</v>
      </c>
      <c r="S6087">
        <v>1.83728</v>
      </c>
      <c r="T6087">
        <v>-0.23160049999999999</v>
      </c>
      <c r="U6087">
        <v>-2.5565799999999999</v>
      </c>
      <c r="V6087">
        <v>-0.160475799999999</v>
      </c>
      <c r="W6087">
        <v>0.18140999999999999</v>
      </c>
      <c r="X6087">
        <v>0.97022569999999997</v>
      </c>
      <c r="Y6087">
        <v>-0.346194</v>
      </c>
      <c r="Z6087">
        <v>7.4230599999999994E-2</v>
      </c>
      <c r="AA6087">
        <v>0.93522169999999905</v>
      </c>
      <c r="AB6087">
        <v>22</v>
      </c>
      <c r="AC6087">
        <v>8.8048000000000002</v>
      </c>
      <c r="AD6087">
        <v>-1.1169046957590001</v>
      </c>
      <c r="AE6087">
        <v>-12.15831</v>
      </c>
      <c r="AF6087">
        <v>-5.2438085969875097</v>
      </c>
      <c r="AG6087">
        <v>-1.1169046957590001</v>
      </c>
      <c r="AH6087">
        <v>13.9777354956514</v>
      </c>
      <c r="AI6087">
        <v>94.278584588995798</v>
      </c>
      <c r="AJ6087">
        <v>110.56379928176401</v>
      </c>
      <c r="AK6087">
        <v>14.9707078753024</v>
      </c>
      <c r="AL6087">
        <v>79.5481007980557</v>
      </c>
      <c r="AM6087">
        <v>99.391721531063993</v>
      </c>
      <c r="AN6087">
        <v>0.99999998971306403</v>
      </c>
    </row>
    <row r="6088" spans="1:40" x14ac:dyDescent="0.25">
      <c r="A6088" t="str">
        <f>"20190312172530428"</f>
        <v>20190312172530428</v>
      </c>
      <c r="B6088" t="str">
        <f>"1552382730416484"</f>
        <v>1552382730416484</v>
      </c>
      <c r="C6088" t="s">
        <v>40</v>
      </c>
      <c r="D6088">
        <v>3.5486680000000002</v>
      </c>
      <c r="E6088">
        <v>0.42315960000000002</v>
      </c>
      <c r="F6088" t="s">
        <v>50</v>
      </c>
      <c r="G6088">
        <v>-291.4631</v>
      </c>
      <c r="H6088" s="1">
        <v>-9.7197540000000005E-6</v>
      </c>
      <c r="I6088">
        <v>-55.688600000000001</v>
      </c>
      <c r="J6088">
        <v>-300.27319999999997</v>
      </c>
      <c r="K6088">
        <v>1.1169260000000001</v>
      </c>
      <c r="L6088">
        <v>-43.711060000000003</v>
      </c>
      <c r="M6088">
        <v>0.27351199999999998</v>
      </c>
      <c r="N6088">
        <v>0</v>
      </c>
      <c r="O6088">
        <v>-0.96174660000000001</v>
      </c>
      <c r="P6088">
        <v>0.41805680000000001</v>
      </c>
      <c r="Q6088">
        <v>0.1686183</v>
      </c>
      <c r="R6088">
        <v>-0.89263499999999996</v>
      </c>
      <c r="S6088">
        <v>1.8550720000000001</v>
      </c>
      <c r="T6088">
        <v>-0.23356640000000001</v>
      </c>
      <c r="U6088">
        <v>-2.5426639999999998</v>
      </c>
      <c r="V6088">
        <v>-0.16059039999999999</v>
      </c>
      <c r="W6088">
        <v>0.1811981</v>
      </c>
      <c r="X6088">
        <v>0.97024639999999995</v>
      </c>
      <c r="Y6088">
        <v>-0.34423429999999999</v>
      </c>
      <c r="Z6088">
        <v>7.4789930000000004E-2</v>
      </c>
      <c r="AA6088">
        <v>0.93590019999999996</v>
      </c>
      <c r="AB6088">
        <v>21</v>
      </c>
      <c r="AC6088">
        <v>8.8100999999999701</v>
      </c>
      <c r="AD6088">
        <v>-1.116935719754</v>
      </c>
      <c r="AE6088">
        <v>-11.977539999999999</v>
      </c>
      <c r="AF6088">
        <v>-5.1685268152956203</v>
      </c>
      <c r="AG6088">
        <v>-1.116935719754</v>
      </c>
      <c r="AH6088">
        <v>13.8524917626597</v>
      </c>
      <c r="AI6088">
        <v>94.320126427801995</v>
      </c>
      <c r="AJ6088">
        <v>110.461133690716</v>
      </c>
      <c r="AK6088">
        <v>14.827432106641</v>
      </c>
      <c r="AL6088">
        <v>79.560447037428503</v>
      </c>
      <c r="AM6088">
        <v>99.398111855739003</v>
      </c>
      <c r="AN6088">
        <v>1.00000005236436</v>
      </c>
    </row>
    <row r="6089" spans="1:40" x14ac:dyDescent="0.25">
      <c r="A6089" t="str">
        <f>"20190312172530451"</f>
        <v>20190312172530451</v>
      </c>
      <c r="B6089" t="str">
        <f>"1552382730446739"</f>
        <v>1552382730446739</v>
      </c>
      <c r="C6089" t="s">
        <v>40</v>
      </c>
      <c r="D6089">
        <v>3.5239859999999998</v>
      </c>
      <c r="E6089">
        <v>0.42985030000000002</v>
      </c>
      <c r="F6089" t="s">
        <v>50</v>
      </c>
      <c r="G6089">
        <v>-291.32100000000003</v>
      </c>
      <c r="H6089" s="1">
        <v>-9.7623940000000002E-6</v>
      </c>
      <c r="I6089">
        <v>-55.77901</v>
      </c>
      <c r="J6089">
        <v>-300.2029</v>
      </c>
      <c r="K6089">
        <v>1.1169629999999999</v>
      </c>
      <c r="L6089">
        <v>-43.913640000000001</v>
      </c>
      <c r="M6089">
        <v>0.28354869999999999</v>
      </c>
      <c r="N6089">
        <v>0</v>
      </c>
      <c r="O6089">
        <v>-0.9588352</v>
      </c>
      <c r="P6089">
        <v>0.42768070000000002</v>
      </c>
      <c r="Q6089">
        <v>0.16870769999999999</v>
      </c>
      <c r="R6089">
        <v>-0.88804689999999997</v>
      </c>
      <c r="S6089">
        <v>1.874603</v>
      </c>
      <c r="T6089">
        <v>-0.23388719999999999</v>
      </c>
      <c r="U6089">
        <v>-2.5270389999999998</v>
      </c>
      <c r="V6089">
        <v>-0.160958399999999</v>
      </c>
      <c r="W6089">
        <v>0.181282</v>
      </c>
      <c r="X6089">
        <v>0.97016970000000002</v>
      </c>
      <c r="Y6089">
        <v>-0.34185409999999999</v>
      </c>
      <c r="Z6089">
        <v>7.4805609999999995E-2</v>
      </c>
      <c r="AA6089">
        <v>0.93677100000000002</v>
      </c>
      <c r="AB6089">
        <v>21</v>
      </c>
      <c r="AC6089">
        <v>8.8819000000000301</v>
      </c>
      <c r="AD6089">
        <v>-1.116972762394</v>
      </c>
      <c r="AE6089">
        <v>-11.86537</v>
      </c>
      <c r="AF6089">
        <v>-5.1233762536271596</v>
      </c>
      <c r="AG6089">
        <v>-1.116972762394</v>
      </c>
      <c r="AH6089">
        <v>13.8185386308877</v>
      </c>
      <c r="AI6089">
        <v>94.334158877693099</v>
      </c>
      <c r="AJ6089">
        <v>110.342819779682</v>
      </c>
      <c r="AK6089">
        <v>14.7800075196698</v>
      </c>
      <c r="AL6089">
        <v>79.555558505887802</v>
      </c>
      <c r="AM6089">
        <v>99.419993859175605</v>
      </c>
      <c r="AN6089">
        <v>1.0000000084263201</v>
      </c>
    </row>
    <row r="6090" spans="1:40" x14ac:dyDescent="0.25">
      <c r="A6090" t="str">
        <f>"20190312172530474"</f>
        <v>20190312172530474</v>
      </c>
      <c r="B6090" t="str">
        <f>"1552382730466259"</f>
        <v>1552382730466259</v>
      </c>
      <c r="C6090" t="s">
        <v>40</v>
      </c>
      <c r="D6090">
        <v>3.564397</v>
      </c>
      <c r="E6090">
        <v>0.43113679999999899</v>
      </c>
      <c r="F6090" t="s">
        <v>50</v>
      </c>
      <c r="G6090">
        <v>-291.58330000000001</v>
      </c>
      <c r="H6090" s="1">
        <v>-9.6772839999999992E-6</v>
      </c>
      <c r="I6090">
        <v>-55.676119999999997</v>
      </c>
      <c r="J6090">
        <v>-300.13130000000001</v>
      </c>
      <c r="K6090">
        <v>1.1169979999999999</v>
      </c>
      <c r="L6090">
        <v>-44.11307</v>
      </c>
      <c r="M6090">
        <v>0.2935565</v>
      </c>
      <c r="N6090">
        <v>0</v>
      </c>
      <c r="O6090">
        <v>-0.95581839999999996</v>
      </c>
      <c r="P6090">
        <v>0.43712319999999999</v>
      </c>
      <c r="Q6090">
        <v>0.16922879999999901</v>
      </c>
      <c r="R6090">
        <v>-0.8833377</v>
      </c>
      <c r="S6090">
        <v>1.8545229999999999</v>
      </c>
      <c r="T6090">
        <v>-0.2403198</v>
      </c>
      <c r="U6090">
        <v>-2.5307309999999998</v>
      </c>
      <c r="V6090">
        <v>-0.1612102</v>
      </c>
      <c r="W6090">
        <v>0.1817973</v>
      </c>
      <c r="X6090">
        <v>0.97003139999999999</v>
      </c>
      <c r="Y6090">
        <v>-0.32642110000000002</v>
      </c>
      <c r="Z6090">
        <v>7.6785709999999993E-2</v>
      </c>
      <c r="AA6090">
        <v>0.94210050000000001</v>
      </c>
      <c r="AB6090">
        <v>21</v>
      </c>
      <c r="AC6090">
        <v>8.548</v>
      </c>
      <c r="AD6090">
        <v>-1.1170076772840001</v>
      </c>
      <c r="AE6090">
        <v>-11.563049999999899</v>
      </c>
      <c r="AF6090">
        <v>-4.7478408792513296</v>
      </c>
      <c r="AG6090">
        <v>-1.1170076772840001</v>
      </c>
      <c r="AH6090">
        <v>13.481744336223599</v>
      </c>
      <c r="AI6090">
        <v>94.468517233495206</v>
      </c>
      <c r="AJ6090">
        <v>109.400639908081</v>
      </c>
      <c r="AK6090">
        <v>14.336914923130999</v>
      </c>
      <c r="AL6090">
        <v>79.525534512153897</v>
      </c>
      <c r="AM6090">
        <v>99.435786481572094</v>
      </c>
      <c r="AN6090">
        <v>0.99999995192864299</v>
      </c>
    </row>
    <row r="6091" spans="1:40" x14ac:dyDescent="0.25">
      <c r="A6091" t="str">
        <f>"20190312172530495"</f>
        <v>20190312172530495</v>
      </c>
      <c r="B6091" t="str">
        <f>"1552382730486755"</f>
        <v>1552382730486755</v>
      </c>
      <c r="C6091" t="s">
        <v>40</v>
      </c>
      <c r="D6091">
        <v>3.603259</v>
      </c>
      <c r="E6091">
        <v>0.43176150000000002</v>
      </c>
      <c r="F6091" t="s">
        <v>50</v>
      </c>
      <c r="G6091">
        <v>-291.44639999999998</v>
      </c>
      <c r="H6091" s="1">
        <v>-9.7167359999999998E-6</v>
      </c>
      <c r="I6091">
        <v>-55.779530000000001</v>
      </c>
      <c r="J6091">
        <v>-300.06060000000002</v>
      </c>
      <c r="K6091">
        <v>1.1170340000000001</v>
      </c>
      <c r="L6091">
        <v>-44.30341</v>
      </c>
      <c r="M6091">
        <v>0.30322189999999999</v>
      </c>
      <c r="N6091">
        <v>0</v>
      </c>
      <c r="O6091">
        <v>-0.95279619999999998</v>
      </c>
      <c r="P6091">
        <v>0.44598290000000002</v>
      </c>
      <c r="Q6091">
        <v>0.1698646</v>
      </c>
      <c r="R6091">
        <v>-0.87877510000000003</v>
      </c>
      <c r="S6091">
        <v>1.872711</v>
      </c>
      <c r="T6091">
        <v>-0.24085889999999999</v>
      </c>
      <c r="U6091">
        <v>-2.515625</v>
      </c>
      <c r="V6091">
        <v>-0.1612016</v>
      </c>
      <c r="W6091">
        <v>0.1824308</v>
      </c>
      <c r="X6091">
        <v>0.96991400000000005</v>
      </c>
      <c r="Y6091">
        <v>-0.3239341</v>
      </c>
      <c r="Z6091">
        <v>7.6851989999999995E-2</v>
      </c>
      <c r="AA6091">
        <v>0.94295309999999999</v>
      </c>
      <c r="AB6091">
        <v>21</v>
      </c>
      <c r="AC6091">
        <v>8.6142000000000394</v>
      </c>
      <c r="AD6091">
        <v>-1.1170437167359999</v>
      </c>
      <c r="AE6091">
        <v>-11.47612</v>
      </c>
      <c r="AF6091">
        <v>-4.6998428132279404</v>
      </c>
      <c r="AG6091">
        <v>-1.1170437167359999</v>
      </c>
      <c r="AH6091">
        <v>13.466409280164299</v>
      </c>
      <c r="AI6091">
        <v>94.478131398940207</v>
      </c>
      <c r="AJ6091">
        <v>109.23923752629</v>
      </c>
      <c r="AK6091">
        <v>14.306658870436699</v>
      </c>
      <c r="AL6091">
        <v>79.488621481836702</v>
      </c>
      <c r="AM6091">
        <v>99.4364136908559</v>
      </c>
      <c r="AN6091">
        <v>1.0000000600135901</v>
      </c>
    </row>
    <row r="6092" spans="1:40" x14ac:dyDescent="0.25">
      <c r="A6092" t="str">
        <f>"20190312172530517"</f>
        <v>20190312172530517</v>
      </c>
      <c r="B6092" t="str">
        <f>"1552382730506276"</f>
        <v>1552382730506276</v>
      </c>
      <c r="C6092" t="s">
        <v>40</v>
      </c>
      <c r="D6092">
        <v>3.6110190000000002</v>
      </c>
      <c r="E6092">
        <v>0.43818210000000002</v>
      </c>
      <c r="F6092" t="s">
        <v>50</v>
      </c>
      <c r="G6092">
        <v>-291.28289999999998</v>
      </c>
      <c r="H6092" s="1">
        <v>-9.7658319999999998E-6</v>
      </c>
      <c r="I6092">
        <v>-55.883290000000002</v>
      </c>
      <c r="J6092">
        <v>-299.98660000000001</v>
      </c>
      <c r="K6092">
        <v>1.1170709999999999</v>
      </c>
      <c r="L6092">
        <v>-44.496189999999999</v>
      </c>
      <c r="M6092">
        <v>0.31312780000000001</v>
      </c>
      <c r="N6092">
        <v>0</v>
      </c>
      <c r="O6092">
        <v>-0.9495865</v>
      </c>
      <c r="P6092">
        <v>0.45471650000000002</v>
      </c>
      <c r="Q6092">
        <v>0.1696723</v>
      </c>
      <c r="R6092">
        <v>-0.87432540000000003</v>
      </c>
      <c r="S6092">
        <v>1.8943179999999999</v>
      </c>
      <c r="T6092">
        <v>-0.24106920000000001</v>
      </c>
      <c r="U6092">
        <v>-2.4990540000000001</v>
      </c>
      <c r="V6092">
        <v>-0.16076599999999999</v>
      </c>
      <c r="W6092">
        <v>0.1822452</v>
      </c>
      <c r="X6092">
        <v>0.97002109999999997</v>
      </c>
      <c r="Y6092">
        <v>-0.32227240000000001</v>
      </c>
      <c r="Z6092">
        <v>7.6784930000000001E-2</v>
      </c>
      <c r="AA6092">
        <v>0.94352769999999997</v>
      </c>
      <c r="AB6092">
        <v>21</v>
      </c>
      <c r="AC6092">
        <v>8.7037000000000209</v>
      </c>
      <c r="AD6092">
        <v>-1.1170807658320001</v>
      </c>
      <c r="AE6092">
        <v>-11.387099999999901</v>
      </c>
      <c r="AF6092">
        <v>-4.6714762850396401</v>
      </c>
      <c r="AG6092">
        <v>-1.1170807658320001</v>
      </c>
      <c r="AH6092">
        <v>13.4582528237495</v>
      </c>
      <c r="AI6092">
        <v>94.483610241259498</v>
      </c>
      <c r="AJ6092">
        <v>109.142331366815</v>
      </c>
      <c r="AK6092">
        <v>14.289686112264301</v>
      </c>
      <c r="AL6092">
        <v>79.499436007402494</v>
      </c>
      <c r="AM6092">
        <v>99.410350827000102</v>
      </c>
      <c r="AN6092">
        <v>0.99999997706212396</v>
      </c>
    </row>
    <row r="6093" spans="1:40" x14ac:dyDescent="0.25">
      <c r="A6093" t="str">
        <f>"20190312172530540"</f>
        <v>20190312172530540</v>
      </c>
      <c r="B6093" t="str">
        <f>"1552382730536531"</f>
        <v>1552382730536531</v>
      </c>
      <c r="C6093" t="s">
        <v>40</v>
      </c>
      <c r="D6093">
        <v>3.5739540000000001</v>
      </c>
      <c r="E6093">
        <v>0.43950600000000001</v>
      </c>
      <c r="F6093" t="s">
        <v>50</v>
      </c>
      <c r="G6093">
        <v>-291.74400000000003</v>
      </c>
      <c r="H6093" s="1">
        <v>-9.6357419999999998E-6</v>
      </c>
      <c r="I6093">
        <v>-55.50703</v>
      </c>
      <c r="J6093">
        <v>-299.90940000000001</v>
      </c>
      <c r="K6093">
        <v>1.1170990000000001</v>
      </c>
      <c r="L6093">
        <v>-44.690860000000001</v>
      </c>
      <c r="M6093">
        <v>0.32324560000000002</v>
      </c>
      <c r="N6093">
        <v>0</v>
      </c>
      <c r="O6093">
        <v>-0.94618990000000003</v>
      </c>
      <c r="P6093">
        <v>0.4635938</v>
      </c>
      <c r="Q6093">
        <v>0.16884579999999999</v>
      </c>
      <c r="R6093">
        <v>-0.86981149999999996</v>
      </c>
      <c r="S6093">
        <v>1.8753660000000001</v>
      </c>
      <c r="T6093">
        <v>-0.25416139999999998</v>
      </c>
      <c r="U6093">
        <v>-2.5052189999999999</v>
      </c>
      <c r="V6093">
        <v>-0.160239299999999</v>
      </c>
      <c r="W6093">
        <v>0.1814269</v>
      </c>
      <c r="X6093">
        <v>0.97026159999999995</v>
      </c>
      <c r="Y6093">
        <v>-0.30625059999999998</v>
      </c>
      <c r="Z6093">
        <v>8.073168E-2</v>
      </c>
      <c r="AA6093">
        <v>0.94852139999999996</v>
      </c>
      <c r="AB6093">
        <v>21</v>
      </c>
      <c r="AC6093">
        <v>8.1653999999999698</v>
      </c>
      <c r="AD6093">
        <v>-1.1171086357419999</v>
      </c>
      <c r="AE6093">
        <v>-10.81617</v>
      </c>
      <c r="AF6093">
        <v>-4.2016917519393902</v>
      </c>
      <c r="AG6093">
        <v>-1.1171086357419999</v>
      </c>
      <c r="AH6093">
        <v>12.788214221917</v>
      </c>
      <c r="AI6093">
        <v>94.744098425348497</v>
      </c>
      <c r="AJ6093">
        <v>108.188438870388</v>
      </c>
      <c r="AK6093">
        <v>13.507056239906801</v>
      </c>
      <c r="AL6093">
        <v>79.547115876556603</v>
      </c>
      <c r="AM6093">
        <v>99.377785785626003</v>
      </c>
      <c r="AN6093">
        <v>0.99999996287132897</v>
      </c>
    </row>
    <row r="6094" spans="1:40" x14ac:dyDescent="0.25">
      <c r="A6094" t="str">
        <f>"20190312172530563"</f>
        <v>20190312172530563</v>
      </c>
      <c r="B6094" t="str">
        <f>"1552382730556051"</f>
        <v>1552382730556051</v>
      </c>
      <c r="C6094" t="s">
        <v>40</v>
      </c>
      <c r="D6094">
        <v>3.5803020000000001</v>
      </c>
      <c r="E6094">
        <v>0.44001780000000001</v>
      </c>
      <c r="F6094" t="s">
        <v>50</v>
      </c>
      <c r="G6094">
        <v>-291.93150000000003</v>
      </c>
      <c r="H6094" s="1">
        <v>-9.5987069999999992E-6</v>
      </c>
      <c r="I6094">
        <v>-55.195529999999998</v>
      </c>
      <c r="J6094">
        <v>-299.82900000000001</v>
      </c>
      <c r="K6094">
        <v>1.1171390000000001</v>
      </c>
      <c r="L6094">
        <v>-44.886749999999999</v>
      </c>
      <c r="M6094">
        <v>0.33355940000000001</v>
      </c>
      <c r="N6094">
        <v>0</v>
      </c>
      <c r="O6094">
        <v>-0.94260319999999997</v>
      </c>
      <c r="P6094">
        <v>0.47301310000000002</v>
      </c>
      <c r="Q6094">
        <v>0.16844020000000001</v>
      </c>
      <c r="R6094">
        <v>-0.86480460000000003</v>
      </c>
      <c r="S6094">
        <v>1.8924559999999999</v>
      </c>
      <c r="T6094">
        <v>-0.26499</v>
      </c>
      <c r="U6094">
        <v>-2.4918209999999998</v>
      </c>
      <c r="V6094">
        <v>-0.16016540000000001</v>
      </c>
      <c r="W6094">
        <v>0.18102080000000001</v>
      </c>
      <c r="X6094">
        <v>0.97034969999999998</v>
      </c>
      <c r="Y6094">
        <v>-0.30226530000000001</v>
      </c>
      <c r="Z6094">
        <v>8.3934839999999997E-2</v>
      </c>
      <c r="AA6094">
        <v>0.94952130000000001</v>
      </c>
      <c r="AB6094">
        <v>21</v>
      </c>
      <c r="AC6094">
        <v>7.8974999999999698</v>
      </c>
      <c r="AD6094">
        <v>-1.11714859870699</v>
      </c>
      <c r="AE6094">
        <v>-10.30878</v>
      </c>
      <c r="AF6094">
        <v>-3.9766646505318102</v>
      </c>
      <c r="AG6094">
        <v>-1.11714859870699</v>
      </c>
      <c r="AH6094">
        <v>12.2620954340886</v>
      </c>
      <c r="AI6094">
        <v>94.953017151019196</v>
      </c>
      <c r="AJ6094">
        <v>107.968162393371</v>
      </c>
      <c r="AK6094">
        <v>12.9391215764085</v>
      </c>
      <c r="AL6094">
        <v>79.570775978930001</v>
      </c>
      <c r="AM6094">
        <v>99.3727017238336</v>
      </c>
      <c r="AN6094">
        <v>1.00000001283994</v>
      </c>
    </row>
    <row r="6095" spans="1:40" x14ac:dyDescent="0.25">
      <c r="A6095" t="str">
        <f>"20190312172530587"</f>
        <v>20190312172530587</v>
      </c>
      <c r="B6095" t="str">
        <f>"1552382730576547"</f>
        <v>1552382730576547</v>
      </c>
      <c r="C6095" t="s">
        <v>40</v>
      </c>
      <c r="D6095">
        <v>3.6949369999999999</v>
      </c>
      <c r="E6095">
        <v>0.44104169999999998</v>
      </c>
      <c r="F6095" t="s">
        <v>50</v>
      </c>
      <c r="G6095">
        <v>-291.72449999999998</v>
      </c>
      <c r="H6095" s="1">
        <v>-9.6585019999999996E-6</v>
      </c>
      <c r="I6095">
        <v>-55.350389999999997</v>
      </c>
      <c r="J6095">
        <v>-299.74470000000002</v>
      </c>
      <c r="K6095">
        <v>1.1171709999999999</v>
      </c>
      <c r="L6095">
        <v>-45.085209999999996</v>
      </c>
      <c r="M6095">
        <v>0.34412969999999998</v>
      </c>
      <c r="N6095">
        <v>0</v>
      </c>
      <c r="O6095">
        <v>-0.93879559999999995</v>
      </c>
      <c r="P6095">
        <v>0.4825371</v>
      </c>
      <c r="Q6095">
        <v>0.1691802</v>
      </c>
      <c r="R6095">
        <v>-0.85938130000000001</v>
      </c>
      <c r="S6095">
        <v>1.915314</v>
      </c>
      <c r="T6095">
        <v>-0.26401219999999997</v>
      </c>
      <c r="U6095">
        <v>-2.472839</v>
      </c>
      <c r="V6095">
        <v>-0.1600567</v>
      </c>
      <c r="W6095">
        <v>0.1817608</v>
      </c>
      <c r="X6095">
        <v>0.97022929999999996</v>
      </c>
      <c r="Y6095">
        <v>-0.30059089999999999</v>
      </c>
      <c r="Z6095">
        <v>8.3450220000000006E-2</v>
      </c>
      <c r="AA6095">
        <v>0.95009540000000003</v>
      </c>
      <c r="AB6095">
        <v>21</v>
      </c>
      <c r="AC6095">
        <v>8.02020000000004</v>
      </c>
      <c r="AD6095">
        <v>-1.1171806585020001</v>
      </c>
      <c r="AE6095">
        <v>-10.265180000000001</v>
      </c>
      <c r="AF6095">
        <v>-3.9680656426008101</v>
      </c>
      <c r="AG6095">
        <v>-1.1171806585020001</v>
      </c>
      <c r="AH6095">
        <v>12.3078458363349</v>
      </c>
      <c r="AI6095">
        <v>94.937575929200605</v>
      </c>
      <c r="AJ6095">
        <v>107.869389491794</v>
      </c>
      <c r="AK6095">
        <v>12.979857730295301</v>
      </c>
      <c r="AL6095">
        <v>79.527661909855297</v>
      </c>
      <c r="AM6095">
        <v>99.367595204597507</v>
      </c>
      <c r="AN6095">
        <v>1.0000000151049999</v>
      </c>
    </row>
    <row r="6096" spans="1:40" x14ac:dyDescent="0.25">
      <c r="A6096" t="str">
        <f>"20190312172530611"</f>
        <v>20190312172530611</v>
      </c>
      <c r="B6096" t="str">
        <f>"1552382730606805"</f>
        <v>1552382730606805</v>
      </c>
      <c r="C6096" t="s">
        <v>40</v>
      </c>
      <c r="D6096">
        <v>3.5911059999999999</v>
      </c>
      <c r="E6096">
        <v>0.44265120000000002</v>
      </c>
      <c r="F6096" t="s">
        <v>50</v>
      </c>
      <c r="G6096">
        <v>-291.44650000000001</v>
      </c>
      <c r="H6096" s="1">
        <v>-9.7336510000000006E-6</v>
      </c>
      <c r="I6096">
        <v>-55.60971</v>
      </c>
      <c r="J6096">
        <v>-299.65370000000001</v>
      </c>
      <c r="K6096">
        <v>1.1171990000000001</v>
      </c>
      <c r="L6096">
        <v>-45.29251</v>
      </c>
      <c r="M6096">
        <v>0.35527920000000002</v>
      </c>
      <c r="N6096">
        <v>0</v>
      </c>
      <c r="O6096">
        <v>-0.93463289999999999</v>
      </c>
      <c r="P6096">
        <v>0.49270540000000002</v>
      </c>
      <c r="Q6096">
        <v>0.16984289999999999</v>
      </c>
      <c r="R6096">
        <v>-0.85346060000000001</v>
      </c>
      <c r="S6096">
        <v>1.9358519999999999</v>
      </c>
      <c r="T6096">
        <v>-0.26062370000000001</v>
      </c>
      <c r="U6096">
        <v>-2.4552309999999999</v>
      </c>
      <c r="V6096">
        <v>-0.16009219999999999</v>
      </c>
      <c r="W6096">
        <v>0.1824238</v>
      </c>
      <c r="X6096">
        <v>0.97009900000000004</v>
      </c>
      <c r="Y6096">
        <v>-0.29751660000000002</v>
      </c>
      <c r="Z6096">
        <v>8.2167329999999997E-2</v>
      </c>
      <c r="AA6096">
        <v>0.95117419999999997</v>
      </c>
      <c r="AB6096">
        <v>21</v>
      </c>
      <c r="AC6096">
        <v>8.2072000000000003</v>
      </c>
      <c r="AD6096">
        <v>-1.1172087336509999</v>
      </c>
      <c r="AE6096">
        <v>-10.3172</v>
      </c>
      <c r="AF6096">
        <v>-3.9771476688351299</v>
      </c>
      <c r="AG6096">
        <v>-1.1172087336509999</v>
      </c>
      <c r="AH6096">
        <v>12.4705801342546</v>
      </c>
      <c r="AI6096">
        <v>94.878485974740897</v>
      </c>
      <c r="AJ6096">
        <v>107.688648633178</v>
      </c>
      <c r="AK6096">
        <v>13.1370174628464</v>
      </c>
      <c r="AL6096">
        <v>79.489028892840594</v>
      </c>
      <c r="AM6096">
        <v>99.370872235674696</v>
      </c>
      <c r="AN6096">
        <v>1.0000000125541399</v>
      </c>
    </row>
    <row r="6097" spans="1:40" x14ac:dyDescent="0.25">
      <c r="A6097" t="str">
        <f>"20190312172530632"</f>
        <v>20190312172530632</v>
      </c>
      <c r="B6097" t="str">
        <f>"1552382730626323"</f>
        <v>1552382730626323</v>
      </c>
      <c r="C6097" t="s">
        <v>40</v>
      </c>
      <c r="D6097">
        <v>3.625683</v>
      </c>
      <c r="E6097">
        <v>0.4432083</v>
      </c>
      <c r="F6097" t="s">
        <v>50</v>
      </c>
      <c r="G6097">
        <v>-291.14109999999999</v>
      </c>
      <c r="H6097" s="1">
        <v>-9.8141119999999993E-6</v>
      </c>
      <c r="I6097">
        <v>-55.915770000000002</v>
      </c>
      <c r="J6097">
        <v>-299.57810000000001</v>
      </c>
      <c r="K6097">
        <v>1.1172089999999999</v>
      </c>
      <c r="L6097">
        <v>-45.459870000000002</v>
      </c>
      <c r="M6097">
        <v>0.36435380000000001</v>
      </c>
      <c r="N6097">
        <v>0</v>
      </c>
      <c r="O6097">
        <v>-0.93113270000000004</v>
      </c>
      <c r="P6097">
        <v>0.50069659999999905</v>
      </c>
      <c r="Q6097">
        <v>0.1701242</v>
      </c>
      <c r="R6097">
        <v>-0.84874079999999996</v>
      </c>
      <c r="S6097">
        <v>1.9537659999999999</v>
      </c>
      <c r="T6097">
        <v>-0.2564167</v>
      </c>
      <c r="U6097">
        <v>-2.438202</v>
      </c>
      <c r="V6097">
        <v>-0.15979160000000001</v>
      </c>
      <c r="W6097">
        <v>0.18271299999999999</v>
      </c>
      <c r="X6097">
        <v>0.97009409999999896</v>
      </c>
      <c r="Y6097">
        <v>-0.295799599999999</v>
      </c>
      <c r="Z6097">
        <v>8.0705440000000003E-2</v>
      </c>
      <c r="AA6097">
        <v>0.95183470000000003</v>
      </c>
      <c r="AB6097">
        <v>21</v>
      </c>
      <c r="AC6097">
        <v>8.43700000000001</v>
      </c>
      <c r="AD6097">
        <v>-1.1172188141120001</v>
      </c>
      <c r="AE6097">
        <v>-10.4558999999999</v>
      </c>
      <c r="AF6097">
        <v>-4.0190111433868898</v>
      </c>
      <c r="AG6097">
        <v>-1.1172188141120001</v>
      </c>
      <c r="AH6097">
        <v>12.723429703305101</v>
      </c>
      <c r="AI6097">
        <v>94.786218740743706</v>
      </c>
      <c r="AJ6097">
        <v>107.53001513570899</v>
      </c>
      <c r="AK6097">
        <v>13.389783114906001</v>
      </c>
      <c r="AL6097">
        <v>79.472175350828294</v>
      </c>
      <c r="AM6097">
        <v>99.353634502930205</v>
      </c>
      <c r="AN6097">
        <v>0.99999997932718399</v>
      </c>
    </row>
    <row r="6098" spans="1:40" x14ac:dyDescent="0.25">
      <c r="A6098" t="str">
        <f>"20190312172530652"</f>
        <v>20190312172530652</v>
      </c>
      <c r="B6098" t="str">
        <f>"1552382730646818"</f>
        <v>1552382730646818</v>
      </c>
      <c r="C6098" t="s">
        <v>40</v>
      </c>
      <c r="D6098">
        <v>3.6580439999999999</v>
      </c>
      <c r="E6098">
        <v>0.4306682</v>
      </c>
      <c r="F6098" t="s">
        <v>50</v>
      </c>
      <c r="G6098">
        <v>-290.97120000000001</v>
      </c>
      <c r="H6098" s="1">
        <v>-9.8654000000000004E-6</v>
      </c>
      <c r="I6098">
        <v>-56.021019999999901</v>
      </c>
      <c r="J6098">
        <v>-299.4973</v>
      </c>
      <c r="K6098">
        <v>1.1172139999999999</v>
      </c>
      <c r="L6098">
        <v>-45.633789999999998</v>
      </c>
      <c r="M6098">
        <v>0.37385740000000001</v>
      </c>
      <c r="N6098">
        <v>0</v>
      </c>
      <c r="O6098">
        <v>-0.92735769999999995</v>
      </c>
      <c r="P6098">
        <v>0.50896249999999998</v>
      </c>
      <c r="Q6098">
        <v>0.16946439999999999</v>
      </c>
      <c r="R6098">
        <v>-0.84394279999999999</v>
      </c>
      <c r="S6098">
        <v>1.9736020000000001</v>
      </c>
      <c r="T6098">
        <v>-0.25618370000000001</v>
      </c>
      <c r="U6098">
        <v>-2.4217219999999999</v>
      </c>
      <c r="V6098">
        <v>-0.15928729999999999</v>
      </c>
      <c r="W6098">
        <v>0.18206890000000001</v>
      </c>
      <c r="X6098">
        <v>0.9702982</v>
      </c>
      <c r="Y6098">
        <v>-0.29389979999999999</v>
      </c>
      <c r="Z6098">
        <v>8.0420450000000004E-2</v>
      </c>
      <c r="AA6098">
        <v>0.95244709999999999</v>
      </c>
      <c r="AB6098">
        <v>21</v>
      </c>
      <c r="AC6098">
        <v>8.52609999999998</v>
      </c>
      <c r="AD6098">
        <v>-1.1172238654</v>
      </c>
      <c r="AE6098">
        <v>-10.387229999999899</v>
      </c>
      <c r="AF6098">
        <v>-3.9962600102286601</v>
      </c>
      <c r="AG6098">
        <v>-1.1172238654</v>
      </c>
      <c r="AH6098">
        <v>12.733738688992499</v>
      </c>
      <c r="AI6098">
        <v>94.785169221215199</v>
      </c>
      <c r="AJ6098">
        <v>107.42354820064401</v>
      </c>
      <c r="AK6098">
        <v>13.3927735825824</v>
      </c>
      <c r="AL6098">
        <v>79.5097100361061</v>
      </c>
      <c r="AM6098">
        <v>99.322706880222498</v>
      </c>
      <c r="AN6098">
        <v>1.0000000626058601</v>
      </c>
    </row>
    <row r="6099" spans="1:40" x14ac:dyDescent="0.25">
      <c r="A6099" t="str">
        <f>"20190312172530675"</f>
        <v>20190312172530675</v>
      </c>
      <c r="B6099" t="str">
        <f>"1552382730666339"</f>
        <v>1552382730666339</v>
      </c>
      <c r="C6099" t="s">
        <v>40</v>
      </c>
      <c r="D6099">
        <v>3.4728780000000001</v>
      </c>
      <c r="E6099">
        <v>0.42514390000000002</v>
      </c>
      <c r="F6099" t="s">
        <v>50</v>
      </c>
      <c r="G6099">
        <v>-290.08589999999998</v>
      </c>
      <c r="H6099" s="1">
        <v>-1.016412E-5</v>
      </c>
      <c r="I6099">
        <v>-56.252899999999997</v>
      </c>
      <c r="J6099">
        <v>-299.40780000000001</v>
      </c>
      <c r="K6099">
        <v>1.1172150000000001</v>
      </c>
      <c r="L6099">
        <v>-45.820860000000003</v>
      </c>
      <c r="M6099">
        <v>0.38415050000000001</v>
      </c>
      <c r="N6099">
        <v>0</v>
      </c>
      <c r="O6099">
        <v>-0.92314110000000005</v>
      </c>
      <c r="P6099">
        <v>0.51798789999999995</v>
      </c>
      <c r="Q6099">
        <v>0.1693337</v>
      </c>
      <c r="R6099">
        <v>-0.83845990000000004</v>
      </c>
      <c r="S6099">
        <v>2.0817570000000001</v>
      </c>
      <c r="T6099">
        <v>-0.2471256</v>
      </c>
      <c r="U6099">
        <v>-2.3489070000000001</v>
      </c>
      <c r="V6099">
        <v>-0.15889010000000001</v>
      </c>
      <c r="W6099">
        <v>0.18195120000000001</v>
      </c>
      <c r="X6099">
        <v>0.97038530000000001</v>
      </c>
      <c r="Y6099">
        <v>-0.32270850000000001</v>
      </c>
      <c r="Z6099">
        <v>7.7495800000000004E-2</v>
      </c>
      <c r="AA6099">
        <v>0.94332050000000001</v>
      </c>
      <c r="AB6099">
        <v>21</v>
      </c>
      <c r="AC6099">
        <v>9.3219000000000207</v>
      </c>
      <c r="AD6099">
        <v>-1.1172251641199999</v>
      </c>
      <c r="AE6099">
        <v>-10.432039999999899</v>
      </c>
      <c r="AF6099">
        <v>-4.5693649155192002</v>
      </c>
      <c r="AG6099">
        <v>-1.1172251641199999</v>
      </c>
      <c r="AH6099">
        <v>13.129108005318599</v>
      </c>
      <c r="AI6099">
        <v>94.594817745349502</v>
      </c>
      <c r="AJ6099">
        <v>109.18959115820699</v>
      </c>
      <c r="AK6099">
        <v>13.946353100859101</v>
      </c>
      <c r="AL6099">
        <v>79.516567288664604</v>
      </c>
      <c r="AM6099">
        <v>99.299046206675598</v>
      </c>
      <c r="AN6099">
        <v>0.99999996675776903</v>
      </c>
    </row>
    <row r="6100" spans="1:40" x14ac:dyDescent="0.25">
      <c r="A6100" t="str">
        <f>"20190312172530696"</f>
        <v>20190312172530696</v>
      </c>
      <c r="B6100" t="str">
        <f>"1552382730686835"</f>
        <v>1552382730686835</v>
      </c>
      <c r="C6100" t="s">
        <v>40</v>
      </c>
      <c r="D6100">
        <v>3.4412980000000002</v>
      </c>
      <c r="E6100">
        <v>0.42339949999999998</v>
      </c>
      <c r="F6100" t="s">
        <v>50</v>
      </c>
      <c r="G6100">
        <v>-289.24079999999998</v>
      </c>
      <c r="H6100" s="1">
        <v>-2.1075679999999999E-6</v>
      </c>
      <c r="I6100">
        <v>-56.74089</v>
      </c>
      <c r="J6100">
        <v>-299.31979999999999</v>
      </c>
      <c r="K6100">
        <v>1.1172120000000001</v>
      </c>
      <c r="L6100">
        <v>-45.999969999999998</v>
      </c>
      <c r="M6100">
        <v>0.39405509999999999</v>
      </c>
      <c r="N6100">
        <v>0</v>
      </c>
      <c r="O6100">
        <v>-0.91895680000000002</v>
      </c>
      <c r="P6100">
        <v>0.52709519999999999</v>
      </c>
      <c r="Q6100">
        <v>0.16923629999999901</v>
      </c>
      <c r="R6100">
        <v>-0.83278430000000003</v>
      </c>
      <c r="S6100">
        <v>2.1429140000000002</v>
      </c>
      <c r="T6100">
        <v>-0.23547789999999999</v>
      </c>
      <c r="U6100">
        <v>-2.3016359999999998</v>
      </c>
      <c r="V6100">
        <v>-0.1590201</v>
      </c>
      <c r="W6100">
        <v>0.1818583</v>
      </c>
      <c r="X6100">
        <v>0.97038139999999995</v>
      </c>
      <c r="Y6100">
        <v>-0.33584570000000002</v>
      </c>
      <c r="Z6100">
        <v>7.3740730000000004E-2</v>
      </c>
      <c r="AA6100">
        <v>0.93902609999999997</v>
      </c>
      <c r="AB6100">
        <v>21</v>
      </c>
      <c r="AC6100">
        <v>10.079000000000001</v>
      </c>
      <c r="AD6100">
        <v>-1.117214107568</v>
      </c>
      <c r="AE6100">
        <v>-10.7409199999999</v>
      </c>
      <c r="AF6100">
        <v>-5.0014781071947301</v>
      </c>
      <c r="AG6100">
        <v>-1.117214107568</v>
      </c>
      <c r="AH6100">
        <v>13.7645873199774</v>
      </c>
      <c r="AI6100">
        <v>94.362411851862007</v>
      </c>
      <c r="AJ6100">
        <v>109.969037941149</v>
      </c>
      <c r="AK6100">
        <v>14.687641563851599</v>
      </c>
      <c r="AL6100">
        <v>79.521980173570796</v>
      </c>
      <c r="AM6100">
        <v>99.306558144653593</v>
      </c>
      <c r="AN6100">
        <v>0.999999947474428</v>
      </c>
    </row>
    <row r="6101" spans="1:40" x14ac:dyDescent="0.25">
      <c r="A6101" t="str">
        <f>"20190312172530720"</f>
        <v>20190312172530720</v>
      </c>
      <c r="B6101" t="str">
        <f>"1552382730716116"</f>
        <v>1552382730716116</v>
      </c>
      <c r="C6101" t="s">
        <v>40</v>
      </c>
      <c r="D6101">
        <v>3.4324029999999999</v>
      </c>
      <c r="E6101">
        <v>0.42319099999999998</v>
      </c>
      <c r="F6101" t="s">
        <v>50</v>
      </c>
      <c r="G6101">
        <v>-288.66989999999998</v>
      </c>
      <c r="H6101" s="1">
        <v>-2.367761E-6</v>
      </c>
      <c r="I6101">
        <v>-57.0905699999999</v>
      </c>
      <c r="J6101">
        <v>-299.22660000000002</v>
      </c>
      <c r="K6101">
        <v>1.1171960000000001</v>
      </c>
      <c r="L6101">
        <v>-46.184269999999998</v>
      </c>
      <c r="M6101">
        <v>0.40428459999999999</v>
      </c>
      <c r="N6101">
        <v>0</v>
      </c>
      <c r="O6101">
        <v>-0.91450290000000001</v>
      </c>
      <c r="P6101">
        <v>0.53617789999999999</v>
      </c>
      <c r="Q6101">
        <v>0.16882829999999999</v>
      </c>
      <c r="R6101">
        <v>-0.827049699999999</v>
      </c>
      <c r="S6101">
        <v>2.1792910000000001</v>
      </c>
      <c r="T6101">
        <v>-0.2286156</v>
      </c>
      <c r="U6101">
        <v>-2.2694700000000001</v>
      </c>
      <c r="V6101">
        <v>-0.15876489999999999</v>
      </c>
      <c r="W6101">
        <v>0.1814635</v>
      </c>
      <c r="X6101">
        <v>0.9704971</v>
      </c>
      <c r="Y6101">
        <v>-0.3399452</v>
      </c>
      <c r="Z6101">
        <v>7.1437379999999995E-2</v>
      </c>
      <c r="AA6101">
        <v>0.93772809999999995</v>
      </c>
      <c r="AB6101">
        <v>21</v>
      </c>
      <c r="AC6101">
        <v>10.556699999999999</v>
      </c>
      <c r="AD6101">
        <v>-1.11719836776099</v>
      </c>
      <c r="AE6101">
        <v>-10.9062999999999</v>
      </c>
      <c r="AF6101">
        <v>-5.2172448171810801</v>
      </c>
      <c r="AG6101">
        <v>-1.11719836776099</v>
      </c>
      <c r="AH6101">
        <v>14.166704847501601</v>
      </c>
      <c r="AI6101">
        <v>94.232289900086798</v>
      </c>
      <c r="AJ6101">
        <v>110.217496645303</v>
      </c>
      <c r="AK6101">
        <v>15.138140635875899</v>
      </c>
      <c r="AL6101">
        <v>79.544983405681293</v>
      </c>
      <c r="AM6101">
        <v>99.290794980311304</v>
      </c>
      <c r="AN6101">
        <v>0.99999995820633403</v>
      </c>
    </row>
    <row r="6102" spans="1:40" x14ac:dyDescent="0.25">
      <c r="A6102" t="str">
        <f>"20190312172530742"</f>
        <v>20190312172530742</v>
      </c>
      <c r="B6102" t="str">
        <f>"1552382730736611"</f>
        <v>1552382730736611</v>
      </c>
      <c r="C6102" t="s">
        <v>40</v>
      </c>
      <c r="D6102">
        <v>3.4333040000000001</v>
      </c>
      <c r="E6102">
        <v>0.42408960000000001</v>
      </c>
      <c r="F6102" t="s">
        <v>50</v>
      </c>
      <c r="G6102">
        <v>-288.46719999999999</v>
      </c>
      <c r="H6102" s="1">
        <v>-2.4786120000000002E-6</v>
      </c>
      <c r="I6102">
        <v>-57.131720000000001</v>
      </c>
      <c r="J6102">
        <v>-299.13510000000002</v>
      </c>
      <c r="K6102">
        <v>1.1171660000000001</v>
      </c>
      <c r="L6102">
        <v>-46.360349999999997</v>
      </c>
      <c r="M6102">
        <v>0.41408329999999999</v>
      </c>
      <c r="N6102">
        <v>0</v>
      </c>
      <c r="O6102">
        <v>-0.91010760000000002</v>
      </c>
      <c r="P6102">
        <v>0.54464769999999996</v>
      </c>
      <c r="Q6102">
        <v>0.168407</v>
      </c>
      <c r="R6102">
        <v>-0.82158240000000005</v>
      </c>
      <c r="S6102">
        <v>2.2056580000000001</v>
      </c>
      <c r="T6102">
        <v>-0.229023</v>
      </c>
      <c r="U6102">
        <v>-2.244202</v>
      </c>
      <c r="V6102">
        <v>-0.15825989999999901</v>
      </c>
      <c r="W6102">
        <v>0.18106069999999999</v>
      </c>
      <c r="X6102">
        <v>0.97065480000000004</v>
      </c>
      <c r="Y6102">
        <v>-0.34073039999999999</v>
      </c>
      <c r="Z6102">
        <v>7.1377869999999996E-2</v>
      </c>
      <c r="AA6102">
        <v>0.93744760000000005</v>
      </c>
      <c r="AB6102">
        <v>21</v>
      </c>
      <c r="AC6102">
        <v>10.667899999999999</v>
      </c>
      <c r="AD6102">
        <v>-1.117168478612</v>
      </c>
      <c r="AE6102">
        <v>-10.7713699999999</v>
      </c>
      <c r="AF6102">
        <v>-5.2209679290046198</v>
      </c>
      <c r="AG6102">
        <v>-1.117168478612</v>
      </c>
      <c r="AH6102">
        <v>14.145389766990601</v>
      </c>
      <c r="AI6102">
        <v>94.237409888989404</v>
      </c>
      <c r="AJ6102">
        <v>110.25876337418001</v>
      </c>
      <c r="AK6102">
        <v>15.119478270938499</v>
      </c>
      <c r="AL6102">
        <v>79.568450876070202</v>
      </c>
      <c r="AM6102">
        <v>99.260277030630903</v>
      </c>
      <c r="AN6102">
        <v>0.99999995689776899</v>
      </c>
    </row>
    <row r="6103" spans="1:40" x14ac:dyDescent="0.25">
      <c r="A6103" t="str">
        <f>"20190312172530764"</f>
        <v>20190312172530764</v>
      </c>
      <c r="B6103" t="str">
        <f>"1552382730756131"</f>
        <v>1552382730756131</v>
      </c>
      <c r="C6103" t="s">
        <v>40</v>
      </c>
      <c r="D6103">
        <v>3.5633180000000002</v>
      </c>
      <c r="E6103">
        <v>0.42506329999999998</v>
      </c>
      <c r="F6103" t="s">
        <v>50</v>
      </c>
      <c r="G6103">
        <v>-288.4196</v>
      </c>
      <c r="H6103" s="1">
        <v>-2.516709E-6</v>
      </c>
      <c r="I6103">
        <v>-57.087020000000003</v>
      </c>
      <c r="J6103">
        <v>-299.03859999999997</v>
      </c>
      <c r="K6103">
        <v>1.1171279999999999</v>
      </c>
      <c r="L6103">
        <v>-46.540860000000002</v>
      </c>
      <c r="M6103">
        <v>0.4241492</v>
      </c>
      <c r="N6103">
        <v>0</v>
      </c>
      <c r="O6103">
        <v>-0.9054605</v>
      </c>
      <c r="P6103">
        <v>0.55374829999999997</v>
      </c>
      <c r="Q6103">
        <v>0.16821639999999999</v>
      </c>
      <c r="R6103">
        <v>-0.81551619999999903</v>
      </c>
      <c r="S6103">
        <v>2.2229920000000001</v>
      </c>
      <c r="T6103">
        <v>-0.2317632</v>
      </c>
      <c r="U6103">
        <v>-2.225311</v>
      </c>
      <c r="V6103">
        <v>-0.1582547</v>
      </c>
      <c r="W6103">
        <v>0.18088009999999999</v>
      </c>
      <c r="X6103">
        <v>0.97068940000000004</v>
      </c>
      <c r="Y6103">
        <v>-0.33789950000000002</v>
      </c>
      <c r="Z6103">
        <v>7.1996640000000001E-2</v>
      </c>
      <c r="AA6103">
        <v>0.93842440000000005</v>
      </c>
      <c r="AB6103">
        <v>21</v>
      </c>
      <c r="AC6103">
        <v>10.6189999999999</v>
      </c>
      <c r="AD6103">
        <v>-1.117130516709</v>
      </c>
      <c r="AE6103">
        <v>-10.54616</v>
      </c>
      <c r="AF6103">
        <v>-5.1140594968545203</v>
      </c>
      <c r="AG6103">
        <v>-1.117130516709</v>
      </c>
      <c r="AH6103">
        <v>13.976973647287799</v>
      </c>
      <c r="AI6103">
        <v>94.292564723943698</v>
      </c>
      <c r="AJ6103">
        <v>110.097156550264</v>
      </c>
      <c r="AK6103">
        <v>14.9250587089535</v>
      </c>
      <c r="AL6103">
        <v>79.5789730501142</v>
      </c>
      <c r="AM6103">
        <v>99.259653680936694</v>
      </c>
      <c r="AN6103">
        <v>1.0000000359602199</v>
      </c>
    </row>
    <row r="6104" spans="1:40" x14ac:dyDescent="0.25">
      <c r="A6104" t="str">
        <f>"20190312172530788"</f>
        <v>20190312172530788</v>
      </c>
      <c r="B6104" t="str">
        <f>"1552382730776629"</f>
        <v>1552382730776629</v>
      </c>
      <c r="C6104" t="s">
        <v>40</v>
      </c>
      <c r="D6104">
        <v>3.5495450000000002</v>
      </c>
      <c r="E6104">
        <v>0.42597869999999999</v>
      </c>
      <c r="F6104" t="s">
        <v>50</v>
      </c>
      <c r="G6104">
        <v>-288.27010000000001</v>
      </c>
      <c r="H6104" s="1">
        <v>-2.5952000000000002E-6</v>
      </c>
      <c r="I6104">
        <v>-57.132159999999999</v>
      </c>
      <c r="J6104">
        <v>-298.9359</v>
      </c>
      <c r="K6104">
        <v>1.1170869999999999</v>
      </c>
      <c r="L6104">
        <v>-46.727780000000003</v>
      </c>
      <c r="M6104">
        <v>0.4345851</v>
      </c>
      <c r="N6104">
        <v>0</v>
      </c>
      <c r="O6104">
        <v>-0.90049829999999997</v>
      </c>
      <c r="P6104">
        <v>0.56280369999999902</v>
      </c>
      <c r="Q6104">
        <v>0.167524799999999</v>
      </c>
      <c r="R6104">
        <v>-0.8094365</v>
      </c>
      <c r="S6104">
        <v>2.2414860000000001</v>
      </c>
      <c r="T6104">
        <v>-0.23253190000000001</v>
      </c>
      <c r="U6104">
        <v>-2.20459</v>
      </c>
      <c r="V6104">
        <v>-0.157764299999999</v>
      </c>
      <c r="W6104">
        <v>0.18020849999999999</v>
      </c>
      <c r="X6104">
        <v>0.97089409999999998</v>
      </c>
      <c r="Y6104">
        <v>-0.33529589999999998</v>
      </c>
      <c r="Z6104">
        <v>7.1991059999999996E-2</v>
      </c>
      <c r="AA6104">
        <v>0.93935820000000003</v>
      </c>
      <c r="AB6104">
        <v>21</v>
      </c>
      <c r="AC6104">
        <v>10.6657999999999</v>
      </c>
      <c r="AD6104">
        <v>-1.1170895952</v>
      </c>
      <c r="AE6104">
        <v>-10.40438</v>
      </c>
      <c r="AF6104">
        <v>-5.0551385364240904</v>
      </c>
      <c r="AG6104">
        <v>-1.1170895952</v>
      </c>
      <c r="AH6104">
        <v>13.927709607028</v>
      </c>
      <c r="AI6104">
        <v>94.311589285197996</v>
      </c>
      <c r="AJ6104">
        <v>109.948643387731</v>
      </c>
      <c r="AK6104">
        <v>14.8587822409457</v>
      </c>
      <c r="AL6104">
        <v>79.618095591477498</v>
      </c>
      <c r="AM6104">
        <v>99.229541775358598</v>
      </c>
      <c r="AN6104">
        <v>1.00000001562077</v>
      </c>
    </row>
    <row r="6105" spans="1:40" x14ac:dyDescent="0.25">
      <c r="A6105" t="str">
        <f>"20190312172530810"</f>
        <v>20190312172530810</v>
      </c>
      <c r="B6105" t="str">
        <f>"1552382730796148"</f>
        <v>1552382730796148</v>
      </c>
      <c r="C6105" t="s">
        <v>40</v>
      </c>
      <c r="D6105">
        <v>3.54135</v>
      </c>
      <c r="E6105">
        <v>0.42686370000000001</v>
      </c>
      <c r="F6105" t="s">
        <v>50</v>
      </c>
      <c r="G6105">
        <v>-288.16919999999999</v>
      </c>
      <c r="H6105" s="1">
        <v>-2.654986E-6</v>
      </c>
      <c r="I6105">
        <v>-57.1318699999999</v>
      </c>
      <c r="J6105">
        <v>-298.83589999999998</v>
      </c>
      <c r="K6105">
        <v>1.117049</v>
      </c>
      <c r="L6105">
        <v>-46.905059999999999</v>
      </c>
      <c r="M6105">
        <v>0.4444863</v>
      </c>
      <c r="N6105">
        <v>0</v>
      </c>
      <c r="O6105">
        <v>-0.89565280000000003</v>
      </c>
      <c r="P6105">
        <v>0.57132879999999997</v>
      </c>
      <c r="Q6105">
        <v>0.16738690000000001</v>
      </c>
      <c r="R6105">
        <v>-0.80347060000000003</v>
      </c>
      <c r="S6105">
        <v>2.259735</v>
      </c>
      <c r="T6105">
        <v>-0.23445630000000001</v>
      </c>
      <c r="U6105">
        <v>-2.183624</v>
      </c>
      <c r="V6105">
        <v>-0.15729009999999999</v>
      </c>
      <c r="W6105">
        <v>0.18008750000000001</v>
      </c>
      <c r="X6105">
        <v>0.97099349999999995</v>
      </c>
      <c r="Y6105">
        <v>-0.33317970000000002</v>
      </c>
      <c r="Z6105">
        <v>7.2349330000000003E-2</v>
      </c>
      <c r="AA6105">
        <v>0.94008340000000001</v>
      </c>
      <c r="AB6105">
        <v>21</v>
      </c>
      <c r="AC6105">
        <v>10.666699999999899</v>
      </c>
      <c r="AD6105">
        <v>-1.1170516549859999</v>
      </c>
      <c r="AE6105">
        <v>-10.226809999999899</v>
      </c>
      <c r="AF6105">
        <v>-4.9801210304488297</v>
      </c>
      <c r="AG6105">
        <v>-1.1170516549859999</v>
      </c>
      <c r="AH6105">
        <v>13.8235359609511</v>
      </c>
      <c r="AI6105">
        <v>94.347536575869697</v>
      </c>
      <c r="AJ6105">
        <v>109.812261008842</v>
      </c>
      <c r="AK6105">
        <v>14.735655952197501</v>
      </c>
      <c r="AL6105">
        <v>79.625143843188596</v>
      </c>
      <c r="AM6105">
        <v>99.201349481829098</v>
      </c>
      <c r="AN6105">
        <v>1.0000000301282499</v>
      </c>
    </row>
    <row r="6106" spans="1:40" x14ac:dyDescent="0.25">
      <c r="A6106" t="str">
        <f>"20190312172530835"</f>
        <v>20190312172530835</v>
      </c>
      <c r="B6106" t="str">
        <f>"1552382730826403"</f>
        <v>1552382730826403</v>
      </c>
      <c r="C6106" t="s">
        <v>40</v>
      </c>
      <c r="D6106">
        <v>3.4286789999999998</v>
      </c>
      <c r="E6106">
        <v>0.43585210000000002</v>
      </c>
      <c r="F6106" t="s">
        <v>50</v>
      </c>
      <c r="G6106">
        <v>-287.8682</v>
      </c>
      <c r="H6106" s="1">
        <v>-2.7904E-6</v>
      </c>
      <c r="I6106">
        <v>-57.323970000000003</v>
      </c>
      <c r="J6106">
        <v>-298.72820000000002</v>
      </c>
      <c r="K6106">
        <v>1.117008</v>
      </c>
      <c r="L6106">
        <v>-47.091160000000002</v>
      </c>
      <c r="M6106">
        <v>0.45487870000000002</v>
      </c>
      <c r="N6106">
        <v>0</v>
      </c>
      <c r="O6106">
        <v>-0.89041979999999998</v>
      </c>
      <c r="P6106">
        <v>0.5799358</v>
      </c>
      <c r="Q6106">
        <v>0.16787729999999901</v>
      </c>
      <c r="R6106">
        <v>-0.79717759999999904</v>
      </c>
      <c r="S6106">
        <v>2.2769469999999998</v>
      </c>
      <c r="T6106">
        <v>-0.2319061</v>
      </c>
      <c r="U6106">
        <v>-2.1630250000000002</v>
      </c>
      <c r="V6106">
        <v>-0.1564662</v>
      </c>
      <c r="W6106">
        <v>0.18059829999999999</v>
      </c>
      <c r="X6106">
        <v>0.97103170000000005</v>
      </c>
      <c r="Y6106">
        <v>-0.33027779999999901</v>
      </c>
      <c r="Z6106">
        <v>7.1301080000000003E-2</v>
      </c>
      <c r="AA6106">
        <v>0.94118690000000005</v>
      </c>
      <c r="AB6106">
        <v>21</v>
      </c>
      <c r="AC6106">
        <v>10.86</v>
      </c>
      <c r="AD6106">
        <v>-1.1170107904</v>
      </c>
      <c r="AE6106">
        <v>-10.232810000000001</v>
      </c>
      <c r="AF6106">
        <v>-4.9879166186764401</v>
      </c>
      <c r="AG6106">
        <v>-1.1170107904</v>
      </c>
      <c r="AH6106">
        <v>13.974837484072101</v>
      </c>
      <c r="AI6106">
        <v>94.305040563705504</v>
      </c>
      <c r="AJ6106">
        <v>109.64256300818499</v>
      </c>
      <c r="AK6106">
        <v>14.880292604884</v>
      </c>
      <c r="AL6106">
        <v>79.595388876547204</v>
      </c>
      <c r="AM6106">
        <v>99.153616039824797</v>
      </c>
      <c r="AN6106">
        <v>0.99999999005510998</v>
      </c>
    </row>
    <row r="6107" spans="1:40" x14ac:dyDescent="0.25">
      <c r="A6107" t="str">
        <f>"20190312172530854"</f>
        <v>20190312172530854</v>
      </c>
      <c r="B6107" t="str">
        <f>"1552382730846900"</f>
        <v>1552382730846900</v>
      </c>
      <c r="C6107" t="s">
        <v>40</v>
      </c>
      <c r="D6107">
        <v>3.414892</v>
      </c>
      <c r="E6107">
        <v>0.4377008</v>
      </c>
      <c r="F6107" t="s">
        <v>50</v>
      </c>
      <c r="G6107">
        <v>-288.71019999999999</v>
      </c>
      <c r="H6107" s="1">
        <v>-2.4015569999999999E-6</v>
      </c>
      <c r="I6107">
        <v>-56.831409999999998</v>
      </c>
      <c r="J6107">
        <v>-298.63650000000001</v>
      </c>
      <c r="K6107">
        <v>1.116978</v>
      </c>
      <c r="L6107">
        <v>-47.24588</v>
      </c>
      <c r="M6107">
        <v>0.46352149999999998</v>
      </c>
      <c r="N6107">
        <v>0</v>
      </c>
      <c r="O6107">
        <v>-0.8859513</v>
      </c>
      <c r="P6107">
        <v>0.58719889999999997</v>
      </c>
      <c r="Q6107">
        <v>0.16802449999999999</v>
      </c>
      <c r="R6107">
        <v>-0.79181159999999995</v>
      </c>
      <c r="S6107">
        <v>2.2450260000000002</v>
      </c>
      <c r="T6107">
        <v>-0.25031959999999998</v>
      </c>
      <c r="U6107">
        <v>-2.1827700000000001</v>
      </c>
      <c r="V6107">
        <v>-0.1558948</v>
      </c>
      <c r="W6107">
        <v>0.18075959999999999</v>
      </c>
      <c r="X6107">
        <v>0.9710936</v>
      </c>
      <c r="Y6107">
        <v>-0.3097935</v>
      </c>
      <c r="Z6107">
        <v>7.6511880000000004E-2</v>
      </c>
      <c r="AA6107">
        <v>0.94772040000000002</v>
      </c>
      <c r="AB6107">
        <v>21</v>
      </c>
      <c r="AC6107">
        <v>9.9263000000000208</v>
      </c>
      <c r="AD6107">
        <v>-1.116980401557</v>
      </c>
      <c r="AE6107">
        <v>-9.5855300000000003</v>
      </c>
      <c r="AF6107">
        <v>-4.3233097181949702</v>
      </c>
      <c r="AG6107">
        <v>-1.116980401557</v>
      </c>
      <c r="AH6107">
        <v>13.009682239535101</v>
      </c>
      <c r="AI6107">
        <v>94.657973746745</v>
      </c>
      <c r="AJ6107">
        <v>108.382409963697</v>
      </c>
      <c r="AK6107">
        <v>13.754653180308701</v>
      </c>
      <c r="AL6107">
        <v>79.585992534801505</v>
      </c>
      <c r="AM6107">
        <v>99.120179148874897</v>
      </c>
      <c r="AN6107">
        <v>1.00000000081007</v>
      </c>
    </row>
    <row r="6108" spans="1:40" x14ac:dyDescent="0.25">
      <c r="A6108" t="str">
        <f>"20190312172530876"</f>
        <v>20190312172530876</v>
      </c>
      <c r="B6108" t="str">
        <f>"1552382730866419"</f>
        <v>1552382730866419</v>
      </c>
      <c r="C6108" t="s">
        <v>40</v>
      </c>
      <c r="D6108">
        <v>3.3900920000000001</v>
      </c>
      <c r="E6108">
        <v>0.43924350000000001</v>
      </c>
      <c r="F6108" t="s">
        <v>50</v>
      </c>
      <c r="G6108">
        <v>-288.76960000000003</v>
      </c>
      <c r="H6108" s="1">
        <v>-2.3842399999999998E-6</v>
      </c>
      <c r="I6108">
        <v>-56.751130000000003</v>
      </c>
      <c r="J6108">
        <v>-298.53699999999998</v>
      </c>
      <c r="K6108">
        <v>1.1169469999999999</v>
      </c>
      <c r="L6108">
        <v>-47.409910000000004</v>
      </c>
      <c r="M6108">
        <v>0.47268549999999998</v>
      </c>
      <c r="N6108">
        <v>0</v>
      </c>
      <c r="O6108">
        <v>-0.8810964</v>
      </c>
      <c r="P6108">
        <v>0.59492409999999996</v>
      </c>
      <c r="Q6108">
        <v>0.1685468</v>
      </c>
      <c r="R6108">
        <v>-0.78591199999999894</v>
      </c>
      <c r="S6108">
        <v>2.2539980000000002</v>
      </c>
      <c r="T6108">
        <v>-0.2551639</v>
      </c>
      <c r="U6108">
        <v>-2.1713870000000002</v>
      </c>
      <c r="V6108">
        <v>-0.1553764</v>
      </c>
      <c r="W6108">
        <v>0.18129229999999999</v>
      </c>
      <c r="X6108">
        <v>0.97107739999999998</v>
      </c>
      <c r="Y6108">
        <v>-0.30421730000000002</v>
      </c>
      <c r="Z6108">
        <v>7.7629980000000001E-2</v>
      </c>
      <c r="AA6108">
        <v>0.94943429999999995</v>
      </c>
      <c r="AB6108">
        <v>20</v>
      </c>
      <c r="AC6108">
        <v>9.7674000000000092</v>
      </c>
      <c r="AD6108">
        <v>-1.11694938424</v>
      </c>
      <c r="AE6108">
        <v>-9.3412199999999999</v>
      </c>
      <c r="AF6108">
        <v>-4.1626286955716099</v>
      </c>
      <c r="AG6108">
        <v>-1.11694938424</v>
      </c>
      <c r="AH6108">
        <v>12.761786569396101</v>
      </c>
      <c r="AI6108">
        <v>94.756534650954293</v>
      </c>
      <c r="AJ6108">
        <v>108.065246406954</v>
      </c>
      <c r="AK6108">
        <v>13.469901633900999</v>
      </c>
      <c r="AL6108">
        <v>79.554958540920197</v>
      </c>
      <c r="AM6108">
        <v>99.090507959237698</v>
      </c>
      <c r="AN6108">
        <v>1.0000000202535</v>
      </c>
    </row>
    <row r="6109" spans="1:40" x14ac:dyDescent="0.25">
      <c r="A6109" t="str">
        <f>"20190312172530898"</f>
        <v>20190312172530898</v>
      </c>
      <c r="B6109" t="str">
        <f>"1552382730886915"</f>
        <v>1552382730886915</v>
      </c>
      <c r="C6109" t="s">
        <v>40</v>
      </c>
      <c r="D6109">
        <v>3.475441</v>
      </c>
      <c r="E6109">
        <v>0.4451717</v>
      </c>
      <c r="F6109" t="s">
        <v>50</v>
      </c>
      <c r="G6109">
        <v>-288.71050000000002</v>
      </c>
      <c r="H6109" s="1">
        <v>-2.415808E-6</v>
      </c>
      <c r="I6109">
        <v>-56.766530000000003</v>
      </c>
      <c r="J6109">
        <v>-298.4332</v>
      </c>
      <c r="K6109">
        <v>1.1169180000000001</v>
      </c>
      <c r="L6109">
        <v>-47.577089999999998</v>
      </c>
      <c r="M6109">
        <v>0.4820276</v>
      </c>
      <c r="N6109">
        <v>0</v>
      </c>
      <c r="O6109">
        <v>-0.87602049999999998</v>
      </c>
      <c r="P6109">
        <v>0.60320299999999905</v>
      </c>
      <c r="Q6109">
        <v>0.168481399999999</v>
      </c>
      <c r="R6109">
        <v>-0.77958959999999999</v>
      </c>
      <c r="S6109">
        <v>2.265717</v>
      </c>
      <c r="T6109">
        <v>-0.25753779999999998</v>
      </c>
      <c r="U6109">
        <v>-2.1573790000000002</v>
      </c>
      <c r="V6109">
        <v>-0.15530039999999901</v>
      </c>
      <c r="W6109">
        <v>0.1812309</v>
      </c>
      <c r="X6109">
        <v>0.97110099999999999</v>
      </c>
      <c r="Y6109">
        <v>-0.29958509999999999</v>
      </c>
      <c r="Z6109">
        <v>7.7984139999999993E-2</v>
      </c>
      <c r="AA6109">
        <v>0.95087710000000003</v>
      </c>
      <c r="AB6109">
        <v>20</v>
      </c>
      <c r="AC6109">
        <v>9.7226999999999695</v>
      </c>
      <c r="AD6109">
        <v>-1.1169204158079999</v>
      </c>
      <c r="AE6109">
        <v>-9.1894399999999905</v>
      </c>
      <c r="AF6109">
        <v>-4.0599077161886701</v>
      </c>
      <c r="AG6109">
        <v>-1.1169204158079999</v>
      </c>
      <c r="AH6109">
        <v>12.6500859972277</v>
      </c>
      <c r="AI6109">
        <v>94.805551167182301</v>
      </c>
      <c r="AJ6109">
        <v>107.793468848714</v>
      </c>
      <c r="AK6109">
        <v>13.3324805500129</v>
      </c>
      <c r="AL6109">
        <v>79.558535574106799</v>
      </c>
      <c r="AM6109">
        <v>99.085918537040996</v>
      </c>
      <c r="AN6109">
        <v>1.0000000027779801</v>
      </c>
    </row>
    <row r="6110" spans="1:40" x14ac:dyDescent="0.25">
      <c r="A6110" t="str">
        <f>"20190312172530920"</f>
        <v>20190312172530920</v>
      </c>
      <c r="B6110" t="str">
        <f>"1552382730916196"</f>
        <v>1552382730916196</v>
      </c>
      <c r="C6110" t="s">
        <v>40</v>
      </c>
      <c r="D6110">
        <v>3.4467370000000002</v>
      </c>
      <c r="E6110">
        <v>0.44677559999999999</v>
      </c>
      <c r="F6110" t="s">
        <v>50</v>
      </c>
      <c r="G6110">
        <v>-287.3777</v>
      </c>
      <c r="H6110" s="1">
        <v>-2.8867930000000001E-6</v>
      </c>
      <c r="I6110">
        <v>-58.196269999999998</v>
      </c>
      <c r="J6110">
        <v>-298.32749999999999</v>
      </c>
      <c r="K6110">
        <v>1.116886</v>
      </c>
      <c r="L6110">
        <v>-47.743229999999997</v>
      </c>
      <c r="M6110">
        <v>0.49131720000000001</v>
      </c>
      <c r="N6110">
        <v>0</v>
      </c>
      <c r="O6110">
        <v>-0.87084490000000003</v>
      </c>
      <c r="P6110">
        <v>0.61140319999999904</v>
      </c>
      <c r="Q6110">
        <v>0.1688683</v>
      </c>
      <c r="R6110">
        <v>-0.77309119999999998</v>
      </c>
      <c r="S6110">
        <v>2.2471619999999999</v>
      </c>
      <c r="T6110">
        <v>-0.2270277</v>
      </c>
      <c r="U6110">
        <v>-2.1584780000000001</v>
      </c>
      <c r="V6110">
        <v>-0.1552627</v>
      </c>
      <c r="W6110">
        <v>0.18161959999999999</v>
      </c>
      <c r="X6110">
        <v>0.97103439999999996</v>
      </c>
      <c r="Y6110">
        <v>-0.28581459999999997</v>
      </c>
      <c r="Z6110">
        <v>6.8531579999999995E-2</v>
      </c>
      <c r="AA6110">
        <v>0.95583130000000005</v>
      </c>
      <c r="AB6110">
        <v>20</v>
      </c>
      <c r="AC6110">
        <v>10.9497999999999</v>
      </c>
      <c r="AD6110">
        <v>-1.116888886793</v>
      </c>
      <c r="AE6110">
        <v>-10.45304</v>
      </c>
      <c r="AF6110">
        <v>-4.3765163719266003</v>
      </c>
      <c r="AG6110">
        <v>-1.116888886793</v>
      </c>
      <c r="AH6110">
        <v>14.406096362380101</v>
      </c>
      <c r="AI6110">
        <v>94.242503064643998</v>
      </c>
      <c r="AJ6110">
        <v>106.898578668238</v>
      </c>
      <c r="AK6110">
        <v>15.097580890373299</v>
      </c>
      <c r="AL6110">
        <v>79.535888800142601</v>
      </c>
      <c r="AM6110">
        <v>99.084362296169203</v>
      </c>
      <c r="AN6110">
        <v>0.999999995549404</v>
      </c>
    </row>
    <row r="6111" spans="1:40" x14ac:dyDescent="0.25">
      <c r="A6111" t="str">
        <f>"20190312172530943"</f>
        <v>20190312172530943</v>
      </c>
      <c r="B6111" t="str">
        <f>"1552382730936691"</f>
        <v>1552382730936691</v>
      </c>
      <c r="C6111" t="s">
        <v>40</v>
      </c>
      <c r="D6111">
        <v>3.407403</v>
      </c>
      <c r="E6111">
        <v>0.44774960000000003</v>
      </c>
      <c r="F6111" t="s">
        <v>50</v>
      </c>
      <c r="G6111">
        <v>-287.42020000000002</v>
      </c>
      <c r="H6111" s="1">
        <v>-2.8873639999999999E-6</v>
      </c>
      <c r="I6111">
        <v>-58.080480000000001</v>
      </c>
      <c r="J6111">
        <v>-298.2176</v>
      </c>
      <c r="K6111">
        <v>1.116854</v>
      </c>
      <c r="L6111">
        <v>-47.912050000000001</v>
      </c>
      <c r="M6111">
        <v>0.50076940000000003</v>
      </c>
      <c r="N6111">
        <v>0</v>
      </c>
      <c r="O6111">
        <v>-0.86544399999999999</v>
      </c>
      <c r="P6111">
        <v>0.61963400000000002</v>
      </c>
      <c r="Q6111">
        <v>0.16959170000000001</v>
      </c>
      <c r="R6111">
        <v>-0.76635010000000003</v>
      </c>
      <c r="S6111">
        <v>2.2610779999999999</v>
      </c>
      <c r="T6111">
        <v>-0.23153109999999999</v>
      </c>
      <c r="U6111">
        <v>-2.1429140000000002</v>
      </c>
      <c r="V6111">
        <v>-0.15514939999999999</v>
      </c>
      <c r="W6111">
        <v>0.18234449999999999</v>
      </c>
      <c r="X6111">
        <v>0.97091660000000002</v>
      </c>
      <c r="Y6111">
        <v>-0.28171810000000003</v>
      </c>
      <c r="Z6111">
        <v>6.9521579999999999E-2</v>
      </c>
      <c r="AA6111">
        <v>0.95697529999999997</v>
      </c>
      <c r="AB6111">
        <v>20</v>
      </c>
      <c r="AC6111">
        <v>10.7973999999999</v>
      </c>
      <c r="AD6111">
        <v>-1.1168568873639999</v>
      </c>
      <c r="AE6111">
        <v>-10.168430000000001</v>
      </c>
      <c r="AF6111">
        <v>-4.2290297101045597</v>
      </c>
      <c r="AG6111">
        <v>-1.1168568873639999</v>
      </c>
      <c r="AH6111">
        <v>14.128780708382299</v>
      </c>
      <c r="AI6111">
        <v>94.330671640131698</v>
      </c>
      <c r="AJ6111">
        <v>106.663504811881</v>
      </c>
      <c r="AK6111">
        <v>14.790351784232699</v>
      </c>
      <c r="AL6111">
        <v>79.4936492757747</v>
      </c>
      <c r="AM6111">
        <v>99.0789266382031</v>
      </c>
      <c r="AN6111">
        <v>0.99999994857808305</v>
      </c>
    </row>
    <row r="6112" spans="1:40" x14ac:dyDescent="0.25">
      <c r="A6112" t="str">
        <f>"20190312172530965"</f>
        <v>20190312172530965</v>
      </c>
      <c r="B6112" t="str">
        <f>"1552382730956212"</f>
        <v>1552382730956212</v>
      </c>
      <c r="C6112" t="s">
        <v>40</v>
      </c>
      <c r="D6112">
        <v>3.441443</v>
      </c>
      <c r="E6112">
        <v>0.44833279999999998</v>
      </c>
      <c r="F6112" t="s">
        <v>50</v>
      </c>
      <c r="G6112">
        <v>-287.31279999999998</v>
      </c>
      <c r="H6112" s="1">
        <v>-2.9530739999999999E-6</v>
      </c>
      <c r="I6112">
        <v>-58.070860000000003</v>
      </c>
      <c r="J6112">
        <v>-298.10700000000003</v>
      </c>
      <c r="K6112">
        <v>1.116824</v>
      </c>
      <c r="L6112">
        <v>-48.07761</v>
      </c>
      <c r="M6112">
        <v>0.51005290000000003</v>
      </c>
      <c r="N6112">
        <v>0</v>
      </c>
      <c r="O6112">
        <v>-0.86000560000000004</v>
      </c>
      <c r="P6112">
        <v>0.62802449999999999</v>
      </c>
      <c r="Q6112">
        <v>0.16960629999999999</v>
      </c>
      <c r="R6112">
        <v>-0.75948609999999905</v>
      </c>
      <c r="S6112">
        <v>2.2792970000000001</v>
      </c>
      <c r="T6112">
        <v>-0.23344419999999999</v>
      </c>
      <c r="U6112">
        <v>-2.123383</v>
      </c>
      <c r="V6112">
        <v>-0.15536939999999999</v>
      </c>
      <c r="W6112">
        <v>0.18235670000000001</v>
      </c>
      <c r="X6112">
        <v>0.97087920000000005</v>
      </c>
      <c r="Y6112">
        <v>-0.27957900000000002</v>
      </c>
      <c r="Z6112">
        <v>6.9746279999999994E-2</v>
      </c>
      <c r="AA6112">
        <v>0.9575861</v>
      </c>
      <c r="AB6112">
        <v>20</v>
      </c>
      <c r="AC6112">
        <v>10.7942</v>
      </c>
      <c r="AD6112">
        <v>-1.116826953074</v>
      </c>
      <c r="AE6112">
        <v>-9.9932499999999909</v>
      </c>
      <c r="AF6112">
        <v>-4.1624868989611103</v>
      </c>
      <c r="AG6112">
        <v>-1.116826953074</v>
      </c>
      <c r="AH6112">
        <v>14.020709769219099</v>
      </c>
      <c r="AI6112">
        <v>94.366710694023794</v>
      </c>
      <c r="AJ6112">
        <v>106.535170919557</v>
      </c>
      <c r="AK6112">
        <v>14.6681253764689</v>
      </c>
      <c r="AL6112">
        <v>79.492939093093</v>
      </c>
      <c r="AM6112">
        <v>99.091929958720698</v>
      </c>
      <c r="AN6112">
        <v>1.00000001874194</v>
      </c>
    </row>
    <row r="6113" spans="1:40" x14ac:dyDescent="0.25">
      <c r="A6113" t="str">
        <f>"20190312172530988"</f>
        <v>20190312172530988</v>
      </c>
      <c r="B6113" t="str">
        <f>"1552382730976708"</f>
        <v>1552382730976708</v>
      </c>
      <c r="C6113" t="s">
        <v>40</v>
      </c>
      <c r="D6113">
        <v>3.5902210000000001</v>
      </c>
      <c r="E6113">
        <v>0.44854440000000001</v>
      </c>
      <c r="F6113" t="s">
        <v>50</v>
      </c>
      <c r="G6113">
        <v>-287.22000000000003</v>
      </c>
      <c r="H6113" s="1">
        <v>-3.017879E-6</v>
      </c>
      <c r="I6113">
        <v>-58.026400000000002</v>
      </c>
      <c r="J6113">
        <v>-297.99299999999999</v>
      </c>
      <c r="K6113">
        <v>1.116797</v>
      </c>
      <c r="L6113">
        <v>-48.244450000000001</v>
      </c>
      <c r="M6113">
        <v>0.51941700000000002</v>
      </c>
      <c r="N6113">
        <v>0</v>
      </c>
      <c r="O6113">
        <v>-0.85438259999999899</v>
      </c>
      <c r="P6113">
        <v>0.63633050000000002</v>
      </c>
      <c r="Q6113">
        <v>0.16946989999999901</v>
      </c>
      <c r="R6113">
        <v>-0.7525712</v>
      </c>
      <c r="S6113">
        <v>2.2994379999999999</v>
      </c>
      <c r="T6113">
        <v>-0.2358855</v>
      </c>
      <c r="U6113">
        <v>-2.1012879999999998</v>
      </c>
      <c r="V6113">
        <v>-0.1553997</v>
      </c>
      <c r="W6113">
        <v>0.1822212</v>
      </c>
      <c r="X6113">
        <v>0.97089979999999998</v>
      </c>
      <c r="Y6113">
        <v>-0.278252099999999</v>
      </c>
      <c r="Z6113">
        <v>7.0125729999999997E-2</v>
      </c>
      <c r="AA6113">
        <v>0.95794480000000004</v>
      </c>
      <c r="AB6113">
        <v>20</v>
      </c>
      <c r="AC6113">
        <v>10.7729999999999</v>
      </c>
      <c r="AD6113">
        <v>-1.1168000178790001</v>
      </c>
      <c r="AE6113">
        <v>-9.7819500000000001</v>
      </c>
      <c r="AF6113">
        <v>-4.0996914644536897</v>
      </c>
      <c r="AG6113">
        <v>-1.1168000178790001</v>
      </c>
      <c r="AH6113">
        <v>13.8731390935757</v>
      </c>
      <c r="AI6113">
        <v>94.414509713597894</v>
      </c>
      <c r="AJ6113">
        <v>106.46308941754801</v>
      </c>
      <c r="AK6113">
        <v>14.509262582686601</v>
      </c>
      <c r="AL6113">
        <v>79.500835054769894</v>
      </c>
      <c r="AM6113">
        <v>99.093483713973896</v>
      </c>
      <c r="AN6113">
        <v>1.00000002706478</v>
      </c>
    </row>
    <row r="6114" spans="1:40" x14ac:dyDescent="0.25">
      <c r="A6114" t="str">
        <f>"20190312172531010"</f>
        <v>20190312172531010</v>
      </c>
      <c r="B6114" t="str">
        <f>"1552382731006964"</f>
        <v>1552382731006964</v>
      </c>
      <c r="C6114" t="s">
        <v>40</v>
      </c>
      <c r="D6114">
        <v>3.5366629999999999</v>
      </c>
      <c r="E6114">
        <v>0.44923459999999898</v>
      </c>
      <c r="F6114" t="s">
        <v>50</v>
      </c>
      <c r="G6114">
        <v>-287.30869999999999</v>
      </c>
      <c r="H6114" s="1">
        <v>-3.0137329999999999E-6</v>
      </c>
      <c r="I6114">
        <v>-57.808990000000001</v>
      </c>
      <c r="J6114">
        <v>-297.87939999999998</v>
      </c>
      <c r="K6114">
        <v>1.1167720000000001</v>
      </c>
      <c r="L6114">
        <v>-48.40692</v>
      </c>
      <c r="M6114">
        <v>0.5285474</v>
      </c>
      <c r="N6114">
        <v>0</v>
      </c>
      <c r="O6114">
        <v>-0.84876499999999999</v>
      </c>
      <c r="P6114">
        <v>0.64382010000000001</v>
      </c>
      <c r="Q6114">
        <v>0.16993810000000001</v>
      </c>
      <c r="R6114">
        <v>-0.74606799999999995</v>
      </c>
      <c r="S6114">
        <v>2.3214109999999999</v>
      </c>
      <c r="T6114">
        <v>-0.24265129999999999</v>
      </c>
      <c r="U6114">
        <v>-2.078125</v>
      </c>
      <c r="V6114">
        <v>-0.1547422</v>
      </c>
      <c r="W6114">
        <v>0.1826999</v>
      </c>
      <c r="X6114">
        <v>0.97091479999999997</v>
      </c>
      <c r="Y6114">
        <v>-0.27766150000000001</v>
      </c>
      <c r="Z6114">
        <v>7.1762270000000003E-2</v>
      </c>
      <c r="AA6114">
        <v>0.95799489999999998</v>
      </c>
      <c r="AB6114">
        <v>20</v>
      </c>
      <c r="AC6114">
        <v>10.570699999999899</v>
      </c>
      <c r="AD6114">
        <v>-1.1167750137329999</v>
      </c>
      <c r="AE6114">
        <v>-9.4020700000000001</v>
      </c>
      <c r="AF6114">
        <v>-3.9782810553588899</v>
      </c>
      <c r="AG6114">
        <v>-1.1167750137329999</v>
      </c>
      <c r="AH6114">
        <v>13.4848303465977</v>
      </c>
      <c r="AI6114">
        <v>94.541610868276393</v>
      </c>
      <c r="AJ6114">
        <v>106.43706026186899</v>
      </c>
      <c r="AK6114">
        <v>14.1037071744719</v>
      </c>
      <c r="AL6114">
        <v>79.4729387339803</v>
      </c>
      <c r="AM6114">
        <v>99.055510232283893</v>
      </c>
      <c r="AN6114">
        <v>0.99999997538994401</v>
      </c>
    </row>
    <row r="6115" spans="1:40" x14ac:dyDescent="0.25">
      <c r="A6115" t="str">
        <f>"20190312172531034"</f>
        <v>20190312172531034</v>
      </c>
      <c r="B6115" t="str">
        <f>"1552382731026483"</f>
        <v>1552382731026483</v>
      </c>
      <c r="C6115" t="s">
        <v>40</v>
      </c>
      <c r="D6115">
        <v>3.405154</v>
      </c>
      <c r="E6115">
        <v>0.44779479999999999</v>
      </c>
      <c r="F6115" t="s">
        <v>50</v>
      </c>
      <c r="G6115">
        <v>-287.17700000000002</v>
      </c>
      <c r="H6115" s="1">
        <v>-3.0876910000000001E-6</v>
      </c>
      <c r="I6115">
        <v>-57.827019999999997</v>
      </c>
      <c r="J6115">
        <v>-297.76100000000002</v>
      </c>
      <c r="K6115">
        <v>1.1167480000000001</v>
      </c>
      <c r="L6115">
        <v>-48.572539999999996</v>
      </c>
      <c r="M6115">
        <v>0.53786299999999998</v>
      </c>
      <c r="N6115">
        <v>0</v>
      </c>
      <c r="O6115">
        <v>-0.84289239999999999</v>
      </c>
      <c r="P6115">
        <v>0.65117819999999904</v>
      </c>
      <c r="Q6115">
        <v>0.17027500000000001</v>
      </c>
      <c r="R6115">
        <v>-0.73957629999999996</v>
      </c>
      <c r="S6115">
        <v>2.3387150000000001</v>
      </c>
      <c r="T6115">
        <v>-0.24404039999999999</v>
      </c>
      <c r="U6115">
        <v>-2.0585019999999998</v>
      </c>
      <c r="V6115">
        <v>-0.15369759999999999</v>
      </c>
      <c r="W6115">
        <v>0.1830543</v>
      </c>
      <c r="X6115">
        <v>0.97101400000000004</v>
      </c>
      <c r="Y6115">
        <v>-0.27511639999999998</v>
      </c>
      <c r="Z6115">
        <v>7.1761580000000005E-2</v>
      </c>
      <c r="AA6115">
        <v>0.95872900000000005</v>
      </c>
      <c r="AB6115">
        <v>20</v>
      </c>
      <c r="AC6115">
        <v>10.5839999999999</v>
      </c>
      <c r="AD6115">
        <v>-1.1167510876909901</v>
      </c>
      <c r="AE6115">
        <v>-9.2544799999999903</v>
      </c>
      <c r="AF6115">
        <v>-3.9192680415660899</v>
      </c>
      <c r="AG6115">
        <v>-1.1167510876909901</v>
      </c>
      <c r="AH6115">
        <v>13.410254904887401</v>
      </c>
      <c r="AI6115">
        <v>94.570057175530096</v>
      </c>
      <c r="AJ6115">
        <v>106.29147856198099</v>
      </c>
      <c r="AK6115">
        <v>14.015802923398899</v>
      </c>
      <c r="AL6115">
        <v>79.452285150834101</v>
      </c>
      <c r="AM6115">
        <v>98.994479191280206</v>
      </c>
      <c r="AN6115">
        <v>1.0000000085951199</v>
      </c>
    </row>
    <row r="6116" spans="1:40" x14ac:dyDescent="0.25">
      <c r="A6116" t="str">
        <f>"20190312172531056"</f>
        <v>20190312172531056</v>
      </c>
      <c r="B6116" t="str">
        <f>"1552382731046980"</f>
        <v>1552382731046980</v>
      </c>
      <c r="C6116" t="s">
        <v>40</v>
      </c>
      <c r="D6116">
        <v>3.386781</v>
      </c>
      <c r="E6116">
        <v>0.42043079999999999</v>
      </c>
      <c r="F6116" t="s">
        <v>50</v>
      </c>
      <c r="G6116">
        <v>-286.73379999999997</v>
      </c>
      <c r="H6116" s="1">
        <v>-3.3096850000000001E-6</v>
      </c>
      <c r="I6116">
        <v>-58.008499999999998</v>
      </c>
      <c r="J6116">
        <v>-297.64440000000002</v>
      </c>
      <c r="K6116">
        <v>1.1167199999999999</v>
      </c>
      <c r="L6116">
        <v>-48.731839999999998</v>
      </c>
      <c r="M6116">
        <v>0.54682769999999903</v>
      </c>
      <c r="N6116">
        <v>0</v>
      </c>
      <c r="O6116">
        <v>-0.83710479999999998</v>
      </c>
      <c r="P6116">
        <v>0.65888679999999999</v>
      </c>
      <c r="Q6116">
        <v>0.16992209999999999</v>
      </c>
      <c r="R6116">
        <v>-0.7327998</v>
      </c>
      <c r="S6116">
        <v>2.3681950000000001</v>
      </c>
      <c r="T6116">
        <v>-0.23983260000000001</v>
      </c>
      <c r="U6116">
        <v>-2.026459</v>
      </c>
      <c r="V6116">
        <v>-0.15343860000000001</v>
      </c>
      <c r="W6116">
        <v>0.18270790000000001</v>
      </c>
      <c r="X6116">
        <v>0.97112019999999999</v>
      </c>
      <c r="Y6116">
        <v>-0.27833590000000002</v>
      </c>
      <c r="Z6116">
        <v>7.0227010000000006E-2</v>
      </c>
      <c r="AA6116">
        <v>0.95791300000000001</v>
      </c>
      <c r="AB6116">
        <v>20</v>
      </c>
      <c r="AC6116">
        <v>10.910600000000001</v>
      </c>
      <c r="AD6116">
        <v>-1.116723309685</v>
      </c>
      <c r="AE6116">
        <v>-9.2766599999999908</v>
      </c>
      <c r="AF6116">
        <v>-4.0365146892128498</v>
      </c>
      <c r="AG6116">
        <v>-1.116723309685</v>
      </c>
      <c r="AH6116">
        <v>13.6503694212082</v>
      </c>
      <c r="AI6116">
        <v>94.485718283460102</v>
      </c>
      <c r="AJ6116">
        <v>106.473336098506</v>
      </c>
      <c r="AK6116">
        <v>14.278414026847701</v>
      </c>
      <c r="AL6116">
        <v>79.472472907781693</v>
      </c>
      <c r="AM6116">
        <v>98.978603534660095</v>
      </c>
      <c r="AN6116">
        <v>1.0000000117701999</v>
      </c>
    </row>
    <row r="6117" spans="1:40" x14ac:dyDescent="0.25">
      <c r="A6117" t="str">
        <f>"20190312172531077"</f>
        <v>20190312172531077</v>
      </c>
      <c r="B6117" t="str">
        <f>"1552382731066500"</f>
        <v>1552382731066500</v>
      </c>
      <c r="C6117" t="s">
        <v>40</v>
      </c>
      <c r="D6117">
        <v>3.3808069999999999</v>
      </c>
      <c r="E6117">
        <v>0.42022569999999998</v>
      </c>
      <c r="F6117" t="s">
        <v>50</v>
      </c>
      <c r="G6117">
        <v>-284.05829999999997</v>
      </c>
      <c r="H6117" s="1">
        <v>-4.5679940000000004E-6</v>
      </c>
      <c r="I6117">
        <v>-58.607349999999997</v>
      </c>
      <c r="J6117">
        <v>-297.53460000000001</v>
      </c>
      <c r="K6117">
        <v>1.1166830000000001</v>
      </c>
      <c r="L6117">
        <v>-48.878749999999997</v>
      </c>
      <c r="M6117">
        <v>0.55508859999999904</v>
      </c>
      <c r="N6117">
        <v>0</v>
      </c>
      <c r="O6117">
        <v>-0.83165009999999995</v>
      </c>
      <c r="P6117">
        <v>0.66593000000000002</v>
      </c>
      <c r="Q6117">
        <v>0.16988739999999999</v>
      </c>
      <c r="R6117">
        <v>-0.72641279999999997</v>
      </c>
      <c r="S6117">
        <v>2.5476070000000002</v>
      </c>
      <c r="T6117">
        <v>-0.2094028</v>
      </c>
      <c r="U6117">
        <v>-1.851807</v>
      </c>
      <c r="V6117">
        <v>-0.1531777</v>
      </c>
      <c r="W6117">
        <v>0.1826807</v>
      </c>
      <c r="X6117">
        <v>0.97116650000000004</v>
      </c>
      <c r="Y6117">
        <v>-0.344566599999999</v>
      </c>
      <c r="Z6117">
        <v>6.1753429999999998E-2</v>
      </c>
      <c r="AA6117">
        <v>0.93672849999999996</v>
      </c>
      <c r="AB6117">
        <v>20</v>
      </c>
      <c r="AC6117">
        <v>13.4763</v>
      </c>
      <c r="AD6117">
        <v>-1.116687567994</v>
      </c>
      <c r="AE6117">
        <v>-9.7286000000000001</v>
      </c>
      <c r="AF6117">
        <v>-5.7819141309321802</v>
      </c>
      <c r="AG6117">
        <v>-1.116687567994</v>
      </c>
      <c r="AH6117">
        <v>15.503180050294899</v>
      </c>
      <c r="AI6117">
        <v>93.8609669346217</v>
      </c>
      <c r="AJ6117">
        <v>110.45301061185999</v>
      </c>
      <c r="AK6117">
        <v>16.5839112941986</v>
      </c>
      <c r="AL6117">
        <v>79.474057994289495</v>
      </c>
      <c r="AM6117">
        <v>98.963164419053598</v>
      </c>
      <c r="AN6117">
        <v>1.0000000083260101</v>
      </c>
    </row>
    <row r="6118" spans="1:40" x14ac:dyDescent="0.25">
      <c r="A6118" t="str">
        <f>"20190312172531099"</f>
        <v>20190312172531099</v>
      </c>
      <c r="B6118" t="str">
        <f>"1552382731096927"</f>
        <v>1552382731096927</v>
      </c>
      <c r="C6118" t="s">
        <v>40</v>
      </c>
      <c r="D6118">
        <v>3.402272</v>
      </c>
      <c r="E6118">
        <v>0.42133900000000002</v>
      </c>
      <c r="F6118" t="s">
        <v>50</v>
      </c>
      <c r="G6118">
        <v>-283.78120000000001</v>
      </c>
      <c r="H6118" s="1">
        <v>-4.6871249999999996E-6</v>
      </c>
      <c r="I6118">
        <v>-58.663220000000003</v>
      </c>
      <c r="J6118">
        <v>-297.4169</v>
      </c>
      <c r="K6118">
        <v>1.116633</v>
      </c>
      <c r="L6118">
        <v>-49.03302</v>
      </c>
      <c r="M6118">
        <v>0.56374399999999902</v>
      </c>
      <c r="N6118">
        <v>0</v>
      </c>
      <c r="O6118">
        <v>-0.82580750000000003</v>
      </c>
      <c r="P6118">
        <v>0.6728343</v>
      </c>
      <c r="Q6118">
        <v>0.17024909999999999</v>
      </c>
      <c r="R6118">
        <v>-0.71993699999999905</v>
      </c>
      <c r="S6118">
        <v>2.5664669999999998</v>
      </c>
      <c r="T6118">
        <v>-0.20838019999999999</v>
      </c>
      <c r="U6118">
        <v>-1.825836</v>
      </c>
      <c r="V6118">
        <v>-0.15233640000000001</v>
      </c>
      <c r="W6118">
        <v>0.18306040000000001</v>
      </c>
      <c r="X6118">
        <v>0.97122730000000002</v>
      </c>
      <c r="Y6118">
        <v>-0.34433829999999999</v>
      </c>
      <c r="Z6118">
        <v>6.1161760000000003E-2</v>
      </c>
      <c r="AA6118">
        <v>0.93685130000000005</v>
      </c>
      <c r="AB6118">
        <v>20</v>
      </c>
      <c r="AC6118">
        <v>13.6356999999999</v>
      </c>
      <c r="AD6118">
        <v>-1.1166376871249999</v>
      </c>
      <c r="AE6118">
        <v>-9.6301999999999897</v>
      </c>
      <c r="AF6118">
        <v>-5.8062012801892404</v>
      </c>
      <c r="AG6118">
        <v>-1.1166376871249999</v>
      </c>
      <c r="AH6118">
        <v>15.571896846426799</v>
      </c>
      <c r="AI6118">
        <v>93.843917010554804</v>
      </c>
      <c r="AJ6118">
        <v>110.448679528084</v>
      </c>
      <c r="AK6118">
        <v>16.656615035058401</v>
      </c>
      <c r="AL6118">
        <v>79.451929318568205</v>
      </c>
      <c r="AM6118">
        <v>98.914179590708599</v>
      </c>
      <c r="AN6118">
        <v>0.99999997853920397</v>
      </c>
    </row>
    <row r="6119" spans="1:40" x14ac:dyDescent="0.25">
      <c r="A6119" t="str">
        <f>"20190312172531122"</f>
        <v>20190312172531122</v>
      </c>
      <c r="B6119" t="str">
        <f>"1552382731116446"</f>
        <v>1552382731116446</v>
      </c>
      <c r="C6119" t="s">
        <v>40</v>
      </c>
      <c r="D6119">
        <v>3.3929170000000002</v>
      </c>
      <c r="E6119">
        <v>0.42244409999999999</v>
      </c>
      <c r="F6119" t="s">
        <v>50</v>
      </c>
      <c r="G6119">
        <v>-283.5052</v>
      </c>
      <c r="H6119" s="1">
        <v>-4.7942099999999996E-6</v>
      </c>
      <c r="I6119">
        <v>-58.783659999999998</v>
      </c>
      <c r="J6119">
        <v>-297.29719999999998</v>
      </c>
      <c r="K6119">
        <v>1.1165719999999999</v>
      </c>
      <c r="L6119">
        <v>-49.186520000000002</v>
      </c>
      <c r="M6119">
        <v>0.57231980000000005</v>
      </c>
      <c r="N6119">
        <v>0</v>
      </c>
      <c r="O6119">
        <v>-0.81988760000000005</v>
      </c>
      <c r="P6119">
        <v>0.67943450000000005</v>
      </c>
      <c r="Q6119">
        <v>0.17127290000000001</v>
      </c>
      <c r="R6119">
        <v>-0.7134665</v>
      </c>
      <c r="S6119">
        <v>2.57782</v>
      </c>
      <c r="T6119">
        <v>-0.20691290000000001</v>
      </c>
      <c r="U6119">
        <v>-1.8067930000000001</v>
      </c>
      <c r="V6119">
        <v>-0.15128039999999901</v>
      </c>
      <c r="W6119">
        <v>0.18410660000000001</v>
      </c>
      <c r="X6119">
        <v>0.97119460000000002</v>
      </c>
      <c r="Y6119">
        <v>-0.341167</v>
      </c>
      <c r="Z6119">
        <v>6.041212E-2</v>
      </c>
      <c r="AA6119">
        <v>0.93805939999999999</v>
      </c>
      <c r="AB6119">
        <v>20</v>
      </c>
      <c r="AC6119">
        <v>13.7919999999999</v>
      </c>
      <c r="AD6119">
        <v>-1.11657679421</v>
      </c>
      <c r="AE6119">
        <v>-9.5971399999999907</v>
      </c>
      <c r="AF6119">
        <v>-5.7903678627525501</v>
      </c>
      <c r="AG6119">
        <v>-1.11657679421</v>
      </c>
      <c r="AH6119">
        <v>15.6945510561555</v>
      </c>
      <c r="AI6119">
        <v>93.818624696841894</v>
      </c>
      <c r="AJ6119">
        <v>110.25109989778601</v>
      </c>
      <c r="AK6119">
        <v>16.765859255571701</v>
      </c>
      <c r="AL6119">
        <v>79.390950039153907</v>
      </c>
      <c r="AM6119">
        <v>98.853661880256794</v>
      </c>
      <c r="AN6119">
        <v>0.99999997532843898</v>
      </c>
    </row>
    <row r="6120" spans="1:40" x14ac:dyDescent="0.25">
      <c r="A6120" t="str">
        <f>"20190312172531144"</f>
        <v>20190312172531144</v>
      </c>
      <c r="B6120" t="str">
        <f>"1552382731136942"</f>
        <v>1552382731136942</v>
      </c>
      <c r="C6120" t="s">
        <v>40</v>
      </c>
      <c r="D6120">
        <v>3.6059510000000001</v>
      </c>
      <c r="E6120">
        <v>0.42294470000000001</v>
      </c>
      <c r="F6120" t="s">
        <v>50</v>
      </c>
      <c r="G6120">
        <v>-283.1739</v>
      </c>
      <c r="H6120" s="1">
        <v>-4.9204170000000002E-6</v>
      </c>
      <c r="I6120">
        <v>-58.941870000000002</v>
      </c>
      <c r="J6120">
        <v>-297.17559999999997</v>
      </c>
      <c r="K6120">
        <v>1.116493</v>
      </c>
      <c r="L6120">
        <v>-49.339199999999998</v>
      </c>
      <c r="M6120">
        <v>0.58078999999999903</v>
      </c>
      <c r="N6120">
        <v>0</v>
      </c>
      <c r="O6120">
        <v>-0.81390989999999996</v>
      </c>
      <c r="P6120">
        <v>0.68607439999999997</v>
      </c>
      <c r="Q6120">
        <v>0.17198620000000001</v>
      </c>
      <c r="R6120">
        <v>-0.7069105</v>
      </c>
      <c r="S6120">
        <v>2.5891109999999999</v>
      </c>
      <c r="T6120">
        <v>-0.20469200000000001</v>
      </c>
      <c r="U6120">
        <v>-1.7883610000000001</v>
      </c>
      <c r="V6120">
        <v>-0.150361299999999</v>
      </c>
      <c r="W6120">
        <v>0.18484329999999999</v>
      </c>
      <c r="X6120">
        <v>0.97119739999999999</v>
      </c>
      <c r="Y6120">
        <v>-0.3379026</v>
      </c>
      <c r="Z6120">
        <v>5.943126E-2</v>
      </c>
      <c r="AA6120">
        <v>0.93930279999999999</v>
      </c>
      <c r="AB6120">
        <v>20</v>
      </c>
      <c r="AC6120">
        <v>14.0016999999999</v>
      </c>
      <c r="AD6120">
        <v>-1.116497920417</v>
      </c>
      <c r="AE6120">
        <v>-9.6026699999999892</v>
      </c>
      <c r="AF6120">
        <v>-5.7946088343828697</v>
      </c>
      <c r="AG6120">
        <v>-1.116497920417</v>
      </c>
      <c r="AH6120">
        <v>15.8809422503239</v>
      </c>
      <c r="AI6120">
        <v>93.778617973134502</v>
      </c>
      <c r="AJ6120">
        <v>110.045921195104</v>
      </c>
      <c r="AK6120">
        <v>16.941912108965901</v>
      </c>
      <c r="AL6120">
        <v>79.348003176024207</v>
      </c>
      <c r="AM6120">
        <v>98.800691308536102</v>
      </c>
      <c r="AN6120">
        <v>0.99999997792966899</v>
      </c>
    </row>
    <row r="6121" spans="1:40" x14ac:dyDescent="0.25">
      <c r="A6121" t="str">
        <f>"20190312172531166"</f>
        <v>20190312172531166</v>
      </c>
      <c r="B6121" t="str">
        <f>"1552382731156463"</f>
        <v>1552382731156463</v>
      </c>
      <c r="C6121" t="s">
        <v>40</v>
      </c>
      <c r="D6121">
        <v>3.555987</v>
      </c>
      <c r="E6121">
        <v>0.43298579999999998</v>
      </c>
      <c r="F6121" t="s">
        <v>50</v>
      </c>
      <c r="G6121">
        <v>-282.82650000000001</v>
      </c>
      <c r="H6121" s="1">
        <v>-5.0588349999999997E-6</v>
      </c>
      <c r="I6121">
        <v>-59.073369999999997</v>
      </c>
      <c r="J6121">
        <v>-297.05439999999999</v>
      </c>
      <c r="K6121">
        <v>1.1164069999999999</v>
      </c>
      <c r="L6121">
        <v>-49.488340000000001</v>
      </c>
      <c r="M6121">
        <v>0.58900189999999997</v>
      </c>
      <c r="N6121">
        <v>0</v>
      </c>
      <c r="O6121">
        <v>-0.80798769999999998</v>
      </c>
      <c r="P6121">
        <v>0.69284820000000003</v>
      </c>
      <c r="Q6121">
        <v>0.17196040000000001</v>
      </c>
      <c r="R6121">
        <v>-0.70027969999999995</v>
      </c>
      <c r="S6121">
        <v>2.6036069999999998</v>
      </c>
      <c r="T6121">
        <v>-0.2025853</v>
      </c>
      <c r="U6121">
        <v>-1.76623499999999</v>
      </c>
      <c r="V6121">
        <v>-0.14983299999999999</v>
      </c>
      <c r="W6121">
        <v>0.18483669999999999</v>
      </c>
      <c r="X6121">
        <v>0.97128029999999999</v>
      </c>
      <c r="Y6121">
        <v>-0.33631529999999998</v>
      </c>
      <c r="Z6121">
        <v>5.8510390000000002E-2</v>
      </c>
      <c r="AA6121">
        <v>0.93993009999999999</v>
      </c>
      <c r="AB6121">
        <v>20</v>
      </c>
      <c r="AC6121">
        <v>14.227899999999901</v>
      </c>
      <c r="AD6121">
        <v>-1.1164120588349999</v>
      </c>
      <c r="AE6121">
        <v>-9.5850299999999908</v>
      </c>
      <c r="AF6121">
        <v>-5.8263734459720702</v>
      </c>
      <c r="AG6121">
        <v>-1.1164120588349999</v>
      </c>
      <c r="AH6121">
        <v>16.0587143117537</v>
      </c>
      <c r="AI6121">
        <v>93.7390893309977</v>
      </c>
      <c r="AJ6121">
        <v>109.941628808216</v>
      </c>
      <c r="AK6121">
        <v>17.1194424197625</v>
      </c>
      <c r="AL6121">
        <v>79.348387952390794</v>
      </c>
      <c r="AM6121">
        <v>98.769514407939894</v>
      </c>
      <c r="AN6121">
        <v>0.99999997736198898</v>
      </c>
    </row>
    <row r="6122" spans="1:40" x14ac:dyDescent="0.25">
      <c r="A6122" t="str">
        <f>"20190312172531188"</f>
        <v>20190312172531188</v>
      </c>
      <c r="B6122" t="str">
        <f>"1552382731176959"</f>
        <v>1552382731176959</v>
      </c>
      <c r="C6122" t="s">
        <v>40</v>
      </c>
      <c r="D6122">
        <v>3.551193</v>
      </c>
      <c r="E6122">
        <v>0.43372650000000001</v>
      </c>
      <c r="F6122" t="s">
        <v>50</v>
      </c>
      <c r="G6122">
        <v>-283.90879999999999</v>
      </c>
      <c r="H6122" s="1">
        <v>-4.6205949999999999E-6</v>
      </c>
      <c r="I6122">
        <v>-58.702930000000002</v>
      </c>
      <c r="J6122">
        <v>-296.92950000000002</v>
      </c>
      <c r="K6122">
        <v>1.116314</v>
      </c>
      <c r="L6122">
        <v>-49.638979999999997</v>
      </c>
      <c r="M6122">
        <v>0.5972208</v>
      </c>
      <c r="N6122">
        <v>0</v>
      </c>
      <c r="O6122">
        <v>-0.80193190000000003</v>
      </c>
      <c r="P6122">
        <v>0.69979550000000001</v>
      </c>
      <c r="Q6122">
        <v>0.171600799999999</v>
      </c>
      <c r="R6122">
        <v>-0.69342609999999905</v>
      </c>
      <c r="S6122">
        <v>2.5660400000000001</v>
      </c>
      <c r="T6122">
        <v>-0.2179258</v>
      </c>
      <c r="U6122">
        <v>-1.7987059999999999</v>
      </c>
      <c r="V6122">
        <v>-0.1494991</v>
      </c>
      <c r="W6122">
        <v>0.1844951</v>
      </c>
      <c r="X6122">
        <v>0.9713967</v>
      </c>
      <c r="Y6122">
        <v>-0.31196560000000001</v>
      </c>
      <c r="Z6122">
        <v>6.2305159999999998E-2</v>
      </c>
      <c r="AA6122">
        <v>0.94804820000000001</v>
      </c>
      <c r="AB6122">
        <v>20</v>
      </c>
      <c r="AC6122">
        <v>13.0207</v>
      </c>
      <c r="AD6122">
        <v>-1.116318620595</v>
      </c>
      <c r="AE6122">
        <v>-9.0639500000000002</v>
      </c>
      <c r="AF6122">
        <v>-5.0043428782120198</v>
      </c>
      <c r="AG6122">
        <v>-1.116318620595</v>
      </c>
      <c r="AH6122">
        <v>14.972522308187999</v>
      </c>
      <c r="AI6122">
        <v>94.044801070880197</v>
      </c>
      <c r="AJ6122">
        <v>108.481438251089</v>
      </c>
      <c r="AK6122">
        <v>15.826118891711401</v>
      </c>
      <c r="AL6122">
        <v>79.368302788588807</v>
      </c>
      <c r="AM6122">
        <v>98.749242200578806</v>
      </c>
      <c r="AN6122">
        <v>0.99999998579785399</v>
      </c>
    </row>
    <row r="6123" spans="1:40" x14ac:dyDescent="0.25">
      <c r="A6123" t="str">
        <f>"20190312172531214"</f>
        <v>20190312172531214</v>
      </c>
      <c r="B6123" t="str">
        <f>"1552382731206238"</f>
        <v>1552382731206238</v>
      </c>
      <c r="C6123" t="s">
        <v>40</v>
      </c>
      <c r="D6123">
        <v>3.3904510000000001</v>
      </c>
      <c r="E6123">
        <v>0.43397599999999997</v>
      </c>
      <c r="F6123" t="s">
        <v>50</v>
      </c>
      <c r="G6123">
        <v>-283.70530000000002</v>
      </c>
      <c r="H6123" s="1">
        <v>-4.7068119999999999E-6</v>
      </c>
      <c r="I6123">
        <v>-58.75121</v>
      </c>
      <c r="J6123">
        <v>-296.79390000000001</v>
      </c>
      <c r="K6123">
        <v>1.1162049999999999</v>
      </c>
      <c r="L6123">
        <v>-49.799500000000002</v>
      </c>
      <c r="M6123">
        <v>0.60585909999999998</v>
      </c>
      <c r="N6123">
        <v>0</v>
      </c>
      <c r="O6123">
        <v>-0.79542639999999998</v>
      </c>
      <c r="P6123">
        <v>0.70706309999999895</v>
      </c>
      <c r="Q6123">
        <v>0.1716541</v>
      </c>
      <c r="R6123">
        <v>-0.68600059999999996</v>
      </c>
      <c r="S6123">
        <v>2.5792540000000002</v>
      </c>
      <c r="T6123">
        <v>-0.2177269</v>
      </c>
      <c r="U6123">
        <v>-1.7772520000000001</v>
      </c>
      <c r="V6123">
        <v>-0.14918670000000001</v>
      </c>
      <c r="W6123">
        <v>0.18456690000000001</v>
      </c>
      <c r="X6123">
        <v>0.97143109999999999</v>
      </c>
      <c r="Y6123">
        <v>-0.30932159999999997</v>
      </c>
      <c r="Z6123">
        <v>6.1861359999999997E-2</v>
      </c>
      <c r="AA6123">
        <v>0.94894330000000005</v>
      </c>
      <c r="AB6123">
        <v>20</v>
      </c>
      <c r="AC6123">
        <v>13.0885999999999</v>
      </c>
      <c r="AD6123">
        <v>-1.1162097068119901</v>
      </c>
      <c r="AE6123">
        <v>-8.9517099999999896</v>
      </c>
      <c r="AF6123">
        <v>-4.9635260621554798</v>
      </c>
      <c r="AG6123">
        <v>-1.1162097068119901</v>
      </c>
      <c r="AH6123">
        <v>14.977800973102999</v>
      </c>
      <c r="AI6123">
        <v>94.046421016882604</v>
      </c>
      <c r="AJ6123">
        <v>108.33479250943</v>
      </c>
      <c r="AK6123">
        <v>15.818250126646801</v>
      </c>
      <c r="AL6123">
        <v>79.364117189873795</v>
      </c>
      <c r="AM6123">
        <v>98.730936992415394</v>
      </c>
      <c r="AN6123">
        <v>0.99999999703985498</v>
      </c>
    </row>
    <row r="6124" spans="1:40" x14ac:dyDescent="0.25">
      <c r="A6124" t="str">
        <f>"20190312172531234"</f>
        <v>20190312172531234</v>
      </c>
      <c r="B6124" t="str">
        <f>"1552382731226735"</f>
        <v>1552382731226735</v>
      </c>
      <c r="C6124" t="s">
        <v>40</v>
      </c>
      <c r="D6124">
        <v>3.3787609999999999</v>
      </c>
      <c r="E6124">
        <v>0.43477529999999998</v>
      </c>
      <c r="F6124" t="s">
        <v>50</v>
      </c>
      <c r="G6124">
        <v>-283.72030000000001</v>
      </c>
      <c r="H6124" s="1">
        <v>-4.7233990000000001E-6</v>
      </c>
      <c r="I6124">
        <v>-58.618839999999999</v>
      </c>
      <c r="J6124">
        <v>-296.67660000000001</v>
      </c>
      <c r="K6124">
        <v>1.1161030000000001</v>
      </c>
      <c r="L6124">
        <v>-49.93573</v>
      </c>
      <c r="M6124">
        <v>0.61307840000000002</v>
      </c>
      <c r="N6124">
        <v>0</v>
      </c>
      <c r="O6124">
        <v>-0.78987600000000002</v>
      </c>
      <c r="P6124">
        <v>0.71302109999999996</v>
      </c>
      <c r="Q6124">
        <v>0.17186799999999999</v>
      </c>
      <c r="R6124">
        <v>-0.67975169999999996</v>
      </c>
      <c r="S6124">
        <v>2.5970149999999999</v>
      </c>
      <c r="T6124">
        <v>-0.22173000000000001</v>
      </c>
      <c r="U6124">
        <v>-1.7519229999999999</v>
      </c>
      <c r="V6124">
        <v>-0.14880079999999901</v>
      </c>
      <c r="W6124">
        <v>0.1847983</v>
      </c>
      <c r="X6124">
        <v>0.97144629999999998</v>
      </c>
      <c r="Y6124">
        <v>-0.30997200000000003</v>
      </c>
      <c r="Z6124">
        <v>6.2690979999999993E-2</v>
      </c>
      <c r="AA6124">
        <v>0.94867650000000003</v>
      </c>
      <c r="AB6124">
        <v>20</v>
      </c>
      <c r="AC6124">
        <v>12.956300000000001</v>
      </c>
      <c r="AD6124">
        <v>-1.116107723399</v>
      </c>
      <c r="AE6124">
        <v>-8.6831099999999992</v>
      </c>
      <c r="AF6124">
        <v>-4.8859897740278697</v>
      </c>
      <c r="AG6124">
        <v>-1.116107723399</v>
      </c>
      <c r="AH6124">
        <v>14.7280965180226</v>
      </c>
      <c r="AI6124">
        <v>94.113983282012995</v>
      </c>
      <c r="AJ6124">
        <v>108.35306647629599</v>
      </c>
      <c r="AK6124">
        <v>15.557487572430301</v>
      </c>
      <c r="AL6124">
        <v>79.350626940208699</v>
      </c>
      <c r="AM6124">
        <v>98.708565247172601</v>
      </c>
      <c r="AN6124">
        <v>1.0000000017736099</v>
      </c>
    </row>
    <row r="6125" spans="1:40" x14ac:dyDescent="0.25">
      <c r="A6125" t="str">
        <f>"20190312172531256"</f>
        <v>20190312172531256</v>
      </c>
      <c r="B6125" t="str">
        <f>"1552382731246255"</f>
        <v>1552382731246255</v>
      </c>
      <c r="C6125" t="s">
        <v>40</v>
      </c>
      <c r="D6125">
        <v>3.4069180000000001</v>
      </c>
      <c r="E6125">
        <v>0.43525629999999998</v>
      </c>
      <c r="F6125" t="s">
        <v>50</v>
      </c>
      <c r="G6125">
        <v>-283.68560000000002</v>
      </c>
      <c r="H6125" s="1">
        <v>-4.7480720000000004E-6</v>
      </c>
      <c r="I6125">
        <v>-58.570810000000002</v>
      </c>
      <c r="J6125">
        <v>-296.55119999999999</v>
      </c>
      <c r="K6125">
        <v>1.1159779999999999</v>
      </c>
      <c r="L6125">
        <v>-50.078830000000004</v>
      </c>
      <c r="M6125">
        <v>0.62052949999999996</v>
      </c>
      <c r="N6125">
        <v>0</v>
      </c>
      <c r="O6125">
        <v>-0.78403669999999903</v>
      </c>
      <c r="P6125">
        <v>0.71914409999999995</v>
      </c>
      <c r="Q6125">
        <v>0.1725749</v>
      </c>
      <c r="R6125">
        <v>-0.67308970000000001</v>
      </c>
      <c r="S6125">
        <v>2.6085210000000001</v>
      </c>
      <c r="T6125">
        <v>-0.22410959999999999</v>
      </c>
      <c r="U6125">
        <v>-1.733887</v>
      </c>
      <c r="V6125">
        <v>-0.14845820000000001</v>
      </c>
      <c r="W6125">
        <v>0.18552279999999999</v>
      </c>
      <c r="X6125">
        <v>0.97136060000000002</v>
      </c>
      <c r="Y6125">
        <v>-0.30741970000000002</v>
      </c>
      <c r="Z6125">
        <v>6.2978049999999994E-2</v>
      </c>
      <c r="AA6125">
        <v>0.94948770000000005</v>
      </c>
      <c r="AB6125">
        <v>20</v>
      </c>
      <c r="AC6125">
        <v>12.865599999999899</v>
      </c>
      <c r="AD6125">
        <v>-1.1159827480719999</v>
      </c>
      <c r="AE6125">
        <v>-8.4919799999999892</v>
      </c>
      <c r="AF6125">
        <v>-4.7930122305243001</v>
      </c>
      <c r="AG6125">
        <v>-1.1159827480719999</v>
      </c>
      <c r="AH6125">
        <v>14.566847002100401</v>
      </c>
      <c r="AI6125">
        <v>94.162247889227302</v>
      </c>
      <c r="AJ6125">
        <v>108.213049547176</v>
      </c>
      <c r="AK6125">
        <v>15.375676093055199</v>
      </c>
      <c r="AL6125">
        <v>79.308385497511907</v>
      </c>
      <c r="AM6125">
        <v>98.689575812551098</v>
      </c>
      <c r="AN6125">
        <v>0.99999998084971897</v>
      </c>
    </row>
    <row r="6126" spans="1:40" x14ac:dyDescent="0.25">
      <c r="A6126" t="str">
        <f>"20190312172531278"</f>
        <v>20190312172531278</v>
      </c>
      <c r="B6126" t="str">
        <f>"1552382731266751"</f>
        <v>1552382731266751</v>
      </c>
      <c r="C6126" t="s">
        <v>40</v>
      </c>
      <c r="D6126">
        <v>3.553823</v>
      </c>
      <c r="E6126">
        <v>0.44189869999999998</v>
      </c>
      <c r="F6126" t="s">
        <v>50</v>
      </c>
      <c r="G6126">
        <v>-283.4375</v>
      </c>
      <c r="H6126" s="1">
        <v>-4.8502249999999998E-6</v>
      </c>
      <c r="I6126">
        <v>-58.6464199999999</v>
      </c>
      <c r="J6126">
        <v>-296.4239</v>
      </c>
      <c r="K6126">
        <v>1.115834</v>
      </c>
      <c r="L6126">
        <v>-50.221919999999997</v>
      </c>
      <c r="M6126">
        <v>0.62783369999999905</v>
      </c>
      <c r="N6126">
        <v>0</v>
      </c>
      <c r="O6126">
        <v>-0.77820059999999902</v>
      </c>
      <c r="P6126">
        <v>0.72504250000000003</v>
      </c>
      <c r="Q6126">
        <v>0.17293020000000001</v>
      </c>
      <c r="R6126">
        <v>-0.66664000000000001</v>
      </c>
      <c r="S6126">
        <v>2.6218870000000001</v>
      </c>
      <c r="T6126">
        <v>-0.22312270000000001</v>
      </c>
      <c r="U6126">
        <v>-1.712952</v>
      </c>
      <c r="V6126">
        <v>-0.14792539999999901</v>
      </c>
      <c r="W6126">
        <v>0.18590139999999999</v>
      </c>
      <c r="X6126">
        <v>0.9713695</v>
      </c>
      <c r="Y6126">
        <v>-0.30608419999999997</v>
      </c>
      <c r="Z6126">
        <v>6.2344339999999998E-2</v>
      </c>
      <c r="AA6126">
        <v>0.94996080000000005</v>
      </c>
      <c r="AB6126">
        <v>20</v>
      </c>
      <c r="AC6126">
        <v>12.9864</v>
      </c>
      <c r="AD6126">
        <v>-1.1158388502249901</v>
      </c>
      <c r="AE6126">
        <v>-8.4244999999999806</v>
      </c>
      <c r="AF6126">
        <v>-4.7924875889552299</v>
      </c>
      <c r="AG6126">
        <v>-1.1158388502249901</v>
      </c>
      <c r="AH6126">
        <v>14.634887453560999</v>
      </c>
      <c r="AI6126">
        <v>94.144347503182701</v>
      </c>
      <c r="AJ6126">
        <v>108.13207256176599</v>
      </c>
      <c r="AK6126">
        <v>15.439979417355399</v>
      </c>
      <c r="AL6126">
        <v>79.286309272275005</v>
      </c>
      <c r="AM6126">
        <v>98.658785259298497</v>
      </c>
      <c r="AN6126">
        <v>0.99999998000868395</v>
      </c>
    </row>
    <row r="6127" spans="1:40" x14ac:dyDescent="0.25">
      <c r="A6127" t="str">
        <f>"20190312172531301"</f>
        <v>20190312172531301</v>
      </c>
      <c r="B6127" t="str">
        <f>"1552382731297007"</f>
        <v>1552382731297007</v>
      </c>
      <c r="C6127" t="s">
        <v>40</v>
      </c>
      <c r="D6127">
        <v>3.5985680000000002</v>
      </c>
      <c r="E6127">
        <v>0.44401829999999998</v>
      </c>
      <c r="F6127" t="s">
        <v>50</v>
      </c>
      <c r="G6127">
        <v>-283.10230000000001</v>
      </c>
      <c r="H6127" s="1">
        <v>-4.9300170000000001E-6</v>
      </c>
      <c r="I6127">
        <v>-59.075319999999998</v>
      </c>
      <c r="J6127">
        <v>-296.29700000000003</v>
      </c>
      <c r="K6127">
        <v>1.115693</v>
      </c>
      <c r="L6127">
        <v>-50.362090000000002</v>
      </c>
      <c r="M6127">
        <v>0.63484319999999905</v>
      </c>
      <c r="N6127">
        <v>0</v>
      </c>
      <c r="O6127">
        <v>-0.77249380000000001</v>
      </c>
      <c r="P6127">
        <v>0.73115769999999902</v>
      </c>
      <c r="Q6127">
        <v>0.17274639999999999</v>
      </c>
      <c r="R6127">
        <v>-0.65997550000000005</v>
      </c>
      <c r="S6127">
        <v>2.6005549999999999</v>
      </c>
      <c r="T6127">
        <v>-0.21782670000000001</v>
      </c>
      <c r="U6127">
        <v>-1.728302</v>
      </c>
      <c r="V6127">
        <v>-0.14800250000000001</v>
      </c>
      <c r="W6127">
        <v>0.1857327</v>
      </c>
      <c r="X6127">
        <v>0.97139010000000003</v>
      </c>
      <c r="Y6127">
        <v>-0.29009230000000003</v>
      </c>
      <c r="Z6127">
        <v>6.0352030000000001E-2</v>
      </c>
      <c r="AA6127">
        <v>0.95509370000000005</v>
      </c>
      <c r="AB6127">
        <v>20</v>
      </c>
      <c r="AC6127">
        <v>13.194699999999999</v>
      </c>
      <c r="AD6127">
        <v>-1.115697930017</v>
      </c>
      <c r="AE6127">
        <v>-8.7132299999999905</v>
      </c>
      <c r="AF6127">
        <v>-4.6387243927298298</v>
      </c>
      <c r="AG6127">
        <v>-1.115697930017</v>
      </c>
      <c r="AH6127">
        <v>15.0343482396543</v>
      </c>
      <c r="AI6127">
        <v>94.056130990150194</v>
      </c>
      <c r="AJ6127">
        <v>107.147179518942</v>
      </c>
      <c r="AK6127">
        <v>15.7732106070371</v>
      </c>
      <c r="AL6127">
        <v>79.296147160310099</v>
      </c>
      <c r="AM6127">
        <v>98.663048908284594</v>
      </c>
      <c r="AN6127">
        <v>1.0000000511167699</v>
      </c>
    </row>
    <row r="6128" spans="1:40" x14ac:dyDescent="0.25">
      <c r="A6128" t="str">
        <f>"20190312172531323"</f>
        <v>20190312172531323</v>
      </c>
      <c r="B6128" t="str">
        <f>"1552382731316527"</f>
        <v>1552382731316527</v>
      </c>
      <c r="C6128" t="s">
        <v>40</v>
      </c>
      <c r="D6128">
        <v>3.5499589999999999</v>
      </c>
      <c r="E6128">
        <v>0.44473869999999999</v>
      </c>
      <c r="F6128" t="s">
        <v>50</v>
      </c>
      <c r="G6128">
        <v>-283.41300000000001</v>
      </c>
      <c r="H6128" s="1">
        <v>-4.8241479999999997E-6</v>
      </c>
      <c r="I6128">
        <v>-58.856909999999999</v>
      </c>
      <c r="J6128">
        <v>-296.16460000000001</v>
      </c>
      <c r="K6128">
        <v>1.1155459999999999</v>
      </c>
      <c r="L6128">
        <v>-50.505920000000003</v>
      </c>
      <c r="M6128">
        <v>0.64187649999999996</v>
      </c>
      <c r="N6128">
        <v>0</v>
      </c>
      <c r="O6128">
        <v>-0.76666020000000001</v>
      </c>
      <c r="P6128">
        <v>0.7372803</v>
      </c>
      <c r="Q6128">
        <v>0.17240839999999999</v>
      </c>
      <c r="R6128">
        <v>-0.65321739999999995</v>
      </c>
      <c r="S6128">
        <v>2.6056520000000001</v>
      </c>
      <c r="T6128">
        <v>-0.22563820000000001</v>
      </c>
      <c r="U6128">
        <v>-1.7179869999999999</v>
      </c>
      <c r="V6128">
        <v>-0.148058</v>
      </c>
      <c r="W6128">
        <v>0.18540989999999999</v>
      </c>
      <c r="X6128">
        <v>0.97144330000000001</v>
      </c>
      <c r="Y6128">
        <v>-0.28471299999999999</v>
      </c>
      <c r="Z6128">
        <v>6.2058809999999999E-2</v>
      </c>
      <c r="AA6128">
        <v>0.9566019</v>
      </c>
      <c r="AB6128">
        <v>20</v>
      </c>
      <c r="AC6128">
        <v>12.7515999999999</v>
      </c>
      <c r="AD6128">
        <v>-1.1155508241480001</v>
      </c>
      <c r="AE6128">
        <v>-8.3509899999999906</v>
      </c>
      <c r="AF6128">
        <v>-4.3928121534793103</v>
      </c>
      <c r="AG6128">
        <v>-1.1155508241480001</v>
      </c>
      <c r="AH6128">
        <v>14.5112537404778</v>
      </c>
      <c r="AI6128">
        <v>94.208098240852706</v>
      </c>
      <c r="AJ6128">
        <v>106.841988537492</v>
      </c>
      <c r="AK6128">
        <v>15.202556935514</v>
      </c>
      <c r="AL6128">
        <v>79.314969080438601</v>
      </c>
      <c r="AM6128">
        <v>98.665780792211095</v>
      </c>
      <c r="AN6128">
        <v>1.00000004374844</v>
      </c>
    </row>
    <row r="6129" spans="1:40" x14ac:dyDescent="0.25">
      <c r="A6129" t="str">
        <f>"20190312172531345"</f>
        <v>20190312172531345</v>
      </c>
      <c r="B6129" t="str">
        <f>"1552382731337022"</f>
        <v>1552382731337022</v>
      </c>
      <c r="C6129" t="s">
        <v>40</v>
      </c>
      <c r="D6129">
        <v>3.5240809999999998</v>
      </c>
      <c r="E6129">
        <v>0.44542890000000002</v>
      </c>
      <c r="F6129" t="s">
        <v>50</v>
      </c>
      <c r="G6129">
        <v>-283.48320000000001</v>
      </c>
      <c r="H6129" s="1">
        <v>-4.813462E-6</v>
      </c>
      <c r="I6129">
        <v>-58.7331</v>
      </c>
      <c r="J6129">
        <v>-296.03379999999999</v>
      </c>
      <c r="K6129">
        <v>1.1154109999999999</v>
      </c>
      <c r="L6129">
        <v>-50.64584</v>
      </c>
      <c r="M6129">
        <v>0.64856559999999996</v>
      </c>
      <c r="N6129">
        <v>0</v>
      </c>
      <c r="O6129">
        <v>-0.76101059999999998</v>
      </c>
      <c r="P6129">
        <v>0.74296149999999905</v>
      </c>
      <c r="Q6129">
        <v>0.17229069999999999</v>
      </c>
      <c r="R6129">
        <v>-0.64678009999999997</v>
      </c>
      <c r="S6129">
        <v>2.618042</v>
      </c>
      <c r="T6129">
        <v>-0.23030339999999999</v>
      </c>
      <c r="U6129">
        <v>-1.6984859999999999</v>
      </c>
      <c r="V6129">
        <v>-0.14796039999999999</v>
      </c>
      <c r="W6129">
        <v>0.18530489999999999</v>
      </c>
      <c r="X6129">
        <v>0.97147819999999996</v>
      </c>
      <c r="Y6129">
        <v>-0.283329099999999</v>
      </c>
      <c r="Z6129">
        <v>6.2963959999999999E-2</v>
      </c>
      <c r="AA6129">
        <v>0.95695359999999996</v>
      </c>
      <c r="AB6129">
        <v>20</v>
      </c>
      <c r="AC6129">
        <v>12.5505999999999</v>
      </c>
      <c r="AD6129">
        <v>-1.115415813462</v>
      </c>
      <c r="AE6129">
        <v>-8.0872600000000006</v>
      </c>
      <c r="AF6129">
        <v>-4.2826048861743002</v>
      </c>
      <c r="AG6129">
        <v>-1.115415813462</v>
      </c>
      <c r="AH6129">
        <v>14.216645263967401</v>
      </c>
      <c r="AI6129">
        <v>94.296212188835995</v>
      </c>
      <c r="AJ6129">
        <v>106.76433844405101</v>
      </c>
      <c r="AK6129">
        <v>14.889521805937701</v>
      </c>
      <c r="AL6129">
        <v>79.321091180768704</v>
      </c>
      <c r="AM6129">
        <v>98.659848538871202</v>
      </c>
      <c r="AN6129">
        <v>1.0000000395037001</v>
      </c>
    </row>
    <row r="6130" spans="1:40" x14ac:dyDescent="0.25">
      <c r="A6130" t="str">
        <f>"20190312172531367"</f>
        <v>20190312172531367</v>
      </c>
      <c r="B6130" t="str">
        <f>"1552382731356543"</f>
        <v>1552382731356543</v>
      </c>
      <c r="C6130" t="s">
        <v>40</v>
      </c>
      <c r="D6130">
        <v>3.5698650000000001</v>
      </c>
      <c r="E6130">
        <v>0.44621850000000002</v>
      </c>
      <c r="F6130" t="s">
        <v>50</v>
      </c>
      <c r="G6130">
        <v>-283.49200000000002</v>
      </c>
      <c r="H6130" s="1">
        <v>-4.822652E-6</v>
      </c>
      <c r="I6130">
        <v>-58.658639999999998</v>
      </c>
      <c r="J6130">
        <v>-295.90530000000001</v>
      </c>
      <c r="K6130">
        <v>1.1153090000000001</v>
      </c>
      <c r="L6130">
        <v>-50.781100000000002</v>
      </c>
      <c r="M6130">
        <v>0.65491849999999996</v>
      </c>
      <c r="N6130">
        <v>0</v>
      </c>
      <c r="O6130">
        <v>-0.75555099999999997</v>
      </c>
      <c r="P6130">
        <v>0.74820730000000002</v>
      </c>
      <c r="Q6130">
        <v>0.17279949999999999</v>
      </c>
      <c r="R6130">
        <v>-0.64056749999999996</v>
      </c>
      <c r="S6130">
        <v>2.6296080000000002</v>
      </c>
      <c r="T6130">
        <v>-0.23386660000000001</v>
      </c>
      <c r="U6130">
        <v>-1.680023</v>
      </c>
      <c r="V6130">
        <v>-0.14778559999999999</v>
      </c>
      <c r="W6130">
        <v>0.18581839999999999</v>
      </c>
      <c r="X6130">
        <v>0.97140669999999996</v>
      </c>
      <c r="Y6130">
        <v>-0.28192410000000001</v>
      </c>
      <c r="Z6130">
        <v>6.3564060000000006E-2</v>
      </c>
      <c r="AA6130">
        <v>0.95732879999999998</v>
      </c>
      <c r="AB6130">
        <v>19</v>
      </c>
      <c r="AC6130">
        <v>12.4132999999999</v>
      </c>
      <c r="AD6130">
        <v>-1.1153138226520001</v>
      </c>
      <c r="AE6130">
        <v>-7.8775399999999998</v>
      </c>
      <c r="AF6130">
        <v>-4.1960597226470302</v>
      </c>
      <c r="AG6130">
        <v>-1.1153138226520001</v>
      </c>
      <c r="AH6130">
        <v>14.0025783039824</v>
      </c>
      <c r="AI6130">
        <v>94.363128994418105</v>
      </c>
      <c r="AJ6130">
        <v>106.68154735810501</v>
      </c>
      <c r="AK6130">
        <v>14.6602537931025</v>
      </c>
      <c r="AL6130">
        <v>79.291149574184004</v>
      </c>
      <c r="AM6130">
        <v>98.650399678828705</v>
      </c>
      <c r="AN6130">
        <v>1.0000000190753999</v>
      </c>
    </row>
    <row r="6131" spans="1:40" x14ac:dyDescent="0.25">
      <c r="A6131" t="str">
        <f>"20190312172531389"</f>
        <v>20190312172531389</v>
      </c>
      <c r="B6131" t="str">
        <f>"1552382731386799"</f>
        <v>1552382731386799</v>
      </c>
      <c r="C6131" t="s">
        <v>40</v>
      </c>
      <c r="D6131">
        <v>3.6036739999999998</v>
      </c>
      <c r="E6131">
        <v>0.44722889999999998</v>
      </c>
      <c r="F6131" t="s">
        <v>50</v>
      </c>
      <c r="G6131">
        <v>-283.25420000000003</v>
      </c>
      <c r="H6131" s="1">
        <v>-4.9167709999999999E-6</v>
      </c>
      <c r="I6131">
        <v>-58.752160000000003</v>
      </c>
      <c r="J6131">
        <v>-295.77449999999999</v>
      </c>
      <c r="K6131">
        <v>1.1152219999999999</v>
      </c>
      <c r="L6131">
        <v>-50.916899999999998</v>
      </c>
      <c r="M6131">
        <v>0.66118500000000002</v>
      </c>
      <c r="N6131">
        <v>0</v>
      </c>
      <c r="O6131">
        <v>-0.75007400000000002</v>
      </c>
      <c r="P6131">
        <v>0.75326319999999902</v>
      </c>
      <c r="Q6131">
        <v>0.17403650000000001</v>
      </c>
      <c r="R6131">
        <v>-0.6342759</v>
      </c>
      <c r="S6131">
        <v>2.639526</v>
      </c>
      <c r="T6131">
        <v>-0.2326995</v>
      </c>
      <c r="U6131">
        <v>-1.6630860000000001</v>
      </c>
      <c r="V6131">
        <v>-0.1475979</v>
      </c>
      <c r="W6131">
        <v>0.18705430000000001</v>
      </c>
      <c r="X6131">
        <v>0.97119800000000001</v>
      </c>
      <c r="Y6131">
        <v>-0.27999410000000002</v>
      </c>
      <c r="Z6131">
        <v>6.287181E-2</v>
      </c>
      <c r="AA6131">
        <v>0.95794080000000004</v>
      </c>
      <c r="AB6131">
        <v>19</v>
      </c>
      <c r="AC6131">
        <v>12.520299999999899</v>
      </c>
      <c r="AD6131">
        <v>-1.1152269167709901</v>
      </c>
      <c r="AE6131">
        <v>-7.8352599999999901</v>
      </c>
      <c r="AF6131">
        <v>-4.1871931148765302</v>
      </c>
      <c r="AG6131">
        <v>-1.1152269167709901</v>
      </c>
      <c r="AH6131">
        <v>14.076586058457201</v>
      </c>
      <c r="AI6131">
        <v>94.342555245467693</v>
      </c>
      <c r="AJ6131">
        <v>106.56553078251</v>
      </c>
      <c r="AK6131">
        <v>14.728428032831999</v>
      </c>
      <c r="AL6131">
        <v>79.219073845780201</v>
      </c>
      <c r="AM6131">
        <v>98.641407367841495</v>
      </c>
      <c r="AN6131">
        <v>1.00000000321845</v>
      </c>
    </row>
    <row r="6132" spans="1:40" x14ac:dyDescent="0.25">
      <c r="A6132" t="str">
        <f>"20190312172531413"</f>
        <v>20190312172531413</v>
      </c>
      <c r="B6132" t="str">
        <f>"1552382731406318"</f>
        <v>1552382731406318</v>
      </c>
      <c r="C6132" t="s">
        <v>40</v>
      </c>
      <c r="D6132">
        <v>3.5361449999999999</v>
      </c>
      <c r="E6132">
        <v>0.44766980000000001</v>
      </c>
      <c r="F6132" t="s">
        <v>50</v>
      </c>
      <c r="G6132">
        <v>-283.0917</v>
      </c>
      <c r="H6132" s="1">
        <v>-4.9826179999999996E-6</v>
      </c>
      <c r="I6132">
        <v>-58.807540000000003</v>
      </c>
      <c r="J6132">
        <v>-295.63600000000002</v>
      </c>
      <c r="K6132">
        <v>1.1151390000000001</v>
      </c>
      <c r="L6132">
        <v>-51.058349999999997</v>
      </c>
      <c r="M6132">
        <v>0.6676048</v>
      </c>
      <c r="N6132">
        <v>0</v>
      </c>
      <c r="O6132">
        <v>-0.74436630000000004</v>
      </c>
      <c r="P6132">
        <v>0.75839480000000004</v>
      </c>
      <c r="Q6132">
        <v>0.17528650000000001</v>
      </c>
      <c r="R6132">
        <v>-0.62778369999999994</v>
      </c>
      <c r="S6132">
        <v>2.6488339999999999</v>
      </c>
      <c r="T6132">
        <v>-0.23291799999999999</v>
      </c>
      <c r="U6132">
        <v>-1.64798</v>
      </c>
      <c r="V6132">
        <v>-0.1473566</v>
      </c>
      <c r="W6132">
        <v>0.18830150000000001</v>
      </c>
      <c r="X6132">
        <v>0.97099360000000001</v>
      </c>
      <c r="Y6132">
        <v>-0.27720830000000002</v>
      </c>
      <c r="Z6132">
        <v>6.2503199999999995E-2</v>
      </c>
      <c r="AA6132">
        <v>0.95877469999999998</v>
      </c>
      <c r="AB6132">
        <v>19</v>
      </c>
      <c r="AC6132">
        <v>12.5442999999999</v>
      </c>
      <c r="AD6132">
        <v>-1.1151439826180001</v>
      </c>
      <c r="AE6132">
        <v>-7.7491899999999996</v>
      </c>
      <c r="AF6132">
        <v>-4.1409359003786701</v>
      </c>
      <c r="AG6132">
        <v>-1.1151439826180001</v>
      </c>
      <c r="AH6132">
        <v>14.0640016662049</v>
      </c>
      <c r="AI6132">
        <v>94.349666785983402</v>
      </c>
      <c r="AJ6132">
        <v>106.40628007534799</v>
      </c>
      <c r="AK6132">
        <v>14.70330027919</v>
      </c>
      <c r="AL6132">
        <v>79.146321716120497</v>
      </c>
      <c r="AM6132">
        <v>98.629281541406797</v>
      </c>
      <c r="AN6132">
        <v>0.99999999685338503</v>
      </c>
    </row>
    <row r="6133" spans="1:40" x14ac:dyDescent="0.25">
      <c r="A6133" t="str">
        <f>"20190312172531435"</f>
        <v>20190312172531435</v>
      </c>
      <c r="B6133" t="str">
        <f>"1552382731426816"</f>
        <v>1552382731426816</v>
      </c>
      <c r="C6133" t="s">
        <v>40</v>
      </c>
      <c r="D6133">
        <v>3.5035319999999999</v>
      </c>
      <c r="E6133">
        <v>0.45777479999999998</v>
      </c>
      <c r="F6133" t="s">
        <v>50</v>
      </c>
      <c r="G6133">
        <v>-282.90839999999997</v>
      </c>
      <c r="H6133" s="1">
        <v>-5.0601260000000003E-6</v>
      </c>
      <c r="I6133">
        <v>-58.85181</v>
      </c>
      <c r="J6133">
        <v>-295.50319999999999</v>
      </c>
      <c r="K6133">
        <v>1.1150679999999999</v>
      </c>
      <c r="L6133">
        <v>-51.192019999999999</v>
      </c>
      <c r="M6133">
        <v>0.67357180000000005</v>
      </c>
      <c r="N6133">
        <v>0</v>
      </c>
      <c r="O6133">
        <v>-0.73897179999999996</v>
      </c>
      <c r="P6133">
        <v>0.76281339999999997</v>
      </c>
      <c r="Q6133">
        <v>0.1767909</v>
      </c>
      <c r="R6133">
        <v>-0.62198120000000001</v>
      </c>
      <c r="S6133">
        <v>2.6608890000000001</v>
      </c>
      <c r="T6133">
        <v>-0.2331367</v>
      </c>
      <c r="U6133">
        <v>-1.6293329999999999</v>
      </c>
      <c r="V6133">
        <v>-0.14667330000000001</v>
      </c>
      <c r="W6133">
        <v>0.18980830000000001</v>
      </c>
      <c r="X6133">
        <v>0.97080370000000005</v>
      </c>
      <c r="Y6133">
        <v>-0.27631250000000002</v>
      </c>
      <c r="Z6133">
        <v>6.2189759999999997E-2</v>
      </c>
      <c r="AA6133">
        <v>0.95905359999999995</v>
      </c>
      <c r="AB6133">
        <v>19</v>
      </c>
      <c r="AC6133">
        <v>12.594799999999999</v>
      </c>
      <c r="AD6133">
        <v>-1.1150730601259999</v>
      </c>
      <c r="AE6133">
        <v>-7.6597900000000001</v>
      </c>
      <c r="AF6133">
        <v>-4.1246423616373704</v>
      </c>
      <c r="AG6133">
        <v>-1.1150730601259999</v>
      </c>
      <c r="AH6133">
        <v>14.0649600621429</v>
      </c>
      <c r="AI6133">
        <v>94.350477263548996</v>
      </c>
      <c r="AJ6133">
        <v>106.34412327016901</v>
      </c>
      <c r="AK6133">
        <v>14.6996314270292</v>
      </c>
      <c r="AL6133">
        <v>79.058403375853004</v>
      </c>
      <c r="AM6133">
        <v>98.591520583308196</v>
      </c>
      <c r="AN6133">
        <v>1.0000000358077299</v>
      </c>
    </row>
    <row r="6134" spans="1:40" x14ac:dyDescent="0.25">
      <c r="A6134" t="str">
        <f>"20190312172531457"</f>
        <v>20190312172531457</v>
      </c>
      <c r="B6134" t="str">
        <f>"1552382731446335"</f>
        <v>1552382731446335</v>
      </c>
      <c r="C6134" t="s">
        <v>40</v>
      </c>
      <c r="D6134">
        <v>3.700256</v>
      </c>
      <c r="E6134">
        <v>0.45855879999999999</v>
      </c>
      <c r="F6134" t="s">
        <v>50</v>
      </c>
      <c r="G6134">
        <v>-282.7448</v>
      </c>
      <c r="H6134" s="1">
        <v>-5.051904E-6</v>
      </c>
      <c r="I6134">
        <v>-59.326050000000002</v>
      </c>
      <c r="J6134">
        <v>-295.37049999999999</v>
      </c>
      <c r="K6134">
        <v>1.1149960000000001</v>
      </c>
      <c r="L6134">
        <v>-51.323729999999998</v>
      </c>
      <c r="M6134">
        <v>0.67936739999999995</v>
      </c>
      <c r="N6134">
        <v>0</v>
      </c>
      <c r="O6134">
        <v>-0.73364790000000002</v>
      </c>
      <c r="P6134">
        <v>0.76716609999999996</v>
      </c>
      <c r="Q6134">
        <v>0.17732310000000001</v>
      </c>
      <c r="R6134">
        <v>-0.616452</v>
      </c>
      <c r="S6134">
        <v>2.62262</v>
      </c>
      <c r="T6134">
        <v>-0.22921369999999999</v>
      </c>
      <c r="U6134">
        <v>-1.6720279999999901</v>
      </c>
      <c r="V6134">
        <v>-0.14592629999999901</v>
      </c>
      <c r="W6134">
        <v>0.19034809999999999</v>
      </c>
      <c r="X6134">
        <v>0.97081050000000002</v>
      </c>
      <c r="Y6134">
        <v>-0.25137660000000001</v>
      </c>
      <c r="Z6134">
        <v>6.0350300000000003E-2</v>
      </c>
      <c r="AA6134">
        <v>0.96600600000000003</v>
      </c>
      <c r="AB6134">
        <v>19</v>
      </c>
      <c r="AC6134">
        <v>12.625699999999901</v>
      </c>
      <c r="AD6134">
        <v>-1.1150010519039999</v>
      </c>
      <c r="AE6134">
        <v>-8.0023199999999992</v>
      </c>
      <c r="AF6134">
        <v>-3.8055515537818998</v>
      </c>
      <c r="AG6134">
        <v>-1.1150010519039999</v>
      </c>
      <c r="AH6134">
        <v>14.3700155614655</v>
      </c>
      <c r="AI6134">
        <v>94.289526763182195</v>
      </c>
      <c r="AJ6134">
        <v>104.832903208261</v>
      </c>
      <c r="AK6134">
        <v>14.907139135695999</v>
      </c>
      <c r="AL6134">
        <v>79.026899898153701</v>
      </c>
      <c r="AM6134">
        <v>98.548353466929001</v>
      </c>
      <c r="AN6134">
        <v>0.99999995555777399</v>
      </c>
    </row>
    <row r="6135" spans="1:40" x14ac:dyDescent="0.25">
      <c r="A6135" t="str">
        <f>"20190312172531479"</f>
        <v>20190312172531479</v>
      </c>
      <c r="B6135" t="str">
        <f>"1552382731466831"</f>
        <v>1552382731466831</v>
      </c>
      <c r="C6135" t="s">
        <v>40</v>
      </c>
      <c r="D6135">
        <v>3.5307390000000001</v>
      </c>
      <c r="E6135">
        <v>0.45991729999999997</v>
      </c>
      <c r="F6135" t="s">
        <v>50</v>
      </c>
      <c r="G6135">
        <v>-282.91059999999999</v>
      </c>
      <c r="H6135" s="1">
        <v>-5.0012389999999997E-6</v>
      </c>
      <c r="I6135">
        <v>-59.176690000000001</v>
      </c>
      <c r="J6135">
        <v>-295.23419999999999</v>
      </c>
      <c r="K6135">
        <v>1.1149169999999999</v>
      </c>
      <c r="L6135">
        <v>-51.457030000000003</v>
      </c>
      <c r="M6135">
        <v>0.68514900000000001</v>
      </c>
      <c r="N6135">
        <v>0</v>
      </c>
      <c r="O6135">
        <v>-0.72825189999999995</v>
      </c>
      <c r="P6135">
        <v>0.77131830000000001</v>
      </c>
      <c r="Q6135">
        <v>0.17765999999999901</v>
      </c>
      <c r="R6135">
        <v>-0.61115129999999995</v>
      </c>
      <c r="S6135">
        <v>2.6319889999999999</v>
      </c>
      <c r="T6135">
        <v>-0.23553060000000001</v>
      </c>
      <c r="U6135">
        <v>-1.65884399999999</v>
      </c>
      <c r="V6135">
        <v>-0.14484269999999999</v>
      </c>
      <c r="W6135">
        <v>0.1906987</v>
      </c>
      <c r="X6135">
        <v>0.97090399999999999</v>
      </c>
      <c r="Y6135">
        <v>-0.24864040000000001</v>
      </c>
      <c r="Z6135">
        <v>6.156412E-2</v>
      </c>
      <c r="AA6135">
        <v>0.96663739999999998</v>
      </c>
      <c r="AB6135">
        <v>19</v>
      </c>
      <c r="AC6135">
        <v>12.323600000000001</v>
      </c>
      <c r="AD6135">
        <v>-1.114922001239</v>
      </c>
      <c r="AE6135">
        <v>-7.7196600000000002</v>
      </c>
      <c r="AF6135">
        <v>-3.6644326519544599</v>
      </c>
      <c r="AG6135">
        <v>-1.114922001239</v>
      </c>
      <c r="AH6135">
        <v>13.984700540664299</v>
      </c>
      <c r="AI6135">
        <v>94.409966272181293</v>
      </c>
      <c r="AJ6135">
        <v>104.683190628275</v>
      </c>
      <c r="AK6135">
        <v>14.4997574787171</v>
      </c>
      <c r="AL6135">
        <v>79.006437552600701</v>
      </c>
      <c r="AM6135">
        <v>98.484998511051302</v>
      </c>
      <c r="AN6135">
        <v>0.99999998957048997</v>
      </c>
    </row>
    <row r="6136" spans="1:40" x14ac:dyDescent="0.25">
      <c r="A6136" t="str">
        <f>"20190312172531502"</f>
        <v>20190312172531502</v>
      </c>
      <c r="B6136" t="str">
        <f>"1552382731497087"</f>
        <v>1552382731497087</v>
      </c>
      <c r="C6136" t="s">
        <v>40</v>
      </c>
      <c r="D6136">
        <v>3.6893940000000001</v>
      </c>
      <c r="E6136">
        <v>0.4617213</v>
      </c>
      <c r="F6136" t="s">
        <v>50</v>
      </c>
      <c r="G6136">
        <v>-282.8981</v>
      </c>
      <c r="H6136" s="1">
        <v>-5.0084740000000001E-6</v>
      </c>
      <c r="I6136">
        <v>-59.168930000000003</v>
      </c>
      <c r="J6136">
        <v>-295.09449999999998</v>
      </c>
      <c r="K6136">
        <v>1.114825</v>
      </c>
      <c r="L6136">
        <v>-51.591709999999999</v>
      </c>
      <c r="M6136">
        <v>0.69090119999999999</v>
      </c>
      <c r="N6136">
        <v>0</v>
      </c>
      <c r="O6136">
        <v>-0.72279749999999998</v>
      </c>
      <c r="P6136">
        <v>0.77585569999999904</v>
      </c>
      <c r="Q6136">
        <v>0.17725170000000001</v>
      </c>
      <c r="R6136">
        <v>-0.60549969999999997</v>
      </c>
      <c r="S6136">
        <v>2.637756</v>
      </c>
      <c r="T6136">
        <v>-0.23839659999999999</v>
      </c>
      <c r="U6136">
        <v>-1.648987</v>
      </c>
      <c r="V6136">
        <v>-0.1442591</v>
      </c>
      <c r="W6136">
        <v>0.1903022</v>
      </c>
      <c r="X6136">
        <v>0.97106870000000001</v>
      </c>
      <c r="Y6136">
        <v>-0.244474</v>
      </c>
      <c r="Z6136">
        <v>6.184079E-2</v>
      </c>
      <c r="AA6136">
        <v>0.96768189999999998</v>
      </c>
      <c r="AB6136">
        <v>19</v>
      </c>
      <c r="AC6136">
        <v>12.196399999999899</v>
      </c>
      <c r="AD6136">
        <v>-1.1148300084739999</v>
      </c>
      <c r="AE6136">
        <v>-7.5772199999999996</v>
      </c>
      <c r="AF6136">
        <v>-3.5593526392066801</v>
      </c>
      <c r="AG6136">
        <v>-1.1148300084739999</v>
      </c>
      <c r="AH6136">
        <v>13.821506808049801</v>
      </c>
      <c r="AI6136">
        <v>94.466338182901495</v>
      </c>
      <c r="AJ6136">
        <v>104.441188304167</v>
      </c>
      <c r="AK6136">
        <v>14.315931251685599</v>
      </c>
      <c r="AL6136">
        <v>79.029579430881597</v>
      </c>
      <c r="AM6136">
        <v>98.449892770608002</v>
      </c>
      <c r="AN6136">
        <v>1.0000000176886601</v>
      </c>
    </row>
    <row r="6137" spans="1:40" x14ac:dyDescent="0.25">
      <c r="A6137" t="str">
        <f>"20190312172531524"</f>
        <v>20190312172531524</v>
      </c>
      <c r="B6137" t="str">
        <f>"1552382731516606"</f>
        <v>1552382731516606</v>
      </c>
      <c r="C6137" t="s">
        <v>40</v>
      </c>
      <c r="D6137">
        <v>3.5864229999999999</v>
      </c>
      <c r="E6137">
        <v>0.47079209999999999</v>
      </c>
      <c r="F6137" t="s">
        <v>50</v>
      </c>
      <c r="G6137">
        <v>-282.85750000000002</v>
      </c>
      <c r="H6137" s="1">
        <v>-5.0224630000000002E-6</v>
      </c>
      <c r="I6137">
        <v>-59.196469999999998</v>
      </c>
      <c r="J6137">
        <v>-294.95920000000001</v>
      </c>
      <c r="K6137">
        <v>1.114741</v>
      </c>
      <c r="L6137">
        <v>-51.720210000000002</v>
      </c>
      <c r="M6137">
        <v>0.69629600000000003</v>
      </c>
      <c r="N6137">
        <v>0</v>
      </c>
      <c r="O6137">
        <v>-0.71760239999999997</v>
      </c>
      <c r="P6137">
        <v>0.78036369999999999</v>
      </c>
      <c r="Q6137">
        <v>0.17640999999999901</v>
      </c>
      <c r="R6137">
        <v>-0.59992670000000003</v>
      </c>
      <c r="S6137">
        <v>2.6408390000000002</v>
      </c>
      <c r="T6137">
        <v>-0.24059</v>
      </c>
      <c r="U6137">
        <v>-1.6411739999999999</v>
      </c>
      <c r="V6137">
        <v>-0.14402989999999999</v>
      </c>
      <c r="W6137">
        <v>0.18947030000000001</v>
      </c>
      <c r="X6137">
        <v>0.97126539999999995</v>
      </c>
      <c r="Y6137">
        <v>-0.23975750000000001</v>
      </c>
      <c r="Z6137">
        <v>6.1956020000000001E-2</v>
      </c>
      <c r="AA6137">
        <v>0.96885379999999999</v>
      </c>
      <c r="AB6137">
        <v>19</v>
      </c>
      <c r="AC6137">
        <v>12.1016999999999</v>
      </c>
      <c r="AD6137">
        <v>-1.1147460224629999</v>
      </c>
      <c r="AE6137">
        <v>-7.4762599999999999</v>
      </c>
      <c r="AF6137">
        <v>-3.4576649787065601</v>
      </c>
      <c r="AG6137">
        <v>-1.1147460224629999</v>
      </c>
      <c r="AH6137">
        <v>13.7086669828123</v>
      </c>
      <c r="AI6137">
        <v>94.508302610582106</v>
      </c>
      <c r="AJ6137">
        <v>104.156150659518</v>
      </c>
      <c r="AK6137">
        <v>14.181877740455199</v>
      </c>
      <c r="AL6137">
        <v>79.0781273297616</v>
      </c>
      <c r="AM6137">
        <v>98.434976876498695</v>
      </c>
      <c r="AN6137">
        <v>1.00000004195662</v>
      </c>
    </row>
    <row r="6138" spans="1:40" x14ac:dyDescent="0.25">
      <c r="A6138" t="str">
        <f>"20190312172531546"</f>
        <v>20190312172531546</v>
      </c>
      <c r="B6138" t="str">
        <f>"1552382731536126"</f>
        <v>1552382731536126</v>
      </c>
      <c r="C6138" t="s">
        <v>40</v>
      </c>
      <c r="D6138">
        <v>3.5908760000000002</v>
      </c>
      <c r="E6138">
        <v>0.47193970000000002</v>
      </c>
      <c r="F6138" t="s">
        <v>50</v>
      </c>
      <c r="G6138">
        <v>-282.38929999999999</v>
      </c>
      <c r="H6138" s="1">
        <v>-5.130152E-6</v>
      </c>
      <c r="I6138">
        <v>-59.816699999999997</v>
      </c>
      <c r="J6138">
        <v>-294.82389999999998</v>
      </c>
      <c r="K6138">
        <v>1.1146640000000001</v>
      </c>
      <c r="L6138">
        <v>-51.847050000000003</v>
      </c>
      <c r="M6138">
        <v>0.70154629999999996</v>
      </c>
      <c r="N6138">
        <v>0</v>
      </c>
      <c r="O6138">
        <v>-0.71247119999999997</v>
      </c>
      <c r="P6138">
        <v>0.7845683</v>
      </c>
      <c r="Q6138">
        <v>0.1766199</v>
      </c>
      <c r="R6138">
        <v>-0.59435530000000003</v>
      </c>
      <c r="S6138">
        <v>2.6060789999999998</v>
      </c>
      <c r="T6138">
        <v>-0.23111709999999999</v>
      </c>
      <c r="U6138">
        <v>-1.6786190000000001</v>
      </c>
      <c r="V6138">
        <v>-0.14374679999999901</v>
      </c>
      <c r="W6138">
        <v>0.1896852</v>
      </c>
      <c r="X6138">
        <v>0.97126539999999995</v>
      </c>
      <c r="Y6138">
        <v>-0.2170967</v>
      </c>
      <c r="Z6138">
        <v>5.8754880000000002E-2</v>
      </c>
      <c r="AA6138">
        <v>0.97438029999999998</v>
      </c>
      <c r="AB6138">
        <v>19</v>
      </c>
      <c r="AC6138">
        <v>12.4345999999999</v>
      </c>
      <c r="AD6138">
        <v>-1.114669130152</v>
      </c>
      <c r="AE6138">
        <v>-7.9696499999999899</v>
      </c>
      <c r="AF6138">
        <v>-3.2500592904710199</v>
      </c>
      <c r="AG6138">
        <v>-1.114669130152</v>
      </c>
      <c r="AH6138">
        <v>14.321585447937</v>
      </c>
      <c r="AI6138">
        <v>94.340513547979498</v>
      </c>
      <c r="AJ6138">
        <v>102.785827867733</v>
      </c>
      <c r="AK6138">
        <v>14.7279727866347</v>
      </c>
      <c r="AL6138">
        <v>79.065587118871903</v>
      </c>
      <c r="AM6138">
        <v>98.418635215297797</v>
      </c>
      <c r="AN6138">
        <v>1.00000004742321</v>
      </c>
    </row>
    <row r="6139" spans="1:40" x14ac:dyDescent="0.25">
      <c r="A6139" t="str">
        <f>"20190312172531569"</f>
        <v>20190312172531569</v>
      </c>
      <c r="B6139" t="str">
        <f>"1552382731556623"</f>
        <v>1552382731556623</v>
      </c>
      <c r="C6139" t="s">
        <v>40</v>
      </c>
      <c r="D6139">
        <v>3.548638</v>
      </c>
      <c r="E6139">
        <v>0.47241709999999898</v>
      </c>
      <c r="F6139" t="s">
        <v>50</v>
      </c>
      <c r="G6139">
        <v>-282.43599999999998</v>
      </c>
      <c r="H6139" s="1">
        <v>-5.1197539999999997E-6</v>
      </c>
      <c r="I6139">
        <v>-59.752879999999998</v>
      </c>
      <c r="J6139">
        <v>-294.6884</v>
      </c>
      <c r="K6139">
        <v>1.1145959999999999</v>
      </c>
      <c r="L6139">
        <v>-51.972320000000003</v>
      </c>
      <c r="M6139">
        <v>0.70665880000000003</v>
      </c>
      <c r="N6139">
        <v>0</v>
      </c>
      <c r="O6139">
        <v>-0.70740099999999995</v>
      </c>
      <c r="P6139">
        <v>0.78873729999999997</v>
      </c>
      <c r="Q6139">
        <v>0.1766925</v>
      </c>
      <c r="R6139">
        <v>-0.58878989999999998</v>
      </c>
      <c r="S6139">
        <v>2.613251</v>
      </c>
      <c r="T6139">
        <v>-0.23514199999999999</v>
      </c>
      <c r="U6139">
        <v>-1.6677550000000001</v>
      </c>
      <c r="V6139">
        <v>-0.1435826</v>
      </c>
      <c r="W6139">
        <v>0.18976009999999999</v>
      </c>
      <c r="X6139">
        <v>0.971275</v>
      </c>
      <c r="Y6139">
        <v>-0.21410509999999999</v>
      </c>
      <c r="Z6139">
        <v>5.9346879999999998E-2</v>
      </c>
      <c r="AA6139">
        <v>0.97500609999999999</v>
      </c>
      <c r="AB6139">
        <v>19</v>
      </c>
      <c r="AC6139">
        <v>12.2524</v>
      </c>
      <c r="AD6139">
        <v>-1.114601119754</v>
      </c>
      <c r="AE6139">
        <v>-7.7805600000000004</v>
      </c>
      <c r="AF6139">
        <v>-3.1509207710484399</v>
      </c>
      <c r="AG6139">
        <v>-1.114601119754</v>
      </c>
      <c r="AH6139">
        <v>14.0807405600235</v>
      </c>
      <c r="AI6139">
        <v>94.417176677643297</v>
      </c>
      <c r="AJ6139">
        <v>102.613572508047</v>
      </c>
      <c r="AK6139">
        <v>14.471969184609</v>
      </c>
      <c r="AL6139">
        <v>79.061215668197505</v>
      </c>
      <c r="AM6139">
        <v>98.409074377023501</v>
      </c>
      <c r="AN6139">
        <v>0.99999999209988499</v>
      </c>
    </row>
    <row r="6140" spans="1:40" x14ac:dyDescent="0.25">
      <c r="A6140" t="str">
        <f>"20190312172531590"</f>
        <v>20190312172531590</v>
      </c>
      <c r="B6140" t="str">
        <f>"1552382731586878"</f>
        <v>1552382731586878</v>
      </c>
      <c r="C6140" t="s">
        <v>40</v>
      </c>
      <c r="D6140">
        <v>3.545356</v>
      </c>
      <c r="E6140">
        <v>0.4728561</v>
      </c>
      <c r="F6140" t="s">
        <v>50</v>
      </c>
      <c r="G6140">
        <v>-282.47109999999998</v>
      </c>
      <c r="H6140" s="1">
        <v>-5.1184339999999997E-6</v>
      </c>
      <c r="I6140">
        <v>-59.668430000000001</v>
      </c>
      <c r="J6140">
        <v>-294.5505</v>
      </c>
      <c r="K6140">
        <v>1.1145309999999999</v>
      </c>
      <c r="L6140">
        <v>-52.098210000000002</v>
      </c>
      <c r="M6140">
        <v>0.71171329999999999</v>
      </c>
      <c r="N6140">
        <v>0</v>
      </c>
      <c r="O6140">
        <v>-0.70231589999999999</v>
      </c>
      <c r="P6140">
        <v>0.79299809999999904</v>
      </c>
      <c r="Q6140">
        <v>0.17631189999999999</v>
      </c>
      <c r="R6140">
        <v>-0.583153699999999</v>
      </c>
      <c r="S6140">
        <v>2.6234739999999999</v>
      </c>
      <c r="T6140">
        <v>-0.23934340000000001</v>
      </c>
      <c r="U6140">
        <v>-1.6526179999999999</v>
      </c>
      <c r="V6140">
        <v>-0.14356549999999901</v>
      </c>
      <c r="W6140">
        <v>0.1893813</v>
      </c>
      <c r="X6140">
        <v>0.97135139999999998</v>
      </c>
      <c r="Y6140">
        <v>-0.21278430000000001</v>
      </c>
      <c r="Z6140">
        <v>6.00061E-2</v>
      </c>
      <c r="AA6140">
        <v>0.97525490000000004</v>
      </c>
      <c r="AB6140">
        <v>19</v>
      </c>
      <c r="AC6140">
        <v>12.0794</v>
      </c>
      <c r="AD6140">
        <v>-1.1145361184339999</v>
      </c>
      <c r="AE6140">
        <v>-7.5702200000000097</v>
      </c>
      <c r="AF6140">
        <v>-3.0772538465713</v>
      </c>
      <c r="AG6140">
        <v>-1.1145361184339999</v>
      </c>
      <c r="AH6140">
        <v>13.8307214933702</v>
      </c>
      <c r="AI6140">
        <v>94.497660124213994</v>
      </c>
      <c r="AJ6140">
        <v>102.54365091366</v>
      </c>
      <c r="AK6140">
        <v>14.2126893662918</v>
      </c>
      <c r="AL6140">
        <v>79.083319507651893</v>
      </c>
      <c r="AM6140">
        <v>98.407435342363001</v>
      </c>
      <c r="AN6140">
        <v>0.99999993593094705</v>
      </c>
    </row>
    <row r="6141" spans="1:40" x14ac:dyDescent="0.25">
      <c r="A6141" t="str">
        <f>"20190312172531613"</f>
        <v>20190312172531613</v>
      </c>
      <c r="B6141" t="str">
        <f>"1552382731606399"</f>
        <v>1552382731606399</v>
      </c>
      <c r="C6141" t="s">
        <v>40</v>
      </c>
      <c r="D6141">
        <v>3.4855969999999998</v>
      </c>
      <c r="E6141">
        <v>0.45585740000000002</v>
      </c>
      <c r="F6141" t="s">
        <v>50</v>
      </c>
      <c r="G6141">
        <v>-282.37860000000001</v>
      </c>
      <c r="H6141" s="1">
        <v>-5.1622850000000003E-6</v>
      </c>
      <c r="I6141">
        <v>-59.664119999999997</v>
      </c>
      <c r="J6141">
        <v>-294.41140000000001</v>
      </c>
      <c r="K6141">
        <v>1.11446</v>
      </c>
      <c r="L6141">
        <v>-52.223570000000002</v>
      </c>
      <c r="M6141">
        <v>0.71665630000000002</v>
      </c>
      <c r="N6141">
        <v>0</v>
      </c>
      <c r="O6141">
        <v>-0.6972718</v>
      </c>
      <c r="P6141">
        <v>0.7971355</v>
      </c>
      <c r="Q6141">
        <v>0.1765005</v>
      </c>
      <c r="R6141">
        <v>-0.57742769999999899</v>
      </c>
      <c r="S6141">
        <v>2.6331180000000001</v>
      </c>
      <c r="T6141">
        <v>-0.2411054</v>
      </c>
      <c r="U6141">
        <v>-1.636719</v>
      </c>
      <c r="V6141">
        <v>-0.14363979999999901</v>
      </c>
      <c r="W6141">
        <v>0.1895714</v>
      </c>
      <c r="X6141">
        <v>0.97130340000000004</v>
      </c>
      <c r="Y6141">
        <v>-0.21171499999999999</v>
      </c>
      <c r="Z6141">
        <v>6.007063E-2</v>
      </c>
      <c r="AA6141">
        <v>0.97548360000000001</v>
      </c>
      <c r="AB6141">
        <v>19</v>
      </c>
      <c r="AC6141">
        <v>12.0328</v>
      </c>
      <c r="AD6141">
        <v>-1.1144651622849999</v>
      </c>
      <c r="AE6141">
        <v>-7.4405499999999902</v>
      </c>
      <c r="AF6141">
        <v>-3.0392847474170499</v>
      </c>
      <c r="AG6141">
        <v>-1.1144651622849999</v>
      </c>
      <c r="AH6141">
        <v>13.727770236106499</v>
      </c>
      <c r="AI6141">
        <v>94.532010429943895</v>
      </c>
      <c r="AJ6141">
        <v>102.483733569276</v>
      </c>
      <c r="AK6141">
        <v>14.1042887105008</v>
      </c>
      <c r="AL6141">
        <v>79.072227358641697</v>
      </c>
      <c r="AM6141">
        <v>98.412133980470102</v>
      </c>
      <c r="AN6141">
        <v>1.00000000134678</v>
      </c>
    </row>
    <row r="6142" spans="1:40" x14ac:dyDescent="0.25">
      <c r="A6142" t="str">
        <f>"20190312172531636"</f>
        <v>20190312172531636</v>
      </c>
      <c r="B6142" t="str">
        <f>"1552382731626895"</f>
        <v>1552382731626895</v>
      </c>
      <c r="C6142" t="s">
        <v>40</v>
      </c>
      <c r="D6142">
        <v>3.503981</v>
      </c>
      <c r="E6142">
        <v>0.45487369999999999</v>
      </c>
      <c r="F6142" t="s">
        <v>50</v>
      </c>
      <c r="G6142">
        <v>-281.40429999999998</v>
      </c>
      <c r="H6142" s="1">
        <v>-5.658726E-6</v>
      </c>
      <c r="I6142">
        <v>-59.425049999999999</v>
      </c>
      <c r="J6142">
        <v>-294.27050000000003</v>
      </c>
      <c r="K6142">
        <v>1.114374</v>
      </c>
      <c r="L6142">
        <v>-52.349029999999999</v>
      </c>
      <c r="M6142">
        <v>0.72151030000000005</v>
      </c>
      <c r="N6142">
        <v>0</v>
      </c>
      <c r="O6142">
        <v>-0.69224849999999905</v>
      </c>
      <c r="P6142">
        <v>0.80106160000000004</v>
      </c>
      <c r="Q6142">
        <v>0.17641989999999999</v>
      </c>
      <c r="R6142">
        <v>-0.57199339999999999</v>
      </c>
      <c r="S6142">
        <v>2.7230530000000002</v>
      </c>
      <c r="T6142">
        <v>-0.23331360000000001</v>
      </c>
      <c r="U6142">
        <v>-1.5076290000000001</v>
      </c>
      <c r="V6142">
        <v>-0.14343249999999999</v>
      </c>
      <c r="W6142">
        <v>0.18949930000000001</v>
      </c>
      <c r="X6142">
        <v>0.97134810000000005</v>
      </c>
      <c r="Y6142">
        <v>-0.25403300000000001</v>
      </c>
      <c r="Z6142">
        <v>5.8766560000000002E-2</v>
      </c>
      <c r="AA6142">
        <v>0.96540859999999995</v>
      </c>
      <c r="AB6142">
        <v>19</v>
      </c>
      <c r="AC6142">
        <v>12.866199999999999</v>
      </c>
      <c r="AD6142">
        <v>-1.114379658726</v>
      </c>
      <c r="AE6142">
        <v>-7.0760199999999998</v>
      </c>
      <c r="AF6142">
        <v>-3.7798242259508701</v>
      </c>
      <c r="AG6142">
        <v>-1.114379658726</v>
      </c>
      <c r="AH6142">
        <v>14.101762319697199</v>
      </c>
      <c r="AI6142">
        <v>94.364908233100607</v>
      </c>
      <c r="AJ6142">
        <v>105.00480821021701</v>
      </c>
      <c r="AK6142">
        <v>14.642015357323499</v>
      </c>
      <c r="AL6142">
        <v>79.076434620832103</v>
      </c>
      <c r="AM6142">
        <v>98.399785941114601</v>
      </c>
      <c r="AN6142">
        <v>0.999999999065175</v>
      </c>
    </row>
    <row r="6143" spans="1:40" x14ac:dyDescent="0.25">
      <c r="A6143" t="str">
        <f>"20190312172531658"</f>
        <v>20190312172531658</v>
      </c>
      <c r="B6143" t="str">
        <f>"1552382731646415"</f>
        <v>1552382731646415</v>
      </c>
      <c r="C6143" t="s">
        <v>40</v>
      </c>
      <c r="D6143">
        <v>3.5851440000000001</v>
      </c>
      <c r="E6143">
        <v>0.45495829999999998</v>
      </c>
      <c r="F6143" t="s">
        <v>50</v>
      </c>
      <c r="G6143">
        <v>-281.41969999999998</v>
      </c>
      <c r="H6143" s="1">
        <v>-5.6723389999999999E-6</v>
      </c>
      <c r="I6143">
        <v>-59.308070000000001</v>
      </c>
      <c r="J6143">
        <v>-294.13400000000001</v>
      </c>
      <c r="K6143">
        <v>1.1142810000000001</v>
      </c>
      <c r="L6143">
        <v>-52.469059999999999</v>
      </c>
      <c r="M6143">
        <v>0.72605869999999995</v>
      </c>
      <c r="N6143">
        <v>0</v>
      </c>
      <c r="O6143">
        <v>-0.68747709999999995</v>
      </c>
      <c r="P6143">
        <v>0.80444629999999995</v>
      </c>
      <c r="Q6143">
        <v>0.1769781</v>
      </c>
      <c r="R6143">
        <v>-0.56704960000000004</v>
      </c>
      <c r="S6143">
        <v>2.7384339999999998</v>
      </c>
      <c r="T6143">
        <v>-0.23746919999999999</v>
      </c>
      <c r="U6143">
        <v>-1.4829410000000001</v>
      </c>
      <c r="V6143">
        <v>-0.1428865</v>
      </c>
      <c r="W6143">
        <v>0.19007099999999999</v>
      </c>
      <c r="X6143">
        <v>0.97131690000000004</v>
      </c>
      <c r="Y6143">
        <v>-0.25659480000000001</v>
      </c>
      <c r="Z6143">
        <v>5.9534549999999999E-2</v>
      </c>
      <c r="AA6143">
        <v>0.96468379999999998</v>
      </c>
      <c r="AB6143">
        <v>19</v>
      </c>
      <c r="AC6143">
        <v>12.7143</v>
      </c>
      <c r="AD6143">
        <v>-1.1142866723389999</v>
      </c>
      <c r="AE6143">
        <v>-6.8390099999999903</v>
      </c>
      <c r="AF6143">
        <v>-3.7533121271159602</v>
      </c>
      <c r="AG6143">
        <v>-1.1142866723389999</v>
      </c>
      <c r="AH6143">
        <v>13.851962888488</v>
      </c>
      <c r="AI6143">
        <v>94.439696071237407</v>
      </c>
      <c r="AJ6143">
        <v>105.160768697305</v>
      </c>
      <c r="AK6143">
        <v>14.3946470111552</v>
      </c>
      <c r="AL6143">
        <v>79.043072611513196</v>
      </c>
      <c r="AM6143">
        <v>98.368529365780503</v>
      </c>
      <c r="AN6143">
        <v>1.0000000285744199</v>
      </c>
    </row>
    <row r="6144" spans="1:40" x14ac:dyDescent="0.25">
      <c r="A6144" t="str">
        <f>"20190312172531680"</f>
        <v>20190312172531680</v>
      </c>
      <c r="B6144" t="str">
        <f>"1552382731676671"</f>
        <v>1552382731676671</v>
      </c>
      <c r="C6144" t="s">
        <v>40</v>
      </c>
      <c r="D6144">
        <v>3.541709</v>
      </c>
      <c r="E6144">
        <v>0.45614670000000002</v>
      </c>
      <c r="F6144" t="s">
        <v>50</v>
      </c>
      <c r="G6144">
        <v>-281.476</v>
      </c>
      <c r="H6144" s="1">
        <v>-5.6603839999999996E-6</v>
      </c>
      <c r="I6144">
        <v>-59.227960000000003</v>
      </c>
      <c r="J6144">
        <v>-293.9932</v>
      </c>
      <c r="K6144">
        <v>1.1141749999999999</v>
      </c>
      <c r="L6144">
        <v>-52.591459999999998</v>
      </c>
      <c r="M6144">
        <v>0.73059649999999998</v>
      </c>
      <c r="N6144">
        <v>0</v>
      </c>
      <c r="O6144">
        <v>-0.68265319999999996</v>
      </c>
      <c r="P6144">
        <v>0.80794319999999997</v>
      </c>
      <c r="Q6144">
        <v>0.1772292</v>
      </c>
      <c r="R6144">
        <v>-0.5619769</v>
      </c>
      <c r="S6144">
        <v>2.748138</v>
      </c>
      <c r="T6144">
        <v>-0.24191960000000001</v>
      </c>
      <c r="U6144">
        <v>-1.4674069999999999</v>
      </c>
      <c r="V6144">
        <v>-0.1424802</v>
      </c>
      <c r="W6144">
        <v>0.19033729999999999</v>
      </c>
      <c r="X6144">
        <v>0.97132439999999998</v>
      </c>
      <c r="Y6144">
        <v>-0.25578659999999998</v>
      </c>
      <c r="Z6144">
        <v>6.0271180000000001E-2</v>
      </c>
      <c r="AA6144">
        <v>0.96485259999999995</v>
      </c>
      <c r="AB6144">
        <v>19</v>
      </c>
      <c r="AC6144">
        <v>12.517200000000001</v>
      </c>
      <c r="AD6144">
        <v>-1.1141806603840001</v>
      </c>
      <c r="AE6144">
        <v>-6.6364999999999901</v>
      </c>
      <c r="AF6144">
        <v>-3.6739752043792202</v>
      </c>
      <c r="AG6144">
        <v>-1.1141806603840001</v>
      </c>
      <c r="AH6144">
        <v>13.592843023735901</v>
      </c>
      <c r="AI6144">
        <v>94.524315854959696</v>
      </c>
      <c r="AJ6144">
        <v>105.124925901423</v>
      </c>
      <c r="AK6144">
        <v>14.1246194219275</v>
      </c>
      <c r="AL6144">
        <v>79.027530627741299</v>
      </c>
      <c r="AM6144">
        <v>98.345005368605896</v>
      </c>
      <c r="AN6144">
        <v>0.99999999259934502</v>
      </c>
    </row>
    <row r="6145" spans="1:40" x14ac:dyDescent="0.25">
      <c r="A6145" t="str">
        <f>"20190312172531703"</f>
        <v>20190312172531703</v>
      </c>
      <c r="B6145" t="str">
        <f>"1552382731696239"</f>
        <v>1552382731696239</v>
      </c>
      <c r="C6145" t="s">
        <v>40</v>
      </c>
      <c r="D6145">
        <v>3.6838120000000001</v>
      </c>
      <c r="E6145">
        <v>0.45667819999999998</v>
      </c>
      <c r="F6145" t="s">
        <v>50</v>
      </c>
      <c r="G6145">
        <v>-281.14190000000002</v>
      </c>
      <c r="H6145" s="1">
        <v>-5.7846450000000002E-6</v>
      </c>
      <c r="I6145">
        <v>-59.404319999999998</v>
      </c>
      <c r="J6145">
        <v>-293.85129999999998</v>
      </c>
      <c r="K6145">
        <v>1.11407099999999</v>
      </c>
      <c r="L6145">
        <v>-52.713410000000003</v>
      </c>
      <c r="M6145">
        <v>0.73500529999999997</v>
      </c>
      <c r="N6145">
        <v>0</v>
      </c>
      <c r="O6145">
        <v>-0.67790450000000002</v>
      </c>
      <c r="P6145">
        <v>0.81137599999999999</v>
      </c>
      <c r="Q6145">
        <v>0.17703279999999999</v>
      </c>
      <c r="R6145">
        <v>-0.55707130000000005</v>
      </c>
      <c r="S6145">
        <v>2.7510379999999999</v>
      </c>
      <c r="T6145">
        <v>-0.23850869999999999</v>
      </c>
      <c r="U6145">
        <v>-1.458405</v>
      </c>
      <c r="V6145">
        <v>-0.1420476</v>
      </c>
      <c r="W6145">
        <v>0.19015850000000001</v>
      </c>
      <c r="X6145">
        <v>0.97142280000000003</v>
      </c>
      <c r="Y6145">
        <v>-0.25248549999999997</v>
      </c>
      <c r="Z6145">
        <v>5.9040219999999997E-2</v>
      </c>
      <c r="AA6145">
        <v>0.96579780000000004</v>
      </c>
      <c r="AB6145">
        <v>19</v>
      </c>
      <c r="AC6145">
        <v>12.709399999999899</v>
      </c>
      <c r="AD6145">
        <v>-1.1140767846449899</v>
      </c>
      <c r="AE6145">
        <v>-6.6909099999999997</v>
      </c>
      <c r="AF6145">
        <v>-3.6761810767562202</v>
      </c>
      <c r="AG6145">
        <v>-1.1140767846449899</v>
      </c>
      <c r="AH6145">
        <v>13.795749607828199</v>
      </c>
      <c r="AI6145">
        <v>94.461871653133798</v>
      </c>
      <c r="AJ6145">
        <v>104.92100392005401</v>
      </c>
      <c r="AK6145">
        <v>14.320551024073</v>
      </c>
      <c r="AL6145">
        <v>79.037965958994803</v>
      </c>
      <c r="AM6145">
        <v>98.319192400225006</v>
      </c>
      <c r="AN6145">
        <v>1.00000001607392</v>
      </c>
    </row>
    <row r="6146" spans="1:40" x14ac:dyDescent="0.25">
      <c r="A6146" t="str">
        <f>"20190312172531724"</f>
        <v>20190312172531724</v>
      </c>
      <c r="B6146" t="str">
        <f>"1552382731716738"</f>
        <v>1552382731716738</v>
      </c>
      <c r="C6146" t="s">
        <v>40</v>
      </c>
      <c r="D6146">
        <v>3.5221460000000002</v>
      </c>
      <c r="E6146">
        <v>0.45769599999999999</v>
      </c>
      <c r="F6146" t="s">
        <v>50</v>
      </c>
      <c r="G6146">
        <v>-281.10980000000001</v>
      </c>
      <c r="H6146" s="1">
        <v>-5.8012670000000004E-6</v>
      </c>
      <c r="I6146">
        <v>-59.394829999999999</v>
      </c>
      <c r="J6146">
        <v>-293.71429999999998</v>
      </c>
      <c r="K6146">
        <v>1.1139779999999999</v>
      </c>
      <c r="L6146">
        <v>-52.829770000000003</v>
      </c>
      <c r="M6146">
        <v>0.73910949999999997</v>
      </c>
      <c r="N6146">
        <v>0</v>
      </c>
      <c r="O6146">
        <v>-0.67342769999999996</v>
      </c>
      <c r="P6146">
        <v>0.814307</v>
      </c>
      <c r="Q6146">
        <v>0.1778515</v>
      </c>
      <c r="R6146">
        <v>-0.55251519999999898</v>
      </c>
      <c r="S6146">
        <v>2.7573240000000001</v>
      </c>
      <c r="T6146">
        <v>-0.24109169999999999</v>
      </c>
      <c r="U6146">
        <v>-1.445892</v>
      </c>
      <c r="V6146">
        <v>-0.1414318</v>
      </c>
      <c r="W6146">
        <v>0.19099079999999999</v>
      </c>
      <c r="X6146">
        <v>0.97134940000000003</v>
      </c>
      <c r="Y6146">
        <v>-0.25091750000000002</v>
      </c>
      <c r="Z6146">
        <v>5.933041E-2</v>
      </c>
      <c r="AA6146">
        <v>0.96618850000000001</v>
      </c>
      <c r="AB6146">
        <v>19</v>
      </c>
      <c r="AC6146">
        <v>12.6044999999999</v>
      </c>
      <c r="AD6146">
        <v>-1.113983801267</v>
      </c>
      <c r="AE6146">
        <v>-6.5650600000000097</v>
      </c>
      <c r="AF6146">
        <v>-3.6141015399011001</v>
      </c>
      <c r="AG6146">
        <v>-1.113983801267</v>
      </c>
      <c r="AH6146">
        <v>13.654760025500099</v>
      </c>
      <c r="AI6146">
        <v>94.509377514809501</v>
      </c>
      <c r="AJ6146">
        <v>104.824935916461</v>
      </c>
      <c r="AK6146">
        <v>14.168809449075001</v>
      </c>
      <c r="AL6146">
        <v>78.989388744819095</v>
      </c>
      <c r="AM6146">
        <v>98.284246113840197</v>
      </c>
      <c r="AN6146">
        <v>1.00000004830811</v>
      </c>
    </row>
    <row r="6147" spans="1:40" x14ac:dyDescent="0.25">
      <c r="A6147" t="str">
        <f>"20190312172531746"</f>
        <v>20190312172531746</v>
      </c>
      <c r="B6147" t="str">
        <f>"1552382731736255"</f>
        <v>1552382731736255</v>
      </c>
      <c r="C6147" t="s">
        <v>40</v>
      </c>
      <c r="D6147">
        <v>3.5295369999999999</v>
      </c>
      <c r="E6147">
        <v>0.4586459</v>
      </c>
      <c r="F6147" t="s">
        <v>50</v>
      </c>
      <c r="G6147">
        <v>-280.83370000000002</v>
      </c>
      <c r="H6147" s="1">
        <v>-5.9038330000000004E-6</v>
      </c>
      <c r="I6147">
        <v>-59.541150000000002</v>
      </c>
      <c r="J6147">
        <v>-293.5736</v>
      </c>
      <c r="K6147">
        <v>1.113899</v>
      </c>
      <c r="L6147">
        <v>-52.948059999999998</v>
      </c>
      <c r="M6147">
        <v>0.74319619999999997</v>
      </c>
      <c r="N6147">
        <v>0</v>
      </c>
      <c r="O6147">
        <v>-0.66891529999999999</v>
      </c>
      <c r="P6147">
        <v>0.81726019999999999</v>
      </c>
      <c r="Q6147">
        <v>0.1782897</v>
      </c>
      <c r="R6147">
        <v>-0.54799560000000003</v>
      </c>
      <c r="S6147">
        <v>2.760345</v>
      </c>
      <c r="T6147">
        <v>-0.23872940000000001</v>
      </c>
      <c r="U6147">
        <v>-1.4382629999999901</v>
      </c>
      <c r="V6147">
        <v>-0.14079949999999999</v>
      </c>
      <c r="W6147">
        <v>0.19143959999999999</v>
      </c>
      <c r="X6147">
        <v>0.97135289999999996</v>
      </c>
      <c r="Y6147">
        <v>-0.247617</v>
      </c>
      <c r="Z6147">
        <v>5.8363810000000002E-2</v>
      </c>
      <c r="AA6147">
        <v>0.96709849999999997</v>
      </c>
      <c r="AB6147">
        <v>19</v>
      </c>
      <c r="AC6147">
        <v>12.739899999999899</v>
      </c>
      <c r="AD6147">
        <v>-1.113904903833</v>
      </c>
      <c r="AE6147">
        <v>-6.5930900000000001</v>
      </c>
      <c r="AF6147">
        <v>-3.6006268818325999</v>
      </c>
      <c r="AG6147">
        <v>-1.113904903833</v>
      </c>
      <c r="AH6147">
        <v>13.7967413413743</v>
      </c>
      <c r="AI6147">
        <v>94.466890848207299</v>
      </c>
      <c r="AJ6147">
        <v>104.626616643004</v>
      </c>
      <c r="AK6147">
        <v>14.302285471830899</v>
      </c>
      <c r="AL6147">
        <v>78.963190887625004</v>
      </c>
      <c r="AM6147">
        <v>98.247691013213199</v>
      </c>
      <c r="AN6147">
        <v>1.0000000379934</v>
      </c>
    </row>
    <row r="6148" spans="1:40" x14ac:dyDescent="0.25">
      <c r="A6148" t="str">
        <f>"20190312172531768"</f>
        <v>20190312172531768</v>
      </c>
      <c r="B6148" t="str">
        <f>"1552382731756754"</f>
        <v>1552382731756754</v>
      </c>
      <c r="C6148" t="s">
        <v>40</v>
      </c>
      <c r="D6148">
        <v>3.6241059999999998</v>
      </c>
      <c r="E6148">
        <v>0.45944410000000002</v>
      </c>
      <c r="F6148" t="s">
        <v>50</v>
      </c>
      <c r="G6148">
        <v>-280.59249999999997</v>
      </c>
      <c r="H6148" s="1">
        <v>-5.9954170000000001E-6</v>
      </c>
      <c r="I6148">
        <v>-59.657960000000003</v>
      </c>
      <c r="J6148">
        <v>-293.43239999999997</v>
      </c>
      <c r="K6148">
        <v>1.113842</v>
      </c>
      <c r="L6148">
        <v>-53.065489999999997</v>
      </c>
      <c r="M6148">
        <v>0.7471778</v>
      </c>
      <c r="N6148">
        <v>0</v>
      </c>
      <c r="O6148">
        <v>-0.66446539999999998</v>
      </c>
      <c r="P6148">
        <v>0.82027329999999998</v>
      </c>
      <c r="Q6148">
        <v>0.17828459999999999</v>
      </c>
      <c r="R6148">
        <v>-0.54347650000000003</v>
      </c>
      <c r="S6148">
        <v>2.7644350000000002</v>
      </c>
      <c r="T6148">
        <v>-0.2372146</v>
      </c>
      <c r="U6148">
        <v>-1.428925</v>
      </c>
      <c r="V6148">
        <v>-0.1403307</v>
      </c>
      <c r="W6148">
        <v>0.19143959999999999</v>
      </c>
      <c r="X6148">
        <v>0.97142070000000003</v>
      </c>
      <c r="Y6148">
        <v>-0.24503539999999999</v>
      </c>
      <c r="Z6148">
        <v>5.7630399999999998E-2</v>
      </c>
      <c r="AA6148">
        <v>0.96779979999999999</v>
      </c>
      <c r="AB6148">
        <v>19</v>
      </c>
      <c r="AC6148">
        <v>12.8399</v>
      </c>
      <c r="AD6148">
        <v>-1.113847995417</v>
      </c>
      <c r="AE6148">
        <v>-6.5924699999999898</v>
      </c>
      <c r="AF6148">
        <v>-3.5849527265789698</v>
      </c>
      <c r="AG6148">
        <v>-1.113847995417</v>
      </c>
      <c r="AH6148">
        <v>13.8928932617867</v>
      </c>
      <c r="AI6148">
        <v>94.4390271445575</v>
      </c>
      <c r="AJ6148">
        <v>104.469095251147</v>
      </c>
      <c r="AK6148">
        <v>14.391144033470701</v>
      </c>
      <c r="AL6148">
        <v>78.963190475322506</v>
      </c>
      <c r="AM6148">
        <v>98.220039873136699</v>
      </c>
      <c r="AN6148">
        <v>1.00000000109957</v>
      </c>
    </row>
    <row r="6149" spans="1:40" x14ac:dyDescent="0.25">
      <c r="A6149" t="str">
        <f>"20190312172531791"</f>
        <v>20190312172531791</v>
      </c>
      <c r="B6149" t="str">
        <f>"1552382731787007"</f>
        <v>1552382731787007</v>
      </c>
      <c r="C6149" t="s">
        <v>40</v>
      </c>
      <c r="D6149">
        <v>3.6600269999999999</v>
      </c>
      <c r="E6149">
        <v>0.46039350000000001</v>
      </c>
      <c r="F6149" t="s">
        <v>50</v>
      </c>
      <c r="G6149">
        <v>-280.46460000000002</v>
      </c>
      <c r="H6149" s="1">
        <v>-6.0457380000000002E-6</v>
      </c>
      <c r="I6149">
        <v>-59.709989999999998</v>
      </c>
      <c r="J6149">
        <v>-293.28609999999998</v>
      </c>
      <c r="K6149">
        <v>1.1137870000000001</v>
      </c>
      <c r="L6149">
        <v>-53.185850000000002</v>
      </c>
      <c r="M6149">
        <v>0.7511852</v>
      </c>
      <c r="N6149">
        <v>0</v>
      </c>
      <c r="O6149">
        <v>-0.65993219999999997</v>
      </c>
      <c r="P6149">
        <v>0.82358159999999903</v>
      </c>
      <c r="Q6149">
        <v>0.17739089999999999</v>
      </c>
      <c r="R6149">
        <v>-0.53874489999999997</v>
      </c>
      <c r="S6149">
        <v>2.7689509999999999</v>
      </c>
      <c r="T6149">
        <v>-0.23783370000000001</v>
      </c>
      <c r="U6149">
        <v>-1.4187620000000001</v>
      </c>
      <c r="V6149">
        <v>-0.1401424</v>
      </c>
      <c r="W6149">
        <v>0.19054750000000001</v>
      </c>
      <c r="X6149">
        <v>0.97162320000000002</v>
      </c>
      <c r="Y6149">
        <v>-0.24262619999999999</v>
      </c>
      <c r="Z6149">
        <v>5.7412230000000002E-2</v>
      </c>
      <c r="AA6149">
        <v>0.96841949999999999</v>
      </c>
      <c r="AB6149">
        <v>19</v>
      </c>
      <c r="AC6149">
        <v>12.821499999999901</v>
      </c>
      <c r="AD6149">
        <v>-1.1137930457379901</v>
      </c>
      <c r="AE6149">
        <v>-6.5241400000000001</v>
      </c>
      <c r="AF6149">
        <v>-3.5396403363972802</v>
      </c>
      <c r="AG6149">
        <v>-1.1137930457379901</v>
      </c>
      <c r="AH6149">
        <v>13.8552254591847</v>
      </c>
      <c r="AI6149">
        <v>94.453572155787498</v>
      </c>
      <c r="AJ6149">
        <v>104.33101200447101</v>
      </c>
      <c r="AK6149">
        <v>14.343530290156</v>
      </c>
      <c r="AL6149">
        <v>79.015261970358594</v>
      </c>
      <c r="AM6149">
        <v>98.207472810255993</v>
      </c>
      <c r="AN6149">
        <v>0.999999942406123</v>
      </c>
    </row>
    <row r="6150" spans="1:40" x14ac:dyDescent="0.25">
      <c r="A6150" t="str">
        <f>"20190312172531815"</f>
        <v>20190312172531815</v>
      </c>
      <c r="B6150" t="str">
        <f>"1552382731806527"</f>
        <v>1552382731806527</v>
      </c>
      <c r="C6150" t="s">
        <v>40</v>
      </c>
      <c r="D6150">
        <v>3.6478570000000001</v>
      </c>
      <c r="E6150">
        <v>0.46912209999999899</v>
      </c>
      <c r="F6150" t="s">
        <v>50</v>
      </c>
      <c r="G6150">
        <v>-280.51740000000001</v>
      </c>
      <c r="H6150" s="1">
        <v>-6.0276160000000001E-6</v>
      </c>
      <c r="I6150">
        <v>-59.673549999999999</v>
      </c>
      <c r="J6150">
        <v>-293.14049999999997</v>
      </c>
      <c r="K6150">
        <v>1.11374</v>
      </c>
      <c r="L6150">
        <v>-53.304319999999997</v>
      </c>
      <c r="M6150">
        <v>0.75506379999999995</v>
      </c>
      <c r="N6150">
        <v>0</v>
      </c>
      <c r="O6150">
        <v>-0.65549109999999999</v>
      </c>
      <c r="P6150">
        <v>0.82685830000000005</v>
      </c>
      <c r="Q6150">
        <v>0.17686079999999901</v>
      </c>
      <c r="R6150">
        <v>-0.53387799999999996</v>
      </c>
      <c r="S6150">
        <v>2.7730410000000001</v>
      </c>
      <c r="T6150">
        <v>-0.24188799999999999</v>
      </c>
      <c r="U6150">
        <v>-1.4089659999999999</v>
      </c>
      <c r="V6150">
        <v>-0.14019329999999999</v>
      </c>
      <c r="W6150">
        <v>0.19001570000000001</v>
      </c>
      <c r="X6150">
        <v>0.97172000000000003</v>
      </c>
      <c r="Y6150">
        <v>-0.2401413</v>
      </c>
      <c r="Z6150">
        <v>5.8018760000000003E-2</v>
      </c>
      <c r="AA6150">
        <v>0.96900260000000005</v>
      </c>
      <c r="AB6150">
        <v>19</v>
      </c>
      <c r="AC6150">
        <v>12.6230999999999</v>
      </c>
      <c r="AD6150">
        <v>-1.1137460276160001</v>
      </c>
      <c r="AE6150">
        <v>-6.3692299999999999</v>
      </c>
      <c r="AF6150">
        <v>-3.4441479572818401</v>
      </c>
      <c r="AG6150">
        <v>-1.1137460276160001</v>
      </c>
      <c r="AH6150">
        <v>13.623128483853</v>
      </c>
      <c r="AI6150">
        <v>94.531805834639997</v>
      </c>
      <c r="AJ6150">
        <v>104.188008881103</v>
      </c>
      <c r="AK6150">
        <v>14.095822610023401</v>
      </c>
      <c r="AL6150">
        <v>79.046298933903699</v>
      </c>
      <c r="AM6150">
        <v>98.209606397816501</v>
      </c>
      <c r="AN6150">
        <v>0.99999994300568795</v>
      </c>
    </row>
    <row r="6151" spans="1:40" x14ac:dyDescent="0.25">
      <c r="A6151" t="str">
        <f>"20190312172531836"</f>
        <v>20190312172531836</v>
      </c>
      <c r="B6151" t="str">
        <f>"1552382731827024"</f>
        <v>1552382731827024</v>
      </c>
      <c r="C6151" t="s">
        <v>40</v>
      </c>
      <c r="D6151">
        <v>3.5417429999999999</v>
      </c>
      <c r="E6151">
        <v>0.47064210000000001</v>
      </c>
      <c r="F6151" t="s">
        <v>50</v>
      </c>
      <c r="G6151">
        <v>-280.32889999999998</v>
      </c>
      <c r="H6151" s="1">
        <v>-6.0432799999999997E-6</v>
      </c>
      <c r="I6151">
        <v>-60.078769999999999</v>
      </c>
      <c r="J6151">
        <v>-293.00110000000001</v>
      </c>
      <c r="K6151">
        <v>1.113702</v>
      </c>
      <c r="L6151">
        <v>-53.416530000000002</v>
      </c>
      <c r="M6151">
        <v>0.75868979999999997</v>
      </c>
      <c r="N6151">
        <v>0</v>
      </c>
      <c r="O6151">
        <v>-0.65129150000000002</v>
      </c>
      <c r="P6151">
        <v>0.82938179999999995</v>
      </c>
      <c r="Q6151">
        <v>0.17685799999999999</v>
      </c>
      <c r="R6151">
        <v>-0.52995059999999905</v>
      </c>
      <c r="S6151">
        <v>2.7427980000000001</v>
      </c>
      <c r="T6151">
        <v>-0.23843800000000001</v>
      </c>
      <c r="U6151">
        <v>-1.4503170000000001</v>
      </c>
      <c r="V6151">
        <v>-0.13938829999999999</v>
      </c>
      <c r="W6151">
        <v>0.19001850000000001</v>
      </c>
      <c r="X6151">
        <v>0.97183529999999996</v>
      </c>
      <c r="Y6151">
        <v>-0.21901039999999999</v>
      </c>
      <c r="Z6151">
        <v>5.6409050000000002E-2</v>
      </c>
      <c r="AA6151">
        <v>0.97409060000000003</v>
      </c>
      <c r="AB6151">
        <v>19</v>
      </c>
      <c r="AC6151">
        <v>12.6722</v>
      </c>
      <c r="AD6151">
        <v>-1.1137080432799999</v>
      </c>
      <c r="AE6151">
        <v>-6.6622399999999899</v>
      </c>
      <c r="AF6151">
        <v>-3.17981503213483</v>
      </c>
      <c r="AG6151">
        <v>-1.1137080432799999</v>
      </c>
      <c r="AH6151">
        <v>13.8708513359837</v>
      </c>
      <c r="AI6151">
        <v>94.474912761761104</v>
      </c>
      <c r="AJ6151">
        <v>102.911640318604</v>
      </c>
      <c r="AK6151">
        <v>14.2741754938497</v>
      </c>
      <c r="AL6151">
        <v>79.046136043325703</v>
      </c>
      <c r="AM6151">
        <v>98.162147944182493</v>
      </c>
      <c r="AN6151">
        <v>0.99999998942261403</v>
      </c>
    </row>
    <row r="6152" spans="1:40" x14ac:dyDescent="0.25">
      <c r="A6152" t="str">
        <f>"20190312172531858"</f>
        <v>20190312172531858</v>
      </c>
      <c r="B6152" t="str">
        <f>"1552382731846543"</f>
        <v>1552382731846543</v>
      </c>
      <c r="C6152" t="s">
        <v>40</v>
      </c>
      <c r="D6152">
        <v>3.6072630000000001</v>
      </c>
      <c r="E6152">
        <v>0.47083589999999997</v>
      </c>
      <c r="F6152" t="s">
        <v>43</v>
      </c>
      <c r="G6152">
        <v>-279.89960000000002</v>
      </c>
      <c r="H6152" s="1">
        <v>-3.413369E-6</v>
      </c>
      <c r="I6152">
        <v>-60.328499999999998</v>
      </c>
      <c r="J6152">
        <v>-292.86009999999999</v>
      </c>
      <c r="K6152">
        <v>1.1136569999999999</v>
      </c>
      <c r="L6152">
        <v>-53.528840000000002</v>
      </c>
      <c r="M6152">
        <v>0.7622797</v>
      </c>
      <c r="N6152">
        <v>0</v>
      </c>
      <c r="O6152">
        <v>-0.6470863</v>
      </c>
      <c r="P6152">
        <v>0.83191999999999999</v>
      </c>
      <c r="Q6152">
        <v>0.176926</v>
      </c>
      <c r="R6152">
        <v>-0.52593400000000001</v>
      </c>
      <c r="S6152">
        <v>2.7424010000000001</v>
      </c>
      <c r="T6152">
        <v>-0.2331202</v>
      </c>
      <c r="U6152">
        <v>-1.4468080000000001</v>
      </c>
      <c r="V6152">
        <v>-0.13868279999999999</v>
      </c>
      <c r="W6152">
        <v>0.19009200000000001</v>
      </c>
      <c r="X6152">
        <v>0.97192190000000001</v>
      </c>
      <c r="Y6152">
        <v>-0.2146391</v>
      </c>
      <c r="Z6152">
        <v>5.4775949999999997E-2</v>
      </c>
      <c r="AA6152">
        <v>0.97515620000000003</v>
      </c>
      <c r="AB6152">
        <v>19</v>
      </c>
      <c r="AC6152">
        <v>12.9604999999999</v>
      </c>
      <c r="AD6152">
        <v>-1.11366041336899</v>
      </c>
      <c r="AE6152">
        <v>-6.7996599999999896</v>
      </c>
      <c r="AF6152">
        <v>-3.1852121297538298</v>
      </c>
      <c r="AG6152">
        <v>-1.11366041336899</v>
      </c>
      <c r="AH6152">
        <v>14.198776646231201</v>
      </c>
      <c r="AI6152">
        <v>94.376400872666395</v>
      </c>
      <c r="AJ6152">
        <v>102.643842007808</v>
      </c>
      <c r="AK6152">
        <v>14.5942137190531</v>
      </c>
      <c r="AL6152">
        <v>79.041847111879207</v>
      </c>
      <c r="AM6152">
        <v>98.120674568903098</v>
      </c>
      <c r="AN6152">
        <v>1.0000000335897199</v>
      </c>
    </row>
    <row r="6153" spans="1:40" x14ac:dyDescent="0.25">
      <c r="A6153" t="str">
        <f>"20190312172531870"</f>
        <v>20190312172531870</v>
      </c>
      <c r="B6153" t="str">
        <f>"1552382731867039"</f>
        <v>1552382731867039</v>
      </c>
      <c r="C6153" t="s">
        <v>40</v>
      </c>
      <c r="D6153">
        <v>3.641918</v>
      </c>
      <c r="E6153">
        <v>0.47153420000000001</v>
      </c>
      <c r="F6153" t="s">
        <v>50</v>
      </c>
      <c r="G6153">
        <v>-279.97800000000001</v>
      </c>
      <c r="H6153" s="1">
        <v>-6.1700579999999997E-6</v>
      </c>
      <c r="I6153">
        <v>-60.250610000000002</v>
      </c>
      <c r="J6153">
        <v>-292.78190000000001</v>
      </c>
      <c r="K6153">
        <v>1.113634</v>
      </c>
      <c r="L6153">
        <v>-53.590580000000003</v>
      </c>
      <c r="M6153">
        <v>0.7642388</v>
      </c>
      <c r="N6153">
        <v>0</v>
      </c>
      <c r="O6153">
        <v>-0.64477150000000005</v>
      </c>
      <c r="P6153">
        <v>0.83332609999999996</v>
      </c>
      <c r="Q6153">
        <v>0.17677229999999999</v>
      </c>
      <c r="R6153">
        <v>-0.52375539999999998</v>
      </c>
      <c r="S6153">
        <v>2.7496640000000001</v>
      </c>
      <c r="T6153">
        <v>-0.2377099</v>
      </c>
      <c r="U6153">
        <v>-1.4347529999999999</v>
      </c>
      <c r="V6153">
        <v>-0.13828689999999999</v>
      </c>
      <c r="W6153">
        <v>0.18994169999999999</v>
      </c>
      <c r="X6153">
        <v>0.97200759999999997</v>
      </c>
      <c r="Y6153">
        <v>-0.21601909999999999</v>
      </c>
      <c r="Z6153">
        <v>5.571657E-2</v>
      </c>
      <c r="AA6153">
        <v>0.9747981</v>
      </c>
      <c r="AB6153">
        <v>19</v>
      </c>
      <c r="AC6153">
        <v>12.803900000000001</v>
      </c>
      <c r="AD6153">
        <v>-1.1136401700579901</v>
      </c>
      <c r="AE6153">
        <v>-6.6600299999999901</v>
      </c>
      <c r="AF6153">
        <v>-3.14732777651541</v>
      </c>
      <c r="AG6153">
        <v>-1.1136401700579901</v>
      </c>
      <c r="AH6153">
        <v>13.9975630603903</v>
      </c>
      <c r="AI6153">
        <v>94.438491315933007</v>
      </c>
      <c r="AJ6153">
        <v>102.67210839446</v>
      </c>
      <c r="AK6153">
        <v>14.3901924306382</v>
      </c>
      <c r="AL6153">
        <v>79.050617495360299</v>
      </c>
      <c r="AM6153">
        <v>98.0970957623788</v>
      </c>
      <c r="AN6153">
        <v>0.99999994528412794</v>
      </c>
    </row>
    <row r="6154" spans="1:40" x14ac:dyDescent="0.25">
      <c r="A6154" t="str">
        <f>"20190312172531883"</f>
        <v>20190312172531883</v>
      </c>
      <c r="B6154" t="str">
        <f>"1552382731876800"</f>
        <v>1552382731876800</v>
      </c>
      <c r="C6154" t="s">
        <v>40</v>
      </c>
      <c r="D6154">
        <v>3.552251</v>
      </c>
      <c r="E6154">
        <v>0.47194419999999998</v>
      </c>
      <c r="F6154" t="s">
        <v>50</v>
      </c>
      <c r="G6154">
        <v>-279.99810000000002</v>
      </c>
      <c r="H6154" s="1">
        <v>-6.1637050000000003E-6</v>
      </c>
      <c r="I6154">
        <v>-60.247329999999998</v>
      </c>
      <c r="J6154">
        <v>-292.69850000000002</v>
      </c>
      <c r="K6154">
        <v>1.1136090000000001</v>
      </c>
      <c r="L6154">
        <v>-53.656010000000002</v>
      </c>
      <c r="M6154">
        <v>0.76630759999999998</v>
      </c>
      <c r="N6154">
        <v>0</v>
      </c>
      <c r="O6154">
        <v>-0.64231169999999904</v>
      </c>
      <c r="P6154">
        <v>0.83490200000000003</v>
      </c>
      <c r="Q6154">
        <v>0.1765012</v>
      </c>
      <c r="R6154">
        <v>-0.52133149999999995</v>
      </c>
      <c r="S6154">
        <v>2.7506409999999999</v>
      </c>
      <c r="T6154">
        <v>-0.23961830000000001</v>
      </c>
      <c r="U6154">
        <v>-1.432312</v>
      </c>
      <c r="V6154">
        <v>-0.13801189999999999</v>
      </c>
      <c r="W6154">
        <v>0.18967349999999999</v>
      </c>
      <c r="X6154">
        <v>0.97209909999999999</v>
      </c>
      <c r="Y6154">
        <v>-0.2136797</v>
      </c>
      <c r="Z6154">
        <v>5.5923140000000003E-2</v>
      </c>
      <c r="AA6154">
        <v>0.9753018</v>
      </c>
      <c r="AB6154">
        <v>19</v>
      </c>
      <c r="AC6154">
        <v>12.7004</v>
      </c>
      <c r="AD6154">
        <v>-1.113615163705</v>
      </c>
      <c r="AE6154">
        <v>-6.5913199999999996</v>
      </c>
      <c r="AF6154">
        <v>-3.0882551022724498</v>
      </c>
      <c r="AG6154">
        <v>-1.113615163705</v>
      </c>
      <c r="AH6154">
        <v>13.88345836949</v>
      </c>
      <c r="AI6154">
        <v>94.477007787585293</v>
      </c>
      <c r="AJ6154">
        <v>102.54077095027699</v>
      </c>
      <c r="AK6154">
        <v>14.2663195886994</v>
      </c>
      <c r="AL6154">
        <v>79.066269246105406</v>
      </c>
      <c r="AM6154">
        <v>98.080456022597204</v>
      </c>
      <c r="AN6154">
        <v>0.99999999068233403</v>
      </c>
    </row>
    <row r="6155" spans="1:40" x14ac:dyDescent="0.25">
      <c r="A6155" t="str">
        <f>"20190312172531895"</f>
        <v>20190312172531895</v>
      </c>
      <c r="B6155" t="str">
        <f>"1552382731886562"</f>
        <v>1552382731886562</v>
      </c>
      <c r="C6155" t="s">
        <v>40</v>
      </c>
      <c r="D6155">
        <v>3.682779</v>
      </c>
      <c r="E6155">
        <v>0.47209899999999999</v>
      </c>
      <c r="F6155" t="s">
        <v>43</v>
      </c>
      <c r="G6155">
        <v>-279.858</v>
      </c>
      <c r="H6155" s="1">
        <v>-3.3989549999999998E-6</v>
      </c>
      <c r="I6155">
        <v>-60.313009999999998</v>
      </c>
      <c r="J6155">
        <v>-292.62060000000002</v>
      </c>
      <c r="K6155">
        <v>1.113585</v>
      </c>
      <c r="L6155">
        <v>-53.716859999999997</v>
      </c>
      <c r="M6155">
        <v>0.76822049999999997</v>
      </c>
      <c r="N6155">
        <v>0</v>
      </c>
      <c r="O6155">
        <v>-0.64002269999999895</v>
      </c>
      <c r="P6155">
        <v>0.83647879999999997</v>
      </c>
      <c r="Q6155">
        <v>0.17631569999999999</v>
      </c>
      <c r="R6155">
        <v>-0.51886060000000001</v>
      </c>
      <c r="S6155">
        <v>2.7526250000000001</v>
      </c>
      <c r="T6155">
        <v>-0.2387251</v>
      </c>
      <c r="U6155">
        <v>-1.427063</v>
      </c>
      <c r="V6155">
        <v>-0.1380017</v>
      </c>
      <c r="W6155">
        <v>0.18948719999999999</v>
      </c>
      <c r="X6155">
        <v>0.97213689999999997</v>
      </c>
      <c r="Y6155">
        <v>-0.21254120000000001</v>
      </c>
      <c r="Z6155">
        <v>5.5532669999999999E-2</v>
      </c>
      <c r="AA6155">
        <v>0.97557280000000002</v>
      </c>
      <c r="AB6155">
        <v>18</v>
      </c>
      <c r="AC6155">
        <v>12.762600000000001</v>
      </c>
      <c r="AD6155">
        <v>-1.1135883989549999</v>
      </c>
      <c r="AE6155">
        <v>-6.5961499999999997</v>
      </c>
      <c r="AF6155">
        <v>-3.0828561099660199</v>
      </c>
      <c r="AG6155">
        <v>-1.1135883989549999</v>
      </c>
      <c r="AH6155">
        <v>13.9438577245107</v>
      </c>
      <c r="AI6155">
        <v>94.458854467341297</v>
      </c>
      <c r="AJ6155">
        <v>102.467007844885</v>
      </c>
      <c r="AK6155">
        <v>14.3239397219634</v>
      </c>
      <c r="AL6155">
        <v>79.077140816070298</v>
      </c>
      <c r="AM6155">
        <v>98.079556685092896</v>
      </c>
      <c r="AN6155">
        <v>1.00000001025417</v>
      </c>
    </row>
    <row r="6156" spans="1:40" x14ac:dyDescent="0.25">
      <c r="A6156" t="str">
        <f>"20190312172531907"</f>
        <v>20190312172531907</v>
      </c>
      <c r="B6156" t="str">
        <f>"1552382731896320"</f>
        <v>1552382731896320</v>
      </c>
      <c r="C6156" t="s">
        <v>40</v>
      </c>
      <c r="D6156">
        <v>3.6950120000000002</v>
      </c>
      <c r="E6156">
        <v>0.47228019999999998</v>
      </c>
      <c r="F6156" t="s">
        <v>43</v>
      </c>
      <c r="G6156">
        <v>-279.85629999999998</v>
      </c>
      <c r="H6156" s="1">
        <v>-3.4026630000000001E-6</v>
      </c>
      <c r="I6156">
        <v>-60.292960000000001</v>
      </c>
      <c r="J6156">
        <v>-292.5462</v>
      </c>
      <c r="K6156">
        <v>1.1135710000000001</v>
      </c>
      <c r="L6156">
        <v>-53.7746</v>
      </c>
      <c r="M6156">
        <v>0.77003060000000001</v>
      </c>
      <c r="N6156">
        <v>0</v>
      </c>
      <c r="O6156">
        <v>-0.63784390000000002</v>
      </c>
      <c r="P6156">
        <v>0.83788560000000001</v>
      </c>
      <c r="Q6156">
        <v>0.1758634</v>
      </c>
      <c r="R6156">
        <v>-0.51673999999999998</v>
      </c>
      <c r="S6156">
        <v>2.7563170000000001</v>
      </c>
      <c r="T6156">
        <v>-0.2404683</v>
      </c>
      <c r="U6156">
        <v>-1.4200440000000001</v>
      </c>
      <c r="V6156">
        <v>-0.137761299999999</v>
      </c>
      <c r="W6156">
        <v>0.18903629999999999</v>
      </c>
      <c r="X6156">
        <v>0.97225879999999998</v>
      </c>
      <c r="Y6156">
        <v>-0.2122445</v>
      </c>
      <c r="Z6156">
        <v>5.5773000000000003E-2</v>
      </c>
      <c r="AA6156">
        <v>0.97562369999999998</v>
      </c>
      <c r="AB6156">
        <v>18</v>
      </c>
      <c r="AC6156">
        <v>12.6899</v>
      </c>
      <c r="AD6156">
        <v>-1.1135744026629999</v>
      </c>
      <c r="AE6156">
        <v>-6.5183600000000004</v>
      </c>
      <c r="AF6156">
        <v>-3.0565352882783898</v>
      </c>
      <c r="AG6156">
        <v>-1.1135744026629999</v>
      </c>
      <c r="AH6156">
        <v>13.8463915531081</v>
      </c>
      <c r="AI6156">
        <v>94.490381324268995</v>
      </c>
      <c r="AJ6156">
        <v>102.44818051950701</v>
      </c>
      <c r="AK6156">
        <v>14.2233967448265</v>
      </c>
      <c r="AL6156">
        <v>79.1034512832057</v>
      </c>
      <c r="AM6156">
        <v>98.064669449247901</v>
      </c>
      <c r="AN6156">
        <v>1.0000000363364001</v>
      </c>
    </row>
    <row r="6157" spans="1:40" x14ac:dyDescent="0.25">
      <c r="A6157" t="str">
        <f>"20190312172531925"</f>
        <v>20190312172531925</v>
      </c>
      <c r="B6157" t="str">
        <f>"1552382731916816"</f>
        <v>1552382731916816</v>
      </c>
      <c r="C6157" t="s">
        <v>40</v>
      </c>
      <c r="D6157">
        <v>3.6819250000000001</v>
      </c>
      <c r="E6157">
        <v>0.4727943</v>
      </c>
      <c r="F6157" t="s">
        <v>43</v>
      </c>
      <c r="G6157">
        <v>-279.90350000000001</v>
      </c>
      <c r="H6157" s="1">
        <v>-3.4315289999999998E-6</v>
      </c>
      <c r="I6157">
        <v>-60.254010000000001</v>
      </c>
      <c r="J6157">
        <v>-292.42790000000002</v>
      </c>
      <c r="K6157">
        <v>1.1135600000000001</v>
      </c>
      <c r="L6157">
        <v>-53.865720000000003</v>
      </c>
      <c r="M6157">
        <v>0.77287779999999995</v>
      </c>
      <c r="N6157">
        <v>0</v>
      </c>
      <c r="O6157">
        <v>-0.63439100000000004</v>
      </c>
      <c r="P6157">
        <v>0.84005529999999995</v>
      </c>
      <c r="Q6157">
        <v>0.1755332</v>
      </c>
      <c r="R6157">
        <v>-0.51331800000000005</v>
      </c>
      <c r="S6157">
        <v>2.7593079999999999</v>
      </c>
      <c r="T6157">
        <v>-0.2430416</v>
      </c>
      <c r="U6157">
        <v>-1.4141539999999999</v>
      </c>
      <c r="V6157">
        <v>-0.137408</v>
      </c>
      <c r="W6157">
        <v>0.18870609999999999</v>
      </c>
      <c r="X6157">
        <v>0.97237289999999998</v>
      </c>
      <c r="Y6157">
        <v>-0.2099173</v>
      </c>
      <c r="Z6157">
        <v>5.604928E-2</v>
      </c>
      <c r="AA6157">
        <v>0.97611130000000002</v>
      </c>
      <c r="AB6157">
        <v>18</v>
      </c>
      <c r="AC6157">
        <v>12.5244</v>
      </c>
      <c r="AD6157">
        <v>-1.1135634315289999</v>
      </c>
      <c r="AE6157">
        <v>-6.3882899999999996</v>
      </c>
      <c r="AF6157">
        <v>-2.9895579322915999</v>
      </c>
      <c r="AG6157">
        <v>-1.1135634315289999</v>
      </c>
      <c r="AH6157">
        <v>13.6483143206679</v>
      </c>
      <c r="AI6157">
        <v>94.556854230131407</v>
      </c>
      <c r="AJ6157">
        <v>102.355068147328</v>
      </c>
      <c r="AK6157">
        <v>14.0162036208923</v>
      </c>
      <c r="AL6157">
        <v>79.122716737750906</v>
      </c>
      <c r="AM6157">
        <v>98.043326441881106</v>
      </c>
      <c r="AN6157">
        <v>1.0000000036478001</v>
      </c>
    </row>
    <row r="6158" spans="1:40" x14ac:dyDescent="0.25">
      <c r="A6158" t="str">
        <f>"20190312172531937"</f>
        <v>20190312172531937</v>
      </c>
      <c r="B6158" t="str">
        <f>"1552382731926575"</f>
        <v>1552382731926575</v>
      </c>
      <c r="C6158" t="s">
        <v>40</v>
      </c>
      <c r="D6158">
        <v>3.5624310000000001</v>
      </c>
      <c r="E6158">
        <v>0.47330369999999999</v>
      </c>
      <c r="F6158" t="s">
        <v>43</v>
      </c>
      <c r="G6158">
        <v>-279.94170000000003</v>
      </c>
      <c r="H6158" s="1">
        <v>-3.455363E-6</v>
      </c>
      <c r="I6158">
        <v>-60.220309999999998</v>
      </c>
      <c r="J6158">
        <v>-292.35059999999999</v>
      </c>
      <c r="K6158">
        <v>1.1135539999999999</v>
      </c>
      <c r="L6158">
        <v>-53.924869999999999</v>
      </c>
      <c r="M6158">
        <v>0.77471869999999998</v>
      </c>
      <c r="N6158">
        <v>0</v>
      </c>
      <c r="O6158">
        <v>-0.63214159999999997</v>
      </c>
      <c r="P6158">
        <v>0.84121819999999903</v>
      </c>
      <c r="Q6158">
        <v>0.17559269999999999</v>
      </c>
      <c r="R6158">
        <v>-0.51138899999999998</v>
      </c>
      <c r="S6158">
        <v>2.7633359999999998</v>
      </c>
      <c r="T6158">
        <v>-0.24644430000000001</v>
      </c>
      <c r="U6158">
        <v>-1.406342</v>
      </c>
      <c r="V6158">
        <v>-0.13680039999999999</v>
      </c>
      <c r="W6158">
        <v>0.1887675</v>
      </c>
      <c r="X6158">
        <v>0.9724467</v>
      </c>
      <c r="Y6158">
        <v>-0.20978820000000001</v>
      </c>
      <c r="Z6158">
        <v>5.6663329999999998E-2</v>
      </c>
      <c r="AA6158">
        <v>0.97610350000000001</v>
      </c>
      <c r="AB6158">
        <v>18</v>
      </c>
      <c r="AC6158">
        <v>12.4088999999999</v>
      </c>
      <c r="AD6158">
        <v>-1.1135574553630001</v>
      </c>
      <c r="AE6158">
        <v>-6.2954399999999904</v>
      </c>
      <c r="AF6158">
        <v>-2.9484120144229502</v>
      </c>
      <c r="AG6158">
        <v>-1.1135574553630001</v>
      </c>
      <c r="AH6158">
        <v>13.5079174390722</v>
      </c>
      <c r="AI6158">
        <v>94.604725603193003</v>
      </c>
      <c r="AJ6158">
        <v>102.312995985903</v>
      </c>
      <c r="AK6158">
        <v>13.870723742976701</v>
      </c>
      <c r="AL6158">
        <v>79.119134920103093</v>
      </c>
      <c r="AM6158">
        <v>98.007622453477197</v>
      </c>
      <c r="AN6158">
        <v>1.00000005141864</v>
      </c>
    </row>
    <row r="6159" spans="1:40" x14ac:dyDescent="0.25">
      <c r="A6159" t="str">
        <f>"20190312172531950"</f>
        <v>20190312172531950</v>
      </c>
      <c r="B6159" t="str">
        <f>"1552382731947071"</f>
        <v>1552382731947071</v>
      </c>
      <c r="C6159" t="s">
        <v>40</v>
      </c>
      <c r="D6159">
        <v>3.7180680000000002</v>
      </c>
      <c r="E6159">
        <v>0.47318120000000002</v>
      </c>
      <c r="F6159" t="s">
        <v>43</v>
      </c>
      <c r="G6159">
        <v>-279.80360000000002</v>
      </c>
      <c r="H6159" s="1">
        <v>-3.3798159999999998E-6</v>
      </c>
      <c r="I6159">
        <v>-60.294110000000003</v>
      </c>
      <c r="J6159">
        <v>-292.274</v>
      </c>
      <c r="K6159">
        <v>1.11355</v>
      </c>
      <c r="L6159">
        <v>-53.983029999999999</v>
      </c>
      <c r="M6159">
        <v>0.77652769999999904</v>
      </c>
      <c r="N6159">
        <v>0</v>
      </c>
      <c r="O6159">
        <v>-0.62991830000000004</v>
      </c>
      <c r="P6159">
        <v>0.84246810000000005</v>
      </c>
      <c r="Q6159">
        <v>0.17568449999999999</v>
      </c>
      <c r="R6159">
        <v>-0.50929639999999998</v>
      </c>
      <c r="S6159">
        <v>2.7643740000000001</v>
      </c>
      <c r="T6159">
        <v>-0.24534210000000001</v>
      </c>
      <c r="U6159">
        <v>-1.4032899999999999</v>
      </c>
      <c r="V6159">
        <v>-0.13641629999999999</v>
      </c>
      <c r="W6159">
        <v>0.18885830000000001</v>
      </c>
      <c r="X6159">
        <v>0.97248299999999999</v>
      </c>
      <c r="Y6159">
        <v>-0.20801900000000001</v>
      </c>
      <c r="Z6159">
        <v>5.6202879999999997E-2</v>
      </c>
      <c r="AA6159">
        <v>0.97650870000000001</v>
      </c>
      <c r="AB6159">
        <v>18</v>
      </c>
      <c r="AC6159">
        <v>12.4703999999999</v>
      </c>
      <c r="AD6159">
        <v>-1.113553379816</v>
      </c>
      <c r="AE6159">
        <v>-6.3110799999999898</v>
      </c>
      <c r="AF6159">
        <v>-2.9362724243040699</v>
      </c>
      <c r="AG6159">
        <v>-1.113553379816</v>
      </c>
      <c r="AH6159">
        <v>13.574325942931299</v>
      </c>
      <c r="AI6159">
        <v>94.584135802144004</v>
      </c>
      <c r="AJ6159">
        <v>102.205642297826</v>
      </c>
      <c r="AK6159">
        <v>13.9328396848728</v>
      </c>
      <c r="AL6159">
        <v>79.113836880544596</v>
      </c>
      <c r="AM6159">
        <v>97.985135323988999</v>
      </c>
      <c r="AN6159">
        <v>1.00000002483678</v>
      </c>
    </row>
    <row r="6160" spans="1:40" x14ac:dyDescent="0.25">
      <c r="A6160" t="str">
        <f>"20190312172531963"</f>
        <v>20190312172531963</v>
      </c>
      <c r="B6160" t="str">
        <f>"1552382731956831"</f>
        <v>1552382731956831</v>
      </c>
      <c r="C6160" t="s">
        <v>40</v>
      </c>
      <c r="D6160">
        <v>3.665003</v>
      </c>
      <c r="E6160">
        <v>0.47318120000000002</v>
      </c>
      <c r="F6160" t="s">
        <v>43</v>
      </c>
      <c r="G6160">
        <v>-279.59160000000003</v>
      </c>
      <c r="H6160" s="1">
        <v>-3.2705610000000001E-6</v>
      </c>
      <c r="I6160">
        <v>-60.376869999999997</v>
      </c>
      <c r="J6160">
        <v>-292.18619999999999</v>
      </c>
      <c r="K6160">
        <v>1.1135469999999901</v>
      </c>
      <c r="L6160">
        <v>-54.049500000000002</v>
      </c>
      <c r="M6160">
        <v>0.77858969999999905</v>
      </c>
      <c r="N6160">
        <v>0</v>
      </c>
      <c r="O6160">
        <v>-0.62736819999999904</v>
      </c>
      <c r="P6160">
        <v>0.84402969999999899</v>
      </c>
      <c r="Q6160">
        <v>0.17583370000000001</v>
      </c>
      <c r="R6160">
        <v>-0.50665249999999995</v>
      </c>
      <c r="S6160">
        <v>2.7680359999999999</v>
      </c>
      <c r="T6160">
        <v>-0.24304229999999999</v>
      </c>
      <c r="U6160">
        <v>-1.395508</v>
      </c>
      <c r="V6160">
        <v>-0.13625570000000001</v>
      </c>
      <c r="W6160">
        <v>0.1890039</v>
      </c>
      <c r="X6160">
        <v>0.97247720000000004</v>
      </c>
      <c r="Y6160">
        <v>-0.2075679</v>
      </c>
      <c r="Z6160">
        <v>5.5486029999999999E-2</v>
      </c>
      <c r="AA6160">
        <v>0.97664569999999995</v>
      </c>
      <c r="AB6160">
        <v>18</v>
      </c>
      <c r="AC6160">
        <v>12.5945999999999</v>
      </c>
      <c r="AD6160">
        <v>-1.1135502705610001</v>
      </c>
      <c r="AE6160">
        <v>-6.3273699999999904</v>
      </c>
      <c r="AF6160">
        <v>-2.95687845479442</v>
      </c>
      <c r="AG6160">
        <v>-1.1135502705610001</v>
      </c>
      <c r="AH6160">
        <v>13.6915838868631</v>
      </c>
      <c r="AI6160">
        <v>94.545353539282004</v>
      </c>
      <c r="AJ6160">
        <v>102.186619432043</v>
      </c>
      <c r="AK6160">
        <v>14.0514267507789</v>
      </c>
      <c r="AL6160">
        <v>79.1053413143961</v>
      </c>
      <c r="AM6160">
        <v>97.975902596563898</v>
      </c>
      <c r="AN6160">
        <v>0.99999999725876998</v>
      </c>
    </row>
    <row r="6161" spans="1:40" x14ac:dyDescent="0.25">
      <c r="A6161" t="str">
        <f>"20190312172531975"</f>
        <v>20190312172531975</v>
      </c>
      <c r="B6161" t="str">
        <f>"1552382731966591"</f>
        <v>1552382731966591</v>
      </c>
      <c r="C6161" t="s">
        <v>40</v>
      </c>
      <c r="D6161">
        <v>3.4250069999999999</v>
      </c>
      <c r="E6161">
        <v>0.45830090000000001</v>
      </c>
      <c r="F6161" t="s">
        <v>43</v>
      </c>
      <c r="G6161">
        <v>-279.46140000000003</v>
      </c>
      <c r="H6161" s="1">
        <v>-3.220348E-6</v>
      </c>
      <c r="I6161">
        <v>-60.415869999999998</v>
      </c>
      <c r="J6161">
        <v>-292.10520000000002</v>
      </c>
      <c r="K6161">
        <v>1.113545</v>
      </c>
      <c r="L6161">
        <v>-54.110140000000001</v>
      </c>
      <c r="M6161">
        <v>0.78047339999999998</v>
      </c>
      <c r="N6161">
        <v>0</v>
      </c>
      <c r="O6161">
        <v>-0.62502349999999995</v>
      </c>
      <c r="P6161">
        <v>0.84534529999999997</v>
      </c>
      <c r="Q6161">
        <v>0.17591279999999901</v>
      </c>
      <c r="R6161">
        <v>-0.50442710000000002</v>
      </c>
      <c r="S6161">
        <v>2.7723080000000002</v>
      </c>
      <c r="T6161">
        <v>-0.24260590000000001</v>
      </c>
      <c r="U6161">
        <v>-1.387024</v>
      </c>
      <c r="V6161">
        <v>-0.13588169999999999</v>
      </c>
      <c r="W6161">
        <v>0.1890812</v>
      </c>
      <c r="X6161">
        <v>0.97251449999999995</v>
      </c>
      <c r="Y6161">
        <v>-0.2076325</v>
      </c>
      <c r="Z6161">
        <v>5.5221180000000002E-2</v>
      </c>
      <c r="AA6161">
        <v>0.97664700000000004</v>
      </c>
      <c r="AB6161">
        <v>18</v>
      </c>
      <c r="AC6161">
        <v>12.643800000000001</v>
      </c>
      <c r="AD6161">
        <v>-1.1135482203479901</v>
      </c>
      <c r="AE6161">
        <v>-6.3057299999999898</v>
      </c>
      <c r="AF6161">
        <v>-2.96312060935084</v>
      </c>
      <c r="AG6161">
        <v>-1.1135482203479901</v>
      </c>
      <c r="AH6161">
        <v>13.725551462817</v>
      </c>
      <c r="AI6161">
        <v>94.534217705729603</v>
      </c>
      <c r="AJ6161">
        <v>102.18225770945701</v>
      </c>
      <c r="AK6161">
        <v>14.0858381484042</v>
      </c>
      <c r="AL6161">
        <v>79.100830996345493</v>
      </c>
      <c r="AM6161">
        <v>97.953989441155102</v>
      </c>
      <c r="AN6161">
        <v>0.99999999464928901</v>
      </c>
    </row>
    <row r="6162" spans="1:40" x14ac:dyDescent="0.25">
      <c r="A6162" t="str">
        <f>"20190312172531989"</f>
        <v>20190312172531989</v>
      </c>
      <c r="B6162" t="str">
        <f>"1552382731976352"</f>
        <v>1552382731976352</v>
      </c>
      <c r="C6162" t="s">
        <v>40</v>
      </c>
      <c r="D6162">
        <v>3.588266</v>
      </c>
      <c r="E6162">
        <v>0.45597840000000001</v>
      </c>
      <c r="F6162" t="s">
        <v>43</v>
      </c>
      <c r="G6162">
        <v>-277.70699999999999</v>
      </c>
      <c r="H6162" s="1">
        <v>-2.5079830000000001E-6</v>
      </c>
      <c r="I6162">
        <v>-60.597019999999901</v>
      </c>
      <c r="J6162">
        <v>-292.0247</v>
      </c>
      <c r="K6162">
        <v>1.1135429999999999</v>
      </c>
      <c r="L6162">
        <v>-54.170229999999997</v>
      </c>
      <c r="M6162">
        <v>0.78233809999999904</v>
      </c>
      <c r="N6162">
        <v>0</v>
      </c>
      <c r="O6162">
        <v>-0.62268749999999995</v>
      </c>
      <c r="P6162">
        <v>0.84681390000000001</v>
      </c>
      <c r="Q6162">
        <v>0.17601559999999999</v>
      </c>
      <c r="R6162">
        <v>-0.50192130000000001</v>
      </c>
      <c r="S6162">
        <v>2.8328859999999998</v>
      </c>
      <c r="T6162">
        <v>-0.2190925</v>
      </c>
      <c r="U6162">
        <v>-1.2763059999999999</v>
      </c>
      <c r="V6162">
        <v>-0.13584109999999999</v>
      </c>
      <c r="W6162">
        <v>0.18917999999999999</v>
      </c>
      <c r="X6162">
        <v>0.97250099999999995</v>
      </c>
      <c r="Y6162">
        <v>-0.244559</v>
      </c>
      <c r="Z6162">
        <v>5.0680919999999997E-2</v>
      </c>
      <c r="AA6162">
        <v>0.96830899999999998</v>
      </c>
      <c r="AB6162">
        <v>18</v>
      </c>
      <c r="AC6162">
        <v>14.3177</v>
      </c>
      <c r="AD6162">
        <v>-1.1135455079829999</v>
      </c>
      <c r="AE6162">
        <v>-6.4267899999999898</v>
      </c>
      <c r="AF6162">
        <v>-3.86845776955575</v>
      </c>
      <c r="AG6162">
        <v>-1.1135455079829999</v>
      </c>
      <c r="AH6162">
        <v>15.128576708621001</v>
      </c>
      <c r="AI6162">
        <v>94.078914933487098</v>
      </c>
      <c r="AJ6162">
        <v>104.343490737339</v>
      </c>
      <c r="AK6162">
        <v>15.6549922498165</v>
      </c>
      <c r="AL6162">
        <v>79.095066584252805</v>
      </c>
      <c r="AM6162">
        <v>97.951752247860796</v>
      </c>
      <c r="AN6162">
        <v>1.0000000359251</v>
      </c>
    </row>
    <row r="6163" spans="1:40" x14ac:dyDescent="0.25">
      <c r="A6163" t="str">
        <f>"20190312172532004"</f>
        <v>20190312172532004</v>
      </c>
      <c r="B6163" t="str">
        <f>"1552382731996847"</f>
        <v>1552382731996847</v>
      </c>
      <c r="C6163" t="s">
        <v>40</v>
      </c>
      <c r="D6163">
        <v>3.4651130000000001</v>
      </c>
      <c r="E6163">
        <v>0.45429989999999998</v>
      </c>
      <c r="F6163" t="s">
        <v>43</v>
      </c>
      <c r="G6163">
        <v>-277.41199999999998</v>
      </c>
      <c r="H6163" s="1">
        <v>-2.3819180000000001E-6</v>
      </c>
      <c r="I6163">
        <v>-60.599159999999998</v>
      </c>
      <c r="J6163">
        <v>-291.91910000000001</v>
      </c>
      <c r="K6163">
        <v>1.1135389999999901</v>
      </c>
      <c r="L6163">
        <v>-54.248440000000002</v>
      </c>
      <c r="M6163">
        <v>0.78476619999999997</v>
      </c>
      <c r="N6163">
        <v>0</v>
      </c>
      <c r="O6163">
        <v>-0.61962479999999998</v>
      </c>
      <c r="P6163">
        <v>0.84878299999999995</v>
      </c>
      <c r="Q6163">
        <v>0.1757668</v>
      </c>
      <c r="R6163">
        <v>-0.4986718</v>
      </c>
      <c r="S6163">
        <v>2.8457029999999999</v>
      </c>
      <c r="T6163">
        <v>-0.21685409999999999</v>
      </c>
      <c r="U6163">
        <v>-1.251984</v>
      </c>
      <c r="V6163">
        <v>-0.13579769999999999</v>
      </c>
      <c r="W6163">
        <v>0.18892719999999999</v>
      </c>
      <c r="X6163">
        <v>0.97255619999999998</v>
      </c>
      <c r="Y6163">
        <v>-0.2493513</v>
      </c>
      <c r="Z6163">
        <v>5.0080899999999998E-2</v>
      </c>
      <c r="AA6163">
        <v>0.96711729999999996</v>
      </c>
      <c r="AB6163">
        <v>18</v>
      </c>
      <c r="AC6163">
        <v>14.5070999999999</v>
      </c>
      <c r="AD6163">
        <v>-1.11354138191799</v>
      </c>
      <c r="AE6163">
        <v>-6.3507199999999902</v>
      </c>
      <c r="AF6163">
        <v>-3.9858361133019402</v>
      </c>
      <c r="AG6163">
        <v>-1.11354138191799</v>
      </c>
      <c r="AH6163">
        <v>15.245951219148299</v>
      </c>
      <c r="AI6163">
        <v>94.0420033463853</v>
      </c>
      <c r="AJ6163">
        <v>104.65124077751101</v>
      </c>
      <c r="AK6163">
        <v>15.797654652131</v>
      </c>
      <c r="AL6163">
        <v>79.109816912476703</v>
      </c>
      <c r="AM6163">
        <v>97.948798803036496</v>
      </c>
      <c r="AN6163">
        <v>1.0000000321917799</v>
      </c>
    </row>
    <row r="6164" spans="1:40" x14ac:dyDescent="0.25">
      <c r="A6164" t="str">
        <f>"20190312172532027"</f>
        <v>20190312172532027</v>
      </c>
      <c r="B6164" t="str">
        <f>"1552382732016368"</f>
        <v>1552382732016368</v>
      </c>
      <c r="C6164" t="s">
        <v>40</v>
      </c>
      <c r="D6164">
        <v>3.4751249999999998</v>
      </c>
      <c r="E6164">
        <v>0.45352540000000002</v>
      </c>
      <c r="F6164" t="s">
        <v>43</v>
      </c>
      <c r="G6164">
        <v>-277.41469999999998</v>
      </c>
      <c r="H6164" s="1">
        <v>-2.3591410000000001E-6</v>
      </c>
      <c r="I6164">
        <v>-60.491430000000001</v>
      </c>
      <c r="J6164">
        <v>-291.77429999999998</v>
      </c>
      <c r="K6164">
        <v>1.113548</v>
      </c>
      <c r="L6164">
        <v>-54.354579999999999</v>
      </c>
      <c r="M6164">
        <v>0.78806759999999998</v>
      </c>
      <c r="N6164">
        <v>0</v>
      </c>
      <c r="O6164">
        <v>-0.61542059999999998</v>
      </c>
      <c r="P6164">
        <v>0.85151949999999998</v>
      </c>
      <c r="Q6164">
        <v>0.17539649999999901</v>
      </c>
      <c r="R6164">
        <v>-0.49411620000000001</v>
      </c>
      <c r="S6164">
        <v>2.8573300000000001</v>
      </c>
      <c r="T6164">
        <v>-0.2193658</v>
      </c>
      <c r="U6164">
        <v>-1.2298579999999999</v>
      </c>
      <c r="V6164">
        <v>-0.13585459999999999</v>
      </c>
      <c r="W6164">
        <v>0.1885502</v>
      </c>
      <c r="X6164">
        <v>0.97262139999999997</v>
      </c>
      <c r="Y6164">
        <v>-0.25189089999999997</v>
      </c>
      <c r="Z6164">
        <v>5.0437170000000003E-2</v>
      </c>
      <c r="AA6164">
        <v>0.96644039999999998</v>
      </c>
      <c r="AB6164">
        <v>18</v>
      </c>
      <c r="AC6164">
        <v>14.3596</v>
      </c>
      <c r="AD6164">
        <v>-1.1135503591410001</v>
      </c>
      <c r="AE6164">
        <v>-6.1368499999999901</v>
      </c>
      <c r="AF6164">
        <v>-3.9811115623301698</v>
      </c>
      <c r="AG6164">
        <v>-1.1135503591410001</v>
      </c>
      <c r="AH6164">
        <v>15.0182752087587</v>
      </c>
      <c r="AI6164">
        <v>94.099433428032498</v>
      </c>
      <c r="AJ6164">
        <v>104.846749302653</v>
      </c>
      <c r="AK6164">
        <v>15.576836454173799</v>
      </c>
      <c r="AL6164">
        <v>79.131812599192301</v>
      </c>
      <c r="AM6164">
        <v>97.951560544677704</v>
      </c>
      <c r="AN6164">
        <v>1.0000000189995699</v>
      </c>
    </row>
    <row r="6165" spans="1:40" x14ac:dyDescent="0.25">
      <c r="A6165" t="str">
        <f>"20190312172532049"</f>
        <v>20190312172532049</v>
      </c>
      <c r="B6165" t="str">
        <f>"1552382732036864"</f>
        <v>1552382732036864</v>
      </c>
      <c r="C6165" t="s">
        <v>40</v>
      </c>
      <c r="D6165">
        <v>3.4708860000000001</v>
      </c>
      <c r="E6165">
        <v>0.4535283</v>
      </c>
      <c r="F6165" t="s">
        <v>43</v>
      </c>
      <c r="G6165">
        <v>-277.65190000000001</v>
      </c>
      <c r="H6165" s="1">
        <v>-2.4525950000000001E-6</v>
      </c>
      <c r="I6165">
        <v>-60.31279</v>
      </c>
      <c r="J6165">
        <v>-291.62860000000001</v>
      </c>
      <c r="K6165">
        <v>1.113551</v>
      </c>
      <c r="L6165">
        <v>-54.460209999999996</v>
      </c>
      <c r="M6165">
        <v>0.7913599</v>
      </c>
      <c r="N6165">
        <v>0</v>
      </c>
      <c r="O6165">
        <v>-0.61118149999999904</v>
      </c>
      <c r="P6165">
        <v>0.85445309999999897</v>
      </c>
      <c r="Q6165">
        <v>0.17532909999999999</v>
      </c>
      <c r="R6165">
        <v>-0.48904999999999998</v>
      </c>
      <c r="S6165">
        <v>2.8676149999999998</v>
      </c>
      <c r="T6165">
        <v>-0.22611110000000001</v>
      </c>
      <c r="U6165">
        <v>-1.2098390000000001</v>
      </c>
      <c r="V6165">
        <v>-0.1364187</v>
      </c>
      <c r="W6165">
        <v>0.1884729</v>
      </c>
      <c r="X6165">
        <v>0.97255740000000002</v>
      </c>
      <c r="Y6165">
        <v>-0.25356220000000002</v>
      </c>
      <c r="Z6165">
        <v>5.1729959999999998E-2</v>
      </c>
      <c r="AA6165">
        <v>0.96593490000000004</v>
      </c>
      <c r="AB6165">
        <v>18</v>
      </c>
      <c r="AC6165">
        <v>13.9766999999999</v>
      </c>
      <c r="AD6165">
        <v>-1.1135534525949999</v>
      </c>
      <c r="AE6165">
        <v>-5.8525799999999997</v>
      </c>
      <c r="AF6165">
        <v>-3.8901978332535001</v>
      </c>
      <c r="AG6165">
        <v>-1.1135534525949999</v>
      </c>
      <c r="AH6165">
        <v>14.5604649871522</v>
      </c>
      <c r="AI6165">
        <v>94.225690759505</v>
      </c>
      <c r="AJ6165">
        <v>104.95862602542699</v>
      </c>
      <c r="AK6165">
        <v>15.112272533134099</v>
      </c>
      <c r="AL6165">
        <v>79.136322166870599</v>
      </c>
      <c r="AM6165">
        <v>97.984671006525502</v>
      </c>
      <c r="AN6165">
        <v>0.99999999601942902</v>
      </c>
    </row>
    <row r="6166" spans="1:40" x14ac:dyDescent="0.25">
      <c r="A6166" t="str">
        <f>"20190312172532072"</f>
        <v>20190312172532072</v>
      </c>
      <c r="B6166" t="str">
        <f>"1552382732067119"</f>
        <v>1552382732067119</v>
      </c>
      <c r="C6166" t="s">
        <v>40</v>
      </c>
      <c r="D6166">
        <v>3.4811489999999998</v>
      </c>
      <c r="E6166">
        <v>0.45461119999999999</v>
      </c>
      <c r="F6166" t="s">
        <v>43</v>
      </c>
      <c r="G6166">
        <v>-277.72460000000001</v>
      </c>
      <c r="H6166" s="1">
        <v>-2.5021359999999999E-6</v>
      </c>
      <c r="I6166">
        <v>-60.229790000000001</v>
      </c>
      <c r="J6166">
        <v>-291.48219999999998</v>
      </c>
      <c r="K6166">
        <v>1.1135539999999999</v>
      </c>
      <c r="L6166">
        <v>-54.565159999999999</v>
      </c>
      <c r="M6166">
        <v>0.79463779999999995</v>
      </c>
      <c r="N6166">
        <v>0</v>
      </c>
      <c r="O6166">
        <v>-0.6069137</v>
      </c>
      <c r="P6166">
        <v>0.85691059999999997</v>
      </c>
      <c r="Q6166">
        <v>0.17575550000000001</v>
      </c>
      <c r="R6166">
        <v>-0.48457630000000002</v>
      </c>
      <c r="S6166">
        <v>2.8753359999999999</v>
      </c>
      <c r="T6166">
        <v>-0.23028219999999999</v>
      </c>
      <c r="U6166">
        <v>-1.19314599999999</v>
      </c>
      <c r="V6166">
        <v>-0.1362168</v>
      </c>
      <c r="W6166">
        <v>0.1888958</v>
      </c>
      <c r="X6166">
        <v>0.97250369999999997</v>
      </c>
      <c r="Y6166">
        <v>-0.253998</v>
      </c>
      <c r="Z6166">
        <v>5.2399349999999997E-2</v>
      </c>
      <c r="AA6166">
        <v>0.96578430000000004</v>
      </c>
      <c r="AB6166">
        <v>18</v>
      </c>
      <c r="AC6166">
        <v>13.757599999999901</v>
      </c>
      <c r="AD6166">
        <v>-1.1135565021359899</v>
      </c>
      <c r="AE6166">
        <v>-5.6646299999999998</v>
      </c>
      <c r="AF6166">
        <v>-3.8273045304062898</v>
      </c>
      <c r="AG6166">
        <v>-1.1135565021359899</v>
      </c>
      <c r="AH6166">
        <v>14.291675859112001</v>
      </c>
      <c r="AI6166">
        <v>94.304212527791705</v>
      </c>
      <c r="AJ6166">
        <v>104.992000785245</v>
      </c>
      <c r="AK6166">
        <v>14.8371246174534</v>
      </c>
      <c r="AL6166">
        <v>79.111649109211797</v>
      </c>
      <c r="AM6166">
        <v>97.973440344131305</v>
      </c>
      <c r="AN6166">
        <v>1.0000000431867799</v>
      </c>
    </row>
    <row r="6167" spans="1:40" x14ac:dyDescent="0.25">
      <c r="A6167" t="str">
        <f>"20190312172532085"</f>
        <v>20190312172532085</v>
      </c>
      <c r="B6167" t="str">
        <f>"1552382732076880"</f>
        <v>1552382732076880</v>
      </c>
      <c r="C6167" t="s">
        <v>40</v>
      </c>
      <c r="D6167">
        <v>3.603831</v>
      </c>
      <c r="E6167">
        <v>0.45469900000000002</v>
      </c>
      <c r="F6167" t="s">
        <v>43</v>
      </c>
      <c r="G6167">
        <v>-277.62569999999999</v>
      </c>
      <c r="H6167" s="1">
        <v>-2.449691E-6</v>
      </c>
      <c r="I6167">
        <v>-60.275030000000001</v>
      </c>
      <c r="J6167">
        <v>-291.39060000000001</v>
      </c>
      <c r="K6167">
        <v>1.11355</v>
      </c>
      <c r="L6167">
        <v>-54.630220000000001</v>
      </c>
      <c r="M6167">
        <v>0.7966723</v>
      </c>
      <c r="N6167">
        <v>0</v>
      </c>
      <c r="O6167">
        <v>-0.60424100000000003</v>
      </c>
      <c r="P6167">
        <v>0.85828400000000005</v>
      </c>
      <c r="Q6167">
        <v>0.1759532</v>
      </c>
      <c r="R6167">
        <v>-0.482068</v>
      </c>
      <c r="S6167">
        <v>2.877777</v>
      </c>
      <c r="T6167">
        <v>-0.23126820000000001</v>
      </c>
      <c r="U6167">
        <v>-1.1858519999999999</v>
      </c>
      <c r="V6167">
        <v>-0.13576869999999999</v>
      </c>
      <c r="W6167">
        <v>0.18909390000000001</v>
      </c>
      <c r="X6167">
        <v>0.97252780000000005</v>
      </c>
      <c r="Y6167">
        <v>-0.25312040000000002</v>
      </c>
      <c r="Z6167">
        <v>5.2426029999999998E-2</v>
      </c>
      <c r="AA6167">
        <v>0.96601329999999996</v>
      </c>
      <c r="AB6167">
        <v>18</v>
      </c>
      <c r="AC6167">
        <v>13.764900000000001</v>
      </c>
      <c r="AD6167">
        <v>-1.1135524496910001</v>
      </c>
      <c r="AE6167">
        <v>-5.6448100000000103</v>
      </c>
      <c r="AF6167">
        <v>-3.7993615639105802</v>
      </c>
      <c r="AG6167">
        <v>-1.1135524496910001</v>
      </c>
      <c r="AH6167">
        <v>14.2983177888983</v>
      </c>
      <c r="AI6167">
        <v>94.304424357964805</v>
      </c>
      <c r="AJ6167">
        <v>104.880813259883</v>
      </c>
      <c r="AK6167">
        <v>14.836341831592501</v>
      </c>
      <c r="AL6167">
        <v>79.100089836276695</v>
      </c>
      <c r="AM6167">
        <v>97.947352112477503</v>
      </c>
      <c r="AN6167">
        <v>0.99999998234486898</v>
      </c>
    </row>
    <row r="6168" spans="1:40" x14ac:dyDescent="0.25">
      <c r="A6168" t="str">
        <f>"20190312172532104"</f>
        <v>20190312172532104</v>
      </c>
      <c r="B6168" t="str">
        <f>"1552382732096402"</f>
        <v>1552382732096402</v>
      </c>
      <c r="C6168" t="s">
        <v>40</v>
      </c>
      <c r="D6168">
        <v>3.4540660000000001</v>
      </c>
      <c r="E6168">
        <v>0.4550302</v>
      </c>
      <c r="F6168" t="s">
        <v>43</v>
      </c>
      <c r="G6168">
        <v>-277.6814</v>
      </c>
      <c r="H6168" s="1">
        <v>-2.4823739999999999E-6</v>
      </c>
      <c r="I6168">
        <v>-60.235390000000002</v>
      </c>
      <c r="J6168">
        <v>-291.26799999999997</v>
      </c>
      <c r="K6168">
        <v>1.1135440000000001</v>
      </c>
      <c r="L6168">
        <v>-54.716639999999998</v>
      </c>
      <c r="M6168">
        <v>0.79937709999999995</v>
      </c>
      <c r="N6168">
        <v>0</v>
      </c>
      <c r="O6168">
        <v>-0.60065819999999903</v>
      </c>
      <c r="P6168">
        <v>0.86029859999999903</v>
      </c>
      <c r="Q6168">
        <v>0.1758565</v>
      </c>
      <c r="R6168">
        <v>-0.4784987</v>
      </c>
      <c r="S6168">
        <v>2.881561</v>
      </c>
      <c r="T6168">
        <v>-0.23405980000000001</v>
      </c>
      <c r="U6168">
        <v>-1.1781619999999999</v>
      </c>
      <c r="V6168">
        <v>-0.13545090000000001</v>
      </c>
      <c r="W6168">
        <v>0.18899650000000001</v>
      </c>
      <c r="X6168">
        <v>0.97259110000000004</v>
      </c>
      <c r="Y6168">
        <v>-0.25139509999999998</v>
      </c>
      <c r="Z6168">
        <v>5.2749850000000001E-2</v>
      </c>
      <c r="AA6168">
        <v>0.96644600000000003</v>
      </c>
      <c r="AB6168">
        <v>18</v>
      </c>
      <c r="AC6168">
        <v>13.586599999999899</v>
      </c>
      <c r="AD6168">
        <v>-1.113546482374</v>
      </c>
      <c r="AE6168">
        <v>-5.5187499999999901</v>
      </c>
      <c r="AF6168">
        <v>-3.72822965974028</v>
      </c>
      <c r="AG6168">
        <v>-1.113546482374</v>
      </c>
      <c r="AH6168">
        <v>14.0958830387913</v>
      </c>
      <c r="AI6168">
        <v>94.367306149191194</v>
      </c>
      <c r="AJ6168">
        <v>104.81495644802099</v>
      </c>
      <c r="AK6168">
        <v>14.6230503249992</v>
      </c>
      <c r="AL6168">
        <v>79.105773507322297</v>
      </c>
      <c r="AM6168">
        <v>97.928476766171798</v>
      </c>
      <c r="AN6168">
        <v>1.00000003556113</v>
      </c>
    </row>
    <row r="6169" spans="1:40" x14ac:dyDescent="0.25">
      <c r="A6169" t="str">
        <f>"20190312172532115"</f>
        <v>20190312172532115</v>
      </c>
      <c r="B6169" t="str">
        <f>"1552382732106160"</f>
        <v>1552382732106160</v>
      </c>
      <c r="C6169" t="s">
        <v>40</v>
      </c>
      <c r="D6169">
        <v>3.524769</v>
      </c>
      <c r="E6169">
        <v>0.45530300000000001</v>
      </c>
      <c r="F6169" t="s">
        <v>43</v>
      </c>
      <c r="G6169">
        <v>-277.81290000000001</v>
      </c>
      <c r="H6169" s="1">
        <v>-2.5542320000000001E-6</v>
      </c>
      <c r="I6169">
        <v>-60.165439999999997</v>
      </c>
      <c r="J6169">
        <v>-291.1884</v>
      </c>
      <c r="K6169">
        <v>1.11354</v>
      </c>
      <c r="L6169">
        <v>-54.772219999999997</v>
      </c>
      <c r="M6169">
        <v>0.80111960000000004</v>
      </c>
      <c r="N6169">
        <v>0</v>
      </c>
      <c r="O6169">
        <v>-0.59833230000000004</v>
      </c>
      <c r="P6169">
        <v>0.86152680000000004</v>
      </c>
      <c r="Q6169">
        <v>0.17575079999999901</v>
      </c>
      <c r="R6169">
        <v>-0.476323</v>
      </c>
      <c r="S6169">
        <v>2.8859560000000002</v>
      </c>
      <c r="T6169">
        <v>-0.23884250000000001</v>
      </c>
      <c r="U6169">
        <v>-1.168701</v>
      </c>
      <c r="V6169">
        <v>-0.1350914</v>
      </c>
      <c r="W6169">
        <v>0.18889249999999999</v>
      </c>
      <c r="X6169">
        <v>0.97266129999999995</v>
      </c>
      <c r="Y6169">
        <v>-0.25173669999999998</v>
      </c>
      <c r="Z6169">
        <v>5.3665249999999998E-2</v>
      </c>
      <c r="AA6169">
        <v>0.96630669999999996</v>
      </c>
      <c r="AB6169">
        <v>18</v>
      </c>
      <c r="AC6169">
        <v>13.375499999999899</v>
      </c>
      <c r="AD6169">
        <v>-1.1135425542320001</v>
      </c>
      <c r="AE6169">
        <v>-5.3932200000000003</v>
      </c>
      <c r="AF6169">
        <v>-3.66093313600327</v>
      </c>
      <c r="AG6169">
        <v>-1.1135425542320001</v>
      </c>
      <c r="AH6169">
        <v>13.8611124680555</v>
      </c>
      <c r="AI6169">
        <v>94.441377802764194</v>
      </c>
      <c r="AJ6169">
        <v>104.794858076461</v>
      </c>
      <c r="AK6169">
        <v>14.379598301011599</v>
      </c>
      <c r="AL6169">
        <v>79.111841547126105</v>
      </c>
      <c r="AM6169">
        <v>97.907136857360598</v>
      </c>
      <c r="AN6169">
        <v>1.0000000337139401</v>
      </c>
    </row>
    <row r="6170" spans="1:40" x14ac:dyDescent="0.25">
      <c r="A6170" t="str">
        <f>"20190312172532128"</f>
        <v>20190312172532128</v>
      </c>
      <c r="B6170" t="str">
        <f>"1552382732116896"</f>
        <v>1552382732116896</v>
      </c>
      <c r="C6170" t="s">
        <v>40</v>
      </c>
      <c r="D6170">
        <v>3.4981469999999999</v>
      </c>
      <c r="E6170">
        <v>0.45562530000000001</v>
      </c>
      <c r="F6170" t="s">
        <v>43</v>
      </c>
      <c r="G6170">
        <v>-277.7013</v>
      </c>
      <c r="H6170" s="1">
        <v>-2.4969070000000002E-6</v>
      </c>
      <c r="I6170">
        <v>-60.208120000000001</v>
      </c>
      <c r="J6170">
        <v>-291.11079999999998</v>
      </c>
      <c r="K6170">
        <v>1.1135360000000001</v>
      </c>
      <c r="L6170">
        <v>-54.8260199999999</v>
      </c>
      <c r="M6170">
        <v>0.80280790000000002</v>
      </c>
      <c r="N6170">
        <v>0</v>
      </c>
      <c r="O6170">
        <v>-0.59606490000000001</v>
      </c>
      <c r="P6170">
        <v>0.86289329999999997</v>
      </c>
      <c r="Q6170">
        <v>0.17535200000000001</v>
      </c>
      <c r="R6170">
        <v>-0.47399010000000003</v>
      </c>
      <c r="S6170">
        <v>2.8874209999999998</v>
      </c>
      <c r="T6170">
        <v>-0.2383951</v>
      </c>
      <c r="U6170">
        <v>-1.1637569999999999</v>
      </c>
      <c r="V6170">
        <v>-0.13501659999999999</v>
      </c>
      <c r="W6170">
        <v>0.18849399999999999</v>
      </c>
      <c r="X6170">
        <v>0.97274890000000003</v>
      </c>
      <c r="Y6170">
        <v>-0.25061</v>
      </c>
      <c r="Z6170">
        <v>5.3380610000000002E-2</v>
      </c>
      <c r="AA6170">
        <v>0.96661529999999996</v>
      </c>
      <c r="AB6170">
        <v>18</v>
      </c>
      <c r="AC6170">
        <v>13.4094999999999</v>
      </c>
      <c r="AD6170">
        <v>-1.1135384969069999</v>
      </c>
      <c r="AE6170">
        <v>-5.3821000000000003</v>
      </c>
      <c r="AF6170">
        <v>-3.6508358196972299</v>
      </c>
      <c r="AG6170">
        <v>-1.1135384969069999</v>
      </c>
      <c r="AH6170">
        <v>13.8922666114099</v>
      </c>
      <c r="AI6170">
        <v>94.432876011908604</v>
      </c>
      <c r="AJ6170">
        <v>104.724183375799</v>
      </c>
      <c r="AK6170">
        <v>14.4070691595818</v>
      </c>
      <c r="AL6170">
        <v>79.135090615962696</v>
      </c>
      <c r="AM6170">
        <v>97.902111325448104</v>
      </c>
      <c r="AN6170">
        <v>0.99999994638138301</v>
      </c>
    </row>
    <row r="6171" spans="1:40" x14ac:dyDescent="0.25">
      <c r="A6171" t="str">
        <f>"20190312172532140"</f>
        <v>20190312172532140</v>
      </c>
      <c r="B6171" t="str">
        <f>"1552382732136415"</f>
        <v>1552382732136415</v>
      </c>
      <c r="C6171" t="s">
        <v>40</v>
      </c>
      <c r="D6171">
        <v>3.6545939999999999</v>
      </c>
      <c r="E6171">
        <v>0.45603329999999997</v>
      </c>
      <c r="F6171" t="s">
        <v>43</v>
      </c>
      <c r="G6171">
        <v>-277.74590000000001</v>
      </c>
      <c r="H6171" s="1">
        <v>-2.5215100000000002E-6</v>
      </c>
      <c r="I6171">
        <v>-60.183459999999997</v>
      </c>
      <c r="J6171">
        <v>-291.0283</v>
      </c>
      <c r="K6171">
        <v>1.113531</v>
      </c>
      <c r="L6171">
        <v>-54.883090000000003</v>
      </c>
      <c r="M6171">
        <v>0.80459480000000005</v>
      </c>
      <c r="N6171">
        <v>0</v>
      </c>
      <c r="O6171">
        <v>-0.59365080000000003</v>
      </c>
      <c r="P6171">
        <v>0.864158599999999</v>
      </c>
      <c r="Q6171">
        <v>0.17533689999999999</v>
      </c>
      <c r="R6171">
        <v>-0.47168549999999998</v>
      </c>
      <c r="S6171">
        <v>2.8893740000000001</v>
      </c>
      <c r="T6171">
        <v>-0.2407376</v>
      </c>
      <c r="U6171">
        <v>-1.158234</v>
      </c>
      <c r="V6171">
        <v>-0.1346899</v>
      </c>
      <c r="W6171">
        <v>0.18848039999999999</v>
      </c>
      <c r="X6171">
        <v>0.97279689999999996</v>
      </c>
      <c r="Y6171">
        <v>-0.24948609999999999</v>
      </c>
      <c r="Z6171">
        <v>5.3702180000000002E-2</v>
      </c>
      <c r="AA6171">
        <v>0.96688819999999998</v>
      </c>
      <c r="AB6171">
        <v>18</v>
      </c>
      <c r="AC6171">
        <v>13.2823999999999</v>
      </c>
      <c r="AD6171">
        <v>-1.11353352151</v>
      </c>
      <c r="AE6171">
        <v>-5.3003699999999903</v>
      </c>
      <c r="AF6171">
        <v>-3.5990097208361198</v>
      </c>
      <c r="AG6171">
        <v>-1.11353352151</v>
      </c>
      <c r="AH6171">
        <v>13.751569340032001</v>
      </c>
      <c r="AI6171">
        <v>94.479208920619499</v>
      </c>
      <c r="AJ6171">
        <v>104.666287246417</v>
      </c>
      <c r="AK6171">
        <v>14.2582778478997</v>
      </c>
      <c r="AL6171">
        <v>79.135884864594402</v>
      </c>
      <c r="AM6171">
        <v>97.8828471655453</v>
      </c>
      <c r="AN6171">
        <v>1.00000001949788</v>
      </c>
    </row>
    <row r="6172" spans="1:40" x14ac:dyDescent="0.25">
      <c r="A6172" t="str">
        <f>"20190312172532153"</f>
        <v>20190312172532153</v>
      </c>
      <c r="B6172" t="str">
        <f>"1552382732146175"</f>
        <v>1552382732146175</v>
      </c>
      <c r="C6172" t="s">
        <v>40</v>
      </c>
      <c r="D6172">
        <v>3.6907230000000002</v>
      </c>
      <c r="E6172">
        <v>0.45618039999999999</v>
      </c>
      <c r="F6172" t="s">
        <v>43</v>
      </c>
      <c r="G6172">
        <v>-277.77359999999999</v>
      </c>
      <c r="H6172" s="1">
        <v>-2.535632E-6</v>
      </c>
      <c r="I6172">
        <v>-60.173270000000002</v>
      </c>
      <c r="J6172">
        <v>-290.94850000000002</v>
      </c>
      <c r="K6172">
        <v>1.1135269999999999</v>
      </c>
      <c r="L6172">
        <v>-54.937649999999998</v>
      </c>
      <c r="M6172">
        <v>0.80630840000000004</v>
      </c>
      <c r="N6172">
        <v>0</v>
      </c>
      <c r="O6172">
        <v>-0.59132130000000005</v>
      </c>
      <c r="P6172">
        <v>0.86552129999999905</v>
      </c>
      <c r="Q6172">
        <v>0.17513119999999999</v>
      </c>
      <c r="R6172">
        <v>-0.46925709999999998</v>
      </c>
      <c r="S6172">
        <v>2.8910520000000002</v>
      </c>
      <c r="T6172">
        <v>-0.2428787</v>
      </c>
      <c r="U6172">
        <v>-1.15387</v>
      </c>
      <c r="V6172">
        <v>-0.13462850000000001</v>
      </c>
      <c r="W6172">
        <v>0.18827479999999999</v>
      </c>
      <c r="X6172">
        <v>0.97284519999999997</v>
      </c>
      <c r="Y6172">
        <v>-0.2481082</v>
      </c>
      <c r="Z6172">
        <v>5.3969339999999998E-2</v>
      </c>
      <c r="AA6172">
        <v>0.96722779999999997</v>
      </c>
      <c r="AB6172">
        <v>18</v>
      </c>
      <c r="AC6172">
        <v>13.174899999999999</v>
      </c>
      <c r="AD6172">
        <v>-1.1135295356320001</v>
      </c>
      <c r="AE6172">
        <v>-5.2356199999999902</v>
      </c>
      <c r="AF6172">
        <v>-3.54755644871332</v>
      </c>
      <c r="AG6172">
        <v>-1.1135295356320001</v>
      </c>
      <c r="AH6172">
        <v>13.636253707258099</v>
      </c>
      <c r="AI6172">
        <v>94.518630074007405</v>
      </c>
      <c r="AJ6172">
        <v>104.58260077030801</v>
      </c>
      <c r="AK6172">
        <v>14.1340907012882</v>
      </c>
      <c r="AL6172">
        <v>79.147879499098494</v>
      </c>
      <c r="AM6172">
        <v>97.878912540650106</v>
      </c>
      <c r="AN6172">
        <v>1.0000000082451601</v>
      </c>
    </row>
    <row r="6173" spans="1:40" x14ac:dyDescent="0.25">
      <c r="A6173" t="str">
        <f>"20190312172532164"</f>
        <v>20190312172532164</v>
      </c>
      <c r="B6173" t="str">
        <f>"1552382732156912"</f>
        <v>1552382732156912</v>
      </c>
      <c r="C6173" t="s">
        <v>40</v>
      </c>
      <c r="D6173">
        <v>3.5592489999999999</v>
      </c>
      <c r="E6173">
        <v>0.45656469999999999</v>
      </c>
      <c r="F6173" t="s">
        <v>43</v>
      </c>
      <c r="G6173">
        <v>-277.77780000000001</v>
      </c>
      <c r="H6173" s="1">
        <v>-2.5407379999999999E-6</v>
      </c>
      <c r="I6173">
        <v>-60.158299999999997</v>
      </c>
      <c r="J6173">
        <v>-290.8698</v>
      </c>
      <c r="K6173">
        <v>1.113521</v>
      </c>
      <c r="L6173">
        <v>-54.99136</v>
      </c>
      <c r="M6173">
        <v>0.80799200000000004</v>
      </c>
      <c r="N6173">
        <v>0</v>
      </c>
      <c r="O6173">
        <v>-0.58901890000000001</v>
      </c>
      <c r="P6173">
        <v>0.86680859999999904</v>
      </c>
      <c r="Q6173">
        <v>0.17521979999999901</v>
      </c>
      <c r="R6173">
        <v>-0.46684160000000002</v>
      </c>
      <c r="S6173">
        <v>2.8937680000000001</v>
      </c>
      <c r="T6173">
        <v>-0.2446547</v>
      </c>
      <c r="U6173">
        <v>-1.1470340000000001</v>
      </c>
      <c r="V6173">
        <v>-0.1345529</v>
      </c>
      <c r="W6173">
        <v>0.18836240000000001</v>
      </c>
      <c r="X6173">
        <v>0.97283869999999895</v>
      </c>
      <c r="Y6173">
        <v>-0.24760599999999999</v>
      </c>
      <c r="Z6173">
        <v>5.4182050000000002E-2</v>
      </c>
      <c r="AA6173">
        <v>0.9673446</v>
      </c>
      <c r="AB6173">
        <v>18</v>
      </c>
      <c r="AC6173">
        <v>13.091999999999899</v>
      </c>
      <c r="AD6173">
        <v>-1.113523540738</v>
      </c>
      <c r="AE6173">
        <v>-5.1669399999999897</v>
      </c>
      <c r="AF6173">
        <v>-3.51495217136614</v>
      </c>
      <c r="AG6173">
        <v>-1.113523540738</v>
      </c>
      <c r="AH6173">
        <v>13.538318398739101</v>
      </c>
      <c r="AI6173">
        <v>94.551737077208102</v>
      </c>
      <c r="AJ6173">
        <v>104.554351623236</v>
      </c>
      <c r="AK6173">
        <v>14.031425034842499</v>
      </c>
      <c r="AL6173">
        <v>79.142768930873899</v>
      </c>
      <c r="AM6173">
        <v>97.874595647277999</v>
      </c>
      <c r="AN6173">
        <v>1.0000000064249299</v>
      </c>
    </row>
    <row r="6174" spans="1:40" x14ac:dyDescent="0.25">
      <c r="A6174" t="str">
        <f>"20190312172532176"</f>
        <v>20190312172532176</v>
      </c>
      <c r="B6174" t="str">
        <f>"1552382732166672"</f>
        <v>1552382732166672</v>
      </c>
      <c r="C6174" t="s">
        <v>40</v>
      </c>
      <c r="D6174">
        <v>3.5784310000000001</v>
      </c>
      <c r="E6174">
        <v>0.45692149999999998</v>
      </c>
      <c r="F6174" t="s">
        <v>43</v>
      </c>
      <c r="G6174">
        <v>-277.66199999999998</v>
      </c>
      <c r="H6174" s="1">
        <v>-2.4820440000000001E-6</v>
      </c>
      <c r="I6174">
        <v>-60.199289999999998</v>
      </c>
      <c r="J6174">
        <v>-290.79219999999998</v>
      </c>
      <c r="K6174">
        <v>1.113515</v>
      </c>
      <c r="L6174">
        <v>-55.043880000000001</v>
      </c>
      <c r="M6174">
        <v>0.80963739999999995</v>
      </c>
      <c r="N6174">
        <v>0</v>
      </c>
      <c r="O6174">
        <v>-0.58675500000000003</v>
      </c>
      <c r="P6174">
        <v>0.86813169999999995</v>
      </c>
      <c r="Q6174">
        <v>0.17507039999999999</v>
      </c>
      <c r="R6174">
        <v>-0.46443299999999998</v>
      </c>
      <c r="S6174">
        <v>2.895416</v>
      </c>
      <c r="T6174">
        <v>-0.24410889999999999</v>
      </c>
      <c r="U6174">
        <v>-1.1416930000000001</v>
      </c>
      <c r="V6174">
        <v>-0.13454479999999999</v>
      </c>
      <c r="W6174">
        <v>0.18821299999999999</v>
      </c>
      <c r="X6174">
        <v>0.97286870000000003</v>
      </c>
      <c r="Y6174">
        <v>-0.24664449999999999</v>
      </c>
      <c r="Z6174">
        <v>5.3876300000000002E-2</v>
      </c>
      <c r="AA6174">
        <v>0.96760729999999995</v>
      </c>
      <c r="AB6174">
        <v>18</v>
      </c>
      <c r="AC6174">
        <v>13.130199999999901</v>
      </c>
      <c r="AD6174">
        <v>-1.1135174820439999</v>
      </c>
      <c r="AE6174">
        <v>-5.1554099999999998</v>
      </c>
      <c r="AF6174">
        <v>-3.5086971534180198</v>
      </c>
      <c r="AG6174">
        <v>-1.1135174820439999</v>
      </c>
      <c r="AH6174">
        <v>13.5724940363854</v>
      </c>
      <c r="AI6174">
        <v>94.541522792961601</v>
      </c>
      <c r="AJ6174">
        <v>104.494505947748</v>
      </c>
      <c r="AK6174">
        <v>14.0628400853077</v>
      </c>
      <c r="AL6174">
        <v>79.151484435398302</v>
      </c>
      <c r="AM6174">
        <v>97.873887782071407</v>
      </c>
      <c r="AN6174">
        <v>0.99999997200786395</v>
      </c>
    </row>
    <row r="6175" spans="1:40" x14ac:dyDescent="0.25">
      <c r="A6175" t="str">
        <f>"20190312172532190"</f>
        <v>20190312172532190</v>
      </c>
      <c r="B6175" t="str">
        <f>"1552382732186192"</f>
        <v>1552382732186192</v>
      </c>
      <c r="C6175" t="s">
        <v>40</v>
      </c>
      <c r="D6175">
        <v>3.7119659999999999</v>
      </c>
      <c r="E6175">
        <v>0.45776860000000003</v>
      </c>
      <c r="F6175" t="s">
        <v>43</v>
      </c>
      <c r="G6175">
        <v>-277.58850000000001</v>
      </c>
      <c r="H6175" s="1">
        <v>-2.4455550000000002E-6</v>
      </c>
      <c r="I6175">
        <v>-60.221620000000001</v>
      </c>
      <c r="J6175">
        <v>-290.71080000000001</v>
      </c>
      <c r="K6175">
        <v>1.1135029999999999</v>
      </c>
      <c r="L6175">
        <v>-55.098660000000002</v>
      </c>
      <c r="M6175">
        <v>0.81135360000000001</v>
      </c>
      <c r="N6175">
        <v>0</v>
      </c>
      <c r="O6175">
        <v>-0.58437989999999995</v>
      </c>
      <c r="P6175">
        <v>0.86935039999999997</v>
      </c>
      <c r="Q6175">
        <v>0.17511189999999999</v>
      </c>
      <c r="R6175">
        <v>-0.46213159999999998</v>
      </c>
      <c r="S6175">
        <v>2.897186</v>
      </c>
      <c r="T6175">
        <v>-0.24432999999999999</v>
      </c>
      <c r="U6175">
        <v>-1.1361079999999999</v>
      </c>
      <c r="V6175">
        <v>-0.13426109999999999</v>
      </c>
      <c r="W6175">
        <v>0.1882556</v>
      </c>
      <c r="X6175">
        <v>0.97289970000000003</v>
      </c>
      <c r="Y6175">
        <v>-0.2456265</v>
      </c>
      <c r="Z6175">
        <v>5.3728739999999997E-2</v>
      </c>
      <c r="AA6175">
        <v>0.96787440000000002</v>
      </c>
      <c r="AB6175">
        <v>18</v>
      </c>
      <c r="AC6175">
        <v>13.1222999999999</v>
      </c>
      <c r="AD6175">
        <v>-1.113505445555</v>
      </c>
      <c r="AE6175">
        <v>-5.1229599999999902</v>
      </c>
      <c r="AF6175">
        <v>-3.4904281896939899</v>
      </c>
      <c r="AG6175">
        <v>-1.113505445555</v>
      </c>
      <c r="AH6175">
        <v>13.5572728836617</v>
      </c>
      <c r="AI6175">
        <v>94.547709425790003</v>
      </c>
      <c r="AJ6175">
        <v>104.437707630993</v>
      </c>
      <c r="AK6175">
        <v>14.043597522243299</v>
      </c>
      <c r="AL6175">
        <v>79.148999737582898</v>
      </c>
      <c r="AM6175">
        <v>97.857245331083405</v>
      </c>
      <c r="AN6175">
        <v>1.00000002008232</v>
      </c>
    </row>
    <row r="6176" spans="1:40" x14ac:dyDescent="0.25">
      <c r="A6176" t="str">
        <f>"20190312172532201"</f>
        <v>20190312172532201</v>
      </c>
      <c r="B6176" t="str">
        <f>"1552382732196927"</f>
        <v>1552382732196927</v>
      </c>
      <c r="C6176" t="s">
        <v>40</v>
      </c>
      <c r="D6176">
        <v>3.773641</v>
      </c>
      <c r="E6176">
        <v>0.45776860000000003</v>
      </c>
      <c r="F6176" t="s">
        <v>43</v>
      </c>
      <c r="G6176">
        <v>-277.39159999999998</v>
      </c>
      <c r="H6176" s="1">
        <v>-2.3406160000000001E-6</v>
      </c>
      <c r="I6176">
        <v>-60.314239999999998</v>
      </c>
      <c r="J6176">
        <v>-290.63060000000002</v>
      </c>
      <c r="K6176">
        <v>1.1134999999999999</v>
      </c>
      <c r="L6176">
        <v>-55.1524</v>
      </c>
      <c r="M6176">
        <v>0.81303340000000002</v>
      </c>
      <c r="N6176">
        <v>0</v>
      </c>
      <c r="O6176">
        <v>-0.58204049999999996</v>
      </c>
      <c r="P6176">
        <v>0.87067299999999903</v>
      </c>
      <c r="Q6176">
        <v>0.17472409999999999</v>
      </c>
      <c r="R6176">
        <v>-0.45978249999999998</v>
      </c>
      <c r="S6176">
        <v>2.8966370000000001</v>
      </c>
      <c r="T6176">
        <v>-0.24216409999999999</v>
      </c>
      <c r="U6176">
        <v>-1.134277</v>
      </c>
      <c r="V6176">
        <v>-0.13412460000000001</v>
      </c>
      <c r="W6176">
        <v>0.1878697</v>
      </c>
      <c r="X6176">
        <v>0.97299310000000006</v>
      </c>
      <c r="Y6176">
        <v>-0.2433517</v>
      </c>
      <c r="Z6176">
        <v>5.3033730000000001E-2</v>
      </c>
      <c r="AA6176">
        <v>0.96848710000000005</v>
      </c>
      <c r="AB6176">
        <v>18</v>
      </c>
      <c r="AC6176">
        <v>13.239000000000001</v>
      </c>
      <c r="AD6176">
        <v>-1.1135023406159901</v>
      </c>
      <c r="AE6176">
        <v>-5.1618399999999998</v>
      </c>
      <c r="AF6176">
        <v>-3.4878291002505</v>
      </c>
      <c r="AG6176">
        <v>-1.1135023406159901</v>
      </c>
      <c r="AH6176">
        <v>13.6855267297837</v>
      </c>
      <c r="AI6176">
        <v>94.508062294332206</v>
      </c>
      <c r="AJ6176">
        <v>104.297767379524</v>
      </c>
      <c r="AK6176">
        <v>14.1668091385017</v>
      </c>
      <c r="AL6176">
        <v>79.171511669793205</v>
      </c>
      <c r="AM6176">
        <v>97.848612598004706</v>
      </c>
      <c r="AN6176">
        <v>1.0000000025754301</v>
      </c>
    </row>
    <row r="6177" spans="1:40" x14ac:dyDescent="0.25">
      <c r="A6177" t="str">
        <f>"20190312172532216"</f>
        <v>20190312172532216</v>
      </c>
      <c r="B6177" t="str">
        <f>"1552382732206688"</f>
        <v>1552382732206688</v>
      </c>
      <c r="C6177" t="s">
        <v>40</v>
      </c>
      <c r="D6177">
        <v>3.6002489999999998</v>
      </c>
      <c r="E6177">
        <v>0.46626250000000002</v>
      </c>
      <c r="F6177" t="s">
        <v>43</v>
      </c>
      <c r="G6177">
        <v>-277.3569</v>
      </c>
      <c r="H6177" s="1">
        <v>-2.3273760000000001E-6</v>
      </c>
      <c r="I6177">
        <v>-60.306780000000003</v>
      </c>
      <c r="J6177">
        <v>-290.53489999999999</v>
      </c>
      <c r="K6177">
        <v>1.113489</v>
      </c>
      <c r="L6177">
        <v>-55.215940000000003</v>
      </c>
      <c r="M6177">
        <v>0.81502039999999998</v>
      </c>
      <c r="N6177">
        <v>0</v>
      </c>
      <c r="O6177">
        <v>-0.57925499999999996</v>
      </c>
      <c r="P6177">
        <v>0.87223980000000001</v>
      </c>
      <c r="Q6177">
        <v>0.174366299999999</v>
      </c>
      <c r="R6177">
        <v>-0.45694050000000003</v>
      </c>
      <c r="S6177">
        <v>2.8998110000000001</v>
      </c>
      <c r="T6177">
        <v>-0.24325859999999999</v>
      </c>
      <c r="U6177">
        <v>-1.1260380000000001</v>
      </c>
      <c r="V6177">
        <v>-0.1340017</v>
      </c>
      <c r="W6177">
        <v>0.18751470000000001</v>
      </c>
      <c r="X6177">
        <v>0.97307849999999996</v>
      </c>
      <c r="Y6177">
        <v>-0.2427716</v>
      </c>
      <c r="Z6177">
        <v>5.3055770000000002E-2</v>
      </c>
      <c r="AA6177">
        <v>0.96863160000000004</v>
      </c>
      <c r="AB6177">
        <v>18</v>
      </c>
      <c r="AC6177">
        <v>13.1779999999999</v>
      </c>
      <c r="AD6177">
        <v>-1.1134913273760001</v>
      </c>
      <c r="AE6177">
        <v>-5.09084</v>
      </c>
      <c r="AF6177">
        <v>-3.46312722474832</v>
      </c>
      <c r="AG6177">
        <v>-1.1134913273760001</v>
      </c>
      <c r="AH6177">
        <v>13.6061117802263</v>
      </c>
      <c r="AI6177">
        <v>94.534574708264998</v>
      </c>
      <c r="AJ6177">
        <v>104.280120152889</v>
      </c>
      <c r="AK6177">
        <v>14.0840118889096</v>
      </c>
      <c r="AL6177">
        <v>79.192219589244402</v>
      </c>
      <c r="AM6177">
        <v>97.840830696243003</v>
      </c>
      <c r="AN6177">
        <v>0.99999999274061402</v>
      </c>
    </row>
    <row r="6178" spans="1:40" x14ac:dyDescent="0.25">
      <c r="A6178" t="str">
        <f>"20190312172532238"</f>
        <v>20190312172532238</v>
      </c>
      <c r="B6178" t="str">
        <f>"1552382732226207"</f>
        <v>1552382732226207</v>
      </c>
      <c r="C6178" t="s">
        <v>40</v>
      </c>
      <c r="D6178">
        <v>3.5740090000000002</v>
      </c>
      <c r="E6178">
        <v>0.46612490000000001</v>
      </c>
      <c r="F6178" t="s">
        <v>43</v>
      </c>
      <c r="G6178">
        <v>-276.67290000000003</v>
      </c>
      <c r="H6178" s="1">
        <v>-2.131E-6</v>
      </c>
      <c r="I6178">
        <v>-60.896709999999999</v>
      </c>
      <c r="J6178">
        <v>-290.38709999999998</v>
      </c>
      <c r="K6178">
        <v>1.113467</v>
      </c>
      <c r="L6178">
        <v>-55.31335</v>
      </c>
      <c r="M6178">
        <v>0.81805680000000003</v>
      </c>
      <c r="N6178">
        <v>0</v>
      </c>
      <c r="O6178">
        <v>-0.574959</v>
      </c>
      <c r="P6178">
        <v>0.87453959999999997</v>
      </c>
      <c r="Q6178">
        <v>0.17402119999999999</v>
      </c>
      <c r="R6178">
        <v>-0.4526558</v>
      </c>
      <c r="S6178">
        <v>2.8694760000000001</v>
      </c>
      <c r="T6178">
        <v>-0.2304958</v>
      </c>
      <c r="U6178">
        <v>-1.175934</v>
      </c>
      <c r="V6178">
        <v>-0.13368250000000001</v>
      </c>
      <c r="W6178">
        <v>0.1871728</v>
      </c>
      <c r="X6178">
        <v>0.97318819999999995</v>
      </c>
      <c r="Y6178">
        <v>-0.21991189999999999</v>
      </c>
      <c r="Z6178">
        <v>4.9423759999999997E-2</v>
      </c>
      <c r="AA6178">
        <v>0.97426690000000005</v>
      </c>
      <c r="AB6178">
        <v>18</v>
      </c>
      <c r="AC6178">
        <v>13.7141999999999</v>
      </c>
      <c r="AD6178">
        <v>-1.113469131</v>
      </c>
      <c r="AE6178">
        <v>-5.5833599999999901</v>
      </c>
      <c r="AF6178">
        <v>-3.2992810922316802</v>
      </c>
      <c r="AG6178">
        <v>-1.113469131</v>
      </c>
      <c r="AH6178">
        <v>14.349535974817501</v>
      </c>
      <c r="AI6178">
        <v>94.324649376766999</v>
      </c>
      <c r="AJ6178">
        <v>102.948546763178</v>
      </c>
      <c r="AK6178">
        <v>14.7659829311776</v>
      </c>
      <c r="AL6178">
        <v>79.212161864892593</v>
      </c>
      <c r="AM6178">
        <v>97.821514026533407</v>
      </c>
      <c r="AN6178">
        <v>0.99999997024266396</v>
      </c>
    </row>
    <row r="6179" spans="1:40" x14ac:dyDescent="0.25">
      <c r="A6179" t="str">
        <f>"20190312172532261"</f>
        <v>20190312172532261</v>
      </c>
      <c r="B6179" t="str">
        <f>"1552382732256463"</f>
        <v>1552382732256463</v>
      </c>
      <c r="C6179" t="s">
        <v>40</v>
      </c>
      <c r="D6179">
        <v>3.7472240000000001</v>
      </c>
      <c r="E6179">
        <v>0.4666786</v>
      </c>
      <c r="F6179" t="s">
        <v>43</v>
      </c>
      <c r="G6179">
        <v>-276.74610000000001</v>
      </c>
      <c r="H6179" s="1">
        <v>-2.1459379999999998E-6</v>
      </c>
      <c r="I6179">
        <v>-60.822600000000001</v>
      </c>
      <c r="J6179">
        <v>-290.24340000000001</v>
      </c>
      <c r="K6179">
        <v>1.1134409999999999</v>
      </c>
      <c r="L6179">
        <v>-55.406950000000002</v>
      </c>
      <c r="M6179">
        <v>0.82096559999999896</v>
      </c>
      <c r="N6179">
        <v>0</v>
      </c>
      <c r="O6179">
        <v>-0.57079820000000003</v>
      </c>
      <c r="P6179">
        <v>0.87681409999999904</v>
      </c>
      <c r="Q6179">
        <v>0.17400199999999999</v>
      </c>
      <c r="R6179">
        <v>-0.44824140000000001</v>
      </c>
      <c r="S6179">
        <v>2.8758849999999998</v>
      </c>
      <c r="T6179">
        <v>-0.2347496</v>
      </c>
      <c r="U6179">
        <v>-1.1614990000000001</v>
      </c>
      <c r="V6179">
        <v>-0.13363889999999901</v>
      </c>
      <c r="W6179">
        <v>0.18715499999999999</v>
      </c>
      <c r="X6179">
        <v>0.9731976</v>
      </c>
      <c r="Y6179">
        <v>-0.21985859999999999</v>
      </c>
      <c r="Z6179">
        <v>5.0033290000000001E-2</v>
      </c>
      <c r="AA6179">
        <v>0.97424789999999994</v>
      </c>
      <c r="AB6179">
        <v>18</v>
      </c>
      <c r="AC6179">
        <v>13.4972999999999</v>
      </c>
      <c r="AD6179">
        <v>-1.1134431459380001</v>
      </c>
      <c r="AE6179">
        <v>-5.4156499999999896</v>
      </c>
      <c r="AF6179">
        <v>-3.2395174412592098</v>
      </c>
      <c r="AG6179">
        <v>-1.1134431459380001</v>
      </c>
      <c r="AH6179">
        <v>14.0909197434917</v>
      </c>
      <c r="AI6179">
        <v>94.403630120166397</v>
      </c>
      <c r="AJ6179">
        <v>102.947380583463</v>
      </c>
      <c r="AK6179">
        <v>14.5013188403325</v>
      </c>
      <c r="AL6179">
        <v>79.213199955060603</v>
      </c>
      <c r="AM6179">
        <v>97.818920041922496</v>
      </c>
      <c r="AN6179">
        <v>0.99999995913198403</v>
      </c>
    </row>
    <row r="6180" spans="1:40" x14ac:dyDescent="0.25">
      <c r="A6180" t="str">
        <f>"20190312172532273"</f>
        <v>20190312172532273</v>
      </c>
      <c r="B6180" t="str">
        <f>"1552382732266224"</f>
        <v>1552382732266224</v>
      </c>
      <c r="C6180" t="s">
        <v>40</v>
      </c>
      <c r="D6180">
        <v>3.7060330000000001</v>
      </c>
      <c r="E6180">
        <v>0.4668427</v>
      </c>
      <c r="F6180" t="s">
        <v>43</v>
      </c>
      <c r="G6180">
        <v>-276.85210000000001</v>
      </c>
      <c r="H6180" s="1">
        <v>-2.1778710000000002E-6</v>
      </c>
      <c r="I6180">
        <v>-60.761600000000001</v>
      </c>
      <c r="J6180">
        <v>-290.16660000000002</v>
      </c>
      <c r="K6180">
        <v>1.113426</v>
      </c>
      <c r="L6180">
        <v>-55.456479999999999</v>
      </c>
      <c r="M6180">
        <v>0.82250080000000003</v>
      </c>
      <c r="N6180">
        <v>0</v>
      </c>
      <c r="O6180">
        <v>-0.56858390000000003</v>
      </c>
      <c r="P6180">
        <v>0.87786500000000001</v>
      </c>
      <c r="Q6180">
        <v>0.17431189999999999</v>
      </c>
      <c r="R6180">
        <v>-0.44605879999999998</v>
      </c>
      <c r="S6180">
        <v>2.8802490000000001</v>
      </c>
      <c r="T6180">
        <v>-0.23948469999999999</v>
      </c>
      <c r="U6180">
        <v>-1.1517029999999999</v>
      </c>
      <c r="V6180">
        <v>-0.13339779999999901</v>
      </c>
      <c r="W6180">
        <v>0.18746650000000001</v>
      </c>
      <c r="X6180">
        <v>0.9731708</v>
      </c>
      <c r="Y6180">
        <v>-0.22052050000000001</v>
      </c>
      <c r="Z6180">
        <v>5.0896820000000002E-2</v>
      </c>
      <c r="AA6180">
        <v>0.97405350000000002</v>
      </c>
      <c r="AB6180">
        <v>18</v>
      </c>
      <c r="AC6180">
        <v>13.314500000000001</v>
      </c>
      <c r="AD6180">
        <v>-1.113428177871</v>
      </c>
      <c r="AE6180">
        <v>-5.3051199999999898</v>
      </c>
      <c r="AF6180">
        <v>-3.1880333488530201</v>
      </c>
      <c r="AG6180">
        <v>-1.113428177871</v>
      </c>
      <c r="AH6180">
        <v>13.885225001233399</v>
      </c>
      <c r="AI6180">
        <v>94.468836468163403</v>
      </c>
      <c r="AJ6180">
        <v>102.93093966940199</v>
      </c>
      <c r="AK6180">
        <v>14.289952843713399</v>
      </c>
      <c r="AL6180">
        <v>79.1950315533241</v>
      </c>
      <c r="AM6180">
        <v>97.805200115753706</v>
      </c>
      <c r="AN6180">
        <v>1.00000003381986</v>
      </c>
    </row>
    <row r="6181" spans="1:40" x14ac:dyDescent="0.25">
      <c r="A6181" t="str">
        <f>"20190312172532284"</f>
        <v>20190312172532284</v>
      </c>
      <c r="B6181" t="str">
        <f>"1552382732276960"</f>
        <v>1552382732276960</v>
      </c>
      <c r="C6181" t="s">
        <v>40</v>
      </c>
      <c r="D6181">
        <v>3.616085</v>
      </c>
      <c r="E6181">
        <v>0.46721299999999999</v>
      </c>
      <c r="F6181" t="s">
        <v>43</v>
      </c>
      <c r="G6181">
        <v>-276.81939999999997</v>
      </c>
      <c r="H6181" s="1">
        <v>-2.1639620000000002E-6</v>
      </c>
      <c r="I6181">
        <v>-60.762230000000002</v>
      </c>
      <c r="J6181">
        <v>-290.08769999999998</v>
      </c>
      <c r="K6181">
        <v>1.11341</v>
      </c>
      <c r="L6181">
        <v>-55.507080000000002</v>
      </c>
      <c r="M6181">
        <v>0.82406499999999905</v>
      </c>
      <c r="N6181">
        <v>0</v>
      </c>
      <c r="O6181">
        <v>-0.56631450000000005</v>
      </c>
      <c r="P6181">
        <v>0.8791968</v>
      </c>
      <c r="Q6181">
        <v>0.17413429999999999</v>
      </c>
      <c r="R6181">
        <v>-0.443498</v>
      </c>
      <c r="S6181">
        <v>2.8828740000000002</v>
      </c>
      <c r="T6181">
        <v>-0.24049100000000001</v>
      </c>
      <c r="U6181">
        <v>-1.145996</v>
      </c>
      <c r="V6181">
        <v>-0.133565299999999</v>
      </c>
      <c r="W6181">
        <v>0.18728900000000001</v>
      </c>
      <c r="X6181">
        <v>0.97318199999999999</v>
      </c>
      <c r="Y6181">
        <v>-0.21979280000000001</v>
      </c>
      <c r="Z6181">
        <v>5.0918560000000002E-2</v>
      </c>
      <c r="AA6181">
        <v>0.97421679999999999</v>
      </c>
      <c r="AB6181">
        <v>18</v>
      </c>
      <c r="AC6181">
        <v>13.2683</v>
      </c>
      <c r="AD6181">
        <v>-1.113412163962</v>
      </c>
      <c r="AE6181">
        <v>-5.2551500000000004</v>
      </c>
      <c r="AF6181">
        <v>-3.1645093897505601</v>
      </c>
      <c r="AG6181">
        <v>-1.113412163962</v>
      </c>
      <c r="AH6181">
        <v>13.8272683016339</v>
      </c>
      <c r="AI6181">
        <v>94.488146121034305</v>
      </c>
      <c r="AJ6181">
        <v>102.890716592168</v>
      </c>
      <c r="AK6181">
        <v>14.228392565924199</v>
      </c>
      <c r="AL6181">
        <v>79.205384913805204</v>
      </c>
      <c r="AM6181">
        <v>97.814790807487</v>
      </c>
      <c r="AN6181">
        <v>1.0000000320045399</v>
      </c>
    </row>
    <row r="6182" spans="1:40" x14ac:dyDescent="0.25">
      <c r="A6182" t="str">
        <f>"20190312172532295"</f>
        <v>20190312172532295</v>
      </c>
      <c r="B6182" t="str">
        <f>"1552382732286720"</f>
        <v>1552382732286720</v>
      </c>
      <c r="C6182" t="s">
        <v>40</v>
      </c>
      <c r="D6182">
        <v>3.5970209999999998</v>
      </c>
      <c r="E6182">
        <v>0.4674722</v>
      </c>
      <c r="F6182" t="s">
        <v>43</v>
      </c>
      <c r="G6182">
        <v>-276.77879999999999</v>
      </c>
      <c r="H6182" s="1">
        <v>-2.1478949999999999E-6</v>
      </c>
      <c r="I6182">
        <v>-60.768239999999999</v>
      </c>
      <c r="J6182">
        <v>-290.0095</v>
      </c>
      <c r="K6182">
        <v>1.113405</v>
      </c>
      <c r="L6182">
        <v>-55.557009999999998</v>
      </c>
      <c r="M6182">
        <v>0.82560469999999897</v>
      </c>
      <c r="N6182">
        <v>0</v>
      </c>
      <c r="O6182">
        <v>-0.56406750000000005</v>
      </c>
      <c r="P6182">
        <v>0.88043769999999999</v>
      </c>
      <c r="Q6182">
        <v>0.17392739999999901</v>
      </c>
      <c r="R6182">
        <v>-0.44111109999999998</v>
      </c>
      <c r="S6182">
        <v>2.8847659999999999</v>
      </c>
      <c r="T6182">
        <v>-0.2413372</v>
      </c>
      <c r="U6182">
        <v>-1.1403810000000001</v>
      </c>
      <c r="V6182">
        <v>-0.13356970000000001</v>
      </c>
      <c r="W6182">
        <v>0.18708279999999999</v>
      </c>
      <c r="X6182">
        <v>0.973221</v>
      </c>
      <c r="Y6182">
        <v>-0.21898699999999999</v>
      </c>
      <c r="Z6182">
        <v>5.0914300000000003E-2</v>
      </c>
      <c r="AA6182">
        <v>0.97439849999999995</v>
      </c>
      <c r="AB6182">
        <v>18</v>
      </c>
      <c r="AC6182">
        <v>13.230700000000001</v>
      </c>
      <c r="AD6182">
        <v>-1.1134071478950001</v>
      </c>
      <c r="AE6182">
        <v>-5.2112299999999996</v>
      </c>
      <c r="AF6182">
        <v>-3.1416549881343099</v>
      </c>
      <c r="AG6182">
        <v>-1.1134071478950001</v>
      </c>
      <c r="AH6182">
        <v>13.7797535828688</v>
      </c>
      <c r="AI6182">
        <v>94.504384786598905</v>
      </c>
      <c r="AJ6182">
        <v>102.84337364997999</v>
      </c>
      <c r="AK6182">
        <v>14.1771393569379</v>
      </c>
      <c r="AL6182">
        <v>79.217411283745506</v>
      </c>
      <c r="AM6182">
        <v>97.8147357629894</v>
      </c>
      <c r="AN6182">
        <v>0.999999976827464</v>
      </c>
    </row>
    <row r="6183" spans="1:40" x14ac:dyDescent="0.25">
      <c r="A6183" t="str">
        <f>"20190312172532307"</f>
        <v>20190312172532307</v>
      </c>
      <c r="B6183" t="str">
        <f>"1552382732296480"</f>
        <v>1552382732296480</v>
      </c>
      <c r="C6183" t="s">
        <v>40</v>
      </c>
      <c r="D6183">
        <v>3.5890490000000002</v>
      </c>
      <c r="E6183">
        <v>0.4674722</v>
      </c>
      <c r="F6183" t="s">
        <v>43</v>
      </c>
      <c r="G6183">
        <v>-276.72059999999999</v>
      </c>
      <c r="H6183" s="1">
        <v>-2.1254450000000002E-6</v>
      </c>
      <c r="I6183">
        <v>-60.779690000000002</v>
      </c>
      <c r="J6183">
        <v>-289.93340000000001</v>
      </c>
      <c r="K6183">
        <v>1.113389</v>
      </c>
      <c r="L6183">
        <v>-55.605289999999997</v>
      </c>
      <c r="M6183">
        <v>0.82708989999999905</v>
      </c>
      <c r="N6183">
        <v>0</v>
      </c>
      <c r="O6183">
        <v>-0.56188769999999999</v>
      </c>
      <c r="P6183">
        <v>0.88167419999999996</v>
      </c>
      <c r="Q6183">
        <v>0.17391470000000001</v>
      </c>
      <c r="R6183">
        <v>-0.43863920000000001</v>
      </c>
      <c r="S6183">
        <v>2.886749</v>
      </c>
      <c r="T6183">
        <v>-0.241865</v>
      </c>
      <c r="U6183">
        <v>-1.1345209999999999</v>
      </c>
      <c r="V6183">
        <v>-0.13372779999999901</v>
      </c>
      <c r="W6183">
        <v>0.18706970000000001</v>
      </c>
      <c r="X6183">
        <v>0.97320180000000001</v>
      </c>
      <c r="Y6183">
        <v>-0.2183523</v>
      </c>
      <c r="Z6183">
        <v>5.0852309999999998E-2</v>
      </c>
      <c r="AA6183">
        <v>0.97454419999999997</v>
      </c>
      <c r="AB6183">
        <v>18</v>
      </c>
      <c r="AC6183">
        <v>13.2128</v>
      </c>
      <c r="AD6183">
        <v>-1.113391125445</v>
      </c>
      <c r="AE6183">
        <v>-5.1743999999999897</v>
      </c>
      <c r="AF6183">
        <v>-3.12549509097409</v>
      </c>
      <c r="AG6183">
        <v>-1.113391125445</v>
      </c>
      <c r="AH6183">
        <v>13.7523528641384</v>
      </c>
      <c r="AI6183">
        <v>94.513958961599101</v>
      </c>
      <c r="AJ6183">
        <v>102.804108983346</v>
      </c>
      <c r="AK6183">
        <v>14.146927887767699</v>
      </c>
      <c r="AL6183">
        <v>79.218175276906194</v>
      </c>
      <c r="AM6183">
        <v>97.824023639582194</v>
      </c>
      <c r="AN6183">
        <v>0.99999997033708399</v>
      </c>
    </row>
    <row r="6184" spans="1:40" x14ac:dyDescent="0.25">
      <c r="A6184" t="str">
        <f>"20190312172532319"</f>
        <v>20190312172532319</v>
      </c>
      <c r="B6184" t="str">
        <f>"1552382732306240"</f>
        <v>1552382732306240</v>
      </c>
      <c r="C6184" t="s">
        <v>40</v>
      </c>
      <c r="D6184">
        <v>3.5529169999999999</v>
      </c>
      <c r="E6184">
        <v>0.45960719999999999</v>
      </c>
      <c r="F6184" t="s">
        <v>43</v>
      </c>
      <c r="G6184">
        <v>-276.63959999999997</v>
      </c>
      <c r="H6184" s="1">
        <v>-2.0927689999999999E-6</v>
      </c>
      <c r="I6184">
        <v>-60.788890000000002</v>
      </c>
      <c r="J6184">
        <v>-289.8528</v>
      </c>
      <c r="K6184">
        <v>1.1133759999999999</v>
      </c>
      <c r="L6184">
        <v>-55.656190000000002</v>
      </c>
      <c r="M6184">
        <v>0.82865200000000006</v>
      </c>
      <c r="N6184">
        <v>0</v>
      </c>
      <c r="O6184">
        <v>-0.55958180000000002</v>
      </c>
      <c r="P6184">
        <v>0.88303860000000001</v>
      </c>
      <c r="Q6184">
        <v>0.17349489999999901</v>
      </c>
      <c r="R6184">
        <v>-0.43605339999999998</v>
      </c>
      <c r="S6184">
        <v>2.8897710000000001</v>
      </c>
      <c r="T6184">
        <v>-0.2420263</v>
      </c>
      <c r="U6184">
        <v>-1.1268009999999999</v>
      </c>
      <c r="V6184">
        <v>-0.13390669999999999</v>
      </c>
      <c r="W6184">
        <v>0.18665000000000001</v>
      </c>
      <c r="X6184">
        <v>0.97325779999999995</v>
      </c>
      <c r="Y6184">
        <v>-0.2182434</v>
      </c>
      <c r="Z6184">
        <v>5.0716490000000003E-2</v>
      </c>
      <c r="AA6184">
        <v>0.97457559999999999</v>
      </c>
      <c r="AB6184">
        <v>18</v>
      </c>
      <c r="AC6184">
        <v>13.213200000000001</v>
      </c>
      <c r="AD6184">
        <v>-1.113378092769</v>
      </c>
      <c r="AE6184">
        <v>-5.1326999999999998</v>
      </c>
      <c r="AF6184">
        <v>-3.1217059921358099</v>
      </c>
      <c r="AG6184">
        <v>-1.113378092769</v>
      </c>
      <c r="AH6184">
        <v>13.7379674212434</v>
      </c>
      <c r="AI6184">
        <v>94.518650213215594</v>
      </c>
      <c r="AJ6184">
        <v>102.80204786711499</v>
      </c>
      <c r="AK6184">
        <v>14.1321055736907</v>
      </c>
      <c r="AL6184">
        <v>79.242653631855703</v>
      </c>
      <c r="AM6184">
        <v>97.833915483610596</v>
      </c>
      <c r="AN6184">
        <v>0.999999986032865</v>
      </c>
    </row>
    <row r="6185" spans="1:40" x14ac:dyDescent="0.25">
      <c r="A6185" t="str">
        <f>"20190312172532332"</f>
        <v>20190312172532332</v>
      </c>
      <c r="B6185" t="str">
        <f>"1552382732326170"</f>
        <v>1552382732326170</v>
      </c>
      <c r="C6185" t="s">
        <v>40</v>
      </c>
      <c r="D6185">
        <v>3.5905719999999999</v>
      </c>
      <c r="E6185">
        <v>0.45786310000000002</v>
      </c>
      <c r="F6185" t="s">
        <v>43</v>
      </c>
      <c r="G6185">
        <v>-275.34879999999998</v>
      </c>
      <c r="H6185" s="1">
        <v>-1.570882E-6</v>
      </c>
      <c r="I6185">
        <v>-60.932209999999998</v>
      </c>
      <c r="J6185">
        <v>-289.7749</v>
      </c>
      <c r="K6185">
        <v>1.113361</v>
      </c>
      <c r="L6185">
        <v>-55.704990000000002</v>
      </c>
      <c r="M6185">
        <v>0.83014569999999999</v>
      </c>
      <c r="N6185">
        <v>0</v>
      </c>
      <c r="O6185">
        <v>-0.55736330000000001</v>
      </c>
      <c r="P6185">
        <v>0.88421949999999905</v>
      </c>
      <c r="Q6185">
        <v>0.17363310000000001</v>
      </c>
      <c r="R6185">
        <v>-0.4335985</v>
      </c>
      <c r="S6185">
        <v>2.9173279999999999</v>
      </c>
      <c r="T6185">
        <v>-0.2239447</v>
      </c>
      <c r="U6185">
        <v>-1.061218</v>
      </c>
      <c r="V6185">
        <v>-0.1339871</v>
      </c>
      <c r="W6185">
        <v>0.1867878</v>
      </c>
      <c r="X6185">
        <v>0.97322030000000004</v>
      </c>
      <c r="Y6185">
        <v>-0.2381857</v>
      </c>
      <c r="Z6185">
        <v>4.7373440000000003E-2</v>
      </c>
      <c r="AA6185">
        <v>0.97006360000000003</v>
      </c>
      <c r="AB6185">
        <v>18</v>
      </c>
      <c r="AC6185">
        <v>14.4261</v>
      </c>
      <c r="AD6185">
        <v>-1.1133625708820001</v>
      </c>
      <c r="AE6185">
        <v>-5.2272199999999902</v>
      </c>
      <c r="AF6185">
        <v>-3.6822156376237598</v>
      </c>
      <c r="AG6185">
        <v>-1.1133625708820001</v>
      </c>
      <c r="AH6185">
        <v>14.8127569459774</v>
      </c>
      <c r="AI6185">
        <v>94.171908194056201</v>
      </c>
      <c r="AJ6185">
        <v>103.95986424961001</v>
      </c>
      <c r="AK6185">
        <v>15.3041189408866</v>
      </c>
      <c r="AL6185">
        <v>79.234616964745697</v>
      </c>
      <c r="AM6185">
        <v>97.838858933338301</v>
      </c>
      <c r="AN6185">
        <v>0.99999998876367002</v>
      </c>
    </row>
    <row r="6186" spans="1:40" x14ac:dyDescent="0.25">
      <c r="A6186" t="str">
        <f>"20190312172532344"</f>
        <v>20190312172532344</v>
      </c>
      <c r="B6186" t="str">
        <f>"1552382732336905"</f>
        <v>1552382732336905</v>
      </c>
      <c r="C6186" t="s">
        <v>40</v>
      </c>
      <c r="D6186">
        <v>3.6727470000000002</v>
      </c>
      <c r="E6186">
        <v>0.4580458</v>
      </c>
      <c r="F6186" t="s">
        <v>43</v>
      </c>
      <c r="G6186">
        <v>-274.62729999999999</v>
      </c>
      <c r="H6186" s="1">
        <v>-1.297697E-6</v>
      </c>
      <c r="I6186">
        <v>-61.095730000000003</v>
      </c>
      <c r="J6186">
        <v>-289.69130000000001</v>
      </c>
      <c r="K6186">
        <v>1.113343</v>
      </c>
      <c r="L6186">
        <v>-55.75714</v>
      </c>
      <c r="M6186">
        <v>0.83173869999999905</v>
      </c>
      <c r="N6186">
        <v>0</v>
      </c>
      <c r="O6186">
        <v>-0.55498340000000002</v>
      </c>
      <c r="P6186">
        <v>0.88556389999999996</v>
      </c>
      <c r="Q6186">
        <v>0.1736588</v>
      </c>
      <c r="R6186">
        <v>-0.43083549999999998</v>
      </c>
      <c r="S6186">
        <v>2.9245909999999999</v>
      </c>
      <c r="T6186">
        <v>-0.21495939999999999</v>
      </c>
      <c r="U6186">
        <v>-1.040802</v>
      </c>
      <c r="V6186">
        <v>-0.13423009999999999</v>
      </c>
      <c r="W6186">
        <v>0.18681210000000001</v>
      </c>
      <c r="X6186">
        <v>0.97318210000000005</v>
      </c>
      <c r="Y6186">
        <v>-0.24231630000000001</v>
      </c>
      <c r="Z6186">
        <v>4.5452670000000001E-2</v>
      </c>
      <c r="AA6186">
        <v>0.96913199999999999</v>
      </c>
      <c r="AB6186">
        <v>18</v>
      </c>
      <c r="AC6186">
        <v>15.064</v>
      </c>
      <c r="AD6186">
        <v>-1.1133442976970001</v>
      </c>
      <c r="AE6186">
        <v>-5.3385899999999999</v>
      </c>
      <c r="AF6186">
        <v>-3.90142524110759</v>
      </c>
      <c r="AG6186">
        <v>-1.1133442976970001</v>
      </c>
      <c r="AH6186">
        <v>15.4188968145268</v>
      </c>
      <c r="AI6186">
        <v>94.0041961007515</v>
      </c>
      <c r="AJ6186">
        <v>104.199457070172</v>
      </c>
      <c r="AK6186">
        <v>15.943745902835699</v>
      </c>
      <c r="AL6186">
        <v>79.233199200965501</v>
      </c>
      <c r="AM6186">
        <v>97.853202731600007</v>
      </c>
      <c r="AN6186">
        <v>0.99999994010641302</v>
      </c>
    </row>
    <row r="6187" spans="1:40" x14ac:dyDescent="0.25">
      <c r="A6187" t="str">
        <f>"20190312172532362"</f>
        <v>20190312172532362</v>
      </c>
      <c r="B6187" t="str">
        <f>"1552382732356426"</f>
        <v>1552382732356426</v>
      </c>
      <c r="C6187" t="s">
        <v>40</v>
      </c>
      <c r="D6187">
        <v>3.551167</v>
      </c>
      <c r="E6187">
        <v>0.4581596</v>
      </c>
      <c r="F6187" t="s">
        <v>43</v>
      </c>
      <c r="G6187">
        <v>-274.2364</v>
      </c>
      <c r="H6187" s="1">
        <v>-1.1560889999999999E-6</v>
      </c>
      <c r="I6187">
        <v>-61.212890000000002</v>
      </c>
      <c r="J6187">
        <v>-289.57650000000001</v>
      </c>
      <c r="K6187">
        <v>1.1133090000000001</v>
      </c>
      <c r="L6187">
        <v>-55.828220000000002</v>
      </c>
      <c r="M6187">
        <v>0.83390359999999997</v>
      </c>
      <c r="N6187">
        <v>0</v>
      </c>
      <c r="O6187">
        <v>-0.55172529999999997</v>
      </c>
      <c r="P6187">
        <v>0.8873373</v>
      </c>
      <c r="Q6187">
        <v>0.17379829999999999</v>
      </c>
      <c r="R6187">
        <v>-0.42711450000000001</v>
      </c>
      <c r="S6187">
        <v>2.9264830000000002</v>
      </c>
      <c r="T6187">
        <v>-0.21081900000000001</v>
      </c>
      <c r="U6187">
        <v>-1.0330809999999999</v>
      </c>
      <c r="V6187">
        <v>-0.13448599999999999</v>
      </c>
      <c r="W6187">
        <v>0.18694930000000001</v>
      </c>
      <c r="X6187">
        <v>0.97312050000000005</v>
      </c>
      <c r="Y6187">
        <v>-0.2410641</v>
      </c>
      <c r="Z6187">
        <v>4.4351189999999999E-2</v>
      </c>
      <c r="AA6187">
        <v>0.96949529999999995</v>
      </c>
      <c r="AB6187">
        <v>18</v>
      </c>
      <c r="AC6187">
        <v>15.3401</v>
      </c>
      <c r="AD6187">
        <v>-1.113310156089</v>
      </c>
      <c r="AE6187">
        <v>-5.3846699999999998</v>
      </c>
      <c r="AF6187">
        <v>-3.9550840668873</v>
      </c>
      <c r="AG6187">
        <v>-1.113310156089</v>
      </c>
      <c r="AH6187">
        <v>15.6910502660148</v>
      </c>
      <c r="AI6187">
        <v>93.935747516898502</v>
      </c>
      <c r="AJ6187">
        <v>104.147268832661</v>
      </c>
      <c r="AK6187">
        <v>16.220086557426299</v>
      </c>
      <c r="AL6187">
        <v>79.225198076177193</v>
      </c>
      <c r="AM6187">
        <v>97.868478779876696</v>
      </c>
      <c r="AN6187">
        <v>1.00000001624337</v>
      </c>
    </row>
    <row r="6188" spans="1:40" x14ac:dyDescent="0.25">
      <c r="A6188" t="str">
        <f>"20190312172532373"</f>
        <v>20190312172532373</v>
      </c>
      <c r="B6188" t="str">
        <f>"1552382732366186"</f>
        <v>1552382732366186</v>
      </c>
      <c r="C6188" t="s">
        <v>40</v>
      </c>
      <c r="D6188">
        <v>3.5841319999999999</v>
      </c>
      <c r="E6188">
        <v>0.45816220000000002</v>
      </c>
      <c r="F6188" t="s">
        <v>43</v>
      </c>
      <c r="G6188">
        <v>-273.74529999999999</v>
      </c>
      <c r="H6188" s="1">
        <v>-9.7613590000000006E-7</v>
      </c>
      <c r="I6188">
        <v>-61.351129999999998</v>
      </c>
      <c r="J6188">
        <v>-289.49979999999999</v>
      </c>
      <c r="K6188">
        <v>1.113294</v>
      </c>
      <c r="L6188">
        <v>-55.875269999999901</v>
      </c>
      <c r="M6188">
        <v>0.83533359999999901</v>
      </c>
      <c r="N6188">
        <v>0</v>
      </c>
      <c r="O6188">
        <v>-0.54955769999999904</v>
      </c>
      <c r="P6188">
        <v>0.88847489999999996</v>
      </c>
      <c r="Q6188">
        <v>0.17372399999999999</v>
      </c>
      <c r="R6188">
        <v>-0.42477310000000001</v>
      </c>
      <c r="S6188">
        <v>2.9293520000000002</v>
      </c>
      <c r="T6188">
        <v>-0.20600350000000001</v>
      </c>
      <c r="U6188">
        <v>-1.0219419999999999</v>
      </c>
      <c r="V6188">
        <v>-0.13452739999999999</v>
      </c>
      <c r="W6188">
        <v>0.18687490000000001</v>
      </c>
      <c r="X6188">
        <v>0.97312900000000002</v>
      </c>
      <c r="Y6188">
        <v>-0.24219969999999999</v>
      </c>
      <c r="Z6188">
        <v>4.3255429999999997E-2</v>
      </c>
      <c r="AA6188">
        <v>0.9692617</v>
      </c>
      <c r="AB6188">
        <v>18</v>
      </c>
      <c r="AC6188">
        <v>15.7545</v>
      </c>
      <c r="AD6188">
        <v>-1.1132949761358999</v>
      </c>
      <c r="AE6188">
        <v>-5.4758600000000097</v>
      </c>
      <c r="AF6188">
        <v>-4.0661377866050499</v>
      </c>
      <c r="AG6188">
        <v>-1.1132949761358999</v>
      </c>
      <c r="AH6188">
        <v>16.0994861214701</v>
      </c>
      <c r="AI6188">
        <v>93.835692805021907</v>
      </c>
      <c r="AJ6188">
        <v>104.174381753522</v>
      </c>
      <c r="AK6188">
        <v>16.642306197728601</v>
      </c>
      <c r="AL6188">
        <v>79.229536634083502</v>
      </c>
      <c r="AM6188">
        <v>97.870802760142098</v>
      </c>
      <c r="AN6188">
        <v>0.99999995012088305</v>
      </c>
    </row>
    <row r="6189" spans="1:40" x14ac:dyDescent="0.25">
      <c r="A6189" t="str">
        <f>"20190312172532384"</f>
        <v>20190312172532384</v>
      </c>
      <c r="B6189" t="str">
        <f>"1552382732376921"</f>
        <v>1552382732376921</v>
      </c>
      <c r="C6189" t="s">
        <v>40</v>
      </c>
      <c r="D6189">
        <v>3.5780729999999998</v>
      </c>
      <c r="E6189">
        <v>0.45825280000000002</v>
      </c>
      <c r="F6189" t="s">
        <v>43</v>
      </c>
      <c r="G6189">
        <v>-273.64170000000001</v>
      </c>
      <c r="H6189" s="1">
        <v>-9.341113E-7</v>
      </c>
      <c r="I6189">
        <v>-61.362020000000001</v>
      </c>
      <c r="J6189">
        <v>-289.4282</v>
      </c>
      <c r="K6189">
        <v>1.1132789999999999</v>
      </c>
      <c r="L6189">
        <v>-55.919130000000003</v>
      </c>
      <c r="M6189">
        <v>0.83666299999999905</v>
      </c>
      <c r="N6189">
        <v>0</v>
      </c>
      <c r="O6189">
        <v>-0.54753209999999997</v>
      </c>
      <c r="P6189">
        <v>0.88954800000000001</v>
      </c>
      <c r="Q6189">
        <v>0.17348520000000001</v>
      </c>
      <c r="R6189">
        <v>-0.42261969999999999</v>
      </c>
      <c r="S6189">
        <v>2.9318849999999999</v>
      </c>
      <c r="T6189">
        <v>-0.20582890000000001</v>
      </c>
      <c r="U6189">
        <v>-1.0144040000000001</v>
      </c>
      <c r="V6189">
        <v>-0.1345461</v>
      </c>
      <c r="W6189">
        <v>0.18663640000000001</v>
      </c>
      <c r="X6189">
        <v>0.97317220000000004</v>
      </c>
      <c r="Y6189">
        <v>-0.24233969999999999</v>
      </c>
      <c r="Z6189">
        <v>4.310075E-2</v>
      </c>
      <c r="AA6189">
        <v>0.96923360000000003</v>
      </c>
      <c r="AB6189">
        <v>18</v>
      </c>
      <c r="AC6189">
        <v>15.786499999999901</v>
      </c>
      <c r="AD6189">
        <v>-1.1132799341113</v>
      </c>
      <c r="AE6189">
        <v>-5.4428899999999896</v>
      </c>
      <c r="AF6189">
        <v>-4.0720675939267696</v>
      </c>
      <c r="AG6189">
        <v>-1.1132799341113</v>
      </c>
      <c r="AH6189">
        <v>16.1181433227942</v>
      </c>
      <c r="AI6189">
        <v>93.8311459812263</v>
      </c>
      <c r="AJ6189">
        <v>104.17845067729</v>
      </c>
      <c r="AK6189">
        <v>16.6618027498629</v>
      </c>
      <c r="AL6189">
        <v>79.243446561402607</v>
      </c>
      <c r="AM6189">
        <v>97.871538067459198</v>
      </c>
      <c r="AN6189">
        <v>0.999999964841504</v>
      </c>
    </row>
    <row r="6190" spans="1:40" x14ac:dyDescent="0.25">
      <c r="A6190" t="str">
        <f>"20190312172532395"</f>
        <v>20190312172532395</v>
      </c>
      <c r="B6190" t="str">
        <f>"1552382732386682"</f>
        <v>1552382732386682</v>
      </c>
      <c r="C6190" t="s">
        <v>40</v>
      </c>
      <c r="D6190">
        <v>3.6115330000000001</v>
      </c>
      <c r="E6190">
        <v>0.45830219999999999</v>
      </c>
      <c r="F6190" t="s">
        <v>43</v>
      </c>
      <c r="G6190">
        <v>-273.5575</v>
      </c>
      <c r="H6190" s="1">
        <v>-9.0003930000000001E-7</v>
      </c>
      <c r="I6190">
        <v>-61.37124</v>
      </c>
      <c r="J6190">
        <v>-289.35160000000002</v>
      </c>
      <c r="K6190">
        <v>1.113259</v>
      </c>
      <c r="L6190">
        <v>-55.96564</v>
      </c>
      <c r="M6190">
        <v>0.838072699999999</v>
      </c>
      <c r="N6190">
        <v>0</v>
      </c>
      <c r="O6190">
        <v>-0.54537190000000002</v>
      </c>
      <c r="P6190">
        <v>0.89069129999999996</v>
      </c>
      <c r="Q6190">
        <v>0.1731654</v>
      </c>
      <c r="R6190">
        <v>-0.4203366</v>
      </c>
      <c r="S6190">
        <v>2.9338380000000002</v>
      </c>
      <c r="T6190">
        <v>-0.20580010000000001</v>
      </c>
      <c r="U6190">
        <v>-1.0078739999999999</v>
      </c>
      <c r="V6190">
        <v>-0.1345595</v>
      </c>
      <c r="W6190">
        <v>0.18631690000000001</v>
      </c>
      <c r="X6190">
        <v>0.97323159999999997</v>
      </c>
      <c r="Y6190">
        <v>-0.2419703</v>
      </c>
      <c r="Z6190">
        <v>4.2956370000000001E-2</v>
      </c>
      <c r="AA6190">
        <v>0.96933230000000004</v>
      </c>
      <c r="AB6190">
        <v>18</v>
      </c>
      <c r="AC6190">
        <v>15.7941</v>
      </c>
      <c r="AD6190">
        <v>-1.1132599000393</v>
      </c>
      <c r="AE6190">
        <v>-5.4055999999999997</v>
      </c>
      <c r="AF6190">
        <v>-4.0657069493896696</v>
      </c>
      <c r="AG6190">
        <v>-1.1132599000393</v>
      </c>
      <c r="AH6190">
        <v>16.114647861783901</v>
      </c>
      <c r="AI6190">
        <v>93.832214003874796</v>
      </c>
      <c r="AJ6190">
        <v>104.16014217091799</v>
      </c>
      <c r="AK6190">
        <v>16.6568663413215</v>
      </c>
      <c r="AL6190">
        <v>79.262079741645806</v>
      </c>
      <c r="AM6190">
        <v>97.871837744277698</v>
      </c>
      <c r="AN6190">
        <v>0.99999999675220896</v>
      </c>
    </row>
    <row r="6191" spans="1:40" x14ac:dyDescent="0.25">
      <c r="A6191" t="str">
        <f>"20190312172532406"</f>
        <v>20190312172532406</v>
      </c>
      <c r="B6191" t="str">
        <f>"1552382732396442"</f>
        <v>1552382732396442</v>
      </c>
      <c r="C6191" t="s">
        <v>40</v>
      </c>
      <c r="D6191">
        <v>3.5851500000000001</v>
      </c>
      <c r="E6191">
        <v>0.45844200000000002</v>
      </c>
      <c r="F6191" t="s">
        <v>43</v>
      </c>
      <c r="G6191">
        <v>-273.53489999999999</v>
      </c>
      <c r="H6191" s="1">
        <v>-8.8691579999999996E-7</v>
      </c>
      <c r="I6191">
        <v>-61.355710000000002</v>
      </c>
      <c r="J6191">
        <v>-289.28100000000001</v>
      </c>
      <c r="K6191">
        <v>1.113243</v>
      </c>
      <c r="L6191">
        <v>-56.008299999999998</v>
      </c>
      <c r="M6191">
        <v>0.83936339999999998</v>
      </c>
      <c r="N6191">
        <v>0</v>
      </c>
      <c r="O6191">
        <v>-0.54338350000000002</v>
      </c>
      <c r="P6191">
        <v>0.89174639999999905</v>
      </c>
      <c r="Q6191">
        <v>0.17283099999999901</v>
      </c>
      <c r="R6191">
        <v>-0.4182322</v>
      </c>
      <c r="S6191">
        <v>2.936188</v>
      </c>
      <c r="T6191">
        <v>-0.20666499999999999</v>
      </c>
      <c r="U6191">
        <v>-1.00061</v>
      </c>
      <c r="V6191">
        <v>-0.134579799999999</v>
      </c>
      <c r="W6191">
        <v>0.18598239999999999</v>
      </c>
      <c r="X6191">
        <v>0.97329279999999996</v>
      </c>
      <c r="Y6191">
        <v>-0.24204619999999999</v>
      </c>
      <c r="Z6191">
        <v>4.3018760000000003E-2</v>
      </c>
      <c r="AA6191">
        <v>0.96931060000000002</v>
      </c>
      <c r="AB6191">
        <v>18</v>
      </c>
      <c r="AC6191">
        <v>15.7461</v>
      </c>
      <c r="AD6191">
        <v>-1.1132438869157999</v>
      </c>
      <c r="AE6191">
        <v>-5.3474099999999902</v>
      </c>
      <c r="AF6191">
        <v>-4.0500140834868104</v>
      </c>
      <c r="AG6191">
        <v>-1.1132438869157999</v>
      </c>
      <c r="AH6191">
        <v>16.052095943035098</v>
      </c>
      <c r="AI6191">
        <v>93.847042435501706</v>
      </c>
      <c r="AJ6191">
        <v>104.160440532653</v>
      </c>
      <c r="AK6191">
        <v>16.592519705957901</v>
      </c>
      <c r="AL6191">
        <v>79.281586431746305</v>
      </c>
      <c r="AM6191">
        <v>97.872521577010701</v>
      </c>
      <c r="AN6191">
        <v>1.00000002510481</v>
      </c>
    </row>
    <row r="6192" spans="1:40" x14ac:dyDescent="0.25">
      <c r="A6192" t="str">
        <f>"20190312172532417"</f>
        <v>20190312172532417</v>
      </c>
      <c r="B6192" t="str">
        <f>"1552382732406202"</f>
        <v>1552382732406202</v>
      </c>
      <c r="C6192" t="s">
        <v>40</v>
      </c>
      <c r="D6192">
        <v>3.6019879999999902</v>
      </c>
      <c r="E6192">
        <v>0.45869840000000001</v>
      </c>
      <c r="F6192" t="s">
        <v>43</v>
      </c>
      <c r="G6192">
        <v>-273.46109999999999</v>
      </c>
      <c r="H6192" s="1">
        <v>-8.5660430000000001E-7</v>
      </c>
      <c r="I6192">
        <v>-61.361899999999999</v>
      </c>
      <c r="J6192">
        <v>-289.20030000000003</v>
      </c>
      <c r="K6192">
        <v>1.1132329999999999</v>
      </c>
      <c r="L6192">
        <v>-56.056789999999999</v>
      </c>
      <c r="M6192">
        <v>0.84082979999999996</v>
      </c>
      <c r="N6192">
        <v>0</v>
      </c>
      <c r="O6192">
        <v>-0.54111160000000003</v>
      </c>
      <c r="P6192">
        <v>0.89297320000000002</v>
      </c>
      <c r="Q6192">
        <v>0.17198910000000001</v>
      </c>
      <c r="R6192">
        <v>-0.41595529999999997</v>
      </c>
      <c r="S6192">
        <v>2.9379580000000001</v>
      </c>
      <c r="T6192">
        <v>-0.2067435</v>
      </c>
      <c r="U6192">
        <v>-0.99423220000000001</v>
      </c>
      <c r="V6192">
        <v>-0.13451050000000001</v>
      </c>
      <c r="W6192">
        <v>0.1851418</v>
      </c>
      <c r="X6192">
        <v>0.97346259999999996</v>
      </c>
      <c r="Y6192">
        <v>-0.24149190000000001</v>
      </c>
      <c r="Z6192">
        <v>4.2884850000000002E-2</v>
      </c>
      <c r="AA6192">
        <v>0.96945479999999995</v>
      </c>
      <c r="AB6192">
        <v>18</v>
      </c>
      <c r="AC6192">
        <v>15.7392</v>
      </c>
      <c r="AD6192">
        <v>-1.1132338566043001</v>
      </c>
      <c r="AE6192">
        <v>-5.3051099999999902</v>
      </c>
      <c r="AF6192">
        <v>-4.0382406452247999</v>
      </c>
      <c r="AG6192">
        <v>-1.1132338566043001</v>
      </c>
      <c r="AH6192">
        <v>16.0342522274446</v>
      </c>
      <c r="AI6192">
        <v>93.851688874195801</v>
      </c>
      <c r="AJ6192">
        <v>104.136009811398</v>
      </c>
      <c r="AK6192">
        <v>16.572384307079901</v>
      </c>
      <c r="AL6192">
        <v>79.3306002128719</v>
      </c>
      <c r="AM6192">
        <v>97.867163212907101</v>
      </c>
      <c r="AN6192">
        <v>0.99999999715812404</v>
      </c>
    </row>
    <row r="6193" spans="1:40" x14ac:dyDescent="0.25">
      <c r="A6193" t="str">
        <f>"20190312172532431"</f>
        <v>20190312172532431</v>
      </c>
      <c r="B6193" t="str">
        <f>"1552382732426699"</f>
        <v>1552382732426699</v>
      </c>
      <c r="C6193" t="s">
        <v>40</v>
      </c>
      <c r="D6193">
        <v>3.6162010000000002</v>
      </c>
      <c r="E6193">
        <v>0.4591442</v>
      </c>
      <c r="F6193" t="s">
        <v>43</v>
      </c>
      <c r="G6193">
        <v>-273.53289999999998</v>
      </c>
      <c r="H6193" s="1">
        <v>-8.7884279999999999E-7</v>
      </c>
      <c r="I6193">
        <v>-61.323410000000003</v>
      </c>
      <c r="J6193">
        <v>-289.11509999999998</v>
      </c>
      <c r="K6193">
        <v>1.113229</v>
      </c>
      <c r="L6193">
        <v>-56.107700000000001</v>
      </c>
      <c r="M6193">
        <v>0.84236759999999999</v>
      </c>
      <c r="N6193">
        <v>0</v>
      </c>
      <c r="O6193">
        <v>-0.53871429999999998</v>
      </c>
      <c r="P6193">
        <v>0.894034</v>
      </c>
      <c r="Q6193">
        <v>0.17142249999999901</v>
      </c>
      <c r="R6193">
        <v>-0.41390549999999998</v>
      </c>
      <c r="S6193">
        <v>2.9395449999999999</v>
      </c>
      <c r="T6193">
        <v>-0.20886640000000001</v>
      </c>
      <c r="U6193">
        <v>-0.98812869999999997</v>
      </c>
      <c r="V6193">
        <v>-0.1340218</v>
      </c>
      <c r="W6193">
        <v>0.18457899999999999</v>
      </c>
      <c r="X6193">
        <v>0.97363690000000003</v>
      </c>
      <c r="Y6193">
        <v>-0.2406683</v>
      </c>
      <c r="Z6193">
        <v>4.315737E-2</v>
      </c>
      <c r="AA6193">
        <v>0.9696475</v>
      </c>
      <c r="AB6193">
        <v>18</v>
      </c>
      <c r="AC6193">
        <v>15.5822</v>
      </c>
      <c r="AD6193">
        <v>-1.1132298788427999</v>
      </c>
      <c r="AE6193">
        <v>-5.2157099999999899</v>
      </c>
      <c r="AF6193">
        <v>-3.9829356446372901</v>
      </c>
      <c r="AG6193">
        <v>-1.1132298788427999</v>
      </c>
      <c r="AH6193">
        <v>15.864526782275</v>
      </c>
      <c r="AI6193">
        <v>93.893482657729706</v>
      </c>
      <c r="AJ6193">
        <v>104.093347866221</v>
      </c>
      <c r="AK6193">
        <v>16.394702410778699</v>
      </c>
      <c r="AL6193">
        <v>79.363412163015497</v>
      </c>
      <c r="AM6193">
        <v>97.837550547220502</v>
      </c>
      <c r="AN6193">
        <v>1.0000000315789199</v>
      </c>
    </row>
    <row r="6194" spans="1:40" x14ac:dyDescent="0.25">
      <c r="A6194" t="str">
        <f>"20190312172532452"</f>
        <v>20190312172532452</v>
      </c>
      <c r="B6194" t="str">
        <f>"1552382732447194"</f>
        <v>1552382732447194</v>
      </c>
      <c r="C6194" t="s">
        <v>40</v>
      </c>
      <c r="D6194">
        <v>3.6565050000000001</v>
      </c>
      <c r="E6194">
        <v>0.45954159999999999</v>
      </c>
      <c r="F6194" t="s">
        <v>43</v>
      </c>
      <c r="G6194">
        <v>-273.57850000000002</v>
      </c>
      <c r="H6194" s="1">
        <v>-8.9521139999999998E-7</v>
      </c>
      <c r="I6194">
        <v>-61.309089999999998</v>
      </c>
      <c r="J6194">
        <v>-288.98039999999997</v>
      </c>
      <c r="K6194">
        <v>1.1132169999999999</v>
      </c>
      <c r="L6194">
        <v>-56.187440000000002</v>
      </c>
      <c r="M6194">
        <v>0.84477709999999995</v>
      </c>
      <c r="N6194">
        <v>0</v>
      </c>
      <c r="O6194">
        <v>-0.53492850000000003</v>
      </c>
      <c r="P6194">
        <v>0.89562410000000003</v>
      </c>
      <c r="Q6194">
        <v>0.17035220000000001</v>
      </c>
      <c r="R6194">
        <v>-0.41089900000000001</v>
      </c>
      <c r="S6194">
        <v>2.9402469999999998</v>
      </c>
      <c r="T6194">
        <v>-0.21067449999999999</v>
      </c>
      <c r="U6194">
        <v>-0.98434449999999996</v>
      </c>
      <c r="V6194">
        <v>-0.13301979999999999</v>
      </c>
      <c r="W6194">
        <v>0.1835165</v>
      </c>
      <c r="X6194">
        <v>0.97397509999999998</v>
      </c>
      <c r="Y6194">
        <v>-0.23748910000000001</v>
      </c>
      <c r="Z6194">
        <v>4.3205430000000003E-2</v>
      </c>
      <c r="AA6194">
        <v>0.97042890000000004</v>
      </c>
      <c r="AB6194">
        <v>17</v>
      </c>
      <c r="AC6194">
        <v>15.4018999999999</v>
      </c>
      <c r="AD6194">
        <v>-1.11321789521139</v>
      </c>
      <c r="AE6194">
        <v>-5.1216499999999998</v>
      </c>
      <c r="AF6194">
        <v>-3.8943413046320998</v>
      </c>
      <c r="AG6194">
        <v>-1.11321789521139</v>
      </c>
      <c r="AH6194">
        <v>15.678737164887499</v>
      </c>
      <c r="AI6194">
        <v>93.941903493994602</v>
      </c>
      <c r="AJ6194">
        <v>103.949045718088</v>
      </c>
      <c r="AK6194">
        <v>16.1934538429825</v>
      </c>
      <c r="AL6194">
        <v>79.425346971030294</v>
      </c>
      <c r="AM6194">
        <v>97.777005800951898</v>
      </c>
      <c r="AN6194">
        <v>1.00000003419214</v>
      </c>
    </row>
    <row r="6195" spans="1:40" x14ac:dyDescent="0.25">
      <c r="A6195" t="str">
        <f>"20190312172532473"</f>
        <v>20190312172532473</v>
      </c>
      <c r="B6195" t="str">
        <f>"1552382732466717"</f>
        <v>1552382732466717</v>
      </c>
      <c r="C6195" t="s">
        <v>40</v>
      </c>
      <c r="D6195">
        <v>3.5567510000000002</v>
      </c>
      <c r="E6195">
        <v>0.45965919999999999</v>
      </c>
      <c r="F6195" t="s">
        <v>43</v>
      </c>
      <c r="G6195">
        <v>-274.0994</v>
      </c>
      <c r="H6195" s="1">
        <v>-1.0778869999999999E-6</v>
      </c>
      <c r="I6195">
        <v>-61.125630000000001</v>
      </c>
      <c r="J6195">
        <v>-288.8381</v>
      </c>
      <c r="K6195">
        <v>1.1132089999999999</v>
      </c>
      <c r="L6195">
        <v>-56.270870000000002</v>
      </c>
      <c r="M6195">
        <v>0.84729949999999998</v>
      </c>
      <c r="N6195">
        <v>0</v>
      </c>
      <c r="O6195">
        <v>-0.53092430000000002</v>
      </c>
      <c r="P6195">
        <v>0.89747169999999898</v>
      </c>
      <c r="Q6195">
        <v>0.16873949999999999</v>
      </c>
      <c r="R6195">
        <v>-0.40751890000000002</v>
      </c>
      <c r="S6195">
        <v>2.94339</v>
      </c>
      <c r="T6195">
        <v>-0.2201881</v>
      </c>
      <c r="U6195">
        <v>-0.97674559999999999</v>
      </c>
      <c r="V6195">
        <v>-0.13222999999999999</v>
      </c>
      <c r="W6195">
        <v>0.18191080000000001</v>
      </c>
      <c r="X6195">
        <v>0.97438380000000002</v>
      </c>
      <c r="Y6195">
        <v>-0.23532510000000001</v>
      </c>
      <c r="Z6195">
        <v>4.4812299999999999E-2</v>
      </c>
      <c r="AA6195">
        <v>0.9708831</v>
      </c>
      <c r="AB6195">
        <v>17</v>
      </c>
      <c r="AC6195">
        <v>14.7386999999999</v>
      </c>
      <c r="AD6195">
        <v>-1.113210077887</v>
      </c>
      <c r="AE6195">
        <v>-4.8547600000000104</v>
      </c>
      <c r="AF6195">
        <v>-3.6930690340286998</v>
      </c>
      <c r="AG6195">
        <v>-1.113210077887</v>
      </c>
      <c r="AH6195">
        <v>14.989988071589799</v>
      </c>
      <c r="AI6195">
        <v>94.124313295228305</v>
      </c>
      <c r="AJ6195">
        <v>103.840275921499</v>
      </c>
      <c r="AK6195">
        <v>15.478298936059399</v>
      </c>
      <c r="AL6195">
        <v>79.518922215683403</v>
      </c>
      <c r="AM6195">
        <v>97.728186551798302</v>
      </c>
      <c r="AN6195">
        <v>1.0000000508795299</v>
      </c>
    </row>
    <row r="6196" spans="1:40" x14ac:dyDescent="0.25">
      <c r="A6196" t="str">
        <f>"20190312172532485"</f>
        <v>20190312172532485</v>
      </c>
      <c r="B6196" t="str">
        <f>"1552382732476474"</f>
        <v>1552382732476474</v>
      </c>
      <c r="C6196" t="s">
        <v>40</v>
      </c>
      <c r="D6196">
        <v>3.6366139999999998</v>
      </c>
      <c r="E6196">
        <v>0.46577210000000002</v>
      </c>
      <c r="F6196" t="s">
        <v>43</v>
      </c>
      <c r="G6196">
        <v>-274.33359999999999</v>
      </c>
      <c r="H6196" s="1">
        <v>-1.1556119999999999E-6</v>
      </c>
      <c r="I6196">
        <v>-61.023159999999997</v>
      </c>
      <c r="J6196">
        <v>-288.75720000000001</v>
      </c>
      <c r="K6196">
        <v>1.1132029999999999</v>
      </c>
      <c r="L6196">
        <v>-56.317929999999997</v>
      </c>
      <c r="M6196">
        <v>0.84872230000000004</v>
      </c>
      <c r="N6196">
        <v>0</v>
      </c>
      <c r="O6196">
        <v>-0.52864699999999998</v>
      </c>
      <c r="P6196">
        <v>0.89855499999999899</v>
      </c>
      <c r="Q6196">
        <v>0.16782830000000001</v>
      </c>
      <c r="R6196">
        <v>-0.4055028</v>
      </c>
      <c r="S6196">
        <v>2.9468380000000001</v>
      </c>
      <c r="T6196">
        <v>-0.22616910000000001</v>
      </c>
      <c r="U6196">
        <v>-0.96551509999999996</v>
      </c>
      <c r="V6196">
        <v>-0.1318831</v>
      </c>
      <c r="W6196">
        <v>0.18100250000000001</v>
      </c>
      <c r="X6196">
        <v>0.97459989999999996</v>
      </c>
      <c r="Y6196">
        <v>-0.23629990000000001</v>
      </c>
      <c r="Z6196">
        <v>4.5907450000000002E-2</v>
      </c>
      <c r="AA6196">
        <v>0.97059510000000004</v>
      </c>
      <c r="AB6196">
        <v>17</v>
      </c>
      <c r="AC6196">
        <v>14.4236</v>
      </c>
      <c r="AD6196">
        <v>-1.113204155612</v>
      </c>
      <c r="AE6196">
        <v>-4.7052299999999896</v>
      </c>
      <c r="AF6196">
        <v>-3.6124789450435699</v>
      </c>
      <c r="AG6196">
        <v>-1.113204155612</v>
      </c>
      <c r="AH6196">
        <v>14.6516499895252</v>
      </c>
      <c r="AI6196">
        <v>94.219005721111301</v>
      </c>
      <c r="AJ6196">
        <v>103.850472825227</v>
      </c>
      <c r="AK6196">
        <v>15.131426734978101</v>
      </c>
      <c r="AL6196">
        <v>79.571842084435403</v>
      </c>
      <c r="AM6196">
        <v>97.706467430801098</v>
      </c>
      <c r="AN6196">
        <v>1.00000001107593</v>
      </c>
    </row>
    <row r="6197" spans="1:40" x14ac:dyDescent="0.25">
      <c r="A6197" t="str">
        <f>"20190312172532495"</f>
        <v>20190312172532495</v>
      </c>
      <c r="B6197" t="str">
        <f>"1552382732486235"</f>
        <v>1552382732486235</v>
      </c>
      <c r="C6197" t="s">
        <v>40</v>
      </c>
      <c r="D6197">
        <v>3.8242020000000001</v>
      </c>
      <c r="E6197">
        <v>0.46637529999999999</v>
      </c>
      <c r="F6197" t="s">
        <v>43</v>
      </c>
      <c r="G6197">
        <v>-274.8494</v>
      </c>
      <c r="H6197" s="1">
        <v>-1.3896790000000001E-6</v>
      </c>
      <c r="I6197">
        <v>-61.080869999999997</v>
      </c>
      <c r="J6197">
        <v>-288.68060000000003</v>
      </c>
      <c r="K6197">
        <v>1.113194</v>
      </c>
      <c r="L6197">
        <v>-56.36215</v>
      </c>
      <c r="M6197">
        <v>0.8500605</v>
      </c>
      <c r="N6197">
        <v>0</v>
      </c>
      <c r="O6197">
        <v>-0.52649239999999997</v>
      </c>
      <c r="P6197">
        <v>0.89949630000000003</v>
      </c>
      <c r="Q6197">
        <v>0.16700139999999999</v>
      </c>
      <c r="R6197">
        <v>-0.4037541</v>
      </c>
      <c r="S6197">
        <v>2.9297179999999998</v>
      </c>
      <c r="T6197">
        <v>-0.2344996</v>
      </c>
      <c r="U6197">
        <v>-1.0033259999999999</v>
      </c>
      <c r="V6197">
        <v>-0.13138039999999901</v>
      </c>
      <c r="W6197">
        <v>0.18017939999999999</v>
      </c>
      <c r="X6197">
        <v>0.97482029999999997</v>
      </c>
      <c r="Y6197">
        <v>-0.22077260000000001</v>
      </c>
      <c r="Z6197">
        <v>4.6986819999999999E-2</v>
      </c>
      <c r="AA6197">
        <v>0.97419290000000003</v>
      </c>
      <c r="AB6197">
        <v>17</v>
      </c>
      <c r="AC6197">
        <v>13.831200000000001</v>
      </c>
      <c r="AD6197">
        <v>-1.1131953896789999</v>
      </c>
      <c r="AE6197">
        <v>-4.7187199999999896</v>
      </c>
      <c r="AF6197">
        <v>-3.25228509727885</v>
      </c>
      <c r="AG6197">
        <v>-1.1131953896789999</v>
      </c>
      <c r="AH6197">
        <v>14.161004585452901</v>
      </c>
      <c r="AI6197">
        <v>94.381174759055895</v>
      </c>
      <c r="AJ6197">
        <v>102.93452567991</v>
      </c>
      <c r="AK6197">
        <v>14.5722549112621</v>
      </c>
      <c r="AL6197">
        <v>79.619790706395506</v>
      </c>
      <c r="AM6197">
        <v>97.675728515593704</v>
      </c>
      <c r="AN6197">
        <v>1.0000000214903</v>
      </c>
    </row>
    <row r="6198" spans="1:40" x14ac:dyDescent="0.25">
      <c r="A6198" t="str">
        <f>"20190312172532507"</f>
        <v>20190312172532507</v>
      </c>
      <c r="B6198" t="str">
        <f>"1552382732496971"</f>
        <v>1552382732496971</v>
      </c>
      <c r="C6198" t="s">
        <v>40</v>
      </c>
      <c r="D6198">
        <v>3.6467049999999999</v>
      </c>
      <c r="E6198">
        <v>0.46673419999999999</v>
      </c>
      <c r="F6198" t="s">
        <v>43</v>
      </c>
      <c r="G6198">
        <v>-274.20600000000002</v>
      </c>
      <c r="H6198" s="1">
        <v>-1.165283E-6</v>
      </c>
      <c r="I6198">
        <v>-61.313020000000002</v>
      </c>
      <c r="J6198">
        <v>-288.60579999999999</v>
      </c>
      <c r="K6198">
        <v>1.113189</v>
      </c>
      <c r="L6198">
        <v>-56.405059999999999</v>
      </c>
      <c r="M6198">
        <v>0.85136129999999999</v>
      </c>
      <c r="N6198">
        <v>0</v>
      </c>
      <c r="O6198">
        <v>-0.52438649999999998</v>
      </c>
      <c r="P6198">
        <v>0.90049419999999902</v>
      </c>
      <c r="Q6198">
        <v>0.1667921</v>
      </c>
      <c r="R6198">
        <v>-0.40161029999999998</v>
      </c>
      <c r="S6198">
        <v>2.9275820000000001</v>
      </c>
      <c r="T6198">
        <v>-0.2251503</v>
      </c>
      <c r="U6198">
        <v>-1.0013430000000001</v>
      </c>
      <c r="V6198">
        <v>-0.13130700000000001</v>
      </c>
      <c r="W6198">
        <v>0.1799693</v>
      </c>
      <c r="X6198">
        <v>0.97486899999999999</v>
      </c>
      <c r="Y6198">
        <v>-0.2188879</v>
      </c>
      <c r="Z6198">
        <v>4.4955370000000001E-2</v>
      </c>
      <c r="AA6198">
        <v>0.97471390000000002</v>
      </c>
      <c r="AB6198">
        <v>17</v>
      </c>
      <c r="AC6198">
        <v>14.399800000000001</v>
      </c>
      <c r="AD6198">
        <v>-1.1131901652830001</v>
      </c>
      <c r="AE6198">
        <v>-4.9079599999999903</v>
      </c>
      <c r="AF6198">
        <v>-3.3549920874888302</v>
      </c>
      <c r="AG6198">
        <v>-1.1131901652830001</v>
      </c>
      <c r="AH6198">
        <v>14.755599559703599</v>
      </c>
      <c r="AI6198">
        <v>94.207344992660495</v>
      </c>
      <c r="AJ6198">
        <v>102.809607679744</v>
      </c>
      <c r="AK6198">
        <v>15.173097331050201</v>
      </c>
      <c r="AL6198">
        <v>79.632028609478297</v>
      </c>
      <c r="AM6198">
        <v>97.671112629402103</v>
      </c>
      <c r="AN6198">
        <v>1.00000002217624</v>
      </c>
    </row>
    <row r="6199" spans="1:40" x14ac:dyDescent="0.25">
      <c r="A6199" t="str">
        <f>"20190312172532520"</f>
        <v>20190312172532520</v>
      </c>
      <c r="B6199" t="str">
        <f>"1552382732516489"</f>
        <v>1552382732516489</v>
      </c>
      <c r="C6199" t="s">
        <v>40</v>
      </c>
      <c r="D6199">
        <v>3.6411920000000002</v>
      </c>
      <c r="E6199">
        <v>0.46744160000000001</v>
      </c>
      <c r="F6199" t="s">
        <v>43</v>
      </c>
      <c r="G6199">
        <v>-273.88920000000002</v>
      </c>
      <c r="H6199" s="1">
        <v>-1.051999E-6</v>
      </c>
      <c r="I6199">
        <v>-61.414709999999999</v>
      </c>
      <c r="J6199">
        <v>-288.52390000000003</v>
      </c>
      <c r="K6199">
        <v>1.1131869999999999</v>
      </c>
      <c r="L6199">
        <v>-56.451929999999997</v>
      </c>
      <c r="M6199">
        <v>0.85277990000000004</v>
      </c>
      <c r="N6199">
        <v>0</v>
      </c>
      <c r="O6199">
        <v>-0.52207669999999995</v>
      </c>
      <c r="P6199">
        <v>0.90143709999999999</v>
      </c>
      <c r="Q6199">
        <v>0.16699649999999999</v>
      </c>
      <c r="R6199">
        <v>-0.3994045</v>
      </c>
      <c r="S6199">
        <v>2.9279790000000001</v>
      </c>
      <c r="T6199">
        <v>-0.2214769</v>
      </c>
      <c r="U6199">
        <v>-0.99670409999999998</v>
      </c>
      <c r="V6199">
        <v>-0.13103049999999999</v>
      </c>
      <c r="W6199">
        <v>0.1801738</v>
      </c>
      <c r="X6199">
        <v>0.97486839999999997</v>
      </c>
      <c r="Y6199">
        <v>-0.2177306</v>
      </c>
      <c r="Z6199">
        <v>4.4049730000000002E-2</v>
      </c>
      <c r="AA6199">
        <v>0.9750143</v>
      </c>
      <c r="AB6199">
        <v>17</v>
      </c>
      <c r="AC6199">
        <v>14.6347</v>
      </c>
      <c r="AD6199">
        <v>-1.1131880519990001</v>
      </c>
      <c r="AE6199">
        <v>-4.9627799999999898</v>
      </c>
      <c r="AF6199">
        <v>-3.3910252182119698</v>
      </c>
      <c r="AG6199">
        <v>-1.1131880519990001</v>
      </c>
      <c r="AH6199">
        <v>14.994844463566199</v>
      </c>
      <c r="AI6199">
        <v>94.141533658680999</v>
      </c>
      <c r="AJ6199">
        <v>102.742869261783</v>
      </c>
      <c r="AK6199">
        <v>15.4137471160067</v>
      </c>
      <c r="AL6199">
        <v>79.6201166097986</v>
      </c>
      <c r="AM6199">
        <v>97.655155572926702</v>
      </c>
      <c r="AN6199">
        <v>0.99999999372762405</v>
      </c>
    </row>
    <row r="6200" spans="1:40" x14ac:dyDescent="0.25">
      <c r="A6200" t="str">
        <f>"20190312172532531"</f>
        <v>20190312172532531</v>
      </c>
      <c r="B6200" t="str">
        <f>"1552382732526250"</f>
        <v>1552382732526250</v>
      </c>
      <c r="C6200" t="s">
        <v>40</v>
      </c>
      <c r="D6200">
        <v>3.7633260000000002</v>
      </c>
      <c r="E6200">
        <v>0.46707120000000002</v>
      </c>
      <c r="F6200" t="s">
        <v>43</v>
      </c>
      <c r="G6200">
        <v>-273.09140000000002</v>
      </c>
      <c r="H6200" s="1">
        <v>-7.7192509999999996E-7</v>
      </c>
      <c r="I6200">
        <v>-61.694319999999998</v>
      </c>
      <c r="J6200">
        <v>-288.4522</v>
      </c>
      <c r="K6200">
        <v>1.1131869999999999</v>
      </c>
      <c r="L6200">
        <v>-56.492519999999899</v>
      </c>
      <c r="M6200">
        <v>0.85401439999999995</v>
      </c>
      <c r="N6200">
        <v>0</v>
      </c>
      <c r="O6200">
        <v>-0.52005479999999904</v>
      </c>
      <c r="P6200">
        <v>0.90225849999999996</v>
      </c>
      <c r="Q6200">
        <v>0.16681960000000001</v>
      </c>
      <c r="R6200">
        <v>-0.39761960000000002</v>
      </c>
      <c r="S6200">
        <v>2.9266359999999998</v>
      </c>
      <c r="T6200">
        <v>-0.21110609999999999</v>
      </c>
      <c r="U6200">
        <v>-0.99417109999999997</v>
      </c>
      <c r="V6200">
        <v>-0.13066340000000001</v>
      </c>
      <c r="W6200">
        <v>0.1799984</v>
      </c>
      <c r="X6200">
        <v>0.97495010000000004</v>
      </c>
      <c r="Y6200">
        <v>-0.21619949999999999</v>
      </c>
      <c r="Z6200">
        <v>4.1846370000000001E-2</v>
      </c>
      <c r="AA6200">
        <v>0.97545199999999999</v>
      </c>
      <c r="AB6200">
        <v>17</v>
      </c>
      <c r="AC6200">
        <v>15.3607999999999</v>
      </c>
      <c r="AD6200">
        <v>-1.1131877719251</v>
      </c>
      <c r="AE6200">
        <v>-5.2018000000000004</v>
      </c>
      <c r="AF6200">
        <v>-3.5297740435053302</v>
      </c>
      <c r="AG6200">
        <v>-1.1131877719251</v>
      </c>
      <c r="AH6200">
        <v>15.750956382935</v>
      </c>
      <c r="AI6200">
        <v>93.945089161233994</v>
      </c>
      <c r="AJ6200">
        <v>102.631239657595</v>
      </c>
      <c r="AK6200">
        <v>16.179960407581</v>
      </c>
      <c r="AL6200">
        <v>79.630333628956294</v>
      </c>
      <c r="AM6200">
        <v>97.633329694484303</v>
      </c>
      <c r="AN6200">
        <v>1.0000000227960599</v>
      </c>
    </row>
    <row r="6201" spans="1:40" x14ac:dyDescent="0.25">
      <c r="A6201" t="str">
        <f>"20190312172532542"</f>
        <v>20190312172532542</v>
      </c>
      <c r="B6201" t="str">
        <f>"1552382732536987"</f>
        <v>1552382732536987</v>
      </c>
      <c r="C6201" t="s">
        <v>40</v>
      </c>
      <c r="D6201">
        <v>3.6505040000000002</v>
      </c>
      <c r="E6201">
        <v>0.46725899999999998</v>
      </c>
      <c r="F6201" t="s">
        <v>43</v>
      </c>
      <c r="G6201">
        <v>-273.26510000000002</v>
      </c>
      <c r="H6201" s="1">
        <v>-8.2543110000000002E-7</v>
      </c>
      <c r="I6201">
        <v>-61.599739999999997</v>
      </c>
      <c r="J6201">
        <v>-288.37639999999999</v>
      </c>
      <c r="K6201">
        <v>1.113183</v>
      </c>
      <c r="L6201">
        <v>-56.535400000000003</v>
      </c>
      <c r="M6201">
        <v>0.85531469999999898</v>
      </c>
      <c r="N6201">
        <v>0</v>
      </c>
      <c r="O6201">
        <v>-0.51791319999999996</v>
      </c>
      <c r="P6201">
        <v>0.90330350000000004</v>
      </c>
      <c r="Q6201">
        <v>0.16714570000000001</v>
      </c>
      <c r="R6201">
        <v>-0.39510149999999999</v>
      </c>
      <c r="S6201">
        <v>2.93045</v>
      </c>
      <c r="T6201">
        <v>-0.2147973</v>
      </c>
      <c r="U6201">
        <v>-0.98547359999999995</v>
      </c>
      <c r="V6201">
        <v>-0.13090940000000001</v>
      </c>
      <c r="W6201">
        <v>0.1803206</v>
      </c>
      <c r="X6201">
        <v>0.97485759999999999</v>
      </c>
      <c r="Y6201">
        <v>-0.21668889999999999</v>
      </c>
      <c r="Z6201">
        <v>4.2441069999999997E-2</v>
      </c>
      <c r="AA6201">
        <v>0.97531769999999995</v>
      </c>
      <c r="AB6201">
        <v>17</v>
      </c>
      <c r="AC6201">
        <v>15.1112999999999</v>
      </c>
      <c r="AD6201">
        <v>-1.1131838254310999</v>
      </c>
      <c r="AE6201">
        <v>-5.0643399999999996</v>
      </c>
      <c r="AF6201">
        <v>-3.4781228727564102</v>
      </c>
      <c r="AG6201">
        <v>-1.1131838254310999</v>
      </c>
      <c r="AH6201">
        <v>15.473889347256801</v>
      </c>
      <c r="AI6201">
        <v>94.014907627974097</v>
      </c>
      <c r="AJ6201">
        <v>102.668039910866</v>
      </c>
      <c r="AK6201">
        <v>15.8989863978287</v>
      </c>
      <c r="AL6201">
        <v>79.611566283170504</v>
      </c>
      <c r="AM6201">
        <v>97.648248093950002</v>
      </c>
      <c r="AN6201">
        <v>1.0000000650352301</v>
      </c>
    </row>
    <row r="6202" spans="1:40" x14ac:dyDescent="0.25">
      <c r="A6202" t="str">
        <f>"20190312172532554"</f>
        <v>20190312172532554</v>
      </c>
      <c r="B6202" t="str">
        <f>"1552382732546746"</f>
        <v>1552382732546746</v>
      </c>
      <c r="C6202" t="s">
        <v>40</v>
      </c>
      <c r="D6202">
        <v>3.6590859999999998</v>
      </c>
      <c r="E6202">
        <v>0.4675356</v>
      </c>
      <c r="F6202" t="s">
        <v>43</v>
      </c>
      <c r="G6202">
        <v>-273.07470000000001</v>
      </c>
      <c r="H6202" s="1">
        <v>-7.5276419999999996E-7</v>
      </c>
      <c r="I6202">
        <v>-61.64038</v>
      </c>
      <c r="J6202">
        <v>-288.29770000000002</v>
      </c>
      <c r="K6202">
        <v>1.1131770000000001</v>
      </c>
      <c r="L6202">
        <v>-56.579469999999901</v>
      </c>
      <c r="M6202">
        <v>0.85665550000000001</v>
      </c>
      <c r="N6202">
        <v>0</v>
      </c>
      <c r="O6202">
        <v>-0.5156925</v>
      </c>
      <c r="P6202">
        <v>0.90422559999999996</v>
      </c>
      <c r="Q6202">
        <v>0.1674591</v>
      </c>
      <c r="R6202">
        <v>-0.39285340000000002</v>
      </c>
      <c r="S6202">
        <v>2.9326479999999999</v>
      </c>
      <c r="T6202">
        <v>-0.21334710000000001</v>
      </c>
      <c r="U6202">
        <v>-0.97839359999999997</v>
      </c>
      <c r="V6202">
        <v>-0.13077529999999901</v>
      </c>
      <c r="W6202">
        <v>0.18063199999999999</v>
      </c>
      <c r="X6202">
        <v>0.97481790000000001</v>
      </c>
      <c r="Y6202">
        <v>-0.2165212</v>
      </c>
      <c r="Z6202">
        <v>4.2009640000000001E-2</v>
      </c>
      <c r="AA6202">
        <v>0.97537359999999995</v>
      </c>
      <c r="AB6202">
        <v>17</v>
      </c>
      <c r="AC6202">
        <v>15.223000000000001</v>
      </c>
      <c r="AD6202">
        <v>-1.1131777527641999</v>
      </c>
      <c r="AE6202">
        <v>-5.0609100000000096</v>
      </c>
      <c r="AF6202">
        <v>-3.4984414950509399</v>
      </c>
      <c r="AG6202">
        <v>-1.1131777527641999</v>
      </c>
      <c r="AH6202">
        <v>15.5773201288086</v>
      </c>
      <c r="AI6202">
        <v>93.988473877964594</v>
      </c>
      <c r="AJ6202">
        <v>102.657781180736</v>
      </c>
      <c r="AK6202">
        <v>16.004098225108802</v>
      </c>
      <c r="AL6202">
        <v>79.593426020022093</v>
      </c>
      <c r="AM6202">
        <v>97.640813524072797</v>
      </c>
      <c r="AN6202">
        <v>1.0000000183372499</v>
      </c>
    </row>
    <row r="6203" spans="1:40" x14ac:dyDescent="0.25">
      <c r="A6203" t="str">
        <f>"20190312172532574"</f>
        <v>20190312172532574</v>
      </c>
      <c r="B6203" t="str">
        <f>"1552382732566266"</f>
        <v>1552382732566266</v>
      </c>
      <c r="C6203" t="s">
        <v>40</v>
      </c>
      <c r="D6203">
        <v>3.6754899999999999</v>
      </c>
      <c r="E6203">
        <v>0.46790749999999998</v>
      </c>
      <c r="F6203" t="s">
        <v>43</v>
      </c>
      <c r="G6203">
        <v>-272.8759</v>
      </c>
      <c r="H6203" s="1">
        <v>-6.7892319999999996E-7</v>
      </c>
      <c r="I6203">
        <v>-61.691920000000003</v>
      </c>
      <c r="J6203">
        <v>-288.16649999999998</v>
      </c>
      <c r="K6203">
        <v>1.113165</v>
      </c>
      <c r="L6203">
        <v>-56.652439999999999</v>
      </c>
      <c r="M6203">
        <v>0.85887599999999997</v>
      </c>
      <c r="N6203">
        <v>0</v>
      </c>
      <c r="O6203">
        <v>-0.51198630000000001</v>
      </c>
      <c r="P6203">
        <v>0.9057463</v>
      </c>
      <c r="Q6203">
        <v>0.168047</v>
      </c>
      <c r="R6203">
        <v>-0.38908100000000001</v>
      </c>
      <c r="S6203">
        <v>2.934326</v>
      </c>
      <c r="T6203">
        <v>-0.21180470000000001</v>
      </c>
      <c r="U6203">
        <v>-0.97274780000000005</v>
      </c>
      <c r="V6203">
        <v>-0.1305704</v>
      </c>
      <c r="W6203">
        <v>0.18121780000000001</v>
      </c>
      <c r="X6203">
        <v>0.97473659999999995</v>
      </c>
      <c r="Y6203">
        <v>-0.2141952</v>
      </c>
      <c r="Z6203">
        <v>4.140166E-2</v>
      </c>
      <c r="AA6203">
        <v>0.97591300000000003</v>
      </c>
      <c r="AB6203">
        <v>17</v>
      </c>
      <c r="AC6203">
        <v>15.2905999999999</v>
      </c>
      <c r="AD6203">
        <v>-1.1131656789231901</v>
      </c>
      <c r="AE6203">
        <v>-5.0394799999999904</v>
      </c>
      <c r="AF6203">
        <v>-3.4839872454004999</v>
      </c>
      <c r="AG6203">
        <v>-1.1131656789231901</v>
      </c>
      <c r="AH6203">
        <v>15.639693835852</v>
      </c>
      <c r="AI6203">
        <v>93.974110668507095</v>
      </c>
      <c r="AJ6203">
        <v>102.558477562715</v>
      </c>
      <c r="AK6203">
        <v>16.0616726474559</v>
      </c>
      <c r="AL6203">
        <v>79.5592985445642</v>
      </c>
      <c r="AM6203">
        <v>97.629611746803306</v>
      </c>
      <c r="AN6203">
        <v>0.99999997988627898</v>
      </c>
    </row>
    <row r="6204" spans="1:40" x14ac:dyDescent="0.25">
      <c r="A6204" t="str">
        <f>"20190312172532585"</f>
        <v>20190312172532585</v>
      </c>
      <c r="B6204" t="str">
        <f>"1552382732577002"</f>
        <v>1552382732577002</v>
      </c>
      <c r="C6204" t="s">
        <v>40</v>
      </c>
      <c r="D6204">
        <v>3.6750340000000001</v>
      </c>
      <c r="E6204">
        <v>0.46820119999999998</v>
      </c>
      <c r="F6204" t="s">
        <v>43</v>
      </c>
      <c r="G6204">
        <v>-272.74759999999998</v>
      </c>
      <c r="H6204" s="1">
        <v>-6.2678210000000005E-7</v>
      </c>
      <c r="I6204">
        <v>-61.70485</v>
      </c>
      <c r="J6204">
        <v>-288.09199999999998</v>
      </c>
      <c r="K6204">
        <v>1.113159</v>
      </c>
      <c r="L6204">
        <v>-56.693539999999999</v>
      </c>
      <c r="M6204">
        <v>0.86012759999999999</v>
      </c>
      <c r="N6204">
        <v>0</v>
      </c>
      <c r="O6204">
        <v>-0.50988059999999902</v>
      </c>
      <c r="P6204">
        <v>0.90672730000000001</v>
      </c>
      <c r="Q6204">
        <v>0.16823589999999999</v>
      </c>
      <c r="R6204">
        <v>-0.38670700000000002</v>
      </c>
      <c r="S6204">
        <v>2.9379879999999998</v>
      </c>
      <c r="T6204">
        <v>-0.2121074</v>
      </c>
      <c r="U6204">
        <v>-0.96270750000000005</v>
      </c>
      <c r="V6204">
        <v>-0.13071740000000001</v>
      </c>
      <c r="W6204">
        <v>0.18140439999999999</v>
      </c>
      <c r="X6204">
        <v>0.97468220000000005</v>
      </c>
      <c r="Y6204">
        <v>-0.21517320000000001</v>
      </c>
      <c r="Z6204">
        <v>4.1351180000000001E-2</v>
      </c>
      <c r="AA6204">
        <v>0.97570000000000001</v>
      </c>
      <c r="AB6204">
        <v>17</v>
      </c>
      <c r="AC6204">
        <v>15.3444</v>
      </c>
      <c r="AD6204">
        <v>-1.1131596267821</v>
      </c>
      <c r="AE6204">
        <v>-5.0113099999999902</v>
      </c>
      <c r="AF6204">
        <v>-3.4971702809334002</v>
      </c>
      <c r="AG6204">
        <v>-1.1131596267821</v>
      </c>
      <c r="AH6204">
        <v>15.6803366455018</v>
      </c>
      <c r="AI6204">
        <v>93.963600387903099</v>
      </c>
      <c r="AJ6204">
        <v>102.572851513467</v>
      </c>
      <c r="AK6204">
        <v>16.104107601627799</v>
      </c>
      <c r="AL6204">
        <v>79.548427102605302</v>
      </c>
      <c r="AM6204">
        <v>97.638521310360005</v>
      </c>
      <c r="AN6204">
        <v>0.99999999299947995</v>
      </c>
    </row>
    <row r="6205" spans="1:40" x14ac:dyDescent="0.25">
      <c r="A6205" t="str">
        <f>"20190312172532596"</f>
        <v>20190312172532596</v>
      </c>
      <c r="B6205" t="str">
        <f>"1552382732586764"</f>
        <v>1552382732586764</v>
      </c>
      <c r="C6205" t="s">
        <v>40</v>
      </c>
      <c r="D6205">
        <v>3.7984840000000002</v>
      </c>
      <c r="E6205">
        <v>0.46860760000000001</v>
      </c>
      <c r="F6205" t="s">
        <v>43</v>
      </c>
      <c r="G6205">
        <v>-272.61360000000002</v>
      </c>
      <c r="H6205" s="1">
        <v>-5.7556380000000002E-7</v>
      </c>
      <c r="I6205">
        <v>-61.733110000000003</v>
      </c>
      <c r="J6205">
        <v>-288.01679999999999</v>
      </c>
      <c r="K6205">
        <v>1.1131530000000001</v>
      </c>
      <c r="L6205">
        <v>-56.734859999999998</v>
      </c>
      <c r="M6205">
        <v>0.86138539999999997</v>
      </c>
      <c r="N6205">
        <v>0</v>
      </c>
      <c r="O6205">
        <v>-0.5077528</v>
      </c>
      <c r="P6205">
        <v>0.90764750000000005</v>
      </c>
      <c r="Q6205">
        <v>0.16832259999999999</v>
      </c>
      <c r="R6205">
        <v>-0.38450390000000001</v>
      </c>
      <c r="S6205">
        <v>2.9396059999999999</v>
      </c>
      <c r="T6205">
        <v>-0.2114065</v>
      </c>
      <c r="U6205">
        <v>-0.95709230000000001</v>
      </c>
      <c r="V6205">
        <v>-0.13066459999999999</v>
      </c>
      <c r="W6205">
        <v>0.18149019999999999</v>
      </c>
      <c r="X6205">
        <v>0.97467329999999996</v>
      </c>
      <c r="Y6205">
        <v>-0.21461810000000001</v>
      </c>
      <c r="Z6205">
        <v>4.106485E-2</v>
      </c>
      <c r="AA6205">
        <v>0.97583439999999999</v>
      </c>
      <c r="AB6205">
        <v>17</v>
      </c>
      <c r="AC6205">
        <v>15.403199999999901</v>
      </c>
      <c r="AD6205">
        <v>-1.1131535755638</v>
      </c>
      <c r="AE6205">
        <v>-4.9982499999999899</v>
      </c>
      <c r="AF6205">
        <v>-3.4994189413086301</v>
      </c>
      <c r="AG6205">
        <v>-1.1131535755638</v>
      </c>
      <c r="AH6205">
        <v>15.7332251400146</v>
      </c>
      <c r="AI6205">
        <v>93.950804353286102</v>
      </c>
      <c r="AJ6205">
        <v>102.539727297073</v>
      </c>
      <c r="AK6205">
        <v>16.156095354879699</v>
      </c>
      <c r="AL6205">
        <v>79.543428071974901</v>
      </c>
      <c r="AM6205">
        <v>97.635541228413999</v>
      </c>
      <c r="AN6205">
        <v>0.99999998606104401</v>
      </c>
    </row>
    <row r="6206" spans="1:40" x14ac:dyDescent="0.25">
      <c r="A6206" t="str">
        <f>"20190312172532608"</f>
        <v>20190312172532608</v>
      </c>
      <c r="B6206" t="str">
        <f>"1552382732596522"</f>
        <v>1552382732596522</v>
      </c>
      <c r="C6206" t="s">
        <v>40</v>
      </c>
      <c r="D6206">
        <v>3.66655</v>
      </c>
      <c r="E6206">
        <v>0.4688871</v>
      </c>
      <c r="F6206" t="s">
        <v>43</v>
      </c>
      <c r="G6206">
        <v>-272.4171</v>
      </c>
      <c r="H6206" s="1">
        <v>-5.0386400000000002E-7</v>
      </c>
      <c r="I6206">
        <v>-61.7896199999999</v>
      </c>
      <c r="J6206">
        <v>-287.9402</v>
      </c>
      <c r="K6206">
        <v>1.1131450000000001</v>
      </c>
      <c r="L6206">
        <v>-56.776580000000003</v>
      </c>
      <c r="M6206">
        <v>0.86265559999999997</v>
      </c>
      <c r="N6206">
        <v>0</v>
      </c>
      <c r="O6206">
        <v>-0.50559179999999904</v>
      </c>
      <c r="P6206">
        <v>0.90869690000000003</v>
      </c>
      <c r="Q6206">
        <v>0.1681686</v>
      </c>
      <c r="R6206">
        <v>-0.38208589999999998</v>
      </c>
      <c r="S6206">
        <v>2.9405209999999999</v>
      </c>
      <c r="T6206">
        <v>-0.20982909999999999</v>
      </c>
      <c r="U6206">
        <v>-0.95281979999999999</v>
      </c>
      <c r="V6206">
        <v>-0.13082779999999999</v>
      </c>
      <c r="W6206">
        <v>0.18133450000000001</v>
      </c>
      <c r="X6206">
        <v>0.9746804</v>
      </c>
      <c r="Y6206">
        <v>-0.21357080000000001</v>
      </c>
      <c r="Z6206">
        <v>4.0596380000000001E-2</v>
      </c>
      <c r="AA6206">
        <v>0.9760837</v>
      </c>
      <c r="AB6206">
        <v>17</v>
      </c>
      <c r="AC6206">
        <v>15.523099999999999</v>
      </c>
      <c r="AD6206">
        <v>-1.1131455038639999</v>
      </c>
      <c r="AE6206">
        <v>-5.0130399999999797</v>
      </c>
      <c r="AF6206">
        <v>-3.5078469998214299</v>
      </c>
      <c r="AG6206">
        <v>-1.1131455038639999</v>
      </c>
      <c r="AH6206">
        <v>15.853429599589001</v>
      </c>
      <c r="AI6206">
        <v>93.921868393363297</v>
      </c>
      <c r="AJ6206">
        <v>102.476663844615</v>
      </c>
      <c r="AK6206">
        <v>16.274990431826801</v>
      </c>
      <c r="AL6206">
        <v>79.552499674549694</v>
      </c>
      <c r="AM6206">
        <v>97.644910262926103</v>
      </c>
      <c r="AN6206">
        <v>0.99999999814362495</v>
      </c>
    </row>
    <row r="6207" spans="1:40" x14ac:dyDescent="0.25">
      <c r="A6207" t="str">
        <f>"20190312172532630"</f>
        <v>20190312172532630</v>
      </c>
      <c r="B6207" t="str">
        <f>"1552382732626777"</f>
        <v>1552382732626777</v>
      </c>
      <c r="C6207" t="s">
        <v>40</v>
      </c>
      <c r="D6207">
        <v>3.6561789999999998</v>
      </c>
      <c r="E6207">
        <v>0.46948499999999999</v>
      </c>
      <c r="F6207" t="s">
        <v>43</v>
      </c>
      <c r="G6207">
        <v>-272.33780000000002</v>
      </c>
      <c r="H6207" s="1">
        <v>-4.7191300000000003E-7</v>
      </c>
      <c r="I6207">
        <v>-61.799059999999997</v>
      </c>
      <c r="J6207">
        <v>-287.7955</v>
      </c>
      <c r="K6207">
        <v>1.113135</v>
      </c>
      <c r="L6207">
        <v>-56.854860000000002</v>
      </c>
      <c r="M6207">
        <v>0.86503750000000001</v>
      </c>
      <c r="N6207">
        <v>0</v>
      </c>
      <c r="O6207">
        <v>-0.50150600000000001</v>
      </c>
      <c r="P6207">
        <v>0.91061829999999999</v>
      </c>
      <c r="Q6207">
        <v>0.16776050000000001</v>
      </c>
      <c r="R6207">
        <v>-0.37766529999999998</v>
      </c>
      <c r="S6207">
        <v>2.9420470000000001</v>
      </c>
      <c r="T6207">
        <v>-0.209898</v>
      </c>
      <c r="U6207">
        <v>-0.947052</v>
      </c>
      <c r="V6207">
        <v>-0.1309842</v>
      </c>
      <c r="W6207">
        <v>0.18092559999999999</v>
      </c>
      <c r="X6207">
        <v>0.97473540000000003</v>
      </c>
      <c r="Y6207">
        <v>-0.2108439</v>
      </c>
      <c r="Z6207">
        <v>4.0271510000000003E-2</v>
      </c>
      <c r="AA6207">
        <v>0.9766899</v>
      </c>
      <c r="AB6207">
        <v>17</v>
      </c>
      <c r="AC6207">
        <v>15.4576999999999</v>
      </c>
      <c r="AD6207">
        <v>-1.113135471913</v>
      </c>
      <c r="AE6207">
        <v>-4.9442000000000004</v>
      </c>
      <c r="AF6207">
        <v>-3.45928782205287</v>
      </c>
      <c r="AG6207">
        <v>-1.113135471913</v>
      </c>
      <c r="AH6207">
        <v>15.7784082761978</v>
      </c>
      <c r="AI6207">
        <v>93.942093297377596</v>
      </c>
      <c r="AJ6207">
        <v>102.36597991517399</v>
      </c>
      <c r="AK6207">
        <v>16.191476478228299</v>
      </c>
      <c r="AL6207">
        <v>79.576322155385299</v>
      </c>
      <c r="AM6207">
        <v>97.6535144460927</v>
      </c>
      <c r="AN6207">
        <v>1.0000000166990799</v>
      </c>
    </row>
    <row r="6208" spans="1:40" x14ac:dyDescent="0.25">
      <c r="A6208" t="str">
        <f>"20190312172532643"</f>
        <v>20190312172532643</v>
      </c>
      <c r="B6208" t="str">
        <f>"1552382732636538"</f>
        <v>1552382732636538</v>
      </c>
      <c r="C6208" t="s">
        <v>40</v>
      </c>
      <c r="D6208">
        <v>3.6782219999999999</v>
      </c>
      <c r="E6208">
        <v>0.46973140000000002</v>
      </c>
      <c r="F6208" t="s">
        <v>43</v>
      </c>
      <c r="G6208">
        <v>-272.27600000000001</v>
      </c>
      <c r="H6208" s="1">
        <v>-4.4350080000000001E-7</v>
      </c>
      <c r="I6208">
        <v>-61.790500000000002</v>
      </c>
      <c r="J6208">
        <v>-287.7097</v>
      </c>
      <c r="K6208">
        <v>1.1131279999999999</v>
      </c>
      <c r="L6208">
        <v>-56.900939999999999</v>
      </c>
      <c r="M6208">
        <v>0.86643719999999902</v>
      </c>
      <c r="N6208">
        <v>0</v>
      </c>
      <c r="O6208">
        <v>-0.49908380000000002</v>
      </c>
      <c r="P6208">
        <v>0.91169279999999997</v>
      </c>
      <c r="Q6208">
        <v>0.16787569999999999</v>
      </c>
      <c r="R6208">
        <v>-0.37501230000000002</v>
      </c>
      <c r="S6208">
        <v>2.9449770000000002</v>
      </c>
      <c r="T6208">
        <v>-0.211228</v>
      </c>
      <c r="U6208">
        <v>-0.93658450000000004</v>
      </c>
      <c r="V6208">
        <v>-0.13108139999999999</v>
      </c>
      <c r="W6208">
        <v>0.18104000000000001</v>
      </c>
      <c r="X6208">
        <v>0.97470100000000004</v>
      </c>
      <c r="Y6208">
        <v>-0.21152670000000001</v>
      </c>
      <c r="Z6208">
        <v>4.0397080000000002E-2</v>
      </c>
      <c r="AA6208">
        <v>0.97653699999999999</v>
      </c>
      <c r="AB6208">
        <v>17</v>
      </c>
      <c r="AC6208">
        <v>15.4336999999999</v>
      </c>
      <c r="AD6208">
        <v>-1.1131284435008</v>
      </c>
      <c r="AE6208">
        <v>-4.8895599999999897</v>
      </c>
      <c r="AF6208">
        <v>-3.45025266313184</v>
      </c>
      <c r="AG6208">
        <v>-1.1131284435008</v>
      </c>
      <c r="AH6208">
        <v>15.7398221522482</v>
      </c>
      <c r="AI6208">
        <v>93.951731998080504</v>
      </c>
      <c r="AJ6208">
        <v>102.363981177471</v>
      </c>
      <c r="AK6208">
        <v>16.151944147859801</v>
      </c>
      <c r="AL6208">
        <v>79.569656515453104</v>
      </c>
      <c r="AM6208">
        <v>97.659393631839706</v>
      </c>
      <c r="AN6208">
        <v>0.99999992721347697</v>
      </c>
    </row>
    <row r="6209" spans="1:40" x14ac:dyDescent="0.25">
      <c r="A6209" t="str">
        <f>"20190312172532656"</f>
        <v>20190312172532656</v>
      </c>
      <c r="B6209" t="str">
        <f>"1552382732646299"</f>
        <v>1552382732646299</v>
      </c>
      <c r="C6209" t="s">
        <v>40</v>
      </c>
      <c r="D6209">
        <v>3.6520130000000002</v>
      </c>
      <c r="E6209">
        <v>0.47001189999999998</v>
      </c>
      <c r="F6209" t="s">
        <v>43</v>
      </c>
      <c r="G6209">
        <v>-272.13440000000003</v>
      </c>
      <c r="H6209" s="1">
        <v>-3.8811769999999998E-7</v>
      </c>
      <c r="I6209">
        <v>-61.814509999999999</v>
      </c>
      <c r="J6209">
        <v>-287.6232</v>
      </c>
      <c r="K6209">
        <v>1.1131219999999999</v>
      </c>
      <c r="L6209">
        <v>-56.946899999999999</v>
      </c>
      <c r="M6209">
        <v>0.86783349999999904</v>
      </c>
      <c r="N6209">
        <v>0</v>
      </c>
      <c r="O6209">
        <v>-0.49665209999999999</v>
      </c>
      <c r="P6209">
        <v>0.91284750000000003</v>
      </c>
      <c r="Q6209">
        <v>0.1677535</v>
      </c>
      <c r="R6209">
        <v>-0.37224790000000002</v>
      </c>
      <c r="S6209">
        <v>2.9469599999999998</v>
      </c>
      <c r="T6209">
        <v>-0.21061299999999999</v>
      </c>
      <c r="U6209">
        <v>-0.9296875</v>
      </c>
      <c r="V6209">
        <v>-0.13130839999999999</v>
      </c>
      <c r="W6209">
        <v>0.1809162</v>
      </c>
      <c r="X6209">
        <v>0.97469349999999999</v>
      </c>
      <c r="Y6209">
        <v>-0.2110679</v>
      </c>
      <c r="Z6209">
        <v>4.0112979999999999E-2</v>
      </c>
      <c r="AA6209">
        <v>0.97664799999999996</v>
      </c>
      <c r="AB6209">
        <v>17</v>
      </c>
      <c r="AC6209">
        <v>15.4887999999999</v>
      </c>
      <c r="AD6209">
        <v>-1.1131223881176999</v>
      </c>
      <c r="AE6209">
        <v>-4.8676099999999902</v>
      </c>
      <c r="AF6209">
        <v>-3.4523918206574402</v>
      </c>
      <c r="AG6209">
        <v>-1.1131223881176999</v>
      </c>
      <c r="AH6209">
        <v>15.7866026720846</v>
      </c>
      <c r="AI6209">
        <v>93.940459252263494</v>
      </c>
      <c r="AJ6209">
        <v>102.335874654148</v>
      </c>
      <c r="AK6209">
        <v>16.197989833943598</v>
      </c>
      <c r="AL6209">
        <v>79.576869524345994</v>
      </c>
      <c r="AM6209">
        <v>97.672558242138805</v>
      </c>
      <c r="AN6209">
        <v>0.999999993137625</v>
      </c>
    </row>
    <row r="6210" spans="1:40" x14ac:dyDescent="0.25">
      <c r="A6210" t="str">
        <f>"20190312172532668"</f>
        <v>20190312172532668</v>
      </c>
      <c r="B6210" t="str">
        <f>"1552382732657034"</f>
        <v>1552382732657034</v>
      </c>
      <c r="C6210" t="s">
        <v>40</v>
      </c>
      <c r="D6210">
        <v>3.8163200000000002</v>
      </c>
      <c r="E6210">
        <v>0.47005849999999999</v>
      </c>
      <c r="F6210" t="s">
        <v>43</v>
      </c>
      <c r="G6210">
        <v>-272.04950000000002</v>
      </c>
      <c r="H6210" s="1">
        <v>-3.52417E-7</v>
      </c>
      <c r="I6210">
        <v>-61.817860000000003</v>
      </c>
      <c r="J6210">
        <v>-287.53730000000002</v>
      </c>
      <c r="K6210">
        <v>1.1131089999999999</v>
      </c>
      <c r="L6210">
        <v>-56.992339999999999</v>
      </c>
      <c r="M6210">
        <v>0.86921099999999996</v>
      </c>
      <c r="N6210">
        <v>0</v>
      </c>
      <c r="O6210">
        <v>-0.4942376</v>
      </c>
      <c r="P6210">
        <v>0.91379869999999996</v>
      </c>
      <c r="Q6210">
        <v>0.1677681</v>
      </c>
      <c r="R6210">
        <v>-0.36990010000000001</v>
      </c>
      <c r="S6210">
        <v>2.949036</v>
      </c>
      <c r="T6210">
        <v>-0.21078050000000001</v>
      </c>
      <c r="U6210">
        <v>-0.9223633</v>
      </c>
      <c r="V6210">
        <v>-0.13109709999999999</v>
      </c>
      <c r="W6210">
        <v>0.1809317</v>
      </c>
      <c r="X6210">
        <v>0.974719</v>
      </c>
      <c r="Y6210">
        <v>-0.21075920000000001</v>
      </c>
      <c r="Z6210">
        <v>3.9983730000000002E-2</v>
      </c>
      <c r="AA6210">
        <v>0.97672000000000003</v>
      </c>
      <c r="AB6210">
        <v>17</v>
      </c>
      <c r="AC6210">
        <v>15.487799999999901</v>
      </c>
      <c r="AD6210">
        <v>-1.1131093524169999</v>
      </c>
      <c r="AE6210">
        <v>-4.8255199999999903</v>
      </c>
      <c r="AF6210">
        <v>-3.4443895367924</v>
      </c>
      <c r="AG6210">
        <v>-1.1131093524169999</v>
      </c>
      <c r="AH6210">
        <v>15.7744457746713</v>
      </c>
      <c r="AI6210">
        <v>93.943718174831602</v>
      </c>
      <c r="AJ6210">
        <v>102.31734999247099</v>
      </c>
      <c r="AK6210">
        <v>16.184436079445199</v>
      </c>
      <c r="AL6210">
        <v>79.575965865251504</v>
      </c>
      <c r="AM6210">
        <v>97.660160345101502</v>
      </c>
      <c r="AN6210">
        <v>0.99999992932714699</v>
      </c>
    </row>
    <row r="6211" spans="1:40" x14ac:dyDescent="0.25">
      <c r="A6211" t="str">
        <f>"20190312172532680"</f>
        <v>20190312172532680</v>
      </c>
      <c r="B6211" t="str">
        <f>"1552382732676554"</f>
        <v>1552382732676554</v>
      </c>
      <c r="C6211" t="s">
        <v>40</v>
      </c>
      <c r="D6211">
        <v>3.7886860000000002</v>
      </c>
      <c r="E6211">
        <v>0.47041490000000002</v>
      </c>
      <c r="F6211" t="s">
        <v>43</v>
      </c>
      <c r="G6211">
        <v>-271.97469999999998</v>
      </c>
      <c r="H6211" s="1">
        <v>-3.1967260000000001E-7</v>
      </c>
      <c r="I6211">
        <v>-61.814799999999998</v>
      </c>
      <c r="J6211">
        <v>-287.45530000000002</v>
      </c>
      <c r="K6211">
        <v>1.1130990000000001</v>
      </c>
      <c r="L6211">
        <v>-57.035519999999998</v>
      </c>
      <c r="M6211">
        <v>0.87051650000000003</v>
      </c>
      <c r="N6211">
        <v>0</v>
      </c>
      <c r="O6211">
        <v>-0.49193439999999999</v>
      </c>
      <c r="P6211">
        <v>0.91489580000000004</v>
      </c>
      <c r="Q6211">
        <v>0.1675246</v>
      </c>
      <c r="R6211">
        <v>-0.36728889999999997</v>
      </c>
      <c r="S6211">
        <v>2.9515380000000002</v>
      </c>
      <c r="T6211">
        <v>-0.21110880000000001</v>
      </c>
      <c r="U6211">
        <v>-0.91461179999999997</v>
      </c>
      <c r="V6211">
        <v>-0.13131590000000001</v>
      </c>
      <c r="W6211">
        <v>0.18068780000000001</v>
      </c>
      <c r="X6211">
        <v>0.97473480000000001</v>
      </c>
      <c r="Y6211">
        <v>-0.2107464</v>
      </c>
      <c r="Z6211">
        <v>3.9896790000000001E-2</v>
      </c>
      <c r="AA6211">
        <v>0.97672630000000005</v>
      </c>
      <c r="AB6211">
        <v>17</v>
      </c>
      <c r="AC6211">
        <v>15.480600000000001</v>
      </c>
      <c r="AD6211">
        <v>-1.1130993196726</v>
      </c>
      <c r="AE6211">
        <v>-4.77928</v>
      </c>
      <c r="AF6211">
        <v>-3.4391127675606001</v>
      </c>
      <c r="AG6211">
        <v>-1.1130993196726</v>
      </c>
      <c r="AH6211">
        <v>15.7544422841646</v>
      </c>
      <c r="AI6211">
        <v>93.948721549544999</v>
      </c>
      <c r="AJ6211">
        <v>102.314194693407</v>
      </c>
      <c r="AK6211">
        <v>16.1638157131455</v>
      </c>
      <c r="AL6211">
        <v>79.590174588753598</v>
      </c>
      <c r="AM6211">
        <v>97.6726700227359</v>
      </c>
      <c r="AN6211">
        <v>0.99999993849634305</v>
      </c>
    </row>
    <row r="6212" spans="1:40" x14ac:dyDescent="0.25">
      <c r="A6212" t="str">
        <f>"20190312172532692"</f>
        <v>20190312172532692</v>
      </c>
      <c r="B6212" t="str">
        <f>"1552382732686315"</f>
        <v>1552382732686315</v>
      </c>
      <c r="C6212" t="s">
        <v>40</v>
      </c>
      <c r="D6212">
        <v>3.6385100000000001</v>
      </c>
      <c r="E6212">
        <v>0.47041490000000002</v>
      </c>
      <c r="F6212" t="s">
        <v>43</v>
      </c>
      <c r="G6212">
        <v>-272.12110000000001</v>
      </c>
      <c r="H6212" s="1">
        <v>-3.6839869999999999E-7</v>
      </c>
      <c r="I6212">
        <v>-61.7515</v>
      </c>
      <c r="J6212">
        <v>-287.38099999999997</v>
      </c>
      <c r="K6212">
        <v>1.113084</v>
      </c>
      <c r="L6212">
        <v>-57.074280000000002</v>
      </c>
      <c r="M6212">
        <v>0.87168709999999905</v>
      </c>
      <c r="N6212">
        <v>0</v>
      </c>
      <c r="O6212">
        <v>-0.4898576</v>
      </c>
      <c r="P6212">
        <v>0.91568170000000004</v>
      </c>
      <c r="Q6212">
        <v>0.16728680000000001</v>
      </c>
      <c r="R6212">
        <v>-0.36543490000000001</v>
      </c>
      <c r="S6212">
        <v>2.9536440000000002</v>
      </c>
      <c r="T6212">
        <v>-0.21440400000000001</v>
      </c>
      <c r="U6212">
        <v>-0.90838620000000003</v>
      </c>
      <c r="V6212">
        <v>-0.1309805</v>
      </c>
      <c r="W6212">
        <v>0.1804538</v>
      </c>
      <c r="X6212">
        <v>0.97482340000000001</v>
      </c>
      <c r="Y6212">
        <v>-0.21045079999999999</v>
      </c>
      <c r="Z6212">
        <v>4.0371089999999998E-2</v>
      </c>
      <c r="AA6212">
        <v>0.97677049999999999</v>
      </c>
      <c r="AB6212">
        <v>17</v>
      </c>
      <c r="AC6212">
        <v>15.259899999999901</v>
      </c>
      <c r="AD6212">
        <v>-1.1130843683987</v>
      </c>
      <c r="AE6212">
        <v>-4.6772199999999904</v>
      </c>
      <c r="AF6212">
        <v>-3.3819987635818598</v>
      </c>
      <c r="AG6212">
        <v>-1.1130843683987</v>
      </c>
      <c r="AH6212">
        <v>15.5191193858851</v>
      </c>
      <c r="AI6212">
        <v>94.008658178551698</v>
      </c>
      <c r="AJ6212">
        <v>102.293950321838</v>
      </c>
      <c r="AK6212">
        <v>15.9223094732327</v>
      </c>
      <c r="AL6212">
        <v>79.603807184649895</v>
      </c>
      <c r="AM6212">
        <v>97.652618117576594</v>
      </c>
      <c r="AN6212">
        <v>1.0000000632511199</v>
      </c>
    </row>
    <row r="6213" spans="1:40" x14ac:dyDescent="0.25">
      <c r="A6213" t="str">
        <f>"20190312172532703"</f>
        <v>20190312172532703</v>
      </c>
      <c r="B6213" t="str">
        <f>"1552382732697051"</f>
        <v>1552382732697051</v>
      </c>
      <c r="C6213" t="s">
        <v>40</v>
      </c>
      <c r="D6213">
        <v>3.8176600000000001</v>
      </c>
      <c r="E6213">
        <v>0.47966429999999999</v>
      </c>
      <c r="F6213" t="s">
        <v>43</v>
      </c>
      <c r="G6213">
        <v>-272.07979999999998</v>
      </c>
      <c r="H6213" s="1">
        <v>-3.488927E-7</v>
      </c>
      <c r="I6213">
        <v>-61.743560000000002</v>
      </c>
      <c r="J6213">
        <v>-287.30560000000003</v>
      </c>
      <c r="K6213">
        <v>1.1130719999999901</v>
      </c>
      <c r="L6213">
        <v>-57.113460000000003</v>
      </c>
      <c r="M6213">
        <v>0.87286679999999905</v>
      </c>
      <c r="N6213">
        <v>0</v>
      </c>
      <c r="O6213">
        <v>-0.48775220000000002</v>
      </c>
      <c r="P6213">
        <v>0.91660940000000002</v>
      </c>
      <c r="Q6213">
        <v>0.1671156</v>
      </c>
      <c r="R6213">
        <v>-0.36318050000000002</v>
      </c>
      <c r="S6213">
        <v>2.9555660000000001</v>
      </c>
      <c r="T6213">
        <v>-0.21500269999999999</v>
      </c>
      <c r="U6213">
        <v>-0.90191650000000001</v>
      </c>
      <c r="V6213">
        <v>-0.13103619999999999</v>
      </c>
      <c r="W6213">
        <v>0.18028359999999999</v>
      </c>
      <c r="X6213">
        <v>0.97484729999999997</v>
      </c>
      <c r="Y6213">
        <v>-0.2102214</v>
      </c>
      <c r="Z6213">
        <v>4.0339569999999998E-2</v>
      </c>
      <c r="AA6213">
        <v>0.97682119999999995</v>
      </c>
      <c r="AB6213">
        <v>17</v>
      </c>
      <c r="AC6213">
        <v>15.2258</v>
      </c>
      <c r="AD6213">
        <v>-1.1130723488926999</v>
      </c>
      <c r="AE6213">
        <v>-4.6300999999999899</v>
      </c>
      <c r="AF6213">
        <v>-3.3688178562539202</v>
      </c>
      <c r="AG6213">
        <v>-1.1130723488926999</v>
      </c>
      <c r="AH6213">
        <v>15.474303926038999</v>
      </c>
      <c r="AI6213">
        <v>94.020370323041504</v>
      </c>
      <c r="AJ6213">
        <v>102.28188024801</v>
      </c>
      <c r="AK6213">
        <v>15.8758289798647</v>
      </c>
      <c r="AL6213">
        <v>79.613720448278102</v>
      </c>
      <c r="AM6213">
        <v>97.655648366514399</v>
      </c>
      <c r="AN6213">
        <v>0.99999996022834403</v>
      </c>
    </row>
    <row r="6214" spans="1:40" x14ac:dyDescent="0.25">
      <c r="A6214" t="str">
        <f>"20190312172532717"</f>
        <v>20190312172532717</v>
      </c>
      <c r="B6214" t="str">
        <f>"1552382732706810"</f>
        <v>1552382732706810</v>
      </c>
      <c r="C6214" t="s">
        <v>40</v>
      </c>
      <c r="D6214">
        <v>3.6509689999999999</v>
      </c>
      <c r="E6214">
        <v>0.47990729999999998</v>
      </c>
      <c r="F6214" t="s">
        <v>43</v>
      </c>
      <c r="G6214">
        <v>-272.892</v>
      </c>
      <c r="H6214" s="1">
        <v>-7.2042969999999997E-7</v>
      </c>
      <c r="I6214">
        <v>-61.847340000000003</v>
      </c>
      <c r="J6214">
        <v>-287.2054</v>
      </c>
      <c r="K6214">
        <v>1.1130340000000001</v>
      </c>
      <c r="L6214">
        <v>-57.165190000000003</v>
      </c>
      <c r="M6214">
        <v>0.8744189</v>
      </c>
      <c r="N6214">
        <v>0</v>
      </c>
      <c r="O6214">
        <v>-0.48496420000000001</v>
      </c>
      <c r="P6214">
        <v>0.9176242</v>
      </c>
      <c r="Q6214">
        <v>0.16608519999999999</v>
      </c>
      <c r="R6214">
        <v>-0.36108380000000001</v>
      </c>
      <c r="S6214">
        <v>2.932617</v>
      </c>
      <c r="T6214">
        <v>-0.22646839999999999</v>
      </c>
      <c r="U6214">
        <v>-0.9631653</v>
      </c>
      <c r="V6214">
        <v>-0.13022880000000001</v>
      </c>
      <c r="W6214">
        <v>0.1792619</v>
      </c>
      <c r="X6214">
        <v>0.97514389999999995</v>
      </c>
      <c r="Y6214">
        <v>-0.1862702</v>
      </c>
      <c r="Z6214">
        <v>4.1547460000000001E-2</v>
      </c>
      <c r="AA6214">
        <v>0.98161969999999998</v>
      </c>
      <c r="AB6214">
        <v>17</v>
      </c>
      <c r="AC6214">
        <v>14.3134</v>
      </c>
      <c r="AD6214">
        <v>-1.1130347204297</v>
      </c>
      <c r="AE6214">
        <v>-4.68215</v>
      </c>
      <c r="AF6214">
        <v>-2.8321425247968199</v>
      </c>
      <c r="AG6214">
        <v>-1.1130347204297</v>
      </c>
      <c r="AH6214">
        <v>14.7077319335121</v>
      </c>
      <c r="AI6214">
        <v>94.2499322713645</v>
      </c>
      <c r="AJ6214">
        <v>100.89954838903699</v>
      </c>
      <c r="AK6214">
        <v>15.0192295474068</v>
      </c>
      <c r="AL6214">
        <v>79.673229444113204</v>
      </c>
      <c r="AM6214">
        <v>97.606743988734806</v>
      </c>
      <c r="AN6214">
        <v>0.99999999742412904</v>
      </c>
    </row>
    <row r="6215" spans="1:40" x14ac:dyDescent="0.25">
      <c r="A6215" t="str">
        <f>"20190312172532730"</f>
        <v>20190312172532730</v>
      </c>
      <c r="B6215" t="str">
        <f>"1552382732726330"</f>
        <v>1552382732726330</v>
      </c>
      <c r="C6215" t="s">
        <v>40</v>
      </c>
      <c r="D6215">
        <v>3.7691620000000001</v>
      </c>
      <c r="E6215">
        <v>0.48041450000000002</v>
      </c>
      <c r="F6215" t="s">
        <v>43</v>
      </c>
      <c r="G6215">
        <v>-272.8476</v>
      </c>
      <c r="H6215" s="1">
        <v>-7.0195190000000002E-7</v>
      </c>
      <c r="I6215">
        <v>-61.850070000000002</v>
      </c>
      <c r="J6215">
        <v>-287.13069999999999</v>
      </c>
      <c r="K6215">
        <v>1.113013</v>
      </c>
      <c r="L6215">
        <v>-57.20346</v>
      </c>
      <c r="M6215">
        <v>0.87556339999999999</v>
      </c>
      <c r="N6215">
        <v>0</v>
      </c>
      <c r="O6215">
        <v>-0.48289500000000002</v>
      </c>
      <c r="P6215">
        <v>0.91856519999999997</v>
      </c>
      <c r="Q6215">
        <v>0.16542579999999901</v>
      </c>
      <c r="R6215">
        <v>-0.35898839999999999</v>
      </c>
      <c r="S6215">
        <v>2.9337770000000001</v>
      </c>
      <c r="T6215">
        <v>-0.22742960000000001</v>
      </c>
      <c r="U6215">
        <v>-0.9572754</v>
      </c>
      <c r="V6215">
        <v>-0.13019620000000001</v>
      </c>
      <c r="W6215">
        <v>0.1786056</v>
      </c>
      <c r="X6215">
        <v>0.97526869999999999</v>
      </c>
      <c r="Y6215">
        <v>-0.18583340000000001</v>
      </c>
      <c r="Z6215">
        <v>4.1574369999999999E-2</v>
      </c>
      <c r="AA6215">
        <v>0.9817013</v>
      </c>
      <c r="AB6215">
        <v>17</v>
      </c>
      <c r="AC6215">
        <v>14.2830999999999</v>
      </c>
      <c r="AD6215">
        <v>-1.1130137019519</v>
      </c>
      <c r="AE6215">
        <v>-4.6466099999999901</v>
      </c>
      <c r="AF6215">
        <v>-2.8136701025173498</v>
      </c>
      <c r="AG6215">
        <v>-1.1130137019519</v>
      </c>
      <c r="AH6215">
        <v>14.6705095577198</v>
      </c>
      <c r="AI6215">
        <v>94.261201754237405</v>
      </c>
      <c r="AJ6215">
        <v>100.85696980815101</v>
      </c>
      <c r="AK6215">
        <v>14.979298702865901</v>
      </c>
      <c r="AL6215">
        <v>79.711449770320996</v>
      </c>
      <c r="AM6215">
        <v>97.603900324144604</v>
      </c>
      <c r="AN6215">
        <v>1.00000002402274</v>
      </c>
    </row>
    <row r="6216" spans="1:40" x14ac:dyDescent="0.25">
      <c r="A6216" t="str">
        <f>"20190312172532740"</f>
        <v>20190312172532740</v>
      </c>
      <c r="B6216" t="str">
        <f>"1552382732737066"</f>
        <v>1552382732737066</v>
      </c>
      <c r="C6216" t="s">
        <v>40</v>
      </c>
      <c r="D6216">
        <v>3.7837670000000001</v>
      </c>
      <c r="E6216">
        <v>0.48041450000000002</v>
      </c>
      <c r="F6216" t="s">
        <v>43</v>
      </c>
      <c r="G6216">
        <v>-272.80439999999999</v>
      </c>
      <c r="H6216" s="1">
        <v>-6.8569030000000002E-7</v>
      </c>
      <c r="I6216">
        <v>-61.860309999999998</v>
      </c>
      <c r="J6216">
        <v>-287.05669999999998</v>
      </c>
      <c r="K6216">
        <v>1.1129899999999999</v>
      </c>
      <c r="L6216">
        <v>-57.241210000000002</v>
      </c>
      <c r="M6216">
        <v>0.87669010000000003</v>
      </c>
      <c r="N6216">
        <v>0</v>
      </c>
      <c r="O6216">
        <v>-0.48084690000000002</v>
      </c>
      <c r="P6216">
        <v>0.91942860000000004</v>
      </c>
      <c r="Q6216">
        <v>0.16459360000000001</v>
      </c>
      <c r="R6216">
        <v>-0.35715580000000002</v>
      </c>
      <c r="S6216">
        <v>2.9342649999999999</v>
      </c>
      <c r="T6216">
        <v>-0.22796269999999999</v>
      </c>
      <c r="U6216">
        <v>-0.95379639999999999</v>
      </c>
      <c r="V6216">
        <v>-0.12992210000000001</v>
      </c>
      <c r="W6216">
        <v>0.177778399999999</v>
      </c>
      <c r="X6216">
        <v>0.9754564</v>
      </c>
      <c r="Y6216">
        <v>-0.18463669999999999</v>
      </c>
      <c r="Z6216">
        <v>4.1496810000000002E-2</v>
      </c>
      <c r="AA6216">
        <v>0.98193039999999998</v>
      </c>
      <c r="AB6216">
        <v>17</v>
      </c>
      <c r="AC6216">
        <v>14.2522999999999</v>
      </c>
      <c r="AD6216">
        <v>-1.1129906856903</v>
      </c>
      <c r="AE6216">
        <v>-4.6191000000000004</v>
      </c>
      <c r="AF6216">
        <v>-2.7885473279152202</v>
      </c>
      <c r="AG6216">
        <v>-1.1129906856903</v>
      </c>
      <c r="AH6216">
        <v>14.636632341477499</v>
      </c>
      <c r="AI6216">
        <v>94.271938752700606</v>
      </c>
      <c r="AJ6216">
        <v>100.786629916438</v>
      </c>
      <c r="AK6216">
        <v>14.941410601614701</v>
      </c>
      <c r="AL6216">
        <v>79.759615967919203</v>
      </c>
      <c r="AM6216">
        <v>97.586635566688301</v>
      </c>
      <c r="AN6216">
        <v>1.00000004993796</v>
      </c>
    </row>
    <row r="6217" spans="1:40" x14ac:dyDescent="0.25">
      <c r="A6217" t="str">
        <f>"20190312172532752"</f>
        <v>20190312172532752</v>
      </c>
      <c r="B6217" t="str">
        <f>"1552382732746826"</f>
        <v>1552382732746826</v>
      </c>
      <c r="C6217" t="s">
        <v>40</v>
      </c>
      <c r="D6217">
        <v>3.8127939999999998</v>
      </c>
      <c r="E6217">
        <v>0.47846250000000001</v>
      </c>
      <c r="F6217" t="s">
        <v>43</v>
      </c>
      <c r="G6217">
        <v>-272.87790000000001</v>
      </c>
      <c r="H6217" s="1">
        <v>-7.0745260000000001E-7</v>
      </c>
      <c r="I6217">
        <v>-61.816220000000001</v>
      </c>
      <c r="J6217">
        <v>-286.97989999999999</v>
      </c>
      <c r="K6217">
        <v>1.1129659999999999</v>
      </c>
      <c r="L6217">
        <v>-57.280090000000001</v>
      </c>
      <c r="M6217">
        <v>0.87784699999999904</v>
      </c>
      <c r="N6217">
        <v>0</v>
      </c>
      <c r="O6217">
        <v>-0.47873149999999998</v>
      </c>
      <c r="P6217">
        <v>0.92025330000000005</v>
      </c>
      <c r="Q6217">
        <v>0.16456680000000001</v>
      </c>
      <c r="R6217">
        <v>-0.35503800000000002</v>
      </c>
      <c r="S6217">
        <v>2.9361269999999999</v>
      </c>
      <c r="T6217">
        <v>-0.23047699999999999</v>
      </c>
      <c r="U6217">
        <v>-0.94738770000000005</v>
      </c>
      <c r="V6217">
        <v>-0.1298115</v>
      </c>
      <c r="W6217">
        <v>0.17775350000000001</v>
      </c>
      <c r="X6217">
        <v>0.9754756</v>
      </c>
      <c r="Y6217">
        <v>-0.184359</v>
      </c>
      <c r="Z6217">
        <v>4.179679E-2</v>
      </c>
      <c r="AA6217">
        <v>0.9819698</v>
      </c>
      <c r="AB6217">
        <v>17</v>
      </c>
      <c r="AC6217">
        <v>14.101999999999901</v>
      </c>
      <c r="AD6217">
        <v>-1.1129667074526</v>
      </c>
      <c r="AE6217">
        <v>-4.5361299999999902</v>
      </c>
      <c r="AF6217">
        <v>-2.7537772310022399</v>
      </c>
      <c r="AG6217">
        <v>-1.1129667074526</v>
      </c>
      <c r="AH6217">
        <v>14.4707643221416</v>
      </c>
      <c r="AI6217">
        <v>94.320801027694202</v>
      </c>
      <c r="AJ6217">
        <v>100.774520787816</v>
      </c>
      <c r="AK6217">
        <v>14.772440691938799</v>
      </c>
      <c r="AL6217">
        <v>79.761065095173194</v>
      </c>
      <c r="AM6217">
        <v>97.580104885496397</v>
      </c>
      <c r="AN6217">
        <v>0.99999998924492906</v>
      </c>
    </row>
    <row r="6218" spans="1:40" x14ac:dyDescent="0.25">
      <c r="A6218" t="str">
        <f>"20190312172532764"</f>
        <v>20190312172532764</v>
      </c>
      <c r="B6218" t="str">
        <f>"1552382732756586"</f>
        <v>1552382732756586</v>
      </c>
      <c r="C6218" t="s">
        <v>40</v>
      </c>
      <c r="D6218">
        <v>3.7956150000000002</v>
      </c>
      <c r="E6218">
        <v>0.47880669999999997</v>
      </c>
      <c r="F6218" t="s">
        <v>43</v>
      </c>
      <c r="G6218">
        <v>-275.22640000000001</v>
      </c>
      <c r="H6218" s="1">
        <v>-1.527001E-6</v>
      </c>
      <c r="I6218">
        <v>-60.970970000000001</v>
      </c>
      <c r="J6218">
        <v>-286.90120000000002</v>
      </c>
      <c r="K6218">
        <v>1.1129439999999999</v>
      </c>
      <c r="L6218">
        <v>-57.319789999999998</v>
      </c>
      <c r="M6218">
        <v>0.87902499999999995</v>
      </c>
      <c r="N6218">
        <v>0</v>
      </c>
      <c r="O6218">
        <v>-0.47656510000000002</v>
      </c>
      <c r="P6218">
        <v>0.9210893</v>
      </c>
      <c r="Q6218">
        <v>0.16443260000000001</v>
      </c>
      <c r="R6218">
        <v>-0.35292570000000001</v>
      </c>
      <c r="S6218">
        <v>2.9523009999999998</v>
      </c>
      <c r="T6218">
        <v>-0.2795608</v>
      </c>
      <c r="U6218">
        <v>-0.92709350000000001</v>
      </c>
      <c r="V6218">
        <v>-0.12964809999999999</v>
      </c>
      <c r="W6218">
        <v>0.17762120000000001</v>
      </c>
      <c r="X6218">
        <v>0.97552139999999998</v>
      </c>
      <c r="Y6218">
        <v>-0.1888466</v>
      </c>
      <c r="Z6218">
        <v>5.0506160000000001E-2</v>
      </c>
      <c r="AA6218">
        <v>0.98070690000000005</v>
      </c>
      <c r="AB6218">
        <v>17</v>
      </c>
      <c r="AC6218">
        <v>11.674799999999999</v>
      </c>
      <c r="AD6218">
        <v>-1.112945527001</v>
      </c>
      <c r="AE6218">
        <v>-3.6511799999999801</v>
      </c>
      <c r="AF6218">
        <v>-2.33522916146421</v>
      </c>
      <c r="AG6218">
        <v>-1.112945527001</v>
      </c>
      <c r="AH6218">
        <v>11.905120918618501</v>
      </c>
      <c r="AI6218">
        <v>95.241439915003795</v>
      </c>
      <c r="AJ6218">
        <v>101.09785567549901</v>
      </c>
      <c r="AK6218">
        <v>12.1829326136834</v>
      </c>
      <c r="AL6218">
        <v>79.768767611602399</v>
      </c>
      <c r="AM6218">
        <v>97.570322865037795</v>
      </c>
      <c r="AN6218">
        <v>0.99999996119050405</v>
      </c>
    </row>
    <row r="6219" spans="1:40" x14ac:dyDescent="0.25">
      <c r="A6219" t="str">
        <f>"20190312172532775"</f>
        <v>20190312172532775</v>
      </c>
      <c r="B6219" t="str">
        <f>"1552382732766346"</f>
        <v>1552382732766346</v>
      </c>
      <c r="C6219" t="s">
        <v>40</v>
      </c>
      <c r="D6219">
        <v>3.6398549999999998</v>
      </c>
      <c r="E6219">
        <v>0.47880669999999997</v>
      </c>
      <c r="F6219" t="s">
        <v>43</v>
      </c>
      <c r="G6219">
        <v>-275.21289999999999</v>
      </c>
      <c r="H6219" s="1">
        <v>-1.520857E-6</v>
      </c>
      <c r="I6219">
        <v>-60.969470000000001</v>
      </c>
      <c r="J6219">
        <v>-286.82810000000001</v>
      </c>
      <c r="K6219">
        <v>1.1129290000000001</v>
      </c>
      <c r="L6219">
        <v>-57.356380000000001</v>
      </c>
      <c r="M6219">
        <v>0.880108</v>
      </c>
      <c r="N6219">
        <v>0</v>
      </c>
      <c r="O6219">
        <v>-0.47456209999999999</v>
      </c>
      <c r="P6219">
        <v>0.92185729999999999</v>
      </c>
      <c r="Q6219">
        <v>0.16437399999999999</v>
      </c>
      <c r="R6219">
        <v>-0.35094259999999999</v>
      </c>
      <c r="S6219">
        <v>2.953827</v>
      </c>
      <c r="T6219">
        <v>-0.28125990000000001</v>
      </c>
      <c r="U6219">
        <v>-0.92233279999999995</v>
      </c>
      <c r="V6219">
        <v>-0.12952529999999901</v>
      </c>
      <c r="W6219">
        <v>0.177564</v>
      </c>
      <c r="X6219">
        <v>0.97554810000000003</v>
      </c>
      <c r="Y6219">
        <v>-0.18817490000000001</v>
      </c>
      <c r="Z6219">
        <v>5.0611459999999997E-2</v>
      </c>
      <c r="AA6219">
        <v>0.9808306</v>
      </c>
      <c r="AB6219">
        <v>17</v>
      </c>
      <c r="AC6219">
        <v>11.6152</v>
      </c>
      <c r="AD6219">
        <v>-1.1129305208569999</v>
      </c>
      <c r="AE6219">
        <v>-3.6130899999999899</v>
      </c>
      <c r="AF6219">
        <v>-2.3130957747875902</v>
      </c>
      <c r="AG6219">
        <v>-1.1129305208569999</v>
      </c>
      <c r="AH6219">
        <v>11.8393585506424</v>
      </c>
      <c r="AI6219">
        <v>95.271090290887003</v>
      </c>
      <c r="AJ6219">
        <v>101.054818276231</v>
      </c>
      <c r="AK6219">
        <v>12.1144309523091</v>
      </c>
      <c r="AL6219">
        <v>79.772097611734196</v>
      </c>
      <c r="AM6219">
        <v>97.563030853013402</v>
      </c>
      <c r="AN6219">
        <v>0.99999993642484797</v>
      </c>
    </row>
    <row r="6220" spans="1:40" x14ac:dyDescent="0.25">
      <c r="A6220" t="str">
        <f>"20190312172532786"</f>
        <v>20190312172532786</v>
      </c>
      <c r="B6220" t="str">
        <f>"1552382732777083"</f>
        <v>1552382732777083</v>
      </c>
      <c r="C6220" t="s">
        <v>40</v>
      </c>
      <c r="D6220">
        <v>3.6228739999999999</v>
      </c>
      <c r="E6220">
        <v>0.48141850000000003</v>
      </c>
      <c r="F6220" t="s">
        <v>43</v>
      </c>
      <c r="G6220">
        <v>-275.13760000000002</v>
      </c>
      <c r="H6220" s="1">
        <v>-1.490569E-6</v>
      </c>
      <c r="I6220">
        <v>-60.9784199999999</v>
      </c>
      <c r="J6220">
        <v>-286.75360000000001</v>
      </c>
      <c r="K6220">
        <v>1.112916</v>
      </c>
      <c r="L6220">
        <v>-57.393549999999998</v>
      </c>
      <c r="M6220">
        <v>0.88120509999999996</v>
      </c>
      <c r="N6220">
        <v>0</v>
      </c>
      <c r="O6220">
        <v>-0.47252169999999999</v>
      </c>
      <c r="P6220">
        <v>0.9226145</v>
      </c>
      <c r="Q6220">
        <v>0.16472249999999999</v>
      </c>
      <c r="R6220">
        <v>-0.34878239999999999</v>
      </c>
      <c r="S6220">
        <v>2.9558409999999999</v>
      </c>
      <c r="T6220">
        <v>-0.28139520000000001</v>
      </c>
      <c r="U6220">
        <v>-0.915802</v>
      </c>
      <c r="V6220">
        <v>-0.12951750000000001</v>
      </c>
      <c r="W6220">
        <v>0.17791209999999999</v>
      </c>
      <c r="X6220">
        <v>0.97548579999999996</v>
      </c>
      <c r="Y6220">
        <v>-0.18807180000000001</v>
      </c>
      <c r="Z6220">
        <v>5.0456239999999999E-2</v>
      </c>
      <c r="AA6220">
        <v>0.98085840000000002</v>
      </c>
      <c r="AB6220">
        <v>17</v>
      </c>
      <c r="AC6220">
        <v>11.6159999999999</v>
      </c>
      <c r="AD6220">
        <v>-1.112917490569</v>
      </c>
      <c r="AE6220">
        <v>-3.5848699999999898</v>
      </c>
      <c r="AF6220">
        <v>-2.3106742610229798</v>
      </c>
      <c r="AG6220">
        <v>-1.112917490569</v>
      </c>
      <c r="AH6220">
        <v>11.8320395749121</v>
      </c>
      <c r="AI6220">
        <v>95.274353752497305</v>
      </c>
      <c r="AJ6220">
        <v>101.05019309155399</v>
      </c>
      <c r="AK6220">
        <v>12.1068146671061</v>
      </c>
      <c r="AL6220">
        <v>79.751831136331703</v>
      </c>
      <c r="AM6220">
        <v>97.563058077778706</v>
      </c>
      <c r="AN6220">
        <v>1.0000000220671399</v>
      </c>
    </row>
    <row r="6221" spans="1:40" x14ac:dyDescent="0.25">
      <c r="A6221" t="str">
        <f>"20190312172532796"</f>
        <v>20190312172532796</v>
      </c>
      <c r="B6221" t="str">
        <f>"1552382732786843"</f>
        <v>1552382732786843</v>
      </c>
      <c r="C6221" t="s">
        <v>40</v>
      </c>
      <c r="D6221">
        <v>3.6583230000000002</v>
      </c>
      <c r="E6221">
        <v>0.48141850000000003</v>
      </c>
      <c r="F6221" t="s">
        <v>43</v>
      </c>
      <c r="G6221">
        <v>-273.96260000000001</v>
      </c>
      <c r="H6221" s="1">
        <v>-1.0847110000000001E-6</v>
      </c>
      <c r="I6221">
        <v>-61.420229999999997</v>
      </c>
      <c r="J6221">
        <v>-286.68049999999999</v>
      </c>
      <c r="K6221">
        <v>1.1128979999999999</v>
      </c>
      <c r="L6221">
        <v>-57.429780000000001</v>
      </c>
      <c r="M6221">
        <v>0.88227269999999902</v>
      </c>
      <c r="N6221">
        <v>0</v>
      </c>
      <c r="O6221">
        <v>-0.47052539999999998</v>
      </c>
      <c r="P6221">
        <v>0.92318370000000005</v>
      </c>
      <c r="Q6221">
        <v>0.16521140000000001</v>
      </c>
      <c r="R6221">
        <v>-0.34704079999999998</v>
      </c>
      <c r="S6221">
        <v>2.9467159999999999</v>
      </c>
      <c r="T6221">
        <v>-0.25638759999999999</v>
      </c>
      <c r="U6221">
        <v>-0.92764279999999999</v>
      </c>
      <c r="V6221">
        <v>-0.12910539999999901</v>
      </c>
      <c r="W6221">
        <v>0.17840200000000001</v>
      </c>
      <c r="X6221">
        <v>0.97545090000000001</v>
      </c>
      <c r="Y6221">
        <v>-0.1818381</v>
      </c>
      <c r="Z6221">
        <v>4.5676750000000002E-2</v>
      </c>
      <c r="AA6221">
        <v>0.982267</v>
      </c>
      <c r="AB6221">
        <v>17</v>
      </c>
      <c r="AC6221">
        <v>12.717899999999901</v>
      </c>
      <c r="AD6221">
        <v>-1.1128990847110001</v>
      </c>
      <c r="AE6221">
        <v>-3.9904499999999898</v>
      </c>
      <c r="AF6221">
        <v>-2.4466215492686598</v>
      </c>
      <c r="AG6221">
        <v>-1.1128990847110001</v>
      </c>
      <c r="AH6221">
        <v>13.0088926970293</v>
      </c>
      <c r="AI6221">
        <v>94.805845728975399</v>
      </c>
      <c r="AJ6221">
        <v>100.65136777651099</v>
      </c>
      <c r="AK6221">
        <v>13.2836663079482</v>
      </c>
      <c r="AL6221">
        <v>79.723305023862395</v>
      </c>
      <c r="AM6221">
        <v>97.539537756605597</v>
      </c>
      <c r="AN6221">
        <v>0.99999996811198399</v>
      </c>
    </row>
    <row r="6222" spans="1:40" x14ac:dyDescent="0.25">
      <c r="A6222" t="str">
        <f>"20190312172532809"</f>
        <v>20190312172532809</v>
      </c>
      <c r="B6222" t="str">
        <f>"1552382732796602"</f>
        <v>1552382732796602</v>
      </c>
      <c r="C6222" t="s">
        <v>40</v>
      </c>
      <c r="D6222">
        <v>3.5987330000000002</v>
      </c>
      <c r="E6222">
        <v>0.4635939</v>
      </c>
      <c r="F6222" t="s">
        <v>43</v>
      </c>
      <c r="G6222">
        <v>-273.80090000000001</v>
      </c>
      <c r="H6222" s="1">
        <v>-1.0234509999999999E-6</v>
      </c>
      <c r="I6222">
        <v>-61.456690000000002</v>
      </c>
      <c r="J6222">
        <v>-286.60449999999997</v>
      </c>
      <c r="K6222">
        <v>1.112889</v>
      </c>
      <c r="L6222">
        <v>-57.467219999999998</v>
      </c>
      <c r="M6222">
        <v>0.8833742</v>
      </c>
      <c r="N6222">
        <v>0</v>
      </c>
      <c r="O6222">
        <v>-0.46845429999999999</v>
      </c>
      <c r="P6222">
        <v>0.92377790000000004</v>
      </c>
      <c r="Q6222">
        <v>0.16580710000000001</v>
      </c>
      <c r="R6222">
        <v>-0.34517049999999999</v>
      </c>
      <c r="S6222">
        <v>2.9486080000000001</v>
      </c>
      <c r="T6222">
        <v>-0.25478299999999998</v>
      </c>
      <c r="U6222">
        <v>-0.92190550000000004</v>
      </c>
      <c r="V6222">
        <v>-0.12874050000000001</v>
      </c>
      <c r="W6222">
        <v>0.17899880000000001</v>
      </c>
      <c r="X6222">
        <v>0.97538979999999997</v>
      </c>
      <c r="Y6222">
        <v>-0.18148549999999999</v>
      </c>
      <c r="Z6222">
        <v>4.5215539999999999E-2</v>
      </c>
      <c r="AA6222">
        <v>0.98235360000000005</v>
      </c>
      <c r="AB6222">
        <v>17</v>
      </c>
      <c r="AC6222">
        <v>12.8035999999999</v>
      </c>
      <c r="AD6222">
        <v>-1.112890023451</v>
      </c>
      <c r="AE6222">
        <v>-3.9894699999999998</v>
      </c>
      <c r="AF6222">
        <v>-2.45703436943267</v>
      </c>
      <c r="AG6222">
        <v>-1.112890023451</v>
      </c>
      <c r="AH6222">
        <v>13.090429019213</v>
      </c>
      <c r="AI6222">
        <v>94.776336163122096</v>
      </c>
      <c r="AJ6222">
        <v>100.63055929551901</v>
      </c>
      <c r="AK6222">
        <v>13.3654357955109</v>
      </c>
      <c r="AL6222">
        <v>79.688551556903803</v>
      </c>
      <c r="AM6222">
        <v>97.518937913403704</v>
      </c>
      <c r="AN6222">
        <v>0.99999997434286403</v>
      </c>
    </row>
    <row r="6223" spans="1:40" x14ac:dyDescent="0.25">
      <c r="A6223" t="str">
        <f>"20190312172532820"</f>
        <v>20190312172532820</v>
      </c>
      <c r="B6223" t="str">
        <f>"1552382732817098"</f>
        <v>1552382732817098</v>
      </c>
      <c r="C6223" t="s">
        <v>40</v>
      </c>
      <c r="D6223">
        <v>3.6601629999999998</v>
      </c>
      <c r="E6223">
        <v>0.46066390000000002</v>
      </c>
      <c r="F6223" t="s">
        <v>43</v>
      </c>
      <c r="G6223">
        <v>-272.05500000000001</v>
      </c>
      <c r="H6223" s="1">
        <v>-2.3179939999999999E-7</v>
      </c>
      <c r="I6223">
        <v>-61.264870000000002</v>
      </c>
      <c r="J6223">
        <v>-286.52980000000002</v>
      </c>
      <c r="K6223">
        <v>1.112884</v>
      </c>
      <c r="L6223">
        <v>-57.50385</v>
      </c>
      <c r="M6223">
        <v>0.88444920000000005</v>
      </c>
      <c r="N6223">
        <v>0</v>
      </c>
      <c r="O6223">
        <v>-0.4664218</v>
      </c>
      <c r="P6223">
        <v>0.92433359999999998</v>
      </c>
      <c r="Q6223">
        <v>0.16639329999999999</v>
      </c>
      <c r="R6223">
        <v>-0.3433966</v>
      </c>
      <c r="S6223">
        <v>2.9963989999999998</v>
      </c>
      <c r="T6223">
        <v>-0.22919339999999999</v>
      </c>
      <c r="U6223">
        <v>-0.78210449999999998</v>
      </c>
      <c r="V6223">
        <v>-0.1283195</v>
      </c>
      <c r="W6223">
        <v>0.17958560000000001</v>
      </c>
      <c r="X6223">
        <v>0.97533740000000002</v>
      </c>
      <c r="Y6223">
        <v>-0.2261917</v>
      </c>
      <c r="Z6223">
        <v>4.1959139999999999E-2</v>
      </c>
      <c r="AA6223">
        <v>0.97317869999999995</v>
      </c>
      <c r="AB6223">
        <v>17</v>
      </c>
      <c r="AC6223">
        <v>14.4748</v>
      </c>
      <c r="AD6223">
        <v>-1.1128842317994001</v>
      </c>
      <c r="AE6223">
        <v>-3.76101999999999</v>
      </c>
      <c r="AF6223">
        <v>-3.4064117441863</v>
      </c>
      <c r="AG6223">
        <v>-1.1128842317994001</v>
      </c>
      <c r="AH6223">
        <v>14.4777369165908</v>
      </c>
      <c r="AI6223">
        <v>94.279205601653601</v>
      </c>
      <c r="AJ6223">
        <v>103.240090216387</v>
      </c>
      <c r="AK6223">
        <v>14.9146578408737</v>
      </c>
      <c r="AL6223">
        <v>79.654376496264405</v>
      </c>
      <c r="AM6223">
        <v>97.495027936032201</v>
      </c>
      <c r="AN6223">
        <v>0.99999996282318404</v>
      </c>
    </row>
    <row r="6224" spans="1:40" x14ac:dyDescent="0.25">
      <c r="A6224" t="str">
        <f>"20190312172532831"</f>
        <v>20190312172532831</v>
      </c>
      <c r="B6224" t="str">
        <f>"1552382732826858"</f>
        <v>1552382732826858</v>
      </c>
      <c r="C6224" t="s">
        <v>40</v>
      </c>
      <c r="D6224">
        <v>3.5371199999999998</v>
      </c>
      <c r="E6224">
        <v>0.45988210000000002</v>
      </c>
      <c r="F6224" t="s">
        <v>43</v>
      </c>
      <c r="G6224">
        <v>-272.06540000000001</v>
      </c>
      <c r="H6224" s="1">
        <v>-2.069227E-7</v>
      </c>
      <c r="I6224">
        <v>-61.13288</v>
      </c>
      <c r="J6224">
        <v>-286.45229999999998</v>
      </c>
      <c r="K6224">
        <v>1.1128830000000001</v>
      </c>
      <c r="L6224">
        <v>-57.541559999999997</v>
      </c>
      <c r="M6224">
        <v>0.88555740000000005</v>
      </c>
      <c r="N6224">
        <v>0</v>
      </c>
      <c r="O6224">
        <v>-0.46431430000000001</v>
      </c>
      <c r="P6224">
        <v>0.925014</v>
      </c>
      <c r="Q6224">
        <v>0.166745899999999</v>
      </c>
      <c r="R6224">
        <v>-0.3413873</v>
      </c>
      <c r="S6224">
        <v>3.006958</v>
      </c>
      <c r="T6224">
        <v>-0.23135269999999999</v>
      </c>
      <c r="U6224">
        <v>-0.75442500000000001</v>
      </c>
      <c r="V6224">
        <v>-0.1280847</v>
      </c>
      <c r="W6224">
        <v>0.1799374</v>
      </c>
      <c r="X6224">
        <v>0.97530349999999999</v>
      </c>
      <c r="Y6224">
        <v>-0.23307079999999999</v>
      </c>
      <c r="Z6224">
        <v>4.2396459999999997E-2</v>
      </c>
      <c r="AA6224">
        <v>0.97153509999999998</v>
      </c>
      <c r="AB6224">
        <v>17</v>
      </c>
      <c r="AC6224">
        <v>14.386899999999899</v>
      </c>
      <c r="AD6224">
        <v>-1.1128832069226999</v>
      </c>
      <c r="AE6224">
        <v>-3.5913200000000098</v>
      </c>
      <c r="AF6224">
        <v>-3.4804697328610801</v>
      </c>
      <c r="AG6224">
        <v>-1.1128832069226999</v>
      </c>
      <c r="AH6224">
        <v>14.328662027639099</v>
      </c>
      <c r="AI6224">
        <v>94.316141395891407</v>
      </c>
      <c r="AJ6224">
        <v>103.65288033603601</v>
      </c>
      <c r="AK6224">
        <v>14.787249037462001</v>
      </c>
      <c r="AL6224">
        <v>79.633886840219901</v>
      </c>
      <c r="AM6224">
        <v>97.481726073021605</v>
      </c>
      <c r="AN6224">
        <v>1.00000003770254</v>
      </c>
    </row>
    <row r="6225" spans="1:40" x14ac:dyDescent="0.25">
      <c r="A6225" t="str">
        <f>"20190312172532844"</f>
        <v>20190312172532844</v>
      </c>
      <c r="B6225" t="str">
        <f>"1552382732836618"</f>
        <v>1552382732836618</v>
      </c>
      <c r="C6225" t="s">
        <v>40</v>
      </c>
      <c r="D6225">
        <v>3.5444930000000001</v>
      </c>
      <c r="E6225">
        <v>0.45927459999999998</v>
      </c>
      <c r="F6225" t="s">
        <v>43</v>
      </c>
      <c r="G6225">
        <v>-271.84359999999998</v>
      </c>
      <c r="H6225" s="1">
        <v>-1.136635E-7</v>
      </c>
      <c r="I6225">
        <v>-61.141309999999997</v>
      </c>
      <c r="J6225">
        <v>-286.36840000000001</v>
      </c>
      <c r="K6225">
        <v>1.112879</v>
      </c>
      <c r="L6225">
        <v>-57.582180000000001</v>
      </c>
      <c r="M6225">
        <v>0.88674789999999903</v>
      </c>
      <c r="N6225">
        <v>0</v>
      </c>
      <c r="O6225">
        <v>-0.46203680000000003</v>
      </c>
      <c r="P6225">
        <v>0.92561910000000003</v>
      </c>
      <c r="Q6225">
        <v>0.16711989999999999</v>
      </c>
      <c r="R6225">
        <v>-0.33955940000000001</v>
      </c>
      <c r="S6225">
        <v>3.010742</v>
      </c>
      <c r="T6225">
        <v>-0.22935739999999999</v>
      </c>
      <c r="U6225">
        <v>-0.74188229999999999</v>
      </c>
      <c r="V6225">
        <v>-0.12747159999999999</v>
      </c>
      <c r="W6225">
        <v>0.1803131</v>
      </c>
      <c r="X6225">
        <v>0.97531440000000003</v>
      </c>
      <c r="Y6225">
        <v>-0.23470569999999999</v>
      </c>
      <c r="Z6225">
        <v>4.1921399999999998E-2</v>
      </c>
      <c r="AA6225">
        <v>0.97116210000000003</v>
      </c>
      <c r="AB6225">
        <v>17</v>
      </c>
      <c r="AC6225">
        <v>14.524800000000001</v>
      </c>
      <c r="AD6225">
        <v>-1.1128791136634999</v>
      </c>
      <c r="AE6225">
        <v>-3.5591299999999801</v>
      </c>
      <c r="AF6225">
        <v>-3.5357161380397999</v>
      </c>
      <c r="AG6225">
        <v>-1.1128791136634999</v>
      </c>
      <c r="AH6225">
        <v>14.4457384180138</v>
      </c>
      <c r="AI6225">
        <v>94.279454490511498</v>
      </c>
      <c r="AJ6225">
        <v>103.75324233352499</v>
      </c>
      <c r="AK6225">
        <v>14.9137234442678</v>
      </c>
      <c r="AL6225">
        <v>79.612002488327505</v>
      </c>
      <c r="AM6225">
        <v>97.446234033184695</v>
      </c>
      <c r="AN6225">
        <v>1.0000000008427601</v>
      </c>
    </row>
    <row r="6226" spans="1:40" x14ac:dyDescent="0.25">
      <c r="A6226" t="str">
        <f>"20190312172532857"</f>
        <v>20190312172532857</v>
      </c>
      <c r="B6226" t="str">
        <f>"1552382732846378"</f>
        <v>1552382732846378</v>
      </c>
      <c r="C6226" t="s">
        <v>40</v>
      </c>
      <c r="D6226">
        <v>3.4544830000000002</v>
      </c>
      <c r="E6226">
        <v>0.45887339999999999</v>
      </c>
      <c r="F6226" t="s">
        <v>43</v>
      </c>
      <c r="G6226">
        <v>-271.68959999999998</v>
      </c>
      <c r="H6226" s="1">
        <v>-4.809948E-8</v>
      </c>
      <c r="I6226">
        <v>-61.143500000000003</v>
      </c>
      <c r="J6226">
        <v>-286.28289999999998</v>
      </c>
      <c r="K6226">
        <v>1.1128750000000001</v>
      </c>
      <c r="L6226">
        <v>-57.623260000000002</v>
      </c>
      <c r="M6226">
        <v>0.887953199999999</v>
      </c>
      <c r="N6226">
        <v>0</v>
      </c>
      <c r="O6226">
        <v>-0.45971610000000002</v>
      </c>
      <c r="P6226">
        <v>0.92628429999999995</v>
      </c>
      <c r="Q6226">
        <v>0.1674061</v>
      </c>
      <c r="R6226">
        <v>-0.33759810000000001</v>
      </c>
      <c r="S6226">
        <v>3.0140690000000001</v>
      </c>
      <c r="T6226">
        <v>-0.22851299999999999</v>
      </c>
      <c r="U6226">
        <v>-0.73126219999999997</v>
      </c>
      <c r="V6226">
        <v>-0.12696070000000001</v>
      </c>
      <c r="W6226">
        <v>0.18060010000000001</v>
      </c>
      <c r="X6226">
        <v>0.97532790000000003</v>
      </c>
      <c r="Y6226">
        <v>-0.23565949999999999</v>
      </c>
      <c r="Z6226">
        <v>4.1630489999999999E-2</v>
      </c>
      <c r="AA6226">
        <v>0.97094360000000002</v>
      </c>
      <c r="AB6226">
        <v>17</v>
      </c>
      <c r="AC6226">
        <v>14.593299999999999</v>
      </c>
      <c r="AD6226">
        <v>-1.11287504809948</v>
      </c>
      <c r="AE6226">
        <v>-3.5202399999999998</v>
      </c>
      <c r="AF6226">
        <v>-3.56374010401117</v>
      </c>
      <c r="AG6226">
        <v>-1.11287504809948</v>
      </c>
      <c r="AH6226">
        <v>14.498259888030899</v>
      </c>
      <c r="AI6226">
        <v>94.262965249016801</v>
      </c>
      <c r="AJ6226">
        <v>103.809786522132</v>
      </c>
      <c r="AK6226">
        <v>14.9712482506472</v>
      </c>
      <c r="AL6226">
        <v>79.595283745756802</v>
      </c>
      <c r="AM6226">
        <v>97.416621298775993</v>
      </c>
      <c r="AN6226">
        <v>0.99999996399145397</v>
      </c>
    </row>
    <row r="6227" spans="1:40" x14ac:dyDescent="0.25">
      <c r="A6227" t="str">
        <f>"20190312172532875"</f>
        <v>20190312172532875</v>
      </c>
      <c r="B6227" t="str">
        <f>"1552382732866874"</f>
        <v>1552382732866874</v>
      </c>
      <c r="C6227" t="s">
        <v>40</v>
      </c>
      <c r="D6227">
        <v>3.588139</v>
      </c>
      <c r="E6227">
        <v>0.45906409999999997</v>
      </c>
      <c r="F6227" t="s">
        <v>43</v>
      </c>
      <c r="G6227">
        <v>-271.70650000000001</v>
      </c>
      <c r="H6227" s="1">
        <v>-4.8153540000000001E-8</v>
      </c>
      <c r="I6227">
        <v>-61.1113199999999</v>
      </c>
      <c r="J6227">
        <v>-286.16019999999997</v>
      </c>
      <c r="K6227">
        <v>1.1128629999999999</v>
      </c>
      <c r="L6227">
        <v>-57.681789999999999</v>
      </c>
      <c r="M6227">
        <v>0.88967039999999997</v>
      </c>
      <c r="N6227">
        <v>0</v>
      </c>
      <c r="O6227">
        <v>-0.45638450000000003</v>
      </c>
      <c r="P6227">
        <v>0.92742519999999995</v>
      </c>
      <c r="Q6227">
        <v>0.167483299999999</v>
      </c>
      <c r="R6227">
        <v>-0.33441359999999998</v>
      </c>
      <c r="S6227">
        <v>3.0172729999999999</v>
      </c>
      <c r="T6227">
        <v>-0.2303607</v>
      </c>
      <c r="U6227">
        <v>-0.72201539999999997</v>
      </c>
      <c r="V6227">
        <v>-0.12664719999999999</v>
      </c>
      <c r="W6227">
        <v>0.18067610000000001</v>
      </c>
      <c r="X6227">
        <v>0.97535459999999996</v>
      </c>
      <c r="Y6227">
        <v>-0.2350487</v>
      </c>
      <c r="Z6227">
        <v>4.1700590000000003E-2</v>
      </c>
      <c r="AA6227">
        <v>0.97108859999999997</v>
      </c>
      <c r="AB6227">
        <v>17</v>
      </c>
      <c r="AC6227">
        <v>14.4536999999999</v>
      </c>
      <c r="AD6227">
        <v>-1.11286304815354</v>
      </c>
      <c r="AE6227">
        <v>-3.42952999999999</v>
      </c>
      <c r="AF6227">
        <v>-3.5258594436749502</v>
      </c>
      <c r="AG6227">
        <v>-1.11286304815354</v>
      </c>
      <c r="AH6227">
        <v>14.3451456380281</v>
      </c>
      <c r="AI6227">
        <v>94.308266659451206</v>
      </c>
      <c r="AJ6227">
        <v>103.80886575074901</v>
      </c>
      <c r="AK6227">
        <v>14.813958024671599</v>
      </c>
      <c r="AL6227">
        <v>79.590856615113793</v>
      </c>
      <c r="AM6227">
        <v>97.398310529630194</v>
      </c>
      <c r="AN6227">
        <v>0.99999998106010402</v>
      </c>
    </row>
    <row r="6228" spans="1:40" x14ac:dyDescent="0.25">
      <c r="A6228" t="str">
        <f>"20190312172532887"</f>
        <v>20190312172532887</v>
      </c>
      <c r="B6228" t="str">
        <f>"1552382732876634"</f>
        <v>1552382732876634</v>
      </c>
      <c r="C6228" t="s">
        <v>40</v>
      </c>
      <c r="D6228">
        <v>3.6186509999999998</v>
      </c>
      <c r="E6228">
        <v>0.45916170000000001</v>
      </c>
      <c r="F6228" t="s">
        <v>43</v>
      </c>
      <c r="G6228">
        <v>-271.01659999999998</v>
      </c>
      <c r="H6228" s="1">
        <v>2.1489499999999999E-7</v>
      </c>
      <c r="I6228">
        <v>-61.2592199999999</v>
      </c>
      <c r="J6228">
        <v>-286.08449999999999</v>
      </c>
      <c r="K6228">
        <v>1.11286</v>
      </c>
      <c r="L6228">
        <v>-57.717619999999997</v>
      </c>
      <c r="M6228">
        <v>0.89072209999999996</v>
      </c>
      <c r="N6228">
        <v>0</v>
      </c>
      <c r="O6228">
        <v>-0.45432840000000002</v>
      </c>
      <c r="P6228">
        <v>0.92826810000000004</v>
      </c>
      <c r="Q6228">
        <v>0.16729559999999999</v>
      </c>
      <c r="R6228">
        <v>-0.33216000000000001</v>
      </c>
      <c r="S6228">
        <v>3.0177309999999999</v>
      </c>
      <c r="T6228">
        <v>-0.2217655</v>
      </c>
      <c r="U6228">
        <v>-0.71289060000000004</v>
      </c>
      <c r="V6228">
        <v>-0.1267769</v>
      </c>
      <c r="W6228">
        <v>0.18048620000000001</v>
      </c>
      <c r="X6228">
        <v>0.97537289999999999</v>
      </c>
      <c r="Y6228">
        <v>-0.2357486</v>
      </c>
      <c r="Z6228">
        <v>4.0056130000000002E-2</v>
      </c>
      <c r="AA6228">
        <v>0.97098819999999997</v>
      </c>
      <c r="AB6228">
        <v>17</v>
      </c>
      <c r="AC6228">
        <v>15.0679</v>
      </c>
      <c r="AD6228">
        <v>-1.1128597851049999</v>
      </c>
      <c r="AE6228">
        <v>-3.5415999999999901</v>
      </c>
      <c r="AF6228">
        <v>-3.6725781612847701</v>
      </c>
      <c r="AG6228">
        <v>-1.1128597851049999</v>
      </c>
      <c r="AH6228">
        <v>14.9545601987446</v>
      </c>
      <c r="AI6228">
        <v>94.133505164537794</v>
      </c>
      <c r="AJ6228">
        <v>103.797780924873</v>
      </c>
      <c r="AK6228">
        <v>15.4390789229774</v>
      </c>
      <c r="AL6228">
        <v>79.601918856686297</v>
      </c>
      <c r="AM6228">
        <v>97.405665703958206</v>
      </c>
      <c r="AN6228">
        <v>0.999999972409229</v>
      </c>
    </row>
    <row r="6229" spans="1:40" x14ac:dyDescent="0.25">
      <c r="A6229" t="str">
        <f>"20190312172532898"</f>
        <v>20190312172532898</v>
      </c>
      <c r="B6229" t="str">
        <f>"1552382732886394"</f>
        <v>1552382732886394</v>
      </c>
      <c r="C6229" t="s">
        <v>40</v>
      </c>
      <c r="D6229">
        <v>3.7003349999999999</v>
      </c>
      <c r="E6229">
        <v>0.45894119999999999</v>
      </c>
      <c r="F6229" t="s">
        <v>43</v>
      </c>
      <c r="G6229">
        <v>-270.79610000000002</v>
      </c>
      <c r="H6229" s="1">
        <v>3.0180169999999999E-7</v>
      </c>
      <c r="I6229">
        <v>-61.293909999999997</v>
      </c>
      <c r="J6229">
        <v>-286.0068</v>
      </c>
      <c r="K6229">
        <v>1.112868</v>
      </c>
      <c r="L6229">
        <v>-57.75421</v>
      </c>
      <c r="M6229">
        <v>0.89179629999999999</v>
      </c>
      <c r="N6229">
        <v>0</v>
      </c>
      <c r="O6229">
        <v>-0.45221620000000001</v>
      </c>
      <c r="P6229">
        <v>0.9291471</v>
      </c>
      <c r="Q6229">
        <v>0.16733210000000001</v>
      </c>
      <c r="R6229">
        <v>-0.32967540000000001</v>
      </c>
      <c r="S6229">
        <v>3.0187379999999999</v>
      </c>
      <c r="T6229">
        <v>-0.2197366</v>
      </c>
      <c r="U6229">
        <v>-0.70614619999999995</v>
      </c>
      <c r="V6229">
        <v>-0.12707189999999999</v>
      </c>
      <c r="W6229">
        <v>0.1805185</v>
      </c>
      <c r="X6229">
        <v>0.97532859999999999</v>
      </c>
      <c r="Y6229">
        <v>-0.23560909999999999</v>
      </c>
      <c r="Z6229">
        <v>3.9552950000000003E-2</v>
      </c>
      <c r="AA6229">
        <v>0.97104270000000004</v>
      </c>
      <c r="AB6229">
        <v>17</v>
      </c>
      <c r="AC6229">
        <v>15.2106999999999</v>
      </c>
      <c r="AD6229">
        <v>-1.1128676981982999</v>
      </c>
      <c r="AE6229">
        <v>-3.5396999999999901</v>
      </c>
      <c r="AF6229">
        <v>-3.7034000766284501</v>
      </c>
      <c r="AG6229">
        <v>-1.1128676981982999</v>
      </c>
      <c r="AH6229">
        <v>15.0904436334654</v>
      </c>
      <c r="AI6229">
        <v>94.096600561353895</v>
      </c>
      <c r="AJ6229">
        <v>103.788654109341</v>
      </c>
      <c r="AK6229">
        <v>15.5780337557749</v>
      </c>
      <c r="AL6229">
        <v>79.600037979823398</v>
      </c>
      <c r="AM6229">
        <v>97.4230395499835</v>
      </c>
      <c r="AN6229">
        <v>1.0000000372949001</v>
      </c>
    </row>
    <row r="6230" spans="1:40" x14ac:dyDescent="0.25">
      <c r="A6230" t="str">
        <f>"20190312172532908"</f>
        <v>20190312172532908</v>
      </c>
      <c r="B6230" t="str">
        <f>"1552382732896154"</f>
        <v>1552382732896154</v>
      </c>
      <c r="C6230" t="s">
        <v>40</v>
      </c>
      <c r="D6230">
        <v>3.6185960000000001</v>
      </c>
      <c r="E6230">
        <v>0.45899380000000001</v>
      </c>
      <c r="F6230" t="s">
        <v>43</v>
      </c>
      <c r="G6230">
        <v>-270.75279999999998</v>
      </c>
      <c r="H6230" s="1">
        <v>3.254296E-7</v>
      </c>
      <c r="I6230">
        <v>-61.271030000000003</v>
      </c>
      <c r="J6230">
        <v>-285.93939999999998</v>
      </c>
      <c r="K6230">
        <v>1.1128640000000001</v>
      </c>
      <c r="L6230">
        <v>-57.785710000000002</v>
      </c>
      <c r="M6230">
        <v>0.89272339999999994</v>
      </c>
      <c r="N6230">
        <v>0</v>
      </c>
      <c r="O6230">
        <v>-0.45038349999999999</v>
      </c>
      <c r="P6230">
        <v>0.92997010000000002</v>
      </c>
      <c r="Q6230">
        <v>0.16719419999999999</v>
      </c>
      <c r="R6230">
        <v>-0.32741740000000003</v>
      </c>
      <c r="S6230">
        <v>3.0213009999999998</v>
      </c>
      <c r="T6230">
        <v>-0.22042200000000001</v>
      </c>
      <c r="U6230">
        <v>-0.69656370000000001</v>
      </c>
      <c r="V6230">
        <v>-0.1274487</v>
      </c>
      <c r="W6230">
        <v>0.18037639999999999</v>
      </c>
      <c r="X6230">
        <v>0.97530570000000005</v>
      </c>
      <c r="Y6230">
        <v>-0.23671039999999999</v>
      </c>
      <c r="Z6230">
        <v>3.9586070000000001E-2</v>
      </c>
      <c r="AA6230">
        <v>0.97077349999999996</v>
      </c>
      <c r="AB6230">
        <v>17</v>
      </c>
      <c r="AC6230">
        <v>15.1866</v>
      </c>
      <c r="AD6230">
        <v>-1.1128636745703999</v>
      </c>
      <c r="AE6230">
        <v>-3.4853200000000002</v>
      </c>
      <c r="AF6230">
        <v>-3.70981512109508</v>
      </c>
      <c r="AG6230">
        <v>-1.1128636745703999</v>
      </c>
      <c r="AH6230">
        <v>15.051891592854099</v>
      </c>
      <c r="AI6230">
        <v>94.106041343025893</v>
      </c>
      <c r="AJ6230">
        <v>103.845640851182</v>
      </c>
      <c r="AK6230">
        <v>15.5422210225539</v>
      </c>
      <c r="AL6230">
        <v>79.608315330693202</v>
      </c>
      <c r="AM6230">
        <v>97.444977006531502</v>
      </c>
      <c r="AN6230">
        <v>1.0000000126305699</v>
      </c>
    </row>
    <row r="6231" spans="1:40" x14ac:dyDescent="0.25">
      <c r="A6231" t="str">
        <f>"20190312172532919"</f>
        <v>20190312172532919</v>
      </c>
      <c r="B6231" t="str">
        <f>"1552382732916650"</f>
        <v>1552382732916650</v>
      </c>
      <c r="C6231" t="s">
        <v>40</v>
      </c>
      <c r="D6231">
        <v>3.5931730000000002</v>
      </c>
      <c r="E6231">
        <v>0.45923580000000003</v>
      </c>
      <c r="F6231" t="s">
        <v>43</v>
      </c>
      <c r="G6231">
        <v>-270.63279999999997</v>
      </c>
      <c r="H6231" s="1">
        <v>3.758036E-7</v>
      </c>
      <c r="I6231">
        <v>-61.276049999999998</v>
      </c>
      <c r="J6231">
        <v>-285.86610000000002</v>
      </c>
      <c r="K6231">
        <v>1.112862</v>
      </c>
      <c r="L6231">
        <v>-57.819850000000002</v>
      </c>
      <c r="M6231">
        <v>0.89372750000000001</v>
      </c>
      <c r="N6231">
        <v>0</v>
      </c>
      <c r="O6231">
        <v>-0.44838790000000001</v>
      </c>
      <c r="P6231">
        <v>0.93083570000000004</v>
      </c>
      <c r="Q6231">
        <v>0.16700899999999999</v>
      </c>
      <c r="R6231">
        <v>-0.3250439</v>
      </c>
      <c r="S6231">
        <v>3.0227360000000001</v>
      </c>
      <c r="T6231">
        <v>-0.2197675</v>
      </c>
      <c r="U6231">
        <v>-0.68926999999999905</v>
      </c>
      <c r="V6231">
        <v>-0.12777179999999999</v>
      </c>
      <c r="W6231">
        <v>0.18018790000000001</v>
      </c>
      <c r="X6231">
        <v>0.97529829999999995</v>
      </c>
      <c r="Y6231">
        <v>-0.23688010000000001</v>
      </c>
      <c r="Z6231">
        <v>3.9344730000000001E-2</v>
      </c>
      <c r="AA6231">
        <v>0.97074190000000005</v>
      </c>
      <c r="AB6231">
        <v>17</v>
      </c>
      <c r="AC6231">
        <v>15.2333</v>
      </c>
      <c r="AD6231">
        <v>-1.1128616241964</v>
      </c>
      <c r="AE6231">
        <v>-3.4561999999999902</v>
      </c>
      <c r="AF6231">
        <v>-3.7230027925960298</v>
      </c>
      <c r="AG6231">
        <v>-1.1128616241964</v>
      </c>
      <c r="AH6231">
        <v>15.0890624905926</v>
      </c>
      <c r="AI6231">
        <v>94.095700138195596</v>
      </c>
      <c r="AJ6231">
        <v>103.860052689754</v>
      </c>
      <c r="AK6231">
        <v>15.581367643223601</v>
      </c>
      <c r="AL6231">
        <v>79.619295815307098</v>
      </c>
      <c r="AM6231">
        <v>97.463694511572399</v>
      </c>
      <c r="AN6231">
        <v>1.00000004308226</v>
      </c>
    </row>
    <row r="6232" spans="1:40" x14ac:dyDescent="0.25">
      <c r="A6232" t="str">
        <f>"20190312172532931"</f>
        <v>20190312172532931</v>
      </c>
      <c r="B6232" t="str">
        <f>"1552382732926410"</f>
        <v>1552382732926410</v>
      </c>
      <c r="C6232" t="s">
        <v>40</v>
      </c>
      <c r="D6232">
        <v>3.6131199999999999</v>
      </c>
      <c r="E6232">
        <v>0.45938099999999998</v>
      </c>
      <c r="F6232" t="s">
        <v>43</v>
      </c>
      <c r="G6232">
        <v>-270.51909999999998</v>
      </c>
      <c r="H6232" s="1">
        <v>4.2234499999999999E-7</v>
      </c>
      <c r="I6232">
        <v>-61.286149999999999</v>
      </c>
      <c r="J6232">
        <v>-285.7885</v>
      </c>
      <c r="K6232">
        <v>1.112862</v>
      </c>
      <c r="L6232">
        <v>-57.855620000000002</v>
      </c>
      <c r="M6232">
        <v>0.89478359999999901</v>
      </c>
      <c r="N6232">
        <v>0</v>
      </c>
      <c r="O6232">
        <v>-0.44627640000000002</v>
      </c>
      <c r="P6232">
        <v>0.93166519999999997</v>
      </c>
      <c r="Q6232">
        <v>0.167273799999999</v>
      </c>
      <c r="R6232">
        <v>-0.32252059999999999</v>
      </c>
      <c r="S6232">
        <v>3.0237729999999998</v>
      </c>
      <c r="T6232">
        <v>-0.21926329999999999</v>
      </c>
      <c r="U6232">
        <v>-0.68295289999999997</v>
      </c>
      <c r="V6232">
        <v>-0.12809110000000001</v>
      </c>
      <c r="W6232">
        <v>0.1804482</v>
      </c>
      <c r="X6232">
        <v>0.97520819999999997</v>
      </c>
      <c r="Y6232">
        <v>-0.23660020000000001</v>
      </c>
      <c r="Z6232">
        <v>3.9110260000000001E-2</v>
      </c>
      <c r="AA6232">
        <v>0.9708196</v>
      </c>
      <c r="AB6232">
        <v>17</v>
      </c>
      <c r="AC6232">
        <v>15.269399999999999</v>
      </c>
      <c r="AD6232">
        <v>-1.1128615776549999</v>
      </c>
      <c r="AE6232">
        <v>-3.4305300000000001</v>
      </c>
      <c r="AF6232">
        <v>-3.7263225630468599</v>
      </c>
      <c r="AG6232">
        <v>-1.1128615776549999</v>
      </c>
      <c r="AH6232">
        <v>15.1188416186476</v>
      </c>
      <c r="AI6232">
        <v>94.087912464396794</v>
      </c>
      <c r="AJ6232">
        <v>103.845663639478</v>
      </c>
      <c r="AK6232">
        <v>15.610999731748199</v>
      </c>
      <c r="AL6232">
        <v>79.604132290426705</v>
      </c>
      <c r="AM6232">
        <v>97.482818561888394</v>
      </c>
      <c r="AN6232">
        <v>0.99999995806484399</v>
      </c>
    </row>
    <row r="6233" spans="1:40" x14ac:dyDescent="0.25">
      <c r="A6233" t="str">
        <f>"20190312172532942"</f>
        <v>20190312172532942</v>
      </c>
      <c r="B6233" t="str">
        <f>"1552382732936150"</f>
        <v>1552382732936150</v>
      </c>
      <c r="C6233" t="s">
        <v>40</v>
      </c>
      <c r="D6233">
        <v>3.6116790000000001</v>
      </c>
      <c r="E6233">
        <v>0.45952749999999998</v>
      </c>
      <c r="F6233" t="s">
        <v>43</v>
      </c>
      <c r="G6233">
        <v>-270.37419999999997</v>
      </c>
      <c r="H6233" s="1">
        <v>4.8186809999999905E-7</v>
      </c>
      <c r="I6233">
        <v>-61.297980000000003</v>
      </c>
      <c r="J6233">
        <v>-285.71390000000002</v>
      </c>
      <c r="K6233">
        <v>1.112859</v>
      </c>
      <c r="L6233">
        <v>-57.889949999999999</v>
      </c>
      <c r="M6233">
        <v>0.89579569999999997</v>
      </c>
      <c r="N6233">
        <v>0</v>
      </c>
      <c r="O6233">
        <v>-0.44424160000000001</v>
      </c>
      <c r="P6233">
        <v>0.93248039999999999</v>
      </c>
      <c r="Q6233">
        <v>0.167219799999999</v>
      </c>
      <c r="R6233">
        <v>-0.32018439999999998</v>
      </c>
      <c r="S6233">
        <v>3.02536</v>
      </c>
      <c r="T6233">
        <v>-0.21842049999999999</v>
      </c>
      <c r="U6233">
        <v>-0.67562869999999997</v>
      </c>
      <c r="V6233">
        <v>-0.12832260000000001</v>
      </c>
      <c r="W6233">
        <v>0.18039140000000001</v>
      </c>
      <c r="X6233">
        <v>0.97518830000000001</v>
      </c>
      <c r="Y6233">
        <v>-0.23675599999999999</v>
      </c>
      <c r="Z6233">
        <v>3.8831610000000003E-2</v>
      </c>
      <c r="AA6233">
        <v>0.97079280000000001</v>
      </c>
      <c r="AB6233">
        <v>17</v>
      </c>
      <c r="AC6233">
        <v>15.339700000000001</v>
      </c>
      <c r="AD6233">
        <v>-1.11285851813189</v>
      </c>
      <c r="AE6233">
        <v>-3.4080300000000001</v>
      </c>
      <c r="AF6233">
        <v>-3.7432349442652399</v>
      </c>
      <c r="AG6233">
        <v>-1.11285851813189</v>
      </c>
      <c r="AH6233">
        <v>15.1806080062889</v>
      </c>
      <c r="AI6233">
        <v>94.071219673197206</v>
      </c>
      <c r="AJ6233">
        <v>103.85167278906199</v>
      </c>
      <c r="AK6233">
        <v>15.6748563428807</v>
      </c>
      <c r="AL6233">
        <v>79.607441256524496</v>
      </c>
      <c r="AM6233">
        <v>97.496339882296596</v>
      </c>
      <c r="AN6233">
        <v>0.999999983660804</v>
      </c>
    </row>
    <row r="6234" spans="1:40" x14ac:dyDescent="0.25">
      <c r="A6234" t="str">
        <f>"20190312172532953"</f>
        <v>20190312172532953</v>
      </c>
      <c r="B6234" t="str">
        <f>"1552382732946886"</f>
        <v>1552382732946886</v>
      </c>
      <c r="C6234" t="s">
        <v>40</v>
      </c>
      <c r="D6234">
        <v>3.59009</v>
      </c>
      <c r="E6234">
        <v>0.45974809999999999</v>
      </c>
      <c r="F6234" t="s">
        <v>43</v>
      </c>
      <c r="G6234">
        <v>-270.28840000000002</v>
      </c>
      <c r="H6234" s="1">
        <v>5.1881110000000004E-7</v>
      </c>
      <c r="I6234">
        <v>-61.297409999999999</v>
      </c>
      <c r="J6234">
        <v>-285.64010000000002</v>
      </c>
      <c r="K6234">
        <v>1.1128559999999901</v>
      </c>
      <c r="L6234">
        <v>-57.923609999999996</v>
      </c>
      <c r="M6234">
        <v>0.89679089999999995</v>
      </c>
      <c r="N6234">
        <v>0</v>
      </c>
      <c r="O6234">
        <v>-0.44222889999999998</v>
      </c>
      <c r="P6234">
        <v>0.93323299999999998</v>
      </c>
      <c r="Q6234">
        <v>0.1674013</v>
      </c>
      <c r="R6234">
        <v>-0.31788850000000002</v>
      </c>
      <c r="S6234">
        <v>3.0267940000000002</v>
      </c>
      <c r="T6234">
        <v>-0.2183648</v>
      </c>
      <c r="U6234">
        <v>-0.66860959999999903</v>
      </c>
      <c r="V6234">
        <v>-0.12851879999999999</v>
      </c>
      <c r="W6234">
        <v>0.18056920000000001</v>
      </c>
      <c r="X6234">
        <v>0.97512949999999998</v>
      </c>
      <c r="Y6234">
        <v>-0.23682329999999999</v>
      </c>
      <c r="Z6234">
        <v>3.8692369999999997E-2</v>
      </c>
      <c r="AA6234">
        <v>0.97078200000000003</v>
      </c>
      <c r="AB6234">
        <v>17</v>
      </c>
      <c r="AC6234">
        <v>15.3516999999999</v>
      </c>
      <c r="AD6234">
        <v>-1.11285548118889</v>
      </c>
      <c r="AE6234">
        <v>-3.3738000000000001</v>
      </c>
      <c r="AF6234">
        <v>-3.7449752650148498</v>
      </c>
      <c r="AG6234">
        <v>-1.11285548118889</v>
      </c>
      <c r="AH6234">
        <v>15.184662837741101</v>
      </c>
      <c r="AI6234">
        <v>94.070079115998695</v>
      </c>
      <c r="AJ6234">
        <v>103.854306643795</v>
      </c>
      <c r="AK6234">
        <v>15.679198721664999</v>
      </c>
      <c r="AL6234">
        <v>79.597083419891504</v>
      </c>
      <c r="AM6234">
        <v>97.508118376722706</v>
      </c>
      <c r="AN6234">
        <v>0.99999992985616204</v>
      </c>
    </row>
    <row r="6235" spans="1:40" x14ac:dyDescent="0.25">
      <c r="A6235" t="str">
        <f>"20190312172532964"</f>
        <v>20190312172532964</v>
      </c>
      <c r="B6235" t="str">
        <f>"1552382732956648"</f>
        <v>1552382732956648</v>
      </c>
      <c r="C6235" t="s">
        <v>40</v>
      </c>
      <c r="D6235">
        <v>3.5778150000000002</v>
      </c>
      <c r="E6235">
        <v>0.45999000000000001</v>
      </c>
      <c r="F6235" t="s">
        <v>43</v>
      </c>
      <c r="G6235">
        <v>-270.15129999999999</v>
      </c>
      <c r="H6235" s="1">
        <v>5.7469809999999997E-7</v>
      </c>
      <c r="I6235">
        <v>-61.310600000000001</v>
      </c>
      <c r="J6235">
        <v>-285.56599999999997</v>
      </c>
      <c r="K6235">
        <v>1.112846</v>
      </c>
      <c r="L6235">
        <v>-57.957279999999997</v>
      </c>
      <c r="M6235">
        <v>0.89778630000000004</v>
      </c>
      <c r="N6235">
        <v>0</v>
      </c>
      <c r="O6235">
        <v>-0.44020480000000001</v>
      </c>
      <c r="P6235">
        <v>0.93386559999999996</v>
      </c>
      <c r="Q6235">
        <v>0.16735459999999999</v>
      </c>
      <c r="R6235">
        <v>-0.3160501</v>
      </c>
      <c r="S6235">
        <v>3.0281370000000001</v>
      </c>
      <c r="T6235">
        <v>-0.21756790000000001</v>
      </c>
      <c r="U6235">
        <v>-0.66217040000000005</v>
      </c>
      <c r="V6235">
        <v>-0.1282404</v>
      </c>
      <c r="W6235">
        <v>0.18052319999999999</v>
      </c>
      <c r="X6235">
        <v>0.97517469999999995</v>
      </c>
      <c r="Y6235">
        <v>-0.23670840000000001</v>
      </c>
      <c r="Z6235">
        <v>3.841522E-2</v>
      </c>
      <c r="AA6235">
        <v>0.97082100000000005</v>
      </c>
      <c r="AB6235">
        <v>17</v>
      </c>
      <c r="AC6235">
        <v>15.4146999999999</v>
      </c>
      <c r="AD6235">
        <v>-1.1128454253019</v>
      </c>
      <c r="AE6235">
        <v>-3.3533199999999899</v>
      </c>
      <c r="AF6235">
        <v>-3.7567415918795501</v>
      </c>
      <c r="AG6235">
        <v>-1.1128454253019</v>
      </c>
      <c r="AH6235">
        <v>15.2409363477593</v>
      </c>
      <c r="AI6235">
        <v>94.055195224612206</v>
      </c>
      <c r="AJ6235">
        <v>103.84682072535701</v>
      </c>
      <c r="AK6235">
        <v>15.7365076521198</v>
      </c>
      <c r="AL6235">
        <v>79.599763386441794</v>
      </c>
      <c r="AM6235">
        <v>97.491695782438597</v>
      </c>
      <c r="AN6235">
        <v>0.999999960725244</v>
      </c>
    </row>
    <row r="6236" spans="1:40" x14ac:dyDescent="0.25">
      <c r="A6236" t="str">
        <f>"20190312172532975"</f>
        <v>20190312172532975</v>
      </c>
      <c r="B6236" t="str">
        <f>"1552382732966407"</f>
        <v>1552382732966407</v>
      </c>
      <c r="C6236" t="s">
        <v>40</v>
      </c>
      <c r="D6236">
        <v>3.5167079999999999</v>
      </c>
      <c r="E6236">
        <v>0.46026909999999999</v>
      </c>
      <c r="F6236" t="s">
        <v>43</v>
      </c>
      <c r="G6236">
        <v>-270.09649999999999</v>
      </c>
      <c r="H6236" s="1">
        <v>5.9730709999999895E-7</v>
      </c>
      <c r="I6236">
        <v>-61.314579999999999</v>
      </c>
      <c r="J6236">
        <v>-285.49299999999999</v>
      </c>
      <c r="K6236">
        <v>1.1128389999999999</v>
      </c>
      <c r="L6236">
        <v>-57.990200000000002</v>
      </c>
      <c r="M6236">
        <v>0.89876149999999999</v>
      </c>
      <c r="N6236">
        <v>0</v>
      </c>
      <c r="O6236">
        <v>-0.43821080000000001</v>
      </c>
      <c r="P6236">
        <v>0.9344211</v>
      </c>
      <c r="Q6236">
        <v>0.16714010000000001</v>
      </c>
      <c r="R6236">
        <v>-0.31451859999999998</v>
      </c>
      <c r="S6236">
        <v>3.0290219999999999</v>
      </c>
      <c r="T6236">
        <v>-0.2179015</v>
      </c>
      <c r="U6236">
        <v>-0.65737919999999905</v>
      </c>
      <c r="V6236">
        <v>-0.12768789999999999</v>
      </c>
      <c r="W6236">
        <v>0.18031169999999999</v>
      </c>
      <c r="X6236">
        <v>0.9752864</v>
      </c>
      <c r="Y6236">
        <v>-0.23607829999999999</v>
      </c>
      <c r="Z6236">
        <v>3.8323389999999999E-2</v>
      </c>
      <c r="AA6236">
        <v>0.97097800000000001</v>
      </c>
      <c r="AB6236">
        <v>17</v>
      </c>
      <c r="AC6236">
        <v>15.3965</v>
      </c>
      <c r="AD6236">
        <v>-1.1128384026928999</v>
      </c>
      <c r="AE6236">
        <v>-3.3243800000000001</v>
      </c>
      <c r="AF6236">
        <v>-3.7407898794275001</v>
      </c>
      <c r="AG6236">
        <v>-1.1128384026928999</v>
      </c>
      <c r="AH6236">
        <v>15.2201119901003</v>
      </c>
      <c r="AI6236">
        <v>94.061367186770696</v>
      </c>
      <c r="AJ6236">
        <v>103.808420307837</v>
      </c>
      <c r="AK6236">
        <v>15.712534080272601</v>
      </c>
      <c r="AL6236">
        <v>79.612084403037201</v>
      </c>
      <c r="AM6236">
        <v>97.458938742400406</v>
      </c>
      <c r="AN6236">
        <v>1.0000000354941201</v>
      </c>
    </row>
    <row r="6237" spans="1:40" x14ac:dyDescent="0.25">
      <c r="A6237" t="str">
        <f>"20190312172532988"</f>
        <v>20190312172532988</v>
      </c>
      <c r="B6237" t="str">
        <f>"1552382732977143"</f>
        <v>1552382732977143</v>
      </c>
      <c r="C6237" t="s">
        <v>40</v>
      </c>
      <c r="D6237">
        <v>3.5235720000000001</v>
      </c>
      <c r="E6237">
        <v>0.46055420000000002</v>
      </c>
      <c r="F6237" t="s">
        <v>43</v>
      </c>
      <c r="G6237">
        <v>-270.20429999999999</v>
      </c>
      <c r="H6237" s="1">
        <v>5.5641739999999999E-7</v>
      </c>
      <c r="I6237">
        <v>-61.290579999999999</v>
      </c>
      <c r="J6237">
        <v>-285.40989999999999</v>
      </c>
      <c r="K6237">
        <v>1.1128290000000001</v>
      </c>
      <c r="L6237">
        <v>-58.027470000000001</v>
      </c>
      <c r="M6237">
        <v>0.89986529999999998</v>
      </c>
      <c r="N6237">
        <v>0</v>
      </c>
      <c r="O6237">
        <v>-0.43593929999999997</v>
      </c>
      <c r="P6237">
        <v>0.93515709999999996</v>
      </c>
      <c r="Q6237">
        <v>0.16698499999999999</v>
      </c>
      <c r="R6237">
        <v>-0.3124053</v>
      </c>
      <c r="S6237">
        <v>3.029846</v>
      </c>
      <c r="T6237">
        <v>-0.2205366</v>
      </c>
      <c r="U6237">
        <v>-0.65405269999999904</v>
      </c>
      <c r="V6237">
        <v>-0.12743860000000001</v>
      </c>
      <c r="W6237">
        <v>0.1801574</v>
      </c>
      <c r="X6237">
        <v>0.97534750000000003</v>
      </c>
      <c r="Y6237">
        <v>-0.23466790000000001</v>
      </c>
      <c r="Z6237">
        <v>3.858528E-2</v>
      </c>
      <c r="AA6237">
        <v>0.97130950000000005</v>
      </c>
      <c r="AB6237">
        <v>17</v>
      </c>
      <c r="AC6237">
        <v>15.2056</v>
      </c>
      <c r="AD6237">
        <v>-1.1128284435825999</v>
      </c>
      <c r="AE6237">
        <v>-3.2631100000000099</v>
      </c>
      <c r="AF6237">
        <v>-3.6739157231363802</v>
      </c>
      <c r="AG6237">
        <v>-1.1128284435825999</v>
      </c>
      <c r="AH6237">
        <v>15.0300572491188</v>
      </c>
      <c r="AI6237">
        <v>94.113782708674293</v>
      </c>
      <c r="AJ6237">
        <v>103.735914810238</v>
      </c>
      <c r="AK6237">
        <v>15.5125325075355</v>
      </c>
      <c r="AL6237">
        <v>79.621072122613796</v>
      </c>
      <c r="AM6237">
        <v>97.444078165581601</v>
      </c>
      <c r="AN6237">
        <v>1.00000001565048</v>
      </c>
    </row>
    <row r="6238" spans="1:40" x14ac:dyDescent="0.25">
      <c r="A6238" t="str">
        <f>"20190312172533010"</f>
        <v>20190312172533010</v>
      </c>
      <c r="B6238" t="str">
        <f>"1552382733006422"</f>
        <v>1552382733006422</v>
      </c>
      <c r="C6238" t="s">
        <v>40</v>
      </c>
      <c r="D6238">
        <v>3.6218240000000002</v>
      </c>
      <c r="E6238">
        <v>0.46142660000000002</v>
      </c>
      <c r="F6238" t="s">
        <v>43</v>
      </c>
      <c r="G6238">
        <v>-270.2593</v>
      </c>
      <c r="H6238" s="1">
        <v>5.3655790000000004E-7</v>
      </c>
      <c r="I6238">
        <v>-61.273629999999997</v>
      </c>
      <c r="J6238">
        <v>-285.27010000000001</v>
      </c>
      <c r="K6238">
        <v>1.1128180000000001</v>
      </c>
      <c r="L6238">
        <v>-58.089570000000002</v>
      </c>
      <c r="M6238">
        <v>0.90170850000000002</v>
      </c>
      <c r="N6238">
        <v>0</v>
      </c>
      <c r="O6238">
        <v>-0.43211430000000001</v>
      </c>
      <c r="P6238">
        <v>0.93645350000000005</v>
      </c>
      <c r="Q6238">
        <v>0.16652210000000001</v>
      </c>
      <c r="R6238">
        <v>-0.30874889999999999</v>
      </c>
      <c r="S6238">
        <v>3.0308229999999998</v>
      </c>
      <c r="T6238">
        <v>-0.22261739999999999</v>
      </c>
      <c r="U6238">
        <v>-0.6493835</v>
      </c>
      <c r="V6238">
        <v>-0.12713749999999999</v>
      </c>
      <c r="W6238">
        <v>0.17969489999999999</v>
      </c>
      <c r="X6238">
        <v>0.97547209999999995</v>
      </c>
      <c r="Y6238">
        <v>-0.23202</v>
      </c>
      <c r="Z6238">
        <v>3.8600799999999998E-2</v>
      </c>
      <c r="AA6238">
        <v>0.97194480000000005</v>
      </c>
      <c r="AB6238">
        <v>17</v>
      </c>
      <c r="AC6238">
        <v>15.0108</v>
      </c>
      <c r="AD6238">
        <v>-1.1128174634421</v>
      </c>
      <c r="AE6238">
        <v>-3.1840600000000001</v>
      </c>
      <c r="AF6238">
        <v>-3.5967309467851298</v>
      </c>
      <c r="AG6238">
        <v>-1.1128174634421</v>
      </c>
      <c r="AH6238">
        <v>14.834707896728601</v>
      </c>
      <c r="AI6238">
        <v>94.169618228458106</v>
      </c>
      <c r="AJ6238">
        <v>103.628593076554</v>
      </c>
      <c r="AK6238">
        <v>15.3050120742117</v>
      </c>
      <c r="AL6238">
        <v>79.648010995638401</v>
      </c>
      <c r="AM6238">
        <v>97.4257485201111</v>
      </c>
      <c r="AN6238">
        <v>1.0000000094353301</v>
      </c>
    </row>
    <row r="6239" spans="1:40" x14ac:dyDescent="0.25">
      <c r="A6239" t="str">
        <f>"20190312172533023"</f>
        <v>20190312172533023</v>
      </c>
      <c r="B6239" t="str">
        <f>"1552382733017162"</f>
        <v>1552382733017162</v>
      </c>
      <c r="C6239" t="s">
        <v>40</v>
      </c>
      <c r="D6239">
        <v>3.6007950000000002</v>
      </c>
      <c r="E6239">
        <v>0.46170729999999999</v>
      </c>
      <c r="F6239" t="s">
        <v>43</v>
      </c>
      <c r="G6239">
        <v>-270.14150000000001</v>
      </c>
      <c r="H6239" s="1">
        <v>5.8069219999999998E-7</v>
      </c>
      <c r="I6239">
        <v>-61.302520000000001</v>
      </c>
      <c r="J6239">
        <v>-285.18729999999999</v>
      </c>
      <c r="K6239">
        <v>1.112811</v>
      </c>
      <c r="L6239">
        <v>-58.126100000000001</v>
      </c>
      <c r="M6239">
        <v>0.9027906</v>
      </c>
      <c r="N6239">
        <v>0</v>
      </c>
      <c r="O6239">
        <v>-0.42984929999999899</v>
      </c>
      <c r="P6239">
        <v>0.93713500000000005</v>
      </c>
      <c r="Q6239">
        <v>0.1665729</v>
      </c>
      <c r="R6239">
        <v>-0.30664639999999999</v>
      </c>
      <c r="S6239">
        <v>3.0309750000000002</v>
      </c>
      <c r="T6239">
        <v>-0.22295019999999999</v>
      </c>
      <c r="U6239">
        <v>-0.64370729999999998</v>
      </c>
      <c r="V6239">
        <v>-0.1268715</v>
      </c>
      <c r="W6239">
        <v>0.1797465</v>
      </c>
      <c r="X6239">
        <v>0.97549719999999995</v>
      </c>
      <c r="Y6239">
        <v>-0.2313308</v>
      </c>
      <c r="Z6239">
        <v>3.8494390000000003E-2</v>
      </c>
      <c r="AA6239">
        <v>0.97211329999999996</v>
      </c>
      <c r="AB6239">
        <v>16</v>
      </c>
      <c r="AC6239">
        <v>15.0457999999999</v>
      </c>
      <c r="AD6239">
        <v>-1.1128104193077999</v>
      </c>
      <c r="AE6239">
        <v>-3.17641999999999</v>
      </c>
      <c r="AF6239">
        <v>-3.5813868350422502</v>
      </c>
      <c r="AG6239">
        <v>-1.1128104193077999</v>
      </c>
      <c r="AH6239">
        <v>14.8721900291875</v>
      </c>
      <c r="AI6239">
        <v>94.160674997670498</v>
      </c>
      <c r="AJ6239">
        <v>103.53966091241</v>
      </c>
      <c r="AK6239">
        <v>15.337754560423701</v>
      </c>
      <c r="AL6239">
        <v>79.645005337455501</v>
      </c>
      <c r="AM6239">
        <v>97.410196501903101</v>
      </c>
      <c r="AN6239">
        <v>0.999999984491169</v>
      </c>
    </row>
    <row r="6240" spans="1:40" x14ac:dyDescent="0.25">
      <c r="A6240" t="str">
        <f>"20190312172533035"</f>
        <v>20190312172533035</v>
      </c>
      <c r="B6240" t="str">
        <f>"1552382733026919"</f>
        <v>1552382733026919</v>
      </c>
      <c r="C6240" t="s">
        <v>40</v>
      </c>
      <c r="D6240">
        <v>3.6222110000000001</v>
      </c>
      <c r="E6240">
        <v>0.46197850000000001</v>
      </c>
      <c r="F6240" t="s">
        <v>54</v>
      </c>
      <c r="G6240">
        <v>-269.94159999999999</v>
      </c>
      <c r="H6240" s="1">
        <v>-3.4409150000000002E-6</v>
      </c>
      <c r="I6240">
        <v>-61.338200000000001</v>
      </c>
      <c r="J6240">
        <v>-285.09589999999997</v>
      </c>
      <c r="K6240">
        <v>1.1128070000000001</v>
      </c>
      <c r="L6240">
        <v>-58.165990000000001</v>
      </c>
      <c r="M6240">
        <v>0.90397729999999998</v>
      </c>
      <c r="N6240">
        <v>0</v>
      </c>
      <c r="O6240">
        <v>-0.42734759999999999</v>
      </c>
      <c r="P6240">
        <v>0.93795759999999995</v>
      </c>
      <c r="Q6240">
        <v>0.16646820000000001</v>
      </c>
      <c r="R6240">
        <v>-0.30417810000000001</v>
      </c>
      <c r="S6240">
        <v>3.0315859999999999</v>
      </c>
      <c r="T6240">
        <v>-0.22128030000000001</v>
      </c>
      <c r="U6240">
        <v>-0.63873290000000005</v>
      </c>
      <c r="V6240">
        <v>-0.1267433</v>
      </c>
      <c r="W6240">
        <v>0.17964140000000001</v>
      </c>
      <c r="X6240">
        <v>0.97553319999999999</v>
      </c>
      <c r="Y6240">
        <v>-0.23023589999999999</v>
      </c>
      <c r="Z6240">
        <v>3.8006970000000001E-2</v>
      </c>
      <c r="AA6240">
        <v>0.97239240000000005</v>
      </c>
      <c r="AB6240">
        <v>16</v>
      </c>
      <c r="AC6240">
        <v>15.1542999999999</v>
      </c>
      <c r="AD6240">
        <v>-1.1128104409149999</v>
      </c>
      <c r="AE6240">
        <v>-3.1722100000000002</v>
      </c>
      <c r="AF6240">
        <v>-3.59035970063479</v>
      </c>
      <c r="AG6240">
        <v>-1.1128104409149999</v>
      </c>
      <c r="AH6240">
        <v>14.9788987587396</v>
      </c>
      <c r="AI6240">
        <v>94.132181843450496</v>
      </c>
      <c r="AJ6240">
        <v>103.479181773251</v>
      </c>
      <c r="AK6240">
        <v>15.443329883219</v>
      </c>
      <c r="AL6240">
        <v>79.651126514060806</v>
      </c>
      <c r="AM6240">
        <v>97.402521651869193</v>
      </c>
      <c r="AN6240">
        <v>0.99999996049554396</v>
      </c>
    </row>
    <row r="6241" spans="1:40" x14ac:dyDescent="0.25">
      <c r="A6241" t="str">
        <f>"20190312172533049"</f>
        <v>20190312172533049</v>
      </c>
      <c r="B6241" t="str">
        <f>"1552382733036679"</f>
        <v>1552382733036679</v>
      </c>
      <c r="C6241" t="s">
        <v>40</v>
      </c>
      <c r="D6241">
        <v>3.6121599999999998</v>
      </c>
      <c r="E6241">
        <v>0.46223350000000002</v>
      </c>
      <c r="F6241" t="s">
        <v>54</v>
      </c>
      <c r="G6241">
        <v>-269.7989</v>
      </c>
      <c r="H6241" s="1">
        <v>-3.3953809999999998E-6</v>
      </c>
      <c r="I6241">
        <v>-61.355179999999997</v>
      </c>
      <c r="J6241">
        <v>-285.00940000000003</v>
      </c>
      <c r="K6241">
        <v>1.1128020000000001</v>
      </c>
      <c r="L6241">
        <v>-58.20355</v>
      </c>
      <c r="M6241">
        <v>0.90509300000000004</v>
      </c>
      <c r="N6241">
        <v>0</v>
      </c>
      <c r="O6241">
        <v>-0.42497970000000002</v>
      </c>
      <c r="P6241">
        <v>0.93874500000000005</v>
      </c>
      <c r="Q6241">
        <v>0.1664042</v>
      </c>
      <c r="R6241">
        <v>-0.30177379999999998</v>
      </c>
      <c r="S6241">
        <v>3.0325929999999999</v>
      </c>
      <c r="T6241">
        <v>-0.2206119</v>
      </c>
      <c r="U6241">
        <v>-0.63226319999999903</v>
      </c>
      <c r="V6241">
        <v>-0.1266909</v>
      </c>
      <c r="W6241">
        <v>0.17957670000000001</v>
      </c>
      <c r="X6241">
        <v>0.97555199999999997</v>
      </c>
      <c r="Y6241">
        <v>-0.2297573</v>
      </c>
      <c r="Z6241">
        <v>3.7721539999999998E-2</v>
      </c>
      <c r="AA6241">
        <v>0.97251670000000001</v>
      </c>
      <c r="AB6241">
        <v>16</v>
      </c>
      <c r="AC6241">
        <v>15.2105</v>
      </c>
      <c r="AD6241">
        <v>-1.112805395381</v>
      </c>
      <c r="AE6241">
        <v>-3.1516299999999999</v>
      </c>
      <c r="AF6241">
        <v>-3.5935522540298401</v>
      </c>
      <c r="AG6241">
        <v>-1.112805395381</v>
      </c>
      <c r="AH6241">
        <v>15.0306596188783</v>
      </c>
      <c r="AI6241">
        <v>94.1185519814629</v>
      </c>
      <c r="AJ6241">
        <v>103.44596150244899</v>
      </c>
      <c r="AK6241">
        <v>15.4942790161082</v>
      </c>
      <c r="AL6241">
        <v>79.654895662953294</v>
      </c>
      <c r="AM6241">
        <v>97.399354103525297</v>
      </c>
      <c r="AN6241">
        <v>1.0000000400148401</v>
      </c>
    </row>
    <row r="6242" spans="1:40" x14ac:dyDescent="0.25">
      <c r="A6242" t="str">
        <f>"20190312172533063"</f>
        <v>20190312172533063</v>
      </c>
      <c r="B6242" t="str">
        <f>"1552382733056198"</f>
        <v>1552382733056198</v>
      </c>
      <c r="C6242" t="s">
        <v>40</v>
      </c>
      <c r="D6242">
        <v>3.6005370000000001</v>
      </c>
      <c r="E6242">
        <v>0.46275159999999999</v>
      </c>
      <c r="F6242" t="s">
        <v>54</v>
      </c>
      <c r="G6242">
        <v>-269.69240000000002</v>
      </c>
      <c r="H6242" s="1">
        <v>-3.3604399999999999E-6</v>
      </c>
      <c r="I6242">
        <v>-61.3626</v>
      </c>
      <c r="J6242">
        <v>-284.91559999999998</v>
      </c>
      <c r="K6242">
        <v>1.112797</v>
      </c>
      <c r="L6242">
        <v>-58.243989999999997</v>
      </c>
      <c r="M6242">
        <v>0.90629490000000001</v>
      </c>
      <c r="N6242">
        <v>0</v>
      </c>
      <c r="O6242">
        <v>-0.42241089999999998</v>
      </c>
      <c r="P6242">
        <v>0.93956410000000001</v>
      </c>
      <c r="Q6242">
        <v>0.16636010000000001</v>
      </c>
      <c r="R6242">
        <v>-0.29923899999999998</v>
      </c>
      <c r="S6242">
        <v>3.033722</v>
      </c>
      <c r="T6242">
        <v>-0.2204045</v>
      </c>
      <c r="U6242">
        <v>-0.62570190000000003</v>
      </c>
      <c r="V6242">
        <v>-0.12655749999999999</v>
      </c>
      <c r="W6242">
        <v>0.1795321</v>
      </c>
      <c r="X6242">
        <v>0.97557749999999999</v>
      </c>
      <c r="Y6242">
        <v>-0.22909660000000001</v>
      </c>
      <c r="Z6242">
        <v>3.7494239999999998E-2</v>
      </c>
      <c r="AA6242">
        <v>0.97268129999999997</v>
      </c>
      <c r="AB6242">
        <v>16</v>
      </c>
      <c r="AC6242">
        <v>15.223199999999901</v>
      </c>
      <c r="AD6242">
        <v>-1.1128003604400001</v>
      </c>
      <c r="AE6242">
        <v>-3.1186099999999901</v>
      </c>
      <c r="AF6242">
        <v>-3.5860331387161501</v>
      </c>
      <c r="AG6242">
        <v>-1.1128003604400001</v>
      </c>
      <c r="AH6242">
        <v>15.0384236363592</v>
      </c>
      <c r="AI6242">
        <v>94.116992159630698</v>
      </c>
      <c r="AJ6242">
        <v>103.412168389454</v>
      </c>
      <c r="AK6242">
        <v>15.500069154064199</v>
      </c>
      <c r="AL6242">
        <v>79.657493031437696</v>
      </c>
      <c r="AM6242">
        <v>97.391458041201702</v>
      </c>
      <c r="AN6242">
        <v>1.00000001712145</v>
      </c>
    </row>
    <row r="6243" spans="1:40" x14ac:dyDescent="0.25">
      <c r="A6243" t="str">
        <f>"20190312172533077"</f>
        <v>20190312172533077</v>
      </c>
      <c r="B6243" t="str">
        <f>"1552382733066935"</f>
        <v>1552382733066935</v>
      </c>
      <c r="C6243" t="s">
        <v>40</v>
      </c>
      <c r="D6243">
        <v>3.6206939999999999</v>
      </c>
      <c r="E6243">
        <v>0.46275159999999999</v>
      </c>
      <c r="F6243" t="s">
        <v>54</v>
      </c>
      <c r="G6243">
        <v>-269.61099999999999</v>
      </c>
      <c r="H6243" s="1">
        <v>-3.335036E-6</v>
      </c>
      <c r="I6243">
        <v>-61.37556</v>
      </c>
      <c r="J6243">
        <v>-284.81490000000002</v>
      </c>
      <c r="K6243">
        <v>1.112792</v>
      </c>
      <c r="L6243">
        <v>-58.286960000000001</v>
      </c>
      <c r="M6243">
        <v>0.90757379999999999</v>
      </c>
      <c r="N6243">
        <v>0</v>
      </c>
      <c r="O6243">
        <v>-0.41965570000000002</v>
      </c>
      <c r="P6243">
        <v>0.94026410000000005</v>
      </c>
      <c r="Q6243">
        <v>0.16677719999999999</v>
      </c>
      <c r="R6243">
        <v>-0.29679809999999901</v>
      </c>
      <c r="S6243">
        <v>3.0343019999999998</v>
      </c>
      <c r="T6243">
        <v>-0.22062419999999999</v>
      </c>
      <c r="U6243">
        <v>-0.62088009999999905</v>
      </c>
      <c r="V6243">
        <v>-0.12609509999999999</v>
      </c>
      <c r="W6243">
        <v>0.17995</v>
      </c>
      <c r="X6243">
        <v>0.97556039999999999</v>
      </c>
      <c r="Y6243">
        <v>-0.22766620000000001</v>
      </c>
      <c r="Z6243">
        <v>3.7302920000000003E-2</v>
      </c>
      <c r="AA6243">
        <v>0.97302449999999996</v>
      </c>
      <c r="AB6243">
        <v>16</v>
      </c>
      <c r="AC6243">
        <v>15.203900000000001</v>
      </c>
      <c r="AD6243">
        <v>-1.112795335036</v>
      </c>
      <c r="AE6243">
        <v>-3.0886</v>
      </c>
      <c r="AF6243">
        <v>-3.5593151304623798</v>
      </c>
      <c r="AG6243">
        <v>-1.112795335036</v>
      </c>
      <c r="AH6243">
        <v>15.019043110651101</v>
      </c>
      <c r="AI6243">
        <v>94.123628004924996</v>
      </c>
      <c r="AJ6243">
        <v>103.332381656983</v>
      </c>
      <c r="AK6243">
        <v>15.475099147185199</v>
      </c>
      <c r="AL6243">
        <v>79.633152909631093</v>
      </c>
      <c r="AM6243">
        <v>97.364876749184404</v>
      </c>
      <c r="AN6243">
        <v>1.0000000353960801</v>
      </c>
    </row>
    <row r="6244" spans="1:40" x14ac:dyDescent="0.25">
      <c r="A6244" t="str">
        <f>"20190312172533092"</f>
        <v>20190312172533092</v>
      </c>
      <c r="B6244" t="str">
        <f>"1552382733086455"</f>
        <v>1552382733086455</v>
      </c>
      <c r="C6244" t="s">
        <v>40</v>
      </c>
      <c r="D6244">
        <v>3.5930309999999999</v>
      </c>
      <c r="E6244">
        <v>0.47015990000000002</v>
      </c>
      <c r="F6244" t="s">
        <v>54</v>
      </c>
      <c r="G6244">
        <v>-269.36669999999998</v>
      </c>
      <c r="H6244" s="1">
        <v>-3.2561539999999998E-6</v>
      </c>
      <c r="I6244">
        <v>-61.399410000000003</v>
      </c>
      <c r="J6244">
        <v>-284.72390000000001</v>
      </c>
      <c r="K6244">
        <v>1.1127849999999999</v>
      </c>
      <c r="L6244">
        <v>-58.325530000000001</v>
      </c>
      <c r="M6244">
        <v>0.90872189999999997</v>
      </c>
      <c r="N6244">
        <v>0</v>
      </c>
      <c r="O6244">
        <v>-0.41716409999999998</v>
      </c>
      <c r="P6244">
        <v>0.94089460000000003</v>
      </c>
      <c r="Q6244">
        <v>0.1669215</v>
      </c>
      <c r="R6244">
        <v>-0.29471140000000001</v>
      </c>
      <c r="S6244">
        <v>3.0362849999999999</v>
      </c>
      <c r="T6244">
        <v>-0.2187154</v>
      </c>
      <c r="U6244">
        <v>-0.61175539999999995</v>
      </c>
      <c r="V6244">
        <v>-0.12556880000000001</v>
      </c>
      <c r="W6244">
        <v>0.18009639999999999</v>
      </c>
      <c r="X6244">
        <v>0.9756013</v>
      </c>
      <c r="Y6244">
        <v>-0.22796050000000001</v>
      </c>
      <c r="Z6244">
        <v>3.6823069999999999E-2</v>
      </c>
      <c r="AA6244">
        <v>0.9729738</v>
      </c>
      <c r="AB6244">
        <v>16</v>
      </c>
      <c r="AC6244">
        <v>15.357200000000001</v>
      </c>
      <c r="AD6244">
        <v>-1.1127882561539999</v>
      </c>
      <c r="AE6244">
        <v>-3.07387999999998</v>
      </c>
      <c r="AF6244">
        <v>-3.5953789418489599</v>
      </c>
      <c r="AG6244">
        <v>-1.1127882561539999</v>
      </c>
      <c r="AH6244">
        <v>15.1627046806613</v>
      </c>
      <c r="AI6244">
        <v>94.084543391824496</v>
      </c>
      <c r="AJ6244">
        <v>103.339601118472</v>
      </c>
      <c r="AK6244">
        <v>15.6228249901058</v>
      </c>
      <c r="AL6244">
        <v>79.624625818259204</v>
      </c>
      <c r="AM6244">
        <v>97.334168249643895</v>
      </c>
      <c r="AN6244">
        <v>1.0000000666940401</v>
      </c>
    </row>
    <row r="6245" spans="1:40" x14ac:dyDescent="0.25">
      <c r="A6245" t="str">
        <f>"20190312172533109"</f>
        <v>20190312172533109</v>
      </c>
      <c r="B6245" t="str">
        <f>"1552382733106950"</f>
        <v>1552382733106950</v>
      </c>
      <c r="C6245" t="s">
        <v>40</v>
      </c>
      <c r="D6245">
        <v>3.7293989999999999</v>
      </c>
      <c r="E6245">
        <v>0.46986</v>
      </c>
      <c r="F6245" t="s">
        <v>43</v>
      </c>
      <c r="G6245">
        <v>-268.77629999999999</v>
      </c>
      <c r="H6245" s="1">
        <v>-3.1293560000000001E-6</v>
      </c>
      <c r="I6245">
        <v>-61.817259999999997</v>
      </c>
      <c r="J6245">
        <v>-284.60430000000002</v>
      </c>
      <c r="K6245">
        <v>1.112771</v>
      </c>
      <c r="L6245">
        <v>-58.37576</v>
      </c>
      <c r="M6245">
        <v>0.91021759999999996</v>
      </c>
      <c r="N6245">
        <v>0</v>
      </c>
      <c r="O6245">
        <v>-0.41389090000000001</v>
      </c>
      <c r="P6245">
        <v>0.94166680000000003</v>
      </c>
      <c r="Q6245">
        <v>0.16731089999999901</v>
      </c>
      <c r="R6245">
        <v>-0.29201189999999999</v>
      </c>
      <c r="S6245">
        <v>3.018799</v>
      </c>
      <c r="T6245">
        <v>-0.21064540000000001</v>
      </c>
      <c r="U6245">
        <v>-0.66098020000000002</v>
      </c>
      <c r="V6245">
        <v>-0.1248232</v>
      </c>
      <c r="W6245">
        <v>0.18048620000000001</v>
      </c>
      <c r="X6245">
        <v>0.97562490000000002</v>
      </c>
      <c r="Y6245">
        <v>-0.20828169999999999</v>
      </c>
      <c r="Z6245">
        <v>3.4704039999999999E-2</v>
      </c>
      <c r="AA6245">
        <v>0.97745300000000002</v>
      </c>
      <c r="AB6245">
        <v>16</v>
      </c>
      <c r="AC6245">
        <v>15.827999999999999</v>
      </c>
      <c r="AD6245">
        <v>-1.1127741293560001</v>
      </c>
      <c r="AE6245">
        <v>-3.4414999999999898</v>
      </c>
      <c r="AF6245">
        <v>-3.4028303666321702</v>
      </c>
      <c r="AG6245">
        <v>-1.1127741293560001</v>
      </c>
      <c r="AH6245">
        <v>15.7585260009977</v>
      </c>
      <c r="AI6245">
        <v>93.948476499380504</v>
      </c>
      <c r="AJ6245">
        <v>102.185120290673</v>
      </c>
      <c r="AK6245">
        <v>16.160094755017901</v>
      </c>
      <c r="AL6245">
        <v>79.601919384110204</v>
      </c>
      <c r="AM6245">
        <v>97.290915086838794</v>
      </c>
      <c r="AN6245">
        <v>1.00000002257434</v>
      </c>
    </row>
    <row r="6246" spans="1:40" x14ac:dyDescent="0.25">
      <c r="A6246" t="str">
        <f>"20190312172533120"</f>
        <v>20190312172533120</v>
      </c>
      <c r="B6246" t="str">
        <f>"1552382733116711"</f>
        <v>1552382733116711</v>
      </c>
      <c r="C6246" t="s">
        <v>40</v>
      </c>
      <c r="D6246">
        <v>3.5830320000000002</v>
      </c>
      <c r="E6246">
        <v>0.47038229999999998</v>
      </c>
      <c r="F6246" t="s">
        <v>43</v>
      </c>
      <c r="G6246">
        <v>-269.14100000000002</v>
      </c>
      <c r="H6246" s="1">
        <v>-3.2325890000000001E-6</v>
      </c>
      <c r="I6246">
        <v>-61.699649999999998</v>
      </c>
      <c r="J6246">
        <v>-284.52789999999999</v>
      </c>
      <c r="K6246">
        <v>1.1127640000000001</v>
      </c>
      <c r="L6246">
        <v>-58.407589999999999</v>
      </c>
      <c r="M6246">
        <v>0.91116540000000001</v>
      </c>
      <c r="N6246">
        <v>0</v>
      </c>
      <c r="O6246">
        <v>-0.4118001</v>
      </c>
      <c r="P6246">
        <v>0.94215110000000002</v>
      </c>
      <c r="Q6246">
        <v>0.16739970000000001</v>
      </c>
      <c r="R6246">
        <v>-0.29039399999999999</v>
      </c>
      <c r="S6246">
        <v>3.02298</v>
      </c>
      <c r="T6246">
        <v>-0.21753980000000001</v>
      </c>
      <c r="U6246">
        <v>-0.64981080000000002</v>
      </c>
      <c r="V6246">
        <v>-0.1242499</v>
      </c>
      <c r="W6246">
        <v>0.18057390000000001</v>
      </c>
      <c r="X6246">
        <v>0.97568180000000004</v>
      </c>
      <c r="Y6246">
        <v>-0.2096807</v>
      </c>
      <c r="Z6246">
        <v>3.572351E-2</v>
      </c>
      <c r="AA6246">
        <v>0.97711709999999996</v>
      </c>
      <c r="AB6246">
        <v>16</v>
      </c>
      <c r="AC6246">
        <v>15.386900000000001</v>
      </c>
      <c r="AD6246">
        <v>-1.1127672325889999</v>
      </c>
      <c r="AE6246">
        <v>-3.29205999999999</v>
      </c>
      <c r="AF6246">
        <v>-3.32044071498912</v>
      </c>
      <c r="AG6246">
        <v>-1.1127672325889999</v>
      </c>
      <c r="AH6246">
        <v>15.3006855116013</v>
      </c>
      <c r="AI6246">
        <v>94.065308360076202</v>
      </c>
      <c r="AJ6246">
        <v>102.244050130896</v>
      </c>
      <c r="AK6246">
        <v>15.6963229636946</v>
      </c>
      <c r="AL6246">
        <v>79.596810082202794</v>
      </c>
      <c r="AM6246">
        <v>97.257367796728104</v>
      </c>
      <c r="AN6246">
        <v>0.999999972931229</v>
      </c>
    </row>
    <row r="6247" spans="1:40" x14ac:dyDescent="0.25">
      <c r="A6247" t="str">
        <f>"20190312172533132"</f>
        <v>20190312172533132</v>
      </c>
      <c r="B6247" t="str">
        <f>"1552382733126471"</f>
        <v>1552382733126471</v>
      </c>
      <c r="C6247" t="s">
        <v>40</v>
      </c>
      <c r="D6247">
        <v>3.6141239999999999</v>
      </c>
      <c r="E6247">
        <v>0.47077239999999998</v>
      </c>
      <c r="F6247" t="s">
        <v>54</v>
      </c>
      <c r="G6247">
        <v>-269.03190000000001</v>
      </c>
      <c r="H6247" s="1">
        <v>-3.2012739999999999E-6</v>
      </c>
      <c r="I6247">
        <v>-61.732379999999999</v>
      </c>
      <c r="J6247">
        <v>-284.4556</v>
      </c>
      <c r="K6247">
        <v>1.1127549999999999</v>
      </c>
      <c r="L6247">
        <v>-58.4375</v>
      </c>
      <c r="M6247">
        <v>0.91205760000000002</v>
      </c>
      <c r="N6247">
        <v>0</v>
      </c>
      <c r="O6247">
        <v>-0.40982049999999998</v>
      </c>
      <c r="P6247">
        <v>0.94262630000000003</v>
      </c>
      <c r="Q6247">
        <v>0.16751859999999999</v>
      </c>
      <c r="R6247">
        <v>-0.28877890000000001</v>
      </c>
      <c r="S6247">
        <v>3.0228579999999998</v>
      </c>
      <c r="T6247">
        <v>-0.21707109999999999</v>
      </c>
      <c r="U6247">
        <v>-0.64859009999999995</v>
      </c>
      <c r="V6247">
        <v>-0.12379179999999999</v>
      </c>
      <c r="W6247">
        <v>0.18068690000000001</v>
      </c>
      <c r="X6247">
        <v>0.97571920000000001</v>
      </c>
      <c r="Y6247">
        <v>-0.20794090000000001</v>
      </c>
      <c r="Z6247">
        <v>3.5461380000000001E-2</v>
      </c>
      <c r="AA6247">
        <v>0.97749839999999999</v>
      </c>
      <c r="AB6247">
        <v>16</v>
      </c>
      <c r="AC6247">
        <v>15.423699999999901</v>
      </c>
      <c r="AD6247">
        <v>-1.112758201274</v>
      </c>
      <c r="AE6247">
        <v>-3.29488</v>
      </c>
      <c r="AF6247">
        <v>-3.2997309137652699</v>
      </c>
      <c r="AG6247">
        <v>-1.112758201274</v>
      </c>
      <c r="AH6247">
        <v>15.3427650534201</v>
      </c>
      <c r="AI6247">
        <v>94.055785630181802</v>
      </c>
      <c r="AJ6247">
        <v>102.137579531605</v>
      </c>
      <c r="AK6247">
        <v>15.732987459545299</v>
      </c>
      <c r="AL6247">
        <v>79.590228311721305</v>
      </c>
      <c r="AM6247">
        <v>97.230619922153195</v>
      </c>
      <c r="AN6247">
        <v>1.0000000614137401</v>
      </c>
    </row>
    <row r="6248" spans="1:40" x14ac:dyDescent="0.25">
      <c r="A6248" t="str">
        <f>"20190312172533144"</f>
        <v>20190312172533144</v>
      </c>
      <c r="B6248" t="str">
        <f>"1552382733136230"</f>
        <v>1552382733136230</v>
      </c>
      <c r="C6248" t="s">
        <v>40</v>
      </c>
      <c r="D6248">
        <v>3.6399490000000001</v>
      </c>
      <c r="E6248">
        <v>0.47125519999999999</v>
      </c>
      <c r="F6248" t="s">
        <v>43</v>
      </c>
      <c r="G6248">
        <v>-268.91469999999998</v>
      </c>
      <c r="H6248" s="1">
        <v>-3.1663099999999999E-6</v>
      </c>
      <c r="I6248">
        <v>-61.760080000000002</v>
      </c>
      <c r="J6248">
        <v>-284.37790000000001</v>
      </c>
      <c r="K6248">
        <v>1.112749</v>
      </c>
      <c r="L6248">
        <v>-58.46951</v>
      </c>
      <c r="M6248">
        <v>0.91301120000000002</v>
      </c>
      <c r="N6248">
        <v>0</v>
      </c>
      <c r="O6248">
        <v>-0.40769260000000002</v>
      </c>
      <c r="P6248">
        <v>0.94314509999999996</v>
      </c>
      <c r="Q6248">
        <v>0.1676166</v>
      </c>
      <c r="R6248">
        <v>-0.28702270000000002</v>
      </c>
      <c r="S6248">
        <v>3.0230709999999998</v>
      </c>
      <c r="T6248">
        <v>-0.21645719999999999</v>
      </c>
      <c r="U6248">
        <v>-0.64633180000000001</v>
      </c>
      <c r="V6248">
        <v>-0.123324</v>
      </c>
      <c r="W6248">
        <v>0.18077409999999999</v>
      </c>
      <c r="X6248">
        <v>0.97576220000000002</v>
      </c>
      <c r="Y6248">
        <v>-0.2063885</v>
      </c>
      <c r="Z6248">
        <v>3.5171399999999998E-2</v>
      </c>
      <c r="AA6248">
        <v>0.97783779999999998</v>
      </c>
      <c r="AB6248">
        <v>16</v>
      </c>
      <c r="AC6248">
        <v>15.463200000000001</v>
      </c>
      <c r="AD6248">
        <v>-1.11275216631</v>
      </c>
      <c r="AE6248">
        <v>-3.2905700000000002</v>
      </c>
      <c r="AF6248">
        <v>-3.28396147837719</v>
      </c>
      <c r="AG6248">
        <v>-1.11275216631</v>
      </c>
      <c r="AH6248">
        <v>15.384922792061399</v>
      </c>
      <c r="AI6248">
        <v>94.046020415537896</v>
      </c>
      <c r="AJ6248">
        <v>102.049145576322</v>
      </c>
      <c r="AK6248">
        <v>15.770810685972499</v>
      </c>
      <c r="AL6248">
        <v>79.585147585656401</v>
      </c>
      <c r="AM6248">
        <v>97.203269401703906</v>
      </c>
      <c r="AN6248">
        <v>0.999999977577824</v>
      </c>
    </row>
    <row r="6249" spans="1:40" x14ac:dyDescent="0.25">
      <c r="A6249" t="str">
        <f>"20190312172533153"</f>
        <v>20190312172533153</v>
      </c>
      <c r="B6249" t="str">
        <f>"1552382733146966"</f>
        <v>1552382733146966</v>
      </c>
      <c r="C6249" t="s">
        <v>40</v>
      </c>
      <c r="D6249">
        <v>3.6134879999999998</v>
      </c>
      <c r="E6249">
        <v>0.47161710000000001</v>
      </c>
      <c r="F6249" t="s">
        <v>54</v>
      </c>
      <c r="G6249">
        <v>-268.80840000000001</v>
      </c>
      <c r="H6249" s="1">
        <v>-3.1351109999999999E-6</v>
      </c>
      <c r="I6249">
        <v>-61.788069999999998</v>
      </c>
      <c r="J6249">
        <v>-284.30509999999998</v>
      </c>
      <c r="K6249">
        <v>1.1127389999999999</v>
      </c>
      <c r="L6249">
        <v>-58.49924</v>
      </c>
      <c r="M6249">
        <v>0.91389909999999996</v>
      </c>
      <c r="N6249">
        <v>0</v>
      </c>
      <c r="O6249">
        <v>-0.40569909999999998</v>
      </c>
      <c r="P6249">
        <v>0.94369460000000005</v>
      </c>
      <c r="Q6249">
        <v>0.16787340000000001</v>
      </c>
      <c r="R6249">
        <v>-0.28506019999999999</v>
      </c>
      <c r="S6249">
        <v>3.0231319999999999</v>
      </c>
      <c r="T6249">
        <v>-0.21606349999999999</v>
      </c>
      <c r="U6249">
        <v>-0.64437869999999997</v>
      </c>
      <c r="V6249">
        <v>-0.1232052</v>
      </c>
      <c r="W6249">
        <v>0.1810049</v>
      </c>
      <c r="X6249">
        <v>0.97573449999999995</v>
      </c>
      <c r="Y6249">
        <v>-0.20487420000000001</v>
      </c>
      <c r="Z6249">
        <v>3.4928960000000002E-2</v>
      </c>
      <c r="AA6249">
        <v>0.9781649</v>
      </c>
      <c r="AB6249">
        <v>16</v>
      </c>
      <c r="AC6249">
        <v>15.496699999999899</v>
      </c>
      <c r="AD6249">
        <v>-1.1127421351109901</v>
      </c>
      <c r="AE6249">
        <v>-3.2888299999999902</v>
      </c>
      <c r="AF6249">
        <v>-3.2655497751612499</v>
      </c>
      <c r="AG6249">
        <v>-1.1127421351109901</v>
      </c>
      <c r="AH6249">
        <v>15.4221306969136</v>
      </c>
      <c r="AI6249">
        <v>94.037653446633598</v>
      </c>
      <c r="AJ6249">
        <v>101.955470603707</v>
      </c>
      <c r="AK6249">
        <v>15.803294771217599</v>
      </c>
      <c r="AL6249">
        <v>79.571702726270601</v>
      </c>
      <c r="AM6249">
        <v>97.196605314572196</v>
      </c>
      <c r="AN6249">
        <v>1.00000005481064</v>
      </c>
    </row>
    <row r="6250" spans="1:40" x14ac:dyDescent="0.25">
      <c r="A6250" t="str">
        <f>"20190312172533176"</f>
        <v>20190312172533176</v>
      </c>
      <c r="B6250" t="str">
        <f>"1552382733166490"</f>
        <v>1552382733166490</v>
      </c>
      <c r="C6250" t="s">
        <v>40</v>
      </c>
      <c r="D6250">
        <v>3.5955689999999998</v>
      </c>
      <c r="E6250">
        <v>0.47197090000000003</v>
      </c>
      <c r="F6250" t="s">
        <v>54</v>
      </c>
      <c r="G6250">
        <v>-268.74540000000002</v>
      </c>
      <c r="H6250" s="1">
        <v>-3.1152470000000001E-6</v>
      </c>
      <c r="I6250">
        <v>-61.796990000000001</v>
      </c>
      <c r="J6250">
        <v>-284.16050000000001</v>
      </c>
      <c r="K6250">
        <v>1.112717</v>
      </c>
      <c r="L6250">
        <v>-58.5578</v>
      </c>
      <c r="M6250">
        <v>0.91564699999999999</v>
      </c>
      <c r="N6250">
        <v>0</v>
      </c>
      <c r="O6250">
        <v>-0.40174120000000002</v>
      </c>
      <c r="P6250">
        <v>0.94478530000000005</v>
      </c>
      <c r="Q6250">
        <v>0.16815869999999999</v>
      </c>
      <c r="R6250">
        <v>-0.28125349999999999</v>
      </c>
      <c r="S6250">
        <v>3.0238649999999998</v>
      </c>
      <c r="T6250">
        <v>-0.21625030000000001</v>
      </c>
      <c r="U6250">
        <v>-0.64089969999999996</v>
      </c>
      <c r="V6250">
        <v>-0.1228943</v>
      </c>
      <c r="W6250">
        <v>0.18121029999999999</v>
      </c>
      <c r="X6250">
        <v>0.97573549999999998</v>
      </c>
      <c r="Y6250">
        <v>-0.20177719999999999</v>
      </c>
      <c r="Z6250">
        <v>3.4593020000000002E-2</v>
      </c>
      <c r="AA6250">
        <v>0.97882040000000003</v>
      </c>
      <c r="AB6250">
        <v>16</v>
      </c>
      <c r="AC6250">
        <v>15.415099999999899</v>
      </c>
      <c r="AD6250">
        <v>-1.1127201152470001</v>
      </c>
      <c r="AE6250">
        <v>-3.2391899999999998</v>
      </c>
      <c r="AF6250">
        <v>-3.2112156888770298</v>
      </c>
      <c r="AG6250">
        <v>-1.1127201152470001</v>
      </c>
      <c r="AH6250">
        <v>15.341051939884499</v>
      </c>
      <c r="AI6250">
        <v>94.060817791277003</v>
      </c>
      <c r="AJ6250">
        <v>101.82255402811801</v>
      </c>
      <c r="AK6250">
        <v>15.7129859313117</v>
      </c>
      <c r="AL6250">
        <v>79.559735433832103</v>
      </c>
      <c r="AM6250">
        <v>97.178627576066006</v>
      </c>
      <c r="AN6250">
        <v>0.99999997387941397</v>
      </c>
    </row>
    <row r="6251" spans="1:40" x14ac:dyDescent="0.25">
      <c r="A6251" t="str">
        <f>"20190312172533186"</f>
        <v>20190312172533186</v>
      </c>
      <c r="B6251" t="str">
        <f>"1552382733176247"</f>
        <v>1552382733176247</v>
      </c>
      <c r="C6251" t="s">
        <v>40</v>
      </c>
      <c r="D6251">
        <v>3.7414999999999998</v>
      </c>
      <c r="E6251">
        <v>0.47710839999999999</v>
      </c>
      <c r="F6251" t="s">
        <v>54</v>
      </c>
      <c r="G6251">
        <v>-268.54349999999999</v>
      </c>
      <c r="H6251" s="1">
        <v>-3.0500099999999999E-6</v>
      </c>
      <c r="I6251">
        <v>-61.816670000000002</v>
      </c>
      <c r="J6251">
        <v>-284.08670000000001</v>
      </c>
      <c r="K6251">
        <v>1.1127</v>
      </c>
      <c r="L6251">
        <v>-58.5873699999999</v>
      </c>
      <c r="M6251">
        <v>0.91653119999999999</v>
      </c>
      <c r="N6251">
        <v>0</v>
      </c>
      <c r="O6251">
        <v>-0.39972229999999997</v>
      </c>
      <c r="P6251">
        <v>0.94533820000000002</v>
      </c>
      <c r="Q6251">
        <v>0.16818369999999999</v>
      </c>
      <c r="R6251">
        <v>-0.27937450000000003</v>
      </c>
      <c r="S6251">
        <v>3.025757</v>
      </c>
      <c r="T6251">
        <v>-0.21558620000000001</v>
      </c>
      <c r="U6251">
        <v>-0.63140869999999905</v>
      </c>
      <c r="V6251">
        <v>-0.1226797</v>
      </c>
      <c r="W6251">
        <v>0.18117559999999999</v>
      </c>
      <c r="X6251">
        <v>0.975769</v>
      </c>
      <c r="Y6251">
        <v>-0.20269419999999999</v>
      </c>
      <c r="Z6251">
        <v>3.4384089999999999E-2</v>
      </c>
      <c r="AA6251">
        <v>0.97863820000000001</v>
      </c>
      <c r="AB6251">
        <v>16</v>
      </c>
      <c r="AC6251">
        <v>15.543200000000001</v>
      </c>
      <c r="AD6251">
        <v>-1.1127030500099999</v>
      </c>
      <c r="AE6251">
        <v>-3.2292999999999998</v>
      </c>
      <c r="AF6251">
        <v>-3.2376172490072102</v>
      </c>
      <c r="AG6251">
        <v>-1.1127030500099999</v>
      </c>
      <c r="AH6251">
        <v>15.4621858695967</v>
      </c>
      <c r="AI6251">
        <v>94.028993646916007</v>
      </c>
      <c r="AJ6251">
        <v>101.82626583727701</v>
      </c>
      <c r="AK6251">
        <v>15.836649437129299</v>
      </c>
      <c r="AL6251">
        <v>79.561757590304794</v>
      </c>
      <c r="AM6251">
        <v>97.1659791051691</v>
      </c>
      <c r="AN6251">
        <v>1.00000002409422</v>
      </c>
    </row>
    <row r="6252" spans="1:40" x14ac:dyDescent="0.25">
      <c r="A6252" t="str">
        <f>"20190312172533198"</f>
        <v>20190312172533198</v>
      </c>
      <c r="B6252" t="str">
        <f>"1552382733186982"</f>
        <v>1552382733186982</v>
      </c>
      <c r="C6252" t="s">
        <v>40</v>
      </c>
      <c r="D6252">
        <v>3.609273</v>
      </c>
      <c r="E6252">
        <v>0.47756009999999999</v>
      </c>
      <c r="F6252" t="s">
        <v>54</v>
      </c>
      <c r="G6252">
        <v>-268.44290000000001</v>
      </c>
      <c r="H6252" s="1">
        <v>-3.0546610000000001E-6</v>
      </c>
      <c r="I6252">
        <v>-62.035829999999997</v>
      </c>
      <c r="J6252">
        <v>-284.01190000000003</v>
      </c>
      <c r="K6252">
        <v>1.1126849999999999</v>
      </c>
      <c r="L6252">
        <v>-58.617220000000003</v>
      </c>
      <c r="M6252">
        <v>0.91742029999999997</v>
      </c>
      <c r="N6252">
        <v>0</v>
      </c>
      <c r="O6252">
        <v>-0.39768019999999998</v>
      </c>
      <c r="P6252">
        <v>0.94589449999999997</v>
      </c>
      <c r="Q6252">
        <v>0.16829849999999999</v>
      </c>
      <c r="R6252">
        <v>-0.27741519999999997</v>
      </c>
      <c r="S6252">
        <v>3.0151979999999998</v>
      </c>
      <c r="T6252">
        <v>-0.2144636</v>
      </c>
      <c r="U6252">
        <v>-0.66467290000000001</v>
      </c>
      <c r="V6252">
        <v>-0.12251819999999999</v>
      </c>
      <c r="W6252">
        <v>0.18121960000000001</v>
      </c>
      <c r="X6252">
        <v>0.97578109999999996</v>
      </c>
      <c r="Y6252">
        <v>-0.18953510000000001</v>
      </c>
      <c r="Z6252">
        <v>3.3675660000000003E-2</v>
      </c>
      <c r="AA6252">
        <v>0.98129630000000001</v>
      </c>
      <c r="AB6252">
        <v>16</v>
      </c>
      <c r="AC6252">
        <v>15.569000000000001</v>
      </c>
      <c r="AD6252">
        <v>-1.1126880546610001</v>
      </c>
      <c r="AE6252">
        <v>-3.4186100000000001</v>
      </c>
      <c r="AF6252">
        <v>-3.0406554038943701</v>
      </c>
      <c r="AG6252">
        <v>-1.1126880546610001</v>
      </c>
      <c r="AH6252">
        <v>15.568458571443401</v>
      </c>
      <c r="AI6252">
        <v>94.012458471729303</v>
      </c>
      <c r="AJ6252">
        <v>101.05124730039999</v>
      </c>
      <c r="AK6252">
        <v>15.9015899294054</v>
      </c>
      <c r="AL6252">
        <v>79.559193929746996</v>
      </c>
      <c r="AM6252">
        <v>97.156555603924303</v>
      </c>
      <c r="AN6252">
        <v>1.0000000039363</v>
      </c>
    </row>
    <row r="6253" spans="1:40" x14ac:dyDescent="0.25">
      <c r="A6253" t="str">
        <f>"20190312172533210"</f>
        <v>20190312172533210</v>
      </c>
      <c r="B6253" t="str">
        <f>"1552382733206345"</f>
        <v>1552382733206345</v>
      </c>
      <c r="C6253" t="s">
        <v>40</v>
      </c>
      <c r="D6253">
        <v>3.6117849999999998</v>
      </c>
      <c r="E6253">
        <v>0.47496189999999999</v>
      </c>
      <c r="F6253" t="s">
        <v>43</v>
      </c>
      <c r="G6253">
        <v>-268.40010000000001</v>
      </c>
      <c r="H6253" s="1">
        <v>-3.0413180000000001E-6</v>
      </c>
      <c r="I6253">
        <v>-62.042650000000002</v>
      </c>
      <c r="J6253">
        <v>-283.93770000000001</v>
      </c>
      <c r="K6253">
        <v>1.1126590000000001</v>
      </c>
      <c r="L6253">
        <v>-58.64658</v>
      </c>
      <c r="M6253">
        <v>0.91829570000000005</v>
      </c>
      <c r="N6253">
        <v>0</v>
      </c>
      <c r="O6253">
        <v>-0.3956576</v>
      </c>
      <c r="P6253">
        <v>0.94648849999999995</v>
      </c>
      <c r="Q6253">
        <v>0.1686078</v>
      </c>
      <c r="R6253">
        <v>-0.27519349999999998</v>
      </c>
      <c r="S6253">
        <v>3.0157780000000001</v>
      </c>
      <c r="T6253">
        <v>-0.21494089999999999</v>
      </c>
      <c r="U6253">
        <v>-0.66171259999999998</v>
      </c>
      <c r="V6253">
        <v>-0.12263590000000001</v>
      </c>
      <c r="W6253">
        <v>0.18144099999999999</v>
      </c>
      <c r="X6253">
        <v>0.97572519999999996</v>
      </c>
      <c r="Y6253">
        <v>-0.18833069999999999</v>
      </c>
      <c r="Z6253">
        <v>3.3576839999999997E-2</v>
      </c>
      <c r="AA6253">
        <v>0.9815315</v>
      </c>
      <c r="AB6253">
        <v>16</v>
      </c>
      <c r="AC6253">
        <v>15.5375999999999</v>
      </c>
      <c r="AD6253">
        <v>-1.112662041318</v>
      </c>
      <c r="AE6253">
        <v>-3.3960699999999902</v>
      </c>
      <c r="AF6253">
        <v>-3.0145040064679698</v>
      </c>
      <c r="AG6253">
        <v>-1.112662041318</v>
      </c>
      <c r="AH6253">
        <v>15.537216512955601</v>
      </c>
      <c r="AI6253">
        <v>94.021376528833699</v>
      </c>
      <c r="AJ6253">
        <v>100.980011045266</v>
      </c>
      <c r="AK6253">
        <v>15.8660123595585</v>
      </c>
      <c r="AL6253">
        <v>79.5462951149037</v>
      </c>
      <c r="AM6253">
        <v>97.163765462192998</v>
      </c>
      <c r="AN6253">
        <v>1.0000000331824199</v>
      </c>
    </row>
    <row r="6254" spans="1:40" x14ac:dyDescent="0.25">
      <c r="A6254" t="str">
        <f>"20190312172533221"</f>
        <v>20190312172533221</v>
      </c>
      <c r="B6254" t="str">
        <f>"1552382733217082"</f>
        <v>1552382733217082</v>
      </c>
      <c r="C6254" t="s">
        <v>40</v>
      </c>
      <c r="D6254">
        <v>3.565699</v>
      </c>
      <c r="E6254">
        <v>0.47248289999999998</v>
      </c>
      <c r="F6254" t="s">
        <v>43</v>
      </c>
      <c r="G6254">
        <v>-268.68450000000001</v>
      </c>
      <c r="H6254" s="1">
        <v>-3.103767E-6</v>
      </c>
      <c r="I6254">
        <v>-61.849029999999999</v>
      </c>
      <c r="J6254">
        <v>-283.85840000000002</v>
      </c>
      <c r="K6254">
        <v>1.1126320000000001</v>
      </c>
      <c r="L6254">
        <v>-58.677860000000003</v>
      </c>
      <c r="M6254">
        <v>0.91922409999999999</v>
      </c>
      <c r="N6254">
        <v>0</v>
      </c>
      <c r="O6254">
        <v>-0.39349889999999998</v>
      </c>
      <c r="P6254">
        <v>0.94709160000000003</v>
      </c>
      <c r="Q6254">
        <v>0.16887469999999999</v>
      </c>
      <c r="R6254">
        <v>-0.27294499999999999</v>
      </c>
      <c r="S6254">
        <v>3.0243229999999999</v>
      </c>
      <c r="T6254">
        <v>-0.22061310000000001</v>
      </c>
      <c r="U6254">
        <v>-0.63497919999999997</v>
      </c>
      <c r="V6254">
        <v>-0.122639</v>
      </c>
      <c r="W6254">
        <v>0.18160979999999999</v>
      </c>
      <c r="X6254">
        <v>0.97569329999999999</v>
      </c>
      <c r="Y6254">
        <v>-0.19481519999999999</v>
      </c>
      <c r="Z6254">
        <v>3.4501039999999997E-2</v>
      </c>
      <c r="AA6254">
        <v>0.98023300000000002</v>
      </c>
      <c r="AB6254">
        <v>16</v>
      </c>
      <c r="AC6254">
        <v>15.1739</v>
      </c>
      <c r="AD6254">
        <v>-1.1126351037669999</v>
      </c>
      <c r="AE6254">
        <v>-3.1711700000000098</v>
      </c>
      <c r="AF6254">
        <v>-3.04051715999561</v>
      </c>
      <c r="AG6254">
        <v>-1.1126351037669999</v>
      </c>
      <c r="AH6254">
        <v>15.119586765811199</v>
      </c>
      <c r="AI6254">
        <v>94.126435741505105</v>
      </c>
      <c r="AJ6254">
        <v>101.370405341119</v>
      </c>
      <c r="AK6254">
        <v>15.4623609272083</v>
      </c>
      <c r="AL6254">
        <v>79.536459097994296</v>
      </c>
      <c r="AM6254">
        <v>97.164176456346297</v>
      </c>
      <c r="AN6254">
        <v>0.99999992972096197</v>
      </c>
    </row>
    <row r="6255" spans="1:40" x14ac:dyDescent="0.25">
      <c r="A6255" t="str">
        <f>"20190312172533233"</f>
        <v>20190312172533233</v>
      </c>
      <c r="B6255" t="str">
        <f>"1552382733226842"</f>
        <v>1552382733226842</v>
      </c>
      <c r="C6255" t="s">
        <v>40</v>
      </c>
      <c r="D6255">
        <v>3.7249370000000002</v>
      </c>
      <c r="E6255">
        <v>0.47011029999999998</v>
      </c>
      <c r="F6255" t="s">
        <v>43</v>
      </c>
      <c r="G6255">
        <v>-268.36509999999998</v>
      </c>
      <c r="H6255" s="1">
        <v>-2.9680089999999998E-6</v>
      </c>
      <c r="I6255">
        <v>-61.789740000000002</v>
      </c>
      <c r="J6255">
        <v>-283.77710000000002</v>
      </c>
      <c r="K6255">
        <v>1.1125910000000001</v>
      </c>
      <c r="L6255">
        <v>-58.709560000000003</v>
      </c>
      <c r="M6255">
        <v>0.92016509999999996</v>
      </c>
      <c r="N6255">
        <v>0</v>
      </c>
      <c r="O6255">
        <v>-0.39129789999999998</v>
      </c>
      <c r="P6255">
        <v>0.94768339999999995</v>
      </c>
      <c r="Q6255">
        <v>0.16923460000000001</v>
      </c>
      <c r="R6255">
        <v>-0.27065860000000003</v>
      </c>
      <c r="S6255">
        <v>3.0309750000000002</v>
      </c>
      <c r="T6255">
        <v>-0.21766640000000001</v>
      </c>
      <c r="U6255">
        <v>-0.60879519999999998</v>
      </c>
      <c r="V6255">
        <v>-0.12262919999999999</v>
      </c>
      <c r="W6255">
        <v>0.18185219999999999</v>
      </c>
      <c r="X6255">
        <v>0.97564949999999995</v>
      </c>
      <c r="Y6255">
        <v>-0.20105239999999999</v>
      </c>
      <c r="Z6255">
        <v>3.4087550000000001E-2</v>
      </c>
      <c r="AA6255">
        <v>0.97898719999999995</v>
      </c>
      <c r="AB6255">
        <v>16</v>
      </c>
      <c r="AC6255">
        <v>15.412000000000001</v>
      </c>
      <c r="AD6255">
        <v>-1.11259396800899</v>
      </c>
      <c r="AE6255">
        <v>-3.0801799999999999</v>
      </c>
      <c r="AF6255">
        <v>-3.1807606488751201</v>
      </c>
      <c r="AG6255">
        <v>-1.11259396800899</v>
      </c>
      <c r="AH6255">
        <v>15.3115240927104</v>
      </c>
      <c r="AI6255">
        <v>94.069447720165897</v>
      </c>
      <c r="AJ6255">
        <v>101.735505092164</v>
      </c>
      <c r="AK6255">
        <v>15.6779422656397</v>
      </c>
      <c r="AL6255">
        <v>79.522336638925395</v>
      </c>
      <c r="AM6255">
        <v>97.163928175445093</v>
      </c>
      <c r="AN6255">
        <v>1.00000004509386</v>
      </c>
    </row>
    <row r="6256" spans="1:40" x14ac:dyDescent="0.25">
      <c r="A6256" t="str">
        <f>"20190312172533256"</f>
        <v>20190312172533256</v>
      </c>
      <c r="B6256" t="str">
        <f>"1552382733246362"</f>
        <v>1552382733246362</v>
      </c>
      <c r="C6256" t="s">
        <v>40</v>
      </c>
      <c r="D6256">
        <v>3.5518089999999898</v>
      </c>
      <c r="E6256">
        <v>0.46591320000000003</v>
      </c>
      <c r="F6256" t="s">
        <v>43</v>
      </c>
      <c r="G6256">
        <v>-267.89800000000002</v>
      </c>
      <c r="H6256" s="1">
        <v>-2.7595710000000001E-6</v>
      </c>
      <c r="I6256">
        <v>-61.759520000000002</v>
      </c>
      <c r="J6256">
        <v>-283.63</v>
      </c>
      <c r="K6256">
        <v>1.1125229999999999</v>
      </c>
      <c r="L6256">
        <v>-58.766539999999999</v>
      </c>
      <c r="M6256">
        <v>0.92184699999999997</v>
      </c>
      <c r="N6256">
        <v>0</v>
      </c>
      <c r="O6256">
        <v>-0.38732709999999998</v>
      </c>
      <c r="P6256">
        <v>0.9486774</v>
      </c>
      <c r="Q6256">
        <v>0.17008470000000001</v>
      </c>
      <c r="R6256">
        <v>-0.26661319999999999</v>
      </c>
      <c r="S6256">
        <v>3.0370180000000002</v>
      </c>
      <c r="T6256">
        <v>-0.21279310000000001</v>
      </c>
      <c r="U6256">
        <v>-0.58334350000000001</v>
      </c>
      <c r="V6256">
        <v>-0.1225179</v>
      </c>
      <c r="W6256">
        <v>0.18248139999999999</v>
      </c>
      <c r="X6256">
        <v>0.97554589999999997</v>
      </c>
      <c r="Y6256">
        <v>-0.20516580000000001</v>
      </c>
      <c r="Z6256">
        <v>3.3188759999999998E-2</v>
      </c>
      <c r="AA6256">
        <v>0.97816440000000004</v>
      </c>
      <c r="AB6256">
        <v>16</v>
      </c>
      <c r="AC6256">
        <v>15.731999999999999</v>
      </c>
      <c r="AD6256">
        <v>-1.1125257595710001</v>
      </c>
      <c r="AE6256">
        <v>-2.99297999999999</v>
      </c>
      <c r="AF6256">
        <v>-3.3186368575229501</v>
      </c>
      <c r="AG6256">
        <v>-1.1125257595710001</v>
      </c>
      <c r="AH6256">
        <v>15.5879049755622</v>
      </c>
      <c r="AI6256">
        <v>93.993146169987796</v>
      </c>
      <c r="AJ6256">
        <v>102.018726794974</v>
      </c>
      <c r="AK6256">
        <v>15.976039737212</v>
      </c>
      <c r="AL6256">
        <v>79.485671650366697</v>
      </c>
      <c r="AM6256">
        <v>97.158245776892699</v>
      </c>
      <c r="AN6256">
        <v>0.99999995008658804</v>
      </c>
    </row>
    <row r="6257" spans="1:40" x14ac:dyDescent="0.25">
      <c r="A6257" t="str">
        <f>"20190312172533268"</f>
        <v>20190312172533268</v>
      </c>
      <c r="B6257" t="str">
        <f>"1552382733257098"</f>
        <v>1552382733257098</v>
      </c>
      <c r="C6257" t="s">
        <v>40</v>
      </c>
      <c r="D6257">
        <v>3.5484749999999998</v>
      </c>
      <c r="E6257">
        <v>0.46449000000000001</v>
      </c>
      <c r="F6257" t="s">
        <v>54</v>
      </c>
      <c r="G6257">
        <v>-266.81119999999999</v>
      </c>
      <c r="H6257" s="1">
        <v>-2.2870260000000002E-6</v>
      </c>
      <c r="I6257">
        <v>-61.735860000000002</v>
      </c>
      <c r="J6257">
        <v>-283.54489999999998</v>
      </c>
      <c r="K6257">
        <v>1.1124909999999999</v>
      </c>
      <c r="L6257">
        <v>-58.799259999999997</v>
      </c>
      <c r="M6257">
        <v>0.92280499999999999</v>
      </c>
      <c r="N6257">
        <v>0</v>
      </c>
      <c r="O6257">
        <v>-0.38504379999999999</v>
      </c>
      <c r="P6257">
        <v>0.94934019999999997</v>
      </c>
      <c r="Q6257">
        <v>0.17027729999999999</v>
      </c>
      <c r="R6257">
        <v>-0.26411960000000001</v>
      </c>
      <c r="S6257">
        <v>3.0472410000000001</v>
      </c>
      <c r="T6257">
        <v>-0.20156789999999999</v>
      </c>
      <c r="U6257">
        <v>-0.53799439999999998</v>
      </c>
      <c r="V6257">
        <v>-0.1226464</v>
      </c>
      <c r="W6257">
        <v>0.18254000000000001</v>
      </c>
      <c r="X6257">
        <v>0.97551880000000002</v>
      </c>
      <c r="Y6257">
        <v>-0.2175339</v>
      </c>
      <c r="Z6257">
        <v>3.166588E-2</v>
      </c>
      <c r="AA6257">
        <v>0.97553900000000004</v>
      </c>
      <c r="AB6257">
        <v>16</v>
      </c>
      <c r="AC6257">
        <v>16.733699999999999</v>
      </c>
      <c r="AD6257">
        <v>-1.11249328702599</v>
      </c>
      <c r="AE6257">
        <v>-2.9365999999999901</v>
      </c>
      <c r="AF6257">
        <v>-3.7176789756430901</v>
      </c>
      <c r="AG6257">
        <v>-1.11249328702599</v>
      </c>
      <c r="AH6257">
        <v>16.503325286684099</v>
      </c>
      <c r="AI6257">
        <v>93.762485461797993</v>
      </c>
      <c r="AJ6257">
        <v>102.69502410448101</v>
      </c>
      <c r="AK6257">
        <v>16.953422185438701</v>
      </c>
      <c r="AL6257">
        <v>79.482256867015906</v>
      </c>
      <c r="AM6257">
        <v>97.165872525412894</v>
      </c>
      <c r="AN6257">
        <v>0.99999996009319903</v>
      </c>
    </row>
    <row r="6258" spans="1:40" x14ac:dyDescent="0.25">
      <c r="A6258" t="str">
        <f>"20190312172533280"</f>
        <v>20190312172533280</v>
      </c>
      <c r="B6258" t="str">
        <f>"1552382733276618"</f>
        <v>1552382733276618</v>
      </c>
      <c r="C6258" t="s">
        <v>40</v>
      </c>
      <c r="D6258">
        <v>3.502456</v>
      </c>
      <c r="E6258">
        <v>0.46250439999999998</v>
      </c>
      <c r="F6258" t="s">
        <v>43</v>
      </c>
      <c r="G6258">
        <v>-266.67849999999999</v>
      </c>
      <c r="H6258" s="1">
        <v>-2.211911E-6</v>
      </c>
      <c r="I6258">
        <v>-61.6674199999999</v>
      </c>
      <c r="J6258">
        <v>-283.46339999999998</v>
      </c>
      <c r="K6258">
        <v>1.1124510000000001</v>
      </c>
      <c r="L6258">
        <v>-58.830350000000003</v>
      </c>
      <c r="M6258">
        <v>0.92371309999999995</v>
      </c>
      <c r="N6258">
        <v>0</v>
      </c>
      <c r="O6258">
        <v>-0.38286530000000002</v>
      </c>
      <c r="P6258">
        <v>0.94988890000000004</v>
      </c>
      <c r="Q6258">
        <v>0.1703711</v>
      </c>
      <c r="R6258">
        <v>-0.26207819999999998</v>
      </c>
      <c r="S6258">
        <v>3.0518190000000001</v>
      </c>
      <c r="T6258">
        <v>-0.20129559999999999</v>
      </c>
      <c r="U6258">
        <v>-0.5189819</v>
      </c>
      <c r="V6258">
        <v>-0.1224267</v>
      </c>
      <c r="W6258">
        <v>0.18250630000000001</v>
      </c>
      <c r="X6258">
        <v>0.97555270000000005</v>
      </c>
      <c r="Y6258">
        <v>-0.22138089999999999</v>
      </c>
      <c r="Z6258">
        <v>3.1595110000000003E-2</v>
      </c>
      <c r="AA6258">
        <v>0.97467550000000003</v>
      </c>
      <c r="AB6258">
        <v>16</v>
      </c>
      <c r="AC6258">
        <v>16.784899999999901</v>
      </c>
      <c r="AD6258">
        <v>-1.112453211911</v>
      </c>
      <c r="AE6258">
        <v>-2.83706999999999</v>
      </c>
      <c r="AF6258">
        <v>-3.78985221391495</v>
      </c>
      <c r="AG6258">
        <v>-1.112453211911</v>
      </c>
      <c r="AH6258">
        <v>16.521486485393002</v>
      </c>
      <c r="AI6258">
        <v>93.754889864326898</v>
      </c>
      <c r="AJ6258">
        <v>102.919527532003</v>
      </c>
      <c r="AK6258">
        <v>16.987055296284598</v>
      </c>
      <c r="AL6258">
        <v>79.484220707087204</v>
      </c>
      <c r="AM6258">
        <v>97.152923185169698</v>
      </c>
      <c r="AN6258">
        <v>0.99999995844493395</v>
      </c>
    </row>
    <row r="6259" spans="1:40" x14ac:dyDescent="0.25">
      <c r="A6259" t="str">
        <f>"20190312172533291"</f>
        <v>20190312172533291</v>
      </c>
      <c r="B6259" t="str">
        <f>"1552382733286378"</f>
        <v>1552382733286378</v>
      </c>
      <c r="C6259" t="s">
        <v>40</v>
      </c>
      <c r="D6259">
        <v>3.509274</v>
      </c>
      <c r="E6259">
        <v>0.4616922</v>
      </c>
      <c r="F6259" t="s">
        <v>43</v>
      </c>
      <c r="G6259">
        <v>-266.47059999999999</v>
      </c>
      <c r="H6259" s="1">
        <v>-2.1029330000000001E-6</v>
      </c>
      <c r="I6259">
        <v>-61.5931199999999</v>
      </c>
      <c r="J6259">
        <v>-283.3965</v>
      </c>
      <c r="K6259">
        <v>1.1124210000000001</v>
      </c>
      <c r="L6259">
        <v>-58.855620000000002</v>
      </c>
      <c r="M6259">
        <v>0.92444680000000001</v>
      </c>
      <c r="N6259">
        <v>0</v>
      </c>
      <c r="O6259">
        <v>-0.38109389999999999</v>
      </c>
      <c r="P6259">
        <v>0.95048080000000001</v>
      </c>
      <c r="Q6259">
        <v>0.17031740000000001</v>
      </c>
      <c r="R6259">
        <v>-0.25995859999999998</v>
      </c>
      <c r="S6259">
        <v>3.0570369999999998</v>
      </c>
      <c r="T6259">
        <v>-0.20013239999999999</v>
      </c>
      <c r="U6259">
        <v>-0.49703979999999998</v>
      </c>
      <c r="V6259">
        <v>-0.1227309</v>
      </c>
      <c r="W6259">
        <v>0.18234359999999999</v>
      </c>
      <c r="X6259">
        <v>0.97554490000000005</v>
      </c>
      <c r="Y6259">
        <v>-0.22659969999999999</v>
      </c>
      <c r="Z6259">
        <v>3.1450159999999998E-2</v>
      </c>
      <c r="AA6259">
        <v>0.97348009999999996</v>
      </c>
      <c r="AB6259">
        <v>16</v>
      </c>
      <c r="AC6259">
        <v>16.925899999999999</v>
      </c>
      <c r="AD6259">
        <v>-1.1124231029329901</v>
      </c>
      <c r="AE6259">
        <v>-2.7374999999999901</v>
      </c>
      <c r="AF6259">
        <v>-3.9035768329179201</v>
      </c>
      <c r="AG6259">
        <v>-1.1124231029329901</v>
      </c>
      <c r="AH6259">
        <v>16.6217524552196</v>
      </c>
      <c r="AI6259">
        <v>93.727731665662603</v>
      </c>
      <c r="AJ6259">
        <v>103.216270008029</v>
      </c>
      <c r="AK6259">
        <v>17.1101739305312</v>
      </c>
      <c r="AL6259">
        <v>79.493701811745694</v>
      </c>
      <c r="AM6259">
        <v>97.170568387618403</v>
      </c>
      <c r="AN6259">
        <v>0.99999995709588896</v>
      </c>
    </row>
    <row r="6260" spans="1:40" x14ac:dyDescent="0.25">
      <c r="A6260" t="str">
        <f>"20190312172533301"</f>
        <v>20190312172533301</v>
      </c>
      <c r="B6260" t="str">
        <f>"1552382733297114"</f>
        <v>1552382733297114</v>
      </c>
      <c r="C6260" t="s">
        <v>40</v>
      </c>
      <c r="D6260">
        <v>3.552505</v>
      </c>
      <c r="E6260">
        <v>0.46112389999999998</v>
      </c>
      <c r="F6260" t="s">
        <v>54</v>
      </c>
      <c r="G6260">
        <v>-266.37650000000002</v>
      </c>
      <c r="H6260" s="1">
        <v>-2.0498100000000001E-6</v>
      </c>
      <c r="I6260">
        <v>-61.545219999999901</v>
      </c>
      <c r="J6260">
        <v>-283.31900000000002</v>
      </c>
      <c r="K6260">
        <v>1.112387</v>
      </c>
      <c r="L6260">
        <v>-58.884950000000003</v>
      </c>
      <c r="M6260">
        <v>0.92529309999999998</v>
      </c>
      <c r="N6260">
        <v>0</v>
      </c>
      <c r="O6260">
        <v>-0.3790384</v>
      </c>
      <c r="P6260">
        <v>0.95105660000000003</v>
      </c>
      <c r="Q6260">
        <v>0.1703693</v>
      </c>
      <c r="R6260">
        <v>-0.25780950000000002</v>
      </c>
      <c r="S6260">
        <v>3.0598749999999999</v>
      </c>
      <c r="T6260">
        <v>-0.19999220000000001</v>
      </c>
      <c r="U6260">
        <v>-0.48355100000000001</v>
      </c>
      <c r="V6260">
        <v>-0.122758199999999</v>
      </c>
      <c r="W6260">
        <v>0.1822695</v>
      </c>
      <c r="X6260">
        <v>0.97555539999999996</v>
      </c>
      <c r="Y6260">
        <v>-0.2287633</v>
      </c>
      <c r="Z6260">
        <v>3.1362340000000002E-2</v>
      </c>
      <c r="AA6260">
        <v>0.97297670000000003</v>
      </c>
      <c r="AB6260">
        <v>16</v>
      </c>
      <c r="AC6260">
        <v>16.9424999999999</v>
      </c>
      <c r="AD6260">
        <v>-1.11238904981</v>
      </c>
      <c r="AE6260">
        <v>-2.6602699999999899</v>
      </c>
      <c r="AF6260">
        <v>-3.9440575990218698</v>
      </c>
      <c r="AG6260">
        <v>-1.11238904981</v>
      </c>
      <c r="AH6260">
        <v>16.6165719714467</v>
      </c>
      <c r="AI6260">
        <v>93.726690682451903</v>
      </c>
      <c r="AJ6260">
        <v>103.35245560440499</v>
      </c>
      <c r="AK6260">
        <v>17.114422684531501</v>
      </c>
      <c r="AL6260">
        <v>79.498020696864998</v>
      </c>
      <c r="AM6260">
        <v>97.172070394977595</v>
      </c>
      <c r="AN6260">
        <v>1.00000004238332</v>
      </c>
    </row>
    <row r="6261" spans="1:40" x14ac:dyDescent="0.25">
      <c r="A6261" t="str">
        <f>"20190312172533312"</f>
        <v>20190312172533312</v>
      </c>
      <c r="B6261" t="str">
        <f>"1552382733306874"</f>
        <v>1552382733306874</v>
      </c>
      <c r="C6261" t="s">
        <v>40</v>
      </c>
      <c r="D6261">
        <v>3.5344389999999999</v>
      </c>
      <c r="E6261">
        <v>0.46057670000000001</v>
      </c>
      <c r="F6261" t="s">
        <v>43</v>
      </c>
      <c r="G6261">
        <v>-266.2414</v>
      </c>
      <c r="H6261" s="1">
        <v>-1.9847330000000001E-6</v>
      </c>
      <c r="I6261">
        <v>-61.518360000000001</v>
      </c>
      <c r="J6261">
        <v>-283.2475</v>
      </c>
      <c r="K6261">
        <v>1.112357</v>
      </c>
      <c r="L6261">
        <v>-58.911650000000002</v>
      </c>
      <c r="M6261">
        <v>0.92605990000000005</v>
      </c>
      <c r="N6261">
        <v>0</v>
      </c>
      <c r="O6261">
        <v>-0.3771659</v>
      </c>
      <c r="P6261">
        <v>0.95159669999999996</v>
      </c>
      <c r="Q6261">
        <v>0.17038610000000001</v>
      </c>
      <c r="R6261">
        <v>-0.25579819999999998</v>
      </c>
      <c r="S6261">
        <v>3.062103</v>
      </c>
      <c r="T6261">
        <v>-0.19945779999999999</v>
      </c>
      <c r="U6261">
        <v>-0.47219850000000002</v>
      </c>
      <c r="V6261">
        <v>-0.12284109999999999</v>
      </c>
      <c r="W6261">
        <v>0.18216399999999999</v>
      </c>
      <c r="X6261">
        <v>0.9755646</v>
      </c>
      <c r="Y6261">
        <v>-0.23043130000000001</v>
      </c>
      <c r="Z6261">
        <v>3.121121E-2</v>
      </c>
      <c r="AA6261">
        <v>0.97258789999999995</v>
      </c>
      <c r="AB6261">
        <v>16</v>
      </c>
      <c r="AC6261">
        <v>17.0061</v>
      </c>
      <c r="AD6261">
        <v>-1.112358984733</v>
      </c>
      <c r="AE6261">
        <v>-2.6067099999999899</v>
      </c>
      <c r="AF6261">
        <v>-3.9838162911282402</v>
      </c>
      <c r="AG6261">
        <v>-1.112358984733</v>
      </c>
      <c r="AH6261">
        <v>16.663502869153302</v>
      </c>
      <c r="AI6261">
        <v>93.714689734722796</v>
      </c>
      <c r="AJ6261">
        <v>103.445575972524</v>
      </c>
      <c r="AK6261">
        <v>17.169171867700999</v>
      </c>
      <c r="AL6261">
        <v>79.504167594076094</v>
      </c>
      <c r="AM6261">
        <v>97.1767963135527</v>
      </c>
      <c r="AN6261">
        <v>0.99999997375918404</v>
      </c>
    </row>
    <row r="6262" spans="1:40" x14ac:dyDescent="0.25">
      <c r="A6262" t="str">
        <f>"20190312172533322"</f>
        <v>20190312172533322</v>
      </c>
      <c r="B6262" t="str">
        <f>"1552382733316634"</f>
        <v>1552382733316634</v>
      </c>
      <c r="C6262" t="s">
        <v>40</v>
      </c>
      <c r="D6262">
        <v>3.4727899999999998</v>
      </c>
      <c r="E6262">
        <v>0.46023750000000002</v>
      </c>
      <c r="F6262" t="s">
        <v>43</v>
      </c>
      <c r="G6262">
        <v>-266.11680000000001</v>
      </c>
      <c r="H6262" s="1">
        <v>-1.9238370000000001E-6</v>
      </c>
      <c r="I6262">
        <v>-61.490369999999999</v>
      </c>
      <c r="J6262">
        <v>-283.18290000000002</v>
      </c>
      <c r="K6262">
        <v>1.11232999999999</v>
      </c>
      <c r="L6262">
        <v>-58.9358199999999</v>
      </c>
      <c r="M6262">
        <v>0.92675030000000003</v>
      </c>
      <c r="N6262">
        <v>0</v>
      </c>
      <c r="O6262">
        <v>-0.37547029999999998</v>
      </c>
      <c r="P6262">
        <v>0.95208700000000002</v>
      </c>
      <c r="Q6262">
        <v>0.17020299999999999</v>
      </c>
      <c r="R6262">
        <v>-0.25408910000000001</v>
      </c>
      <c r="S6262">
        <v>3.064209</v>
      </c>
      <c r="T6262">
        <v>-0.19897020000000001</v>
      </c>
      <c r="U6262">
        <v>-0.46127319999999999</v>
      </c>
      <c r="V6262">
        <v>-0.12281350000000001</v>
      </c>
      <c r="W6262">
        <v>0.18187</v>
      </c>
      <c r="X6262">
        <v>0.97562300000000002</v>
      </c>
      <c r="Y6262">
        <v>-0.23214560000000001</v>
      </c>
      <c r="Z6262">
        <v>3.108023E-2</v>
      </c>
      <c r="AA6262">
        <v>0.97218439999999995</v>
      </c>
      <c r="AB6262">
        <v>16</v>
      </c>
      <c r="AC6262">
        <v>17.066099999999999</v>
      </c>
      <c r="AD6262">
        <v>-1.11233192383699</v>
      </c>
      <c r="AE6262">
        <v>-2.5545499999999999</v>
      </c>
      <c r="AF6262">
        <v>-4.02397890436173</v>
      </c>
      <c r="AG6262">
        <v>-1.11233192383699</v>
      </c>
      <c r="AH6262">
        <v>16.7070602441948</v>
      </c>
      <c r="AI6262">
        <v>93.703449788414403</v>
      </c>
      <c r="AJ6262">
        <v>103.542043858246</v>
      </c>
      <c r="AK6262">
        <v>17.220788325006801</v>
      </c>
      <c r="AL6262">
        <v>79.5212994819546</v>
      </c>
      <c r="AM6262">
        <v>97.174775609625996</v>
      </c>
      <c r="AN6262">
        <v>1.0000000454056199</v>
      </c>
    </row>
    <row r="6263" spans="1:40" x14ac:dyDescent="0.25">
      <c r="A6263" t="str">
        <f>"20190312172533333"</f>
        <v>20190312172533333</v>
      </c>
      <c r="B6263" t="str">
        <f>"1552382733326394"</f>
        <v>1552382733326394</v>
      </c>
      <c r="C6263" t="s">
        <v>40</v>
      </c>
      <c r="D6263">
        <v>3.5750700000000002</v>
      </c>
      <c r="E6263">
        <v>0.45992369999999999</v>
      </c>
      <c r="F6263" t="s">
        <v>43</v>
      </c>
      <c r="G6263">
        <v>-266.23849999999999</v>
      </c>
      <c r="H6263" s="1">
        <v>-1.9622480000000001E-6</v>
      </c>
      <c r="I6263">
        <v>-61.438540000000003</v>
      </c>
      <c r="J6263">
        <v>-283.1062</v>
      </c>
      <c r="K6263">
        <v>1.112304</v>
      </c>
      <c r="L6263">
        <v>-58.964199999999998</v>
      </c>
      <c r="M6263">
        <v>0.92755710000000002</v>
      </c>
      <c r="N6263">
        <v>0</v>
      </c>
      <c r="O6263">
        <v>-0.37347730000000001</v>
      </c>
      <c r="P6263">
        <v>0.95264329999999997</v>
      </c>
      <c r="Q6263">
        <v>0.169994799999999</v>
      </c>
      <c r="R6263">
        <v>-0.25213570000000002</v>
      </c>
      <c r="S6263">
        <v>3.0661010000000002</v>
      </c>
      <c r="T6263">
        <v>-0.2012775</v>
      </c>
      <c r="U6263">
        <v>-0.45288089999999998</v>
      </c>
      <c r="V6263">
        <v>-0.12272710000000001</v>
      </c>
      <c r="W6263">
        <v>0.18152209999999999</v>
      </c>
      <c r="X6263">
        <v>0.97569859999999997</v>
      </c>
      <c r="Y6263">
        <v>-0.23272119999999999</v>
      </c>
      <c r="Z6263">
        <v>3.1328349999999998E-2</v>
      </c>
      <c r="AA6263">
        <v>0.97203870000000003</v>
      </c>
      <c r="AB6263">
        <v>16</v>
      </c>
      <c r="AC6263">
        <v>16.867699999999999</v>
      </c>
      <c r="AD6263">
        <v>-1.112305962248</v>
      </c>
      <c r="AE6263">
        <v>-2.4743400000000002</v>
      </c>
      <c r="AF6263">
        <v>-3.98794071435068</v>
      </c>
      <c r="AG6263">
        <v>-1.112305962248</v>
      </c>
      <c r="AH6263">
        <v>16.5008864124121</v>
      </c>
      <c r="AI6263">
        <v>93.748801337344702</v>
      </c>
      <c r="AJ6263">
        <v>103.586734273959</v>
      </c>
      <c r="AK6263">
        <v>17.0123528087727</v>
      </c>
      <c r="AL6263">
        <v>79.541569463613001</v>
      </c>
      <c r="AM6263">
        <v>97.169230905063998</v>
      </c>
      <c r="AN6263">
        <v>0.99999998595238904</v>
      </c>
    </row>
    <row r="6264" spans="1:40" x14ac:dyDescent="0.25">
      <c r="A6264" t="str">
        <f>"20190312172533343"</f>
        <v>20190312172533343</v>
      </c>
      <c r="B6264" t="str">
        <f>"1552382733337131"</f>
        <v>1552382733337131</v>
      </c>
      <c r="C6264" t="s">
        <v>40</v>
      </c>
      <c r="D6264">
        <v>3.5723289999999999</v>
      </c>
      <c r="E6264">
        <v>0.45974579999999998</v>
      </c>
      <c r="F6264" t="s">
        <v>43</v>
      </c>
      <c r="G6264">
        <v>-266.16300000000001</v>
      </c>
      <c r="H6264" s="1">
        <v>-1.9237089999999999E-6</v>
      </c>
      <c r="I6264">
        <v>-61.4154699999999</v>
      </c>
      <c r="J6264">
        <v>-283.03179999999998</v>
      </c>
      <c r="K6264">
        <v>1.112276</v>
      </c>
      <c r="L6264">
        <v>-58.991639999999997</v>
      </c>
      <c r="M6264">
        <v>0.92833500000000002</v>
      </c>
      <c r="N6264">
        <v>0</v>
      </c>
      <c r="O6264">
        <v>-0.37154480000000001</v>
      </c>
      <c r="P6264">
        <v>0.95311140000000005</v>
      </c>
      <c r="Q6264">
        <v>0.17013800000000001</v>
      </c>
      <c r="R6264">
        <v>-0.25026399999999999</v>
      </c>
      <c r="S6264">
        <v>3.067596</v>
      </c>
      <c r="T6264">
        <v>-0.20138439999999999</v>
      </c>
      <c r="U6264">
        <v>-0.44381710000000002</v>
      </c>
      <c r="V6264">
        <v>-0.1225991</v>
      </c>
      <c r="W6264">
        <v>0.1815263</v>
      </c>
      <c r="X6264">
        <v>0.97571390000000002</v>
      </c>
      <c r="Y6264">
        <v>-0.2335768</v>
      </c>
      <c r="Z6264">
        <v>3.1250670000000001E-2</v>
      </c>
      <c r="AA6264">
        <v>0.97183600000000003</v>
      </c>
      <c r="AB6264">
        <v>16</v>
      </c>
      <c r="AC6264">
        <v>16.868799999999901</v>
      </c>
      <c r="AD6264">
        <v>-1.1122779237089999</v>
      </c>
      <c r="AE6264">
        <v>-2.4238299999999802</v>
      </c>
      <c r="AF6264">
        <v>-4.0006454924101398</v>
      </c>
      <c r="AG6264">
        <v>-1.1122779237089999</v>
      </c>
      <c r="AH6264">
        <v>16.491440120347299</v>
      </c>
      <c r="AI6264">
        <v>93.750070856726296</v>
      </c>
      <c r="AJ6264">
        <v>103.63592201874999</v>
      </c>
      <c r="AK6264">
        <v>17.006173107977901</v>
      </c>
      <c r="AL6264">
        <v>79.541324648320995</v>
      </c>
      <c r="AM6264">
        <v>97.161720196727103</v>
      </c>
      <c r="AN6264">
        <v>0.99999997578285404</v>
      </c>
    </row>
    <row r="6265" spans="1:40" x14ac:dyDescent="0.25">
      <c r="A6265" t="str">
        <f>"20190312172533355"</f>
        <v>20190312172533355</v>
      </c>
      <c r="B6265" t="str">
        <f>"1552382733346890"</f>
        <v>1552382733346890</v>
      </c>
      <c r="C6265" t="s">
        <v>40</v>
      </c>
      <c r="D6265">
        <v>3.5104419999999998</v>
      </c>
      <c r="E6265">
        <v>0.45960469999999998</v>
      </c>
      <c r="F6265" t="s">
        <v>43</v>
      </c>
      <c r="G6265">
        <v>-266.01900000000001</v>
      </c>
      <c r="H6265" s="1">
        <v>-1.8600420000000001E-6</v>
      </c>
      <c r="I6265">
        <v>-61.408259999999999</v>
      </c>
      <c r="J6265">
        <v>-282.9545</v>
      </c>
      <c r="K6265">
        <v>1.1122529999999999</v>
      </c>
      <c r="L6265">
        <v>-59.019930000000002</v>
      </c>
      <c r="M6265">
        <v>0.92913349999999995</v>
      </c>
      <c r="N6265">
        <v>0</v>
      </c>
      <c r="O6265">
        <v>-0.36954799999999999</v>
      </c>
      <c r="P6265">
        <v>0.95363070000000005</v>
      </c>
      <c r="Q6265">
        <v>0.1700285</v>
      </c>
      <c r="R6265">
        <v>-0.24835270000000001</v>
      </c>
      <c r="S6265">
        <v>3.0689090000000001</v>
      </c>
      <c r="T6265">
        <v>-0.2006423</v>
      </c>
      <c r="U6265">
        <v>-0.43594359999999999</v>
      </c>
      <c r="V6265">
        <v>-0.1224618</v>
      </c>
      <c r="W6265">
        <v>0.18126419999999999</v>
      </c>
      <c r="X6265">
        <v>0.97577990000000003</v>
      </c>
      <c r="Y6265">
        <v>-0.2340004</v>
      </c>
      <c r="Z6265">
        <v>3.1024220000000002E-2</v>
      </c>
      <c r="AA6265">
        <v>0.97174139999999998</v>
      </c>
      <c r="AB6265">
        <v>16</v>
      </c>
      <c r="AC6265">
        <v>16.935499999999902</v>
      </c>
      <c r="AD6265">
        <v>-1.1122548600419999</v>
      </c>
      <c r="AE6265">
        <v>-2.3883299999999901</v>
      </c>
      <c r="AF6265">
        <v>-4.0226832603330003</v>
      </c>
      <c r="AG6265">
        <v>-1.1122548600419999</v>
      </c>
      <c r="AH6265">
        <v>16.5491596786472</v>
      </c>
      <c r="AI6265">
        <v>93.736536467571796</v>
      </c>
      <c r="AJ6265">
        <v>103.662193453725</v>
      </c>
      <c r="AK6265">
        <v>17.067330709751101</v>
      </c>
      <c r="AL6265">
        <v>79.556595546699995</v>
      </c>
      <c r="AM6265">
        <v>97.1533039978723</v>
      </c>
      <c r="AN6265">
        <v>1.00000000795244</v>
      </c>
    </row>
    <row r="6266" spans="1:40" x14ac:dyDescent="0.25">
      <c r="A6266" t="str">
        <f>"20190312172533366"</f>
        <v>20190312172533366</v>
      </c>
      <c r="B6266" t="str">
        <f>"1552382733356650"</f>
        <v>1552382733356650</v>
      </c>
      <c r="C6266" t="s">
        <v>40</v>
      </c>
      <c r="D6266">
        <v>3.5843370000000001</v>
      </c>
      <c r="E6266">
        <v>0.45955020000000002</v>
      </c>
      <c r="F6266" t="s">
        <v>43</v>
      </c>
      <c r="G6266">
        <v>-265.96199999999999</v>
      </c>
      <c r="H6266" s="1">
        <v>-1.8311210000000001E-6</v>
      </c>
      <c r="I6266">
        <v>-61.391530000000003</v>
      </c>
      <c r="J6266">
        <v>-282.87880000000001</v>
      </c>
      <c r="K6266">
        <v>1.1122320000000001</v>
      </c>
      <c r="L6266">
        <v>-59.047490000000003</v>
      </c>
      <c r="M6266">
        <v>0.92990919999999999</v>
      </c>
      <c r="N6266">
        <v>0</v>
      </c>
      <c r="O6266">
        <v>-0.36759740000000002</v>
      </c>
      <c r="P6266">
        <v>0.95404909999999998</v>
      </c>
      <c r="Q6266">
        <v>0.17026830000000001</v>
      </c>
      <c r="R6266">
        <v>-0.24657499999999999</v>
      </c>
      <c r="S6266">
        <v>3.0700989999999999</v>
      </c>
      <c r="T6266">
        <v>-0.20095540000000001</v>
      </c>
      <c r="U6266">
        <v>-0.42849730000000003</v>
      </c>
      <c r="V6266">
        <v>-0.12221650000000001</v>
      </c>
      <c r="W6266">
        <v>0.1813467</v>
      </c>
      <c r="X6266">
        <v>0.97579530000000003</v>
      </c>
      <c r="Y6266">
        <v>-0.2343228</v>
      </c>
      <c r="Z6266">
        <v>3.096086E-2</v>
      </c>
      <c r="AA6266">
        <v>0.97166569999999997</v>
      </c>
      <c r="AB6266">
        <v>16</v>
      </c>
      <c r="AC6266">
        <v>16.916799999999999</v>
      </c>
      <c r="AD6266">
        <v>-1.1122338311209901</v>
      </c>
      <c r="AE6266">
        <v>-2.3440400000000001</v>
      </c>
      <c r="AF6266">
        <v>-4.02205352799308</v>
      </c>
      <c r="AG6266">
        <v>-1.1122338311209901</v>
      </c>
      <c r="AH6266">
        <v>16.523838980004399</v>
      </c>
      <c r="AI6266">
        <v>93.741888895693506</v>
      </c>
      <c r="AJ6266">
        <v>103.680281297359</v>
      </c>
      <c r="AK6266">
        <v>17.042629882569301</v>
      </c>
      <c r="AL6266">
        <v>79.551788721204204</v>
      </c>
      <c r="AM6266">
        <v>97.139011887746193</v>
      </c>
      <c r="AN6266">
        <v>0.99999998298761394</v>
      </c>
    </row>
    <row r="6267" spans="1:40" x14ac:dyDescent="0.25">
      <c r="A6267" t="str">
        <f>"20190312172533377"</f>
        <v>20190312172533377</v>
      </c>
      <c r="B6267" t="str">
        <f>"1552382733366410"</f>
        <v>1552382733366410</v>
      </c>
      <c r="C6267" t="s">
        <v>40</v>
      </c>
      <c r="D6267">
        <v>3.564273</v>
      </c>
      <c r="E6267">
        <v>0.45941900000000002</v>
      </c>
      <c r="F6267" t="s">
        <v>43</v>
      </c>
      <c r="G6267">
        <v>-265.82639999999998</v>
      </c>
      <c r="H6267" s="1">
        <v>-1.772838E-6</v>
      </c>
      <c r="I6267">
        <v>-61.3910699999999</v>
      </c>
      <c r="J6267">
        <v>-282.80739999999997</v>
      </c>
      <c r="K6267">
        <v>1.1122129999999999</v>
      </c>
      <c r="L6267">
        <v>-59.073300000000003</v>
      </c>
      <c r="M6267">
        <v>0.93063390000000001</v>
      </c>
      <c r="N6267">
        <v>0</v>
      </c>
      <c r="O6267">
        <v>-0.36576379999999997</v>
      </c>
      <c r="P6267">
        <v>0.95443460000000002</v>
      </c>
      <c r="Q6267">
        <v>0.1706532</v>
      </c>
      <c r="R6267">
        <v>-0.24481130000000001</v>
      </c>
      <c r="S6267">
        <v>3.0711059999999999</v>
      </c>
      <c r="T6267">
        <v>-0.20031189999999999</v>
      </c>
      <c r="U6267">
        <v>-0.42208859999999898</v>
      </c>
      <c r="V6267">
        <v>-0.1220726</v>
      </c>
      <c r="W6267">
        <v>0.1815756</v>
      </c>
      <c r="X6267">
        <v>0.97577080000000005</v>
      </c>
      <c r="Y6267">
        <v>-0.23445079999999999</v>
      </c>
      <c r="Z6267">
        <v>3.075195E-2</v>
      </c>
      <c r="AA6267">
        <v>0.97164150000000005</v>
      </c>
      <c r="AB6267">
        <v>16</v>
      </c>
      <c r="AC6267">
        <v>16.980999999999899</v>
      </c>
      <c r="AD6267">
        <v>-1.1122147728380001</v>
      </c>
      <c r="AE6267">
        <v>-2.3177699999999799</v>
      </c>
      <c r="AF6267">
        <v>-4.0373152125643399</v>
      </c>
      <c r="AG6267">
        <v>-1.1122147728380001</v>
      </c>
      <c r="AH6267">
        <v>16.5821591779867</v>
      </c>
      <c r="AI6267">
        <v>93.728647050627998</v>
      </c>
      <c r="AJ6267">
        <v>103.683758586454</v>
      </c>
      <c r="AK6267">
        <v>17.102775763910699</v>
      </c>
      <c r="AL6267">
        <v>79.538452869915503</v>
      </c>
      <c r="AM6267">
        <v>97.130870055033</v>
      </c>
      <c r="AN6267">
        <v>1.0000000361593699</v>
      </c>
    </row>
    <row r="6268" spans="1:40" x14ac:dyDescent="0.25">
      <c r="A6268" t="str">
        <f>"20190312172533388"</f>
        <v>20190312172533388</v>
      </c>
      <c r="B6268" t="str">
        <f>"1552382733376170"</f>
        <v>1552382733376170</v>
      </c>
      <c r="C6268" t="s">
        <v>40</v>
      </c>
      <c r="D6268">
        <v>3.439489</v>
      </c>
      <c r="E6268">
        <v>0.45937119999999998</v>
      </c>
      <c r="F6268" t="s">
        <v>54</v>
      </c>
      <c r="G6268">
        <v>-265.58659999999998</v>
      </c>
      <c r="H6268" s="1">
        <v>-1.6726990000000001E-6</v>
      </c>
      <c r="I6268">
        <v>-61.401420000000002</v>
      </c>
      <c r="J6268">
        <v>-282.72550000000001</v>
      </c>
      <c r="K6268">
        <v>1.11219</v>
      </c>
      <c r="L6268">
        <v>-59.10275</v>
      </c>
      <c r="M6268">
        <v>0.93145960000000005</v>
      </c>
      <c r="N6268">
        <v>0</v>
      </c>
      <c r="O6268">
        <v>-0.36366199999999999</v>
      </c>
      <c r="P6268">
        <v>0.95482149999999999</v>
      </c>
      <c r="Q6268">
        <v>0.1712185</v>
      </c>
      <c r="R6268">
        <v>-0.24290010000000001</v>
      </c>
      <c r="S6268">
        <v>3.072174</v>
      </c>
      <c r="T6268">
        <v>-0.19841780000000001</v>
      </c>
      <c r="U6268">
        <v>-0.4153442</v>
      </c>
      <c r="V6268">
        <v>-0.1217891</v>
      </c>
      <c r="W6268">
        <v>0.18195020000000001</v>
      </c>
      <c r="X6268">
        <v>0.97573639999999995</v>
      </c>
      <c r="Y6268">
        <v>-0.2344224</v>
      </c>
      <c r="Z6268">
        <v>3.033133E-2</v>
      </c>
      <c r="AA6268">
        <v>0.97166149999999996</v>
      </c>
      <c r="AB6268">
        <v>16</v>
      </c>
      <c r="AC6268">
        <v>17.1389</v>
      </c>
      <c r="AD6268">
        <v>-1.112191672699</v>
      </c>
      <c r="AE6268">
        <v>-2.2986699999999902</v>
      </c>
      <c r="AF6268">
        <v>-4.07506327655652</v>
      </c>
      <c r="AG6268">
        <v>-1.112191672699</v>
      </c>
      <c r="AH6268">
        <v>16.732034012956198</v>
      </c>
      <c r="AI6268">
        <v>93.695200976325097</v>
      </c>
      <c r="AJ6268">
        <v>103.687823693667</v>
      </c>
      <c r="AK6268">
        <v>17.257000702192801</v>
      </c>
      <c r="AL6268">
        <v>79.516625816450201</v>
      </c>
      <c r="AM6268">
        <v>97.114727554733506</v>
      </c>
      <c r="AN6268">
        <v>0.99999999122190497</v>
      </c>
    </row>
    <row r="6269" spans="1:40" x14ac:dyDescent="0.25">
      <c r="A6269" t="str">
        <f>"20190312172533399"</f>
        <v>20190312172533399</v>
      </c>
      <c r="B6269" t="str">
        <f>"1552382733386906"</f>
        <v>1552382733386906</v>
      </c>
      <c r="C6269" t="s">
        <v>40</v>
      </c>
      <c r="D6269">
        <v>3.5381990000000001</v>
      </c>
      <c r="E6269">
        <v>0.45930330000000003</v>
      </c>
      <c r="F6269" t="s">
        <v>43</v>
      </c>
      <c r="G6269">
        <v>-265.44900000000001</v>
      </c>
      <c r="H6269" s="1">
        <v>-1.6133359999999901E-6</v>
      </c>
      <c r="I6269">
        <v>-61.400199999999998</v>
      </c>
      <c r="J6269">
        <v>-282.65019999999998</v>
      </c>
      <c r="K6269">
        <v>1.1121650000000001</v>
      </c>
      <c r="L6269">
        <v>-59.129669999999997</v>
      </c>
      <c r="M6269">
        <v>0.93221259999999995</v>
      </c>
      <c r="N6269">
        <v>0</v>
      </c>
      <c r="O6269">
        <v>-0.36173280000000002</v>
      </c>
      <c r="P6269">
        <v>0.95515439999999996</v>
      </c>
      <c r="Q6269">
        <v>0.17176649999999999</v>
      </c>
      <c r="R6269">
        <v>-0.24119740000000001</v>
      </c>
      <c r="S6269">
        <v>3.0734560000000002</v>
      </c>
      <c r="T6269">
        <v>-0.19785649999999999</v>
      </c>
      <c r="U6269">
        <v>-0.40872190000000003</v>
      </c>
      <c r="V6269">
        <v>-0.1214754</v>
      </c>
      <c r="W6269">
        <v>0.18231729999999999</v>
      </c>
      <c r="X6269">
        <v>0.97570699999999999</v>
      </c>
      <c r="Y6269">
        <v>-0.2345304</v>
      </c>
      <c r="Z6269">
        <v>3.012797E-2</v>
      </c>
      <c r="AA6269">
        <v>0.9716418</v>
      </c>
      <c r="AB6269">
        <v>16</v>
      </c>
      <c r="AC6269">
        <v>17.201199999999901</v>
      </c>
      <c r="AD6269">
        <v>-1.112166613336</v>
      </c>
      <c r="AE6269">
        <v>-2.2705299999999999</v>
      </c>
      <c r="AF6269">
        <v>-4.0890850626789099</v>
      </c>
      <c r="AG6269">
        <v>-1.112166613336</v>
      </c>
      <c r="AH6269">
        <v>16.788606431473301</v>
      </c>
      <c r="AI6269">
        <v>93.682688610771805</v>
      </c>
      <c r="AJ6269">
        <v>103.688608664523</v>
      </c>
      <c r="AK6269">
        <v>17.315162059205498</v>
      </c>
      <c r="AL6269">
        <v>79.495234945685198</v>
      </c>
      <c r="AM6269">
        <v>97.096800436398794</v>
      </c>
      <c r="AN6269">
        <v>1.0000000102667199</v>
      </c>
    </row>
    <row r="6270" spans="1:40" x14ac:dyDescent="0.25">
      <c r="A6270" t="str">
        <f>"20190312172533412"</f>
        <v>20190312172533412</v>
      </c>
      <c r="B6270" t="str">
        <f>"1552382733406426"</f>
        <v>1552382733406426</v>
      </c>
      <c r="C6270" t="s">
        <v>40</v>
      </c>
      <c r="D6270">
        <v>3.5319349999999998</v>
      </c>
      <c r="E6270">
        <v>0.45928360000000001</v>
      </c>
      <c r="F6270" t="s">
        <v>54</v>
      </c>
      <c r="G6270">
        <v>-265.24900000000002</v>
      </c>
      <c r="H6270" s="1">
        <v>-1.5297590000000001E-6</v>
      </c>
      <c r="I6270">
        <v>-61.408540000000002</v>
      </c>
      <c r="J6270">
        <v>-282.56740000000002</v>
      </c>
      <c r="K6270">
        <v>1.112141</v>
      </c>
      <c r="L6270">
        <v>-59.158999999999999</v>
      </c>
      <c r="M6270">
        <v>0.93303429999999998</v>
      </c>
      <c r="N6270">
        <v>0</v>
      </c>
      <c r="O6270">
        <v>-0.35961569999999998</v>
      </c>
      <c r="P6270">
        <v>0.95551240000000004</v>
      </c>
      <c r="Q6270">
        <v>0.1725052</v>
      </c>
      <c r="R6270">
        <v>-0.2392456</v>
      </c>
      <c r="S6270">
        <v>3.0744929999999999</v>
      </c>
      <c r="T6270">
        <v>-0.1965007</v>
      </c>
      <c r="U6270">
        <v>-0.40264889999999998</v>
      </c>
      <c r="V6270">
        <v>-0.12121079999999999</v>
      </c>
      <c r="W6270">
        <v>0.182841</v>
      </c>
      <c r="X6270">
        <v>0.97564189999999995</v>
      </c>
      <c r="Y6270">
        <v>-0.23427310000000001</v>
      </c>
      <c r="Z6270">
        <v>2.978387E-2</v>
      </c>
      <c r="AA6270">
        <v>0.97171450000000004</v>
      </c>
      <c r="AB6270">
        <v>16</v>
      </c>
      <c r="AC6270">
        <v>17.318399999999901</v>
      </c>
      <c r="AD6270">
        <v>-1.112142529759</v>
      </c>
      <c r="AE6270">
        <v>-2.2495400000000001</v>
      </c>
      <c r="AF6270">
        <v>-4.1126470109834701</v>
      </c>
      <c r="AG6270">
        <v>-1.112142529759</v>
      </c>
      <c r="AH6270">
        <v>16.900141669372701</v>
      </c>
      <c r="AI6270">
        <v>93.658550145562799</v>
      </c>
      <c r="AJ6270">
        <v>103.677074122645</v>
      </c>
      <c r="AK6270">
        <v>17.428870155243001</v>
      </c>
      <c r="AL6270">
        <v>79.464716084905504</v>
      </c>
      <c r="AM6270">
        <v>97.081966884409695</v>
      </c>
      <c r="AN6270">
        <v>1.0000000031766201</v>
      </c>
    </row>
    <row r="6271" spans="1:40" x14ac:dyDescent="0.25">
      <c r="A6271" t="str">
        <f>"20190312172533423"</f>
        <v>20190312172533423</v>
      </c>
      <c r="B6271" t="str">
        <f>"1552382733416186"</f>
        <v>1552382733416186</v>
      </c>
      <c r="C6271" t="s">
        <v>40</v>
      </c>
      <c r="D6271">
        <v>3.5612029999999999</v>
      </c>
      <c r="E6271">
        <v>0.45929379999999997</v>
      </c>
      <c r="F6271" t="s">
        <v>43</v>
      </c>
      <c r="G6271">
        <v>-264.9984</v>
      </c>
      <c r="H6271" s="1">
        <v>-1.426223E-6</v>
      </c>
      <c r="I6271">
        <v>-61.423520000000003</v>
      </c>
      <c r="J6271">
        <v>-282.48989999999998</v>
      </c>
      <c r="K6271">
        <v>1.11212</v>
      </c>
      <c r="L6271">
        <v>-59.186399999999999</v>
      </c>
      <c r="M6271">
        <v>0.9337993</v>
      </c>
      <c r="N6271">
        <v>0</v>
      </c>
      <c r="O6271">
        <v>-0.35763080000000003</v>
      </c>
      <c r="P6271">
        <v>0.95591090000000001</v>
      </c>
      <c r="Q6271">
        <v>0.172903</v>
      </c>
      <c r="R6271">
        <v>-0.23735909999999999</v>
      </c>
      <c r="S6271">
        <v>3.0755309999999998</v>
      </c>
      <c r="T6271">
        <v>-0.1946843</v>
      </c>
      <c r="U6271">
        <v>-0.39642329999999998</v>
      </c>
      <c r="V6271">
        <v>-0.1210403</v>
      </c>
      <c r="W6271">
        <v>0.18303459999999999</v>
      </c>
      <c r="X6271">
        <v>0.97562680000000002</v>
      </c>
      <c r="Y6271">
        <v>-0.2342072</v>
      </c>
      <c r="Z6271">
        <v>2.9386140000000002E-2</v>
      </c>
      <c r="AA6271">
        <v>0.97174249999999995</v>
      </c>
      <c r="AB6271">
        <v>17</v>
      </c>
      <c r="AC6271">
        <v>17.491499999999899</v>
      </c>
      <c r="AD6271">
        <v>-1.1121214262229999</v>
      </c>
      <c r="AE6271">
        <v>-2.2371199999999898</v>
      </c>
      <c r="AF6271">
        <v>-4.1502188900887003</v>
      </c>
      <c r="AG6271">
        <v>-1.1121214262229999</v>
      </c>
      <c r="AH6271">
        <v>17.066751693276402</v>
      </c>
      <c r="AI6271">
        <v>93.623006009633002</v>
      </c>
      <c r="AJ6271">
        <v>103.667652048983</v>
      </c>
      <c r="AK6271">
        <v>17.5992938569213</v>
      </c>
      <c r="AL6271">
        <v>79.453433567465595</v>
      </c>
      <c r="AM6271">
        <v>97.072214395188695</v>
      </c>
      <c r="AN6271">
        <v>1.0000000359497401</v>
      </c>
    </row>
    <row r="6272" spans="1:40" x14ac:dyDescent="0.25">
      <c r="A6272" t="str">
        <f>"20190312172533433"</f>
        <v>20190312172533433</v>
      </c>
      <c r="B6272" t="str">
        <f>"1552382733426924"</f>
        <v>1552382733426924</v>
      </c>
      <c r="C6272" t="s">
        <v>40</v>
      </c>
      <c r="D6272">
        <v>3.6056710000000001</v>
      </c>
      <c r="E6272">
        <v>0.45925120000000003</v>
      </c>
      <c r="F6272" t="s">
        <v>43</v>
      </c>
      <c r="G6272">
        <v>-264.83390000000003</v>
      </c>
      <c r="H6272" s="1">
        <v>-1.356545E-6</v>
      </c>
      <c r="I6272">
        <v>-61.426729999999999</v>
      </c>
      <c r="J6272">
        <v>-282.4135</v>
      </c>
      <c r="K6272">
        <v>1.112101</v>
      </c>
      <c r="L6272">
        <v>-59.213099999999997</v>
      </c>
      <c r="M6272">
        <v>0.93454700000000002</v>
      </c>
      <c r="N6272">
        <v>0</v>
      </c>
      <c r="O6272">
        <v>-0.35567870000000001</v>
      </c>
      <c r="P6272">
        <v>0.95627700000000004</v>
      </c>
      <c r="Q6272">
        <v>0.17339370000000001</v>
      </c>
      <c r="R6272">
        <v>-0.23551949999999999</v>
      </c>
      <c r="S6272">
        <v>3.0764770000000001</v>
      </c>
      <c r="T6272">
        <v>-0.1937827</v>
      </c>
      <c r="U6272">
        <v>-0.39038089999999998</v>
      </c>
      <c r="V6272">
        <v>-0.120852399999999</v>
      </c>
      <c r="W6272">
        <v>0.18331729999999999</v>
      </c>
      <c r="X6272">
        <v>0.97559700000000005</v>
      </c>
      <c r="Y6272">
        <v>-0.23410520000000001</v>
      </c>
      <c r="Z6272">
        <v>2.9129249999999999E-2</v>
      </c>
      <c r="AA6272">
        <v>0.97177480000000005</v>
      </c>
      <c r="AB6272">
        <v>17</v>
      </c>
      <c r="AC6272">
        <v>17.5795999999999</v>
      </c>
      <c r="AD6272">
        <v>-1.1121023565449999</v>
      </c>
      <c r="AE6272">
        <v>-2.2136300000000002</v>
      </c>
      <c r="AF6272">
        <v>-4.1677688294846797</v>
      </c>
      <c r="AG6272">
        <v>-1.1121023565449999</v>
      </c>
      <c r="AH6272">
        <v>17.149728684349199</v>
      </c>
      <c r="AI6272">
        <v>93.605587689600199</v>
      </c>
      <c r="AJ6272">
        <v>103.659361894345</v>
      </c>
      <c r="AK6272">
        <v>17.683898399794298</v>
      </c>
      <c r="AL6272">
        <v>79.436957112113205</v>
      </c>
      <c r="AM6272">
        <v>97.061560095038303</v>
      </c>
      <c r="AN6272">
        <v>1.0000000207370201</v>
      </c>
    </row>
    <row r="6273" spans="1:40" x14ac:dyDescent="0.25">
      <c r="A6273" t="str">
        <f>"20190312172533445"</f>
        <v>20190312172533445</v>
      </c>
      <c r="B6273" t="str">
        <f>"1552382733436682"</f>
        <v>1552382733436682</v>
      </c>
      <c r="C6273" t="s">
        <v>40</v>
      </c>
      <c r="D6273">
        <v>3.54556</v>
      </c>
      <c r="E6273">
        <v>0.45927459999999998</v>
      </c>
      <c r="F6273" t="s">
        <v>43</v>
      </c>
      <c r="G6273">
        <v>-264.66669999999999</v>
      </c>
      <c r="H6273" s="1">
        <v>-1.284779E-6</v>
      </c>
      <c r="I6273">
        <v>-61.426650000000002</v>
      </c>
      <c r="J6273">
        <v>-282.33170000000001</v>
      </c>
      <c r="K6273">
        <v>1.112082</v>
      </c>
      <c r="L6273">
        <v>-59.241579999999999</v>
      </c>
      <c r="M6273">
        <v>0.93534260000000002</v>
      </c>
      <c r="N6273">
        <v>0</v>
      </c>
      <c r="O6273">
        <v>-0.35358790000000001</v>
      </c>
      <c r="P6273">
        <v>0.956704</v>
      </c>
      <c r="Q6273">
        <v>0.17381060000000001</v>
      </c>
      <c r="R6273">
        <v>-0.23346839999999999</v>
      </c>
      <c r="S6273">
        <v>3.0776059999999998</v>
      </c>
      <c r="T6273">
        <v>-0.192858</v>
      </c>
      <c r="U6273">
        <v>-0.38388060000000002</v>
      </c>
      <c r="V6273">
        <v>-0.120740899999999</v>
      </c>
      <c r="W6273">
        <v>0.1835118</v>
      </c>
      <c r="X6273">
        <v>0.97557419999999995</v>
      </c>
      <c r="Y6273">
        <v>-0.23401050000000001</v>
      </c>
      <c r="Z6273">
        <v>2.8860730000000001E-2</v>
      </c>
      <c r="AA6273">
        <v>0.97180560000000005</v>
      </c>
      <c r="AB6273">
        <v>17</v>
      </c>
      <c r="AC6273">
        <v>17.664999999999999</v>
      </c>
      <c r="AD6273">
        <v>-1.1120832847790001</v>
      </c>
      <c r="AE6273">
        <v>-2.1850699999999899</v>
      </c>
      <c r="AF6273">
        <v>-4.1862310630560504</v>
      </c>
      <c r="AG6273">
        <v>-1.1120832847790001</v>
      </c>
      <c r="AH6273">
        <v>17.229137372097501</v>
      </c>
      <c r="AI6273">
        <v>93.5889916158294</v>
      </c>
      <c r="AJ6273">
        <v>103.656737213591</v>
      </c>
      <c r="AK6273">
        <v>17.765259196875999</v>
      </c>
      <c r="AL6273">
        <v>79.425620362646896</v>
      </c>
      <c r="AM6273">
        <v>97.055273915699004</v>
      </c>
      <c r="AN6273">
        <v>0.99999998268884405</v>
      </c>
    </row>
    <row r="6274" spans="1:40" x14ac:dyDescent="0.25">
      <c r="A6274" t="str">
        <f>"20190312172533457"</f>
        <v>20190312172533457</v>
      </c>
      <c r="B6274" t="str">
        <f>"1552382733446442"</f>
        <v>1552382733446442</v>
      </c>
      <c r="C6274" t="s">
        <v>40</v>
      </c>
      <c r="D6274">
        <v>3.6774909999999998</v>
      </c>
      <c r="E6274">
        <v>0.45925379999999899</v>
      </c>
      <c r="F6274" t="s">
        <v>43</v>
      </c>
      <c r="G6274">
        <v>-264.50020000000001</v>
      </c>
      <c r="H6274" s="1">
        <v>-1.21381E-6</v>
      </c>
      <c r="I6274">
        <v>-61.428440000000002</v>
      </c>
      <c r="J6274">
        <v>-282.25060000000002</v>
      </c>
      <c r="K6274">
        <v>1.1120680000000001</v>
      </c>
      <c r="L6274">
        <v>-59.269559999999998</v>
      </c>
      <c r="M6274">
        <v>0.93612519999999999</v>
      </c>
      <c r="N6274">
        <v>0</v>
      </c>
      <c r="O6274">
        <v>-0.35151670000000002</v>
      </c>
      <c r="P6274">
        <v>0.95718490000000001</v>
      </c>
      <c r="Q6274">
        <v>0.17395920000000001</v>
      </c>
      <c r="R6274">
        <v>-0.23137740000000001</v>
      </c>
      <c r="S6274">
        <v>3.078522</v>
      </c>
      <c r="T6274">
        <v>-0.19199559999999999</v>
      </c>
      <c r="U6274">
        <v>-0.3775635</v>
      </c>
      <c r="V6274">
        <v>-0.1207086</v>
      </c>
      <c r="W6274">
        <v>0.18344060000000001</v>
      </c>
      <c r="X6274">
        <v>0.9755916</v>
      </c>
      <c r="Y6274">
        <v>-0.23387169999999999</v>
      </c>
      <c r="Z6274">
        <v>2.860414E-2</v>
      </c>
      <c r="AA6274">
        <v>0.9718466</v>
      </c>
      <c r="AB6274">
        <v>17</v>
      </c>
      <c r="AC6274">
        <v>17.750399999999999</v>
      </c>
      <c r="AD6274">
        <v>-1.1120692138099999</v>
      </c>
      <c r="AE6274">
        <v>-2.1588799999999999</v>
      </c>
      <c r="AF6274">
        <v>-4.2025480161946298</v>
      </c>
      <c r="AG6274">
        <v>-1.1120692138099999</v>
      </c>
      <c r="AH6274">
        <v>17.309446373772701</v>
      </c>
      <c r="AI6274">
        <v>93.572489141099695</v>
      </c>
      <c r="AJ6274">
        <v>103.646747358638</v>
      </c>
      <c r="AK6274">
        <v>17.8469897050241</v>
      </c>
      <c r="AL6274">
        <v>79.429770401159701</v>
      </c>
      <c r="AM6274">
        <v>97.053281005065401</v>
      </c>
      <c r="AN6274">
        <v>0.99999999491643998</v>
      </c>
    </row>
    <row r="6275" spans="1:40" x14ac:dyDescent="0.25">
      <c r="A6275" t="str">
        <f>"20190312172533468"</f>
        <v>20190312172533468</v>
      </c>
      <c r="B6275" t="str">
        <f>"1552382733456202"</f>
        <v>1552382733456202</v>
      </c>
      <c r="C6275" t="s">
        <v>40</v>
      </c>
      <c r="D6275">
        <v>3.6048399999999998</v>
      </c>
      <c r="E6275">
        <v>0.45932040000000002</v>
      </c>
      <c r="F6275" t="s">
        <v>43</v>
      </c>
      <c r="G6275">
        <v>-264.3646</v>
      </c>
      <c r="H6275" s="1">
        <v>-1.153921E-6</v>
      </c>
      <c r="I6275">
        <v>-61.421889999999998</v>
      </c>
      <c r="J6275">
        <v>-282.16930000000002</v>
      </c>
      <c r="K6275">
        <v>1.112058</v>
      </c>
      <c r="L6275">
        <v>-59.297420000000002</v>
      </c>
      <c r="M6275">
        <v>0.93690479999999998</v>
      </c>
      <c r="N6275">
        <v>0</v>
      </c>
      <c r="O6275">
        <v>-0.34943990000000003</v>
      </c>
      <c r="P6275">
        <v>0.95753429999999995</v>
      </c>
      <c r="Q6275">
        <v>0.17446879999999901</v>
      </c>
      <c r="R6275">
        <v>-0.22954040000000001</v>
      </c>
      <c r="S6275">
        <v>3.0794069999999998</v>
      </c>
      <c r="T6275">
        <v>-0.1914632</v>
      </c>
      <c r="U6275">
        <v>-0.37057499999999999</v>
      </c>
      <c r="V6275">
        <v>-0.1203911</v>
      </c>
      <c r="W6275">
        <v>0.18373590000000001</v>
      </c>
      <c r="X6275">
        <v>0.97557530000000003</v>
      </c>
      <c r="Y6275">
        <v>-0.2339321</v>
      </c>
      <c r="Z6275">
        <v>2.840407E-2</v>
      </c>
      <c r="AA6275">
        <v>0.97183790000000003</v>
      </c>
      <c r="AB6275">
        <v>17</v>
      </c>
      <c r="AC6275">
        <v>17.8047</v>
      </c>
      <c r="AD6275">
        <v>-1.1120591539210001</v>
      </c>
      <c r="AE6275">
        <v>-2.1244700000000001</v>
      </c>
      <c r="AF6275">
        <v>-4.21524722067611</v>
      </c>
      <c r="AG6275">
        <v>-1.1120591539210001</v>
      </c>
      <c r="AH6275">
        <v>17.357800891221199</v>
      </c>
      <c r="AI6275">
        <v>93.562485570242401</v>
      </c>
      <c r="AJ6275">
        <v>103.64973740801101</v>
      </c>
      <c r="AK6275">
        <v>17.896877841470499</v>
      </c>
      <c r="AL6275">
        <v>79.412558805574903</v>
      </c>
      <c r="AM6275">
        <v>97.035031248803406</v>
      </c>
      <c r="AN6275">
        <v>1.0000000319390501</v>
      </c>
    </row>
    <row r="6276" spans="1:40" x14ac:dyDescent="0.25">
      <c r="A6276" t="str">
        <f>"20190312172533481"</f>
        <v>20190312172533481</v>
      </c>
      <c r="B6276" t="str">
        <f>"1552382733476698"</f>
        <v>1552382733476698</v>
      </c>
      <c r="C6276" t="s">
        <v>40</v>
      </c>
      <c r="D6276">
        <v>3.6102470000000002</v>
      </c>
      <c r="E6276">
        <v>0.45952189999999998</v>
      </c>
      <c r="F6276" t="s">
        <v>43</v>
      </c>
      <c r="G6276">
        <v>-264.08069999999998</v>
      </c>
      <c r="H6276" s="1">
        <v>-1.0373579999999999E-6</v>
      </c>
      <c r="I6276">
        <v>-61.441619999999901</v>
      </c>
      <c r="J6276">
        <v>-282.0806</v>
      </c>
      <c r="K6276">
        <v>1.112047</v>
      </c>
      <c r="L6276">
        <v>-59.3277</v>
      </c>
      <c r="M6276">
        <v>0.9377489</v>
      </c>
      <c r="N6276">
        <v>0</v>
      </c>
      <c r="O6276">
        <v>-0.34717490000000001</v>
      </c>
      <c r="P6276">
        <v>0.95806340000000001</v>
      </c>
      <c r="Q6276">
        <v>0.1745332</v>
      </c>
      <c r="R6276">
        <v>-0.22727269999999999</v>
      </c>
      <c r="S6276">
        <v>3.0800169999999998</v>
      </c>
      <c r="T6276">
        <v>-0.18935440000000001</v>
      </c>
      <c r="U6276">
        <v>-0.3651123</v>
      </c>
      <c r="V6276">
        <v>-0.1203451</v>
      </c>
      <c r="W6276">
        <v>0.1835695</v>
      </c>
      <c r="X6276">
        <v>0.97561229999999999</v>
      </c>
      <c r="Y6276">
        <v>-0.23333309999999999</v>
      </c>
      <c r="Z6276">
        <v>2.794226E-2</v>
      </c>
      <c r="AA6276">
        <v>0.97199530000000001</v>
      </c>
      <c r="AB6276">
        <v>17</v>
      </c>
      <c r="AC6276">
        <v>17.9999</v>
      </c>
      <c r="AD6276">
        <v>-1.112048037358</v>
      </c>
      <c r="AE6276">
        <v>-2.11391999999999</v>
      </c>
      <c r="AF6276">
        <v>-4.2509886936455903</v>
      </c>
      <c r="AG6276">
        <v>-1.112048037358</v>
      </c>
      <c r="AH6276">
        <v>17.548069671157599</v>
      </c>
      <c r="AI6276">
        <v>93.524401458890097</v>
      </c>
      <c r="AJ6276">
        <v>103.61746910330901</v>
      </c>
      <c r="AK6276">
        <v>18.089839825014899</v>
      </c>
      <c r="AL6276">
        <v>79.422257793602995</v>
      </c>
      <c r="AM6276">
        <v>97.032106135480504</v>
      </c>
      <c r="AN6276">
        <v>1.00000003216777</v>
      </c>
    </row>
    <row r="6277" spans="1:40" x14ac:dyDescent="0.25">
      <c r="A6277" t="str">
        <f>"20190312172533492"</f>
        <v>20190312172533492</v>
      </c>
      <c r="B6277" t="str">
        <f>"1552382733486459"</f>
        <v>1552382733486459</v>
      </c>
      <c r="C6277" t="s">
        <v>40</v>
      </c>
      <c r="D6277">
        <v>3.6042380000000001</v>
      </c>
      <c r="E6277">
        <v>0.45963880000000001</v>
      </c>
      <c r="F6277" t="s">
        <v>43</v>
      </c>
      <c r="G6277">
        <v>-263.94459999999998</v>
      </c>
      <c r="H6277" s="1">
        <v>-9.7935340000000004E-7</v>
      </c>
      <c r="I6277">
        <v>-61.443040000000003</v>
      </c>
      <c r="J6277">
        <v>-282.00389999999999</v>
      </c>
      <c r="K6277">
        <v>1.1120410000000001</v>
      </c>
      <c r="L6277">
        <v>-59.353549999999998</v>
      </c>
      <c r="M6277">
        <v>0.93847290000000005</v>
      </c>
      <c r="N6277">
        <v>0</v>
      </c>
      <c r="O6277">
        <v>-0.34521929999999901</v>
      </c>
      <c r="P6277">
        <v>0.95848750000000005</v>
      </c>
      <c r="Q6277">
        <v>0.1746347</v>
      </c>
      <c r="R6277">
        <v>-0.22539970000000001</v>
      </c>
      <c r="S6277">
        <v>3.080505</v>
      </c>
      <c r="T6277">
        <v>-0.18888779999999999</v>
      </c>
      <c r="U6277">
        <v>-0.35931400000000002</v>
      </c>
      <c r="V6277">
        <v>-0.1202173</v>
      </c>
      <c r="W6277">
        <v>0.18348410000000001</v>
      </c>
      <c r="X6277">
        <v>0.97564410000000001</v>
      </c>
      <c r="Y6277">
        <v>-0.23313710000000001</v>
      </c>
      <c r="Z6277">
        <v>2.7755620000000002E-2</v>
      </c>
      <c r="AA6277">
        <v>0.97204769999999896</v>
      </c>
      <c r="AB6277">
        <v>17</v>
      </c>
      <c r="AC6277">
        <v>18.0593</v>
      </c>
      <c r="AD6277">
        <v>-1.11204197935339</v>
      </c>
      <c r="AE6277">
        <v>-2.0894900000000001</v>
      </c>
      <c r="AF6277">
        <v>-4.2577551877894004</v>
      </c>
      <c r="AG6277">
        <v>-1.11204197935339</v>
      </c>
      <c r="AH6277">
        <v>17.604441011109</v>
      </c>
      <c r="AI6277">
        <v>93.513438751462701</v>
      </c>
      <c r="AJ6277">
        <v>103.596287838641</v>
      </c>
      <c r="AK6277">
        <v>18.146114182287299</v>
      </c>
      <c r="AL6277">
        <v>79.427235183615906</v>
      </c>
      <c r="AM6277">
        <v>97.024486393388798</v>
      </c>
      <c r="AN6277">
        <v>1.00000001201845</v>
      </c>
    </row>
    <row r="6278" spans="1:40" x14ac:dyDescent="0.25">
      <c r="A6278" t="str">
        <f>"20190312172533502"</f>
        <v>20190312172533502</v>
      </c>
      <c r="B6278" t="str">
        <f>"1552382733496218"</f>
        <v>1552382733496218</v>
      </c>
      <c r="C6278" t="s">
        <v>40</v>
      </c>
      <c r="D6278">
        <v>3.5362399999999998</v>
      </c>
      <c r="E6278">
        <v>0.45977400000000002</v>
      </c>
      <c r="F6278" t="s">
        <v>43</v>
      </c>
      <c r="G6278">
        <v>-263.79790000000003</v>
      </c>
      <c r="H6278" s="1">
        <v>-9.1729090000000001E-7</v>
      </c>
      <c r="I6278">
        <v>-61.446300000000001</v>
      </c>
      <c r="J6278">
        <v>-281.9314</v>
      </c>
      <c r="K6278">
        <v>1.112031</v>
      </c>
      <c r="L6278">
        <v>-59.377929999999999</v>
      </c>
      <c r="M6278">
        <v>0.93915329999999997</v>
      </c>
      <c r="N6278">
        <v>0</v>
      </c>
      <c r="O6278">
        <v>-0.34336820000000001</v>
      </c>
      <c r="P6278">
        <v>0.95888600000000002</v>
      </c>
      <c r="Q6278">
        <v>0.17495289999999999</v>
      </c>
      <c r="R6278">
        <v>-0.22344829999999999</v>
      </c>
      <c r="S6278">
        <v>3.080902</v>
      </c>
      <c r="T6278">
        <v>-0.1881845</v>
      </c>
      <c r="U6278">
        <v>-0.35415649999999999</v>
      </c>
      <c r="V6278">
        <v>-0.1202657</v>
      </c>
      <c r="W6278">
        <v>0.18362519999999999</v>
      </c>
      <c r="X6278">
        <v>0.97561160000000002</v>
      </c>
      <c r="Y6278">
        <v>-0.232851</v>
      </c>
      <c r="Z6278">
        <v>2.7538380000000001E-2</v>
      </c>
      <c r="AA6278">
        <v>0.97212240000000005</v>
      </c>
      <c r="AB6278">
        <v>17</v>
      </c>
      <c r="AC6278">
        <v>18.133499999999898</v>
      </c>
      <c r="AD6278">
        <v>-1.1120319172908999</v>
      </c>
      <c r="AE6278">
        <v>-2.06836999999999</v>
      </c>
      <c r="AF6278">
        <v>-4.2682964436819004</v>
      </c>
      <c r="AG6278">
        <v>-1.1120319172908999</v>
      </c>
      <c r="AH6278">
        <v>17.675522534192599</v>
      </c>
      <c r="AI6278">
        <v>93.499613058966702</v>
      </c>
      <c r="AJ6278">
        <v>103.575920223091</v>
      </c>
      <c r="AK6278">
        <v>18.2175483085121</v>
      </c>
      <c r="AL6278">
        <v>79.419011137985606</v>
      </c>
      <c r="AM6278">
        <v>97.0275179661637</v>
      </c>
      <c r="AN6278">
        <v>1.0000000233630399</v>
      </c>
    </row>
    <row r="6279" spans="1:40" x14ac:dyDescent="0.25">
      <c r="A6279" t="str">
        <f>"20190312172533511"</f>
        <v>20190312172533511</v>
      </c>
      <c r="B6279" t="str">
        <f>"1552382733506954"</f>
        <v>1552382733506954</v>
      </c>
      <c r="C6279" t="s">
        <v>40</v>
      </c>
      <c r="D6279">
        <v>3.6280489999999999</v>
      </c>
      <c r="E6279">
        <v>0.45991609999999999</v>
      </c>
      <c r="F6279" t="s">
        <v>43</v>
      </c>
      <c r="G6279">
        <v>-263.65179999999998</v>
      </c>
      <c r="H6279" s="1">
        <v>-8.5463070000000002E-7</v>
      </c>
      <c r="I6279">
        <v>-61.446280000000002</v>
      </c>
      <c r="J6279">
        <v>-281.8614</v>
      </c>
      <c r="K6279">
        <v>1.112025</v>
      </c>
      <c r="L6279">
        <v>-59.401209999999999</v>
      </c>
      <c r="M6279">
        <v>0.93980540000000001</v>
      </c>
      <c r="N6279">
        <v>0</v>
      </c>
      <c r="O6279">
        <v>-0.34158359999999999</v>
      </c>
      <c r="P6279">
        <v>0.95927110000000004</v>
      </c>
      <c r="Q6279">
        <v>0.17491470000000001</v>
      </c>
      <c r="R6279">
        <v>-0.2218204</v>
      </c>
      <c r="S6279">
        <v>3.0815730000000001</v>
      </c>
      <c r="T6279">
        <v>-0.1874661</v>
      </c>
      <c r="U6279">
        <v>-0.3486938</v>
      </c>
      <c r="V6279">
        <v>-0.12007569999999999</v>
      </c>
      <c r="W6279">
        <v>0.18343029999999999</v>
      </c>
      <c r="X6279">
        <v>0.97567159999999997</v>
      </c>
      <c r="Y6279">
        <v>-0.23273969999999999</v>
      </c>
      <c r="Z6279">
        <v>2.73266E-2</v>
      </c>
      <c r="AA6279">
        <v>0.97215510000000005</v>
      </c>
      <c r="AB6279">
        <v>17</v>
      </c>
      <c r="AC6279">
        <v>18.209599999999998</v>
      </c>
      <c r="AD6279">
        <v>-1.11202585463069</v>
      </c>
      <c r="AE6279">
        <v>-2.0450699999999999</v>
      </c>
      <c r="AF6279">
        <v>-4.2825466711915698</v>
      </c>
      <c r="AG6279">
        <v>-1.11202585463069</v>
      </c>
      <c r="AH6279">
        <v>17.747451377249501</v>
      </c>
      <c r="AI6279">
        <v>93.485584909231704</v>
      </c>
      <c r="AJ6279">
        <v>103.566404702909</v>
      </c>
      <c r="AK6279">
        <v>18.290676255407799</v>
      </c>
      <c r="AL6279">
        <v>79.430370359576202</v>
      </c>
      <c r="AM6279">
        <v>97.016099210098602</v>
      </c>
      <c r="AN6279">
        <v>0.99999995986756895</v>
      </c>
    </row>
    <row r="6280" spans="1:40" x14ac:dyDescent="0.25">
      <c r="A6280" t="str">
        <f>"20190312172533523"</f>
        <v>20190312172533523</v>
      </c>
      <c r="B6280" t="str">
        <f>"1552382733516714"</f>
        <v>1552382733516714</v>
      </c>
      <c r="C6280" t="s">
        <v>40</v>
      </c>
      <c r="D6280">
        <v>3.5383049999999998</v>
      </c>
      <c r="E6280">
        <v>0.46008060000000001</v>
      </c>
      <c r="F6280" t="s">
        <v>43</v>
      </c>
      <c r="G6280">
        <v>-263.53609999999998</v>
      </c>
      <c r="H6280" s="1">
        <v>-8.0541159999999904E-7</v>
      </c>
      <c r="I6280">
        <v>-61.447859999999999</v>
      </c>
      <c r="J6280">
        <v>-281.7808</v>
      </c>
      <c r="K6280">
        <v>1.1120219999999901</v>
      </c>
      <c r="L6280">
        <v>-59.427979999999998</v>
      </c>
      <c r="M6280">
        <v>0.94055219999999995</v>
      </c>
      <c r="N6280">
        <v>0</v>
      </c>
      <c r="O6280">
        <v>-0.33952680000000002</v>
      </c>
      <c r="P6280">
        <v>0.95976570000000005</v>
      </c>
      <c r="Q6280">
        <v>0.17504529999999999</v>
      </c>
      <c r="R6280">
        <v>-0.2195657</v>
      </c>
      <c r="S6280">
        <v>3.0818789999999998</v>
      </c>
      <c r="T6280">
        <v>-0.18701619999999999</v>
      </c>
      <c r="U6280">
        <v>-0.34420780000000001</v>
      </c>
      <c r="V6280">
        <v>-0.120232199999999</v>
      </c>
      <c r="W6280">
        <v>0.1833796</v>
      </c>
      <c r="X6280">
        <v>0.97566189999999997</v>
      </c>
      <c r="Y6280">
        <v>-0.2320296</v>
      </c>
      <c r="Z6280">
        <v>2.712326E-2</v>
      </c>
      <c r="AA6280">
        <v>0.97233049999999999</v>
      </c>
      <c r="AB6280">
        <v>17</v>
      </c>
      <c r="AC6280">
        <v>18.244700000000002</v>
      </c>
      <c r="AD6280">
        <v>-1.1120228054115999</v>
      </c>
      <c r="AE6280">
        <v>-2.0198799999999899</v>
      </c>
      <c r="AF6280">
        <v>-4.27923581989862</v>
      </c>
      <c r="AG6280">
        <v>-1.1120228054115999</v>
      </c>
      <c r="AH6280">
        <v>17.781380519079502</v>
      </c>
      <c r="AI6280">
        <v>93.479451944300294</v>
      </c>
      <c r="AJ6280">
        <v>103.531388530546</v>
      </c>
      <c r="AK6280">
        <v>18.322825848824699</v>
      </c>
      <c r="AL6280">
        <v>79.433325823913805</v>
      </c>
      <c r="AM6280">
        <v>97.025221434392805</v>
      </c>
      <c r="AN6280">
        <v>1.0000000013623001</v>
      </c>
    </row>
    <row r="6281" spans="1:40" x14ac:dyDescent="0.25">
      <c r="A6281" t="str">
        <f>"20190312172533534"</f>
        <v>20190312172533534</v>
      </c>
      <c r="B6281" t="str">
        <f>"1552382733526474"</f>
        <v>1552382733526474</v>
      </c>
      <c r="C6281" t="s">
        <v>40</v>
      </c>
      <c r="D6281">
        <v>3.503644</v>
      </c>
      <c r="E6281">
        <v>0.4602501</v>
      </c>
      <c r="F6281" t="s">
        <v>43</v>
      </c>
      <c r="G6281">
        <v>-263.46940000000001</v>
      </c>
      <c r="H6281" s="1">
        <v>-7.7386950000000002E-7</v>
      </c>
      <c r="I6281">
        <v>-61.43694</v>
      </c>
      <c r="J6281">
        <v>-281.70049999999998</v>
      </c>
      <c r="K6281">
        <v>1.1120209999999999</v>
      </c>
      <c r="L6281">
        <v>-59.454349999999998</v>
      </c>
      <c r="M6281">
        <v>0.94129110000000005</v>
      </c>
      <c r="N6281">
        <v>0</v>
      </c>
      <c r="O6281">
        <v>-0.33747779999999999</v>
      </c>
      <c r="P6281">
        <v>0.96023890000000001</v>
      </c>
      <c r="Q6281">
        <v>0.17496889999999901</v>
      </c>
      <c r="R6281">
        <v>-0.21754879999999999</v>
      </c>
      <c r="S6281">
        <v>3.0825200000000001</v>
      </c>
      <c r="T6281">
        <v>-0.187196</v>
      </c>
      <c r="U6281">
        <v>-0.33819579999999999</v>
      </c>
      <c r="V6281">
        <v>-0.1201675</v>
      </c>
      <c r="W6281">
        <v>0.18313779999999999</v>
      </c>
      <c r="X6281">
        <v>0.97571529999999995</v>
      </c>
      <c r="Y6281">
        <v>-0.23180890000000001</v>
      </c>
      <c r="Z6281">
        <v>2.7024619999999999E-2</v>
      </c>
      <c r="AA6281">
        <v>0.97238590000000003</v>
      </c>
      <c r="AB6281">
        <v>17</v>
      </c>
      <c r="AC6281">
        <v>18.231099999999898</v>
      </c>
      <c r="AD6281">
        <v>-1.1120217738695</v>
      </c>
      <c r="AE6281">
        <v>-1.9825900000000001</v>
      </c>
      <c r="AF6281">
        <v>-4.2708642178245402</v>
      </c>
      <c r="AG6281">
        <v>-1.1120217738695</v>
      </c>
      <c r="AH6281">
        <v>17.7652407420291</v>
      </c>
      <c r="AI6281">
        <v>93.482801573102805</v>
      </c>
      <c r="AJ6281">
        <v>103.51770736855801</v>
      </c>
      <c r="AK6281">
        <v>18.3052083357416</v>
      </c>
      <c r="AL6281">
        <v>79.447418746190294</v>
      </c>
      <c r="AM6281">
        <v>97.021098287146401</v>
      </c>
      <c r="AN6281">
        <v>1.00000001424958</v>
      </c>
    </row>
    <row r="6282" spans="1:40" x14ac:dyDescent="0.25">
      <c r="A6282" t="str">
        <f>"20190312172533545"</f>
        <v>20190312172533545</v>
      </c>
      <c r="B6282" t="str">
        <f>"1552382733537210"</f>
        <v>1552382733537210</v>
      </c>
      <c r="C6282" t="s">
        <v>40</v>
      </c>
      <c r="D6282">
        <v>3.6110500000000001</v>
      </c>
      <c r="E6282">
        <v>0.4603815</v>
      </c>
      <c r="F6282" t="s">
        <v>54</v>
      </c>
      <c r="G6282">
        <v>-263.44619999999998</v>
      </c>
      <c r="H6282" s="1">
        <v>-7.6066919999999995E-7</v>
      </c>
      <c r="I6282">
        <v>-61.424709999999997</v>
      </c>
      <c r="J6282">
        <v>-281.61489999999998</v>
      </c>
      <c r="K6282">
        <v>1.1120190000000001</v>
      </c>
      <c r="L6282">
        <v>-59.482300000000002</v>
      </c>
      <c r="M6282">
        <v>0.9420733</v>
      </c>
      <c r="N6282">
        <v>0</v>
      </c>
      <c r="O6282">
        <v>-0.33529239999999999</v>
      </c>
      <c r="P6282">
        <v>0.96074400000000004</v>
      </c>
      <c r="Q6282">
        <v>0.17503579999999999</v>
      </c>
      <c r="R6282">
        <v>-0.21525269999999999</v>
      </c>
      <c r="S6282">
        <v>3.0830380000000002</v>
      </c>
      <c r="T6282">
        <v>-0.1878136</v>
      </c>
      <c r="U6282">
        <v>-0.33279419999999998</v>
      </c>
      <c r="V6282">
        <v>-0.12023780000000001</v>
      </c>
      <c r="W6282">
        <v>0.1830328</v>
      </c>
      <c r="X6282">
        <v>0.97572639999999999</v>
      </c>
      <c r="Y6282">
        <v>-0.2312507</v>
      </c>
      <c r="Z6282">
        <v>2.6970930000000001E-2</v>
      </c>
      <c r="AA6282">
        <v>0.9725203</v>
      </c>
      <c r="AB6282">
        <v>17</v>
      </c>
      <c r="AC6282">
        <v>18.168700000000001</v>
      </c>
      <c r="AD6282">
        <v>-1.1120197606691999</v>
      </c>
      <c r="AE6282">
        <v>-1.94240999999999</v>
      </c>
      <c r="AF6282">
        <v>-4.24637082455087</v>
      </c>
      <c r="AG6282">
        <v>-1.1120197606691999</v>
      </c>
      <c r="AH6282">
        <v>17.702639569233199</v>
      </c>
      <c r="AI6282">
        <v>93.495503186709399</v>
      </c>
      <c r="AJ6282">
        <v>103.48880863803799</v>
      </c>
      <c r="AK6282">
        <v>18.238741756105199</v>
      </c>
      <c r="AL6282">
        <v>79.453538846379701</v>
      </c>
      <c r="AM6282">
        <v>97.025085594896296</v>
      </c>
      <c r="AN6282">
        <v>1.0000000710408099</v>
      </c>
    </row>
    <row r="6283" spans="1:40" x14ac:dyDescent="0.25">
      <c r="A6283" t="str">
        <f>"20190312172533555"</f>
        <v>20190312172533555</v>
      </c>
      <c r="B6283" t="str">
        <f>"1552382733546971"</f>
        <v>1552382733546971</v>
      </c>
      <c r="C6283" t="s">
        <v>40</v>
      </c>
      <c r="D6283">
        <v>3.6116739999999998</v>
      </c>
      <c r="E6283">
        <v>0.46053529999999998</v>
      </c>
      <c r="F6283" t="s">
        <v>43</v>
      </c>
      <c r="G6283">
        <v>-263.40769999999998</v>
      </c>
      <c r="H6283" s="1">
        <v>-7.3981849999999998E-7</v>
      </c>
      <c r="I6283">
        <v>-61.408349999999999</v>
      </c>
      <c r="J6283">
        <v>-281.54070000000002</v>
      </c>
      <c r="K6283">
        <v>1.1120209999999999</v>
      </c>
      <c r="L6283">
        <v>-59.506320000000002</v>
      </c>
      <c r="M6283">
        <v>0.94274619999999998</v>
      </c>
      <c r="N6283">
        <v>0</v>
      </c>
      <c r="O6283">
        <v>-0.333399</v>
      </c>
      <c r="P6283">
        <v>0.96114630000000001</v>
      </c>
      <c r="Q6283">
        <v>0.1749706</v>
      </c>
      <c r="R6283">
        <v>-0.21350189999999999</v>
      </c>
      <c r="S6283">
        <v>3.0838009999999998</v>
      </c>
      <c r="T6283">
        <v>-0.18834629999999999</v>
      </c>
      <c r="U6283">
        <v>-0.32623289999999999</v>
      </c>
      <c r="V6283">
        <v>-0.1200643</v>
      </c>
      <c r="W6283">
        <v>0.18282699999999999</v>
      </c>
      <c r="X6283">
        <v>0.9757863</v>
      </c>
      <c r="Y6283">
        <v>-0.23136499999999999</v>
      </c>
      <c r="Z6283">
        <v>2.6940039999999998E-2</v>
      </c>
      <c r="AA6283">
        <v>0.97249390000000002</v>
      </c>
      <c r="AB6283">
        <v>17</v>
      </c>
      <c r="AC6283">
        <v>18.132999999999999</v>
      </c>
      <c r="AD6283">
        <v>-1.1120217398184999</v>
      </c>
      <c r="AE6283">
        <v>-1.9020300000000001</v>
      </c>
      <c r="AF6283">
        <v>-4.2367907953742598</v>
      </c>
      <c r="AG6283">
        <v>-1.1120217398184999</v>
      </c>
      <c r="AH6283">
        <v>17.663905518430301</v>
      </c>
      <c r="AI6283">
        <v>93.503168363058506</v>
      </c>
      <c r="AJ6283">
        <v>103.48792280847699</v>
      </c>
      <c r="AK6283">
        <v>18.198916087438501</v>
      </c>
      <c r="AL6283">
        <v>79.465532218301504</v>
      </c>
      <c r="AM6283">
        <v>97.014623316353706</v>
      </c>
      <c r="AN6283">
        <v>1.0000000256655801</v>
      </c>
    </row>
    <row r="6284" spans="1:40" x14ac:dyDescent="0.25">
      <c r="A6284" t="str">
        <f>"20190312172533567"</f>
        <v>20190312172533567</v>
      </c>
      <c r="B6284" t="str">
        <f>"1552382733556731"</f>
        <v>1552382733556731</v>
      </c>
      <c r="C6284" t="s">
        <v>40</v>
      </c>
      <c r="D6284">
        <v>3.7421180000000001</v>
      </c>
      <c r="E6284">
        <v>0.4607058</v>
      </c>
      <c r="F6284" t="s">
        <v>43</v>
      </c>
      <c r="G6284">
        <v>-263.30669999999998</v>
      </c>
      <c r="H6284" s="1">
        <v>-6.9624330000000005E-7</v>
      </c>
      <c r="I6284">
        <v>-61.407429999999998</v>
      </c>
      <c r="J6284">
        <v>-281.46069999999997</v>
      </c>
      <c r="K6284">
        <v>1.112026</v>
      </c>
      <c r="L6284">
        <v>-59.532069999999997</v>
      </c>
      <c r="M6284">
        <v>0.94346770000000002</v>
      </c>
      <c r="N6284">
        <v>0</v>
      </c>
      <c r="O6284">
        <v>-0.33135599999999998</v>
      </c>
      <c r="P6284">
        <v>0.96162689999999995</v>
      </c>
      <c r="Q6284">
        <v>0.17507529999999999</v>
      </c>
      <c r="R6284">
        <v>-0.2112415</v>
      </c>
      <c r="S6284">
        <v>3.084076</v>
      </c>
      <c r="T6284">
        <v>-0.18808630000000001</v>
      </c>
      <c r="U6284">
        <v>-0.32156370000000001</v>
      </c>
      <c r="V6284">
        <v>-0.1202444</v>
      </c>
      <c r="W6284">
        <v>0.18278240000000001</v>
      </c>
      <c r="X6284">
        <v>0.97577239999999998</v>
      </c>
      <c r="Y6284">
        <v>-0.23072999999999999</v>
      </c>
      <c r="Z6284">
        <v>2.676717E-2</v>
      </c>
      <c r="AA6284">
        <v>0.9726496</v>
      </c>
      <c r="AB6284">
        <v>17</v>
      </c>
      <c r="AC6284">
        <v>18.154</v>
      </c>
      <c r="AD6284">
        <v>-1.1120266962433001</v>
      </c>
      <c r="AE6284">
        <v>-1.8753599999999999</v>
      </c>
      <c r="AF6284">
        <v>-4.2305416721695304</v>
      </c>
      <c r="AG6284">
        <v>-1.1120266962433001</v>
      </c>
      <c r="AH6284">
        <v>17.6841088733761</v>
      </c>
      <c r="AI6284">
        <v>93.499687797458193</v>
      </c>
      <c r="AJ6284">
        <v>103.453926160721</v>
      </c>
      <c r="AK6284">
        <v>18.217074212357499</v>
      </c>
      <c r="AL6284">
        <v>79.468130592100295</v>
      </c>
      <c r="AM6284">
        <v>97.025139470909295</v>
      </c>
      <c r="AN6284">
        <v>0.99999994904143796</v>
      </c>
    </row>
    <row r="6285" spans="1:40" x14ac:dyDescent="0.25">
      <c r="A6285" t="str">
        <f>"20190312172533578"</f>
        <v>20190312172533578</v>
      </c>
      <c r="B6285" t="str">
        <f>"1552382733566490"</f>
        <v>1552382733566490</v>
      </c>
      <c r="C6285" t="s">
        <v>40</v>
      </c>
      <c r="D6285">
        <v>3.6093190000000002</v>
      </c>
      <c r="E6285">
        <v>0.46088119999999999</v>
      </c>
      <c r="F6285" t="s">
        <v>43</v>
      </c>
      <c r="G6285">
        <v>-263.09140000000002</v>
      </c>
      <c r="H6285" s="1">
        <v>-6.0434429999999995E-7</v>
      </c>
      <c r="I6285">
        <v>-61.40925</v>
      </c>
      <c r="J6285">
        <v>-281.37619999999998</v>
      </c>
      <c r="K6285">
        <v>1.1120289999999999</v>
      </c>
      <c r="L6285">
        <v>-59.559080000000002</v>
      </c>
      <c r="M6285">
        <v>0.94422550000000005</v>
      </c>
      <c r="N6285">
        <v>0</v>
      </c>
      <c r="O6285">
        <v>-0.32919379999999998</v>
      </c>
      <c r="P6285">
        <v>0.96210459999999998</v>
      </c>
      <c r="Q6285">
        <v>0.1751569</v>
      </c>
      <c r="R6285">
        <v>-0.20898520000000001</v>
      </c>
      <c r="S6285">
        <v>3.084473</v>
      </c>
      <c r="T6285">
        <v>-0.18672530000000001</v>
      </c>
      <c r="U6285">
        <v>-0.315216099999999</v>
      </c>
      <c r="V6285">
        <v>-0.1202995</v>
      </c>
      <c r="W6285">
        <v>0.1827116</v>
      </c>
      <c r="X6285">
        <v>0.9757789</v>
      </c>
      <c r="Y6285">
        <v>-0.230513</v>
      </c>
      <c r="Z6285">
        <v>2.6444849999999999E-2</v>
      </c>
      <c r="AA6285">
        <v>0.97270979999999996</v>
      </c>
      <c r="AB6285">
        <v>17</v>
      </c>
      <c r="AC6285">
        <v>18.284799999999901</v>
      </c>
      <c r="AD6285">
        <v>-1.1120296043443001</v>
      </c>
      <c r="AE6285">
        <v>-1.8501699999999901</v>
      </c>
      <c r="AF6285">
        <v>-4.2568286099086201</v>
      </c>
      <c r="AG6285">
        <v>-1.1120296043443001</v>
      </c>
      <c r="AH6285">
        <v>17.809456677523901</v>
      </c>
      <c r="AI6285">
        <v>93.475288584424305</v>
      </c>
      <c r="AJ6285">
        <v>103.44266706465299</v>
      </c>
      <c r="AK6285">
        <v>18.3448615912924</v>
      </c>
      <c r="AL6285">
        <v>79.472256946346803</v>
      </c>
      <c r="AM6285">
        <v>97.028280085828598</v>
      </c>
      <c r="AN6285">
        <v>0.99999998008000901</v>
      </c>
    </row>
    <row r="6286" spans="1:40" x14ac:dyDescent="0.25">
      <c r="A6286" t="str">
        <f>"20190312172533589"</f>
        <v>20190312172533589</v>
      </c>
      <c r="B6286" t="str">
        <f>"1552382733586986"</f>
        <v>1552382733586986</v>
      </c>
      <c r="C6286" t="s">
        <v>40</v>
      </c>
      <c r="D6286">
        <v>3.6278260000000002</v>
      </c>
      <c r="E6286">
        <v>0.46891319999999997</v>
      </c>
      <c r="F6286" t="s">
        <v>43</v>
      </c>
      <c r="G6286">
        <v>-262.89089999999999</v>
      </c>
      <c r="H6286" s="1">
        <v>-5.1933450000000005E-7</v>
      </c>
      <c r="I6286">
        <v>-61.413029999999999</v>
      </c>
      <c r="J6286">
        <v>-281.29660000000001</v>
      </c>
      <c r="K6286">
        <v>1.112023</v>
      </c>
      <c r="L6286">
        <v>-59.584229999999998</v>
      </c>
      <c r="M6286">
        <v>0.94493320000000003</v>
      </c>
      <c r="N6286">
        <v>0</v>
      </c>
      <c r="O6286">
        <v>-0.32716040000000002</v>
      </c>
      <c r="P6286">
        <v>0.96258549999999998</v>
      </c>
      <c r="Q6286">
        <v>0.17503389999999999</v>
      </c>
      <c r="R6286">
        <v>-0.20686270000000001</v>
      </c>
      <c r="S6286">
        <v>3.0847169999999999</v>
      </c>
      <c r="T6286">
        <v>-0.18556890000000001</v>
      </c>
      <c r="U6286">
        <v>-0.30938719999999997</v>
      </c>
      <c r="V6286">
        <v>-0.1203637</v>
      </c>
      <c r="W6286">
        <v>0.18244769999999999</v>
      </c>
      <c r="X6286">
        <v>0.97582040000000003</v>
      </c>
      <c r="Y6286">
        <v>-0.2302612</v>
      </c>
      <c r="Z6286">
        <v>2.6160220000000001E-2</v>
      </c>
      <c r="AA6286">
        <v>0.97277720000000001</v>
      </c>
      <c r="AB6286">
        <v>17</v>
      </c>
      <c r="AC6286">
        <v>18.4057</v>
      </c>
      <c r="AD6286">
        <v>-1.1120235193345001</v>
      </c>
      <c r="AE6286">
        <v>-1.8288</v>
      </c>
      <c r="AF6286">
        <v>-4.2782029989238701</v>
      </c>
      <c r="AG6286">
        <v>-1.1120235193345001</v>
      </c>
      <c r="AH6286">
        <v>17.926277733388499</v>
      </c>
      <c r="AI6286">
        <v>93.452961414482601</v>
      </c>
      <c r="AJ6286">
        <v>103.422867048925</v>
      </c>
      <c r="AK6286">
        <v>18.463235106073199</v>
      </c>
      <c r="AL6286">
        <v>79.487636211339606</v>
      </c>
      <c r="AM6286">
        <v>97.031697247393694</v>
      </c>
      <c r="AN6286">
        <v>1.0000000182845601</v>
      </c>
    </row>
    <row r="6287" spans="1:40" x14ac:dyDescent="0.25">
      <c r="A6287" t="str">
        <f>"20190312172533600"</f>
        <v>20190312172533600</v>
      </c>
      <c r="B6287" t="str">
        <f>"1552382733596751"</f>
        <v>1552382733596751</v>
      </c>
      <c r="C6287" t="s">
        <v>40</v>
      </c>
      <c r="D6287">
        <v>3.6231239999999998</v>
      </c>
      <c r="E6287">
        <v>0.46912409999999999</v>
      </c>
      <c r="F6287" t="s">
        <v>55</v>
      </c>
      <c r="G6287">
        <v>-258.6551</v>
      </c>
      <c r="H6287" s="1">
        <v>-3.2227609999999999E-6</v>
      </c>
      <c r="I6287">
        <v>-62.286219999999901</v>
      </c>
      <c r="J6287">
        <v>-281.2115</v>
      </c>
      <c r="K6287">
        <v>1.1120209999999999</v>
      </c>
      <c r="L6287">
        <v>-59.611049999999999</v>
      </c>
      <c r="M6287">
        <v>0.9456871</v>
      </c>
      <c r="N6287">
        <v>0</v>
      </c>
      <c r="O6287">
        <v>-0.32497910000000002</v>
      </c>
      <c r="P6287">
        <v>0.96300790000000003</v>
      </c>
      <c r="Q6287">
        <v>0.17517859999999999</v>
      </c>
      <c r="R6287">
        <v>-0.20476420000000001</v>
      </c>
      <c r="S6287">
        <v>3.065369</v>
      </c>
      <c r="T6287">
        <v>-0.15055370000000001</v>
      </c>
      <c r="U6287">
        <v>-0.36581419999999998</v>
      </c>
      <c r="V6287">
        <v>-0.1202368</v>
      </c>
      <c r="W6287">
        <v>0.18244299999999999</v>
      </c>
      <c r="X6287">
        <v>0.97583690000000001</v>
      </c>
      <c r="Y6287">
        <v>-0.21001619999999999</v>
      </c>
      <c r="Z6287">
        <v>2.0734079999999998E-2</v>
      </c>
      <c r="AA6287">
        <v>0.97747799999999996</v>
      </c>
      <c r="AB6287">
        <v>17</v>
      </c>
      <c r="AC6287">
        <v>22.5564</v>
      </c>
      <c r="AD6287">
        <v>-1.112024222761</v>
      </c>
      <c r="AE6287">
        <v>-2.6751699999999898</v>
      </c>
      <c r="AF6287">
        <v>-4.7891611955391804</v>
      </c>
      <c r="AG6287">
        <v>-1.112024222761</v>
      </c>
      <c r="AH6287">
        <v>22.1483028222926</v>
      </c>
      <c r="AI6287">
        <v>92.809476578643199</v>
      </c>
      <c r="AJ6287">
        <v>102.201306432647</v>
      </c>
      <c r="AK6287">
        <v>22.687441035446</v>
      </c>
      <c r="AL6287">
        <v>79.487909860035799</v>
      </c>
      <c r="AM6287">
        <v>97.024240212298196</v>
      </c>
      <c r="AN6287">
        <v>0.99999999586242405</v>
      </c>
    </row>
    <row r="6288" spans="1:40" x14ac:dyDescent="0.25">
      <c r="A6288" t="str">
        <f>"20190312172533614"</f>
        <v>20190312172533614</v>
      </c>
      <c r="B6288" t="str">
        <f>"1552382733606506"</f>
        <v>1552382733606506</v>
      </c>
      <c r="C6288" t="s">
        <v>40</v>
      </c>
      <c r="D6288">
        <v>3.6940309999999998</v>
      </c>
      <c r="E6288">
        <v>0.46967740000000002</v>
      </c>
      <c r="F6288" t="s">
        <v>55</v>
      </c>
      <c r="G6288">
        <v>-258.53500000000003</v>
      </c>
      <c r="H6288" s="1">
        <v>-3.1807880000000002E-6</v>
      </c>
      <c r="I6288">
        <v>-62.277900000000002</v>
      </c>
      <c r="J6288">
        <v>-281.12009999999998</v>
      </c>
      <c r="K6288">
        <v>1.11202</v>
      </c>
      <c r="L6288">
        <v>-59.639499999999998</v>
      </c>
      <c r="M6288">
        <v>0.94649099999999997</v>
      </c>
      <c r="N6288">
        <v>0</v>
      </c>
      <c r="O6288">
        <v>-0.32263409999999998</v>
      </c>
      <c r="P6288">
        <v>0.96348860000000003</v>
      </c>
      <c r="Q6288">
        <v>0.17505699999999999</v>
      </c>
      <c r="R6288">
        <v>-0.2025961</v>
      </c>
      <c r="S6288">
        <v>3.0659179999999999</v>
      </c>
      <c r="T6288">
        <v>-0.1503485</v>
      </c>
      <c r="U6288">
        <v>-0.36056519999999997</v>
      </c>
      <c r="V6288">
        <v>-0.1200272</v>
      </c>
      <c r="W6288">
        <v>0.18216260000000001</v>
      </c>
      <c r="X6288">
        <v>0.97591510000000004</v>
      </c>
      <c r="Y6288">
        <v>-0.2092687</v>
      </c>
      <c r="Z6288">
        <v>2.0578539999999999E-2</v>
      </c>
      <c r="AA6288">
        <v>0.9776416</v>
      </c>
      <c r="AB6288">
        <v>17</v>
      </c>
      <c r="AC6288">
        <v>22.585099999999901</v>
      </c>
      <c r="AD6288">
        <v>-1.1120231807879899</v>
      </c>
      <c r="AE6288">
        <v>-2.6383999999999999</v>
      </c>
      <c r="AF6288">
        <v>-4.7782222810872499</v>
      </c>
      <c r="AG6288">
        <v>-1.1120231807879899</v>
      </c>
      <c r="AH6288">
        <v>22.175485148719201</v>
      </c>
      <c r="AI6288">
        <v>92.806473857156902</v>
      </c>
      <c r="AJ6288">
        <v>102.15979096648699</v>
      </c>
      <c r="AK6288">
        <v>22.7116742074016</v>
      </c>
      <c r="AL6288">
        <v>79.504249578972207</v>
      </c>
      <c r="AM6288">
        <v>97.011561089542596</v>
      </c>
      <c r="AN6288">
        <v>1.0000000119932999</v>
      </c>
    </row>
    <row r="6289" spans="1:40" x14ac:dyDescent="0.25">
      <c r="A6289" t="str">
        <f>"20190312172533624"</f>
        <v>20190312172533624</v>
      </c>
      <c r="B6289" t="str">
        <f>"1552382733616267"</f>
        <v>1552382733616267</v>
      </c>
      <c r="C6289" t="s">
        <v>40</v>
      </c>
      <c r="D6289">
        <v>3.731122</v>
      </c>
      <c r="E6289">
        <v>0.46927370000000002</v>
      </c>
      <c r="F6289" t="s">
        <v>55</v>
      </c>
      <c r="G6289">
        <v>-258.87450000000001</v>
      </c>
      <c r="H6289" s="1">
        <v>-3.2905329999999999E-6</v>
      </c>
      <c r="I6289">
        <v>-62.234749999999998</v>
      </c>
      <c r="J6289">
        <v>-281.04239999999999</v>
      </c>
      <c r="K6289">
        <v>1.112018</v>
      </c>
      <c r="L6289">
        <v>-59.663539999999998</v>
      </c>
      <c r="M6289">
        <v>0.94716900000000004</v>
      </c>
      <c r="N6289">
        <v>0</v>
      </c>
      <c r="O6289">
        <v>-0.32064130000000002</v>
      </c>
      <c r="P6289">
        <v>0.96393099999999998</v>
      </c>
      <c r="Q6289">
        <v>0.17490810000000001</v>
      </c>
      <c r="R6289">
        <v>-0.2006098</v>
      </c>
      <c r="S6289">
        <v>3.0663149999999999</v>
      </c>
      <c r="T6289">
        <v>-0.15328029999999901</v>
      </c>
      <c r="U6289">
        <v>-0.35772710000000002</v>
      </c>
      <c r="V6289">
        <v>-0.1199973</v>
      </c>
      <c r="W6289">
        <v>0.18187800000000001</v>
      </c>
      <c r="X6289">
        <v>0.97597179999999994</v>
      </c>
      <c r="Y6289">
        <v>-0.20809730000000001</v>
      </c>
      <c r="Z6289">
        <v>2.085507E-2</v>
      </c>
      <c r="AA6289">
        <v>0.97788580000000003</v>
      </c>
      <c r="AB6289">
        <v>17</v>
      </c>
      <c r="AC6289">
        <v>22.1678999999999</v>
      </c>
      <c r="AD6289">
        <v>-1.112021290533</v>
      </c>
      <c r="AE6289">
        <v>-2.57120999999999</v>
      </c>
      <c r="AF6289">
        <v>-4.66114062829479</v>
      </c>
      <c r="AG6289">
        <v>-1.112021290533</v>
      </c>
      <c r="AH6289">
        <v>21.767789908799902</v>
      </c>
      <c r="AI6289">
        <v>92.859733033850802</v>
      </c>
      <c r="AJ6289">
        <v>102.08623622207899</v>
      </c>
      <c r="AK6289">
        <v>22.288999547332502</v>
      </c>
      <c r="AL6289">
        <v>79.520832400706695</v>
      </c>
      <c r="AM6289">
        <v>97.009428626197405</v>
      </c>
      <c r="AN6289">
        <v>0.99999995664326402</v>
      </c>
    </row>
    <row r="6290" spans="1:40" x14ac:dyDescent="0.25">
      <c r="A6290" t="str">
        <f>"20190312172533634"</f>
        <v>20190312172533634</v>
      </c>
      <c r="B6290" t="str">
        <f>"1552382733627003"</f>
        <v>1552382733627003</v>
      </c>
      <c r="C6290" t="s">
        <v>40</v>
      </c>
      <c r="D6290">
        <v>3.6475629999999999</v>
      </c>
      <c r="E6290">
        <v>0.46933950000000002</v>
      </c>
      <c r="F6290" t="s">
        <v>55</v>
      </c>
      <c r="G6290">
        <v>-259.70979999999997</v>
      </c>
      <c r="H6290" s="1">
        <v>-3.5544639999999999E-6</v>
      </c>
      <c r="I6290">
        <v>-62.082529999999998</v>
      </c>
      <c r="J6290">
        <v>-280.95819999999998</v>
      </c>
      <c r="K6290">
        <v>1.112015</v>
      </c>
      <c r="L6290">
        <v>-59.689329999999998</v>
      </c>
      <c r="M6290">
        <v>0.94789920000000005</v>
      </c>
      <c r="N6290">
        <v>0</v>
      </c>
      <c r="O6290">
        <v>-0.31847940000000002</v>
      </c>
      <c r="P6290">
        <v>0.96432169999999895</v>
      </c>
      <c r="Q6290">
        <v>0.17500879999999999</v>
      </c>
      <c r="R6290">
        <v>-0.19863410000000001</v>
      </c>
      <c r="S6290">
        <v>3.0688780000000002</v>
      </c>
      <c r="T6290">
        <v>-0.1599737</v>
      </c>
      <c r="U6290">
        <v>-0.34799190000000002</v>
      </c>
      <c r="V6290">
        <v>-0.1197708</v>
      </c>
      <c r="W6290">
        <v>0.1818311</v>
      </c>
      <c r="X6290">
        <v>0.9760084</v>
      </c>
      <c r="Y6290">
        <v>-0.20896670000000001</v>
      </c>
      <c r="Z6290">
        <v>2.1668570000000002E-2</v>
      </c>
      <c r="AA6290">
        <v>0.97768270000000002</v>
      </c>
      <c r="AB6290">
        <v>18</v>
      </c>
      <c r="AC6290">
        <v>21.2484</v>
      </c>
      <c r="AD6290">
        <v>-1.112018554464</v>
      </c>
      <c r="AE6290">
        <v>-2.3932000000000002</v>
      </c>
      <c r="AF6290">
        <v>-4.4866612797254701</v>
      </c>
      <c r="AG6290">
        <v>-1.112018554464</v>
      </c>
      <c r="AH6290">
        <v>20.847748224638099</v>
      </c>
      <c r="AI6290">
        <v>92.985045517457607</v>
      </c>
      <c r="AJ6290">
        <v>102.14542583946999</v>
      </c>
      <c r="AK6290">
        <v>21.3540469406237</v>
      </c>
      <c r="AL6290">
        <v>79.523565548242701</v>
      </c>
      <c r="AM6290">
        <v>96.996069519747294</v>
      </c>
      <c r="AN6290">
        <v>0.99999999516520499</v>
      </c>
    </row>
    <row r="6291" spans="1:40" x14ac:dyDescent="0.25">
      <c r="A6291" t="str">
        <f>"20190312172533646"</f>
        <v>20190312172533646</v>
      </c>
      <c r="B6291" t="str">
        <f>"1552382733636764"</f>
        <v>1552382733636764</v>
      </c>
      <c r="C6291" t="s">
        <v>40</v>
      </c>
      <c r="D6291">
        <v>3.621121</v>
      </c>
      <c r="E6291">
        <v>0.4694932</v>
      </c>
      <c r="F6291" t="s">
        <v>55</v>
      </c>
      <c r="G6291">
        <v>-259.73480000000001</v>
      </c>
      <c r="H6291" s="1">
        <v>-3.5591669999999999E-6</v>
      </c>
      <c r="I6291">
        <v>-62.05415</v>
      </c>
      <c r="J6291">
        <v>-280.87200000000001</v>
      </c>
      <c r="K6291">
        <v>1.1120099999999999</v>
      </c>
      <c r="L6291">
        <v>-59.715609999999998</v>
      </c>
      <c r="M6291">
        <v>0.94864170000000003</v>
      </c>
      <c r="N6291">
        <v>0</v>
      </c>
      <c r="O6291">
        <v>-0.31626459999999901</v>
      </c>
      <c r="P6291">
        <v>0.96477539999999995</v>
      </c>
      <c r="Q6291">
        <v>0.17482239999999999</v>
      </c>
      <c r="R6291">
        <v>-0.19658539999999999</v>
      </c>
      <c r="S6291">
        <v>3.0697019999999999</v>
      </c>
      <c r="T6291">
        <v>-0.16083929999999999</v>
      </c>
      <c r="U6291">
        <v>-0.34204099999999998</v>
      </c>
      <c r="V6291">
        <v>-0.11957959999999999</v>
      </c>
      <c r="W6291">
        <v>0.18149489999999999</v>
      </c>
      <c r="X6291">
        <v>0.97609440000000003</v>
      </c>
      <c r="Y6291">
        <v>-0.2085795</v>
      </c>
      <c r="Z6291">
        <v>2.1663490000000001E-2</v>
      </c>
      <c r="AA6291">
        <v>0.97776540000000001</v>
      </c>
      <c r="AB6291">
        <v>18</v>
      </c>
      <c r="AC6291">
        <v>21.1372</v>
      </c>
      <c r="AD6291">
        <v>-1.112013559167</v>
      </c>
      <c r="AE6291">
        <v>-2.3385400000000001</v>
      </c>
      <c r="AF6291">
        <v>-4.4544560870790599</v>
      </c>
      <c r="AG6291">
        <v>-1.112013559167</v>
      </c>
      <c r="AH6291">
        <v>20.735109653969101</v>
      </c>
      <c r="AI6291">
        <v>93.001454530999396</v>
      </c>
      <c r="AJ6291">
        <v>102.124391572552</v>
      </c>
      <c r="AK6291">
        <v>21.237314461805401</v>
      </c>
      <c r="AL6291">
        <v>79.543154154956696</v>
      </c>
      <c r="AM6291">
        <v>96.984402191029801</v>
      </c>
      <c r="AN6291">
        <v>0.99999997858676404</v>
      </c>
    </row>
    <row r="6292" spans="1:40" x14ac:dyDescent="0.25">
      <c r="A6292" t="str">
        <f>"20190312172533658"</f>
        <v>20190312172533658</v>
      </c>
      <c r="B6292" t="str">
        <f>"1552382733646522"</f>
        <v>1552382733646522</v>
      </c>
      <c r="C6292" t="s">
        <v>40</v>
      </c>
      <c r="D6292">
        <v>3.624962</v>
      </c>
      <c r="E6292">
        <v>0.469777</v>
      </c>
      <c r="F6292" t="s">
        <v>55</v>
      </c>
      <c r="G6292">
        <v>-259.76010000000002</v>
      </c>
      <c r="H6292" s="1">
        <v>-3.564486E-6</v>
      </c>
      <c r="I6292">
        <v>-62.029350000000001</v>
      </c>
      <c r="J6292">
        <v>-280.78429999999997</v>
      </c>
      <c r="K6292">
        <v>1.1120049999999999</v>
      </c>
      <c r="L6292">
        <v>-59.742100000000001</v>
      </c>
      <c r="M6292">
        <v>0.94939019999999996</v>
      </c>
      <c r="N6292">
        <v>0</v>
      </c>
      <c r="O6292">
        <v>-0.31401440000000003</v>
      </c>
      <c r="P6292">
        <v>0.96520289999999997</v>
      </c>
      <c r="Q6292">
        <v>0.17493259999999999</v>
      </c>
      <c r="R6292">
        <v>-0.19437769999999999</v>
      </c>
      <c r="S6292">
        <v>3.0702820000000002</v>
      </c>
      <c r="T6292">
        <v>-0.16171959999999999</v>
      </c>
      <c r="U6292">
        <v>-0.33648679999999997</v>
      </c>
      <c r="V6292">
        <v>-0.1194987</v>
      </c>
      <c r="W6292">
        <v>0.18145130000000001</v>
      </c>
      <c r="X6292">
        <v>0.97611239999999999</v>
      </c>
      <c r="Y6292">
        <v>-0.20802419999999999</v>
      </c>
      <c r="Z6292">
        <v>2.1654240000000002E-2</v>
      </c>
      <c r="AA6292">
        <v>0.97788390000000003</v>
      </c>
      <c r="AB6292">
        <v>18</v>
      </c>
      <c r="AC6292">
        <v>21.024199999999901</v>
      </c>
      <c r="AD6292">
        <v>-1.1120085644859901</v>
      </c>
      <c r="AE6292">
        <v>-2.2872499999999998</v>
      </c>
      <c r="AF6292">
        <v>-4.4183108290830102</v>
      </c>
      <c r="AG6292">
        <v>-1.1120085644859901</v>
      </c>
      <c r="AH6292">
        <v>20.621932995715699</v>
      </c>
      <c r="AI6292">
        <v>93.018237622025495</v>
      </c>
      <c r="AJ6292">
        <v>102.092964483869</v>
      </c>
      <c r="AK6292">
        <v>21.119236589177898</v>
      </c>
      <c r="AL6292">
        <v>79.545694291641993</v>
      </c>
      <c r="AM6292">
        <v>96.979596170594604</v>
      </c>
      <c r="AN6292">
        <v>0.99999996550356895</v>
      </c>
    </row>
    <row r="6293" spans="1:40" x14ac:dyDescent="0.25">
      <c r="A6293" t="str">
        <f>"20190312172533680"</f>
        <v>20190312172533680</v>
      </c>
      <c r="B6293" t="str">
        <f>"1552382733676780"</f>
        <v>1552382733676780</v>
      </c>
      <c r="C6293" t="s">
        <v>40</v>
      </c>
      <c r="D6293">
        <v>3.775512</v>
      </c>
      <c r="E6293">
        <v>0.47074050000000001</v>
      </c>
      <c r="F6293" t="s">
        <v>55</v>
      </c>
      <c r="G6293">
        <v>-259.66719999999998</v>
      </c>
      <c r="H6293" s="1">
        <v>-3.5318740000000001E-6</v>
      </c>
      <c r="I6293">
        <v>-62.022080000000003</v>
      </c>
      <c r="J6293">
        <v>-280.61919999999998</v>
      </c>
      <c r="K6293">
        <v>1.1119969999999999</v>
      </c>
      <c r="L6293">
        <v>-59.791379999999997</v>
      </c>
      <c r="M6293">
        <v>0.95078300000000004</v>
      </c>
      <c r="N6293">
        <v>0</v>
      </c>
      <c r="O6293">
        <v>-0.30977789999999999</v>
      </c>
      <c r="P6293">
        <v>0.96595310000000001</v>
      </c>
      <c r="Q6293">
        <v>0.1751125</v>
      </c>
      <c r="R6293">
        <v>-0.19044759999999999</v>
      </c>
      <c r="S6293">
        <v>3.0707399999999998</v>
      </c>
      <c r="T6293">
        <v>-0.16170199999999901</v>
      </c>
      <c r="U6293">
        <v>-0.33154299999999998</v>
      </c>
      <c r="V6293">
        <v>-0.1191198</v>
      </c>
      <c r="W6293">
        <v>0.1813477</v>
      </c>
      <c r="X6293">
        <v>0.97617799999999999</v>
      </c>
      <c r="Y6293">
        <v>-0.2052428</v>
      </c>
      <c r="Z6293">
        <v>2.1366969999999999E-2</v>
      </c>
      <c r="AA6293">
        <v>0.97847779999999995</v>
      </c>
      <c r="AB6293">
        <v>18</v>
      </c>
      <c r="AC6293">
        <v>20.952000000000002</v>
      </c>
      <c r="AD6293">
        <v>-1.1120005318739901</v>
      </c>
      <c r="AE6293">
        <v>-2.2306999999999899</v>
      </c>
      <c r="AF6293">
        <v>-4.3575259322998399</v>
      </c>
      <c r="AG6293">
        <v>-1.1120005318739901</v>
      </c>
      <c r="AH6293">
        <v>20.5550844778409</v>
      </c>
      <c r="AI6293">
        <v>93.029406414317805</v>
      </c>
      <c r="AJ6293">
        <v>101.96908096827801</v>
      </c>
      <c r="AK6293">
        <v>21.041294525877699</v>
      </c>
      <c r="AL6293">
        <v>79.551730653568299</v>
      </c>
      <c r="AM6293">
        <v>96.957219927250804</v>
      </c>
      <c r="AN6293">
        <v>1.00000000136566</v>
      </c>
    </row>
    <row r="6294" spans="1:40" x14ac:dyDescent="0.25">
      <c r="A6294" t="str">
        <f>"20190312172533691"</f>
        <v>20190312172533691</v>
      </c>
      <c r="B6294" t="str">
        <f>"1552382733686538"</f>
        <v>1552382733686538</v>
      </c>
      <c r="C6294" t="s">
        <v>40</v>
      </c>
      <c r="D6294">
        <v>3.7466789999999999</v>
      </c>
      <c r="E6294">
        <v>0.47102939999999999</v>
      </c>
      <c r="F6294" t="s">
        <v>55</v>
      </c>
      <c r="G6294">
        <v>-259.04199999999997</v>
      </c>
      <c r="H6294" s="1">
        <v>-3.3273969999999998E-6</v>
      </c>
      <c r="I6294">
        <v>-62.084000000000003</v>
      </c>
      <c r="J6294">
        <v>-280.536</v>
      </c>
      <c r="K6294">
        <v>1.111991</v>
      </c>
      <c r="L6294">
        <v>-59.815829999999998</v>
      </c>
      <c r="M6294">
        <v>0.95147539999999997</v>
      </c>
      <c r="N6294">
        <v>0</v>
      </c>
      <c r="O6294">
        <v>-0.30764799999999998</v>
      </c>
      <c r="P6294">
        <v>0.966275</v>
      </c>
      <c r="Q6294">
        <v>0.17530319999999999</v>
      </c>
      <c r="R6294">
        <v>-0.1886312</v>
      </c>
      <c r="S6294">
        <v>3.0700989999999999</v>
      </c>
      <c r="T6294">
        <v>-0.1582199</v>
      </c>
      <c r="U6294">
        <v>-0.3262024</v>
      </c>
      <c r="V6294">
        <v>-0.11876440000000001</v>
      </c>
      <c r="W6294">
        <v>0.18139920000000001</v>
      </c>
      <c r="X6294">
        <v>0.97621170000000002</v>
      </c>
      <c r="Y6294">
        <v>-0.20474410000000001</v>
      </c>
      <c r="Z6294">
        <v>2.0797670000000001E-2</v>
      </c>
      <c r="AA6294">
        <v>0.97859450000000003</v>
      </c>
      <c r="AB6294">
        <v>18</v>
      </c>
      <c r="AC6294">
        <v>21.4939999999999</v>
      </c>
      <c r="AD6294">
        <v>-1.1119943273970001</v>
      </c>
      <c r="AE6294">
        <v>-2.2681699999999898</v>
      </c>
      <c r="AF6294">
        <v>-4.4428230923782204</v>
      </c>
      <c r="AG6294">
        <v>-1.1119943273970001</v>
      </c>
      <c r="AH6294">
        <v>21.093474731970002</v>
      </c>
      <c r="AI6294">
        <v>92.953020984494202</v>
      </c>
      <c r="AJ6294">
        <v>101.894098104131</v>
      </c>
      <c r="AK6294">
        <v>21.584945788270801</v>
      </c>
      <c r="AL6294">
        <v>79.548729801247603</v>
      </c>
      <c r="AM6294">
        <v>96.936428112653999</v>
      </c>
      <c r="AN6294">
        <v>0.99999996784244405</v>
      </c>
    </row>
    <row r="6295" spans="1:40" x14ac:dyDescent="0.25">
      <c r="A6295" t="str">
        <f>"20190312172533702"</f>
        <v>20190312172533702</v>
      </c>
      <c r="B6295" t="str">
        <f>"1552382733696298"</f>
        <v>1552382733696298</v>
      </c>
      <c r="C6295" t="s">
        <v>40</v>
      </c>
      <c r="D6295">
        <v>3.729012</v>
      </c>
      <c r="E6295">
        <v>0.47105010000000003</v>
      </c>
      <c r="F6295" t="s">
        <v>55</v>
      </c>
      <c r="G6295">
        <v>-258.67950000000002</v>
      </c>
      <c r="H6295" s="1">
        <v>-3.2078340000000001E-6</v>
      </c>
      <c r="I6295">
        <v>-62.112299999999998</v>
      </c>
      <c r="J6295">
        <v>-280.44850000000002</v>
      </c>
      <c r="K6295">
        <v>1.111985</v>
      </c>
      <c r="L6295">
        <v>-59.841459999999998</v>
      </c>
      <c r="M6295">
        <v>0.95219799999999999</v>
      </c>
      <c r="N6295">
        <v>0</v>
      </c>
      <c r="O6295">
        <v>-0.30540719999999999</v>
      </c>
      <c r="P6295">
        <v>0.96667460000000005</v>
      </c>
      <c r="Q6295">
        <v>0.17520069999999999</v>
      </c>
      <c r="R6295">
        <v>-0.18666779999999999</v>
      </c>
      <c r="S6295">
        <v>3.0700379999999998</v>
      </c>
      <c r="T6295">
        <v>-0.15619459999999999</v>
      </c>
      <c r="U6295">
        <v>-0.32257079999999999</v>
      </c>
      <c r="V6295">
        <v>-0.1184595</v>
      </c>
      <c r="W6295">
        <v>0.18115020000000001</v>
      </c>
      <c r="X6295">
        <v>0.97629500000000002</v>
      </c>
      <c r="Y6295">
        <v>-0.20360310000000001</v>
      </c>
      <c r="Z6295">
        <v>2.0396850000000001E-2</v>
      </c>
      <c r="AA6295">
        <v>0.97884099999999996</v>
      </c>
      <c r="AB6295">
        <v>18</v>
      </c>
      <c r="AC6295">
        <v>21.768999999999998</v>
      </c>
      <c r="AD6295">
        <v>-1.111988207834</v>
      </c>
      <c r="AE6295">
        <v>-2.2708400000000002</v>
      </c>
      <c r="AF6295">
        <v>-4.4746718327958002</v>
      </c>
      <c r="AG6295">
        <v>-1.111988207834</v>
      </c>
      <c r="AH6295">
        <v>21.367262202447399</v>
      </c>
      <c r="AI6295">
        <v>92.915939796458005</v>
      </c>
      <c r="AJ6295">
        <v>101.82779278284499</v>
      </c>
      <c r="AK6295">
        <v>21.859073626613601</v>
      </c>
      <c r="AL6295">
        <v>79.563237003603703</v>
      </c>
      <c r="AM6295">
        <v>96.918208665509397</v>
      </c>
      <c r="AN6295">
        <v>0.99999998756264497</v>
      </c>
    </row>
    <row r="6296" spans="1:40" x14ac:dyDescent="0.25">
      <c r="A6296" t="str">
        <f>"20190312172533712"</f>
        <v>20190312172533712</v>
      </c>
      <c r="B6296" t="str">
        <f>"1552382733707034"</f>
        <v>1552382733707034</v>
      </c>
      <c r="C6296" t="s">
        <v>40</v>
      </c>
      <c r="D6296">
        <v>3.6660059999999999</v>
      </c>
      <c r="E6296">
        <v>0.4712652</v>
      </c>
      <c r="F6296" t="s">
        <v>55</v>
      </c>
      <c r="G6296">
        <v>-258.78579999999999</v>
      </c>
      <c r="H6296" s="1">
        <v>-3.2385380000000002E-6</v>
      </c>
      <c r="I6296">
        <v>-62.071480000000001</v>
      </c>
      <c r="J6296">
        <v>-280.36110000000002</v>
      </c>
      <c r="K6296">
        <v>1.1119810000000001</v>
      </c>
      <c r="L6296">
        <v>-59.866729999999997</v>
      </c>
      <c r="M6296">
        <v>0.95291269999999995</v>
      </c>
      <c r="N6296">
        <v>0</v>
      </c>
      <c r="O6296">
        <v>-0.30317369999999999</v>
      </c>
      <c r="P6296">
        <v>0.96706650000000005</v>
      </c>
      <c r="Q6296">
        <v>0.17506089999999999</v>
      </c>
      <c r="R6296">
        <v>-0.18476100000000001</v>
      </c>
      <c r="S6296">
        <v>3.0709529999999998</v>
      </c>
      <c r="T6296">
        <v>-0.15763779999999999</v>
      </c>
      <c r="U6296">
        <v>-0.31613160000000001</v>
      </c>
      <c r="V6296">
        <v>-0.118108199999999</v>
      </c>
      <c r="W6296">
        <v>0.1808661</v>
      </c>
      <c r="X6296">
        <v>0.97639019999999999</v>
      </c>
      <c r="Y6296">
        <v>-0.2033595</v>
      </c>
      <c r="Z6296">
        <v>2.046709E-2</v>
      </c>
      <c r="AA6296">
        <v>0.97889020000000004</v>
      </c>
      <c r="AB6296">
        <v>18</v>
      </c>
      <c r="AC6296">
        <v>21.575299999999999</v>
      </c>
      <c r="AD6296">
        <v>-1.1119842385380001</v>
      </c>
      <c r="AE6296">
        <v>-2.2047500000000002</v>
      </c>
      <c r="AF6296">
        <v>-4.4285826836912401</v>
      </c>
      <c r="AG6296">
        <v>-1.1119842385380001</v>
      </c>
      <c r="AH6296">
        <v>21.172596629377601</v>
      </c>
      <c r="AI6296">
        <v>92.942840282684699</v>
      </c>
      <c r="AJ6296">
        <v>101.813992980327</v>
      </c>
      <c r="AK6296">
        <v>21.6593559821934</v>
      </c>
      <c r="AL6296">
        <v>79.579787819967706</v>
      </c>
      <c r="AM6296">
        <v>96.897224109333905</v>
      </c>
      <c r="AN6296">
        <v>0.99999995784624396</v>
      </c>
    </row>
    <row r="6297" spans="1:40" x14ac:dyDescent="0.25">
      <c r="A6297" t="str">
        <f>"20190312172533724"</f>
        <v>20190312172533724</v>
      </c>
      <c r="B6297" t="str">
        <f>"1552382733716794"</f>
        <v>1552382733716794</v>
      </c>
      <c r="C6297" t="s">
        <v>40</v>
      </c>
      <c r="D6297">
        <v>3.788081</v>
      </c>
      <c r="E6297">
        <v>0.47128019999999998</v>
      </c>
      <c r="F6297" t="s">
        <v>55</v>
      </c>
      <c r="G6297">
        <v>-258.86470000000003</v>
      </c>
      <c r="H6297" s="1">
        <v>-3.2621679999999998E-6</v>
      </c>
      <c r="I6297">
        <v>-62.047229999999999</v>
      </c>
      <c r="J6297">
        <v>-280.27730000000003</v>
      </c>
      <c r="K6297">
        <v>1.111974</v>
      </c>
      <c r="L6297">
        <v>-59.890810000000002</v>
      </c>
      <c r="M6297">
        <v>0.95359119999999997</v>
      </c>
      <c r="N6297">
        <v>0</v>
      </c>
      <c r="O6297">
        <v>-0.301035099999999</v>
      </c>
      <c r="P6297">
        <v>0.96744520000000001</v>
      </c>
      <c r="Q6297">
        <v>0.1749734</v>
      </c>
      <c r="R6297">
        <v>-0.18285090000000001</v>
      </c>
      <c r="S6297">
        <v>3.0714419999999998</v>
      </c>
      <c r="T6297">
        <v>-0.15888260000000001</v>
      </c>
      <c r="U6297">
        <v>-0.311554</v>
      </c>
      <c r="V6297">
        <v>-0.1178553</v>
      </c>
      <c r="W6297">
        <v>0.1806391</v>
      </c>
      <c r="X6297">
        <v>0.97646279999999996</v>
      </c>
      <c r="Y6297">
        <v>-0.20261599999999999</v>
      </c>
      <c r="Z6297">
        <v>2.0503130000000001E-2</v>
      </c>
      <c r="AA6297">
        <v>0.97904360000000001</v>
      </c>
      <c r="AB6297">
        <v>18</v>
      </c>
      <c r="AC6297">
        <v>21.412600000000001</v>
      </c>
      <c r="AD6297">
        <v>-1.111977262168</v>
      </c>
      <c r="AE6297">
        <v>-2.15642000000001</v>
      </c>
      <c r="AF6297">
        <v>-4.3780043793806298</v>
      </c>
      <c r="AG6297">
        <v>-1.111977262168</v>
      </c>
      <c r="AH6297">
        <v>21.012366478231499</v>
      </c>
      <c r="AI6297">
        <v>92.965703369790305</v>
      </c>
      <c r="AJ6297">
        <v>101.76940751412</v>
      </c>
      <c r="AK6297">
        <v>21.4923930913465</v>
      </c>
      <c r="AL6297">
        <v>79.593011991633006</v>
      </c>
      <c r="AM6297">
        <v>96.882090380554004</v>
      </c>
      <c r="AN6297">
        <v>0.99999997798536899</v>
      </c>
    </row>
    <row r="6298" spans="1:40" x14ac:dyDescent="0.25">
      <c r="A6298" t="str">
        <f>"20190312172533735"</f>
        <v>20190312172533735</v>
      </c>
      <c r="B6298" t="str">
        <f>"1552382733726554"</f>
        <v>1552382733726554</v>
      </c>
      <c r="C6298" t="s">
        <v>40</v>
      </c>
      <c r="D6298">
        <v>3.6127379999999998</v>
      </c>
      <c r="E6298">
        <v>0.4714971</v>
      </c>
      <c r="F6298" t="s">
        <v>55</v>
      </c>
      <c r="G6298">
        <v>-259.1155</v>
      </c>
      <c r="H6298" s="1">
        <v>-3.3405609999999998E-6</v>
      </c>
      <c r="I6298">
        <v>-61.9953</v>
      </c>
      <c r="J6298">
        <v>-280.18959999999998</v>
      </c>
      <c r="K6298">
        <v>1.1119680000000001</v>
      </c>
      <c r="L6298">
        <v>-59.915799999999997</v>
      </c>
      <c r="M6298">
        <v>0.95429549999999996</v>
      </c>
      <c r="N6298">
        <v>0</v>
      </c>
      <c r="O6298">
        <v>-0.29879820000000001</v>
      </c>
      <c r="P6298">
        <v>0.9678137</v>
      </c>
      <c r="Q6298">
        <v>0.1749907</v>
      </c>
      <c r="R6298">
        <v>-0.1808728</v>
      </c>
      <c r="S6298">
        <v>3.0723880000000001</v>
      </c>
      <c r="T6298">
        <v>-0.1614428</v>
      </c>
      <c r="U6298">
        <v>-0.30554199999999998</v>
      </c>
      <c r="V6298">
        <v>-0.1175657</v>
      </c>
      <c r="W6298">
        <v>0.18051010000000001</v>
      </c>
      <c r="X6298">
        <v>0.97652159999999999</v>
      </c>
      <c r="Y6298">
        <v>-0.20222899999999999</v>
      </c>
      <c r="Z6298">
        <v>2.0707670000000001E-2</v>
      </c>
      <c r="AA6298">
        <v>0.97911930000000003</v>
      </c>
      <c r="AB6298">
        <v>18</v>
      </c>
      <c r="AC6298">
        <v>21.074099999999898</v>
      </c>
      <c r="AD6298">
        <v>-1.1119713405609899</v>
      </c>
      <c r="AE6298">
        <v>-2.0794999999999999</v>
      </c>
      <c r="AF6298">
        <v>-4.3006731722161096</v>
      </c>
      <c r="AG6298">
        <v>-1.1119713405609899</v>
      </c>
      <c r="AH6298">
        <v>20.675672934542298</v>
      </c>
      <c r="AI6298">
        <v>93.014102550184205</v>
      </c>
      <c r="AJ6298">
        <v>101.75033738853099</v>
      </c>
      <c r="AK6298">
        <v>21.147475530015701</v>
      </c>
      <c r="AL6298">
        <v>79.600527043549405</v>
      </c>
      <c r="AM6298">
        <v>96.864931515895506</v>
      </c>
      <c r="AN6298">
        <v>1.0000000126425299</v>
      </c>
    </row>
    <row r="6299" spans="1:40" x14ac:dyDescent="0.25">
      <c r="A6299" t="str">
        <f>"20190312172533747"</f>
        <v>20190312172533747</v>
      </c>
      <c r="B6299" t="str">
        <f>"1552382733736315"</f>
        <v>1552382733736315</v>
      </c>
      <c r="C6299" t="s">
        <v>40</v>
      </c>
      <c r="D6299">
        <v>3.6225429999999998</v>
      </c>
      <c r="E6299">
        <v>0.4714971</v>
      </c>
      <c r="F6299" t="s">
        <v>55</v>
      </c>
      <c r="G6299">
        <v>-259.06639999999999</v>
      </c>
      <c r="H6299" s="1">
        <v>-3.322417E-6</v>
      </c>
      <c r="I6299">
        <v>-61.984479999999998</v>
      </c>
      <c r="J6299">
        <v>-280.10270000000003</v>
      </c>
      <c r="K6299">
        <v>1.1119619999999999</v>
      </c>
      <c r="L6299">
        <v>-59.940339999999999</v>
      </c>
      <c r="M6299">
        <v>0.95498660000000002</v>
      </c>
      <c r="N6299">
        <v>0</v>
      </c>
      <c r="O6299">
        <v>-0.2965853</v>
      </c>
      <c r="P6299">
        <v>0.96817260000000005</v>
      </c>
      <c r="Q6299">
        <v>0.17501</v>
      </c>
      <c r="R6299">
        <v>-0.1789232</v>
      </c>
      <c r="S6299">
        <v>3.0728149999999999</v>
      </c>
      <c r="T6299">
        <v>-0.16175989999999901</v>
      </c>
      <c r="U6299">
        <v>-0.30093379999999997</v>
      </c>
      <c r="V6299">
        <v>-0.1172723</v>
      </c>
      <c r="W6299">
        <v>0.1803844</v>
      </c>
      <c r="X6299">
        <v>0.97658009999999995</v>
      </c>
      <c r="Y6299">
        <v>-0.20142760000000001</v>
      </c>
      <c r="Z6299">
        <v>2.0615629999999999E-2</v>
      </c>
      <c r="AA6299">
        <v>0.9792864</v>
      </c>
      <c r="AB6299">
        <v>18</v>
      </c>
      <c r="AC6299">
        <v>21.036300000000001</v>
      </c>
      <c r="AD6299">
        <v>-1.1119653224169901</v>
      </c>
      <c r="AE6299">
        <v>-2.0441400000000001</v>
      </c>
      <c r="AF6299">
        <v>-4.275178375067</v>
      </c>
      <c r="AG6299">
        <v>-1.1119653224169901</v>
      </c>
      <c r="AH6299">
        <v>20.638909174209399</v>
      </c>
      <c r="AI6299">
        <v>93.019963975291404</v>
      </c>
      <c r="AJ6299">
        <v>101.702836957123</v>
      </c>
      <c r="AK6299">
        <v>21.106354230851</v>
      </c>
      <c r="AL6299">
        <v>79.6078492708954</v>
      </c>
      <c r="AM6299">
        <v>96.847555787969796</v>
      </c>
      <c r="AN6299">
        <v>1.00000000791333</v>
      </c>
    </row>
    <row r="6300" spans="1:40" x14ac:dyDescent="0.25">
      <c r="A6300" t="str">
        <f>"20190312172533756"</f>
        <v>20190312172533756</v>
      </c>
      <c r="B6300" t="str">
        <f>"1552382733747051"</f>
        <v>1552382733747051</v>
      </c>
      <c r="C6300" t="s">
        <v>40</v>
      </c>
      <c r="D6300">
        <v>3.5768779999999998</v>
      </c>
      <c r="E6300">
        <v>0.47013319999999997</v>
      </c>
      <c r="F6300" t="s">
        <v>55</v>
      </c>
      <c r="G6300">
        <v>-258.96280000000002</v>
      </c>
      <c r="H6300" s="1">
        <v>-3.2847690000000001E-6</v>
      </c>
      <c r="I6300">
        <v>-61.96658</v>
      </c>
      <c r="J6300">
        <v>-280.01830000000001</v>
      </c>
      <c r="K6300">
        <v>1.111955</v>
      </c>
      <c r="L6300">
        <v>-59.96405</v>
      </c>
      <c r="M6300">
        <v>0.95565239999999996</v>
      </c>
      <c r="N6300">
        <v>0</v>
      </c>
      <c r="O6300">
        <v>-0.29443619999999998</v>
      </c>
      <c r="P6300">
        <v>0.96848129999999999</v>
      </c>
      <c r="Q6300">
        <v>0.1752755</v>
      </c>
      <c r="R6300">
        <v>-0.1769829</v>
      </c>
      <c r="S6300">
        <v>3.0734249999999999</v>
      </c>
      <c r="T6300">
        <v>-0.16166329999999901</v>
      </c>
      <c r="U6300">
        <v>-0.29458620000000002</v>
      </c>
      <c r="V6300">
        <v>-0.11702419999999999</v>
      </c>
      <c r="W6300">
        <v>0.18050820000000001</v>
      </c>
      <c r="X6300">
        <v>0.97658699999999998</v>
      </c>
      <c r="Y6300">
        <v>-0.2012506</v>
      </c>
      <c r="Z6300">
        <v>2.0489899999999998E-2</v>
      </c>
      <c r="AA6300">
        <v>0.97932549999999996</v>
      </c>
      <c r="AB6300">
        <v>18</v>
      </c>
      <c r="AC6300">
        <v>21.055499999999899</v>
      </c>
      <c r="AD6300">
        <v>-1.1119582847689999</v>
      </c>
      <c r="AE6300">
        <v>-2.0025300000000001</v>
      </c>
      <c r="AF6300">
        <v>-4.2740421824817201</v>
      </c>
      <c r="AG6300">
        <v>-1.1119582847689999</v>
      </c>
      <c r="AH6300">
        <v>20.654638281780901</v>
      </c>
      <c r="AI6300">
        <v>93.017776597304405</v>
      </c>
      <c r="AJ6300">
        <v>101.69114810649</v>
      </c>
      <c r="AK6300">
        <v>21.121504926399201</v>
      </c>
      <c r="AL6300">
        <v>79.600637812683104</v>
      </c>
      <c r="AM6300">
        <v>96.833158469392899</v>
      </c>
      <c r="AN6300">
        <v>1.0000000211109299</v>
      </c>
    </row>
    <row r="6301" spans="1:40" x14ac:dyDescent="0.25">
      <c r="A6301" t="str">
        <f>"20190312172533768"</f>
        <v>20190312172533768</v>
      </c>
      <c r="B6301" t="str">
        <f>"1552382733756811"</f>
        <v>1552382733756811</v>
      </c>
      <c r="C6301" t="s">
        <v>40</v>
      </c>
      <c r="D6301">
        <v>3.5967530000000001</v>
      </c>
      <c r="E6301">
        <v>0.46912989999999999</v>
      </c>
      <c r="F6301" t="s">
        <v>55</v>
      </c>
      <c r="G6301">
        <v>-259.34589999999997</v>
      </c>
      <c r="H6301" s="1">
        <v>-3.3966249999999999E-6</v>
      </c>
      <c r="I6301">
        <v>-61.828049999999998</v>
      </c>
      <c r="J6301">
        <v>-279.9314</v>
      </c>
      <c r="K6301">
        <v>1.111945</v>
      </c>
      <c r="L6301">
        <v>-59.988129999999998</v>
      </c>
      <c r="M6301">
        <v>0.95632989999999996</v>
      </c>
      <c r="N6301">
        <v>0</v>
      </c>
      <c r="O6301">
        <v>-0.29223070000000001</v>
      </c>
      <c r="P6301">
        <v>0.96881689999999998</v>
      </c>
      <c r="Q6301">
        <v>0.1753796</v>
      </c>
      <c r="R6301">
        <v>-0.17503089999999999</v>
      </c>
      <c r="S6301">
        <v>3.0768430000000002</v>
      </c>
      <c r="T6301">
        <v>-0.16550239999999999</v>
      </c>
      <c r="U6301">
        <v>-0.2774353</v>
      </c>
      <c r="V6301">
        <v>-0.1167388</v>
      </c>
      <c r="W6301">
        <v>0.1804637</v>
      </c>
      <c r="X6301">
        <v>0.97662939999999998</v>
      </c>
      <c r="Y6301">
        <v>-0.2044725</v>
      </c>
      <c r="Z6301">
        <v>2.0934230000000002E-2</v>
      </c>
      <c r="AA6301">
        <v>0.97864839999999997</v>
      </c>
      <c r="AB6301">
        <v>18</v>
      </c>
      <c r="AC6301">
        <v>20.5855</v>
      </c>
      <c r="AD6301">
        <v>-1.1119483966249999</v>
      </c>
      <c r="AE6301">
        <v>-1.83991999999999</v>
      </c>
      <c r="AF6301">
        <v>-4.2439330945223501</v>
      </c>
      <c r="AG6301">
        <v>-1.1119483966249999</v>
      </c>
      <c r="AH6301">
        <v>20.166184193875001</v>
      </c>
      <c r="AI6301">
        <v>93.088533953510407</v>
      </c>
      <c r="AJ6301">
        <v>101.884361144393</v>
      </c>
      <c r="AK6301">
        <v>20.637887059697601</v>
      </c>
      <c r="AL6301">
        <v>79.603230240948506</v>
      </c>
      <c r="AM6301">
        <v>96.816357523625996</v>
      </c>
      <c r="AN6301">
        <v>1.0000000396937401</v>
      </c>
    </row>
    <row r="6302" spans="1:40" x14ac:dyDescent="0.25">
      <c r="A6302" t="str">
        <f>"20190312172533779"</f>
        <v>20190312172533779</v>
      </c>
      <c r="B6302" t="str">
        <f>"1552382733776330"</f>
        <v>1552382733776330</v>
      </c>
      <c r="C6302" t="s">
        <v>40</v>
      </c>
      <c r="D6302">
        <v>3.5234190000000001</v>
      </c>
      <c r="E6302">
        <v>0.46767910000000001</v>
      </c>
      <c r="F6302" t="s">
        <v>55</v>
      </c>
      <c r="G6302">
        <v>-259.38740000000001</v>
      </c>
      <c r="H6302" s="1">
        <v>-3.3994789999999999E-6</v>
      </c>
      <c r="I6302">
        <v>-61.743850000000002</v>
      </c>
      <c r="J6302">
        <v>-279.83969999999999</v>
      </c>
      <c r="K6302">
        <v>1.111934</v>
      </c>
      <c r="L6302">
        <v>-60.013460000000002</v>
      </c>
      <c r="M6302">
        <v>0.95703919999999998</v>
      </c>
      <c r="N6302">
        <v>0</v>
      </c>
      <c r="O6302">
        <v>-0.2899024</v>
      </c>
      <c r="P6302">
        <v>0.96917419999999999</v>
      </c>
      <c r="Q6302">
        <v>0.17557</v>
      </c>
      <c r="R6302">
        <v>-0.1728478</v>
      </c>
      <c r="S6302">
        <v>3.0791930000000001</v>
      </c>
      <c r="T6302">
        <v>-0.16666210000000001</v>
      </c>
      <c r="U6302">
        <v>-0.26315309999999997</v>
      </c>
      <c r="V6302">
        <v>-0.11655739999999901</v>
      </c>
      <c r="W6302">
        <v>0.18049509999999999</v>
      </c>
      <c r="X6302">
        <v>0.97664519999999999</v>
      </c>
      <c r="Y6302">
        <v>-0.2066519</v>
      </c>
      <c r="Z6302">
        <v>2.1009799999999999E-2</v>
      </c>
      <c r="AA6302">
        <v>0.97818890000000003</v>
      </c>
      <c r="AB6302">
        <v>19</v>
      </c>
      <c r="AC6302">
        <v>20.452299999999902</v>
      </c>
      <c r="AD6302">
        <v>-1.1119373994790001</v>
      </c>
      <c r="AE6302">
        <v>-1.7303900000000001</v>
      </c>
      <c r="AF6302">
        <v>-4.2606851162999302</v>
      </c>
      <c r="AG6302">
        <v>-1.1119373994790001</v>
      </c>
      <c r="AH6302">
        <v>20.016878402645599</v>
      </c>
      <c r="AI6302">
        <v>93.109981913480297</v>
      </c>
      <c r="AJ6302">
        <v>102.01633847306501</v>
      </c>
      <c r="AK6302">
        <v>20.4954937346461</v>
      </c>
      <c r="AL6302">
        <v>79.601400464734994</v>
      </c>
      <c r="AM6302">
        <v>96.805755967578406</v>
      </c>
      <c r="AN6302">
        <v>0.99999997765090398</v>
      </c>
    </row>
    <row r="6303" spans="1:40" x14ac:dyDescent="0.25">
      <c r="A6303" t="str">
        <f>"20190312172533790"</f>
        <v>20190312172533790</v>
      </c>
      <c r="B6303" t="str">
        <f>"1552382733787067"</f>
        <v>1552382733787067</v>
      </c>
      <c r="C6303" t="s">
        <v>40</v>
      </c>
      <c r="D6303">
        <v>3.5636649999999999</v>
      </c>
      <c r="E6303">
        <v>0.46696949999999998</v>
      </c>
      <c r="F6303" t="s">
        <v>55</v>
      </c>
      <c r="G6303">
        <v>-259.9042</v>
      </c>
      <c r="H6303" s="1">
        <v>-3.5556249999999999E-6</v>
      </c>
      <c r="I6303">
        <v>-61.596319999999999</v>
      </c>
      <c r="J6303">
        <v>-279.75110000000001</v>
      </c>
      <c r="K6303">
        <v>1.1119209999999999</v>
      </c>
      <c r="L6303">
        <v>-60.03754</v>
      </c>
      <c r="M6303">
        <v>0.9577156</v>
      </c>
      <c r="N6303">
        <v>0</v>
      </c>
      <c r="O6303">
        <v>-0.28766350000000002</v>
      </c>
      <c r="P6303">
        <v>0.96952559999999999</v>
      </c>
      <c r="Q6303">
        <v>0.17561450000000001</v>
      </c>
      <c r="R6303">
        <v>-0.17082159999999999</v>
      </c>
      <c r="S6303">
        <v>3.082916</v>
      </c>
      <c r="T6303">
        <v>-0.17195550000000001</v>
      </c>
      <c r="U6303">
        <v>-0.24478150000000001</v>
      </c>
      <c r="V6303">
        <v>-0.11631619999999999</v>
      </c>
      <c r="W6303">
        <v>0.18038299999999999</v>
      </c>
      <c r="X6303">
        <v>0.97669470000000003</v>
      </c>
      <c r="Y6303">
        <v>-0.2102057</v>
      </c>
      <c r="Z6303">
        <v>2.163795E-2</v>
      </c>
      <c r="AA6303">
        <v>0.97741769999999994</v>
      </c>
      <c r="AB6303">
        <v>19</v>
      </c>
      <c r="AC6303">
        <v>19.846900000000002</v>
      </c>
      <c r="AD6303">
        <v>-1.1119245556249999</v>
      </c>
      <c r="AE6303">
        <v>-1.5587799999999901</v>
      </c>
      <c r="AF6303">
        <v>-4.2033126590937799</v>
      </c>
      <c r="AG6303">
        <v>-1.1119245556249999</v>
      </c>
      <c r="AH6303">
        <v>19.395880178361701</v>
      </c>
      <c r="AI6303">
        <v>93.206777243648702</v>
      </c>
      <c r="AJ6303">
        <v>102.227582923966</v>
      </c>
      <c r="AK6303">
        <v>19.877232740521599</v>
      </c>
      <c r="AL6303">
        <v>79.607930855587597</v>
      </c>
      <c r="AM6303">
        <v>96.791463057124005</v>
      </c>
      <c r="AN6303">
        <v>1.00000001103976</v>
      </c>
    </row>
    <row r="6304" spans="1:40" x14ac:dyDescent="0.25">
      <c r="A6304" t="str">
        <f>"20190312172533802"</f>
        <v>20190312172533802</v>
      </c>
      <c r="B6304" t="str">
        <f>"1552382733796827"</f>
        <v>1552382733796827</v>
      </c>
      <c r="C6304" t="s">
        <v>40</v>
      </c>
      <c r="D6304">
        <v>3.5904069999999999</v>
      </c>
      <c r="E6304">
        <v>0.46634799999999899</v>
      </c>
      <c r="F6304" t="s">
        <v>55</v>
      </c>
      <c r="G6304">
        <v>-259.9325</v>
      </c>
      <c r="H6304" s="1">
        <v>-3.5567190000000001E-6</v>
      </c>
      <c r="I6304">
        <v>-61.532389999999999</v>
      </c>
      <c r="J6304">
        <v>-279.65559999999999</v>
      </c>
      <c r="K6304">
        <v>1.1119059999999901</v>
      </c>
      <c r="L6304">
        <v>-60.063420000000001</v>
      </c>
      <c r="M6304">
        <v>0.95843829999999997</v>
      </c>
      <c r="N6304">
        <v>0</v>
      </c>
      <c r="O6304">
        <v>-0.28524969999999999</v>
      </c>
      <c r="P6304">
        <v>0.96982489999999999</v>
      </c>
      <c r="Q6304">
        <v>0.1759327</v>
      </c>
      <c r="R6304">
        <v>-0.16878409999999999</v>
      </c>
      <c r="S6304">
        <v>3.0846559999999998</v>
      </c>
      <c r="T6304">
        <v>-0.17306489999999999</v>
      </c>
      <c r="U6304">
        <v>-0.23266600000000001</v>
      </c>
      <c r="V6304">
        <v>-0.1158971</v>
      </c>
      <c r="W6304">
        <v>0.1805312</v>
      </c>
      <c r="X6304">
        <v>0.9767171</v>
      </c>
      <c r="Y6304">
        <v>-0.21159420000000001</v>
      </c>
      <c r="Z6304">
        <v>2.167958E-2</v>
      </c>
      <c r="AA6304">
        <v>0.97711709999999996</v>
      </c>
      <c r="AB6304">
        <v>19</v>
      </c>
      <c r="AC6304">
        <v>19.723099999999899</v>
      </c>
      <c r="AD6304">
        <v>-1.1119095567189901</v>
      </c>
      <c r="AE6304">
        <v>-1.4689700000000001</v>
      </c>
      <c r="AF6304">
        <v>-4.2048612482625698</v>
      </c>
      <c r="AG6304">
        <v>-1.1119095567189901</v>
      </c>
      <c r="AH6304">
        <v>19.261793182917199</v>
      </c>
      <c r="AI6304">
        <v>93.227946867140602</v>
      </c>
      <c r="AJ6304">
        <v>102.314512780914</v>
      </c>
      <c r="AK6304">
        <v>19.746743468251701</v>
      </c>
      <c r="AL6304">
        <v>79.599297489327299</v>
      </c>
      <c r="AM6304">
        <v>96.767066257740098</v>
      </c>
      <c r="AN6304">
        <v>0.99999997269712904</v>
      </c>
    </row>
    <row r="6305" spans="1:40" x14ac:dyDescent="0.25">
      <c r="A6305" t="str">
        <f>"20190312172533814"</f>
        <v>20190312172533814</v>
      </c>
      <c r="B6305" t="str">
        <f>"1552382733806587"</f>
        <v>1552382733806587</v>
      </c>
      <c r="C6305" t="s">
        <v>40</v>
      </c>
      <c r="D6305">
        <v>3.7084030000000001</v>
      </c>
      <c r="E6305">
        <v>0.46587970000000001</v>
      </c>
      <c r="F6305" t="s">
        <v>55</v>
      </c>
      <c r="G6305">
        <v>-259.80650000000003</v>
      </c>
      <c r="H6305" s="1">
        <v>-3.5075420000000002E-6</v>
      </c>
      <c r="I6305">
        <v>-61.485419999999998</v>
      </c>
      <c r="J6305">
        <v>-279.55770000000001</v>
      </c>
      <c r="K6305">
        <v>1.111885</v>
      </c>
      <c r="L6305">
        <v>-60.08963</v>
      </c>
      <c r="M6305">
        <v>0.95916970000000001</v>
      </c>
      <c r="N6305">
        <v>0</v>
      </c>
      <c r="O6305">
        <v>-0.28278409999999998</v>
      </c>
      <c r="P6305">
        <v>0.97014259999999997</v>
      </c>
      <c r="Q6305">
        <v>0.17639270000000001</v>
      </c>
      <c r="R6305">
        <v>-0.1664611</v>
      </c>
      <c r="S6305">
        <v>3.0862430000000001</v>
      </c>
      <c r="T6305">
        <v>-0.17288489999999901</v>
      </c>
      <c r="U6305">
        <v>-0.22109989999999999</v>
      </c>
      <c r="V6305">
        <v>-0.1157062</v>
      </c>
      <c r="W6305">
        <v>0.18081069999999999</v>
      </c>
      <c r="X6305">
        <v>0.976688</v>
      </c>
      <c r="Y6305">
        <v>-0.2127645</v>
      </c>
      <c r="Z6305">
        <v>2.1551089999999998E-2</v>
      </c>
      <c r="AA6305">
        <v>0.97686580000000001</v>
      </c>
      <c r="AB6305">
        <v>19</v>
      </c>
      <c r="AC6305">
        <v>19.751199999999901</v>
      </c>
      <c r="AD6305">
        <v>-1.111888507542</v>
      </c>
      <c r="AE6305">
        <v>-1.3957899999999901</v>
      </c>
      <c r="AF6305">
        <v>-4.2332335418347</v>
      </c>
      <c r="AG6305">
        <v>-1.111888507542</v>
      </c>
      <c r="AH6305">
        <v>19.278924225077201</v>
      </c>
      <c r="AI6305">
        <v>93.224164719149897</v>
      </c>
      <c r="AJ6305">
        <v>102.384370676473</v>
      </c>
      <c r="AK6305">
        <v>19.769508884875901</v>
      </c>
      <c r="AL6305">
        <v>79.583015046340705</v>
      </c>
      <c r="AM6305">
        <v>96.756222426912601</v>
      </c>
      <c r="AN6305">
        <v>0.99999994164846295</v>
      </c>
    </row>
    <row r="6306" spans="1:40" x14ac:dyDescent="0.25">
      <c r="A6306" t="str">
        <f>"20190312172533825"</f>
        <v>20190312172533825</v>
      </c>
      <c r="B6306" t="str">
        <f>"1552382733816346"</f>
        <v>1552382733816346</v>
      </c>
      <c r="C6306" t="s">
        <v>40</v>
      </c>
      <c r="D6306">
        <v>3.5701350000000001</v>
      </c>
      <c r="E6306">
        <v>0.46534829999999999</v>
      </c>
      <c r="F6306" t="s">
        <v>55</v>
      </c>
      <c r="G6306">
        <v>-259.67649999999998</v>
      </c>
      <c r="H6306" s="1">
        <v>-3.4573260000000002E-6</v>
      </c>
      <c r="I6306">
        <v>-61.440730000000002</v>
      </c>
      <c r="J6306">
        <v>-279.47199999999998</v>
      </c>
      <c r="K6306">
        <v>1.111866</v>
      </c>
      <c r="L6306">
        <v>-60.112369999999999</v>
      </c>
      <c r="M6306">
        <v>0.95980290000000001</v>
      </c>
      <c r="N6306">
        <v>0</v>
      </c>
      <c r="O6306">
        <v>-0.28062979999999998</v>
      </c>
      <c r="P6306">
        <v>0.97038659999999999</v>
      </c>
      <c r="Q6306">
        <v>0.17694699999999999</v>
      </c>
      <c r="R6306">
        <v>-0.16443769999999999</v>
      </c>
      <c r="S6306">
        <v>3.0877379999999999</v>
      </c>
      <c r="T6306">
        <v>-0.1726867</v>
      </c>
      <c r="U6306">
        <v>-0.20983889999999999</v>
      </c>
      <c r="V6306">
        <v>-0.11552809999999999</v>
      </c>
      <c r="W6306">
        <v>0.18120700000000001</v>
      </c>
      <c r="X6306">
        <v>0.9766357</v>
      </c>
      <c r="Y6306">
        <v>-0.2141527</v>
      </c>
      <c r="Z6306">
        <v>2.144366E-2</v>
      </c>
      <c r="AA6306">
        <v>0.97656480000000001</v>
      </c>
      <c r="AB6306">
        <v>19</v>
      </c>
      <c r="AC6306">
        <v>19.795500000000001</v>
      </c>
      <c r="AD6306">
        <v>-1.111869457326</v>
      </c>
      <c r="AE6306">
        <v>-1.32836</v>
      </c>
      <c r="AF6306">
        <v>-4.2668966411262703</v>
      </c>
      <c r="AG6306">
        <v>-1.111869457326</v>
      </c>
      <c r="AH6306">
        <v>19.312147618838001</v>
      </c>
      <c r="AI6306">
        <v>93.217653634750107</v>
      </c>
      <c r="AJ6306">
        <v>102.458980150221</v>
      </c>
      <c r="AK6306">
        <v>19.8091318913268</v>
      </c>
      <c r="AL6306">
        <v>79.559928017422706</v>
      </c>
      <c r="AM6306">
        <v>96.746276792913505</v>
      </c>
      <c r="AN6306">
        <v>1.00000000462655</v>
      </c>
    </row>
    <row r="6307" spans="1:40" x14ac:dyDescent="0.25">
      <c r="A6307" t="str">
        <f>"20190312172533834"</f>
        <v>20190312172533834</v>
      </c>
      <c r="B6307" t="str">
        <f>"1552382733827083"</f>
        <v>1552382733827083</v>
      </c>
      <c r="C6307" t="s">
        <v>40</v>
      </c>
      <c r="D6307">
        <v>3.5666570000000002</v>
      </c>
      <c r="E6307">
        <v>0.4648989</v>
      </c>
      <c r="F6307" t="s">
        <v>55</v>
      </c>
      <c r="G6307">
        <v>-259.5247</v>
      </c>
      <c r="H6307" s="1">
        <v>-3.4000820000000002E-6</v>
      </c>
      <c r="I6307">
        <v>-61.398739999999997</v>
      </c>
      <c r="J6307">
        <v>-279.38650000000001</v>
      </c>
      <c r="K6307">
        <v>1.11185</v>
      </c>
      <c r="L6307">
        <v>-60.134889999999999</v>
      </c>
      <c r="M6307">
        <v>0.96042749999999999</v>
      </c>
      <c r="N6307">
        <v>0</v>
      </c>
      <c r="O6307">
        <v>-0.27848790000000001</v>
      </c>
      <c r="P6307">
        <v>0.97065749999999995</v>
      </c>
      <c r="Q6307">
        <v>0.17720139999999901</v>
      </c>
      <c r="R6307">
        <v>-0.162553799999999</v>
      </c>
      <c r="S6307">
        <v>3.0892029999999999</v>
      </c>
      <c r="T6307">
        <v>-0.17219379999999901</v>
      </c>
      <c r="U6307">
        <v>-0.1992188</v>
      </c>
      <c r="V6307">
        <v>-0.1152364</v>
      </c>
      <c r="W6307">
        <v>0.18130170000000001</v>
      </c>
      <c r="X6307">
        <v>0.97665259999999998</v>
      </c>
      <c r="Y6307">
        <v>-0.2153535</v>
      </c>
      <c r="Z6307">
        <v>2.1295229999999998E-2</v>
      </c>
      <c r="AA6307">
        <v>0.9763039</v>
      </c>
      <c r="AB6307">
        <v>19</v>
      </c>
      <c r="AC6307">
        <v>19.861799999999999</v>
      </c>
      <c r="AD6307">
        <v>-1.111853400082</v>
      </c>
      <c r="AE6307">
        <v>-1.2638499999999899</v>
      </c>
      <c r="AF6307">
        <v>-4.3040521919540797</v>
      </c>
      <c r="AG6307">
        <v>-1.111853400082</v>
      </c>
      <c r="AH6307">
        <v>19.367566749507201</v>
      </c>
      <c r="AI6307">
        <v>93.207549840003594</v>
      </c>
      <c r="AJ6307">
        <v>102.529226262869</v>
      </c>
      <c r="AK6307">
        <v>19.871178250193299</v>
      </c>
      <c r="AL6307">
        <v>79.554410858063804</v>
      </c>
      <c r="AM6307">
        <v>96.729283972654002</v>
      </c>
      <c r="AN6307">
        <v>1.0000000176973001</v>
      </c>
    </row>
    <row r="6308" spans="1:40" x14ac:dyDescent="0.25">
      <c r="A6308" t="str">
        <f>"20190312172533848"</f>
        <v>20190312172533848</v>
      </c>
      <c r="B6308" t="str">
        <f>"1552382733836843"</f>
        <v>1552382733836843</v>
      </c>
      <c r="C6308" t="s">
        <v>40</v>
      </c>
      <c r="D6308">
        <v>3.5642109999999998</v>
      </c>
      <c r="E6308">
        <v>0.4644624</v>
      </c>
      <c r="F6308" t="s">
        <v>55</v>
      </c>
      <c r="G6308">
        <v>-259.49590000000001</v>
      </c>
      <c r="H6308" s="1">
        <v>-3.3842550000000002E-6</v>
      </c>
      <c r="I6308">
        <v>-61.353819999999899</v>
      </c>
      <c r="J6308">
        <v>-279.28489999999999</v>
      </c>
      <c r="K6308">
        <v>1.111831</v>
      </c>
      <c r="L6308">
        <v>-60.161380000000001</v>
      </c>
      <c r="M6308">
        <v>0.9611613</v>
      </c>
      <c r="N6308">
        <v>0</v>
      </c>
      <c r="O6308">
        <v>-0.27594800000000003</v>
      </c>
      <c r="P6308">
        <v>0.97096689999999997</v>
      </c>
      <c r="Q6308">
        <v>0.17745859999999999</v>
      </c>
      <c r="R6308">
        <v>-0.16041129999999901</v>
      </c>
      <c r="S6308">
        <v>3.0905149999999999</v>
      </c>
      <c r="T6308">
        <v>-0.17275460000000001</v>
      </c>
      <c r="U6308">
        <v>-0.18939210000000001</v>
      </c>
      <c r="V6308">
        <v>-0.114801399999999</v>
      </c>
      <c r="W6308">
        <v>0.1813688</v>
      </c>
      <c r="X6308">
        <v>0.97669139999999999</v>
      </c>
      <c r="Y6308">
        <v>-0.215889</v>
      </c>
      <c r="Z6308">
        <v>2.123744E-2</v>
      </c>
      <c r="AA6308">
        <v>0.97618689999999997</v>
      </c>
      <c r="AB6308">
        <v>19</v>
      </c>
      <c r="AC6308">
        <v>19.788999999999898</v>
      </c>
      <c r="AD6308">
        <v>-1.111834384255</v>
      </c>
      <c r="AE6308">
        <v>-1.19243999999999</v>
      </c>
      <c r="AF6308">
        <v>-4.3011262929094896</v>
      </c>
      <c r="AG6308">
        <v>-1.111834384255</v>
      </c>
      <c r="AH6308">
        <v>19.289012700954299</v>
      </c>
      <c r="AI6308">
        <v>93.220016650427297</v>
      </c>
      <c r="AJ6308">
        <v>102.57035147946</v>
      </c>
      <c r="AK6308">
        <v>19.793985805368902</v>
      </c>
      <c r="AL6308">
        <v>79.550501808444693</v>
      </c>
      <c r="AM6308">
        <v>96.7038496907373</v>
      </c>
      <c r="AN6308">
        <v>1.0000000469446699</v>
      </c>
    </row>
    <row r="6309" spans="1:40" x14ac:dyDescent="0.25">
      <c r="A6309" t="str">
        <f>"20190312172533861"</f>
        <v>20190312172533861</v>
      </c>
      <c r="B6309" t="str">
        <f>"1552382733856362"</f>
        <v>1552382733856362</v>
      </c>
      <c r="C6309" t="s">
        <v>40</v>
      </c>
      <c r="D6309">
        <v>3.7063359999999999</v>
      </c>
      <c r="E6309">
        <v>0.46384189999999997</v>
      </c>
      <c r="F6309" t="s">
        <v>55</v>
      </c>
      <c r="G6309">
        <v>-259.45679999999999</v>
      </c>
      <c r="H6309" s="1">
        <v>-3.3650220000000002E-6</v>
      </c>
      <c r="I6309">
        <v>-61.309420000000003</v>
      </c>
      <c r="J6309">
        <v>-279.18310000000002</v>
      </c>
      <c r="K6309">
        <v>1.11181</v>
      </c>
      <c r="L6309">
        <v>-60.187710000000003</v>
      </c>
      <c r="M6309">
        <v>0.96188629999999997</v>
      </c>
      <c r="N6309">
        <v>0</v>
      </c>
      <c r="O6309">
        <v>-0.27341259999999901</v>
      </c>
      <c r="P6309">
        <v>0.97134140000000002</v>
      </c>
      <c r="Q6309">
        <v>0.17755799999999999</v>
      </c>
      <c r="R6309">
        <v>-0.1580162</v>
      </c>
      <c r="S6309">
        <v>3.0918269999999999</v>
      </c>
      <c r="T6309">
        <v>-0.17337049999999901</v>
      </c>
      <c r="U6309">
        <v>-0.17901610000000001</v>
      </c>
      <c r="V6309">
        <v>-0.11463429999999999</v>
      </c>
      <c r="W6309">
        <v>0.1812754</v>
      </c>
      <c r="X6309">
        <v>0.97672829999999999</v>
      </c>
      <c r="Y6309">
        <v>-0.21660199999999999</v>
      </c>
      <c r="Z6309">
        <v>2.1190770000000001E-2</v>
      </c>
      <c r="AA6309">
        <v>0.97602999999999995</v>
      </c>
      <c r="AB6309">
        <v>19</v>
      </c>
      <c r="AC6309">
        <v>19.726299999999998</v>
      </c>
      <c r="AD6309">
        <v>-1.1118133650219999</v>
      </c>
      <c r="AE6309">
        <v>-1.12171</v>
      </c>
      <c r="AF6309">
        <v>-4.3008867977257097</v>
      </c>
      <c r="AG6309">
        <v>-1.1118133650219999</v>
      </c>
      <c r="AH6309">
        <v>19.220482637905899</v>
      </c>
      <c r="AI6309">
        <v>93.230875427558004</v>
      </c>
      <c r="AJ6309">
        <v>102.613059046994</v>
      </c>
      <c r="AK6309">
        <v>19.727156638490399</v>
      </c>
      <c r="AL6309">
        <v>79.555942757207802</v>
      </c>
      <c r="AM6309">
        <v>96.693929869959902</v>
      </c>
      <c r="AN6309">
        <v>0.999999982701269</v>
      </c>
    </row>
    <row r="6310" spans="1:40" x14ac:dyDescent="0.25">
      <c r="A6310" t="str">
        <f>"20190312172533872"</f>
        <v>20190312172533872</v>
      </c>
      <c r="B6310" t="str">
        <f>"1552382733867099"</f>
        <v>1552382733867099</v>
      </c>
      <c r="C6310" t="s">
        <v>40</v>
      </c>
      <c r="D6310">
        <v>3.701343</v>
      </c>
      <c r="E6310">
        <v>0.46362170000000003</v>
      </c>
      <c r="F6310" t="s">
        <v>55</v>
      </c>
      <c r="G6310">
        <v>-259.57260000000002</v>
      </c>
      <c r="H6310" s="1">
        <v>-3.3953540000000001E-6</v>
      </c>
      <c r="I6310">
        <v>-61.2414699999999</v>
      </c>
      <c r="J6310">
        <v>-279.08210000000003</v>
      </c>
      <c r="K6310">
        <v>1.1117919999999999</v>
      </c>
      <c r="L6310">
        <v>-60.213470000000001</v>
      </c>
      <c r="M6310">
        <v>0.96259410000000001</v>
      </c>
      <c r="N6310">
        <v>0</v>
      </c>
      <c r="O6310">
        <v>-0.27091379999999998</v>
      </c>
      <c r="P6310">
        <v>0.97163089999999996</v>
      </c>
      <c r="Q6310">
        <v>0.17784059999999999</v>
      </c>
      <c r="R6310">
        <v>-0.15590519999999999</v>
      </c>
      <c r="S6310">
        <v>3.0935359999999998</v>
      </c>
      <c r="T6310">
        <v>-0.17538790000000001</v>
      </c>
      <c r="U6310">
        <v>-0.16622919999999999</v>
      </c>
      <c r="V6310">
        <v>-0.1142118</v>
      </c>
      <c r="W6310">
        <v>0.181366</v>
      </c>
      <c r="X6310">
        <v>0.97676099999999999</v>
      </c>
      <c r="Y6310">
        <v>-0.21810370000000001</v>
      </c>
      <c r="Z6310">
        <v>2.1335529999999998E-2</v>
      </c>
      <c r="AA6310">
        <v>0.97569229999999996</v>
      </c>
      <c r="AB6310">
        <v>19</v>
      </c>
      <c r="AC6310">
        <v>19.509499999999999</v>
      </c>
      <c r="AD6310">
        <v>-1.1117953953540001</v>
      </c>
      <c r="AE6310">
        <v>-1.02799999999999</v>
      </c>
      <c r="AF6310">
        <v>-4.28201776330864</v>
      </c>
      <c r="AG6310">
        <v>-1.1117953953540001</v>
      </c>
      <c r="AH6310">
        <v>18.996880742816799</v>
      </c>
      <c r="AI6310">
        <v>93.267625741214701</v>
      </c>
      <c r="AJ6310">
        <v>102.702542451781</v>
      </c>
      <c r="AK6310">
        <v>19.5052106649281</v>
      </c>
      <c r="AL6310">
        <v>79.550664511249295</v>
      </c>
      <c r="AM6310">
        <v>96.669259895759097</v>
      </c>
      <c r="AN6310">
        <v>1.00000000616811</v>
      </c>
    </row>
    <row r="6311" spans="1:40" x14ac:dyDescent="0.25">
      <c r="A6311" t="str">
        <f>"20190312172533884"</f>
        <v>20190312172533884</v>
      </c>
      <c r="B6311" t="str">
        <f>"1552382733876859"</f>
        <v>1552382733876859</v>
      </c>
      <c r="C6311" t="s">
        <v>40</v>
      </c>
      <c r="D6311">
        <v>3.5701670000000001</v>
      </c>
      <c r="E6311">
        <v>0.46340249999999999</v>
      </c>
      <c r="F6311" t="s">
        <v>55</v>
      </c>
      <c r="G6311">
        <v>-259.45510000000002</v>
      </c>
      <c r="H6311" s="1">
        <v>-3.3514630000000001E-6</v>
      </c>
      <c r="I6311">
        <v>-61.212269999999997</v>
      </c>
      <c r="J6311">
        <v>-278.98340000000002</v>
      </c>
      <c r="K6311">
        <v>1.1117729999999999</v>
      </c>
      <c r="L6311">
        <v>-60.238489999999999</v>
      </c>
      <c r="M6311">
        <v>0.96327779999999996</v>
      </c>
      <c r="N6311">
        <v>0</v>
      </c>
      <c r="O6311">
        <v>-0.26847549999999998</v>
      </c>
      <c r="P6311">
        <v>0.97196139999999998</v>
      </c>
      <c r="Q6311">
        <v>0.17799879999999901</v>
      </c>
      <c r="R6311">
        <v>-0.15364729999999999</v>
      </c>
      <c r="S6311">
        <v>3.0944210000000001</v>
      </c>
      <c r="T6311">
        <v>-0.1752872</v>
      </c>
      <c r="U6311">
        <v>-0.15747069999999999</v>
      </c>
      <c r="V6311">
        <v>-0.1140047</v>
      </c>
      <c r="W6311">
        <v>0.18133589999999999</v>
      </c>
      <c r="X6311">
        <v>0.97679079999999996</v>
      </c>
      <c r="Y6311">
        <v>-0.21840609999999999</v>
      </c>
      <c r="Z6311">
        <v>2.119536E-2</v>
      </c>
      <c r="AA6311">
        <v>0.97562780000000004</v>
      </c>
      <c r="AB6311">
        <v>19</v>
      </c>
      <c r="AC6311">
        <v>19.528300000000002</v>
      </c>
      <c r="AD6311">
        <v>-1.1117763514629999</v>
      </c>
      <c r="AE6311">
        <v>-0.97377999999998999</v>
      </c>
      <c r="AF6311">
        <v>-4.2910120450850497</v>
      </c>
      <c r="AG6311">
        <v>-1.1117763514629999</v>
      </c>
      <c r="AH6311">
        <v>19.0113073784376</v>
      </c>
      <c r="AI6311">
        <v>93.264884461535701</v>
      </c>
      <c r="AJ6311">
        <v>102.719010970941</v>
      </c>
      <c r="AK6311">
        <v>19.521235597783601</v>
      </c>
      <c r="AL6311">
        <v>79.552418377224996</v>
      </c>
      <c r="AM6311">
        <v>96.657073911504497</v>
      </c>
      <c r="AN6311">
        <v>1.00000002360777</v>
      </c>
    </row>
    <row r="6312" spans="1:40" x14ac:dyDescent="0.25">
      <c r="A6312" t="str">
        <f>"20190312172533896"</f>
        <v>20190312172533896</v>
      </c>
      <c r="B6312" t="str">
        <f>"1552382733886619"</f>
        <v>1552382733886619</v>
      </c>
      <c r="C6312" t="s">
        <v>40</v>
      </c>
      <c r="D6312">
        <v>3.6115499999999998</v>
      </c>
      <c r="E6312">
        <v>0.4631671</v>
      </c>
      <c r="F6312" t="s">
        <v>55</v>
      </c>
      <c r="G6312">
        <v>-259.4348</v>
      </c>
      <c r="H6312" s="1">
        <v>-3.3395270000000001E-6</v>
      </c>
      <c r="I6312">
        <v>-61.174610000000001</v>
      </c>
      <c r="J6312">
        <v>-278.87549999999999</v>
      </c>
      <c r="K6312">
        <v>1.1117570000000001</v>
      </c>
      <c r="L6312">
        <v>-60.265529999999998</v>
      </c>
      <c r="M6312">
        <v>0.96401380000000003</v>
      </c>
      <c r="N6312">
        <v>0</v>
      </c>
      <c r="O6312">
        <v>-0.265824</v>
      </c>
      <c r="P6312">
        <v>0.97228369999999997</v>
      </c>
      <c r="Q6312">
        <v>0.1783323</v>
      </c>
      <c r="R6312">
        <v>-0.15120239999999999</v>
      </c>
      <c r="S6312">
        <v>3.0953059999999999</v>
      </c>
      <c r="T6312">
        <v>-0.1760379</v>
      </c>
      <c r="U6312">
        <v>-0.14822389999999999</v>
      </c>
      <c r="V6312">
        <v>-0.1137645</v>
      </c>
      <c r="W6312">
        <v>0.18146209999999999</v>
      </c>
      <c r="X6312">
        <v>0.97679539999999998</v>
      </c>
      <c r="Y6312">
        <v>-0.2186401</v>
      </c>
      <c r="Z6312">
        <v>2.1143809999999999E-2</v>
      </c>
      <c r="AA6312">
        <v>0.97557649999999996</v>
      </c>
      <c r="AB6312">
        <v>20</v>
      </c>
      <c r="AC6312">
        <v>19.4407</v>
      </c>
      <c r="AD6312">
        <v>-1.1117603395269999</v>
      </c>
      <c r="AE6312">
        <v>-0.90907999999998801</v>
      </c>
      <c r="AF6312">
        <v>-4.2775125658463402</v>
      </c>
      <c r="AG6312">
        <v>-1.1117603395269999</v>
      </c>
      <c r="AH6312">
        <v>18.921156277408699</v>
      </c>
      <c r="AI6312">
        <v>93.280104574492398</v>
      </c>
      <c r="AJ6312">
        <v>102.73874199019799</v>
      </c>
      <c r="AK6312">
        <v>19.430472965876099</v>
      </c>
      <c r="AL6312">
        <v>79.545065990248204</v>
      </c>
      <c r="AM6312">
        <v>96.643142410004202</v>
      </c>
      <c r="AN6312">
        <v>1.0000000543289</v>
      </c>
    </row>
    <row r="6313" spans="1:40" x14ac:dyDescent="0.25">
      <c r="A6313" t="str">
        <f>"20190312172533906"</f>
        <v>20190312172533906</v>
      </c>
      <c r="B6313" t="str">
        <f>"1552382733896379"</f>
        <v>1552382733896379</v>
      </c>
      <c r="C6313" t="s">
        <v>40</v>
      </c>
      <c r="D6313">
        <v>3.4731299999999998</v>
      </c>
      <c r="E6313">
        <v>0.46302120000000002</v>
      </c>
      <c r="F6313" t="s">
        <v>55</v>
      </c>
      <c r="G6313">
        <v>-259.27960000000002</v>
      </c>
      <c r="H6313" s="1">
        <v>-3.2825130000000001E-6</v>
      </c>
      <c r="I6313">
        <v>-61.143389999999997</v>
      </c>
      <c r="J6313">
        <v>-278.79629999999997</v>
      </c>
      <c r="K6313">
        <v>1.111745</v>
      </c>
      <c r="L6313">
        <v>-60.285159999999998</v>
      </c>
      <c r="M6313">
        <v>0.96454660000000003</v>
      </c>
      <c r="N6313">
        <v>0</v>
      </c>
      <c r="O6313">
        <v>-0.26388650000000002</v>
      </c>
      <c r="P6313">
        <v>0.97250150000000002</v>
      </c>
      <c r="Q6313">
        <v>0.1786655</v>
      </c>
      <c r="R6313">
        <v>-0.1493978</v>
      </c>
      <c r="S6313">
        <v>3.0961609999999999</v>
      </c>
      <c r="T6313">
        <v>-0.17565829999999999</v>
      </c>
      <c r="U6313">
        <v>-0.138702399999999</v>
      </c>
      <c r="V6313">
        <v>-0.1136041</v>
      </c>
      <c r="W6313">
        <v>0.18164359999999999</v>
      </c>
      <c r="X6313">
        <v>0.97678030000000005</v>
      </c>
      <c r="Y6313">
        <v>-0.21969089999999999</v>
      </c>
      <c r="Z6313">
        <v>2.1018889999999998E-2</v>
      </c>
      <c r="AA6313">
        <v>0.97534310000000002</v>
      </c>
      <c r="AB6313">
        <v>20</v>
      </c>
      <c r="AC6313">
        <v>19.516699999999901</v>
      </c>
      <c r="AD6313">
        <v>-1.1117482825130001</v>
      </c>
      <c r="AE6313">
        <v>-0.85823000000000504</v>
      </c>
      <c r="AF6313">
        <v>-4.3084670640503004</v>
      </c>
      <c r="AG6313">
        <v>-1.1117482825130001</v>
      </c>
      <c r="AH6313">
        <v>18.9898719776996</v>
      </c>
      <c r="AI6313">
        <v>93.267655362797896</v>
      </c>
      <c r="AJ6313">
        <v>102.782996689482</v>
      </c>
      <c r="AK6313">
        <v>19.504207505435801</v>
      </c>
      <c r="AL6313">
        <v>79.534490718944596</v>
      </c>
      <c r="AM6313">
        <v>96.633961223569997</v>
      </c>
      <c r="AN6313">
        <v>1.0000000217129299</v>
      </c>
    </row>
    <row r="6314" spans="1:40" x14ac:dyDescent="0.25">
      <c r="A6314" t="str">
        <f>"20190312172533916"</f>
        <v>20190312172533916</v>
      </c>
      <c r="B6314" t="str">
        <f>"1552382733907115"</f>
        <v>1552382733907115</v>
      </c>
      <c r="C6314" t="s">
        <v>40</v>
      </c>
      <c r="D6314">
        <v>3.806238</v>
      </c>
      <c r="E6314">
        <v>0.46289669999999999</v>
      </c>
      <c r="F6314" t="s">
        <v>55</v>
      </c>
      <c r="G6314">
        <v>-259.27030000000002</v>
      </c>
      <c r="H6314" s="1">
        <v>-3.2755740000000002E-6</v>
      </c>
      <c r="I6314">
        <v>-61.115009999999998</v>
      </c>
      <c r="J6314">
        <v>-278.70429999999999</v>
      </c>
      <c r="K6314">
        <v>1.1117330000000001</v>
      </c>
      <c r="L6314">
        <v>-60.3078</v>
      </c>
      <c r="M6314">
        <v>0.96515799999999996</v>
      </c>
      <c r="N6314">
        <v>0</v>
      </c>
      <c r="O6314">
        <v>-0.26164369999999998</v>
      </c>
      <c r="P6314">
        <v>0.97272879999999995</v>
      </c>
      <c r="Q6314">
        <v>0.1789521</v>
      </c>
      <c r="R6314">
        <v>-0.14756269999999999</v>
      </c>
      <c r="S6314">
        <v>3.0969850000000001</v>
      </c>
      <c r="T6314">
        <v>-0.17633270000000001</v>
      </c>
      <c r="U6314">
        <v>-0.1316223</v>
      </c>
      <c r="V6314">
        <v>-0.11316850000000001</v>
      </c>
      <c r="W6314">
        <v>0.18175749999999999</v>
      </c>
      <c r="X6314">
        <v>0.9768097</v>
      </c>
      <c r="Y6314">
        <v>-0.2196583</v>
      </c>
      <c r="Z6314">
        <v>2.0971409999999999E-2</v>
      </c>
      <c r="AA6314">
        <v>0.97535150000000004</v>
      </c>
      <c r="AB6314">
        <v>20</v>
      </c>
      <c r="AC6314">
        <v>19.433999999999902</v>
      </c>
      <c r="AD6314">
        <v>-1.1117362755739999</v>
      </c>
      <c r="AE6314">
        <v>-0.80720999999999699</v>
      </c>
      <c r="AF6314">
        <v>-4.2917052220586296</v>
      </c>
      <c r="AG6314">
        <v>-1.1117362755739999</v>
      </c>
      <c r="AH6314">
        <v>18.9064368861963</v>
      </c>
      <c r="AI6314">
        <v>93.281927821860606</v>
      </c>
      <c r="AJ6314">
        <v>102.789245309023</v>
      </c>
      <c r="AK6314">
        <v>19.419269991201901</v>
      </c>
      <c r="AL6314">
        <v>79.527854495831605</v>
      </c>
      <c r="AM6314">
        <v>96.608552462869895</v>
      </c>
      <c r="AN6314">
        <v>1.00000004410629</v>
      </c>
    </row>
    <row r="6315" spans="1:40" x14ac:dyDescent="0.25">
      <c r="A6315" t="str">
        <f>"20190312172533925"</f>
        <v>20190312172533925</v>
      </c>
      <c r="B6315" t="str">
        <f>"1552382733916875"</f>
        <v>1552382733916875</v>
      </c>
      <c r="C6315" t="s">
        <v>40</v>
      </c>
      <c r="D6315">
        <v>3.63984</v>
      </c>
      <c r="E6315">
        <v>0.46278570000000002</v>
      </c>
      <c r="F6315" t="s">
        <v>55</v>
      </c>
      <c r="G6315">
        <v>-259.02999999999997</v>
      </c>
      <c r="H6315" s="1">
        <v>-3.1689389999999999E-6</v>
      </c>
      <c r="I6315">
        <v>-61.098480000000002</v>
      </c>
      <c r="J6315">
        <v>-278.62720000000002</v>
      </c>
      <c r="K6315">
        <v>1.1117239999999999</v>
      </c>
      <c r="L6315">
        <v>-60.326630000000002</v>
      </c>
      <c r="M6315">
        <v>0.96566410000000003</v>
      </c>
      <c r="N6315">
        <v>0</v>
      </c>
      <c r="O6315">
        <v>-0.2597719</v>
      </c>
      <c r="P6315">
        <v>0.97295310000000002</v>
      </c>
      <c r="Q6315">
        <v>0.17912040000000001</v>
      </c>
      <c r="R6315">
        <v>-0.14587229999999901</v>
      </c>
      <c r="S6315">
        <v>3.0974430000000002</v>
      </c>
      <c r="T6315">
        <v>-0.17502709999999999</v>
      </c>
      <c r="U6315">
        <v>-0.1244812</v>
      </c>
      <c r="V6315">
        <v>-0.1129691</v>
      </c>
      <c r="W6315">
        <v>0.18178140000000001</v>
      </c>
      <c r="X6315">
        <v>0.97682829999999998</v>
      </c>
      <c r="Y6315">
        <v>-0.22003149999999999</v>
      </c>
      <c r="Z6315">
        <v>2.0723430000000001E-2</v>
      </c>
      <c r="AA6315">
        <v>0.97527260000000005</v>
      </c>
      <c r="AB6315">
        <v>20</v>
      </c>
      <c r="AC6315">
        <v>19.597200000000001</v>
      </c>
      <c r="AD6315">
        <v>-1.111727168939</v>
      </c>
      <c r="AE6315">
        <v>-0.77185000000000004</v>
      </c>
      <c r="AF6315">
        <v>-4.3315607357652404</v>
      </c>
      <c r="AG6315">
        <v>-1.111727168939</v>
      </c>
      <c r="AH6315">
        <v>19.063671479868901</v>
      </c>
      <c r="AI6315">
        <v>93.254737562462495</v>
      </c>
      <c r="AJ6315">
        <v>102.801145586129</v>
      </c>
      <c r="AK6315">
        <v>19.581162529281698</v>
      </c>
      <c r="AL6315">
        <v>79.526461580861806</v>
      </c>
      <c r="AM6315">
        <v>96.596886582978399</v>
      </c>
      <c r="AN6315">
        <v>1.0000000113108201</v>
      </c>
    </row>
    <row r="6316" spans="1:40" x14ac:dyDescent="0.25">
      <c r="A6316" t="str">
        <f>"20190312172533936"</f>
        <v>20190312172533936</v>
      </c>
      <c r="B6316" t="str">
        <f>"1552382733926635"</f>
        <v>1552382733926635</v>
      </c>
      <c r="C6316" t="s">
        <v>40</v>
      </c>
      <c r="D6316">
        <v>3.6191179999999998</v>
      </c>
      <c r="E6316">
        <v>0.46265020000000001</v>
      </c>
      <c r="F6316" t="s">
        <v>55</v>
      </c>
      <c r="G6316">
        <v>-258.88260000000002</v>
      </c>
      <c r="H6316" s="1">
        <v>-3.1016749999999998E-6</v>
      </c>
      <c r="I6316">
        <v>-61.080359999999999</v>
      </c>
      <c r="J6316">
        <v>-278.53800000000001</v>
      </c>
      <c r="K6316">
        <v>1.1117090000000001</v>
      </c>
      <c r="L6316">
        <v>-60.348210000000002</v>
      </c>
      <c r="M6316">
        <v>0.96624209999999999</v>
      </c>
      <c r="N6316">
        <v>0</v>
      </c>
      <c r="O6316">
        <v>-0.2576156</v>
      </c>
      <c r="P6316">
        <v>0.97314780000000001</v>
      </c>
      <c r="Q6316">
        <v>0.17957529999999999</v>
      </c>
      <c r="R6316">
        <v>-0.1440014</v>
      </c>
      <c r="S6316">
        <v>3.0977779999999999</v>
      </c>
      <c r="T6316">
        <v>-0.1744213</v>
      </c>
      <c r="U6316">
        <v>-0.1182556</v>
      </c>
      <c r="V6316">
        <v>-0.1126537</v>
      </c>
      <c r="W6316">
        <v>0.1820717</v>
      </c>
      <c r="X6316">
        <v>0.97681059999999997</v>
      </c>
      <c r="Y6316">
        <v>-0.2198242</v>
      </c>
      <c r="Z6316">
        <v>2.0527750000000001E-2</v>
      </c>
      <c r="AA6316">
        <v>0.97532350000000001</v>
      </c>
      <c r="AB6316">
        <v>20</v>
      </c>
      <c r="AC6316">
        <v>19.655399999999901</v>
      </c>
      <c r="AD6316">
        <v>-1.111712101675</v>
      </c>
      <c r="AE6316">
        <v>-0.73215000000000396</v>
      </c>
      <c r="AF6316">
        <v>-4.3422543403762104</v>
      </c>
      <c r="AG6316">
        <v>-1.111712101675</v>
      </c>
      <c r="AH6316">
        <v>19.119508542219801</v>
      </c>
      <c r="AI6316">
        <v>93.245281741401897</v>
      </c>
      <c r="AJ6316">
        <v>102.79546495071</v>
      </c>
      <c r="AK6316">
        <v>19.6378889764033</v>
      </c>
      <c r="AL6316">
        <v>79.509545730436699</v>
      </c>
      <c r="AM6316">
        <v>96.578748474735605</v>
      </c>
      <c r="AN6316">
        <v>0.99999995416846799</v>
      </c>
    </row>
    <row r="6317" spans="1:40" x14ac:dyDescent="0.25">
      <c r="A6317" t="str">
        <f>"20190312172533947"</f>
        <v>20190312172533947</v>
      </c>
      <c r="B6317" t="str">
        <f>"1552382733936395"</f>
        <v>1552382733936395</v>
      </c>
      <c r="C6317" t="s">
        <v>40</v>
      </c>
      <c r="D6317">
        <v>3.639904</v>
      </c>
      <c r="E6317">
        <v>0.4625454</v>
      </c>
      <c r="F6317" t="s">
        <v>55</v>
      </c>
      <c r="G6317">
        <v>-258.69619999999998</v>
      </c>
      <c r="H6317" s="1">
        <v>-3.016982E-6</v>
      </c>
      <c r="I6317">
        <v>-61.058990000000001</v>
      </c>
      <c r="J6317">
        <v>-278.44450000000001</v>
      </c>
      <c r="K6317">
        <v>1.1117010000000001</v>
      </c>
      <c r="L6317">
        <v>-60.370609999999999</v>
      </c>
      <c r="M6317">
        <v>0.96684119999999996</v>
      </c>
      <c r="N6317">
        <v>0</v>
      </c>
      <c r="O6317">
        <v>-0.25536029999999998</v>
      </c>
      <c r="P6317">
        <v>0.97343349999999995</v>
      </c>
      <c r="Q6317">
        <v>0.17975669999999999</v>
      </c>
      <c r="R6317">
        <v>-0.14182790000000001</v>
      </c>
      <c r="S6317">
        <v>3.0983890000000001</v>
      </c>
      <c r="T6317">
        <v>-0.1735989</v>
      </c>
      <c r="U6317">
        <v>-0.1109924</v>
      </c>
      <c r="V6317">
        <v>-0.1125533</v>
      </c>
      <c r="W6317">
        <v>0.18208150000000001</v>
      </c>
      <c r="X6317">
        <v>0.97682040000000003</v>
      </c>
      <c r="Y6317">
        <v>-0.21984909999999999</v>
      </c>
      <c r="Z6317">
        <v>2.0307120000000001E-2</v>
      </c>
      <c r="AA6317">
        <v>0.97532249999999998</v>
      </c>
      <c r="AB6317">
        <v>20</v>
      </c>
      <c r="AC6317">
        <v>19.7483</v>
      </c>
      <c r="AD6317">
        <v>-1.1117040169820001</v>
      </c>
      <c r="AE6317">
        <v>-0.68838000000000199</v>
      </c>
      <c r="AF6317">
        <v>-4.3635865094127499</v>
      </c>
      <c r="AG6317">
        <v>-1.1117040169820001</v>
      </c>
      <c r="AH6317">
        <v>19.208546195241901</v>
      </c>
      <c r="AI6317">
        <v>93.230207068851996</v>
      </c>
      <c r="AJ6317">
        <v>102.798615496938</v>
      </c>
      <c r="AK6317">
        <v>19.729293448606999</v>
      </c>
      <c r="AL6317">
        <v>79.508975235471098</v>
      </c>
      <c r="AM6317">
        <v>96.572871280167803</v>
      </c>
      <c r="AN6317">
        <v>1.0000000059196399</v>
      </c>
    </row>
    <row r="6318" spans="1:40" x14ac:dyDescent="0.25">
      <c r="A6318" t="str">
        <f>"20190312172533957"</f>
        <v>20190312172533957</v>
      </c>
      <c r="B6318" t="str">
        <f>"1552382733947131"</f>
        <v>1552382733947131</v>
      </c>
      <c r="C6318" t="s">
        <v>40</v>
      </c>
      <c r="D6318">
        <v>3.8230870000000001</v>
      </c>
      <c r="E6318">
        <v>0.46249990000000002</v>
      </c>
      <c r="F6318" t="s">
        <v>55</v>
      </c>
      <c r="G6318">
        <v>-258.58969999999999</v>
      </c>
      <c r="H6318" s="1">
        <v>-2.9651490000000001E-6</v>
      </c>
      <c r="I6318">
        <v>-61.031480000000002</v>
      </c>
      <c r="J6318">
        <v>-278.34690000000001</v>
      </c>
      <c r="K6318">
        <v>1.111691</v>
      </c>
      <c r="L6318">
        <v>-60.393799999999999</v>
      </c>
      <c r="M6318">
        <v>0.96745749999999997</v>
      </c>
      <c r="N6318">
        <v>0</v>
      </c>
      <c r="O6318">
        <v>-0.2530174</v>
      </c>
      <c r="P6318">
        <v>0.9736494</v>
      </c>
      <c r="Q6318">
        <v>0.1801461</v>
      </c>
      <c r="R6318">
        <v>-0.13983880000000001</v>
      </c>
      <c r="S6318">
        <v>3.098938</v>
      </c>
      <c r="T6318">
        <v>-0.1735148</v>
      </c>
      <c r="U6318">
        <v>-0.1031494</v>
      </c>
      <c r="V6318">
        <v>-0.1121738</v>
      </c>
      <c r="W6318">
        <v>0.18229619999999999</v>
      </c>
      <c r="X6318">
        <v>0.97682400000000003</v>
      </c>
      <c r="Y6318">
        <v>-0.21996199999999999</v>
      </c>
      <c r="Z6318">
        <v>2.017149E-2</v>
      </c>
      <c r="AA6318">
        <v>0.9752999</v>
      </c>
      <c r="AB6318">
        <v>20</v>
      </c>
      <c r="AC6318">
        <v>19.757200000000001</v>
      </c>
      <c r="AD6318">
        <v>-1.1116939651490001</v>
      </c>
      <c r="AE6318">
        <v>-0.63768000000000302</v>
      </c>
      <c r="AF6318">
        <v>-4.3681894256376896</v>
      </c>
      <c r="AG6318">
        <v>-1.1116939651490001</v>
      </c>
      <c r="AH6318">
        <v>19.214901998658299</v>
      </c>
      <c r="AI6318">
        <v>93.228997247912005</v>
      </c>
      <c r="AJ6318">
        <v>102.807572773009</v>
      </c>
      <c r="AK6318">
        <v>19.7364992120803</v>
      </c>
      <c r="AL6318">
        <v>79.496464345033502</v>
      </c>
      <c r="AM6318">
        <v>96.550878319257393</v>
      </c>
      <c r="AN6318">
        <v>0.99999999645843995</v>
      </c>
    </row>
    <row r="6319" spans="1:40" x14ac:dyDescent="0.25">
      <c r="A6319" t="str">
        <f>"20190312172533969"</f>
        <v>20190312172533969</v>
      </c>
      <c r="B6319" t="str">
        <f>"1552382733966651"</f>
        <v>1552382733966651</v>
      </c>
      <c r="C6319" t="s">
        <v>40</v>
      </c>
      <c r="D6319">
        <v>3.758521</v>
      </c>
      <c r="E6319">
        <v>0.46229730000000002</v>
      </c>
      <c r="F6319" t="s">
        <v>55</v>
      </c>
      <c r="G6319">
        <v>-258.35390000000001</v>
      </c>
      <c r="H6319" s="1">
        <v>-2.8604650000000001E-6</v>
      </c>
      <c r="I6319">
        <v>-61.015500000000003</v>
      </c>
      <c r="J6319">
        <v>-278.24979999999999</v>
      </c>
      <c r="K6319">
        <v>1.111686</v>
      </c>
      <c r="L6319">
        <v>-60.416600000000003</v>
      </c>
      <c r="M6319">
        <v>0.96806239999999999</v>
      </c>
      <c r="N6319">
        <v>0</v>
      </c>
      <c r="O6319">
        <v>-0.2506948</v>
      </c>
      <c r="P6319">
        <v>0.97390840000000001</v>
      </c>
      <c r="Q6319">
        <v>0.18037110000000001</v>
      </c>
      <c r="R6319">
        <v>-0.13772809999999999</v>
      </c>
      <c r="S6319">
        <v>3.0992739999999999</v>
      </c>
      <c r="T6319">
        <v>-0.1723325</v>
      </c>
      <c r="U6319">
        <v>-9.6374509999999997E-2</v>
      </c>
      <c r="V6319">
        <v>-0.1119449</v>
      </c>
      <c r="W6319">
        <v>0.18235199999999999</v>
      </c>
      <c r="X6319">
        <v>0.97683980000000004</v>
      </c>
      <c r="Y6319">
        <v>-0.21976799999999999</v>
      </c>
      <c r="Z6319">
        <v>1.9902840000000002E-2</v>
      </c>
      <c r="AA6319">
        <v>0.97534909999999997</v>
      </c>
      <c r="AB6319">
        <v>20</v>
      </c>
      <c r="AC6319">
        <v>19.895899999999902</v>
      </c>
      <c r="AD6319">
        <v>-1.1116888604649999</v>
      </c>
      <c r="AE6319">
        <v>-0.59889999999999999</v>
      </c>
      <c r="AF6319">
        <v>-4.3943353066989896</v>
      </c>
      <c r="AG6319">
        <v>-1.1116888604649999</v>
      </c>
      <c r="AH6319">
        <v>19.3503268127591</v>
      </c>
      <c r="AI6319">
        <v>93.206597282306404</v>
      </c>
      <c r="AJ6319">
        <v>102.79450634091</v>
      </c>
      <c r="AK6319">
        <v>19.8741335074203</v>
      </c>
      <c r="AL6319">
        <v>79.493212284346001</v>
      </c>
      <c r="AM6319">
        <v>96.537521718768502</v>
      </c>
      <c r="AN6319">
        <v>0.99999995370202299</v>
      </c>
    </row>
    <row r="6320" spans="1:40" x14ac:dyDescent="0.25">
      <c r="A6320" t="str">
        <f>"20190312172533981"</f>
        <v>20190312172533981</v>
      </c>
      <c r="B6320" t="str">
        <f>"1552382733976414"</f>
        <v>1552382733976414</v>
      </c>
      <c r="C6320" t="s">
        <v>40</v>
      </c>
      <c r="D6320">
        <v>3.643459</v>
      </c>
      <c r="E6320">
        <v>0.46223819999999999</v>
      </c>
      <c r="F6320" t="s">
        <v>55</v>
      </c>
      <c r="G6320">
        <v>-258.38690000000003</v>
      </c>
      <c r="H6320" s="1">
        <v>-2.866555E-6</v>
      </c>
      <c r="I6320">
        <v>-60.979340000000001</v>
      </c>
      <c r="J6320">
        <v>-278.14499999999998</v>
      </c>
      <c r="K6320">
        <v>1.1116820000000001</v>
      </c>
      <c r="L6320">
        <v>-60.441040000000001</v>
      </c>
      <c r="M6320">
        <v>0.96870710000000004</v>
      </c>
      <c r="N6320">
        <v>0</v>
      </c>
      <c r="O6320">
        <v>-0.2481941</v>
      </c>
      <c r="P6320">
        <v>0.97417149999999997</v>
      </c>
      <c r="Q6320">
        <v>0.18059130000000001</v>
      </c>
      <c r="R6320">
        <v>-0.13556289999999999</v>
      </c>
      <c r="S6320">
        <v>3.100098</v>
      </c>
      <c r="T6320">
        <v>-0.17350660000000001</v>
      </c>
      <c r="U6320">
        <v>-8.7829589999999999E-2</v>
      </c>
      <c r="V6320">
        <v>-0.11159239999999999</v>
      </c>
      <c r="W6320">
        <v>0.18239089999999999</v>
      </c>
      <c r="X6320">
        <v>0.97687290000000004</v>
      </c>
      <c r="Y6320">
        <v>-0.2199371</v>
      </c>
      <c r="Z6320">
        <v>1.9903529999999999E-2</v>
      </c>
      <c r="AA6320">
        <v>0.97531100000000004</v>
      </c>
      <c r="AB6320">
        <v>20</v>
      </c>
      <c r="AC6320">
        <v>19.758099999999899</v>
      </c>
      <c r="AD6320">
        <v>-1.1116848665549901</v>
      </c>
      <c r="AE6320">
        <v>-0.538299999999999</v>
      </c>
      <c r="AF6320">
        <v>-4.3685830254616302</v>
      </c>
      <c r="AG6320">
        <v>-1.1116848665549901</v>
      </c>
      <c r="AH6320">
        <v>19.212697816839601</v>
      </c>
      <c r="AI6320">
        <v>93.229308095968193</v>
      </c>
      <c r="AJ6320">
        <v>102.81010974559101</v>
      </c>
      <c r="AK6320">
        <v>19.7344399032268</v>
      </c>
      <c r="AL6320">
        <v>79.490945779307594</v>
      </c>
      <c r="AM6320">
        <v>96.516894360965495</v>
      </c>
      <c r="AN6320">
        <v>0.99999998344748997</v>
      </c>
    </row>
    <row r="6321" spans="1:40" x14ac:dyDescent="0.25">
      <c r="A6321" t="str">
        <f>"20190312172533994"</f>
        <v>20190312172533994</v>
      </c>
      <c r="B6321" t="str">
        <f>"1552382733987148"</f>
        <v>1552382733987148</v>
      </c>
      <c r="C6321" t="s">
        <v>40</v>
      </c>
      <c r="D6321">
        <v>3.637664</v>
      </c>
      <c r="E6321">
        <v>0.46220859999999903</v>
      </c>
      <c r="F6321" t="s">
        <v>55</v>
      </c>
      <c r="G6321">
        <v>-258.2724</v>
      </c>
      <c r="H6321" s="1">
        <v>-2.8119679999999999E-6</v>
      </c>
      <c r="I6321">
        <v>-60.954680000000003</v>
      </c>
      <c r="J6321">
        <v>-278.02710000000002</v>
      </c>
      <c r="K6321">
        <v>1.1116809999999999</v>
      </c>
      <c r="L6321">
        <v>-60.468020000000003</v>
      </c>
      <c r="M6321">
        <v>0.96941880000000002</v>
      </c>
      <c r="N6321">
        <v>0</v>
      </c>
      <c r="O6321">
        <v>-0.24540149999999999</v>
      </c>
      <c r="P6321">
        <v>0.97442329999999999</v>
      </c>
      <c r="Q6321">
        <v>0.1810705</v>
      </c>
      <c r="R6321">
        <v>-0.13309000000000001</v>
      </c>
      <c r="S6321">
        <v>3.1005250000000002</v>
      </c>
      <c r="T6321">
        <v>-0.17344560000000001</v>
      </c>
      <c r="U6321">
        <v>-8.0139160000000001E-2</v>
      </c>
      <c r="V6321">
        <v>-0.11124729999999999</v>
      </c>
      <c r="W6321">
        <v>0.18267549999999999</v>
      </c>
      <c r="X6321">
        <v>0.97685909999999998</v>
      </c>
      <c r="Y6321">
        <v>-0.21955259999999999</v>
      </c>
      <c r="Z6321">
        <v>1.9732710000000001E-2</v>
      </c>
      <c r="AA6321">
        <v>0.97540110000000002</v>
      </c>
      <c r="AB6321">
        <v>20</v>
      </c>
      <c r="AC6321">
        <v>19.7547</v>
      </c>
      <c r="AD6321">
        <v>-1.1116838119679999</v>
      </c>
      <c r="AE6321">
        <v>-0.48666000000000698</v>
      </c>
      <c r="AF6321">
        <v>-4.3622611790027399</v>
      </c>
      <c r="AG6321">
        <v>-1.1116838119679999</v>
      </c>
      <c r="AH6321">
        <v>19.209260533038002</v>
      </c>
      <c r="AI6321">
        <v>93.230082532376102</v>
      </c>
      <c r="AJ6321">
        <v>102.794396063276</v>
      </c>
      <c r="AK6321">
        <v>19.7296947193249</v>
      </c>
      <c r="AL6321">
        <v>79.474360949955496</v>
      </c>
      <c r="AM6321">
        <v>96.497004406462295</v>
      </c>
      <c r="AN6321">
        <v>1.0000000006551699</v>
      </c>
    </row>
    <row r="6322" spans="1:40" x14ac:dyDescent="0.25">
      <c r="A6322" t="str">
        <f>"20190312172534004"</f>
        <v>20190312172534004</v>
      </c>
      <c r="B6322" t="str">
        <f>"1552382733996907"</f>
        <v>1552382733996907</v>
      </c>
      <c r="C6322" t="s">
        <v>40</v>
      </c>
      <c r="D6322">
        <v>3.6564480000000001</v>
      </c>
      <c r="E6322">
        <v>0.46220559999999999</v>
      </c>
      <c r="F6322" t="s">
        <v>55</v>
      </c>
      <c r="G6322">
        <v>-258.06310000000002</v>
      </c>
      <c r="H6322" s="1">
        <v>-2.717014E-6</v>
      </c>
      <c r="I6322">
        <v>-60.931480000000001</v>
      </c>
      <c r="J6322">
        <v>-277.9348</v>
      </c>
      <c r="K6322">
        <v>1.1116820000000001</v>
      </c>
      <c r="L6322">
        <v>-60.48901</v>
      </c>
      <c r="M6322">
        <v>0.96996919999999998</v>
      </c>
      <c r="N6322">
        <v>0</v>
      </c>
      <c r="O6322">
        <v>-0.2432184</v>
      </c>
      <c r="P6322">
        <v>0.97462000000000004</v>
      </c>
      <c r="Q6322">
        <v>0.18140539999999999</v>
      </c>
      <c r="R6322">
        <v>-0.13117999999999999</v>
      </c>
      <c r="S6322">
        <v>3.101013</v>
      </c>
      <c r="T6322">
        <v>-0.17267759999999999</v>
      </c>
      <c r="U6322">
        <v>-7.1990970000000001E-2</v>
      </c>
      <c r="V6322">
        <v>-0.1109579</v>
      </c>
      <c r="W6322">
        <v>0.18286069999999999</v>
      </c>
      <c r="X6322">
        <v>0.97685739999999999</v>
      </c>
      <c r="Y6322">
        <v>-0.21993090000000001</v>
      </c>
      <c r="Z6322">
        <v>1.953622E-2</v>
      </c>
      <c r="AA6322">
        <v>0.97531979999999996</v>
      </c>
      <c r="AB6322">
        <v>21</v>
      </c>
      <c r="AC6322">
        <v>19.871699999999901</v>
      </c>
      <c r="AD6322">
        <v>-1.1116847170140001</v>
      </c>
      <c r="AE6322">
        <v>-0.44247000000000702</v>
      </c>
      <c r="AF6322">
        <v>-4.3902577695842098</v>
      </c>
      <c r="AG6322">
        <v>-1.1116847170140001</v>
      </c>
      <c r="AH6322">
        <v>19.322156731454399</v>
      </c>
      <c r="AI6322">
        <v>93.2111674099787</v>
      </c>
      <c r="AJ6322">
        <v>102.801047433173</v>
      </c>
      <c r="AK6322">
        <v>19.845804265595401</v>
      </c>
      <c r="AL6322">
        <v>79.463568347200294</v>
      </c>
      <c r="AM6322">
        <v>96.480258157700803</v>
      </c>
      <c r="AN6322">
        <v>1.0000000355558201</v>
      </c>
    </row>
    <row r="6323" spans="1:40" x14ac:dyDescent="0.25">
      <c r="A6323" t="str">
        <f>"20190312172534016"</f>
        <v>20190312172534016</v>
      </c>
      <c r="B6323" t="str">
        <f>"1552382734006667"</f>
        <v>1552382734006667</v>
      </c>
      <c r="C6323" t="s">
        <v>40</v>
      </c>
      <c r="D6323">
        <v>3.6306419999999999</v>
      </c>
      <c r="E6323">
        <v>0.46224549999999998</v>
      </c>
      <c r="F6323" t="s">
        <v>55</v>
      </c>
      <c r="G6323">
        <v>-257.94400000000002</v>
      </c>
      <c r="H6323" s="1">
        <v>-2.661929E-6</v>
      </c>
      <c r="I6323">
        <v>-60.913519999999998</v>
      </c>
      <c r="J6323">
        <v>-277.83</v>
      </c>
      <c r="K6323">
        <v>1.1116839999999999</v>
      </c>
      <c r="L6323">
        <v>-60.512569999999997</v>
      </c>
      <c r="M6323">
        <v>0.97058489999999997</v>
      </c>
      <c r="N6323">
        <v>0</v>
      </c>
      <c r="O6323">
        <v>-0.2407502</v>
      </c>
      <c r="P6323">
        <v>0.97483540000000002</v>
      </c>
      <c r="Q6323">
        <v>0.18179819999999999</v>
      </c>
      <c r="R6323">
        <v>-0.1290182</v>
      </c>
      <c r="S6323">
        <v>3.1013489999999999</v>
      </c>
      <c r="T6323">
        <v>-0.17246500000000001</v>
      </c>
      <c r="U6323">
        <v>-6.5856929999999994E-2</v>
      </c>
      <c r="V6323">
        <v>-0.1106335</v>
      </c>
      <c r="W6323">
        <v>0.183089</v>
      </c>
      <c r="X6323">
        <v>0.97685140000000004</v>
      </c>
      <c r="Y6323">
        <v>-0.21938659999999999</v>
      </c>
      <c r="Z6323">
        <v>1.936241E-2</v>
      </c>
      <c r="AA6323">
        <v>0.97544589999999998</v>
      </c>
      <c r="AB6323">
        <v>21</v>
      </c>
      <c r="AC6323">
        <v>19.8859999999999</v>
      </c>
      <c r="AD6323">
        <v>-1.111686661929</v>
      </c>
      <c r="AE6323">
        <v>-0.40095000000000097</v>
      </c>
      <c r="AF6323">
        <v>-4.3847146102487997</v>
      </c>
      <c r="AG6323">
        <v>-1.111686661929</v>
      </c>
      <c r="AH6323">
        <v>19.337214744065498</v>
      </c>
      <c r="AI6323">
        <v>93.208998122378404</v>
      </c>
      <c r="AJ6323">
        <v>102.775787097202</v>
      </c>
      <c r="AK6323">
        <v>19.8592407585422</v>
      </c>
      <c r="AL6323">
        <v>79.450262775434396</v>
      </c>
      <c r="AM6323">
        <v>96.461512082499794</v>
      </c>
      <c r="AN6323">
        <v>1.0000000054625999</v>
      </c>
    </row>
    <row r="6324" spans="1:40" x14ac:dyDescent="0.25">
      <c r="A6324" t="str">
        <f>"20190312172534027"</f>
        <v>20190312172534027</v>
      </c>
      <c r="B6324" t="str">
        <f>"1552382734016428"</f>
        <v>1552382734016428</v>
      </c>
      <c r="C6324" t="s">
        <v>40</v>
      </c>
      <c r="D6324">
        <v>3.8047110000000002</v>
      </c>
      <c r="E6324">
        <v>0.46231899999999998</v>
      </c>
      <c r="F6324" t="s">
        <v>55</v>
      </c>
      <c r="G6324">
        <v>-257.80119999999999</v>
      </c>
      <c r="H6324" s="1">
        <v>-2.5969660000000002E-6</v>
      </c>
      <c r="I6324">
        <v>-60.896850000000001</v>
      </c>
      <c r="J6324">
        <v>-277.73360000000002</v>
      </c>
      <c r="K6324">
        <v>1.111694</v>
      </c>
      <c r="L6324">
        <v>-60.533999999999999</v>
      </c>
      <c r="M6324">
        <v>0.97114469999999997</v>
      </c>
      <c r="N6324">
        <v>0</v>
      </c>
      <c r="O6324">
        <v>-0.2384838</v>
      </c>
      <c r="P6324">
        <v>0.97505779999999997</v>
      </c>
      <c r="Q6324">
        <v>0.1820833</v>
      </c>
      <c r="R6324">
        <v>-0.12691759999999999</v>
      </c>
      <c r="S6324">
        <v>3.1016849999999998</v>
      </c>
      <c r="T6324">
        <v>-0.1721567</v>
      </c>
      <c r="U6324">
        <v>-5.9509279999999998E-2</v>
      </c>
      <c r="V6324">
        <v>-0.110456399999999</v>
      </c>
      <c r="W6324">
        <v>0.18322769999999999</v>
      </c>
      <c r="X6324">
        <v>0.97684539999999997</v>
      </c>
      <c r="Y6324">
        <v>-0.21911330000000001</v>
      </c>
      <c r="Z6324">
        <v>1.9196709999999999E-2</v>
      </c>
      <c r="AA6324">
        <v>0.97551049999999995</v>
      </c>
      <c r="AB6324">
        <v>21</v>
      </c>
      <c r="AC6324">
        <v>19.932400000000001</v>
      </c>
      <c r="AD6324">
        <v>-1.111696596966</v>
      </c>
      <c r="AE6324">
        <v>-0.36285000000000101</v>
      </c>
      <c r="AF6324">
        <v>-4.3875385849086301</v>
      </c>
      <c r="AG6324">
        <v>-1.111696596966</v>
      </c>
      <c r="AH6324">
        <v>19.383536263862599</v>
      </c>
      <c r="AI6324">
        <v>93.201646744505496</v>
      </c>
      <c r="AJ6324">
        <v>102.75419566561899</v>
      </c>
      <c r="AK6324">
        <v>19.9049702901121</v>
      </c>
      <c r="AL6324">
        <v>79.442178733963104</v>
      </c>
      <c r="AM6324">
        <v>96.451295177016803</v>
      </c>
      <c r="AN6324">
        <v>0.99999997092470405</v>
      </c>
    </row>
    <row r="6325" spans="1:40" x14ac:dyDescent="0.25">
      <c r="A6325" t="str">
        <f>"20190312172534037"</f>
        <v>20190312172534037</v>
      </c>
      <c r="B6325" t="str">
        <f>"1552382734027163"</f>
        <v>1552382734027163</v>
      </c>
      <c r="C6325" t="s">
        <v>40</v>
      </c>
      <c r="D6325">
        <v>3.7970130000000002</v>
      </c>
      <c r="E6325">
        <v>0.46240530000000002</v>
      </c>
      <c r="F6325" t="s">
        <v>55</v>
      </c>
      <c r="G6325">
        <v>-257.6268</v>
      </c>
      <c r="H6325" s="1">
        <v>-2.517914E-6</v>
      </c>
      <c r="I6325">
        <v>-60.877800000000001</v>
      </c>
      <c r="J6325">
        <v>-277.63299999999998</v>
      </c>
      <c r="K6325">
        <v>1.111699</v>
      </c>
      <c r="L6325">
        <v>-60.556150000000002</v>
      </c>
      <c r="M6325">
        <v>0.97172020000000003</v>
      </c>
      <c r="N6325">
        <v>0</v>
      </c>
      <c r="O6325">
        <v>-0.2361287</v>
      </c>
      <c r="P6325">
        <v>0.97524109999999997</v>
      </c>
      <c r="Q6325">
        <v>0.1824624</v>
      </c>
      <c r="R6325">
        <v>-0.12494950000000001</v>
      </c>
      <c r="S6325">
        <v>3.1018680000000001</v>
      </c>
      <c r="T6325">
        <v>-0.1715013</v>
      </c>
      <c r="U6325">
        <v>-5.3039549999999998E-2</v>
      </c>
      <c r="V6325">
        <v>-0.1100551</v>
      </c>
      <c r="W6325">
        <v>0.18346029999999999</v>
      </c>
      <c r="X6325">
        <v>0.97684709999999997</v>
      </c>
      <c r="Y6325">
        <v>-0.2187926</v>
      </c>
      <c r="Z6325">
        <v>1.8987830000000001E-2</v>
      </c>
      <c r="AA6325">
        <v>0.97558670000000003</v>
      </c>
      <c r="AB6325">
        <v>21</v>
      </c>
      <c r="AC6325">
        <v>20.0061999999999</v>
      </c>
      <c r="AD6325">
        <v>-1.111701517914</v>
      </c>
      <c r="AE6325">
        <v>-0.32164999999999799</v>
      </c>
      <c r="AF6325">
        <v>-4.3979147013750497</v>
      </c>
      <c r="AG6325">
        <v>-1.111701517914</v>
      </c>
      <c r="AH6325">
        <v>19.456348100980598</v>
      </c>
      <c r="AI6325">
        <v>93.1899189813021</v>
      </c>
      <c r="AJ6325">
        <v>102.737092167249</v>
      </c>
      <c r="AK6325">
        <v>19.978163464443799</v>
      </c>
      <c r="AL6325">
        <v>79.428622581732498</v>
      </c>
      <c r="AM6325">
        <v>96.428042366291507</v>
      </c>
      <c r="AN6325">
        <v>1.00000003174525</v>
      </c>
    </row>
    <row r="6326" spans="1:40" x14ac:dyDescent="0.25">
      <c r="A6326" t="str">
        <f>"20190312172534050"</f>
        <v>20190312172534050</v>
      </c>
      <c r="B6326" t="str">
        <f>"1552382734046683"</f>
        <v>1552382734046683</v>
      </c>
      <c r="C6326" t="s">
        <v>40</v>
      </c>
      <c r="D6326">
        <v>3.7336130000000001</v>
      </c>
      <c r="E6326">
        <v>0.46246429999999999</v>
      </c>
      <c r="F6326" t="s">
        <v>55</v>
      </c>
      <c r="G6326">
        <v>-257.45179999999999</v>
      </c>
      <c r="H6326" s="1">
        <v>-2.4397780000000002E-6</v>
      </c>
      <c r="I6326">
        <v>-60.864089999999997</v>
      </c>
      <c r="J6326">
        <v>-277.524</v>
      </c>
      <c r="K6326">
        <v>1.111707</v>
      </c>
      <c r="L6326">
        <v>-60.579799999999999</v>
      </c>
      <c r="M6326">
        <v>0.9723349</v>
      </c>
      <c r="N6326">
        <v>0</v>
      </c>
      <c r="O6326">
        <v>-0.2335865</v>
      </c>
      <c r="P6326">
        <v>0.97548880000000004</v>
      </c>
      <c r="Q6326">
        <v>0.18271480000000001</v>
      </c>
      <c r="R6326">
        <v>-0.1226281</v>
      </c>
      <c r="S6326">
        <v>3.1020810000000001</v>
      </c>
      <c r="T6326">
        <v>-0.17088120000000001</v>
      </c>
      <c r="U6326">
        <v>-4.7332760000000001E-2</v>
      </c>
      <c r="V6326">
        <v>-0.1098267</v>
      </c>
      <c r="W6326">
        <v>0.18356149999999999</v>
      </c>
      <c r="X6326">
        <v>0.97685379999999999</v>
      </c>
      <c r="Y6326">
        <v>-0.21804609999999999</v>
      </c>
      <c r="Z6326">
        <v>1.8761659999999999E-2</v>
      </c>
      <c r="AA6326">
        <v>0.97575809999999996</v>
      </c>
      <c r="AB6326">
        <v>21</v>
      </c>
      <c r="AC6326">
        <v>20.072199999999999</v>
      </c>
      <c r="AD6326">
        <v>-1.1117094397780001</v>
      </c>
      <c r="AE6326">
        <v>-0.28429000000000498</v>
      </c>
      <c r="AF6326">
        <v>-4.3986841782317896</v>
      </c>
      <c r="AG6326">
        <v>-1.1117094397780001</v>
      </c>
      <c r="AH6326">
        <v>19.523451035745399</v>
      </c>
      <c r="AI6326">
        <v>93.179502680355995</v>
      </c>
      <c r="AJ6326">
        <v>102.696884414862</v>
      </c>
      <c r="AK6326">
        <v>20.043688800304899</v>
      </c>
      <c r="AL6326">
        <v>79.422724139719094</v>
      </c>
      <c r="AM6326">
        <v>96.414769778995904</v>
      </c>
      <c r="AN6326">
        <v>1.0000000374447799</v>
      </c>
    </row>
    <row r="6327" spans="1:40" x14ac:dyDescent="0.25">
      <c r="A6327" t="str">
        <f>"20190312172534065"</f>
        <v>20190312172534065</v>
      </c>
      <c r="B6327" t="str">
        <f>"1552382734056442"</f>
        <v>1552382734056442</v>
      </c>
      <c r="C6327" t="s">
        <v>40</v>
      </c>
      <c r="D6327">
        <v>3.7580650000000002</v>
      </c>
      <c r="E6327">
        <v>0.4624508</v>
      </c>
      <c r="F6327" t="s">
        <v>55</v>
      </c>
      <c r="G6327">
        <v>-257.50990000000002</v>
      </c>
      <c r="H6327" s="1">
        <v>-2.4587100000000001E-6</v>
      </c>
      <c r="I6327">
        <v>-60.837090000000003</v>
      </c>
      <c r="J6327">
        <v>-277.3852</v>
      </c>
      <c r="K6327">
        <v>1.1117159999999999</v>
      </c>
      <c r="L6327">
        <v>-60.6096199999999</v>
      </c>
      <c r="M6327">
        <v>0.97310549999999996</v>
      </c>
      <c r="N6327">
        <v>0</v>
      </c>
      <c r="O6327">
        <v>-0.23035510000000001</v>
      </c>
      <c r="P6327">
        <v>0.9758732</v>
      </c>
      <c r="Q6327">
        <v>0.18261179999999999</v>
      </c>
      <c r="R6327">
        <v>-0.1196846</v>
      </c>
      <c r="S6327">
        <v>3.1026609999999999</v>
      </c>
      <c r="T6327">
        <v>-0.17234150000000001</v>
      </c>
      <c r="U6327">
        <v>-3.988647E-2</v>
      </c>
      <c r="V6327">
        <v>-0.10954609999999999</v>
      </c>
      <c r="W6327">
        <v>0.1832741</v>
      </c>
      <c r="X6327">
        <v>0.97693920000000001</v>
      </c>
      <c r="Y6327">
        <v>-0.21714320000000001</v>
      </c>
      <c r="Z6327">
        <v>1.871896E-2</v>
      </c>
      <c r="AA6327">
        <v>0.9759603</v>
      </c>
      <c r="AB6327">
        <v>21</v>
      </c>
      <c r="AC6327">
        <v>19.8752999999999</v>
      </c>
      <c r="AD6327">
        <v>-1.11171845871</v>
      </c>
      <c r="AE6327">
        <v>-0.22747000000001</v>
      </c>
      <c r="AF6327">
        <v>-4.3434417396576697</v>
      </c>
      <c r="AG6327">
        <v>-1.11171845871</v>
      </c>
      <c r="AH6327">
        <v>19.3327060024356</v>
      </c>
      <c r="AI6327">
        <v>93.211269145756205</v>
      </c>
      <c r="AJ6327">
        <v>102.662280404011</v>
      </c>
      <c r="AK6327">
        <v>19.8457785297994</v>
      </c>
      <c r="AL6327">
        <v>79.439474428093604</v>
      </c>
      <c r="AM6327">
        <v>96.397961866944399</v>
      </c>
      <c r="AN6327">
        <v>0.99999997212632896</v>
      </c>
    </row>
    <row r="6328" spans="1:40" x14ac:dyDescent="0.25">
      <c r="A6328" t="str">
        <f>"20190312172534077"</f>
        <v>20190312172534077</v>
      </c>
      <c r="B6328" t="str">
        <f>"1552382734067179"</f>
        <v>1552382734067179</v>
      </c>
      <c r="C6328" t="s">
        <v>40</v>
      </c>
      <c r="D6328">
        <v>3.6344639999999999</v>
      </c>
      <c r="E6328">
        <v>0.4625128</v>
      </c>
      <c r="F6328" t="s">
        <v>55</v>
      </c>
      <c r="G6328">
        <v>-257.55419999999998</v>
      </c>
      <c r="H6328" s="1">
        <v>-2.47012E-6</v>
      </c>
      <c r="I6328">
        <v>-60.802889999999998</v>
      </c>
      <c r="J6328">
        <v>-277.26760000000002</v>
      </c>
      <c r="K6328">
        <v>1.1117250000000001</v>
      </c>
      <c r="L6328">
        <v>-60.634459999999997</v>
      </c>
      <c r="M6328">
        <v>0.97374680000000002</v>
      </c>
      <c r="N6328">
        <v>0</v>
      </c>
      <c r="O6328">
        <v>-0.2276302</v>
      </c>
      <c r="P6328">
        <v>0.97612370000000004</v>
      </c>
      <c r="Q6328">
        <v>0.1827713</v>
      </c>
      <c r="R6328">
        <v>-0.1173754</v>
      </c>
      <c r="S6328">
        <v>3.1030579999999999</v>
      </c>
      <c r="T6328">
        <v>-0.17395679999999999</v>
      </c>
      <c r="U6328">
        <v>-3.024292E-2</v>
      </c>
      <c r="V6328">
        <v>-0.1091284</v>
      </c>
      <c r="W6328">
        <v>0.18328920000000001</v>
      </c>
      <c r="X6328">
        <v>0.97698309999999999</v>
      </c>
      <c r="Y6328">
        <v>-0.21743609999999999</v>
      </c>
      <c r="Z6328">
        <v>1.875199E-2</v>
      </c>
      <c r="AA6328">
        <v>0.97589440000000005</v>
      </c>
      <c r="AB6328">
        <v>21</v>
      </c>
      <c r="AC6328">
        <v>19.7134</v>
      </c>
      <c r="AD6328">
        <v>-1.1117274701199999</v>
      </c>
      <c r="AE6328">
        <v>-0.16843000000000699</v>
      </c>
      <c r="AF6328">
        <v>-4.30965543206913</v>
      </c>
      <c r="AG6328">
        <v>-1.1117274701199999</v>
      </c>
      <c r="AH6328">
        <v>19.173242912900101</v>
      </c>
      <c r="AI6328">
        <v>93.237873199842795</v>
      </c>
      <c r="AJ6328">
        <v>102.668083398306</v>
      </c>
      <c r="AK6328">
        <v>19.683046301527099</v>
      </c>
      <c r="AL6328">
        <v>79.438594203937498</v>
      </c>
      <c r="AM6328">
        <v>96.373483497785102</v>
      </c>
      <c r="AN6328">
        <v>0.99999995810440401</v>
      </c>
    </row>
    <row r="6329" spans="1:40" x14ac:dyDescent="0.25">
      <c r="A6329" t="str">
        <f>"20190312172534090"</f>
        <v>20190312172534090</v>
      </c>
      <c r="B6329" t="str">
        <f>"1552382734086699"</f>
        <v>1552382734086699</v>
      </c>
      <c r="C6329" t="s">
        <v>40</v>
      </c>
      <c r="D6329">
        <v>3.7569560000000002</v>
      </c>
      <c r="E6329">
        <v>0.46256340000000001</v>
      </c>
      <c r="F6329" t="s">
        <v>55</v>
      </c>
      <c r="G6329">
        <v>-257.43439999999998</v>
      </c>
      <c r="H6329" s="1">
        <v>-2.4140160000000001E-6</v>
      </c>
      <c r="I6329">
        <v>-60.7817199999999</v>
      </c>
      <c r="J6329">
        <v>-277.15030000000002</v>
      </c>
      <c r="K6329">
        <v>1.1117349999999999</v>
      </c>
      <c r="L6329">
        <v>-60.658869999999901</v>
      </c>
      <c r="M6329">
        <v>0.97437669999999998</v>
      </c>
      <c r="N6329">
        <v>0</v>
      </c>
      <c r="O6329">
        <v>-0.2249196</v>
      </c>
      <c r="P6329">
        <v>0.9764505</v>
      </c>
      <c r="Q6329">
        <v>0.18269050000000001</v>
      </c>
      <c r="R6329">
        <v>-0.1147547</v>
      </c>
      <c r="S6329">
        <v>3.10318</v>
      </c>
      <c r="T6329">
        <v>-0.17394499999999999</v>
      </c>
      <c r="U6329">
        <v>-2.3040769999999999E-2</v>
      </c>
      <c r="V6329">
        <v>-0.109046699999999</v>
      </c>
      <c r="W6329">
        <v>0.18307209999999999</v>
      </c>
      <c r="X6329">
        <v>0.97703300000000004</v>
      </c>
      <c r="Y6329">
        <v>-0.2169903</v>
      </c>
      <c r="Z6329">
        <v>1.858982E-2</v>
      </c>
      <c r="AA6329">
        <v>0.97599669999999905</v>
      </c>
      <c r="AB6329">
        <v>21</v>
      </c>
      <c r="AC6329">
        <v>19.715900000000001</v>
      </c>
      <c r="AD6329">
        <v>-1.1117374140159999</v>
      </c>
      <c r="AE6329">
        <v>-0.122849999999999</v>
      </c>
      <c r="AF6329">
        <v>-4.3011175334183704</v>
      </c>
      <c r="AG6329">
        <v>-1.1117374140159999</v>
      </c>
      <c r="AH6329">
        <v>19.1773828257509</v>
      </c>
      <c r="AI6329">
        <v>93.237545536653002</v>
      </c>
      <c r="AJ6329">
        <v>102.64115242657699</v>
      </c>
      <c r="AK6329">
        <v>19.6852123219285</v>
      </c>
      <c r="AL6329">
        <v>79.451247981782302</v>
      </c>
      <c r="AM6329">
        <v>96.368428552033905</v>
      </c>
      <c r="AN6329">
        <v>1.00000002983414</v>
      </c>
    </row>
    <row r="6330" spans="1:40" x14ac:dyDescent="0.25">
      <c r="A6330" t="str">
        <f>"20190312172534104"</f>
        <v>20190312172534104</v>
      </c>
      <c r="B6330" t="str">
        <f>"1552382734096459"</f>
        <v>1552382734096459</v>
      </c>
      <c r="C6330" t="s">
        <v>40</v>
      </c>
      <c r="D6330">
        <v>3.7240479999999998</v>
      </c>
      <c r="E6330">
        <v>0.4625959</v>
      </c>
      <c r="F6330" t="s">
        <v>55</v>
      </c>
      <c r="G6330">
        <v>-257.53620000000001</v>
      </c>
      <c r="H6330" s="1">
        <v>-2.4513600000000001E-6</v>
      </c>
      <c r="I6330">
        <v>-60.75338</v>
      </c>
      <c r="J6330">
        <v>-277.01530000000002</v>
      </c>
      <c r="K6330">
        <v>1.1117490000000001</v>
      </c>
      <c r="L6330">
        <v>-60.686680000000003</v>
      </c>
      <c r="M6330">
        <v>0.97509040000000002</v>
      </c>
      <c r="N6330">
        <v>0</v>
      </c>
      <c r="O6330">
        <v>-0.22180559999999999</v>
      </c>
      <c r="P6330">
        <v>0.97679539999999998</v>
      </c>
      <c r="Q6330">
        <v>0.18251980000000001</v>
      </c>
      <c r="R6330">
        <v>-0.1120604</v>
      </c>
      <c r="S6330">
        <v>3.1035460000000001</v>
      </c>
      <c r="T6330">
        <v>-0.17590989999999901</v>
      </c>
      <c r="U6330">
        <v>-1.4953610000000001E-2</v>
      </c>
      <c r="V6330">
        <v>-0.1086396</v>
      </c>
      <c r="W6330">
        <v>0.18275379999999999</v>
      </c>
      <c r="X6330">
        <v>0.9771379</v>
      </c>
      <c r="Y6330">
        <v>-0.2164063</v>
      </c>
      <c r="Z6330">
        <v>1.8608940000000001E-2</v>
      </c>
      <c r="AA6330">
        <v>0.97612600000000005</v>
      </c>
      <c r="AB6330">
        <v>22</v>
      </c>
      <c r="AC6330">
        <v>19.479099999999999</v>
      </c>
      <c r="AD6330">
        <v>-1.11175145136</v>
      </c>
      <c r="AE6330">
        <v>-6.6700000000004395E-2</v>
      </c>
      <c r="AF6330">
        <v>-4.2417200097949701</v>
      </c>
      <c r="AG6330">
        <v>-1.11175145136</v>
      </c>
      <c r="AH6330">
        <v>18.9469691673225</v>
      </c>
      <c r="AI6330">
        <v>93.277157530738407</v>
      </c>
      <c r="AJ6330">
        <v>102.618922712478</v>
      </c>
      <c r="AK6330">
        <v>19.447771609070401</v>
      </c>
      <c r="AL6330">
        <v>79.469797813838596</v>
      </c>
      <c r="AM6330">
        <v>96.344172192325601</v>
      </c>
      <c r="AN6330">
        <v>0.99999999485950497</v>
      </c>
    </row>
    <row r="6331" spans="1:40" x14ac:dyDescent="0.25">
      <c r="A6331" t="str">
        <f>"20190312172534115"</f>
        <v>20190312172534115</v>
      </c>
      <c r="B6331" t="str">
        <f>"1552382734107195"</f>
        <v>1552382734107195</v>
      </c>
      <c r="C6331" t="s">
        <v>40</v>
      </c>
      <c r="D6331">
        <v>3.7491669999999999</v>
      </c>
      <c r="E6331">
        <v>0.4626478</v>
      </c>
      <c r="F6331" t="s">
        <v>55</v>
      </c>
      <c r="G6331">
        <v>-257.55200000000002</v>
      </c>
      <c r="H6331" s="1">
        <v>-2.4518969999999999E-6</v>
      </c>
      <c r="I6331">
        <v>-60.725140000000003</v>
      </c>
      <c r="J6331">
        <v>-276.90800000000002</v>
      </c>
      <c r="K6331">
        <v>1.1117570000000001</v>
      </c>
      <c r="L6331">
        <v>-60.708370000000002</v>
      </c>
      <c r="M6331">
        <v>0.97564770000000001</v>
      </c>
      <c r="N6331">
        <v>0</v>
      </c>
      <c r="O6331">
        <v>-0.2193416</v>
      </c>
      <c r="P6331">
        <v>0.97707180000000005</v>
      </c>
      <c r="Q6331">
        <v>0.18249609999999999</v>
      </c>
      <c r="R6331">
        <v>-0.10966380000000001</v>
      </c>
      <c r="S6331">
        <v>3.1036990000000002</v>
      </c>
      <c r="T6331">
        <v>-0.177285</v>
      </c>
      <c r="U6331">
        <v>-6.1340329999999997E-3</v>
      </c>
      <c r="V6331">
        <v>-0.10857890000000001</v>
      </c>
      <c r="W6331">
        <v>0.18262110000000001</v>
      </c>
      <c r="X6331">
        <v>0.97716950000000002</v>
      </c>
      <c r="Y6331">
        <v>-0.2167067</v>
      </c>
      <c r="Z6331">
        <v>1.8624970000000001E-2</v>
      </c>
      <c r="AA6331">
        <v>0.97605909999999996</v>
      </c>
      <c r="AB6331">
        <v>22</v>
      </c>
      <c r="AC6331">
        <v>19.355999999999899</v>
      </c>
      <c r="AD6331">
        <v>-1.111759451897</v>
      </c>
      <c r="AE6331">
        <v>-1.6770000000008101E-2</v>
      </c>
      <c r="AF6331">
        <v>-4.2153095926904998</v>
      </c>
      <c r="AG6331">
        <v>-1.111759451897</v>
      </c>
      <c r="AH6331">
        <v>18.826214264302202</v>
      </c>
      <c r="AI6331">
        <v>93.2981320333475</v>
      </c>
      <c r="AJ6331">
        <v>102.62072934427</v>
      </c>
      <c r="AK6331">
        <v>19.324367714533999</v>
      </c>
      <c r="AL6331">
        <v>79.477531563138101</v>
      </c>
      <c r="AM6331">
        <v>96.340453026531094</v>
      </c>
      <c r="AN6331">
        <v>1.00000003771033</v>
      </c>
    </row>
    <row r="6332" spans="1:40" x14ac:dyDescent="0.25">
      <c r="A6332" t="str">
        <f>"20190312172534126"</f>
        <v>20190312172534126</v>
      </c>
      <c r="B6332" t="str">
        <f>"1552382734116955"</f>
        <v>1552382734116955</v>
      </c>
      <c r="C6332" t="s">
        <v>40</v>
      </c>
      <c r="D6332">
        <v>3.6258360000000001</v>
      </c>
      <c r="E6332">
        <v>0.46274969999999999</v>
      </c>
      <c r="F6332" t="s">
        <v>55</v>
      </c>
      <c r="G6332">
        <v>-257.57690000000002</v>
      </c>
      <c r="H6332" s="1">
        <v>-2.4574E-6</v>
      </c>
      <c r="I6332">
        <v>-60.701909999999998</v>
      </c>
      <c r="J6332">
        <v>-276.80360000000002</v>
      </c>
      <c r="K6332">
        <v>1.111766</v>
      </c>
      <c r="L6332">
        <v>-60.729280000000003</v>
      </c>
      <c r="M6332">
        <v>0.97618269999999996</v>
      </c>
      <c r="N6332">
        <v>0</v>
      </c>
      <c r="O6332">
        <v>-0.2169489</v>
      </c>
      <c r="P6332">
        <v>0.97731140000000005</v>
      </c>
      <c r="Q6332">
        <v>0.18242220000000001</v>
      </c>
      <c r="R6332">
        <v>-0.1076328</v>
      </c>
      <c r="S6332">
        <v>3.103882</v>
      </c>
      <c r="T6332">
        <v>-0.178509</v>
      </c>
      <c r="U6332">
        <v>1.037598E-3</v>
      </c>
      <c r="V6332">
        <v>-0.10822560000000001</v>
      </c>
      <c r="W6332">
        <v>0.18244769999999999</v>
      </c>
      <c r="X6332">
        <v>0.97724100000000003</v>
      </c>
      <c r="Y6332">
        <v>-0.21656329999999999</v>
      </c>
      <c r="Z6332">
        <v>1.8613999999999999E-2</v>
      </c>
      <c r="AA6332">
        <v>0.97609109999999999</v>
      </c>
      <c r="AB6332">
        <v>22</v>
      </c>
      <c r="AC6332">
        <v>19.226699999999902</v>
      </c>
      <c r="AD6332">
        <v>-1.1117684574</v>
      </c>
      <c r="AE6332">
        <v>2.73700000000047E-2</v>
      </c>
      <c r="AF6332">
        <v>-4.1839410545612301</v>
      </c>
      <c r="AG6332">
        <v>-1.1117684574</v>
      </c>
      <c r="AH6332">
        <v>18.7003118819867</v>
      </c>
      <c r="AI6332">
        <v>93.320434485118497</v>
      </c>
      <c r="AJ6332">
        <v>102.61145624887</v>
      </c>
      <c r="AK6332">
        <v>19.194870573527801</v>
      </c>
      <c r="AL6332">
        <v>79.487635569396801</v>
      </c>
      <c r="AM6332">
        <v>96.319530657640101</v>
      </c>
      <c r="AN6332">
        <v>0.99999995790582397</v>
      </c>
    </row>
    <row r="6333" spans="1:40" x14ac:dyDescent="0.25">
      <c r="A6333" t="str">
        <f>"20190312172534137"</f>
        <v>20190312172534137</v>
      </c>
      <c r="B6333" t="str">
        <f>"1552382734126715"</f>
        <v>1552382734126715</v>
      </c>
      <c r="C6333" t="s">
        <v>40</v>
      </c>
      <c r="D6333">
        <v>3.631227</v>
      </c>
      <c r="E6333">
        <v>0.46286670000000002</v>
      </c>
      <c r="F6333" t="s">
        <v>55</v>
      </c>
      <c r="G6333">
        <v>-257.53949999999998</v>
      </c>
      <c r="H6333" s="1">
        <v>-2.438107E-6</v>
      </c>
      <c r="I6333">
        <v>-60.687420000000003</v>
      </c>
      <c r="J6333">
        <v>-276.69880000000001</v>
      </c>
      <c r="K6333">
        <v>1.111774</v>
      </c>
      <c r="L6333">
        <v>-60.750030000000002</v>
      </c>
      <c r="M6333">
        <v>0.97671220000000003</v>
      </c>
      <c r="N6333">
        <v>0</v>
      </c>
      <c r="O6333">
        <v>-0.21455260000000001</v>
      </c>
      <c r="P6333">
        <v>0.97754379999999996</v>
      </c>
      <c r="Q6333">
        <v>0.18253269999999999</v>
      </c>
      <c r="R6333">
        <v>-0.1053094</v>
      </c>
      <c r="S6333">
        <v>3.10379</v>
      </c>
      <c r="T6333">
        <v>-0.17912529999999999</v>
      </c>
      <c r="U6333">
        <v>6.7443850000000003E-3</v>
      </c>
      <c r="V6333">
        <v>-0.108155399999999</v>
      </c>
      <c r="W6333">
        <v>0.18246219999999999</v>
      </c>
      <c r="X6333">
        <v>0.97724610000000001</v>
      </c>
      <c r="Y6333">
        <v>-0.21596219999999999</v>
      </c>
      <c r="Z6333">
        <v>1.8526290000000001E-2</v>
      </c>
      <c r="AA6333">
        <v>0.97622600000000004</v>
      </c>
      <c r="AB6333">
        <v>22</v>
      </c>
      <c r="AC6333">
        <v>19.159300000000002</v>
      </c>
      <c r="AD6333">
        <v>-1.1117764381069899</v>
      </c>
      <c r="AE6333">
        <v>6.2610000000006494E-2</v>
      </c>
      <c r="AF6333">
        <v>-4.15783022615493</v>
      </c>
      <c r="AG6333">
        <v>-1.1117764381069899</v>
      </c>
      <c r="AH6333">
        <v>18.636938614063499</v>
      </c>
      <c r="AI6333">
        <v>93.3321767142764</v>
      </c>
      <c r="AJ6333">
        <v>102.576517746538</v>
      </c>
      <c r="AK6333">
        <v>19.127443110416799</v>
      </c>
      <c r="AL6333">
        <v>79.486790964563994</v>
      </c>
      <c r="AM6333">
        <v>96.315431965003697</v>
      </c>
      <c r="AN6333">
        <v>0.99999999247160498</v>
      </c>
    </row>
    <row r="6334" spans="1:40" x14ac:dyDescent="0.25">
      <c r="A6334" t="str">
        <f>"20190312172534148"</f>
        <v>20190312172534148</v>
      </c>
      <c r="B6334" t="str">
        <f>"1552382734136475"</f>
        <v>1552382734136475</v>
      </c>
      <c r="C6334" t="s">
        <v>40</v>
      </c>
      <c r="D6334">
        <v>3.6312410000000002</v>
      </c>
      <c r="E6334">
        <v>0.46297569999999999</v>
      </c>
      <c r="F6334" t="s">
        <v>55</v>
      </c>
      <c r="G6334">
        <v>-257.45139999999998</v>
      </c>
      <c r="H6334" s="1">
        <v>-2.3960489999999999E-6</v>
      </c>
      <c r="I6334">
        <v>-60.668089999999999</v>
      </c>
      <c r="J6334">
        <v>-276.58870000000002</v>
      </c>
      <c r="K6334">
        <v>1.111782</v>
      </c>
      <c r="L6334">
        <v>-60.771479999999997</v>
      </c>
      <c r="M6334">
        <v>0.97725930000000005</v>
      </c>
      <c r="N6334">
        <v>0</v>
      </c>
      <c r="O6334">
        <v>-0.21204700000000001</v>
      </c>
      <c r="P6334">
        <v>0.97779170000000004</v>
      </c>
      <c r="Q6334">
        <v>0.18247820000000001</v>
      </c>
      <c r="R6334">
        <v>-0.1030787</v>
      </c>
      <c r="S6334">
        <v>3.1038209999999999</v>
      </c>
      <c r="T6334">
        <v>-0.1792849</v>
      </c>
      <c r="U6334">
        <v>1.3214109999999999E-2</v>
      </c>
      <c r="V6334">
        <v>-0.1078895</v>
      </c>
      <c r="W6334">
        <v>0.18231449999999999</v>
      </c>
      <c r="X6334">
        <v>0.97730309999999998</v>
      </c>
      <c r="Y6334">
        <v>-0.21549689999999999</v>
      </c>
      <c r="Z6334">
        <v>1.838772E-2</v>
      </c>
      <c r="AA6334">
        <v>0.97633139999999996</v>
      </c>
      <c r="AB6334">
        <v>22</v>
      </c>
      <c r="AC6334">
        <v>19.1373</v>
      </c>
      <c r="AD6334">
        <v>-1.1117843960489999</v>
      </c>
      <c r="AE6334">
        <v>0.10339000000000401</v>
      </c>
      <c r="AF6334">
        <v>-4.1450572246719002</v>
      </c>
      <c r="AG6334">
        <v>-1.1117843960489999</v>
      </c>
      <c r="AH6334">
        <v>18.617351347121801</v>
      </c>
      <c r="AI6334">
        <v>93.336017368760395</v>
      </c>
      <c r="AJ6334">
        <v>102.551880402986</v>
      </c>
      <c r="AK6334">
        <v>19.105583872817899</v>
      </c>
      <c r="AL6334">
        <v>79.495398373309399</v>
      </c>
      <c r="AM6334">
        <v>96.299665988267805</v>
      </c>
      <c r="AN6334">
        <v>1.00000003519505</v>
      </c>
    </row>
    <row r="6335" spans="1:40" x14ac:dyDescent="0.25">
      <c r="A6335" t="str">
        <f>"20190312172534158"</f>
        <v>20190312172534158</v>
      </c>
      <c r="B6335" t="str">
        <f>"1552382734146235"</f>
        <v>1552382734146235</v>
      </c>
      <c r="C6335" t="s">
        <v>40</v>
      </c>
      <c r="D6335">
        <v>3.6347330000000002</v>
      </c>
      <c r="E6335">
        <v>0.46310760000000001</v>
      </c>
      <c r="F6335" t="s">
        <v>55</v>
      </c>
      <c r="G6335">
        <v>-257.42189999999999</v>
      </c>
      <c r="H6335" s="1">
        <v>-2.3796180000000001E-6</v>
      </c>
      <c r="I6335">
        <v>-60.651249999999997</v>
      </c>
      <c r="J6335">
        <v>-276.4819</v>
      </c>
      <c r="K6335">
        <v>1.1117870000000001</v>
      </c>
      <c r="L6335">
        <v>-60.792140000000003</v>
      </c>
      <c r="M6335">
        <v>0.97778299999999996</v>
      </c>
      <c r="N6335">
        <v>0</v>
      </c>
      <c r="O6335">
        <v>-0.2096191</v>
      </c>
      <c r="P6335">
        <v>0.97798309999999999</v>
      </c>
      <c r="Q6335">
        <v>0.18260090000000001</v>
      </c>
      <c r="R6335">
        <v>-0.1010258</v>
      </c>
      <c r="S6335">
        <v>3.10379</v>
      </c>
      <c r="T6335">
        <v>-0.1800369</v>
      </c>
      <c r="U6335">
        <v>1.9470210000000002E-2</v>
      </c>
      <c r="V6335">
        <v>-0.1075178</v>
      </c>
      <c r="W6335">
        <v>0.18235009999999999</v>
      </c>
      <c r="X6335">
        <v>0.97733740000000002</v>
      </c>
      <c r="Y6335">
        <v>-0.2150386</v>
      </c>
      <c r="Z6335">
        <v>1.831385E-2</v>
      </c>
      <c r="AA6335">
        <v>0.97643380000000002</v>
      </c>
      <c r="AB6335">
        <v>22</v>
      </c>
      <c r="AC6335">
        <v>19.059999999999999</v>
      </c>
      <c r="AD6335">
        <v>-1.1117893796179901</v>
      </c>
      <c r="AE6335">
        <v>0.14089000000000501</v>
      </c>
      <c r="AF6335">
        <v>-4.1190859242425999</v>
      </c>
      <c r="AG6335">
        <v>-1.1117893796179901</v>
      </c>
      <c r="AH6335">
        <v>18.543920553234699</v>
      </c>
      <c r="AI6335">
        <v>93.349579849330595</v>
      </c>
      <c r="AJ6335">
        <v>102.52355105249001</v>
      </c>
      <c r="AK6335">
        <v>19.028398092341</v>
      </c>
      <c r="AL6335">
        <v>79.493323652590206</v>
      </c>
      <c r="AM6335">
        <v>96.277917459230693</v>
      </c>
      <c r="AN6335">
        <v>1.0000000148628001</v>
      </c>
    </row>
    <row r="6336" spans="1:40" x14ac:dyDescent="0.25">
      <c r="A6336" t="str">
        <f>"20190312172534171"</f>
        <v>20190312172534171</v>
      </c>
      <c r="B6336" t="str">
        <f>"1552382734166731"</f>
        <v>1552382734166731</v>
      </c>
      <c r="C6336" t="s">
        <v>40</v>
      </c>
      <c r="D6336">
        <v>3.6221739999999998</v>
      </c>
      <c r="E6336">
        <v>0.46336670000000002</v>
      </c>
      <c r="F6336" t="s">
        <v>55</v>
      </c>
      <c r="G6336">
        <v>-257.31560000000002</v>
      </c>
      <c r="H6336" s="1">
        <v>-2.3309559999999998E-6</v>
      </c>
      <c r="I6336">
        <v>-60.637430000000002</v>
      </c>
      <c r="J6336">
        <v>-276.36959999999999</v>
      </c>
      <c r="K6336">
        <v>1.1117950000000001</v>
      </c>
      <c r="L6336">
        <v>-60.813420000000001</v>
      </c>
      <c r="M6336">
        <v>0.97832379999999997</v>
      </c>
      <c r="N6336">
        <v>0</v>
      </c>
      <c r="O6336">
        <v>-0.2070805</v>
      </c>
      <c r="P6336">
        <v>0.97819599999999995</v>
      </c>
      <c r="Q6336">
        <v>0.1826528</v>
      </c>
      <c r="R6336">
        <v>-9.8846210000000004E-2</v>
      </c>
      <c r="S6336">
        <v>3.10379</v>
      </c>
      <c r="T6336">
        <v>-0.18004310000000001</v>
      </c>
      <c r="U6336">
        <v>2.505493E-2</v>
      </c>
      <c r="V6336">
        <v>-0.1071647</v>
      </c>
      <c r="W6336">
        <v>0.18231729999999999</v>
      </c>
      <c r="X6336">
        <v>0.97738230000000004</v>
      </c>
      <c r="Y6336">
        <v>-0.21426619999999999</v>
      </c>
      <c r="Z6336">
        <v>1.814785E-2</v>
      </c>
      <c r="AA6336">
        <v>0.97660670000000005</v>
      </c>
      <c r="AB6336">
        <v>22</v>
      </c>
      <c r="AC6336">
        <v>19.053999999999899</v>
      </c>
      <c r="AD6336">
        <v>-1.1117973309559901</v>
      </c>
      <c r="AE6336">
        <v>0.17598999999999099</v>
      </c>
      <c r="AF6336">
        <v>-4.1039160688627998</v>
      </c>
      <c r="AG6336">
        <v>-1.1117973309559901</v>
      </c>
      <c r="AH6336">
        <v>18.5414169418932</v>
      </c>
      <c r="AI6336">
        <v>93.350611812161802</v>
      </c>
      <c r="AJ6336">
        <v>102.48050857909401</v>
      </c>
      <c r="AK6336">
        <v>19.022680216481501</v>
      </c>
      <c r="AL6336">
        <v>79.495235002126705</v>
      </c>
      <c r="AM6336">
        <v>96.257178741027303</v>
      </c>
      <c r="AN6336">
        <v>1.00000001557933</v>
      </c>
    </row>
    <row r="6337" spans="1:40" x14ac:dyDescent="0.25">
      <c r="A6337" t="str">
        <f>"20190312172534182"</f>
        <v>20190312172534182</v>
      </c>
      <c r="B6337" t="str">
        <f>"1552382734176490"</f>
        <v>1552382734176490</v>
      </c>
      <c r="C6337" t="s">
        <v>40</v>
      </c>
      <c r="D6337">
        <v>3.5887449999999999</v>
      </c>
      <c r="E6337">
        <v>0.4634993</v>
      </c>
      <c r="F6337" t="s">
        <v>55</v>
      </c>
      <c r="G6337">
        <v>-257.29390000000001</v>
      </c>
      <c r="H6337" s="1">
        <v>-2.319594E-6</v>
      </c>
      <c r="I6337">
        <v>-60.62829</v>
      </c>
      <c r="J6337">
        <v>-276.25740000000002</v>
      </c>
      <c r="K6337">
        <v>1.111799</v>
      </c>
      <c r="L6337">
        <v>-60.834629999999997</v>
      </c>
      <c r="M6337">
        <v>0.97885699999999998</v>
      </c>
      <c r="N6337">
        <v>0</v>
      </c>
      <c r="O6337">
        <v>-0.20454510000000001</v>
      </c>
      <c r="P6337">
        <v>0.97833369999999997</v>
      </c>
      <c r="Q6337">
        <v>0.18308569999999999</v>
      </c>
      <c r="R6337">
        <v>-9.6658129999999995E-2</v>
      </c>
      <c r="S6337">
        <v>3.1036990000000002</v>
      </c>
      <c r="T6337">
        <v>-0.18089350000000001</v>
      </c>
      <c r="U6337">
        <v>3.0120850000000001E-2</v>
      </c>
      <c r="V6337">
        <v>-0.1068123</v>
      </c>
      <c r="W6337">
        <v>0.18266660000000001</v>
      </c>
      <c r="X6337">
        <v>0.97735570000000005</v>
      </c>
      <c r="Y6337">
        <v>-0.21332899999999999</v>
      </c>
      <c r="Z6337">
        <v>1.806176E-2</v>
      </c>
      <c r="AA6337">
        <v>0.97681340000000005</v>
      </c>
      <c r="AB6337">
        <v>22</v>
      </c>
      <c r="AC6337">
        <v>18.9635</v>
      </c>
      <c r="AD6337">
        <v>-1.111801319594</v>
      </c>
      <c r="AE6337">
        <v>0.20634000000000399</v>
      </c>
      <c r="AF6337">
        <v>-4.0668914503975602</v>
      </c>
      <c r="AG6337">
        <v>-1.111801319594</v>
      </c>
      <c r="AH6337">
        <v>18.4569169940292</v>
      </c>
      <c r="AI6337">
        <v>93.366630558470305</v>
      </c>
      <c r="AJ6337">
        <v>102.42627779278899</v>
      </c>
      <c r="AK6337">
        <v>18.932339875674401</v>
      </c>
      <c r="AL6337">
        <v>79.474880233108607</v>
      </c>
      <c r="AM6337">
        <v>96.236933475361297</v>
      </c>
      <c r="AN6337">
        <v>1.0000000592546601</v>
      </c>
    </row>
    <row r="6338" spans="1:40" x14ac:dyDescent="0.25">
      <c r="A6338" t="str">
        <f>"20190312172534194"</f>
        <v>20190312172534194</v>
      </c>
      <c r="B6338" t="str">
        <f>"1552382734187226"</f>
        <v>1552382734187226</v>
      </c>
      <c r="C6338" t="s">
        <v>40</v>
      </c>
      <c r="D6338">
        <v>3.6057299999999999</v>
      </c>
      <c r="E6338">
        <v>0.46364050000000001</v>
      </c>
      <c r="F6338" t="s">
        <v>55</v>
      </c>
      <c r="G6338">
        <v>-257.08370000000002</v>
      </c>
      <c r="H6338" s="1">
        <v>-2.2258310000000002E-6</v>
      </c>
      <c r="I6338">
        <v>-60.6119699999999</v>
      </c>
      <c r="J6338">
        <v>-276.14229999999998</v>
      </c>
      <c r="K6338">
        <v>1.111804</v>
      </c>
      <c r="L6338">
        <v>-60.855829999999997</v>
      </c>
      <c r="M6338">
        <v>0.97939240000000005</v>
      </c>
      <c r="N6338">
        <v>0</v>
      </c>
      <c r="O6338">
        <v>-0.20196629999999999</v>
      </c>
      <c r="P6338">
        <v>0.97852269999999997</v>
      </c>
      <c r="Q6338">
        <v>0.18323539999999999</v>
      </c>
      <c r="R6338">
        <v>-9.443559E-2</v>
      </c>
      <c r="S6338">
        <v>3.1036679999999999</v>
      </c>
      <c r="T6338">
        <v>-0.1799693</v>
      </c>
      <c r="U6338">
        <v>3.6041259999999999E-2</v>
      </c>
      <c r="V6338">
        <v>-0.10646</v>
      </c>
      <c r="W6338">
        <v>0.18273690000000001</v>
      </c>
      <c r="X6338">
        <v>0.9773809</v>
      </c>
      <c r="Y6338">
        <v>-0.21263190000000001</v>
      </c>
      <c r="Z6338">
        <v>1.780292E-2</v>
      </c>
      <c r="AA6338">
        <v>0.97697020000000001</v>
      </c>
      <c r="AB6338">
        <v>23</v>
      </c>
      <c r="AC6338">
        <v>19.058599999999899</v>
      </c>
      <c r="AD6338">
        <v>-1.111806225831</v>
      </c>
      <c r="AE6338">
        <v>0.24386000000001201</v>
      </c>
      <c r="AF6338">
        <v>-4.0741672659991996</v>
      </c>
      <c r="AG6338">
        <v>-1.111806225831</v>
      </c>
      <c r="AH6338">
        <v>18.553468608497901</v>
      </c>
      <c r="AI6338">
        <v>93.349694496810102</v>
      </c>
      <c r="AJ6338">
        <v>102.38504250382699</v>
      </c>
      <c r="AK6338">
        <v>19.028035878714601</v>
      </c>
      <c r="AL6338">
        <v>79.470782379202106</v>
      </c>
      <c r="AM6338">
        <v>96.2163644400664</v>
      </c>
      <c r="AN6338">
        <v>0.99999996495320898</v>
      </c>
    </row>
    <row r="6339" spans="1:40" x14ac:dyDescent="0.25">
      <c r="A6339" t="str">
        <f>"20190312172534204"</f>
        <v>20190312172534204</v>
      </c>
      <c r="B6339" t="str">
        <f>"1552382734196987"</f>
        <v>1552382734196987</v>
      </c>
      <c r="C6339" t="s">
        <v>40</v>
      </c>
      <c r="D6339">
        <v>3.5926580000000001</v>
      </c>
      <c r="E6339">
        <v>0.4637889</v>
      </c>
      <c r="F6339" t="s">
        <v>55</v>
      </c>
      <c r="G6339">
        <v>-256.97109999999998</v>
      </c>
      <c r="H6339" s="1">
        <v>-2.173905E-6</v>
      </c>
      <c r="I6339">
        <v>-60.595700000000001</v>
      </c>
      <c r="J6339">
        <v>-276.03039999999999</v>
      </c>
      <c r="K6339">
        <v>1.1118079999999999</v>
      </c>
      <c r="L6339">
        <v>-60.876309999999997</v>
      </c>
      <c r="M6339">
        <v>0.97990500000000003</v>
      </c>
      <c r="N6339">
        <v>0</v>
      </c>
      <c r="O6339">
        <v>-0.19946510000000001</v>
      </c>
      <c r="P6339">
        <v>0.97872789999999998</v>
      </c>
      <c r="Q6339">
        <v>0.18324289999999999</v>
      </c>
      <c r="R6339">
        <v>-9.2269950000000003E-2</v>
      </c>
      <c r="S6339">
        <v>3.1036380000000001</v>
      </c>
      <c r="T6339">
        <v>-0.1799914</v>
      </c>
      <c r="U6339">
        <v>4.2114260000000001E-2</v>
      </c>
      <c r="V6339">
        <v>-0.1061328</v>
      </c>
      <c r="W6339">
        <v>0.182668</v>
      </c>
      <c r="X6339">
        <v>0.9774294</v>
      </c>
      <c r="Y6339">
        <v>-0.21205379999999999</v>
      </c>
      <c r="Z6339">
        <v>1.7646129999999999E-2</v>
      </c>
      <c r="AA6339">
        <v>0.97709860000000004</v>
      </c>
      <c r="AB6339">
        <v>23</v>
      </c>
      <c r="AC6339">
        <v>19.0593</v>
      </c>
      <c r="AD6339">
        <v>-1.1118101739049999</v>
      </c>
      <c r="AE6339">
        <v>0.28060999999999497</v>
      </c>
      <c r="AF6339">
        <v>-4.0628137513351499</v>
      </c>
      <c r="AG6339">
        <v>-1.1118101739049999</v>
      </c>
      <c r="AH6339">
        <v>18.557195870624401</v>
      </c>
      <c r="AI6339">
        <v>93.349493642245505</v>
      </c>
      <c r="AJ6339">
        <v>102.34918509467801</v>
      </c>
      <c r="AK6339">
        <v>19.029243180472399</v>
      </c>
      <c r="AL6339">
        <v>79.474798023215001</v>
      </c>
      <c r="AM6339">
        <v>96.197102501337099</v>
      </c>
      <c r="AN6339">
        <v>1.0000000007220999</v>
      </c>
    </row>
    <row r="6340" spans="1:40" x14ac:dyDescent="0.25">
      <c r="A6340" t="str">
        <f>"20190312172534215"</f>
        <v>20190312172534215</v>
      </c>
      <c r="B6340" t="str">
        <f>"1552382734206747"</f>
        <v>1552382734206747</v>
      </c>
      <c r="C6340" t="s">
        <v>40</v>
      </c>
      <c r="D6340">
        <v>3.6143390000000002</v>
      </c>
      <c r="E6340">
        <v>0.46394099999999999</v>
      </c>
      <c r="F6340" t="s">
        <v>55</v>
      </c>
      <c r="G6340">
        <v>-256.91379999999998</v>
      </c>
      <c r="H6340" s="1">
        <v>-2.1462770000000001E-6</v>
      </c>
      <c r="I6340">
        <v>-60.582120000000003</v>
      </c>
      <c r="J6340">
        <v>-275.92070000000001</v>
      </c>
      <c r="K6340">
        <v>1.1118110000000001</v>
      </c>
      <c r="L6340">
        <v>-60.896059999999999</v>
      </c>
      <c r="M6340">
        <v>0.98039849999999995</v>
      </c>
      <c r="N6340">
        <v>0</v>
      </c>
      <c r="O6340">
        <v>-0.19702459999999999</v>
      </c>
      <c r="P6340">
        <v>0.97885089999999997</v>
      </c>
      <c r="Q6340">
        <v>0.18360960000000001</v>
      </c>
      <c r="R6340">
        <v>-9.0213139999999997E-2</v>
      </c>
      <c r="S6340">
        <v>3.1034549999999999</v>
      </c>
      <c r="T6340">
        <v>-0.18049470000000001</v>
      </c>
      <c r="U6340">
        <v>4.7760009999999999E-2</v>
      </c>
      <c r="V6340">
        <v>-0.10574790000000001</v>
      </c>
      <c r="W6340">
        <v>0.18296480000000001</v>
      </c>
      <c r="X6340">
        <v>0.97741560000000005</v>
      </c>
      <c r="Y6340">
        <v>-0.2114</v>
      </c>
      <c r="Z6340">
        <v>1.7537980000000002E-2</v>
      </c>
      <c r="AA6340">
        <v>0.97724230000000001</v>
      </c>
      <c r="AB6340">
        <v>23</v>
      </c>
      <c r="AC6340">
        <v>19.006900000000002</v>
      </c>
      <c r="AD6340">
        <v>-1.111813146277</v>
      </c>
      <c r="AE6340">
        <v>0.313940000000002</v>
      </c>
      <c r="AF6340">
        <v>-4.0387975975871901</v>
      </c>
      <c r="AG6340">
        <v>-1.111813146277</v>
      </c>
      <c r="AH6340">
        <v>18.5091677510854</v>
      </c>
      <c r="AI6340">
        <v>93.3586839524677</v>
      </c>
      <c r="AJ6340">
        <v>102.309297412531</v>
      </c>
      <c r="AK6340">
        <v>18.977283929591501</v>
      </c>
      <c r="AL6340">
        <v>79.457501079603901</v>
      </c>
      <c r="AM6340">
        <v>96.174888595126006</v>
      </c>
      <c r="AN6340">
        <v>0.99999999575840504</v>
      </c>
    </row>
    <row r="6341" spans="1:40" x14ac:dyDescent="0.25">
      <c r="A6341" t="str">
        <f>"20190312172534227"</f>
        <v>20190312172534227</v>
      </c>
      <c r="B6341" t="str">
        <f>"1552382734216507"</f>
        <v>1552382734216507</v>
      </c>
      <c r="C6341" t="s">
        <v>40</v>
      </c>
      <c r="D6341">
        <v>3.7785169999999999</v>
      </c>
      <c r="E6341">
        <v>0.46403040000000001</v>
      </c>
      <c r="F6341" t="s">
        <v>55</v>
      </c>
      <c r="G6341">
        <v>-256.73899999999998</v>
      </c>
      <c r="H6341" s="1">
        <v>-2.0680290000000001E-6</v>
      </c>
      <c r="I6341">
        <v>-60.567480000000003</v>
      </c>
      <c r="J6341">
        <v>-275.81400000000002</v>
      </c>
      <c r="K6341">
        <v>1.111807</v>
      </c>
      <c r="L6341">
        <v>-60.915069999999901</v>
      </c>
      <c r="M6341">
        <v>0.98087009999999997</v>
      </c>
      <c r="N6341">
        <v>0</v>
      </c>
      <c r="O6341">
        <v>-0.1946639</v>
      </c>
      <c r="P6341">
        <v>0.97901419999999995</v>
      </c>
      <c r="Q6341">
        <v>0.1837077</v>
      </c>
      <c r="R6341">
        <v>-8.8220279999999998E-2</v>
      </c>
      <c r="S6341">
        <v>3.1034549999999999</v>
      </c>
      <c r="T6341">
        <v>-0.17988299999999999</v>
      </c>
      <c r="U6341">
        <v>5.316162E-2</v>
      </c>
      <c r="V6341">
        <v>-0.1053875</v>
      </c>
      <c r="W6341">
        <v>0.18299670000000001</v>
      </c>
      <c r="X6341">
        <v>0.9774486</v>
      </c>
      <c r="Y6341">
        <v>-0.21075740000000001</v>
      </c>
      <c r="Z6341">
        <v>1.7325489999999999E-2</v>
      </c>
      <c r="AA6341">
        <v>0.9773849</v>
      </c>
      <c r="AB6341">
        <v>23</v>
      </c>
      <c r="AC6341">
        <v>19.0749999999999</v>
      </c>
      <c r="AD6341">
        <v>-1.111809068029</v>
      </c>
      <c r="AE6341">
        <v>0.34758999999998902</v>
      </c>
      <c r="AF6341">
        <v>-4.0404322285807499</v>
      </c>
      <c r="AG6341">
        <v>-1.111809068029</v>
      </c>
      <c r="AH6341">
        <v>18.579333943067699</v>
      </c>
      <c r="AI6341">
        <v>93.346527362064407</v>
      </c>
      <c r="AJ6341">
        <v>102.269033402964</v>
      </c>
      <c r="AK6341">
        <v>19.046072082335801</v>
      </c>
      <c r="AL6341">
        <v>79.455642443588005</v>
      </c>
      <c r="AM6341">
        <v>96.153799502780601</v>
      </c>
      <c r="AN6341">
        <v>1.00000004150454</v>
      </c>
    </row>
    <row r="6342" spans="1:40" x14ac:dyDescent="0.25">
      <c r="A6342" t="str">
        <f>"20190312172534237"</f>
        <v>20190312172534237</v>
      </c>
      <c r="B6342" t="str">
        <f>"1552382734227243"</f>
        <v>1552382734227243</v>
      </c>
      <c r="C6342" t="s">
        <v>40</v>
      </c>
      <c r="D6342">
        <v>3.7458450000000001</v>
      </c>
      <c r="E6342">
        <v>0.46415509999999899</v>
      </c>
      <c r="F6342" t="s">
        <v>55</v>
      </c>
      <c r="G6342">
        <v>-256.69569999999999</v>
      </c>
      <c r="H6342" s="1">
        <v>-2.0460509999999999E-6</v>
      </c>
      <c r="I6342">
        <v>-60.552059999999997</v>
      </c>
      <c r="J6342">
        <v>-275.702</v>
      </c>
      <c r="K6342">
        <v>1.111807</v>
      </c>
      <c r="L6342">
        <v>-60.934750000000001</v>
      </c>
      <c r="M6342">
        <v>0.98135640000000002</v>
      </c>
      <c r="N6342">
        <v>0</v>
      </c>
      <c r="O6342">
        <v>-0.19219710000000001</v>
      </c>
      <c r="P6342">
        <v>0.9791185</v>
      </c>
      <c r="Q6342">
        <v>0.1840966</v>
      </c>
      <c r="R6342">
        <v>-8.6230550000000003E-2</v>
      </c>
      <c r="S6342">
        <v>3.103485</v>
      </c>
      <c r="T6342">
        <v>-0.18048120000000001</v>
      </c>
      <c r="U6342">
        <v>5.892944E-2</v>
      </c>
      <c r="V6342">
        <v>-0.1049108</v>
      </c>
      <c r="W6342">
        <v>0.1833196</v>
      </c>
      <c r="X6342">
        <v>0.97743930000000001</v>
      </c>
      <c r="Y6342">
        <v>-0.2101162</v>
      </c>
      <c r="Z6342">
        <v>1.7223059999999998E-2</v>
      </c>
      <c r="AA6342">
        <v>0.97752470000000002</v>
      </c>
      <c r="AB6342">
        <v>23</v>
      </c>
      <c r="AC6342">
        <v>19.0063</v>
      </c>
      <c r="AD6342">
        <v>-1.1118090460509999</v>
      </c>
      <c r="AE6342">
        <v>0.38269000000000297</v>
      </c>
      <c r="AF6342">
        <v>-4.0147782657636402</v>
      </c>
      <c r="AG6342">
        <v>-1.1118090460509999</v>
      </c>
      <c r="AH6342">
        <v>18.515070481033501</v>
      </c>
      <c r="AI6342">
        <v>93.358554411929205</v>
      </c>
      <c r="AJ6342">
        <v>102.234520754516</v>
      </c>
      <c r="AK6342">
        <v>18.977945062513101</v>
      </c>
      <c r="AL6342">
        <v>79.436822501382494</v>
      </c>
      <c r="AM6342">
        <v>96.126233964488407</v>
      </c>
      <c r="AN6342">
        <v>0.99999996844264405</v>
      </c>
    </row>
    <row r="6343" spans="1:40" x14ac:dyDescent="0.25">
      <c r="A6343" t="str">
        <f>"20190312172534248"</f>
        <v>20190312172534248</v>
      </c>
      <c r="B6343" t="str">
        <f>"1552382734237003"</f>
        <v>1552382734237003</v>
      </c>
      <c r="C6343" t="s">
        <v>40</v>
      </c>
      <c r="D6343">
        <v>3.7955839999999998</v>
      </c>
      <c r="E6343">
        <v>0.46425939999999999</v>
      </c>
      <c r="F6343" t="s">
        <v>55</v>
      </c>
      <c r="G6343">
        <v>-256.541</v>
      </c>
      <c r="H6343" s="1">
        <v>-1.9765079999999998E-6</v>
      </c>
      <c r="I6343">
        <v>-60.537770000000002</v>
      </c>
      <c r="J6343">
        <v>-275.58909999999997</v>
      </c>
      <c r="K6343">
        <v>1.111807</v>
      </c>
      <c r="L6343">
        <v>-60.954279999999997</v>
      </c>
      <c r="M6343">
        <v>0.98183620000000005</v>
      </c>
      <c r="N6343">
        <v>0</v>
      </c>
      <c r="O6343">
        <v>-0.18973129999999999</v>
      </c>
      <c r="P6343">
        <v>0.97930300000000003</v>
      </c>
      <c r="Q6343">
        <v>0.18401709999999999</v>
      </c>
      <c r="R6343">
        <v>-8.4284129999999999E-2</v>
      </c>
      <c r="S6343">
        <v>3.1035159999999999</v>
      </c>
      <c r="T6343">
        <v>-0.18008080000000001</v>
      </c>
      <c r="U6343">
        <v>6.4300540000000003E-2</v>
      </c>
      <c r="V6343">
        <v>-0.1044051</v>
      </c>
      <c r="W6343">
        <v>0.18317710000000001</v>
      </c>
      <c r="X6343">
        <v>0.97752019999999995</v>
      </c>
      <c r="Y6343">
        <v>-0.20935970000000001</v>
      </c>
      <c r="Z6343">
        <v>1.7021910000000001E-2</v>
      </c>
      <c r="AA6343">
        <v>0.97769050000000002</v>
      </c>
      <c r="AB6343">
        <v>23</v>
      </c>
      <c r="AC6343">
        <v>19.048099999999899</v>
      </c>
      <c r="AD6343">
        <v>-1.1118089765079999</v>
      </c>
      <c r="AE6343">
        <v>0.41651000000000898</v>
      </c>
      <c r="AF6343">
        <v>-4.0093120649180802</v>
      </c>
      <c r="AG6343">
        <v>-1.1118089765079999</v>
      </c>
      <c r="AH6343">
        <v>18.559885327257401</v>
      </c>
      <c r="AI6343">
        <v>93.351028552834194</v>
      </c>
      <c r="AJ6343">
        <v>102.189744656979</v>
      </c>
      <c r="AK6343">
        <v>19.020516443963501</v>
      </c>
      <c r="AL6343">
        <v>79.4451282103186</v>
      </c>
      <c r="AM6343">
        <v>96.096425933111405</v>
      </c>
      <c r="AN6343">
        <v>1.00000000813923</v>
      </c>
    </row>
    <row r="6344" spans="1:40" x14ac:dyDescent="0.25">
      <c r="A6344" t="str">
        <f>"20190312172534260"</f>
        <v>20190312172534260</v>
      </c>
      <c r="B6344" t="str">
        <f>"1552382734256523"</f>
        <v>1552382734256523</v>
      </c>
      <c r="C6344" t="s">
        <v>40</v>
      </c>
      <c r="D6344">
        <v>3.6072109999999999</v>
      </c>
      <c r="E6344">
        <v>0.47525780000000001</v>
      </c>
      <c r="F6344" t="s">
        <v>55</v>
      </c>
      <c r="G6344">
        <v>-256.55160000000001</v>
      </c>
      <c r="H6344" s="1">
        <v>-1.9784259999999999E-6</v>
      </c>
      <c r="I6344">
        <v>-60.525970000000001</v>
      </c>
      <c r="J6344">
        <v>-275.4667</v>
      </c>
      <c r="K6344">
        <v>1.111807</v>
      </c>
      <c r="L6344">
        <v>-60.975250000000003</v>
      </c>
      <c r="M6344">
        <v>0.98234719999999998</v>
      </c>
      <c r="N6344">
        <v>0</v>
      </c>
      <c r="O6344">
        <v>-0.18706700000000001</v>
      </c>
      <c r="P6344">
        <v>0.97953109999999999</v>
      </c>
      <c r="Q6344">
        <v>0.18382209999999999</v>
      </c>
      <c r="R6344">
        <v>-8.2027450000000002E-2</v>
      </c>
      <c r="S6344">
        <v>3.103485</v>
      </c>
      <c r="T6344">
        <v>-0.18124660000000001</v>
      </c>
      <c r="U6344">
        <v>6.9824220000000006E-2</v>
      </c>
      <c r="V6344">
        <v>-0.10401639999999999</v>
      </c>
      <c r="W6344">
        <v>0.18291460000000001</v>
      </c>
      <c r="X6344">
        <v>0.9776108</v>
      </c>
      <c r="Y6344">
        <v>-0.2084442</v>
      </c>
      <c r="Z6344">
        <v>1.6952060000000001E-2</v>
      </c>
      <c r="AA6344">
        <v>0.97788730000000001</v>
      </c>
      <c r="AB6344">
        <v>23</v>
      </c>
      <c r="AC6344">
        <v>18.915099999999899</v>
      </c>
      <c r="AD6344">
        <v>-1.1118089784259999</v>
      </c>
      <c r="AE6344">
        <v>0.44928000000000801</v>
      </c>
      <c r="AF6344">
        <v>-3.96604499292688</v>
      </c>
      <c r="AG6344">
        <v>-1.1118089784259999</v>
      </c>
      <c r="AH6344">
        <v>18.433498190433401</v>
      </c>
      <c r="AI6344">
        <v>93.374552251772897</v>
      </c>
      <c r="AJ6344">
        <v>102.14232585491401</v>
      </c>
      <c r="AK6344">
        <v>18.888077923048101</v>
      </c>
      <c r="AL6344">
        <v>79.460426951285299</v>
      </c>
      <c r="AM6344">
        <v>96.073340236955204</v>
      </c>
      <c r="AN6344">
        <v>1.0000000193193701</v>
      </c>
    </row>
    <row r="6345" spans="1:40" x14ac:dyDescent="0.25">
      <c r="A6345" t="str">
        <f>"20190312172534273"</f>
        <v>20190312172534273</v>
      </c>
      <c r="B6345" t="str">
        <f>"1552382734266283"</f>
        <v>1552382734266283</v>
      </c>
      <c r="C6345" t="s">
        <v>40</v>
      </c>
      <c r="D6345">
        <v>3.591475</v>
      </c>
      <c r="E6345">
        <v>0.47571950000000002</v>
      </c>
      <c r="F6345" t="s">
        <v>55</v>
      </c>
      <c r="G6345">
        <v>-259.8288</v>
      </c>
      <c r="H6345" s="1">
        <v>-3.4528030000000001E-6</v>
      </c>
      <c r="I6345">
        <v>-61.019080000000002</v>
      </c>
      <c r="J6345">
        <v>-275.34620000000001</v>
      </c>
      <c r="K6345">
        <v>1.1118049999999999</v>
      </c>
      <c r="L6345">
        <v>-60.995420000000003</v>
      </c>
      <c r="M6345">
        <v>0.98283719999999997</v>
      </c>
      <c r="N6345">
        <v>0</v>
      </c>
      <c r="O6345">
        <v>-0.18447479999999999</v>
      </c>
      <c r="P6345">
        <v>0.97971059999999999</v>
      </c>
      <c r="Q6345">
        <v>0.1839094</v>
      </c>
      <c r="R6345">
        <v>-7.9653959999999996E-2</v>
      </c>
      <c r="S6345">
        <v>3.1033330000000001</v>
      </c>
      <c r="T6345">
        <v>-0.220638</v>
      </c>
      <c r="U6345">
        <v>-8.6975100000000003E-3</v>
      </c>
      <c r="V6345">
        <v>-0.103808</v>
      </c>
      <c r="W6345">
        <v>0.18293989999999999</v>
      </c>
      <c r="X6345">
        <v>0.97762819999999995</v>
      </c>
      <c r="Y6345">
        <v>-0.18080170000000001</v>
      </c>
      <c r="Z6345">
        <v>1.946059E-2</v>
      </c>
      <c r="AA6345">
        <v>0.98332699999999995</v>
      </c>
      <c r="AB6345">
        <v>23</v>
      </c>
      <c r="AC6345">
        <v>15.5174</v>
      </c>
      <c r="AD6345">
        <v>-1.1118084528029999</v>
      </c>
      <c r="AE6345">
        <v>-2.3660000000006599E-2</v>
      </c>
      <c r="AF6345">
        <v>-2.8248140243443198</v>
      </c>
      <c r="AG6345">
        <v>-1.1118084528029999</v>
      </c>
      <c r="AH6345">
        <v>15.177528122209299</v>
      </c>
      <c r="AI6345">
        <v>94.119151819087506</v>
      </c>
      <c r="AJ6345">
        <v>100.54315300889201</v>
      </c>
      <c r="AK6345">
        <v>15.478147570310499</v>
      </c>
      <c r="AL6345">
        <v>79.458952311014897</v>
      </c>
      <c r="AM6345">
        <v>96.061155711595404</v>
      </c>
      <c r="AN6345">
        <v>1.0000000026556199</v>
      </c>
    </row>
    <row r="6346" spans="1:40" x14ac:dyDescent="0.25">
      <c r="A6346" t="str">
        <f>"20190312172534284"</f>
        <v>20190312172534284</v>
      </c>
      <c r="B6346" t="str">
        <f>"1552382734277019"</f>
        <v>1552382734277019</v>
      </c>
      <c r="C6346" t="s">
        <v>40</v>
      </c>
      <c r="D6346">
        <v>3.7911359999999998</v>
      </c>
      <c r="E6346">
        <v>0.47650809999999999</v>
      </c>
      <c r="F6346" t="s">
        <v>55</v>
      </c>
      <c r="G6346">
        <v>-259.78210000000001</v>
      </c>
      <c r="H6346" s="1">
        <v>-3.4369620000000001E-6</v>
      </c>
      <c r="I6346">
        <v>-61.019449999999999</v>
      </c>
      <c r="J6346">
        <v>-275.2176</v>
      </c>
      <c r="K6346">
        <v>1.1118049999999999</v>
      </c>
      <c r="L6346">
        <v>-61.016779999999997</v>
      </c>
      <c r="M6346">
        <v>0.98334999999999995</v>
      </c>
      <c r="N6346">
        <v>0</v>
      </c>
      <c r="O6346">
        <v>-0.18172170000000001</v>
      </c>
      <c r="P6346">
        <v>0.97993339999999995</v>
      </c>
      <c r="Q6346">
        <v>0.18364320000000001</v>
      </c>
      <c r="R6346">
        <v>-7.7498200000000003E-2</v>
      </c>
      <c r="S6346">
        <v>3.1033629999999999</v>
      </c>
      <c r="T6346">
        <v>-0.22168660000000001</v>
      </c>
      <c r="U6346">
        <v>-4.7912600000000003E-3</v>
      </c>
      <c r="V6346">
        <v>-0.10323350000000001</v>
      </c>
      <c r="W6346">
        <v>0.18261179999999999</v>
      </c>
      <c r="X6346">
        <v>0.97775040000000002</v>
      </c>
      <c r="Y6346">
        <v>-0.17928740000000001</v>
      </c>
      <c r="Z6346">
        <v>1.9305180000000002E-2</v>
      </c>
      <c r="AA6346">
        <v>0.98360729999999996</v>
      </c>
      <c r="AB6346">
        <v>23</v>
      </c>
      <c r="AC6346">
        <v>15.4354999999999</v>
      </c>
      <c r="AD6346">
        <v>-1.1118084369619901</v>
      </c>
      <c r="AE6346">
        <v>-2.6699999999948401E-3</v>
      </c>
      <c r="AF6346">
        <v>-2.7878756411107299</v>
      </c>
      <c r="AG6346">
        <v>-1.1118084369619901</v>
      </c>
      <c r="AH6346">
        <v>15.100638672388399</v>
      </c>
      <c r="AI6346">
        <v>94.141160977193493</v>
      </c>
      <c r="AJ6346">
        <v>100.46014914927299</v>
      </c>
      <c r="AK6346">
        <v>15.396027309174</v>
      </c>
      <c r="AL6346">
        <v>79.478073497088801</v>
      </c>
      <c r="AM6346">
        <v>96.027111554460902</v>
      </c>
      <c r="AN6346">
        <v>1.00000003486082</v>
      </c>
    </row>
    <row r="6347" spans="1:40" x14ac:dyDescent="0.25">
      <c r="A6347" t="str">
        <f>"20190312172534295"</f>
        <v>20190312172534295</v>
      </c>
      <c r="B6347" t="str">
        <f>"1552382734286779"</f>
        <v>1552382734286779</v>
      </c>
      <c r="C6347" t="s">
        <v>40</v>
      </c>
      <c r="D6347">
        <v>3.6275369999999998</v>
      </c>
      <c r="E6347">
        <v>0.4766263</v>
      </c>
      <c r="F6347" t="s">
        <v>55</v>
      </c>
      <c r="G6347">
        <v>-259.47890000000001</v>
      </c>
      <c r="H6347" s="1">
        <v>-3.3365090000000002E-6</v>
      </c>
      <c r="I6347">
        <v>-61.04</v>
      </c>
      <c r="J6347">
        <v>-275.09480000000002</v>
      </c>
      <c r="K6347">
        <v>1.111809</v>
      </c>
      <c r="L6347">
        <v>-61.036769999999997</v>
      </c>
      <c r="M6347">
        <v>0.98382720000000001</v>
      </c>
      <c r="N6347">
        <v>0</v>
      </c>
      <c r="O6347">
        <v>-0.17912020000000001</v>
      </c>
      <c r="P6347">
        <v>0.98011369999999998</v>
      </c>
      <c r="Q6347">
        <v>0.18365000000000001</v>
      </c>
      <c r="R6347">
        <v>-7.5165170000000003E-2</v>
      </c>
      <c r="S6347">
        <v>3.1021420000000002</v>
      </c>
      <c r="T6347">
        <v>-0.21914020000000001</v>
      </c>
      <c r="U6347">
        <v>-4.5776369999999999E-3</v>
      </c>
      <c r="V6347">
        <v>-0.1029781</v>
      </c>
      <c r="W6347">
        <v>0.1825621</v>
      </c>
      <c r="X6347">
        <v>0.97778659999999995</v>
      </c>
      <c r="Y6347">
        <v>-0.176785</v>
      </c>
      <c r="Z6347">
        <v>1.882199E-2</v>
      </c>
      <c r="AA6347">
        <v>0.98406950000000004</v>
      </c>
      <c r="AB6347">
        <v>24</v>
      </c>
      <c r="AC6347">
        <v>15.6159</v>
      </c>
      <c r="AD6347">
        <v>-1.111812336509</v>
      </c>
      <c r="AE6347">
        <v>-3.2300000000020602E-3</v>
      </c>
      <c r="AF6347">
        <v>-2.7798540662840598</v>
      </c>
      <c r="AG6347">
        <v>-1.111812336509</v>
      </c>
      <c r="AH6347">
        <v>15.2864375537087</v>
      </c>
      <c r="AI6347">
        <v>94.093015233402397</v>
      </c>
      <c r="AJ6347">
        <v>100.306667032229</v>
      </c>
      <c r="AK6347">
        <v>15.576870301343799</v>
      </c>
      <c r="AL6347">
        <v>79.480969650900207</v>
      </c>
      <c r="AM6347">
        <v>96.012088855048503</v>
      </c>
      <c r="AN6347">
        <v>1.0000000222877801</v>
      </c>
    </row>
    <row r="6348" spans="1:40" x14ac:dyDescent="0.25">
      <c r="A6348" t="str">
        <f>"20190312172534305"</f>
        <v>20190312172534305</v>
      </c>
      <c r="B6348" t="str">
        <f>"1552382734296539"</f>
        <v>1552382734296539</v>
      </c>
      <c r="C6348" t="s">
        <v>40</v>
      </c>
      <c r="D6348">
        <v>3.659913</v>
      </c>
      <c r="E6348">
        <v>0.47651510000000002</v>
      </c>
      <c r="F6348" t="s">
        <v>55</v>
      </c>
      <c r="G6348">
        <v>-259.41840000000002</v>
      </c>
      <c r="H6348" s="1">
        <v>-3.3141550000000002E-6</v>
      </c>
      <c r="I6348">
        <v>-61.026600000000002</v>
      </c>
      <c r="J6348">
        <v>-274.99520000000001</v>
      </c>
      <c r="K6348">
        <v>1.111807</v>
      </c>
      <c r="L6348">
        <v>-61.052799999999998</v>
      </c>
      <c r="M6348">
        <v>0.98420660000000004</v>
      </c>
      <c r="N6348">
        <v>0</v>
      </c>
      <c r="O6348">
        <v>-0.17702329999999999</v>
      </c>
      <c r="P6348">
        <v>0.98023610000000005</v>
      </c>
      <c r="Q6348">
        <v>0.1836999</v>
      </c>
      <c r="R6348">
        <v>-7.3427569999999998E-2</v>
      </c>
      <c r="S6348">
        <v>3.1022639999999999</v>
      </c>
      <c r="T6348">
        <v>-0.22002099999999999</v>
      </c>
      <c r="U6348">
        <v>2.0141600000000001E-3</v>
      </c>
      <c r="V6348">
        <v>-0.1026296</v>
      </c>
      <c r="W6348">
        <v>0.1825696</v>
      </c>
      <c r="X6348">
        <v>0.97782179999999996</v>
      </c>
      <c r="Y6348">
        <v>-0.17677709999999999</v>
      </c>
      <c r="Z6348">
        <v>1.8750329999999999E-2</v>
      </c>
      <c r="AA6348">
        <v>0.98407230000000001</v>
      </c>
      <c r="AB6348">
        <v>24</v>
      </c>
      <c r="AC6348">
        <v>15.576799999999899</v>
      </c>
      <c r="AD6348">
        <v>-1.111810314155</v>
      </c>
      <c r="AE6348">
        <v>2.6199999999995699E-2</v>
      </c>
      <c r="AF6348">
        <v>-2.76913548960166</v>
      </c>
      <c r="AG6348">
        <v>-1.111810314155</v>
      </c>
      <c r="AH6348">
        <v>15.248468572884301</v>
      </c>
      <c r="AI6348">
        <v>94.103344639469398</v>
      </c>
      <c r="AJ6348">
        <v>100.29279459408799</v>
      </c>
      <c r="AK6348">
        <v>15.537696977115701</v>
      </c>
      <c r="AL6348">
        <v>79.480532170153495</v>
      </c>
      <c r="AM6348">
        <v>95.991676796159496</v>
      </c>
      <c r="AN6348">
        <v>0.99999998309777904</v>
      </c>
    </row>
    <row r="6349" spans="1:40" x14ac:dyDescent="0.25">
      <c r="A6349" t="str">
        <f>"20190312172534316"</f>
        <v>20190312172534316</v>
      </c>
      <c r="B6349" t="str">
        <f>"1552382734306299"</f>
        <v>1552382734306299</v>
      </c>
      <c r="C6349" t="s">
        <v>40</v>
      </c>
      <c r="D6349">
        <v>3.6008689999999999</v>
      </c>
      <c r="E6349">
        <v>0.47606379999999998</v>
      </c>
      <c r="F6349" t="s">
        <v>55</v>
      </c>
      <c r="G6349">
        <v>-259.5301</v>
      </c>
      <c r="H6349" s="1">
        <v>-3.349849E-6</v>
      </c>
      <c r="I6349">
        <v>-61.00929</v>
      </c>
      <c r="J6349">
        <v>-274.88380000000001</v>
      </c>
      <c r="K6349">
        <v>1.1118049999999999</v>
      </c>
      <c r="L6349">
        <v>-61.070399999999999</v>
      </c>
      <c r="M6349">
        <v>0.9846222</v>
      </c>
      <c r="N6349">
        <v>0</v>
      </c>
      <c r="O6349">
        <v>-0.1746965</v>
      </c>
      <c r="P6349">
        <v>0.98035629999999996</v>
      </c>
      <c r="Q6349">
        <v>0.18378059999999999</v>
      </c>
      <c r="R6349">
        <v>-7.1598679999999998E-2</v>
      </c>
      <c r="S6349">
        <v>3.1029049999999998</v>
      </c>
      <c r="T6349">
        <v>-0.22307260000000001</v>
      </c>
      <c r="U6349">
        <v>8.7280269999999993E-3</v>
      </c>
      <c r="V6349">
        <v>-0.102144</v>
      </c>
      <c r="W6349">
        <v>0.18260709999999999</v>
      </c>
      <c r="X6349">
        <v>0.97786569999999995</v>
      </c>
      <c r="Y6349">
        <v>-0.17656229999999901</v>
      </c>
      <c r="Z6349">
        <v>1.8833579999999999E-2</v>
      </c>
      <c r="AA6349">
        <v>0.98410929999999996</v>
      </c>
      <c r="AB6349">
        <v>24</v>
      </c>
      <c r="AC6349">
        <v>15.3537</v>
      </c>
      <c r="AD6349">
        <v>-1.1118083498489999</v>
      </c>
      <c r="AE6349">
        <v>6.1109999999999297E-2</v>
      </c>
      <c r="AF6349">
        <v>-2.72810327166553</v>
      </c>
      <c r="AG6349">
        <v>-1.1118083498489999</v>
      </c>
      <c r="AH6349">
        <v>15.0281191433657</v>
      </c>
      <c r="AI6349">
        <v>94.163341791944404</v>
      </c>
      <c r="AJ6349">
        <v>100.289042558928</v>
      </c>
      <c r="AK6349">
        <v>15.314144777128799</v>
      </c>
      <c r="AL6349">
        <v>79.4783474310738</v>
      </c>
      <c r="AM6349">
        <v>95.963265699226994</v>
      </c>
      <c r="AN6349">
        <v>1.00000003847144</v>
      </c>
    </row>
    <row r="6350" spans="1:40" x14ac:dyDescent="0.25">
      <c r="A6350" t="str">
        <f>"20190312172534327"</f>
        <v>20190312172534327</v>
      </c>
      <c r="B6350" t="str">
        <f>"1552382734317035"</f>
        <v>1552382734317035</v>
      </c>
      <c r="C6350" t="s">
        <v>40</v>
      </c>
      <c r="D6350">
        <v>3.5744929999999999</v>
      </c>
      <c r="E6350">
        <v>0.47606379999999998</v>
      </c>
      <c r="F6350" t="s">
        <v>55</v>
      </c>
      <c r="G6350">
        <v>-259.03519999999997</v>
      </c>
      <c r="H6350" s="1">
        <v>-3.1445020000000002E-6</v>
      </c>
      <c r="I6350">
        <v>-60.978569999999998</v>
      </c>
      <c r="J6350">
        <v>-274.76499999999999</v>
      </c>
      <c r="K6350">
        <v>1.111807</v>
      </c>
      <c r="L6350">
        <v>-61.088990000000003</v>
      </c>
      <c r="M6350">
        <v>0.98505549999999997</v>
      </c>
      <c r="N6350">
        <v>0</v>
      </c>
      <c r="O6350">
        <v>-0.172237</v>
      </c>
      <c r="P6350">
        <v>0.98046739999999999</v>
      </c>
      <c r="Q6350">
        <v>0.1838706</v>
      </c>
      <c r="R6350">
        <v>-6.9825349999999994E-2</v>
      </c>
      <c r="S6350">
        <v>3.1022639999999999</v>
      </c>
      <c r="T6350">
        <v>-0.21762909999999999</v>
      </c>
      <c r="U6350">
        <v>1.7974850000000001E-2</v>
      </c>
      <c r="V6350">
        <v>-0.1014716</v>
      </c>
      <c r="W6350">
        <v>0.18265529999999999</v>
      </c>
      <c r="X6350">
        <v>0.97792670000000004</v>
      </c>
      <c r="Y6350">
        <v>-0.1770861</v>
      </c>
      <c r="Z6350">
        <v>1.822758E-2</v>
      </c>
      <c r="AA6350">
        <v>0.98402659999999997</v>
      </c>
      <c r="AB6350">
        <v>24</v>
      </c>
      <c r="AC6350">
        <v>15.729799999999999</v>
      </c>
      <c r="AD6350">
        <v>-1.1118101445020001</v>
      </c>
      <c r="AE6350">
        <v>0.110420000000004</v>
      </c>
      <c r="AF6350">
        <v>-2.8040155730006702</v>
      </c>
      <c r="AG6350">
        <v>-1.1118101445020001</v>
      </c>
      <c r="AH6350">
        <v>15.398781017136001</v>
      </c>
      <c r="AI6350">
        <v>94.063073742734602</v>
      </c>
      <c r="AJ6350">
        <v>100.320107019552</v>
      </c>
      <c r="AK6350">
        <v>15.6914333935672</v>
      </c>
      <c r="AL6350">
        <v>79.475538521718406</v>
      </c>
      <c r="AM6350">
        <v>95.923923533740407</v>
      </c>
      <c r="AN6350">
        <v>1.0000000373987601</v>
      </c>
    </row>
    <row r="6351" spans="1:40" x14ac:dyDescent="0.25">
      <c r="A6351" t="str">
        <f>"20190312172534337"</f>
        <v>20190312172534337</v>
      </c>
      <c r="B6351" t="str">
        <f>"1552382734326795"</f>
        <v>1552382734326795</v>
      </c>
      <c r="C6351" t="s">
        <v>40</v>
      </c>
      <c r="D6351">
        <v>3.6012279999999999</v>
      </c>
      <c r="E6351">
        <v>0.4694335</v>
      </c>
      <c r="F6351" t="s">
        <v>55</v>
      </c>
      <c r="G6351">
        <v>-258.88670000000002</v>
      </c>
      <c r="H6351" s="1">
        <v>-3.0780040000000001E-6</v>
      </c>
      <c r="I6351">
        <v>-60.965899999999998</v>
      </c>
      <c r="J6351">
        <v>-274.65230000000003</v>
      </c>
      <c r="K6351">
        <v>1.1118049999999999</v>
      </c>
      <c r="L6351">
        <v>-61.106380000000001</v>
      </c>
      <c r="M6351">
        <v>0.98545819999999995</v>
      </c>
      <c r="N6351">
        <v>0</v>
      </c>
      <c r="O6351">
        <v>-0.1699175</v>
      </c>
      <c r="P6351">
        <v>0.98060340000000001</v>
      </c>
      <c r="Q6351">
        <v>0.18378240000000001</v>
      </c>
      <c r="R6351">
        <v>-6.8126249999999999E-2</v>
      </c>
      <c r="S6351">
        <v>3.1021730000000001</v>
      </c>
      <c r="T6351">
        <v>-0.2172161</v>
      </c>
      <c r="U6351">
        <v>2.4047849999999999E-2</v>
      </c>
      <c r="V6351">
        <v>-0.1008691</v>
      </c>
      <c r="W6351">
        <v>0.1825311</v>
      </c>
      <c r="X6351">
        <v>0.9780122</v>
      </c>
      <c r="Y6351">
        <v>-0.17670559999999999</v>
      </c>
      <c r="Z6351">
        <v>1.802026E-2</v>
      </c>
      <c r="AA6351">
        <v>0.98409880000000005</v>
      </c>
      <c r="AB6351">
        <v>24</v>
      </c>
      <c r="AC6351">
        <v>15.765599999999999</v>
      </c>
      <c r="AD6351">
        <v>-1.1118080780039901</v>
      </c>
      <c r="AE6351">
        <v>0.14048000000000299</v>
      </c>
      <c r="AF6351">
        <v>-2.8033481669202498</v>
      </c>
      <c r="AG6351">
        <v>-1.1118080780039901</v>
      </c>
      <c r="AH6351">
        <v>15.435711909385001</v>
      </c>
      <c r="AI6351">
        <v>94.053718108790207</v>
      </c>
      <c r="AJ6351">
        <v>100.29354604392</v>
      </c>
      <c r="AK6351">
        <v>15.7275579889829</v>
      </c>
      <c r="AL6351">
        <v>79.482776156463302</v>
      </c>
      <c r="AM6351">
        <v>95.888486234912506</v>
      </c>
      <c r="AN6351">
        <v>1.00000002057542</v>
      </c>
    </row>
    <row r="6352" spans="1:40" x14ac:dyDescent="0.25">
      <c r="A6352" t="str">
        <f>"20190312172534349"</f>
        <v>20190312172534349</v>
      </c>
      <c r="B6352" t="str">
        <f>"1552382734346315"</f>
        <v>1552382734346315</v>
      </c>
      <c r="C6352" t="s">
        <v>40</v>
      </c>
      <c r="D6352">
        <v>3.5486870000000001</v>
      </c>
      <c r="E6352">
        <v>0.46969949999999999</v>
      </c>
      <c r="F6352" t="s">
        <v>56</v>
      </c>
      <c r="G6352">
        <v>-247.79650000000001</v>
      </c>
      <c r="H6352" s="1">
        <v>-2.344273E-6</v>
      </c>
      <c r="I6352">
        <v>-60.430480000000003</v>
      </c>
      <c r="J6352">
        <v>-274.53070000000002</v>
      </c>
      <c r="K6352">
        <v>1.111801</v>
      </c>
      <c r="L6352">
        <v>-61.124760000000002</v>
      </c>
      <c r="M6352">
        <v>0.98588160000000002</v>
      </c>
      <c r="N6352">
        <v>0</v>
      </c>
      <c r="O6352">
        <v>-0.16744289999999901</v>
      </c>
      <c r="P6352">
        <v>0.98072499999999996</v>
      </c>
      <c r="Q6352">
        <v>0.18381990000000001</v>
      </c>
      <c r="R6352">
        <v>-6.6248920000000003E-2</v>
      </c>
      <c r="S6352">
        <v>3.0887150000000001</v>
      </c>
      <c r="T6352">
        <v>-0.12787000000000001</v>
      </c>
      <c r="U6352">
        <v>7.7728270000000002E-2</v>
      </c>
      <c r="V6352">
        <v>-0.100288</v>
      </c>
      <c r="W6352">
        <v>0.182533</v>
      </c>
      <c r="X6352">
        <v>0.97807160000000004</v>
      </c>
      <c r="Y6352">
        <v>-0.19188520000000001</v>
      </c>
      <c r="Z6352">
        <v>1.0876540000000001E-2</v>
      </c>
      <c r="AA6352">
        <v>0.98135709999999998</v>
      </c>
      <c r="AB6352">
        <v>24</v>
      </c>
      <c r="AC6352">
        <v>26.734200000000001</v>
      </c>
      <c r="AD6352">
        <v>-1.111803344273</v>
      </c>
      <c r="AE6352">
        <v>0.69427999999999201</v>
      </c>
      <c r="AF6352">
        <v>-5.1520263027064903</v>
      </c>
      <c r="AG6352">
        <v>-1.111803344273</v>
      </c>
      <c r="AH6352">
        <v>26.1952339267228</v>
      </c>
      <c r="AI6352">
        <v>92.384712868817402</v>
      </c>
      <c r="AJ6352">
        <v>101.12680033988499</v>
      </c>
      <c r="AK6352">
        <v>26.720212614720101</v>
      </c>
      <c r="AL6352">
        <v>79.482665395031304</v>
      </c>
      <c r="AM6352">
        <v>95.854446295514407</v>
      </c>
      <c r="AN6352">
        <v>1.00000001687977</v>
      </c>
    </row>
    <row r="6353" spans="1:40" x14ac:dyDescent="0.25">
      <c r="A6353" t="str">
        <f>"20190312172534360"</f>
        <v>20190312172534360</v>
      </c>
      <c r="B6353" t="str">
        <f>"1552382734357051"</f>
        <v>1552382734357051</v>
      </c>
      <c r="C6353" t="s">
        <v>40</v>
      </c>
      <c r="D6353">
        <v>3.6095290000000002</v>
      </c>
      <c r="E6353">
        <v>0.46977550000000001</v>
      </c>
      <c r="F6353" t="s">
        <v>56</v>
      </c>
      <c r="G6353">
        <v>-247.45150000000001</v>
      </c>
      <c r="H6353" s="1">
        <v>-2.1907570000000001E-6</v>
      </c>
      <c r="I6353">
        <v>-60.409680000000002</v>
      </c>
      <c r="J6353">
        <v>-274.40449999999998</v>
      </c>
      <c r="K6353">
        <v>1.1117980000000001</v>
      </c>
      <c r="L6353">
        <v>-61.143709999999999</v>
      </c>
      <c r="M6353">
        <v>0.98631279999999999</v>
      </c>
      <c r="N6353">
        <v>0</v>
      </c>
      <c r="O6353">
        <v>-0.1648849</v>
      </c>
      <c r="P6353">
        <v>0.98095759999999999</v>
      </c>
      <c r="Q6353">
        <v>0.18329490000000001</v>
      </c>
      <c r="R6353">
        <v>-6.4227400000000004E-2</v>
      </c>
      <c r="S6353">
        <v>3.088257</v>
      </c>
      <c r="T6353">
        <v>-0.12679599999999999</v>
      </c>
      <c r="U6353">
        <v>8.1542970000000006E-2</v>
      </c>
      <c r="V6353">
        <v>-9.9780839999999996E-2</v>
      </c>
      <c r="W6353">
        <v>0.18197269999999999</v>
      </c>
      <c r="X6353">
        <v>0.97822790000000004</v>
      </c>
      <c r="Y6353">
        <v>-0.1905625</v>
      </c>
      <c r="Z6353">
        <v>1.065577E-2</v>
      </c>
      <c r="AA6353">
        <v>0.98161719999999997</v>
      </c>
      <c r="AB6353">
        <v>24</v>
      </c>
      <c r="AC6353">
        <v>26.9529999999999</v>
      </c>
      <c r="AD6353">
        <v>-1.1118001907570001</v>
      </c>
      <c r="AE6353">
        <v>0.73402999999999696</v>
      </c>
      <c r="AF6353">
        <v>-5.15935369066516</v>
      </c>
      <c r="AG6353">
        <v>-1.1118001907570001</v>
      </c>
      <c r="AH6353">
        <v>26.418140927104002</v>
      </c>
      <c r="AI6353">
        <v>92.365223949956203</v>
      </c>
      <c r="AJ6353">
        <v>101.05053894478</v>
      </c>
      <c r="AK6353">
        <v>26.9401781770997</v>
      </c>
      <c r="AL6353">
        <v>79.515315418421494</v>
      </c>
      <c r="AM6353">
        <v>95.8241199285481</v>
      </c>
      <c r="AN6353">
        <v>1.0000000519573999</v>
      </c>
    </row>
    <row r="6354" spans="1:40" x14ac:dyDescent="0.25">
      <c r="A6354" t="str">
        <f>"20190312172534372"</f>
        <v>20190312172534372</v>
      </c>
      <c r="B6354" t="str">
        <f>"1552382734366814"</f>
        <v>1552382734366814</v>
      </c>
      <c r="C6354" t="s">
        <v>40</v>
      </c>
      <c r="D6354">
        <v>3.5809269999999902</v>
      </c>
      <c r="E6354">
        <v>0.4700182</v>
      </c>
      <c r="F6354" t="s">
        <v>56</v>
      </c>
      <c r="G6354">
        <v>-247.7654</v>
      </c>
      <c r="H6354" s="1">
        <v>-2.3201579999999999E-6</v>
      </c>
      <c r="I6354">
        <v>-60.389919999999996</v>
      </c>
      <c r="J6354">
        <v>-274.28140000000002</v>
      </c>
      <c r="K6354">
        <v>1.111793</v>
      </c>
      <c r="L6354">
        <v>-61.161679999999997</v>
      </c>
      <c r="M6354">
        <v>0.98672000000000004</v>
      </c>
      <c r="N6354">
        <v>0</v>
      </c>
      <c r="O6354">
        <v>-0.1624302</v>
      </c>
      <c r="P6354">
        <v>0.98107770000000005</v>
      </c>
      <c r="Q6354">
        <v>0.18328510000000001</v>
      </c>
      <c r="R6354">
        <v>-6.2396590000000002E-2</v>
      </c>
      <c r="S6354">
        <v>3.0880429999999999</v>
      </c>
      <c r="T6354">
        <v>-0.12888169999999999</v>
      </c>
      <c r="U6354">
        <v>8.7371829999999998E-2</v>
      </c>
      <c r="V6354">
        <v>-9.9174200000000004E-2</v>
      </c>
      <c r="W6354">
        <v>0.1819347</v>
      </c>
      <c r="X6354">
        <v>0.97829659999999996</v>
      </c>
      <c r="Y6354">
        <v>-0.18996589999999999</v>
      </c>
      <c r="Z6354">
        <v>1.071774E-2</v>
      </c>
      <c r="AA6354">
        <v>0.98173220000000005</v>
      </c>
      <c r="AB6354">
        <v>24</v>
      </c>
      <c r="AC6354">
        <v>26.515999999999998</v>
      </c>
      <c r="AD6354">
        <v>-1.111795320158</v>
      </c>
      <c r="AE6354">
        <v>0.771760000000007</v>
      </c>
      <c r="AF6354">
        <v>-5.0596228012519999</v>
      </c>
      <c r="AG6354">
        <v>-1.111795320158</v>
      </c>
      <c r="AH6354">
        <v>25.9928530091005</v>
      </c>
      <c r="AI6354">
        <v>92.404156867368002</v>
      </c>
      <c r="AJ6354">
        <v>101.015130849708</v>
      </c>
      <c r="AK6354">
        <v>26.504042696871299</v>
      </c>
      <c r="AL6354">
        <v>79.517529039840099</v>
      </c>
      <c r="AM6354">
        <v>95.788548335757994</v>
      </c>
      <c r="AN6354">
        <v>0.99999999729064404</v>
      </c>
    </row>
    <row r="6355" spans="1:40" x14ac:dyDescent="0.25">
      <c r="A6355" t="str">
        <f>"20190312172534384"</f>
        <v>20190312172534384</v>
      </c>
      <c r="B6355" t="str">
        <f>"1552382734376571"</f>
        <v>1552382734376571</v>
      </c>
      <c r="C6355" t="s">
        <v>40</v>
      </c>
      <c r="D6355">
        <v>3.5646469999999999</v>
      </c>
      <c r="E6355">
        <v>0.47026050000000003</v>
      </c>
      <c r="F6355" t="s">
        <v>56</v>
      </c>
      <c r="G6355">
        <v>-247.66560000000001</v>
      </c>
      <c r="H6355" s="1">
        <v>-2.2773140000000002E-6</v>
      </c>
      <c r="I6355">
        <v>-60.374290000000002</v>
      </c>
      <c r="J6355">
        <v>-274.15969999999999</v>
      </c>
      <c r="K6355">
        <v>1.1117870000000001</v>
      </c>
      <c r="L6355">
        <v>-61.179349999999999</v>
      </c>
      <c r="M6355">
        <v>0.98711510000000002</v>
      </c>
      <c r="N6355">
        <v>0</v>
      </c>
      <c r="O6355">
        <v>-0.16001019999999999</v>
      </c>
      <c r="P6355">
        <v>0.98123559999999999</v>
      </c>
      <c r="Q6355">
        <v>0.18291450000000001</v>
      </c>
      <c r="R6355">
        <v>-6.0985159999999997E-2</v>
      </c>
      <c r="S6355">
        <v>3.0877690000000002</v>
      </c>
      <c r="T6355">
        <v>-0.12898209999999999</v>
      </c>
      <c r="U6355">
        <v>9.1339110000000001E-2</v>
      </c>
      <c r="V6355">
        <v>-9.8192929999999998E-2</v>
      </c>
      <c r="W6355">
        <v>0.1815408</v>
      </c>
      <c r="X6355">
        <v>0.97846869999999997</v>
      </c>
      <c r="Y6355">
        <v>-0.18882389999999999</v>
      </c>
      <c r="Z6355">
        <v>1.0603049999999999E-2</v>
      </c>
      <c r="AA6355">
        <v>0.98195370000000004</v>
      </c>
      <c r="AB6355">
        <v>25</v>
      </c>
      <c r="AC6355">
        <v>26.4940999999999</v>
      </c>
      <c r="AD6355">
        <v>-1.1117892773139999</v>
      </c>
      <c r="AE6355">
        <v>0.805059999999997</v>
      </c>
      <c r="AF6355">
        <v>-5.0251735111640796</v>
      </c>
      <c r="AG6355">
        <v>-1.1117892773139999</v>
      </c>
      <c r="AH6355">
        <v>25.978210975794699</v>
      </c>
      <c r="AI6355">
        <v>92.406043856582102</v>
      </c>
      <c r="AJ6355">
        <v>100.94796689320999</v>
      </c>
      <c r="AK6355">
        <v>26.483124621489701</v>
      </c>
      <c r="AL6355">
        <v>79.540479605041099</v>
      </c>
      <c r="AM6355">
        <v>95.730655889236303</v>
      </c>
      <c r="AN6355">
        <v>0.99999995522315599</v>
      </c>
    </row>
    <row r="6356" spans="1:40" x14ac:dyDescent="0.25">
      <c r="A6356" t="str">
        <f>"20190312172534394"</f>
        <v>20190312172534394</v>
      </c>
      <c r="B6356" t="str">
        <f>"1552382734386332"</f>
        <v>1552382734386332</v>
      </c>
      <c r="C6356" t="s">
        <v>40</v>
      </c>
      <c r="D6356">
        <v>3.7050649999999998</v>
      </c>
      <c r="E6356">
        <v>0.47055089999999999</v>
      </c>
      <c r="F6356" t="s">
        <v>56</v>
      </c>
      <c r="G6356">
        <v>-247.46870000000001</v>
      </c>
      <c r="H6356" s="1">
        <v>-2.1942340000000002E-6</v>
      </c>
      <c r="I6356">
        <v>-60.366630000000001</v>
      </c>
      <c r="J6356">
        <v>-274.03620000000001</v>
      </c>
      <c r="K6356">
        <v>1.1117779999999999</v>
      </c>
      <c r="L6356">
        <v>-61.196869999999997</v>
      </c>
      <c r="M6356">
        <v>0.98750450000000001</v>
      </c>
      <c r="N6356">
        <v>0</v>
      </c>
      <c r="O6356">
        <v>-0.15759010000000001</v>
      </c>
      <c r="P6356">
        <v>0.9813731</v>
      </c>
      <c r="Q6356">
        <v>0.18267900000000001</v>
      </c>
      <c r="R6356">
        <v>-5.9461489999999999E-2</v>
      </c>
      <c r="S6356">
        <v>3.0871580000000001</v>
      </c>
      <c r="T6356">
        <v>-0.12859309999999999</v>
      </c>
      <c r="U6356">
        <v>9.3994140000000004E-2</v>
      </c>
      <c r="V6356">
        <v>-9.7319450000000002E-2</v>
      </c>
      <c r="W6356">
        <v>0.18128620000000001</v>
      </c>
      <c r="X6356">
        <v>0.97860320000000001</v>
      </c>
      <c r="Y6356">
        <v>-0.1872713</v>
      </c>
      <c r="Z6356">
        <v>1.0440960000000001E-2</v>
      </c>
      <c r="AA6356">
        <v>0.98225269999999998</v>
      </c>
      <c r="AB6356">
        <v>25</v>
      </c>
      <c r="AC6356">
        <v>26.5674999999999</v>
      </c>
      <c r="AD6356">
        <v>-1.111780194234</v>
      </c>
      <c r="AE6356">
        <v>0.83023999999998899</v>
      </c>
      <c r="AF6356">
        <v>-4.9978974817376303</v>
      </c>
      <c r="AG6356">
        <v>-1.111780194234</v>
      </c>
      <c r="AH6356">
        <v>26.059100855255</v>
      </c>
      <c r="AI6356">
        <v>92.399297446636098</v>
      </c>
      <c r="AJ6356">
        <v>100.856968333617</v>
      </c>
      <c r="AK6356">
        <v>26.557329907628102</v>
      </c>
      <c r="AL6356">
        <v>79.555313639429599</v>
      </c>
      <c r="AM6356">
        <v>95.679237817061605</v>
      </c>
      <c r="AN6356">
        <v>0.999999992354491</v>
      </c>
    </row>
    <row r="6357" spans="1:40" x14ac:dyDescent="0.25">
      <c r="A6357" t="str">
        <f>"20190312172534405"</f>
        <v>20190312172534405</v>
      </c>
      <c r="B6357" t="str">
        <f>"1552382734397067"</f>
        <v>1552382734397067</v>
      </c>
      <c r="C6357" t="s">
        <v>40</v>
      </c>
      <c r="D6357">
        <v>3.561636</v>
      </c>
      <c r="E6357">
        <v>0.4707731</v>
      </c>
      <c r="F6357" t="s">
        <v>56</v>
      </c>
      <c r="G6357">
        <v>-247.1455</v>
      </c>
      <c r="H6357" s="1">
        <v>-2.0573760000000002E-6</v>
      </c>
      <c r="I6357">
        <v>-60.356369999999998</v>
      </c>
      <c r="J6357">
        <v>-273.91640000000001</v>
      </c>
      <c r="K6357">
        <v>1.1117729999999999</v>
      </c>
      <c r="L6357">
        <v>-61.213679999999997</v>
      </c>
      <c r="M6357">
        <v>0.98787400000000003</v>
      </c>
      <c r="N6357">
        <v>0</v>
      </c>
      <c r="O6357">
        <v>-0.15525620000000001</v>
      </c>
      <c r="P6357">
        <v>0.98146900000000004</v>
      </c>
      <c r="Q6357">
        <v>0.18268400000000001</v>
      </c>
      <c r="R6357">
        <v>-5.7838750000000001E-2</v>
      </c>
      <c r="S6357">
        <v>3.0865480000000001</v>
      </c>
      <c r="T6357">
        <v>-0.12761130000000001</v>
      </c>
      <c r="U6357">
        <v>9.6466060000000006E-2</v>
      </c>
      <c r="V6357">
        <v>-9.6625310000000006E-2</v>
      </c>
      <c r="W6357">
        <v>0.18127309999999999</v>
      </c>
      <c r="X6357">
        <v>0.97867440000000006</v>
      </c>
      <c r="Y6357">
        <v>-0.18574950000000001</v>
      </c>
      <c r="Z6357">
        <v>1.0236250000000001E-2</v>
      </c>
      <c r="AA6357">
        <v>0.98254379999999997</v>
      </c>
      <c r="AB6357">
        <v>25</v>
      </c>
      <c r="AC6357">
        <v>26.770900000000001</v>
      </c>
      <c r="AD6357">
        <v>-1.1117750573759999</v>
      </c>
      <c r="AE6357">
        <v>0.85731000000000501</v>
      </c>
      <c r="AF6357">
        <v>-4.9946582955660901</v>
      </c>
      <c r="AG6357">
        <v>-1.1117750573759999</v>
      </c>
      <c r="AH6357">
        <v>26.267922307147099</v>
      </c>
      <c r="AI6357">
        <v>92.380956858839994</v>
      </c>
      <c r="AJ6357">
        <v>100.76586785146699</v>
      </c>
      <c r="AK6357">
        <v>26.761659096587898</v>
      </c>
      <c r="AL6357">
        <v>79.556076774065403</v>
      </c>
      <c r="AM6357">
        <v>95.638584526970504</v>
      </c>
      <c r="AN6357">
        <v>0.99999998426578296</v>
      </c>
    </row>
    <row r="6358" spans="1:40" x14ac:dyDescent="0.25">
      <c r="A6358" t="str">
        <f>"20190312172534416"</f>
        <v>20190312172534416</v>
      </c>
      <c r="B6358" t="str">
        <f>"1552382734406827"</f>
        <v>1552382734406827</v>
      </c>
      <c r="C6358" t="s">
        <v>40</v>
      </c>
      <c r="D6358">
        <v>3.556765</v>
      </c>
      <c r="E6358">
        <v>0.47103689999999998</v>
      </c>
      <c r="F6358" t="s">
        <v>56</v>
      </c>
      <c r="G6358">
        <v>-246.91970000000001</v>
      </c>
      <c r="H6358" s="1">
        <v>-1.963778E-6</v>
      </c>
      <c r="I6358">
        <v>-60.338009999999997</v>
      </c>
      <c r="J6358">
        <v>-273.79289999999997</v>
      </c>
      <c r="K6358">
        <v>1.111764</v>
      </c>
      <c r="L6358">
        <v>-61.230710000000002</v>
      </c>
      <c r="M6358">
        <v>0.98824529999999999</v>
      </c>
      <c r="N6358">
        <v>0</v>
      </c>
      <c r="O6358">
        <v>-0.1528747</v>
      </c>
      <c r="P6358">
        <v>0.9815564</v>
      </c>
      <c r="Q6358">
        <v>0.1826739</v>
      </c>
      <c r="R6358">
        <v>-5.636853E-2</v>
      </c>
      <c r="S6358">
        <v>3.0862120000000002</v>
      </c>
      <c r="T6358">
        <v>-0.12709589999999901</v>
      </c>
      <c r="U6358">
        <v>0.1000977</v>
      </c>
      <c r="V6358">
        <v>-9.5732029999999996E-2</v>
      </c>
      <c r="W6358">
        <v>0.18124870000000001</v>
      </c>
      <c r="X6358">
        <v>0.97876669999999999</v>
      </c>
      <c r="Y6358">
        <v>-0.18454480000000001</v>
      </c>
      <c r="Z6358">
        <v>1.007398E-2</v>
      </c>
      <c r="AA6358">
        <v>0.98277250000000005</v>
      </c>
      <c r="AB6358">
        <v>25</v>
      </c>
      <c r="AC6358">
        <v>26.873199999999901</v>
      </c>
      <c r="AD6358">
        <v>-1.111765963778</v>
      </c>
      <c r="AE6358">
        <v>0.89269999999999705</v>
      </c>
      <c r="AF6358">
        <v>-4.9819229678301902</v>
      </c>
      <c r="AG6358">
        <v>-1.111765963778</v>
      </c>
      <c r="AH6358">
        <v>26.375756161007299</v>
      </c>
      <c r="AI6358">
        <v>92.371760501935697</v>
      </c>
      <c r="AJ6358">
        <v>100.696166108882</v>
      </c>
      <c r="AK6358">
        <v>26.865146436982702</v>
      </c>
      <c r="AL6358">
        <v>79.557498325107005</v>
      </c>
      <c r="AM6358">
        <v>95.5862648296592</v>
      </c>
      <c r="AN6358">
        <v>0.99999998292424996</v>
      </c>
    </row>
    <row r="6359" spans="1:40" x14ac:dyDescent="0.25">
      <c r="A6359" t="str">
        <f>"20190312172534428"</f>
        <v>20190312172534428</v>
      </c>
      <c r="B6359" t="str">
        <f>"1552382734416588"</f>
        <v>1552382734416588</v>
      </c>
      <c r="C6359" t="s">
        <v>40</v>
      </c>
      <c r="D6359">
        <v>3.6780719999999998</v>
      </c>
      <c r="E6359">
        <v>0.4709836</v>
      </c>
      <c r="F6359" t="s">
        <v>56</v>
      </c>
      <c r="G6359">
        <v>-246.9314</v>
      </c>
      <c r="H6359" s="1">
        <v>-1.9689209999999998E-6</v>
      </c>
      <c r="I6359">
        <v>-60.337330000000001</v>
      </c>
      <c r="J6359">
        <v>-273.6671</v>
      </c>
      <c r="K6359">
        <v>1.1117549999999901</v>
      </c>
      <c r="L6359">
        <v>-61.247770000000003</v>
      </c>
      <c r="M6359">
        <v>0.98861399999999999</v>
      </c>
      <c r="N6359">
        <v>0</v>
      </c>
      <c r="O6359">
        <v>-0.1504723</v>
      </c>
      <c r="P6359">
        <v>0.98162720000000003</v>
      </c>
      <c r="Q6359">
        <v>0.18285180000000001</v>
      </c>
      <c r="R6359">
        <v>-5.452916E-2</v>
      </c>
      <c r="S6359">
        <v>3.0860289999999999</v>
      </c>
      <c r="T6359">
        <v>-0.12772700000000001</v>
      </c>
      <c r="U6359">
        <v>0.1026306</v>
      </c>
      <c r="V6359">
        <v>-9.5183509999999999E-2</v>
      </c>
      <c r="W6359">
        <v>0.18141280000000001</v>
      </c>
      <c r="X6359">
        <v>0.97878980000000004</v>
      </c>
      <c r="Y6359">
        <v>-0.18296409999999999</v>
      </c>
      <c r="Z6359">
        <v>9.9932249999999997E-3</v>
      </c>
      <c r="AA6359">
        <v>0.98306879999999996</v>
      </c>
      <c r="AB6359">
        <v>25</v>
      </c>
      <c r="AC6359">
        <v>26.735700000000001</v>
      </c>
      <c r="AD6359">
        <v>-1.1117569689209901</v>
      </c>
      <c r="AE6359">
        <v>0.91043999999999403</v>
      </c>
      <c r="AF6359">
        <v>-4.91456883853078</v>
      </c>
      <c r="AG6359">
        <v>-1.1117569689209901</v>
      </c>
      <c r="AH6359">
        <v>26.248960953158502</v>
      </c>
      <c r="AI6359">
        <v>92.383899872862997</v>
      </c>
      <c r="AJ6359">
        <v>100.60465920944</v>
      </c>
      <c r="AK6359">
        <v>26.728204981761198</v>
      </c>
      <c r="AL6359">
        <v>79.547937651063506</v>
      </c>
      <c r="AM6359">
        <v>95.554327430575199</v>
      </c>
      <c r="AN6359">
        <v>0.99999998858189998</v>
      </c>
    </row>
    <row r="6360" spans="1:40" x14ac:dyDescent="0.25">
      <c r="A6360" t="str">
        <f>"20190312172534438"</f>
        <v>20190312172534438</v>
      </c>
      <c r="B6360" t="str">
        <f>"1552382734426347"</f>
        <v>1552382734426347</v>
      </c>
      <c r="C6360" t="s">
        <v>40</v>
      </c>
      <c r="D6360">
        <v>3.5752980000000001</v>
      </c>
      <c r="E6360">
        <v>0.4711381</v>
      </c>
      <c r="F6360" t="s">
        <v>56</v>
      </c>
      <c r="G6360">
        <v>-247.10429999999999</v>
      </c>
      <c r="H6360" s="1">
        <v>-2.0478309999999999E-6</v>
      </c>
      <c r="I6360">
        <v>-60.310549999999999</v>
      </c>
      <c r="J6360">
        <v>-273.54880000000003</v>
      </c>
      <c r="K6360">
        <v>1.1117490000000001</v>
      </c>
      <c r="L6360">
        <v>-61.263579999999997</v>
      </c>
      <c r="M6360">
        <v>0.98895259999999996</v>
      </c>
      <c r="N6360">
        <v>0</v>
      </c>
      <c r="O6360">
        <v>-0.1482301</v>
      </c>
      <c r="P6360">
        <v>0.98167289999999996</v>
      </c>
      <c r="Q6360">
        <v>0.182916</v>
      </c>
      <c r="R6360">
        <v>-5.3481340000000002E-2</v>
      </c>
      <c r="S6360">
        <v>3.0863040000000002</v>
      </c>
      <c r="T6360">
        <v>-0.12917390000000001</v>
      </c>
      <c r="U6360">
        <v>0.1088867</v>
      </c>
      <c r="V6360">
        <v>-9.400675E-2</v>
      </c>
      <c r="W6360">
        <v>0.18147050000000001</v>
      </c>
      <c r="X6360">
        <v>0.97889289999999995</v>
      </c>
      <c r="Y6360">
        <v>-0.18271809999999999</v>
      </c>
      <c r="Z6360">
        <v>1.000707E-2</v>
      </c>
      <c r="AA6360">
        <v>0.98311440000000005</v>
      </c>
      <c r="AB6360">
        <v>25</v>
      </c>
      <c r="AC6360">
        <v>26.444500000000001</v>
      </c>
      <c r="AD6360">
        <v>-1.111751047831</v>
      </c>
      <c r="AE6360">
        <v>0.95303000000000504</v>
      </c>
      <c r="AF6360">
        <v>-4.8538061386802704</v>
      </c>
      <c r="AG6360">
        <v>-1.111751047831</v>
      </c>
      <c r="AH6360">
        <v>25.9652645154118</v>
      </c>
      <c r="AI6360">
        <v>92.410031128381405</v>
      </c>
      <c r="AJ6360">
        <v>100.588356828041</v>
      </c>
      <c r="AK6360">
        <v>26.438426310572002</v>
      </c>
      <c r="AL6360">
        <v>79.544576645834397</v>
      </c>
      <c r="AM6360">
        <v>95.485506162303096</v>
      </c>
      <c r="AN6360">
        <v>1.0000000605431001</v>
      </c>
    </row>
    <row r="6361" spans="1:40" x14ac:dyDescent="0.25">
      <c r="A6361" t="str">
        <f>"20190312172534450"</f>
        <v>20190312172534450</v>
      </c>
      <c r="B6361" t="str">
        <f>"1552382734446844"</f>
        <v>1552382734446844</v>
      </c>
      <c r="C6361" t="s">
        <v>40</v>
      </c>
      <c r="D6361">
        <v>3.5644800000000001</v>
      </c>
      <c r="E6361">
        <v>0.47134239999999999</v>
      </c>
      <c r="F6361" t="s">
        <v>56</v>
      </c>
      <c r="G6361">
        <v>-246.94550000000001</v>
      </c>
      <c r="H6361" s="1">
        <v>-1.9807700000000002E-6</v>
      </c>
      <c r="I6361">
        <v>-60.304609999999997</v>
      </c>
      <c r="J6361">
        <v>-273.41329999999999</v>
      </c>
      <c r="K6361">
        <v>1.111739</v>
      </c>
      <c r="L6361">
        <v>-61.281280000000002</v>
      </c>
      <c r="M6361">
        <v>0.98932869999999995</v>
      </c>
      <c r="N6361">
        <v>0</v>
      </c>
      <c r="O6361">
        <v>-0.14569889999999999</v>
      </c>
      <c r="P6361">
        <v>0.9817186</v>
      </c>
      <c r="Q6361">
        <v>0.18309529999999999</v>
      </c>
      <c r="R6361">
        <v>-5.2009880000000001E-2</v>
      </c>
      <c r="S6361">
        <v>3.08609</v>
      </c>
      <c r="T6361">
        <v>-0.12896759999999999</v>
      </c>
      <c r="U6361">
        <v>0.1112366</v>
      </c>
      <c r="V6361">
        <v>-9.2964190000000002E-2</v>
      </c>
      <c r="W6361">
        <v>0.18164259999999999</v>
      </c>
      <c r="X6361">
        <v>0.97896050000000001</v>
      </c>
      <c r="Y6361">
        <v>-0.1809567</v>
      </c>
      <c r="Z6361">
        <v>9.850012E-3</v>
      </c>
      <c r="AA6361">
        <v>0.98344169999999997</v>
      </c>
      <c r="AB6361">
        <v>25</v>
      </c>
      <c r="AC6361">
        <v>26.467799999999901</v>
      </c>
      <c r="AD6361">
        <v>-1.1117409807700001</v>
      </c>
      <c r="AE6361">
        <v>0.97667000000000503</v>
      </c>
      <c r="AF6361">
        <v>-4.8140963989320404</v>
      </c>
      <c r="AG6361">
        <v>-1.1117409807700001</v>
      </c>
      <c r="AH6361">
        <v>25.99725713622</v>
      </c>
      <c r="AI6361">
        <v>92.407807006072801</v>
      </c>
      <c r="AJ6361">
        <v>100.49102851597</v>
      </c>
      <c r="AK6361">
        <v>26.462593802446399</v>
      </c>
      <c r="AL6361">
        <v>79.534548941081894</v>
      </c>
      <c r="AM6361">
        <v>95.424663019595897</v>
      </c>
      <c r="AN6361">
        <v>1.0000000176586801</v>
      </c>
    </row>
    <row r="6362" spans="1:40" x14ac:dyDescent="0.25">
      <c r="A6362" t="str">
        <f>"20190312172534463"</f>
        <v>20190312172534463</v>
      </c>
      <c r="B6362" t="str">
        <f>"1552382734456602"</f>
        <v>1552382734456602</v>
      </c>
      <c r="C6362" t="s">
        <v>40</v>
      </c>
      <c r="D6362">
        <v>3.55924</v>
      </c>
      <c r="E6362">
        <v>0.4715319</v>
      </c>
      <c r="F6362" t="s">
        <v>56</v>
      </c>
      <c r="G6362">
        <v>-246.68350000000001</v>
      </c>
      <c r="H6362" s="1">
        <v>-1.8706679999999999E-6</v>
      </c>
      <c r="I6362">
        <v>-60.2917699999999</v>
      </c>
      <c r="J6362">
        <v>-273.2801</v>
      </c>
      <c r="K6362">
        <v>1.1117360000000001</v>
      </c>
      <c r="L6362">
        <v>-61.298549999999999</v>
      </c>
      <c r="M6362">
        <v>0.98968970000000001</v>
      </c>
      <c r="N6362">
        <v>0</v>
      </c>
      <c r="O6362">
        <v>-0.14322589999999999</v>
      </c>
      <c r="P6362">
        <v>0.98179240000000001</v>
      </c>
      <c r="Q6362">
        <v>0.18317810000000001</v>
      </c>
      <c r="R6362">
        <v>-5.0295949999999999E-2</v>
      </c>
      <c r="S6362">
        <v>3.0858460000000001</v>
      </c>
      <c r="T6362">
        <v>-0.12834619999999999</v>
      </c>
      <c r="U6362">
        <v>0.1142273</v>
      </c>
      <c r="V6362">
        <v>-9.2222970000000001E-2</v>
      </c>
      <c r="W6362">
        <v>0.18171760000000001</v>
      </c>
      <c r="X6362">
        <v>0.97901669999999996</v>
      </c>
      <c r="Y6362">
        <v>-0.17945939999999999</v>
      </c>
      <c r="Z6362">
        <v>9.6700880000000003E-3</v>
      </c>
      <c r="AA6362">
        <v>0.98371790000000003</v>
      </c>
      <c r="AB6362">
        <v>25</v>
      </c>
      <c r="AC6362">
        <v>26.596599999999899</v>
      </c>
      <c r="AD6362">
        <v>-1.1117378706679999</v>
      </c>
      <c r="AE6362">
        <v>1.00678</v>
      </c>
      <c r="AF6362">
        <v>-4.7973531705950103</v>
      </c>
      <c r="AG6362">
        <v>-1.1117378706679999</v>
      </c>
      <c r="AH6362">
        <v>26.132597884135699</v>
      </c>
      <c r="AI6362">
        <v>92.396027431572705</v>
      </c>
      <c r="AJ6362">
        <v>100.40238393195099</v>
      </c>
      <c r="AK6362">
        <v>26.5925408848126</v>
      </c>
      <c r="AL6362">
        <v>79.530179169457895</v>
      </c>
      <c r="AM6362">
        <v>95.381359052408996</v>
      </c>
      <c r="AN6362">
        <v>1.0000000306121299</v>
      </c>
    </row>
    <row r="6363" spans="1:40" x14ac:dyDescent="0.25">
      <c r="A6363" t="str">
        <f>"20190312172534485"</f>
        <v>20190312172534485</v>
      </c>
      <c r="B6363" t="str">
        <f>"1552382734477099"</f>
        <v>1552382734477099</v>
      </c>
      <c r="C6363" t="s">
        <v>40</v>
      </c>
      <c r="D6363">
        <v>3.5567600000000001</v>
      </c>
      <c r="E6363">
        <v>0.47181240000000002</v>
      </c>
      <c r="F6363" t="s">
        <v>56</v>
      </c>
      <c r="G6363">
        <v>-246.67339999999999</v>
      </c>
      <c r="H6363" s="1">
        <v>-1.868441E-6</v>
      </c>
      <c r="I6363">
        <v>-60.279890000000002</v>
      </c>
      <c r="J6363">
        <v>-273.0231</v>
      </c>
      <c r="K6363">
        <v>1.111712</v>
      </c>
      <c r="L6363">
        <v>-61.330779999999997</v>
      </c>
      <c r="M6363">
        <v>0.99035390000000001</v>
      </c>
      <c r="N6363">
        <v>0</v>
      </c>
      <c r="O6363">
        <v>-0.1385593</v>
      </c>
      <c r="P6363">
        <v>0.98193620000000004</v>
      </c>
      <c r="Q6363">
        <v>0.1831864</v>
      </c>
      <c r="R6363">
        <v>-4.7377229999999999E-2</v>
      </c>
      <c r="S6363">
        <v>3.0857540000000001</v>
      </c>
      <c r="T6363">
        <v>-0.12893560000000001</v>
      </c>
      <c r="U6363">
        <v>0.1181335</v>
      </c>
      <c r="V6363">
        <v>-9.0511839999999996E-2</v>
      </c>
      <c r="W6363">
        <v>0.18172089999999999</v>
      </c>
      <c r="X6363">
        <v>0.97917569999999998</v>
      </c>
      <c r="Y6363">
        <v>-0.17607049999999999</v>
      </c>
      <c r="Z6363">
        <v>9.4502809999999996E-3</v>
      </c>
      <c r="AA6363">
        <v>0.98433219999999999</v>
      </c>
      <c r="AB6363">
        <v>26</v>
      </c>
      <c r="AC6363">
        <v>26.349699999999999</v>
      </c>
      <c r="AD6363">
        <v>-1.111713868441</v>
      </c>
      <c r="AE6363">
        <v>1.0508900000000001</v>
      </c>
      <c r="AF6363">
        <v>-4.6834265652359202</v>
      </c>
      <c r="AG6363">
        <v>-1.111713868441</v>
      </c>
      <c r="AH6363">
        <v>25.903886464171901</v>
      </c>
      <c r="AI6363">
        <v>92.418287994533998</v>
      </c>
      <c r="AJ6363">
        <v>100.24837398257201</v>
      </c>
      <c r="AK6363">
        <v>26.347328632442998</v>
      </c>
      <c r="AL6363">
        <v>79.529986198130899</v>
      </c>
      <c r="AM6363">
        <v>95.281229053987104</v>
      </c>
      <c r="AN6363">
        <v>0.999999965073742</v>
      </c>
    </row>
    <row r="6364" spans="1:40" x14ac:dyDescent="0.25">
      <c r="A6364" t="str">
        <f>"20190312172534496"</f>
        <v>20190312172534496</v>
      </c>
      <c r="B6364" t="str">
        <f>"1552382734486858"</f>
        <v>1552382734486858</v>
      </c>
      <c r="C6364" t="s">
        <v>40</v>
      </c>
      <c r="D6364">
        <v>3.6267830000000001</v>
      </c>
      <c r="E6364">
        <v>0.4719814</v>
      </c>
      <c r="F6364" t="s">
        <v>56</v>
      </c>
      <c r="G6364">
        <v>-246.64840000000001</v>
      </c>
      <c r="H6364" s="1">
        <v>-1.8611939999999999E-6</v>
      </c>
      <c r="I6364">
        <v>-60.26014</v>
      </c>
      <c r="J6364">
        <v>-272.8827</v>
      </c>
      <c r="K6364">
        <v>1.111699</v>
      </c>
      <c r="L6364">
        <v>-61.347929999999998</v>
      </c>
      <c r="M6364">
        <v>0.99070119999999895</v>
      </c>
      <c r="N6364">
        <v>0</v>
      </c>
      <c r="O6364">
        <v>-0.13605410000000001</v>
      </c>
      <c r="P6364">
        <v>0.98205549999999997</v>
      </c>
      <c r="Q6364">
        <v>0.1829858</v>
      </c>
      <c r="R6364">
        <v>-4.564406E-2</v>
      </c>
      <c r="S6364">
        <v>3.0855410000000001</v>
      </c>
      <c r="T6364">
        <v>-0.1300576</v>
      </c>
      <c r="U6364">
        <v>0.1252441</v>
      </c>
      <c r="V6364">
        <v>-8.9763029999999994E-2</v>
      </c>
      <c r="W6364">
        <v>0.18151929999999999</v>
      </c>
      <c r="X6364">
        <v>0.97928210000000004</v>
      </c>
      <c r="Y6364">
        <v>-0.175846</v>
      </c>
      <c r="Z6364">
        <v>9.4232870000000007E-3</v>
      </c>
      <c r="AA6364">
        <v>0.98437260000000004</v>
      </c>
      <c r="AB6364">
        <v>26</v>
      </c>
      <c r="AC6364">
        <v>26.234299999999902</v>
      </c>
      <c r="AD6364">
        <v>-1.111700861194</v>
      </c>
      <c r="AE6364">
        <v>1.08779</v>
      </c>
      <c r="AF6364">
        <v>-4.6386445187623702</v>
      </c>
      <c r="AG6364">
        <v>-1.111700861194</v>
      </c>
      <c r="AH6364">
        <v>25.796116637319098</v>
      </c>
      <c r="AI6364">
        <v>92.428765963461402</v>
      </c>
      <c r="AJ6364">
        <v>100.193955483998</v>
      </c>
      <c r="AK6364">
        <v>26.233424011028301</v>
      </c>
      <c r="AL6364">
        <v>79.541733222292507</v>
      </c>
      <c r="AM6364">
        <v>95.237215216616704</v>
      </c>
      <c r="AN6364">
        <v>1.00000004460383</v>
      </c>
    </row>
    <row r="6365" spans="1:40" x14ac:dyDescent="0.25">
      <c r="A6365" t="str">
        <f>"20190312172534506"</f>
        <v>20190312172534506</v>
      </c>
      <c r="B6365" t="str">
        <f>"1552382734496620"</f>
        <v>1552382734496620</v>
      </c>
      <c r="C6365" t="s">
        <v>40</v>
      </c>
      <c r="D6365">
        <v>3.637994</v>
      </c>
      <c r="E6365">
        <v>0.47209820000000002</v>
      </c>
      <c r="F6365" t="s">
        <v>56</v>
      </c>
      <c r="G6365">
        <v>-246.7449</v>
      </c>
      <c r="H6365" s="1">
        <v>-1.90378E-6</v>
      </c>
      <c r="I6365">
        <v>-60.253450000000001</v>
      </c>
      <c r="J6365">
        <v>-272.77460000000002</v>
      </c>
      <c r="K6365">
        <v>1.1116889999999999</v>
      </c>
      <c r="L6365">
        <v>-61.360959999999999</v>
      </c>
      <c r="M6365">
        <v>0.99096119999999999</v>
      </c>
      <c r="N6365">
        <v>0</v>
      </c>
      <c r="O6365">
        <v>-0.1341465</v>
      </c>
      <c r="P6365">
        <v>0.98208689999999998</v>
      </c>
      <c r="Q6365">
        <v>0.18306919999999999</v>
      </c>
      <c r="R6365">
        <v>-4.4621149999999998E-2</v>
      </c>
      <c r="S6365">
        <v>3.0852360000000001</v>
      </c>
      <c r="T6365">
        <v>-0.13122200000000001</v>
      </c>
      <c r="U6365">
        <v>0.12918089999999999</v>
      </c>
      <c r="V6365">
        <v>-8.8893009999999995E-2</v>
      </c>
      <c r="W6365">
        <v>0.18160560000000001</v>
      </c>
      <c r="X6365">
        <v>0.97934540000000003</v>
      </c>
      <c r="Y6365">
        <v>-0.175206</v>
      </c>
      <c r="Z6365">
        <v>9.4141799999999994E-3</v>
      </c>
      <c r="AA6365">
        <v>0.9844868</v>
      </c>
      <c r="AB6365">
        <v>26</v>
      </c>
      <c r="AC6365">
        <v>26.029699999999998</v>
      </c>
      <c r="AD6365">
        <v>-1.11169090378</v>
      </c>
      <c r="AE6365">
        <v>1.10750999999999</v>
      </c>
      <c r="AF6365">
        <v>-4.58095334988095</v>
      </c>
      <c r="AG6365">
        <v>-1.11169090378</v>
      </c>
      <c r="AH6365">
        <v>25.599252873451402</v>
      </c>
      <c r="AI6365">
        <v>92.447769128223101</v>
      </c>
      <c r="AJ6365">
        <v>100.145619070066</v>
      </c>
      <c r="AK6365">
        <v>26.029651129783598</v>
      </c>
      <c r="AL6365">
        <v>79.536704413963605</v>
      </c>
      <c r="AM6365">
        <v>95.186398778696699</v>
      </c>
      <c r="AN6365">
        <v>0.99999998683969005</v>
      </c>
    </row>
    <row r="6366" spans="1:40" x14ac:dyDescent="0.25">
      <c r="A6366" t="str">
        <f>"20190312172534516"</f>
        <v>20190312172534516</v>
      </c>
      <c r="B6366" t="str">
        <f>"1552382734506380"</f>
        <v>1552382734506380</v>
      </c>
      <c r="C6366" t="s">
        <v>40</v>
      </c>
      <c r="D6366">
        <v>3.641032</v>
      </c>
      <c r="E6366">
        <v>0.47227780000000003</v>
      </c>
      <c r="F6366" t="s">
        <v>56</v>
      </c>
      <c r="G6366">
        <v>-246.8279</v>
      </c>
      <c r="H6366" s="1">
        <v>-1.9393560000000001E-6</v>
      </c>
      <c r="I6366">
        <v>-60.253740000000001</v>
      </c>
      <c r="J6366">
        <v>-272.65309999999999</v>
      </c>
      <c r="K6366">
        <v>1.1116760000000001</v>
      </c>
      <c r="L6366">
        <v>-61.375369999999997</v>
      </c>
      <c r="M6366">
        <v>0.99124630000000002</v>
      </c>
      <c r="N6366">
        <v>0</v>
      </c>
      <c r="O6366">
        <v>-0.13202369999999999</v>
      </c>
      <c r="P6366">
        <v>0.98214869999999999</v>
      </c>
      <c r="Q6366">
        <v>0.1830811</v>
      </c>
      <c r="R6366">
        <v>-4.3190010000000001E-2</v>
      </c>
      <c r="S6366">
        <v>3.0853269999999999</v>
      </c>
      <c r="T6366">
        <v>-0.1321917</v>
      </c>
      <c r="U6366">
        <v>0.13165279999999999</v>
      </c>
      <c r="V6366">
        <v>-8.8219350000000002E-2</v>
      </c>
      <c r="W6366">
        <v>0.18162010000000001</v>
      </c>
      <c r="X6366">
        <v>0.97940360000000004</v>
      </c>
      <c r="Y6366">
        <v>-0.17388239999999999</v>
      </c>
      <c r="Z6366">
        <v>9.3646049999999998E-3</v>
      </c>
      <c r="AA6366">
        <v>0.98472190000000004</v>
      </c>
      <c r="AB6366">
        <v>26</v>
      </c>
      <c r="AC6366">
        <v>25.825199999999899</v>
      </c>
      <c r="AD6366">
        <v>-1.1116779393559999</v>
      </c>
      <c r="AE6366">
        <v>1.1216299999999899</v>
      </c>
      <c r="AF6366">
        <v>-4.5130044501244697</v>
      </c>
      <c r="AG6366">
        <v>-1.1116779393559999</v>
      </c>
      <c r="AH6366">
        <v>25.404074164086701</v>
      </c>
      <c r="AI6366">
        <v>92.467076812247996</v>
      </c>
      <c r="AJ6366">
        <v>100.07343688309</v>
      </c>
      <c r="AK6366">
        <v>25.825762740761601</v>
      </c>
      <c r="AL6366">
        <v>79.535859324002004</v>
      </c>
      <c r="AM6366">
        <v>95.147002274807207</v>
      </c>
      <c r="AN6366">
        <v>0.99999996306569505</v>
      </c>
    </row>
    <row r="6367" spans="1:40" x14ac:dyDescent="0.25">
      <c r="A6367" t="str">
        <f>"20190312172534527"</f>
        <v>20190312172534527</v>
      </c>
      <c r="B6367" t="str">
        <f>"1552382734517116"</f>
        <v>1552382734517116</v>
      </c>
      <c r="C6367" t="s">
        <v>40</v>
      </c>
      <c r="D6367">
        <v>3.6004100000000001</v>
      </c>
      <c r="E6367">
        <v>0.47227780000000003</v>
      </c>
      <c r="F6367" t="s">
        <v>56</v>
      </c>
      <c r="G6367">
        <v>-246.88460000000001</v>
      </c>
      <c r="H6367" s="1">
        <v>-1.964445E-6</v>
      </c>
      <c r="I6367">
        <v>-60.249229999999997</v>
      </c>
      <c r="J6367">
        <v>-272.52359999999999</v>
      </c>
      <c r="K6367">
        <v>1.1116649999999999</v>
      </c>
      <c r="L6367">
        <v>-61.390410000000003</v>
      </c>
      <c r="M6367">
        <v>0.99154039999999999</v>
      </c>
      <c r="N6367">
        <v>0</v>
      </c>
      <c r="O6367">
        <v>-0.12979570000000001</v>
      </c>
      <c r="P6367">
        <v>0.98223249999999995</v>
      </c>
      <c r="Q6367">
        <v>0.1829528</v>
      </c>
      <c r="R6367">
        <v>-4.1803739999999999E-2</v>
      </c>
      <c r="S6367">
        <v>3.0853269999999999</v>
      </c>
      <c r="T6367">
        <v>-0.133103799999999</v>
      </c>
      <c r="U6367">
        <v>0.13482669999999999</v>
      </c>
      <c r="V6367">
        <v>-8.7398450000000003E-2</v>
      </c>
      <c r="W6367">
        <v>0.18149770000000001</v>
      </c>
      <c r="X6367">
        <v>0.97949989999999998</v>
      </c>
      <c r="Y6367">
        <v>-0.17267959999999999</v>
      </c>
      <c r="Z6367">
        <v>9.3075950000000001E-3</v>
      </c>
      <c r="AA6367">
        <v>0.98493410000000003</v>
      </c>
      <c r="AB6367">
        <v>26</v>
      </c>
      <c r="AC6367">
        <v>25.6389999999999</v>
      </c>
      <c r="AD6367">
        <v>-1.1116669644449999</v>
      </c>
      <c r="AE6367">
        <v>1.1411799999999901</v>
      </c>
      <c r="AF6367">
        <v>-4.4510084652750397</v>
      </c>
      <c r="AG6367">
        <v>-1.1116669644449999</v>
      </c>
      <c r="AH6367">
        <v>25.226661851593398</v>
      </c>
      <c r="AI6367">
        <v>92.484895617893997</v>
      </c>
      <c r="AJ6367">
        <v>100.006315935266</v>
      </c>
      <c r="AK6367">
        <v>25.6404318991008</v>
      </c>
      <c r="AL6367">
        <v>79.542991023105102</v>
      </c>
      <c r="AM6367">
        <v>95.098863301045199</v>
      </c>
      <c r="AN6367">
        <v>0.99999997913385097</v>
      </c>
    </row>
    <row r="6368" spans="1:40" x14ac:dyDescent="0.25">
      <c r="A6368" t="str">
        <f>"20190312172534538"</f>
        <v>20190312172534538</v>
      </c>
      <c r="B6368" t="str">
        <f>"1552382734526876"</f>
        <v>1552382734526876</v>
      </c>
      <c r="C6368" t="s">
        <v>40</v>
      </c>
      <c r="D6368">
        <v>3.6623459999999999</v>
      </c>
      <c r="E6368">
        <v>0.4761532</v>
      </c>
      <c r="F6368" t="s">
        <v>56</v>
      </c>
      <c r="G6368">
        <v>-246.81319999999999</v>
      </c>
      <c r="H6368" s="1">
        <v>-1.937567E-6</v>
      </c>
      <c r="I6368">
        <v>-60.228070000000002</v>
      </c>
      <c r="J6368">
        <v>-272.39210000000003</v>
      </c>
      <c r="K6368">
        <v>1.1116490000000001</v>
      </c>
      <c r="L6368">
        <v>-61.405520000000003</v>
      </c>
      <c r="M6368">
        <v>0.99183109999999997</v>
      </c>
      <c r="N6368">
        <v>0</v>
      </c>
      <c r="O6368">
        <v>-0.127556</v>
      </c>
      <c r="P6368">
        <v>0.98228700000000002</v>
      </c>
      <c r="Q6368">
        <v>0.18297920000000001</v>
      </c>
      <c r="R6368">
        <v>-4.0383910000000002E-2</v>
      </c>
      <c r="S6368">
        <v>3.085083</v>
      </c>
      <c r="T6368">
        <v>-0.13339279999999901</v>
      </c>
      <c r="U6368">
        <v>0.13946529999999999</v>
      </c>
      <c r="V6368">
        <v>-8.6596380000000001E-2</v>
      </c>
      <c r="W6368">
        <v>0.18153150000000001</v>
      </c>
      <c r="X6368">
        <v>0.97956489999999996</v>
      </c>
      <c r="Y6368">
        <v>-0.17193800000000001</v>
      </c>
      <c r="Z6368">
        <v>9.2160499999999999E-3</v>
      </c>
      <c r="AA6368">
        <v>0.98506470000000002</v>
      </c>
      <c r="AB6368">
        <v>26</v>
      </c>
      <c r="AC6368">
        <v>25.578900000000001</v>
      </c>
      <c r="AD6368">
        <v>-1.1116509375669901</v>
      </c>
      <c r="AE6368">
        <v>1.1774500000000001</v>
      </c>
      <c r="AF6368">
        <v>-4.4222400650578297</v>
      </c>
      <c r="AG6368">
        <v>-1.1116509375669901</v>
      </c>
      <c r="AH6368">
        <v>25.1723209245724</v>
      </c>
      <c r="AI6368">
        <v>92.490540937127804</v>
      </c>
      <c r="AJ6368">
        <v>99.963971066648995</v>
      </c>
      <c r="AK6368">
        <v>25.5819802933561</v>
      </c>
      <c r="AL6368">
        <v>79.5410219952864</v>
      </c>
      <c r="AM6368">
        <v>95.051979973802403</v>
      </c>
      <c r="AN6368">
        <v>1.00000000591668</v>
      </c>
    </row>
    <row r="6369" spans="1:40" x14ac:dyDescent="0.25">
      <c r="A6369" t="str">
        <f>"20190312172534551"</f>
        <v>20190312172534551</v>
      </c>
      <c r="B6369" t="str">
        <f>"1552382734546395"</f>
        <v>1552382734546395</v>
      </c>
      <c r="C6369" t="s">
        <v>40</v>
      </c>
      <c r="D6369">
        <v>3.5376690000000002</v>
      </c>
      <c r="E6369">
        <v>0.4773599</v>
      </c>
      <c r="F6369" t="s">
        <v>55</v>
      </c>
      <c r="G6369">
        <v>-250.50710000000001</v>
      </c>
      <c r="H6369" s="1">
        <v>5.9999879999999996E-7</v>
      </c>
      <c r="I6369">
        <v>-60.591869999999901</v>
      </c>
      <c r="J6369">
        <v>-272.25619999999998</v>
      </c>
      <c r="K6369">
        <v>1.1116280000000001</v>
      </c>
      <c r="L6369">
        <v>-61.420720000000003</v>
      </c>
      <c r="M6369">
        <v>0.99211959999999999</v>
      </c>
      <c r="N6369">
        <v>0</v>
      </c>
      <c r="O6369">
        <v>-0.12529309999999999</v>
      </c>
      <c r="P6369">
        <v>0.98234779999999999</v>
      </c>
      <c r="Q6369">
        <v>0.1829306</v>
      </c>
      <c r="R6369">
        <v>-3.9109360000000003E-2</v>
      </c>
      <c r="S6369">
        <v>3.0880429999999999</v>
      </c>
      <c r="T6369">
        <v>-0.15685679999999999</v>
      </c>
      <c r="U6369">
        <v>0.1148071</v>
      </c>
      <c r="V6369">
        <v>-8.5626789999999994E-2</v>
      </c>
      <c r="W6369">
        <v>0.18149489999999999</v>
      </c>
      <c r="X6369">
        <v>0.97965690000000005</v>
      </c>
      <c r="Y6369">
        <v>-0.1616969</v>
      </c>
      <c r="Z6369">
        <v>1.0451709999999999E-2</v>
      </c>
      <c r="AA6369">
        <v>0.98678509999999997</v>
      </c>
      <c r="AB6369">
        <v>26</v>
      </c>
      <c r="AC6369">
        <v>21.749099999999899</v>
      </c>
      <c r="AD6369">
        <v>-1.1116274000012001</v>
      </c>
      <c r="AE6369">
        <v>0.82885000000000197</v>
      </c>
      <c r="AF6369">
        <v>-3.53810163968974</v>
      </c>
      <c r="AG6369">
        <v>-1.1116274000012001</v>
      </c>
      <c r="AH6369">
        <v>21.4179921062135</v>
      </c>
      <c r="AI6369">
        <v>92.931417582143197</v>
      </c>
      <c r="AJ6369">
        <v>99.380147868967697</v>
      </c>
      <c r="AK6369">
        <v>21.7367031665576</v>
      </c>
      <c r="AL6369">
        <v>79.543154315878596</v>
      </c>
      <c r="AM6369">
        <v>94.995235767952295</v>
      </c>
      <c r="AN6369">
        <v>0.99999999380466198</v>
      </c>
    </row>
    <row r="6370" spans="1:40" x14ac:dyDescent="0.25">
      <c r="A6370" t="str">
        <f>"20190312172534562"</f>
        <v>20190312172534562</v>
      </c>
      <c r="B6370" t="str">
        <f>"1552382734557131"</f>
        <v>1552382734557131</v>
      </c>
      <c r="C6370" t="s">
        <v>40</v>
      </c>
      <c r="D6370">
        <v>3.5552069999999998</v>
      </c>
      <c r="E6370">
        <v>0.47778389999999998</v>
      </c>
      <c r="F6370" t="s">
        <v>56</v>
      </c>
      <c r="G6370">
        <v>-249.52199999999999</v>
      </c>
      <c r="H6370" s="1">
        <v>-3.1344840000000002E-6</v>
      </c>
      <c r="I6370">
        <v>-60.618369999999999</v>
      </c>
      <c r="J6370">
        <v>-272.1198</v>
      </c>
      <c r="K6370">
        <v>1.1116090000000001</v>
      </c>
      <c r="L6370">
        <v>-61.435850000000002</v>
      </c>
      <c r="M6370">
        <v>0.99240170000000005</v>
      </c>
      <c r="N6370">
        <v>0</v>
      </c>
      <c r="O6370">
        <v>-0.1230385</v>
      </c>
      <c r="P6370">
        <v>0.98245979999999999</v>
      </c>
      <c r="Q6370">
        <v>0.1826402</v>
      </c>
      <c r="R6370">
        <v>-3.7625850000000002E-2</v>
      </c>
      <c r="S6370">
        <v>3.0863649999999998</v>
      </c>
      <c r="T6370">
        <v>-0.1509132</v>
      </c>
      <c r="U6370">
        <v>0.10891720000000001</v>
      </c>
      <c r="V6370">
        <v>-8.4877240000000007E-2</v>
      </c>
      <c r="W6370">
        <v>0.18121590000000001</v>
      </c>
      <c r="X6370">
        <v>0.97977380000000003</v>
      </c>
      <c r="Y6370">
        <v>-0.1576273</v>
      </c>
      <c r="Z6370">
        <v>9.8527600000000003E-3</v>
      </c>
      <c r="AA6370">
        <v>0.98744949999999998</v>
      </c>
      <c r="AB6370">
        <v>27</v>
      </c>
      <c r="AC6370">
        <v>22.5977999999999</v>
      </c>
      <c r="AD6370">
        <v>-1.111612134484</v>
      </c>
      <c r="AE6370">
        <v>0.81748000000000298</v>
      </c>
      <c r="AF6370">
        <v>-3.5830099317175499</v>
      </c>
      <c r="AG6370">
        <v>-1.111612134484</v>
      </c>
      <c r="AH6370">
        <v>22.2716960476954</v>
      </c>
      <c r="AI6370">
        <v>92.821128432196105</v>
      </c>
      <c r="AJ6370">
        <v>99.139280119894295</v>
      </c>
      <c r="AK6370">
        <v>22.585439702366902</v>
      </c>
      <c r="AL6370">
        <v>79.559409702134801</v>
      </c>
      <c r="AM6370">
        <v>94.951139534752798</v>
      </c>
      <c r="AN6370">
        <v>1.00000002372463</v>
      </c>
    </row>
    <row r="6371" spans="1:40" x14ac:dyDescent="0.25">
      <c r="A6371" t="str">
        <f>"20190312172534572"</f>
        <v>20190312172534572</v>
      </c>
      <c r="B6371" t="str">
        <f>"1552382734566891"</f>
        <v>1552382734566891</v>
      </c>
      <c r="C6371" t="s">
        <v>40</v>
      </c>
      <c r="D6371">
        <v>3.566122</v>
      </c>
      <c r="E6371">
        <v>0.47817019999999999</v>
      </c>
      <c r="F6371" t="s">
        <v>56</v>
      </c>
      <c r="G6371">
        <v>-249.30439999999999</v>
      </c>
      <c r="H6371" s="1">
        <v>-3.0421480000000001E-6</v>
      </c>
      <c r="I6371">
        <v>-60.622120000000002</v>
      </c>
      <c r="J6371">
        <v>-271.99020000000002</v>
      </c>
      <c r="K6371">
        <v>1.1115870000000001</v>
      </c>
      <c r="L6371">
        <v>-61.449829999999999</v>
      </c>
      <c r="M6371">
        <v>0.99265800000000004</v>
      </c>
      <c r="N6371">
        <v>0</v>
      </c>
      <c r="O6371">
        <v>-0.1209524</v>
      </c>
      <c r="P6371">
        <v>0.98255680000000001</v>
      </c>
      <c r="Q6371">
        <v>0.1824009</v>
      </c>
      <c r="R6371">
        <v>-3.6222079999999997E-2</v>
      </c>
      <c r="S6371">
        <v>3.0857239999999999</v>
      </c>
      <c r="T6371">
        <v>-0.15034249999999999</v>
      </c>
      <c r="U6371">
        <v>0.1100464</v>
      </c>
      <c r="V6371">
        <v>-8.4213620000000003E-2</v>
      </c>
      <c r="W6371">
        <v>0.18099080000000001</v>
      </c>
      <c r="X6371">
        <v>0.97987259999999998</v>
      </c>
      <c r="Y6371">
        <v>-0.1559265</v>
      </c>
      <c r="Z6371">
        <v>9.6750629999999994E-3</v>
      </c>
      <c r="AA6371">
        <v>0.98772130000000002</v>
      </c>
      <c r="AB6371">
        <v>27</v>
      </c>
      <c r="AC6371">
        <v>22.6858</v>
      </c>
      <c r="AD6371">
        <v>-1.1115900421480001</v>
      </c>
      <c r="AE6371">
        <v>0.82771000000001005</v>
      </c>
      <c r="AF6371">
        <v>-3.5570071970378301</v>
      </c>
      <c r="AG6371">
        <v>-1.1115900421480001</v>
      </c>
      <c r="AH6371">
        <v>22.365507378810101</v>
      </c>
      <c r="AI6371">
        <v>92.810062459155901</v>
      </c>
      <c r="AJ6371">
        <v>99.036630171461496</v>
      </c>
      <c r="AK6371">
        <v>22.6738583600848</v>
      </c>
      <c r="AL6371">
        <v>79.572523141678602</v>
      </c>
      <c r="AM6371">
        <v>94.912125897795704</v>
      </c>
      <c r="AN6371">
        <v>0.99999995785445095</v>
      </c>
    </row>
    <row r="6372" spans="1:40" x14ac:dyDescent="0.25">
      <c r="A6372" t="str">
        <f>"20190312172534584"</f>
        <v>20190312172534584</v>
      </c>
      <c r="B6372" t="str">
        <f>"1552382734576651"</f>
        <v>1552382734576651</v>
      </c>
      <c r="C6372" t="s">
        <v>40</v>
      </c>
      <c r="D6372">
        <v>3.5476510000000001</v>
      </c>
      <c r="E6372">
        <v>0.4785026</v>
      </c>
      <c r="F6372" t="s">
        <v>56</v>
      </c>
      <c r="G6372">
        <v>-249.11750000000001</v>
      </c>
      <c r="H6372" s="1">
        <v>-2.9626869999999999E-6</v>
      </c>
      <c r="I6372">
        <v>-60.624870000000001</v>
      </c>
      <c r="J6372">
        <v>-271.85359999999997</v>
      </c>
      <c r="K6372">
        <v>1.1115649999999999</v>
      </c>
      <c r="L6372">
        <v>-61.464390000000002</v>
      </c>
      <c r="M6372">
        <v>0.99292130000000001</v>
      </c>
      <c r="N6372">
        <v>0</v>
      </c>
      <c r="O6372">
        <v>-0.1187725</v>
      </c>
      <c r="P6372">
        <v>0.98263789999999995</v>
      </c>
      <c r="Q6372">
        <v>0.18222849999999999</v>
      </c>
      <c r="R6372">
        <v>-3.4867879999999997E-2</v>
      </c>
      <c r="S6372">
        <v>3.0852050000000002</v>
      </c>
      <c r="T6372">
        <v>-0.14993770000000001</v>
      </c>
      <c r="U6372">
        <v>0.11126709999999999</v>
      </c>
      <c r="V6372">
        <v>-8.3406300000000003E-2</v>
      </c>
      <c r="W6372">
        <v>0.18083460000000001</v>
      </c>
      <c r="X6372">
        <v>0.97997049999999997</v>
      </c>
      <c r="Y6372">
        <v>-0.15415999999999999</v>
      </c>
      <c r="Z6372">
        <v>9.5023680000000006E-3</v>
      </c>
      <c r="AA6372">
        <v>0.9880002</v>
      </c>
      <c r="AB6372">
        <v>27</v>
      </c>
      <c r="AC6372">
        <v>22.736099999999901</v>
      </c>
      <c r="AD6372">
        <v>-1.1115679626870001</v>
      </c>
      <c r="AE6372">
        <v>0.83952000000000704</v>
      </c>
      <c r="AF6372">
        <v>-3.5255859125005999</v>
      </c>
      <c r="AG6372">
        <v>-1.1115679626870001</v>
      </c>
      <c r="AH6372">
        <v>22.421929760763099</v>
      </c>
      <c r="AI6372">
        <v>92.803724880039198</v>
      </c>
      <c r="AJ6372">
        <v>98.935926198433904</v>
      </c>
      <c r="AK6372">
        <v>22.7246182269073</v>
      </c>
      <c r="AL6372">
        <v>79.581623047086396</v>
      </c>
      <c r="AM6372">
        <v>94.864778857558704</v>
      </c>
      <c r="AN6372">
        <v>0.99999997215354897</v>
      </c>
    </row>
    <row r="6373" spans="1:40" x14ac:dyDescent="0.25">
      <c r="A6373" t="str">
        <f>"20190312172534596"</f>
        <v>20190312172534596</v>
      </c>
      <c r="B6373" t="str">
        <f>"1552382734586412"</f>
        <v>1552382734586412</v>
      </c>
      <c r="C6373" t="s">
        <v>40</v>
      </c>
      <c r="D6373">
        <v>3.5265499999999999</v>
      </c>
      <c r="E6373">
        <v>0.4785026</v>
      </c>
      <c r="F6373" t="s">
        <v>56</v>
      </c>
      <c r="G6373">
        <v>-248.96250000000001</v>
      </c>
      <c r="H6373" s="1">
        <v>-2.8971019999999998E-6</v>
      </c>
      <c r="I6373">
        <v>-60.628239999999998</v>
      </c>
      <c r="J6373">
        <v>-271.71719999999999</v>
      </c>
      <c r="K6373">
        <v>1.111545</v>
      </c>
      <c r="L6373">
        <v>-61.478670000000001</v>
      </c>
      <c r="M6373">
        <v>0.99317420000000001</v>
      </c>
      <c r="N6373">
        <v>0</v>
      </c>
      <c r="O6373">
        <v>-0.1166388</v>
      </c>
      <c r="P6373">
        <v>0.9827051</v>
      </c>
      <c r="Q6373">
        <v>0.18216830000000001</v>
      </c>
      <c r="R6373">
        <v>-3.3253360000000003E-2</v>
      </c>
      <c r="S6373">
        <v>3.0848080000000002</v>
      </c>
      <c r="T6373">
        <v>-0.14979519999999999</v>
      </c>
      <c r="U6373">
        <v>0.11267089999999901</v>
      </c>
      <c r="V6373">
        <v>-8.2902760000000006E-2</v>
      </c>
      <c r="W6373">
        <v>0.18079100000000001</v>
      </c>
      <c r="X6373">
        <v>0.98002129999999998</v>
      </c>
      <c r="Y6373">
        <v>-0.15249550000000001</v>
      </c>
      <c r="Z6373">
        <v>9.3510680000000006E-3</v>
      </c>
      <c r="AA6373">
        <v>0.98825989999999997</v>
      </c>
      <c r="AB6373">
        <v>27</v>
      </c>
      <c r="AC6373">
        <v>22.7546999999999</v>
      </c>
      <c r="AD6373">
        <v>-1.1115478971019901</v>
      </c>
      <c r="AE6373">
        <v>0.85042999999998803</v>
      </c>
      <c r="AF6373">
        <v>-3.4903894453350301</v>
      </c>
      <c r="AG6373">
        <v>-1.1115478971019901</v>
      </c>
      <c r="AH6373">
        <v>22.4467038092215</v>
      </c>
      <c r="AI6373">
        <v>92.801328277440504</v>
      </c>
      <c r="AJ6373">
        <v>98.838524710784</v>
      </c>
      <c r="AK6373">
        <v>22.743633595065099</v>
      </c>
      <c r="AL6373">
        <v>79.584163310474295</v>
      </c>
      <c r="AM6373">
        <v>94.835299461789702</v>
      </c>
      <c r="AN6373">
        <v>1.00000000087515</v>
      </c>
    </row>
    <row r="6374" spans="1:40" x14ac:dyDescent="0.25">
      <c r="A6374" t="str">
        <f>"20190312172534605"</f>
        <v>20190312172534605</v>
      </c>
      <c r="B6374" t="str">
        <f>"1552382734597148"</f>
        <v>1552382734597148</v>
      </c>
      <c r="C6374" t="s">
        <v>40</v>
      </c>
      <c r="D6374">
        <v>3.5274719999999999</v>
      </c>
      <c r="E6374">
        <v>0.47918690000000003</v>
      </c>
      <c r="F6374" t="s">
        <v>56</v>
      </c>
      <c r="G6374">
        <v>-248.8596</v>
      </c>
      <c r="H6374" s="1">
        <v>-2.8472419999999999E-6</v>
      </c>
      <c r="I6374">
        <v>-60.6068199999999</v>
      </c>
      <c r="J6374">
        <v>-271.59620000000001</v>
      </c>
      <c r="K6374">
        <v>1.1115219999999999</v>
      </c>
      <c r="L6374">
        <v>-61.49109</v>
      </c>
      <c r="M6374">
        <v>0.99339189999999999</v>
      </c>
      <c r="N6374">
        <v>0</v>
      </c>
      <c r="O6374">
        <v>-0.1147691</v>
      </c>
      <c r="P6374">
        <v>0.98272090000000001</v>
      </c>
      <c r="Q6374">
        <v>0.1822829</v>
      </c>
      <c r="R6374">
        <v>-3.2138930000000003E-2</v>
      </c>
      <c r="S6374">
        <v>3.0845950000000002</v>
      </c>
      <c r="T6374">
        <v>-0.150001</v>
      </c>
      <c r="U6374">
        <v>0.11764529999999999</v>
      </c>
      <c r="V6374">
        <v>-8.2159999999999997E-2</v>
      </c>
      <c r="W6374">
        <v>0.18092420000000001</v>
      </c>
      <c r="X6374">
        <v>0.98005929999999997</v>
      </c>
      <c r="Y6374">
        <v>-0.1522309</v>
      </c>
      <c r="Z6374">
        <v>9.2675029999999999E-3</v>
      </c>
      <c r="AA6374">
        <v>0.98830150000000005</v>
      </c>
      <c r="AB6374">
        <v>27</v>
      </c>
      <c r="AC6374">
        <v>22.736599999999999</v>
      </c>
      <c r="AD6374">
        <v>-1.1115248472419901</v>
      </c>
      <c r="AE6374">
        <v>0.88427000000000699</v>
      </c>
      <c r="AF6374">
        <v>-3.4795833558923799</v>
      </c>
      <c r="AG6374">
        <v>-1.1115248472419901</v>
      </c>
      <c r="AH6374">
        <v>22.431345356046901</v>
      </c>
      <c r="AI6374">
        <v>92.803344496489899</v>
      </c>
      <c r="AJ6374">
        <v>98.817529519949204</v>
      </c>
      <c r="AK6374">
        <v>22.726817689656599</v>
      </c>
      <c r="AL6374">
        <v>79.576403872853504</v>
      </c>
      <c r="AM6374">
        <v>94.791995738538404</v>
      </c>
      <c r="AN6374">
        <v>1.00000003163106</v>
      </c>
    </row>
    <row r="6375" spans="1:40" x14ac:dyDescent="0.25">
      <c r="A6375" t="str">
        <f>"20190312172534616"</f>
        <v>20190312172534616</v>
      </c>
      <c r="B6375" t="str">
        <f>"1552382734606908"</f>
        <v>1552382734606908</v>
      </c>
      <c r="C6375" t="s">
        <v>40</v>
      </c>
      <c r="D6375">
        <v>3.503253</v>
      </c>
      <c r="E6375">
        <v>0.47918690000000003</v>
      </c>
      <c r="F6375" t="s">
        <v>56</v>
      </c>
      <c r="G6375">
        <v>-248.7397</v>
      </c>
      <c r="H6375" s="1">
        <v>-2.8032250000000002E-6</v>
      </c>
      <c r="I6375">
        <v>-60.634599999999999</v>
      </c>
      <c r="J6375">
        <v>-271.45729999999998</v>
      </c>
      <c r="K6375">
        <v>1.111499</v>
      </c>
      <c r="L6375">
        <v>-61.505130000000001</v>
      </c>
      <c r="M6375">
        <v>0.99363360000000001</v>
      </c>
      <c r="N6375">
        <v>0</v>
      </c>
      <c r="O6375">
        <v>-0.1126572</v>
      </c>
      <c r="P6375">
        <v>0.98276790000000003</v>
      </c>
      <c r="Q6375">
        <v>0.1822751</v>
      </c>
      <c r="R6375">
        <v>-3.0714290000000002E-2</v>
      </c>
      <c r="S6375">
        <v>3.0843509999999998</v>
      </c>
      <c r="T6375">
        <v>-0.14999390000000001</v>
      </c>
      <c r="U6375">
        <v>0.1155701</v>
      </c>
      <c r="V6375">
        <v>-8.148822E-2</v>
      </c>
      <c r="W6375">
        <v>0.18093780000000001</v>
      </c>
      <c r="X6375">
        <v>0.98011289999999995</v>
      </c>
      <c r="Y6375">
        <v>-0.1494741</v>
      </c>
      <c r="Z6375">
        <v>9.0986729999999998E-3</v>
      </c>
      <c r="AA6375">
        <v>0.98872380000000004</v>
      </c>
      <c r="AB6375">
        <v>27</v>
      </c>
      <c r="AC6375">
        <v>22.717599999999901</v>
      </c>
      <c r="AD6375">
        <v>-1.1115018032249999</v>
      </c>
      <c r="AE6375">
        <v>0.87053000000000202</v>
      </c>
      <c r="AF6375">
        <v>-3.4161244622028399</v>
      </c>
      <c r="AG6375">
        <v>-1.1115018032249999</v>
      </c>
      <c r="AH6375">
        <v>22.421311838047199</v>
      </c>
      <c r="AI6375">
        <v>92.805700244814901</v>
      </c>
      <c r="AJ6375">
        <v>98.662995631169196</v>
      </c>
      <c r="AK6375">
        <v>22.707280047129998</v>
      </c>
      <c r="AL6375">
        <v>79.575611842553599</v>
      </c>
      <c r="AM6375">
        <v>94.752735560994694</v>
      </c>
      <c r="AN6375">
        <v>1.000000057107</v>
      </c>
    </row>
    <row r="6376" spans="1:40" x14ac:dyDescent="0.25">
      <c r="A6376" t="str">
        <f>"20190312172534629"</f>
        <v>20190312172534629</v>
      </c>
      <c r="B6376" t="str">
        <f>"1552382734626427"</f>
        <v>1552382734626427</v>
      </c>
      <c r="C6376" t="s">
        <v>40</v>
      </c>
      <c r="D6376">
        <v>3.4883700000000002</v>
      </c>
      <c r="E6376">
        <v>0.48357080000000002</v>
      </c>
      <c r="F6376" t="s">
        <v>56</v>
      </c>
      <c r="G6376">
        <v>-248.60640000000001</v>
      </c>
      <c r="H6376" s="1">
        <v>-2.741042E-6</v>
      </c>
      <c r="I6376">
        <v>-60.615769999999998</v>
      </c>
      <c r="J6376">
        <v>-271.32139999999998</v>
      </c>
      <c r="K6376">
        <v>1.1114759999999999</v>
      </c>
      <c r="L6376">
        <v>-61.518590000000003</v>
      </c>
      <c r="M6376">
        <v>0.99386160000000001</v>
      </c>
      <c r="N6376">
        <v>0</v>
      </c>
      <c r="O6376">
        <v>-0.11062909999999999</v>
      </c>
      <c r="P6376">
        <v>0.98283279999999995</v>
      </c>
      <c r="Q6376">
        <v>0.18218819999999999</v>
      </c>
      <c r="R6376">
        <v>-2.911037E-2</v>
      </c>
      <c r="S6376">
        <v>3.0841370000000001</v>
      </c>
      <c r="T6376">
        <v>-0.15001700000000001</v>
      </c>
      <c r="U6376">
        <v>0.1200256</v>
      </c>
      <c r="V6376">
        <v>-8.1080280000000005E-2</v>
      </c>
      <c r="W6376">
        <v>0.18087220000000001</v>
      </c>
      <c r="X6376">
        <v>0.9801588</v>
      </c>
      <c r="Y6376">
        <v>-0.1488881</v>
      </c>
      <c r="Z6376">
        <v>8.9881340000000001E-3</v>
      </c>
      <c r="AA6376">
        <v>0.98881319999999995</v>
      </c>
      <c r="AB6376">
        <v>27</v>
      </c>
      <c r="AC6376">
        <v>22.7149999999999</v>
      </c>
      <c r="AD6376">
        <v>-1.111478741042</v>
      </c>
      <c r="AE6376">
        <v>0.90282000000000495</v>
      </c>
      <c r="AF6376">
        <v>-3.4020859510760202</v>
      </c>
      <c r="AG6376">
        <v>-1.111478741042</v>
      </c>
      <c r="AH6376">
        <v>22.422091374617601</v>
      </c>
      <c r="AI6376">
        <v>92.805807577868194</v>
      </c>
      <c r="AJ6376">
        <v>98.627636563880799</v>
      </c>
      <c r="AK6376">
        <v>22.705940971956998</v>
      </c>
      <c r="AL6376">
        <v>79.579433097805804</v>
      </c>
      <c r="AM6376">
        <v>94.728830512431401</v>
      </c>
      <c r="AN6376">
        <v>1.00000001887757</v>
      </c>
    </row>
    <row r="6377" spans="1:40" x14ac:dyDescent="0.25">
      <c r="A6377" t="str">
        <f>"20190312172534640"</f>
        <v>20190312172534640</v>
      </c>
      <c r="B6377" t="str">
        <f>"1552382734637163"</f>
        <v>1552382734637163</v>
      </c>
      <c r="C6377" t="s">
        <v>40</v>
      </c>
      <c r="D6377">
        <v>3.2768999999999999</v>
      </c>
      <c r="E6377">
        <v>0.48328860000000001</v>
      </c>
      <c r="F6377" t="s">
        <v>56</v>
      </c>
      <c r="G6377">
        <v>-249.3451</v>
      </c>
      <c r="H6377" s="1">
        <v>-3.126891E-6</v>
      </c>
      <c r="I6377">
        <v>-60.875039999999998</v>
      </c>
      <c r="J6377">
        <v>-271.18340000000001</v>
      </c>
      <c r="K6377">
        <v>1.1114539999999999</v>
      </c>
      <c r="L6377">
        <v>-61.532069999999997</v>
      </c>
      <c r="M6377">
        <v>0.99408629999999998</v>
      </c>
      <c r="N6377">
        <v>0</v>
      </c>
      <c r="O6377">
        <v>-0.1085898</v>
      </c>
      <c r="P6377">
        <v>0.98292970000000002</v>
      </c>
      <c r="Q6377">
        <v>0.18185080000000001</v>
      </c>
      <c r="R6377">
        <v>-2.7919800000000002E-2</v>
      </c>
      <c r="S6377">
        <v>3.0839840000000001</v>
      </c>
      <c r="T6377">
        <v>-0.15597610000000001</v>
      </c>
      <c r="U6377">
        <v>9.0301510000000001E-2</v>
      </c>
      <c r="V6377">
        <v>-8.0252069999999995E-2</v>
      </c>
      <c r="W6377">
        <v>0.18056030000000001</v>
      </c>
      <c r="X6377">
        <v>0.9802845</v>
      </c>
      <c r="Y6377">
        <v>-0.13732459999999999</v>
      </c>
      <c r="Z6377">
        <v>8.9511319999999901E-3</v>
      </c>
      <c r="AA6377">
        <v>0.99048570000000002</v>
      </c>
      <c r="AB6377">
        <v>27</v>
      </c>
      <c r="AC6377">
        <v>21.8383</v>
      </c>
      <c r="AD6377">
        <v>-1.1114571268910001</v>
      </c>
      <c r="AE6377">
        <v>0.65702999999999101</v>
      </c>
      <c r="AF6377">
        <v>-3.0167549923010601</v>
      </c>
      <c r="AG6377">
        <v>-1.1114571268910001</v>
      </c>
      <c r="AH6377">
        <v>21.581962577520699</v>
      </c>
      <c r="AI6377">
        <v>92.919754719190394</v>
      </c>
      <c r="AJ6377">
        <v>97.957320854893197</v>
      </c>
      <c r="AK6377">
        <v>21.820111281246898</v>
      </c>
      <c r="AL6377">
        <v>79.597603230489099</v>
      </c>
      <c r="AM6377">
        <v>94.680145164571002</v>
      </c>
      <c r="AN6377">
        <v>1.00000005880781</v>
      </c>
    </row>
    <row r="6378" spans="1:40" x14ac:dyDescent="0.25">
      <c r="A6378" t="str">
        <f>"20190312172534717"</f>
        <v>20190312172534717</v>
      </c>
      <c r="B6378" t="str">
        <f>"1552382734706459"</f>
        <v>1552382734706459</v>
      </c>
      <c r="C6378" t="s">
        <v>40</v>
      </c>
      <c r="D6378">
        <v>3.5764629999999999</v>
      </c>
      <c r="E6378">
        <v>0.48089480000000001</v>
      </c>
      <c r="F6378" t="s">
        <v>43</v>
      </c>
      <c r="G6378">
        <v>-263.76100000000002</v>
      </c>
      <c r="H6378" s="1">
        <v>-8.5065799999999997E-7</v>
      </c>
      <c r="I6378">
        <v>-61.255290000000002</v>
      </c>
      <c r="J6378">
        <v>-270.21420000000001</v>
      </c>
      <c r="K6378">
        <v>1.111299</v>
      </c>
      <c r="L6378">
        <v>-61.619630000000001</v>
      </c>
      <c r="M6378">
        <v>0.99545410000000001</v>
      </c>
      <c r="N6378">
        <v>0</v>
      </c>
      <c r="O6378">
        <v>-9.5240779999999997E-2</v>
      </c>
      <c r="P6378">
        <v>0.98325589999999996</v>
      </c>
      <c r="Q6378">
        <v>0.18103549999999999</v>
      </c>
      <c r="R6378">
        <v>-2.0838590000000001E-2</v>
      </c>
      <c r="S6378">
        <v>3.142487</v>
      </c>
      <c r="T6378">
        <v>-0.47056700000000001</v>
      </c>
      <c r="U6378">
        <v>0.117157</v>
      </c>
      <c r="V6378">
        <v>-7.4101539999999994E-2</v>
      </c>
      <c r="W6378">
        <v>0.17997449999999901</v>
      </c>
      <c r="X6378">
        <v>0.98087619999999998</v>
      </c>
      <c r="Y6378">
        <v>-0.12975610000000001</v>
      </c>
      <c r="Z6378">
        <v>2.3825720000000002E-2</v>
      </c>
      <c r="AA6378">
        <v>0.99125960000000002</v>
      </c>
      <c r="AB6378">
        <v>28</v>
      </c>
      <c r="AC6378">
        <v>6.45320000000003</v>
      </c>
      <c r="AD6378">
        <v>-1.1112998506579901</v>
      </c>
      <c r="AE6378">
        <v>0.36434000000000499</v>
      </c>
      <c r="AF6378">
        <v>-0.94923078772441305</v>
      </c>
      <c r="AG6378">
        <v>-1.1112998506579901</v>
      </c>
      <c r="AH6378">
        <v>6.2057136794683903</v>
      </c>
      <c r="AI6378">
        <v>100.03839459717</v>
      </c>
      <c r="AJ6378">
        <v>98.696600246779596</v>
      </c>
      <c r="AK6378">
        <v>6.3754928215768203</v>
      </c>
      <c r="AL6378">
        <v>79.631725381269902</v>
      </c>
      <c r="AM6378">
        <v>94.320276053482004</v>
      </c>
      <c r="AN6378">
        <v>0.99999998930352996</v>
      </c>
    </row>
    <row r="6379" spans="1:40" x14ac:dyDescent="0.25">
      <c r="A6379" t="str">
        <f>"20190312172534729"</f>
        <v>20190312172534729</v>
      </c>
      <c r="B6379" t="str">
        <f>"1552382734726955"</f>
        <v>1552382734726955</v>
      </c>
      <c r="C6379" t="s">
        <v>40</v>
      </c>
      <c r="D6379">
        <v>3.4438170000000001</v>
      </c>
      <c r="E6379">
        <v>0.48240690000000003</v>
      </c>
      <c r="F6379" t="s">
        <v>43</v>
      </c>
      <c r="G6379">
        <v>-263.45089999999999</v>
      </c>
      <c r="H6379" s="1">
        <v>-7.2319350000000005E-7</v>
      </c>
      <c r="I6379">
        <v>-61.276200000000003</v>
      </c>
      <c r="J6379">
        <v>-270.06920000000002</v>
      </c>
      <c r="K6379">
        <v>1.1112759999999999</v>
      </c>
      <c r="L6379">
        <v>-61.631770000000003</v>
      </c>
      <c r="M6379">
        <v>0.99563109999999999</v>
      </c>
      <c r="N6379">
        <v>0</v>
      </c>
      <c r="O6379">
        <v>-9.3373860000000003E-2</v>
      </c>
      <c r="P6379">
        <v>0.98322370000000003</v>
      </c>
      <c r="Q6379">
        <v>0.18131549999999999</v>
      </c>
      <c r="R6379">
        <v>-1.989954E-2</v>
      </c>
      <c r="S6379">
        <v>3.1498110000000001</v>
      </c>
      <c r="T6379">
        <v>-0.51755980000000001</v>
      </c>
      <c r="U6379">
        <v>0.1599121</v>
      </c>
      <c r="V6379">
        <v>-7.3186520000000005E-2</v>
      </c>
      <c r="W6379">
        <v>0.18029390000000001</v>
      </c>
      <c r="X6379">
        <v>0.98088629999999999</v>
      </c>
      <c r="Y6379">
        <v>-0.14060520000000001</v>
      </c>
      <c r="Z6379">
        <v>2.6690640000000002E-2</v>
      </c>
      <c r="AA6379">
        <v>0.98970590000000003</v>
      </c>
      <c r="AB6379">
        <v>28</v>
      </c>
      <c r="AC6379">
        <v>6.6183000000000298</v>
      </c>
      <c r="AD6379">
        <v>-1.1112767231934999</v>
      </c>
      <c r="AE6379">
        <v>0.355569999999993</v>
      </c>
      <c r="AF6379">
        <v>-0.94541479170517195</v>
      </c>
      <c r="AG6379">
        <v>-1.1112767231934999</v>
      </c>
      <c r="AH6379">
        <v>6.3769133695530602</v>
      </c>
      <c r="AI6379">
        <v>99.7806077270196</v>
      </c>
      <c r="AJ6379">
        <v>98.433007961088506</v>
      </c>
      <c r="AK6379">
        <v>6.5416946739106603</v>
      </c>
      <c r="AL6379">
        <v>79.613121363837706</v>
      </c>
      <c r="AM6379">
        <v>94.267082952734398</v>
      </c>
      <c r="AN6379">
        <v>1.0000000453072999</v>
      </c>
    </row>
    <row r="6380" spans="1:40" x14ac:dyDescent="0.25">
      <c r="A6380" t="str">
        <f>"20190312172534740"</f>
        <v>20190312172534740</v>
      </c>
      <c r="B6380" t="str">
        <f>"1552382734736716"</f>
        <v>1552382734736716</v>
      </c>
      <c r="C6380" t="s">
        <v>40</v>
      </c>
      <c r="D6380">
        <v>3.6501890000000001</v>
      </c>
      <c r="E6380">
        <v>0.48320259999999998</v>
      </c>
      <c r="F6380" t="s">
        <v>43</v>
      </c>
      <c r="G6380">
        <v>-262.86320000000001</v>
      </c>
      <c r="H6380" s="1">
        <v>-4.7512360000000002E-7</v>
      </c>
      <c r="I6380">
        <v>-61.291519999999998</v>
      </c>
      <c r="J6380">
        <v>-269.92779999999999</v>
      </c>
      <c r="K6380">
        <v>1.111254</v>
      </c>
      <c r="L6380">
        <v>-61.643430000000002</v>
      </c>
      <c r="M6380">
        <v>0.99579859999999998</v>
      </c>
      <c r="N6380">
        <v>0</v>
      </c>
      <c r="O6380">
        <v>-9.1569059999999994E-2</v>
      </c>
      <c r="P6380">
        <v>0.98324199999999995</v>
      </c>
      <c r="Q6380">
        <v>0.18132709999999999</v>
      </c>
      <c r="R6380">
        <v>-1.8867740000000001E-2</v>
      </c>
      <c r="S6380">
        <v>3.1435849999999999</v>
      </c>
      <c r="T6380">
        <v>-0.48479080000000002</v>
      </c>
      <c r="U6380">
        <v>0.14840699999999901</v>
      </c>
      <c r="V6380">
        <v>-7.2428580000000006E-2</v>
      </c>
      <c r="W6380">
        <v>0.18034410000000001</v>
      </c>
      <c r="X6380">
        <v>0.98093330000000001</v>
      </c>
      <c r="Y6380">
        <v>-0.13574420000000001</v>
      </c>
      <c r="Z6380">
        <v>2.4423199999999999E-2</v>
      </c>
      <c r="AA6380">
        <v>0.99044290000000001</v>
      </c>
      <c r="AB6380">
        <v>28</v>
      </c>
      <c r="AC6380">
        <v>7.06459999999998</v>
      </c>
      <c r="AD6380">
        <v>-1.1112544751236</v>
      </c>
      <c r="AE6380">
        <v>0.351910000000003</v>
      </c>
      <c r="AF6380">
        <v>-0.973307481925902</v>
      </c>
      <c r="AG6380">
        <v>-1.1112544751236</v>
      </c>
      <c r="AH6380">
        <v>6.8340201781423797</v>
      </c>
      <c r="AI6380">
        <v>99.145117546771999</v>
      </c>
      <c r="AJ6380">
        <v>98.105607341344907</v>
      </c>
      <c r="AK6380">
        <v>6.9918556734326502</v>
      </c>
      <c r="AL6380">
        <v>79.610196878766402</v>
      </c>
      <c r="AM6380">
        <v>94.222850949055299</v>
      </c>
      <c r="AN6380">
        <v>1.00000001632725</v>
      </c>
    </row>
    <row r="6381" spans="1:40" x14ac:dyDescent="0.25">
      <c r="A6381" t="str">
        <f>"20190312172534752"</f>
        <v>20190312172534752</v>
      </c>
      <c r="B6381" t="str">
        <f>"1552382734746475"</f>
        <v>1552382734746475</v>
      </c>
      <c r="C6381" t="s">
        <v>40</v>
      </c>
      <c r="D6381">
        <v>4.0644239999999998</v>
      </c>
      <c r="E6381">
        <v>0.48320259999999998</v>
      </c>
      <c r="F6381" t="s">
        <v>54</v>
      </c>
      <c r="G6381">
        <v>-262.2799</v>
      </c>
      <c r="H6381" s="1">
        <v>-2.256982E-7</v>
      </c>
      <c r="I6381">
        <v>-61.294530000000002</v>
      </c>
      <c r="J6381">
        <v>-269.7774</v>
      </c>
      <c r="K6381">
        <v>1.1112310000000001</v>
      </c>
      <c r="L6381">
        <v>-61.65549</v>
      </c>
      <c r="M6381">
        <v>0.99596799999999996</v>
      </c>
      <c r="N6381">
        <v>0</v>
      </c>
      <c r="O6381">
        <v>-8.9706640000000004E-2</v>
      </c>
      <c r="P6381">
        <v>0.98328709999999997</v>
      </c>
      <c r="Q6381">
        <v>0.18117820000000001</v>
      </c>
      <c r="R6381">
        <v>-1.7915779999999999E-2</v>
      </c>
      <c r="S6381">
        <v>3.1379700000000001</v>
      </c>
      <c r="T6381">
        <v>-0.45595380000000002</v>
      </c>
      <c r="U6381">
        <v>0.14312739999999999</v>
      </c>
      <c r="V6381">
        <v>-7.1534680000000003E-2</v>
      </c>
      <c r="W6381">
        <v>0.18023900000000001</v>
      </c>
      <c r="X6381">
        <v>0.98101819999999895</v>
      </c>
      <c r="Y6381">
        <v>-0.13266310000000001</v>
      </c>
      <c r="Z6381">
        <v>2.2536170000000001E-2</v>
      </c>
      <c r="AA6381">
        <v>0.99090489999999998</v>
      </c>
      <c r="AB6381">
        <v>28</v>
      </c>
      <c r="AC6381">
        <v>7.4974999999999996</v>
      </c>
      <c r="AD6381">
        <v>-1.11123122569819</v>
      </c>
      <c r="AE6381">
        <v>0.360959999999998</v>
      </c>
      <c r="AF6381">
        <v>-1.00994593848917</v>
      </c>
      <c r="AG6381">
        <v>-1.11123122569819</v>
      </c>
      <c r="AH6381">
        <v>7.2754393918253903</v>
      </c>
      <c r="AI6381">
        <v>98.602849764985095</v>
      </c>
      <c r="AJ6381">
        <v>97.903054221335395</v>
      </c>
      <c r="AK6381">
        <v>7.4287848252430901</v>
      </c>
      <c r="AL6381">
        <v>79.616318900882803</v>
      </c>
      <c r="AM6381">
        <v>94.170558694851096</v>
      </c>
      <c r="AN6381">
        <v>1.00000000814747</v>
      </c>
    </row>
    <row r="6382" spans="1:40" x14ac:dyDescent="0.25">
      <c r="A6382" t="str">
        <f>"20190312172534764"</f>
        <v>20190312172534764</v>
      </c>
      <c r="B6382" t="str">
        <f>"1552382734756235"</f>
        <v>1552382734756235</v>
      </c>
      <c r="C6382" t="s">
        <v>40</v>
      </c>
      <c r="D6382">
        <v>3.5259870000000002</v>
      </c>
      <c r="E6382">
        <v>0.49540059999999903</v>
      </c>
      <c r="F6382" t="s">
        <v>54</v>
      </c>
      <c r="G6382">
        <v>-262.13959999999997</v>
      </c>
      <c r="H6382" s="1">
        <v>-1.6715909999999999E-7</v>
      </c>
      <c r="I6382">
        <v>-61.300710000000002</v>
      </c>
      <c r="J6382">
        <v>-269.63310000000001</v>
      </c>
      <c r="K6382">
        <v>1.1112089999999999</v>
      </c>
      <c r="L6382">
        <v>-61.666930000000001</v>
      </c>
      <c r="M6382">
        <v>0.99612639999999997</v>
      </c>
      <c r="N6382">
        <v>0</v>
      </c>
      <c r="O6382">
        <v>-8.7934479999999995E-2</v>
      </c>
      <c r="P6382">
        <v>0.98332039999999998</v>
      </c>
      <c r="Q6382">
        <v>0.1810774</v>
      </c>
      <c r="R6382">
        <v>-1.709068E-2</v>
      </c>
      <c r="S6382">
        <v>3.137756</v>
      </c>
      <c r="T6382">
        <v>-0.4565148</v>
      </c>
      <c r="U6382">
        <v>0.1457214</v>
      </c>
      <c r="V6382">
        <v>-7.060263E-2</v>
      </c>
      <c r="W6382">
        <v>0.1801808</v>
      </c>
      <c r="X6382">
        <v>0.98109639999999998</v>
      </c>
      <c r="Y6382">
        <v>-0.1317429</v>
      </c>
      <c r="Z6382">
        <v>2.2242430000000001E-2</v>
      </c>
      <c r="AA6382">
        <v>0.99103430000000003</v>
      </c>
      <c r="AB6382">
        <v>29</v>
      </c>
      <c r="AC6382">
        <v>7.49350000000004</v>
      </c>
      <c r="AD6382">
        <v>-1.1112091671591</v>
      </c>
      <c r="AE6382">
        <v>0.36622000000001198</v>
      </c>
      <c r="AF6382">
        <v>-1.00176218548173</v>
      </c>
      <c r="AG6382">
        <v>-1.1112091671591</v>
      </c>
      <c r="AH6382">
        <v>7.2727237628648798</v>
      </c>
      <c r="AI6382">
        <v>98.607080442887494</v>
      </c>
      <c r="AJ6382">
        <v>97.842704997032698</v>
      </c>
      <c r="AK6382">
        <v>7.4250134155016303</v>
      </c>
      <c r="AL6382">
        <v>79.619708922363799</v>
      </c>
      <c r="AM6382">
        <v>94.116080093132496</v>
      </c>
      <c r="AN6382">
        <v>0.99999999907225801</v>
      </c>
    </row>
    <row r="6383" spans="1:40" x14ac:dyDescent="0.25">
      <c r="A6383" t="str">
        <f>"20190312172534773"</f>
        <v>20190312172534773</v>
      </c>
      <c r="B6383" t="str">
        <f>"1552382734766973"</f>
        <v>1552382734766973</v>
      </c>
      <c r="C6383" t="s">
        <v>40</v>
      </c>
      <c r="D6383">
        <v>3.6829190000000001</v>
      </c>
      <c r="E6383">
        <v>0.49215619999999999</v>
      </c>
      <c r="F6383" t="s">
        <v>57</v>
      </c>
      <c r="G6383">
        <v>-217.5078</v>
      </c>
      <c r="H6383" s="1">
        <v>-2.4175810000000001E-6</v>
      </c>
      <c r="I6383">
        <v>-61.239510000000003</v>
      </c>
      <c r="J6383">
        <v>-269.49310000000003</v>
      </c>
      <c r="K6383">
        <v>1.111186</v>
      </c>
      <c r="L6383">
        <v>-61.677700000000002</v>
      </c>
      <c r="M6383">
        <v>0.99627270000000001</v>
      </c>
      <c r="N6383">
        <v>0</v>
      </c>
      <c r="O6383">
        <v>-8.6259829999999996E-2</v>
      </c>
      <c r="P6383">
        <v>0.98331420000000003</v>
      </c>
      <c r="Q6383">
        <v>0.1811913</v>
      </c>
      <c r="R6383">
        <v>-1.6218079999999999E-2</v>
      </c>
      <c r="S6383">
        <v>3.0633849999999998</v>
      </c>
      <c r="T6383">
        <v>-6.5305470000000004E-2</v>
      </c>
      <c r="U6383">
        <v>2.5115970000000001E-2</v>
      </c>
      <c r="V6383">
        <v>-6.9812769999999996E-2</v>
      </c>
      <c r="W6383">
        <v>0.1803361</v>
      </c>
      <c r="X6383">
        <v>0.98112440000000001</v>
      </c>
      <c r="Y6383">
        <v>-9.4383869999999995E-2</v>
      </c>
      <c r="Z6383">
        <v>2.84301E-3</v>
      </c>
      <c r="AA6383">
        <v>0.99553179999999997</v>
      </c>
      <c r="AB6383">
        <v>29</v>
      </c>
      <c r="AC6383">
        <v>51.985300000000002</v>
      </c>
      <c r="AD6383">
        <v>-1.1111884175810001</v>
      </c>
      <c r="AE6383">
        <v>0.43819000000000502</v>
      </c>
      <c r="AF6383">
        <v>-4.9185526577605696</v>
      </c>
      <c r="AG6383">
        <v>-1.1111884175810001</v>
      </c>
      <c r="AH6383">
        <v>51.7301022442511</v>
      </c>
      <c r="AI6383">
        <v>91.225029474244906</v>
      </c>
      <c r="AJ6383">
        <v>95.431414991964601</v>
      </c>
      <c r="AK6383">
        <v>51.975286224774202</v>
      </c>
      <c r="AL6383">
        <v>79.610662819520002</v>
      </c>
      <c r="AM6383">
        <v>94.070071716977594</v>
      </c>
      <c r="AN6383">
        <v>1.00000001004682</v>
      </c>
    </row>
    <row r="6384" spans="1:40" x14ac:dyDescent="0.25">
      <c r="A6384" t="str">
        <f>"20190312172534785"</f>
        <v>20190312172534785</v>
      </c>
      <c r="B6384" t="str">
        <f>"1552382734776732"</f>
        <v>1552382734776732</v>
      </c>
      <c r="C6384" t="s">
        <v>40</v>
      </c>
      <c r="D6384">
        <v>3.5162439999999999</v>
      </c>
      <c r="E6384">
        <v>0.4915677</v>
      </c>
      <c r="F6384" t="s">
        <v>58</v>
      </c>
      <c r="G6384">
        <v>-232.85300000000001</v>
      </c>
      <c r="H6384" s="1">
        <v>-3.7961889999999999E-7</v>
      </c>
      <c r="I6384">
        <v>-61.017090000000003</v>
      </c>
      <c r="J6384">
        <v>-269.35149999999999</v>
      </c>
      <c r="K6384">
        <v>1.111164</v>
      </c>
      <c r="L6384">
        <v>-61.688479999999998</v>
      </c>
      <c r="M6384">
        <v>0.99641619999999997</v>
      </c>
      <c r="N6384">
        <v>0</v>
      </c>
      <c r="O6384">
        <v>-8.458591E-2</v>
      </c>
      <c r="P6384">
        <v>0.98330379999999995</v>
      </c>
      <c r="Q6384">
        <v>0.18132390000000001</v>
      </c>
      <c r="R6384">
        <v>-1.5349140000000001E-2</v>
      </c>
      <c r="S6384">
        <v>3.069</v>
      </c>
      <c r="T6384">
        <v>-9.3073729999999993E-2</v>
      </c>
      <c r="U6384">
        <v>5.5328370000000002E-2</v>
      </c>
      <c r="V6384">
        <v>-6.9019849999999994E-2</v>
      </c>
      <c r="W6384">
        <v>0.18051200000000001</v>
      </c>
      <c r="X6384">
        <v>0.98114809999999997</v>
      </c>
      <c r="Y6384">
        <v>-0.10244689999999999</v>
      </c>
      <c r="Z6384">
        <v>4.1156020000000003E-3</v>
      </c>
      <c r="AA6384">
        <v>0.99472989999999994</v>
      </c>
      <c r="AB6384">
        <v>29</v>
      </c>
      <c r="AC6384">
        <v>36.4985</v>
      </c>
      <c r="AD6384">
        <v>-1.1111643796188999</v>
      </c>
      <c r="AE6384">
        <v>0.67139000000000204</v>
      </c>
      <c r="AF6384">
        <v>-3.75276562016347</v>
      </c>
      <c r="AG6384">
        <v>-1.1111643796188999</v>
      </c>
      <c r="AH6384">
        <v>36.277294167472697</v>
      </c>
      <c r="AI6384">
        <v>91.745100082152206</v>
      </c>
      <c r="AJ6384">
        <v>95.906050613168404</v>
      </c>
      <c r="AK6384">
        <v>36.487806294593298</v>
      </c>
      <c r="AL6384">
        <v>79.60041578869</v>
      </c>
      <c r="AM6384">
        <v>94.023900473132599</v>
      </c>
      <c r="AN6384">
        <v>0.99999995798581498</v>
      </c>
    </row>
    <row r="6385" spans="1:40" x14ac:dyDescent="0.25">
      <c r="A6385" t="str">
        <f>"20190312172534796"</f>
        <v>20190312172534796</v>
      </c>
      <c r="B6385" t="str">
        <f>"1552382734786492"</f>
        <v>1552382734786492</v>
      </c>
      <c r="C6385" t="s">
        <v>40</v>
      </c>
      <c r="D6385">
        <v>3.5288379999999999</v>
      </c>
      <c r="E6385">
        <v>0.49122070000000001</v>
      </c>
      <c r="F6385" t="s">
        <v>58</v>
      </c>
      <c r="G6385">
        <v>-237.42660000000001</v>
      </c>
      <c r="H6385" s="1">
        <v>-2.345329E-6</v>
      </c>
      <c r="I6385">
        <v>-61.030900000000003</v>
      </c>
      <c r="J6385">
        <v>-269.20639999999997</v>
      </c>
      <c r="K6385">
        <v>1.11114</v>
      </c>
      <c r="L6385">
        <v>-61.699280000000002</v>
      </c>
      <c r="M6385">
        <v>0.99655760000000004</v>
      </c>
      <c r="N6385">
        <v>0</v>
      </c>
      <c r="O6385">
        <v>-8.2904469999999994E-2</v>
      </c>
      <c r="P6385">
        <v>0.98329809999999995</v>
      </c>
      <c r="Q6385">
        <v>0.1814132</v>
      </c>
      <c r="R6385">
        <v>-1.4643410000000001E-2</v>
      </c>
      <c r="S6385">
        <v>3.0716549999999998</v>
      </c>
      <c r="T6385">
        <v>-0.1069108</v>
      </c>
      <c r="U6385">
        <v>6.3262940000000004E-2</v>
      </c>
      <c r="V6385">
        <v>-6.8057140000000002E-2</v>
      </c>
      <c r="W6385">
        <v>0.180647</v>
      </c>
      <c r="X6385">
        <v>0.98119060000000002</v>
      </c>
      <c r="Y6385">
        <v>-0.1032947</v>
      </c>
      <c r="Z6385">
        <v>4.6793729999999997E-3</v>
      </c>
      <c r="AA6385">
        <v>0.99463979999999996</v>
      </c>
      <c r="AB6385">
        <v>29</v>
      </c>
      <c r="AC6385">
        <v>31.779799999999899</v>
      </c>
      <c r="AD6385">
        <v>-1.1111423453289999</v>
      </c>
      <c r="AE6385">
        <v>0.66837999999999897</v>
      </c>
      <c r="AF6385">
        <v>-3.2967379413678901</v>
      </c>
      <c r="AG6385">
        <v>-1.1111423453289999</v>
      </c>
      <c r="AH6385">
        <v>31.576402308244901</v>
      </c>
      <c r="AI6385">
        <v>92.004464013855795</v>
      </c>
      <c r="AJ6385">
        <v>95.960378201573505</v>
      </c>
      <c r="AK6385">
        <v>31.7674723750218</v>
      </c>
      <c r="AL6385">
        <v>79.592552575699699</v>
      </c>
      <c r="AM6385">
        <v>93.967783103990996</v>
      </c>
      <c r="AN6385">
        <v>1.0000000532211599</v>
      </c>
    </row>
    <row r="6386" spans="1:40" x14ac:dyDescent="0.25">
      <c r="A6386" t="str">
        <f>"20190312172534806"</f>
        <v>20190312172534806</v>
      </c>
      <c r="B6386" t="str">
        <f>"1552382734797228"</f>
        <v>1552382734797228</v>
      </c>
      <c r="C6386" t="s">
        <v>40</v>
      </c>
      <c r="D6386">
        <v>3.514424</v>
      </c>
      <c r="E6386">
        <v>0.4913476</v>
      </c>
      <c r="F6386" t="s">
        <v>58</v>
      </c>
      <c r="G6386">
        <v>-239.88159999999999</v>
      </c>
      <c r="H6386" s="1">
        <v>-3.353876E-6</v>
      </c>
      <c r="I6386">
        <v>-61.043489999999998</v>
      </c>
      <c r="J6386">
        <v>-269.07420000000002</v>
      </c>
      <c r="K6386">
        <v>1.1111180000000001</v>
      </c>
      <c r="L6386">
        <v>-61.7089199999999</v>
      </c>
      <c r="M6386">
        <v>0.99668140000000005</v>
      </c>
      <c r="N6386">
        <v>0</v>
      </c>
      <c r="O6386">
        <v>-8.1400920000000002E-2</v>
      </c>
      <c r="P6386">
        <v>0.98331690000000005</v>
      </c>
      <c r="Q6386">
        <v>0.18136559999999999</v>
      </c>
      <c r="R6386">
        <v>-1.3948810000000001E-2</v>
      </c>
      <c r="S6386">
        <v>3.0734560000000002</v>
      </c>
      <c r="T6386">
        <v>-0.1164563</v>
      </c>
      <c r="U6386">
        <v>6.8725590000000003E-2</v>
      </c>
      <c r="V6386">
        <v>-6.7260429999999996E-2</v>
      </c>
      <c r="W6386">
        <v>0.180641</v>
      </c>
      <c r="X6386">
        <v>0.98124659999999997</v>
      </c>
      <c r="Y6386">
        <v>-0.1035292</v>
      </c>
      <c r="Z6386">
        <v>5.0414739999999998E-3</v>
      </c>
      <c r="AA6386">
        <v>0.99461359999999999</v>
      </c>
      <c r="AB6386">
        <v>29</v>
      </c>
      <c r="AC6386">
        <v>29.192599999999999</v>
      </c>
      <c r="AD6386">
        <v>-1.1111213538760001</v>
      </c>
      <c r="AE6386">
        <v>0.66542999999998598</v>
      </c>
      <c r="AF6386">
        <v>-3.03513161703335</v>
      </c>
      <c r="AG6386">
        <v>-1.1111213538760001</v>
      </c>
      <c r="AH6386">
        <v>28.999566188249499</v>
      </c>
      <c r="AI6386">
        <v>92.182312020309695</v>
      </c>
      <c r="AJ6386">
        <v>95.974896484747205</v>
      </c>
      <c r="AK6386">
        <v>29.1791270209103</v>
      </c>
      <c r="AL6386">
        <v>79.592901679068504</v>
      </c>
      <c r="AM6386">
        <v>93.921256977311401</v>
      </c>
      <c r="AN6386">
        <v>1.0000000131681701</v>
      </c>
    </row>
    <row r="6387" spans="1:40" x14ac:dyDescent="0.25">
      <c r="A6387" t="str">
        <f>"20190312172534817"</f>
        <v>20190312172534817</v>
      </c>
      <c r="B6387" t="str">
        <f>"1552382734806988"</f>
        <v>1552382734806988</v>
      </c>
      <c r="C6387" t="s">
        <v>40</v>
      </c>
      <c r="D6387">
        <v>3.5244390000000001</v>
      </c>
      <c r="E6387">
        <v>0.4912434</v>
      </c>
      <c r="F6387" t="s">
        <v>56</v>
      </c>
      <c r="G6387">
        <v>-240.62799999999999</v>
      </c>
      <c r="H6387" s="1">
        <v>5.6305110000000002E-7</v>
      </c>
      <c r="I6387">
        <v>-61.061599999999999</v>
      </c>
      <c r="J6387">
        <v>-268.923</v>
      </c>
      <c r="K6387">
        <v>1.111094</v>
      </c>
      <c r="L6387">
        <v>-61.719760000000001</v>
      </c>
      <c r="M6387">
        <v>0.99681839999999999</v>
      </c>
      <c r="N6387">
        <v>0</v>
      </c>
      <c r="O6387">
        <v>-7.9707429999999996E-2</v>
      </c>
      <c r="P6387">
        <v>0.98335790000000001</v>
      </c>
      <c r="Q6387">
        <v>0.18120829999999999</v>
      </c>
      <c r="R6387">
        <v>-1.3066360000000001E-2</v>
      </c>
      <c r="S6387">
        <v>3.074036</v>
      </c>
      <c r="T6387">
        <v>-0.1200727</v>
      </c>
      <c r="U6387">
        <v>6.9946289999999994E-2</v>
      </c>
      <c r="V6387">
        <v>-6.6464449999999994E-2</v>
      </c>
      <c r="W6387">
        <v>0.18053169999999999</v>
      </c>
      <c r="X6387">
        <v>0.98132090000000005</v>
      </c>
      <c r="Y6387">
        <v>-0.1022238</v>
      </c>
      <c r="Z6387">
        <v>5.1054580000000002E-3</v>
      </c>
      <c r="AA6387">
        <v>0.99474830000000003</v>
      </c>
      <c r="AB6387">
        <v>29</v>
      </c>
      <c r="AC6387">
        <v>28.295000000000002</v>
      </c>
      <c r="AD6387">
        <v>-1.1110934369488901</v>
      </c>
      <c r="AE6387">
        <v>0.65816000000000197</v>
      </c>
      <c r="AF6387">
        <v>-2.9069074428131199</v>
      </c>
      <c r="AG6387">
        <v>-1.1110934369488901</v>
      </c>
      <c r="AH6387">
        <v>28.109192936722302</v>
      </c>
      <c r="AI6387">
        <v>92.251599875518806</v>
      </c>
      <c r="AJ6387">
        <v>95.904245159064899</v>
      </c>
      <c r="AK6387">
        <v>28.280936460106702</v>
      </c>
      <c r="AL6387">
        <v>79.599268264017496</v>
      </c>
      <c r="AM6387">
        <v>93.874701371973501</v>
      </c>
      <c r="AN6387">
        <v>0.99999996329774998</v>
      </c>
    </row>
    <row r="6388" spans="1:40" x14ac:dyDescent="0.25">
      <c r="A6388" t="str">
        <f>"20190312172534829"</f>
        <v>20190312172534829</v>
      </c>
      <c r="B6388" t="str">
        <f>"1552382734826507"</f>
        <v>1552382734826507</v>
      </c>
      <c r="C6388" t="s">
        <v>40</v>
      </c>
      <c r="D6388">
        <v>3.5077410000000002</v>
      </c>
      <c r="E6388">
        <v>0.49065520000000001</v>
      </c>
      <c r="F6388" t="s">
        <v>56</v>
      </c>
      <c r="G6388">
        <v>-241.65299999999999</v>
      </c>
      <c r="H6388" s="1">
        <v>1.219825E-7</v>
      </c>
      <c r="I6388">
        <v>-61.066600000000001</v>
      </c>
      <c r="J6388">
        <v>-268.77730000000003</v>
      </c>
      <c r="K6388">
        <v>1.1110690000000001</v>
      </c>
      <c r="L6388">
        <v>-61.7299199999999</v>
      </c>
      <c r="M6388">
        <v>0.9969441</v>
      </c>
      <c r="N6388">
        <v>0</v>
      </c>
      <c r="O6388">
        <v>-7.81192E-2</v>
      </c>
      <c r="P6388">
        <v>0.98339829999999995</v>
      </c>
      <c r="Q6388">
        <v>0.18103849999999999</v>
      </c>
      <c r="R6388">
        <v>-1.235498E-2</v>
      </c>
      <c r="S6388">
        <v>3.0747990000000001</v>
      </c>
      <c r="T6388">
        <v>-0.12528010000000001</v>
      </c>
      <c r="U6388">
        <v>7.3638919999999997E-2</v>
      </c>
      <c r="V6388">
        <v>-6.5600740000000005E-2</v>
      </c>
      <c r="W6388">
        <v>0.18040929999999999</v>
      </c>
      <c r="X6388">
        <v>0.98140159999999999</v>
      </c>
      <c r="Y6388">
        <v>-0.1018168</v>
      </c>
      <c r="Z6388">
        <v>5.2525000000000002E-3</v>
      </c>
      <c r="AA6388">
        <v>0.99478929999999999</v>
      </c>
      <c r="AB6388">
        <v>29</v>
      </c>
      <c r="AC6388">
        <v>27.124300000000002</v>
      </c>
      <c r="AD6388">
        <v>-1.1110688780175</v>
      </c>
      <c r="AE6388">
        <v>0.66331999999999103</v>
      </c>
      <c r="AF6388">
        <v>-2.7755670435776798</v>
      </c>
      <c r="AG6388">
        <v>-1.1110688780175</v>
      </c>
      <c r="AH6388">
        <v>26.944407950083701</v>
      </c>
      <c r="AI6388">
        <v>92.348872889236603</v>
      </c>
      <c r="AJ6388">
        <v>95.881344144964899</v>
      </c>
      <c r="AK6388">
        <v>27.109765145527</v>
      </c>
      <c r="AL6388">
        <v>79.606399110530006</v>
      </c>
      <c r="AM6388">
        <v>93.824186224666207</v>
      </c>
      <c r="AN6388">
        <v>1.00000003654879</v>
      </c>
    </row>
    <row r="6389" spans="1:40" x14ac:dyDescent="0.25">
      <c r="A6389" t="str">
        <f>"20190312172534841"</f>
        <v>20190312172534841</v>
      </c>
      <c r="B6389" t="str">
        <f>"1552382734836267"</f>
        <v>1552382734836267</v>
      </c>
      <c r="C6389" t="s">
        <v>40</v>
      </c>
      <c r="D6389">
        <v>3.5069499999999998</v>
      </c>
      <c r="E6389">
        <v>0.4905332</v>
      </c>
      <c r="F6389" t="s">
        <v>56</v>
      </c>
      <c r="G6389">
        <v>-243.30670000000001</v>
      </c>
      <c r="H6389" s="1">
        <v>-5.8600340000000003E-7</v>
      </c>
      <c r="I6389">
        <v>-61.06129</v>
      </c>
      <c r="J6389">
        <v>-268.6266</v>
      </c>
      <c r="K6389">
        <v>1.1110450000000001</v>
      </c>
      <c r="L6389">
        <v>-61.740360000000003</v>
      </c>
      <c r="M6389">
        <v>0.99707040000000002</v>
      </c>
      <c r="N6389">
        <v>0</v>
      </c>
      <c r="O6389">
        <v>-7.6491989999999996E-2</v>
      </c>
      <c r="P6389">
        <v>0.98343230000000004</v>
      </c>
      <c r="Q6389">
        <v>0.1809106</v>
      </c>
      <c r="R6389">
        <v>-1.1526170000000001E-2</v>
      </c>
      <c r="S6389">
        <v>3.076355</v>
      </c>
      <c r="T6389">
        <v>-0.13419529999999999</v>
      </c>
      <c r="U6389">
        <v>8.0749509999999997E-2</v>
      </c>
      <c r="V6389">
        <v>-6.4815479999999995E-2</v>
      </c>
      <c r="W6389">
        <v>0.18032999999999999</v>
      </c>
      <c r="X6389">
        <v>0.98146829999999996</v>
      </c>
      <c r="Y6389">
        <v>-0.1024581</v>
      </c>
      <c r="Z6389">
        <v>5.5661720000000003E-3</v>
      </c>
      <c r="AA6389">
        <v>0.99472179999999999</v>
      </c>
      <c r="AB6389">
        <v>29</v>
      </c>
      <c r="AC6389">
        <v>25.319899999999901</v>
      </c>
      <c r="AD6389">
        <v>-1.1110455860033901</v>
      </c>
      <c r="AE6389">
        <v>0.67906999999999496</v>
      </c>
      <c r="AF6389">
        <v>-2.6088299538501998</v>
      </c>
      <c r="AG6389">
        <v>-1.1110455860033901</v>
      </c>
      <c r="AH6389">
        <v>25.145392042597202</v>
      </c>
      <c r="AI6389">
        <v>92.516470422993507</v>
      </c>
      <c r="AJ6389">
        <v>95.923234982339395</v>
      </c>
      <c r="AK6389">
        <v>25.304765499766901</v>
      </c>
      <c r="AL6389">
        <v>79.611017934680604</v>
      </c>
      <c r="AM6389">
        <v>93.778286966087506</v>
      </c>
      <c r="AN6389">
        <v>0.99999998962626002</v>
      </c>
    </row>
    <row r="6390" spans="1:40" x14ac:dyDescent="0.25">
      <c r="A6390" t="str">
        <f>"20190312172534852"</f>
        <v>20190312172534852</v>
      </c>
      <c r="B6390" t="str">
        <f>"1552382734847007"</f>
        <v>1552382734847007</v>
      </c>
      <c r="C6390" t="s">
        <v>40</v>
      </c>
      <c r="D6390">
        <v>3.5154209999999999</v>
      </c>
      <c r="E6390">
        <v>0.49046410000000001</v>
      </c>
      <c r="F6390" t="s">
        <v>56</v>
      </c>
      <c r="G6390">
        <v>-243.93719999999999</v>
      </c>
      <c r="H6390" s="1">
        <v>-8.5738909999999999E-7</v>
      </c>
      <c r="I6390">
        <v>-61.064700000000002</v>
      </c>
      <c r="J6390">
        <v>-268.47539999999998</v>
      </c>
      <c r="K6390">
        <v>1.1110169999999999</v>
      </c>
      <c r="L6390">
        <v>-61.750459999999997</v>
      </c>
      <c r="M6390">
        <v>0.99718949999999995</v>
      </c>
      <c r="N6390">
        <v>0</v>
      </c>
      <c r="O6390">
        <v>-7.4921849999999998E-2</v>
      </c>
      <c r="P6390">
        <v>0.98349050000000005</v>
      </c>
      <c r="Q6390">
        <v>0.18064669999999999</v>
      </c>
      <c r="R6390">
        <v>-1.065028E-2</v>
      </c>
      <c r="S6390">
        <v>3.077026</v>
      </c>
      <c r="T6390">
        <v>-0.13846889999999901</v>
      </c>
      <c r="U6390">
        <v>8.4197999999999995E-2</v>
      </c>
      <c r="V6390">
        <v>-6.413286E-2</v>
      </c>
      <c r="W6390">
        <v>0.18011559999999999</v>
      </c>
      <c r="X6390">
        <v>0.98155250000000005</v>
      </c>
      <c r="Y6390">
        <v>-0.1019912</v>
      </c>
      <c r="Z6390">
        <v>5.6609629999999998E-3</v>
      </c>
      <c r="AA6390">
        <v>0.99476920000000002</v>
      </c>
      <c r="AB6390">
        <v>29</v>
      </c>
      <c r="AC6390">
        <v>24.5381999999999</v>
      </c>
      <c r="AD6390">
        <v>-1.1110178573891001</v>
      </c>
      <c r="AE6390">
        <v>0.68575999999999404</v>
      </c>
      <c r="AF6390">
        <v>-2.5171236710438998</v>
      </c>
      <c r="AG6390">
        <v>-1.1110178573891001</v>
      </c>
      <c r="AH6390">
        <v>24.367939138586198</v>
      </c>
      <c r="AI6390">
        <v>92.596705253234404</v>
      </c>
      <c r="AJ6390">
        <v>95.897538908118307</v>
      </c>
      <c r="AK6390">
        <v>24.522779820334499</v>
      </c>
      <c r="AL6390">
        <v>79.623506558974199</v>
      </c>
      <c r="AM6390">
        <v>93.738288669556695</v>
      </c>
      <c r="AN6390">
        <v>0.99999998167569404</v>
      </c>
    </row>
    <row r="6391" spans="1:40" x14ac:dyDescent="0.25">
      <c r="A6391" t="str">
        <f>"20190312172534864"</f>
        <v>20190312172534864</v>
      </c>
      <c r="B6391" t="str">
        <f>"1552382734856763"</f>
        <v>1552382734856763</v>
      </c>
      <c r="C6391" t="s">
        <v>40</v>
      </c>
      <c r="D6391">
        <v>3.4789460000000001</v>
      </c>
      <c r="E6391">
        <v>0.49050169999999998</v>
      </c>
      <c r="F6391" t="s">
        <v>56</v>
      </c>
      <c r="G6391">
        <v>-244.58160000000001</v>
      </c>
      <c r="H6391" s="1">
        <v>-1.136075E-6</v>
      </c>
      <c r="I6391">
        <v>-61.073009999999996</v>
      </c>
      <c r="J6391">
        <v>-268.32010000000002</v>
      </c>
      <c r="K6391">
        <v>1.1109910000000001</v>
      </c>
      <c r="L6391">
        <v>-61.760739999999998</v>
      </c>
      <c r="M6391">
        <v>0.99730799999999997</v>
      </c>
      <c r="N6391">
        <v>0</v>
      </c>
      <c r="O6391">
        <v>-7.3327749999999997E-2</v>
      </c>
      <c r="P6391">
        <v>0.98351449999999996</v>
      </c>
      <c r="Q6391">
        <v>0.18055930000000001</v>
      </c>
      <c r="R6391">
        <v>-9.8809239999999993E-3</v>
      </c>
      <c r="S6391">
        <v>3.0775760000000001</v>
      </c>
      <c r="T6391">
        <v>-0.1431017</v>
      </c>
      <c r="U6391">
        <v>8.7249759999999996E-2</v>
      </c>
      <c r="V6391">
        <v>-6.3317940000000003E-2</v>
      </c>
      <c r="W6391">
        <v>0.18007999999999999</v>
      </c>
      <c r="X6391">
        <v>0.98161200000000004</v>
      </c>
      <c r="Y6391">
        <v>-0.1013722</v>
      </c>
      <c r="Z6391">
        <v>5.7607379999999996E-3</v>
      </c>
      <c r="AA6391">
        <v>0.99483189999999999</v>
      </c>
      <c r="AB6391">
        <v>30</v>
      </c>
      <c r="AC6391">
        <v>23.738499999999998</v>
      </c>
      <c r="AD6391">
        <v>-1.1109921360749999</v>
      </c>
      <c r="AE6391">
        <v>0.68773000000000895</v>
      </c>
      <c r="AF6391">
        <v>-2.4212701697215002</v>
      </c>
      <c r="AG6391">
        <v>-1.1109921360749999</v>
      </c>
      <c r="AH6391">
        <v>23.572574718014</v>
      </c>
      <c r="AI6391">
        <v>92.684291536121407</v>
      </c>
      <c r="AJ6391">
        <v>95.864600885901993</v>
      </c>
      <c r="AK6391">
        <v>23.722629103823198</v>
      </c>
      <c r="AL6391">
        <v>79.625580841109894</v>
      </c>
      <c r="AM6391">
        <v>93.690696223191694</v>
      </c>
      <c r="AN6391">
        <v>1.0000000432349201</v>
      </c>
    </row>
    <row r="6392" spans="1:40" x14ac:dyDescent="0.25">
      <c r="A6392" t="str">
        <f>"20190312172534875"</f>
        <v>20190312172534875</v>
      </c>
      <c r="B6392" t="str">
        <f>"1552382734866523"</f>
        <v>1552382734866523</v>
      </c>
      <c r="C6392" t="s">
        <v>40</v>
      </c>
      <c r="D6392">
        <v>3.5442170000000002</v>
      </c>
      <c r="E6392">
        <v>0.49050149999999998</v>
      </c>
      <c r="F6392" t="s">
        <v>56</v>
      </c>
      <c r="G6392">
        <v>-245.03270000000001</v>
      </c>
      <c r="H6392" s="1">
        <v>-1.332066E-6</v>
      </c>
      <c r="I6392">
        <v>-61.082360000000001</v>
      </c>
      <c r="J6392">
        <v>-268.16669999999999</v>
      </c>
      <c r="K6392">
        <v>1.1109549999999999</v>
      </c>
      <c r="L6392">
        <v>-61.770659999999999</v>
      </c>
      <c r="M6392">
        <v>0.99741849999999999</v>
      </c>
      <c r="N6392">
        <v>0</v>
      </c>
      <c r="O6392">
        <v>-7.1806339999999996E-2</v>
      </c>
      <c r="P6392">
        <v>0.98348769999999996</v>
      </c>
      <c r="Q6392">
        <v>0.18074850000000001</v>
      </c>
      <c r="R6392">
        <v>-9.0356380000000003E-3</v>
      </c>
      <c r="S6392">
        <v>3.0781559999999999</v>
      </c>
      <c r="T6392">
        <v>-0.14685200000000001</v>
      </c>
      <c r="U6392">
        <v>8.966064E-2</v>
      </c>
      <c r="V6392">
        <v>-6.2647649999999999E-2</v>
      </c>
      <c r="W6392">
        <v>0.1803206</v>
      </c>
      <c r="X6392">
        <v>0.98161080000000001</v>
      </c>
      <c r="Y6392">
        <v>-0.1006205</v>
      </c>
      <c r="Z6392">
        <v>5.8200519999999896E-3</v>
      </c>
      <c r="AA6392">
        <v>0.99490789999999996</v>
      </c>
      <c r="AB6392">
        <v>30</v>
      </c>
      <c r="AC6392">
        <v>23.133999999999901</v>
      </c>
      <c r="AD6392">
        <v>-1.1109563320660001</v>
      </c>
      <c r="AE6392">
        <v>0.68830000000000502</v>
      </c>
      <c r="AF6392">
        <v>-2.3422942745981699</v>
      </c>
      <c r="AG6392">
        <v>-1.1109563320660001</v>
      </c>
      <c r="AH6392">
        <v>22.9719269501905</v>
      </c>
      <c r="AI6392">
        <v>92.754491978926396</v>
      </c>
      <c r="AJ6392">
        <v>95.821948368567007</v>
      </c>
      <c r="AK6392">
        <v>23.117741979818501</v>
      </c>
      <c r="AL6392">
        <v>79.611565650007606</v>
      </c>
      <c r="AM6392">
        <v>93.651736880626203</v>
      </c>
      <c r="AN6392">
        <v>1.00000000475576</v>
      </c>
    </row>
    <row r="6393" spans="1:40" x14ac:dyDescent="0.25">
      <c r="A6393" t="str">
        <f>"20190312172534887"</f>
        <v>20190312172534887</v>
      </c>
      <c r="B6393" t="str">
        <f>"1552382734877260"</f>
        <v>1552382734877260</v>
      </c>
      <c r="C6393" t="s">
        <v>40</v>
      </c>
      <c r="D6393">
        <v>3.5353279999999998</v>
      </c>
      <c r="E6393">
        <v>0.49065059999999999</v>
      </c>
      <c r="F6393" t="s">
        <v>56</v>
      </c>
      <c r="G6393">
        <v>-245.02379999999999</v>
      </c>
      <c r="H6393" s="1">
        <v>-1.3267520000000001E-6</v>
      </c>
      <c r="I6393">
        <v>-61.076799999999999</v>
      </c>
      <c r="J6393">
        <v>-268.01609999999999</v>
      </c>
      <c r="K6393">
        <v>1.110922</v>
      </c>
      <c r="L6393">
        <v>-61.780180000000001</v>
      </c>
      <c r="M6393">
        <v>0.99752269999999998</v>
      </c>
      <c r="N6393">
        <v>0</v>
      </c>
      <c r="O6393">
        <v>-7.0343840000000005E-2</v>
      </c>
      <c r="P6393">
        <v>0.98354030000000003</v>
      </c>
      <c r="Q6393">
        <v>0.1804916</v>
      </c>
      <c r="R6393">
        <v>-8.4554439999999995E-3</v>
      </c>
      <c r="S6393">
        <v>3.0783390000000002</v>
      </c>
      <c r="T6393">
        <v>-0.1477726</v>
      </c>
      <c r="U6393">
        <v>9.2285160000000005E-2</v>
      </c>
      <c r="V6393">
        <v>-6.1774240000000001E-2</v>
      </c>
      <c r="W6393">
        <v>0.18011569999999999</v>
      </c>
      <c r="X6393">
        <v>0.98170380000000002</v>
      </c>
      <c r="Y6393">
        <v>-0.1000075</v>
      </c>
      <c r="Z6393">
        <v>5.771343E-3</v>
      </c>
      <c r="AA6393">
        <v>0.99497000000000002</v>
      </c>
      <c r="AB6393">
        <v>30</v>
      </c>
      <c r="AC6393">
        <v>22.9923</v>
      </c>
      <c r="AD6393">
        <v>-1.110923326752</v>
      </c>
      <c r="AE6393">
        <v>0.703380000000002</v>
      </c>
      <c r="AF6393">
        <v>-2.3136082434023399</v>
      </c>
      <c r="AG6393">
        <v>-1.110923326752</v>
      </c>
      <c r="AH6393">
        <v>22.832611042945398</v>
      </c>
      <c r="AI6393">
        <v>92.771367068046004</v>
      </c>
      <c r="AJ6393">
        <v>95.785981799858007</v>
      </c>
      <c r="AK6393">
        <v>22.976402259280999</v>
      </c>
      <c r="AL6393">
        <v>79.623501309574493</v>
      </c>
      <c r="AM6393">
        <v>93.600620405067602</v>
      </c>
      <c r="AN6393">
        <v>1.0000000365242501</v>
      </c>
    </row>
    <row r="6394" spans="1:40" x14ac:dyDescent="0.25">
      <c r="A6394" t="str">
        <f>"20190312172534898"</f>
        <v>20190312172534898</v>
      </c>
      <c r="B6394" t="str">
        <f>"1552382734887020"</f>
        <v>1552382734887020</v>
      </c>
      <c r="C6394" t="s">
        <v>40</v>
      </c>
      <c r="D6394">
        <v>3.530478</v>
      </c>
      <c r="E6394">
        <v>0.49076740000000002</v>
      </c>
      <c r="F6394" t="s">
        <v>56</v>
      </c>
      <c r="G6394">
        <v>-245.25399999999999</v>
      </c>
      <c r="H6394" s="1">
        <v>-1.430096E-6</v>
      </c>
      <c r="I6394">
        <v>-61.093960000000003</v>
      </c>
      <c r="J6394">
        <v>-267.85680000000002</v>
      </c>
      <c r="K6394">
        <v>1.1108819999999999</v>
      </c>
      <c r="L6394">
        <v>-61.790100000000002</v>
      </c>
      <c r="M6394">
        <v>0.99762830000000002</v>
      </c>
      <c r="N6394">
        <v>0</v>
      </c>
      <c r="O6394">
        <v>-6.8831840000000005E-2</v>
      </c>
      <c r="P6394">
        <v>0.98360919999999996</v>
      </c>
      <c r="Q6394">
        <v>0.18015229999999999</v>
      </c>
      <c r="R6394">
        <v>-7.622818E-3</v>
      </c>
      <c r="S6394">
        <v>3.0786129999999998</v>
      </c>
      <c r="T6394">
        <v>-0.15025459999999999</v>
      </c>
      <c r="U6394">
        <v>9.2803960000000005E-2</v>
      </c>
      <c r="V6394">
        <v>-6.1102900000000002E-2</v>
      </c>
      <c r="W6394">
        <v>0.17982999999999999</v>
      </c>
      <c r="X6394">
        <v>0.98179819999999995</v>
      </c>
      <c r="Y6394">
        <v>-9.8660979999999995E-2</v>
      </c>
      <c r="Z6394">
        <v>5.7611629999999997E-3</v>
      </c>
      <c r="AA6394">
        <v>0.9951044</v>
      </c>
      <c r="AB6394">
        <v>30</v>
      </c>
      <c r="AC6394">
        <v>22.602799999999998</v>
      </c>
      <c r="AD6394">
        <v>-1.110883430096</v>
      </c>
      <c r="AE6394">
        <v>0.69614000000000598</v>
      </c>
      <c r="AF6394">
        <v>-2.2448638269859398</v>
      </c>
      <c r="AG6394">
        <v>-1.110883430096</v>
      </c>
      <c r="AH6394">
        <v>22.447105531764699</v>
      </c>
      <c r="AI6394">
        <v>92.819156075439395</v>
      </c>
      <c r="AJ6394">
        <v>95.710980491966197</v>
      </c>
      <c r="AK6394">
        <v>22.5864123390846</v>
      </c>
      <c r="AL6394">
        <v>79.640142571496597</v>
      </c>
      <c r="AM6394">
        <v>93.56124987842</v>
      </c>
      <c r="AN6394">
        <v>1.0000000494058201</v>
      </c>
    </row>
    <row r="6395" spans="1:40" x14ac:dyDescent="0.25">
      <c r="A6395" t="str">
        <f>"20190312172534910"</f>
        <v>20190312172534910</v>
      </c>
      <c r="B6395" t="str">
        <f>"1552382734906540"</f>
        <v>1552382734906540</v>
      </c>
      <c r="C6395" t="s">
        <v>40</v>
      </c>
      <c r="D6395">
        <v>3.5512299999999999</v>
      </c>
      <c r="E6395">
        <v>0.49072399999999999</v>
      </c>
      <c r="F6395" t="s">
        <v>56</v>
      </c>
      <c r="G6395">
        <v>-245.46860000000001</v>
      </c>
      <c r="H6395" s="1">
        <v>-1.524725E-6</v>
      </c>
      <c r="I6395">
        <v>-61.103630000000003</v>
      </c>
      <c r="J6395">
        <v>-267.70530000000002</v>
      </c>
      <c r="K6395">
        <v>1.1108450000000001</v>
      </c>
      <c r="L6395">
        <v>-61.799289999999999</v>
      </c>
      <c r="M6395">
        <v>0.99772300000000003</v>
      </c>
      <c r="N6395">
        <v>0</v>
      </c>
      <c r="O6395">
        <v>-6.7446110000000004E-2</v>
      </c>
      <c r="P6395">
        <v>0.98366560000000003</v>
      </c>
      <c r="Q6395">
        <v>0.17986769999999999</v>
      </c>
      <c r="R6395">
        <v>-7.0555130000000002E-3</v>
      </c>
      <c r="S6395">
        <v>3.0787049999999998</v>
      </c>
      <c r="T6395">
        <v>-0.15276300000000001</v>
      </c>
      <c r="U6395">
        <v>9.4390870000000002E-2</v>
      </c>
      <c r="V6395">
        <v>-6.0290900000000001E-2</v>
      </c>
      <c r="W6395">
        <v>0.179597799999999</v>
      </c>
      <c r="X6395">
        <v>0.98189090000000001</v>
      </c>
      <c r="Y6395">
        <v>-9.7786429999999994E-2</v>
      </c>
      <c r="Z6395">
        <v>5.7667250000000003E-3</v>
      </c>
      <c r="AA6395">
        <v>0.99519069999999998</v>
      </c>
      <c r="AB6395">
        <v>30</v>
      </c>
      <c r="AC6395">
        <v>22.236699999999999</v>
      </c>
      <c r="AD6395">
        <v>-1.1108465247249999</v>
      </c>
      <c r="AE6395">
        <v>0.69565999999999595</v>
      </c>
      <c r="AF6395">
        <v>-2.1883987846314699</v>
      </c>
      <c r="AG6395">
        <v>-1.1108465247249999</v>
      </c>
      <c r="AH6395">
        <v>22.0840874673586</v>
      </c>
      <c r="AI6395">
        <v>92.865583126964495</v>
      </c>
      <c r="AJ6395">
        <v>95.659187954161993</v>
      </c>
      <c r="AK6395">
        <v>22.220035744976101</v>
      </c>
      <c r="AL6395">
        <v>79.653666856659399</v>
      </c>
      <c r="AM6395">
        <v>93.513712677931494</v>
      </c>
      <c r="AN6395">
        <v>1.00000005094522</v>
      </c>
    </row>
    <row r="6396" spans="1:40" x14ac:dyDescent="0.25">
      <c r="A6396" t="str">
        <f>"20190312172534919"</f>
        <v>20190312172534919</v>
      </c>
      <c r="B6396" t="str">
        <f>"1552382734906540"</f>
        <v>1552382734906540</v>
      </c>
      <c r="C6396" t="s">
        <v>40</v>
      </c>
      <c r="D6396">
        <v>3.5512299999999999</v>
      </c>
      <c r="E6396">
        <v>0.49072399999999999</v>
      </c>
      <c r="F6396" t="s">
        <v>56</v>
      </c>
      <c r="G6396">
        <v>-245.39160000000001</v>
      </c>
      <c r="H6396" s="1">
        <v>-1.491322E-6</v>
      </c>
      <c r="I6396">
        <v>-61.102229999999999</v>
      </c>
      <c r="J6396">
        <v>-267.5754</v>
      </c>
      <c r="K6396">
        <v>1.1108119999999999</v>
      </c>
      <c r="L6396">
        <v>-61.807070000000003</v>
      </c>
      <c r="M6396">
        <v>0.99780170000000001</v>
      </c>
      <c r="N6396">
        <v>0</v>
      </c>
      <c r="O6396">
        <v>-6.6270949999999995E-2</v>
      </c>
      <c r="P6396">
        <v>0.98371339999999996</v>
      </c>
      <c r="Q6396">
        <v>0.1796305</v>
      </c>
      <c r="R6396">
        <v>-6.4108869999999997E-3</v>
      </c>
      <c r="S6396">
        <v>3.078522</v>
      </c>
      <c r="T6396">
        <v>-0.15325859999999999</v>
      </c>
      <c r="U6396">
        <v>9.6160889999999999E-2</v>
      </c>
      <c r="V6396">
        <v>-5.9764879999999999E-2</v>
      </c>
      <c r="W6396">
        <v>0.17940590000000001</v>
      </c>
      <c r="X6396">
        <v>0.98195809999999994</v>
      </c>
      <c r="Y6396">
        <v>-9.7188609999999995E-2</v>
      </c>
      <c r="Z6396">
        <v>5.7124649999999999E-3</v>
      </c>
      <c r="AA6396">
        <v>0.99524959999999996</v>
      </c>
      <c r="AB6396">
        <v>30</v>
      </c>
      <c r="AC6396">
        <v>22.183799999999898</v>
      </c>
      <c r="AD6396">
        <v>-1.110813491322</v>
      </c>
      <c r="AE6396">
        <v>0.70483999999999003</v>
      </c>
      <c r="AF6396">
        <v>-2.1680015735691001</v>
      </c>
      <c r="AG6396">
        <v>-1.110813491322</v>
      </c>
      <c r="AH6396">
        <v>22.033133662688599</v>
      </c>
      <c r="AI6396">
        <v>92.872309049559703</v>
      </c>
      <c r="AJ6396">
        <v>95.619661856244704</v>
      </c>
      <c r="AK6396">
        <v>22.167388579474199</v>
      </c>
      <c r="AL6396">
        <v>79.664843064423494</v>
      </c>
      <c r="AM6396">
        <v>93.482894614654995</v>
      </c>
      <c r="AN6396">
        <v>1.00000001399591</v>
      </c>
    </row>
    <row r="6397" spans="1:40" x14ac:dyDescent="0.25">
      <c r="A6397" t="str">
        <f>"20190312172534930"</f>
        <v>20190312172534930</v>
      </c>
      <c r="B6397" t="str">
        <f>"1552382734927036"</f>
        <v>1552382734927036</v>
      </c>
      <c r="C6397" t="s">
        <v>40</v>
      </c>
      <c r="D6397">
        <v>3.5542280000000002</v>
      </c>
      <c r="E6397">
        <v>0.49103039999999998</v>
      </c>
      <c r="F6397" t="s">
        <v>56</v>
      </c>
      <c r="G6397">
        <v>-245.38040000000001</v>
      </c>
      <c r="H6397" s="1">
        <v>-1.4865450000000001E-6</v>
      </c>
      <c r="I6397">
        <v>-61.102260000000001</v>
      </c>
      <c r="J6397">
        <v>-267.42739999999998</v>
      </c>
      <c r="K6397">
        <v>1.1107750000000001</v>
      </c>
      <c r="L6397">
        <v>-61.815730000000002</v>
      </c>
      <c r="M6397">
        <v>0.99788589999999999</v>
      </c>
      <c r="N6397">
        <v>0</v>
      </c>
      <c r="O6397">
        <v>-6.4991080000000007E-2</v>
      </c>
      <c r="P6397">
        <v>0.98376750000000002</v>
      </c>
      <c r="Q6397">
        <v>0.17935319999999999</v>
      </c>
      <c r="R6397">
        <v>-5.8756069999999997E-3</v>
      </c>
      <c r="S6397">
        <v>3.07843</v>
      </c>
      <c r="T6397">
        <v>-0.15406929999999999</v>
      </c>
      <c r="U6397">
        <v>9.7747799999999996E-2</v>
      </c>
      <c r="V6397">
        <v>-5.9023770000000003E-2</v>
      </c>
      <c r="W6397">
        <v>0.17918029999999999</v>
      </c>
      <c r="X6397">
        <v>0.98204409999999998</v>
      </c>
      <c r="Y6397">
        <v>-9.6425880000000005E-2</v>
      </c>
      <c r="Z6397">
        <v>5.659786E-3</v>
      </c>
      <c r="AA6397">
        <v>0.99532410000000004</v>
      </c>
      <c r="AB6397">
        <v>30</v>
      </c>
      <c r="AC6397">
        <v>22.046999999999901</v>
      </c>
      <c r="AD6397">
        <v>-1.1107764865449901</v>
      </c>
      <c r="AE6397">
        <v>0.71347000000000005</v>
      </c>
      <c r="AF6397">
        <v>-2.1393949883498999</v>
      </c>
      <c r="AG6397">
        <v>-1.1107764865449901</v>
      </c>
      <c r="AH6397">
        <v>21.898491796296401</v>
      </c>
      <c r="AI6397">
        <v>92.890039849728197</v>
      </c>
      <c r="AJ6397">
        <v>95.579860918876307</v>
      </c>
      <c r="AK6397">
        <v>22.030768898785599</v>
      </c>
      <c r="AL6397">
        <v>79.677981749958604</v>
      </c>
      <c r="AM6397">
        <v>93.439509079449806</v>
      </c>
      <c r="AN6397">
        <v>0.99999999983895604</v>
      </c>
    </row>
    <row r="6398" spans="1:40" x14ac:dyDescent="0.25">
      <c r="A6398" t="str">
        <f>"20190312172534941"</f>
        <v>20190312172534941</v>
      </c>
      <c r="B6398" t="str">
        <f>"1552382734936799"</f>
        <v>1552382734936799</v>
      </c>
      <c r="C6398" t="s">
        <v>40</v>
      </c>
      <c r="D6398">
        <v>3.54881</v>
      </c>
      <c r="E6398">
        <v>0.49122109999999902</v>
      </c>
      <c r="F6398" t="s">
        <v>56</v>
      </c>
      <c r="G6398">
        <v>-245.661</v>
      </c>
      <c r="H6398" s="1">
        <v>-1.614569E-6</v>
      </c>
      <c r="I6398">
        <v>-61.131079999999997</v>
      </c>
      <c r="J6398">
        <v>-267.27850000000001</v>
      </c>
      <c r="K6398">
        <v>1.1107340000000001</v>
      </c>
      <c r="L6398">
        <v>-61.824370000000002</v>
      </c>
      <c r="M6398">
        <v>0.99796819999999997</v>
      </c>
      <c r="N6398">
        <v>0</v>
      </c>
      <c r="O6398">
        <v>-6.371491E-2</v>
      </c>
      <c r="P6398">
        <v>0.98379859999999997</v>
      </c>
      <c r="Q6398">
        <v>0.1791914</v>
      </c>
      <c r="R6398">
        <v>-5.5635800000000003E-3</v>
      </c>
      <c r="S6398">
        <v>3.0787659999999999</v>
      </c>
      <c r="T6398">
        <v>-0.15711449999999999</v>
      </c>
      <c r="U6398">
        <v>9.6832280000000007E-2</v>
      </c>
      <c r="V6398">
        <v>-5.8062120000000002E-2</v>
      </c>
      <c r="W6398">
        <v>0.17907239999999999</v>
      </c>
      <c r="X6398">
        <v>0.98212109999999997</v>
      </c>
      <c r="Y6398">
        <v>-9.4849509999999998E-2</v>
      </c>
      <c r="Z6398">
        <v>5.665715E-3</v>
      </c>
      <c r="AA6398">
        <v>0.99547549999999996</v>
      </c>
      <c r="AB6398">
        <v>30</v>
      </c>
      <c r="AC6398">
        <v>21.6175</v>
      </c>
      <c r="AD6398">
        <v>-1.1107356145689999</v>
      </c>
      <c r="AE6398">
        <v>0.69328999999998997</v>
      </c>
      <c r="AF6398">
        <v>-2.0637954146194</v>
      </c>
      <c r="AG6398">
        <v>-1.1107356145689999</v>
      </c>
      <c r="AH6398">
        <v>21.4727726578325</v>
      </c>
      <c r="AI6398">
        <v>92.947576828682202</v>
      </c>
      <c r="AJ6398">
        <v>95.489960243215293</v>
      </c>
      <c r="AK6398">
        <v>21.6002997834251</v>
      </c>
      <c r="AL6398">
        <v>79.684265544873398</v>
      </c>
      <c r="AM6398">
        <v>93.383337181691203</v>
      </c>
      <c r="AN6398">
        <v>0.99999999464293199</v>
      </c>
    </row>
    <row r="6399" spans="1:40" x14ac:dyDescent="0.25">
      <c r="A6399" t="str">
        <f>"20190312172534953"</f>
        <v>20190312172534953</v>
      </c>
      <c r="B6399" t="str">
        <f>"1552382734946555"</f>
        <v>1552382734946555</v>
      </c>
      <c r="C6399" t="s">
        <v>40</v>
      </c>
      <c r="D6399">
        <v>3.5562</v>
      </c>
      <c r="E6399">
        <v>0.49136239999999998</v>
      </c>
      <c r="F6399" t="s">
        <v>56</v>
      </c>
      <c r="G6399">
        <v>-245.70179999999999</v>
      </c>
      <c r="H6399" s="1">
        <v>-1.63717E-6</v>
      </c>
      <c r="I6399">
        <v>-61.150199999999998</v>
      </c>
      <c r="J6399">
        <v>-267.11500000000001</v>
      </c>
      <c r="K6399">
        <v>1.110687</v>
      </c>
      <c r="L6399">
        <v>-61.833590000000001</v>
      </c>
      <c r="M6399">
        <v>0.99805169999999999</v>
      </c>
      <c r="N6399">
        <v>0</v>
      </c>
      <c r="O6399">
        <v>-6.2393259999999999E-2</v>
      </c>
      <c r="P6399">
        <v>0.98381079999999999</v>
      </c>
      <c r="Q6399">
        <v>0.17913519999999999</v>
      </c>
      <c r="R6399">
        <v>-5.2447479999999996E-3</v>
      </c>
      <c r="S6399">
        <v>3.0788570000000002</v>
      </c>
      <c r="T6399">
        <v>-0.15849530000000001</v>
      </c>
      <c r="U6399">
        <v>9.6191410000000005E-2</v>
      </c>
      <c r="V6399">
        <v>-5.7058480000000002E-2</v>
      </c>
      <c r="W6399">
        <v>0.1790757</v>
      </c>
      <c r="X6399">
        <v>0.98217929999999998</v>
      </c>
      <c r="Y6399">
        <v>-9.3323320000000001E-2</v>
      </c>
      <c r="Z6399">
        <v>5.6081319999999896E-3</v>
      </c>
      <c r="AA6399">
        <v>0.99562010000000001</v>
      </c>
      <c r="AB6399">
        <v>31</v>
      </c>
      <c r="AC6399">
        <v>21.4132</v>
      </c>
      <c r="AD6399">
        <v>-1.11068863717</v>
      </c>
      <c r="AE6399">
        <v>0.68339000000000205</v>
      </c>
      <c r="AF6399">
        <v>-2.0126883055368201</v>
      </c>
      <c r="AG6399">
        <v>-1.11068863717</v>
      </c>
      <c r="AH6399">
        <v>21.271668828217098</v>
      </c>
      <c r="AI6399">
        <v>92.975687310155607</v>
      </c>
      <c r="AJ6399">
        <v>95.405135296307407</v>
      </c>
      <c r="AK6399">
        <v>21.395523788898601</v>
      </c>
      <c r="AL6399">
        <v>79.684073177343294</v>
      </c>
      <c r="AM6399">
        <v>93.324789866581</v>
      </c>
      <c r="AN6399">
        <v>0.99999997690944398</v>
      </c>
    </row>
    <row r="6400" spans="1:40" x14ac:dyDescent="0.25">
      <c r="A6400" t="str">
        <f>"20190312172534964"</f>
        <v>20190312172534964</v>
      </c>
      <c r="B6400" t="str">
        <f>"1552382734956315"</f>
        <v>1552382734956315</v>
      </c>
      <c r="C6400" t="s">
        <v>40</v>
      </c>
      <c r="D6400">
        <v>3.6185610000000001</v>
      </c>
      <c r="E6400">
        <v>0.49135709999999999</v>
      </c>
      <c r="F6400" t="s">
        <v>56</v>
      </c>
      <c r="G6400">
        <v>-245.69049999999999</v>
      </c>
      <c r="H6400" s="1">
        <v>-1.636641E-6</v>
      </c>
      <c r="I6400">
        <v>-61.166510000000002</v>
      </c>
      <c r="J6400">
        <v>-266.96910000000003</v>
      </c>
      <c r="K6400">
        <v>1.110643</v>
      </c>
      <c r="L6400">
        <v>-61.841709999999999</v>
      </c>
      <c r="M6400">
        <v>0.99812350000000005</v>
      </c>
      <c r="N6400">
        <v>0</v>
      </c>
      <c r="O6400">
        <v>-6.1232370000000001E-2</v>
      </c>
      <c r="P6400">
        <v>0.98382099999999995</v>
      </c>
      <c r="Q6400">
        <v>0.17908399999999999</v>
      </c>
      <c r="R6400">
        <v>-5.0153430000000002E-3</v>
      </c>
      <c r="S6400">
        <v>3.0788880000000001</v>
      </c>
      <c r="T6400">
        <v>-0.15961549999999999</v>
      </c>
      <c r="U6400">
        <v>9.5855709999999997E-2</v>
      </c>
      <c r="V6400">
        <v>-5.6125960000000003E-2</v>
      </c>
      <c r="W6400">
        <v>0.1790776</v>
      </c>
      <c r="X6400">
        <v>0.98223269999999996</v>
      </c>
      <c r="Y6400">
        <v>-9.2056780000000005E-2</v>
      </c>
      <c r="Z6400">
        <v>5.5547959999999999E-3</v>
      </c>
      <c r="AA6400">
        <v>0.99573829999999997</v>
      </c>
      <c r="AB6400">
        <v>31</v>
      </c>
      <c r="AC6400">
        <v>21.278600000000001</v>
      </c>
      <c r="AD6400">
        <v>-1.1106446366410001</v>
      </c>
      <c r="AE6400">
        <v>0.67520000000000302</v>
      </c>
      <c r="AF6400">
        <v>-1.97150648374863</v>
      </c>
      <c r="AG6400">
        <v>-1.1106446366410001</v>
      </c>
      <c r="AH6400">
        <v>21.1397929825551</v>
      </c>
      <c r="AI6400">
        <v>92.994476288850606</v>
      </c>
      <c r="AJ6400">
        <v>95.328018679279296</v>
      </c>
      <c r="AK6400">
        <v>21.260555417713</v>
      </c>
      <c r="AL6400">
        <v>79.6839627005469</v>
      </c>
      <c r="AM6400">
        <v>93.270393566475207</v>
      </c>
      <c r="AN6400">
        <v>0.99999999357848501</v>
      </c>
    </row>
    <row r="6401" spans="1:40" x14ac:dyDescent="0.25">
      <c r="A6401" t="str">
        <f>"20190312172534974"</f>
        <v>20190312172534974</v>
      </c>
      <c r="B6401" t="str">
        <f>"1552382734967052"</f>
        <v>1552382734967052</v>
      </c>
      <c r="C6401" t="s">
        <v>40</v>
      </c>
      <c r="D6401">
        <v>3.537404</v>
      </c>
      <c r="E6401">
        <v>0.49142799999999998</v>
      </c>
      <c r="F6401" t="s">
        <v>56</v>
      </c>
      <c r="G6401">
        <v>-245.7175</v>
      </c>
      <c r="H6401" s="1">
        <v>-1.6507050000000001E-6</v>
      </c>
      <c r="I6401">
        <v>-61.17586</v>
      </c>
      <c r="J6401">
        <v>-266.8177</v>
      </c>
      <c r="K6401">
        <v>1.1106</v>
      </c>
      <c r="L6401">
        <v>-61.849980000000002</v>
      </c>
      <c r="M6401">
        <v>0.99819369999999996</v>
      </c>
      <c r="N6401">
        <v>0</v>
      </c>
      <c r="O6401">
        <v>-6.0078270000000003E-2</v>
      </c>
      <c r="P6401">
        <v>0.98382650000000005</v>
      </c>
      <c r="Q6401">
        <v>0.17905950000000001</v>
      </c>
      <c r="R6401">
        <v>-4.8250089999999999E-3</v>
      </c>
      <c r="S6401">
        <v>3.0791629999999999</v>
      </c>
      <c r="T6401">
        <v>-0.16092210000000001</v>
      </c>
      <c r="U6401">
        <v>9.6466060000000006E-2</v>
      </c>
      <c r="V6401">
        <v>-5.5159859999999998E-2</v>
      </c>
      <c r="W6401">
        <v>0.1791085</v>
      </c>
      <c r="X6401">
        <v>0.98228179999999998</v>
      </c>
      <c r="Y6401">
        <v>-9.1099429999999995E-2</v>
      </c>
      <c r="Z6401">
        <v>5.5144950000000003E-3</v>
      </c>
      <c r="AA6401">
        <v>0.99582649999999995</v>
      </c>
      <c r="AB6401">
        <v>31</v>
      </c>
      <c r="AC6401">
        <v>21.100200000000001</v>
      </c>
      <c r="AD6401">
        <v>-1.1106016507050001</v>
      </c>
      <c r="AE6401">
        <v>0.67412000000000205</v>
      </c>
      <c r="AF6401">
        <v>-1.93520993898191</v>
      </c>
      <c r="AG6401">
        <v>-1.1106016507050001</v>
      </c>
      <c r="AH6401">
        <v>20.963567718733501</v>
      </c>
      <c r="AI6401">
        <v>93.0197483003342</v>
      </c>
      <c r="AJ6401">
        <v>95.274197800208995</v>
      </c>
      <c r="AK6401">
        <v>21.081974410201902</v>
      </c>
      <c r="AL6401">
        <v>79.682163230906596</v>
      </c>
      <c r="AM6401">
        <v>93.214058791655901</v>
      </c>
      <c r="AN6401">
        <v>0.99999999976935405</v>
      </c>
    </row>
    <row r="6402" spans="1:40" x14ac:dyDescent="0.25">
      <c r="A6402" t="str">
        <f>"20190312172534987"</f>
        <v>20190312172534987</v>
      </c>
      <c r="B6402" t="str">
        <f>"1552382734976812"</f>
        <v>1552382734976812</v>
      </c>
      <c r="C6402" t="s">
        <v>40</v>
      </c>
      <c r="D6402">
        <v>3.562103</v>
      </c>
      <c r="E6402">
        <v>0.49150110000000002</v>
      </c>
      <c r="F6402" t="s">
        <v>56</v>
      </c>
      <c r="G6402">
        <v>-245.6191</v>
      </c>
      <c r="H6402" s="1">
        <v>-1.611547E-6</v>
      </c>
      <c r="I6402">
        <v>-61.187260000000002</v>
      </c>
      <c r="J6402">
        <v>-266.654</v>
      </c>
      <c r="K6402">
        <v>1.110552</v>
      </c>
      <c r="L6402">
        <v>-61.858759999999997</v>
      </c>
      <c r="M6402">
        <v>0.99826559999999998</v>
      </c>
      <c r="N6402">
        <v>0</v>
      </c>
      <c r="O6402">
        <v>-5.8869190000000002E-2</v>
      </c>
      <c r="P6402">
        <v>0.98382780000000003</v>
      </c>
      <c r="Q6402">
        <v>0.179064</v>
      </c>
      <c r="R6402">
        <v>-4.350095E-3</v>
      </c>
      <c r="S6402">
        <v>3.0791629999999999</v>
      </c>
      <c r="T6402">
        <v>-0.16131870000000001</v>
      </c>
      <c r="U6402">
        <v>9.6252439999999995E-2</v>
      </c>
      <c r="V6402">
        <v>-5.4421959999999998E-2</v>
      </c>
      <c r="W6402">
        <v>0.17917139999999901</v>
      </c>
      <c r="X6402">
        <v>0.9823115</v>
      </c>
      <c r="Y6402">
        <v>-8.9826550000000005E-2</v>
      </c>
      <c r="Z6402">
        <v>5.431529E-3</v>
      </c>
      <c r="AA6402">
        <v>0.99594260000000001</v>
      </c>
      <c r="AB6402">
        <v>31</v>
      </c>
      <c r="AC6402">
        <v>21.0349</v>
      </c>
      <c r="AD6402">
        <v>-1.1105536115470001</v>
      </c>
      <c r="AE6402">
        <v>0.67150000000000098</v>
      </c>
      <c r="AF6402">
        <v>-1.90334311232553</v>
      </c>
      <c r="AG6402">
        <v>-1.1105536115470001</v>
      </c>
      <c r="AH6402">
        <v>20.900689493637</v>
      </c>
      <c r="AI6402">
        <v>93.029028111339699</v>
      </c>
      <c r="AJ6402">
        <v>95.2033478289583</v>
      </c>
      <c r="AK6402">
        <v>21.016537907961499</v>
      </c>
      <c r="AL6402">
        <v>79.678500193796907</v>
      </c>
      <c r="AM6402">
        <v>93.171055441983199</v>
      </c>
      <c r="AN6402">
        <v>1.0000000116702199</v>
      </c>
    </row>
    <row r="6403" spans="1:40" x14ac:dyDescent="0.25">
      <c r="A6403" t="str">
        <f>"20190312172534997"</f>
        <v>20190312172534997</v>
      </c>
      <c r="B6403" t="str">
        <f>"1552382734986571"</f>
        <v>1552382734986571</v>
      </c>
      <c r="C6403" t="s">
        <v>40</v>
      </c>
      <c r="D6403">
        <v>3.5882480000000001</v>
      </c>
      <c r="E6403">
        <v>0.49156169999999999</v>
      </c>
      <c r="F6403" t="s">
        <v>56</v>
      </c>
      <c r="G6403">
        <v>-245.50989999999999</v>
      </c>
      <c r="H6403" s="1">
        <v>-1.566479E-6</v>
      </c>
      <c r="I6403">
        <v>-61.193989999999999</v>
      </c>
      <c r="J6403">
        <v>-266.50659999999999</v>
      </c>
      <c r="K6403">
        <v>1.1105100000000001</v>
      </c>
      <c r="L6403">
        <v>-61.866549999999997</v>
      </c>
      <c r="M6403">
        <v>0.99832710000000002</v>
      </c>
      <c r="N6403">
        <v>0</v>
      </c>
      <c r="O6403">
        <v>-5.781787E-2</v>
      </c>
      <c r="P6403">
        <v>0.98379190000000005</v>
      </c>
      <c r="Q6403">
        <v>0.17926900000000001</v>
      </c>
      <c r="R6403">
        <v>-4.0294340000000001E-3</v>
      </c>
      <c r="S6403">
        <v>3.0791930000000001</v>
      </c>
      <c r="T6403">
        <v>-0.16172890000000001</v>
      </c>
      <c r="U6403">
        <v>9.6801760000000001E-2</v>
      </c>
      <c r="V6403">
        <v>-5.3685389999999999E-2</v>
      </c>
      <c r="W6403">
        <v>0.1794299</v>
      </c>
      <c r="X6403">
        <v>0.98230490000000004</v>
      </c>
      <c r="Y6403">
        <v>-8.8956469999999996E-2</v>
      </c>
      <c r="Z6403">
        <v>5.3673059999999996E-3</v>
      </c>
      <c r="AA6403">
        <v>0.99602100000000005</v>
      </c>
      <c r="AB6403">
        <v>31</v>
      </c>
      <c r="AC6403">
        <v>20.996700000000001</v>
      </c>
      <c r="AD6403">
        <v>-1.110511566479</v>
      </c>
      <c r="AE6403">
        <v>0.67255999999999705</v>
      </c>
      <c r="AF6403">
        <v>-1.8801653784163599</v>
      </c>
      <c r="AG6403">
        <v>-1.110511566479</v>
      </c>
      <c r="AH6403">
        <v>20.864384832350002</v>
      </c>
      <c r="AI6403">
        <v>93.034433390846402</v>
      </c>
      <c r="AJ6403">
        <v>95.149222491780094</v>
      </c>
      <c r="AK6403">
        <v>20.978341503128298</v>
      </c>
      <c r="AL6403">
        <v>79.663445799521298</v>
      </c>
      <c r="AM6403">
        <v>93.128243825548296</v>
      </c>
      <c r="AN6403">
        <v>1.00000006333873</v>
      </c>
    </row>
    <row r="6404" spans="1:40" x14ac:dyDescent="0.25">
      <c r="A6404" t="str">
        <f>"20190312172535008"</f>
        <v>20190312172535008</v>
      </c>
      <c r="B6404" t="str">
        <f>"1552382734996331"</f>
        <v>1552382734996331</v>
      </c>
      <c r="C6404" t="s">
        <v>40</v>
      </c>
      <c r="D6404">
        <v>3.5470950000000001</v>
      </c>
      <c r="E6404">
        <v>0.49163400000000002</v>
      </c>
      <c r="F6404" t="s">
        <v>56</v>
      </c>
      <c r="G6404">
        <v>-245.29329999999999</v>
      </c>
      <c r="H6404" s="1">
        <v>-1.4747639999999999E-6</v>
      </c>
      <c r="I6404">
        <v>-61.198549999999997</v>
      </c>
      <c r="J6404">
        <v>-266.36110000000002</v>
      </c>
      <c r="K6404">
        <v>1.110465</v>
      </c>
      <c r="L6404">
        <v>-61.874110000000002</v>
      </c>
      <c r="M6404">
        <v>0.99838380000000004</v>
      </c>
      <c r="N6404">
        <v>0</v>
      </c>
      <c r="O6404">
        <v>-5.6828900000000002E-2</v>
      </c>
      <c r="P6404">
        <v>0.98379369999999999</v>
      </c>
      <c r="Q6404">
        <v>0.1792658</v>
      </c>
      <c r="R6404">
        <v>-3.7327430000000002E-3</v>
      </c>
      <c r="S6404">
        <v>3.0791930000000001</v>
      </c>
      <c r="T6404">
        <v>-0.161195</v>
      </c>
      <c r="U6404">
        <v>9.6954349999999995E-2</v>
      </c>
      <c r="V6404">
        <v>-5.2986980000000003E-2</v>
      </c>
      <c r="W6404">
        <v>0.17947959999999999</v>
      </c>
      <c r="X6404">
        <v>0.98233369999999998</v>
      </c>
      <c r="Y6404">
        <v>-8.802306E-2</v>
      </c>
      <c r="Z6404">
        <v>5.2735200000000003E-3</v>
      </c>
      <c r="AA6404">
        <v>0.99610449999999995</v>
      </c>
      <c r="AB6404">
        <v>31</v>
      </c>
      <c r="AC6404">
        <v>21.067799999999998</v>
      </c>
      <c r="AD6404">
        <v>-1.1104664747640001</v>
      </c>
      <c r="AE6404">
        <v>0.67555999999999705</v>
      </c>
      <c r="AF6404">
        <v>-1.86654788203565</v>
      </c>
      <c r="AG6404">
        <v>-1.1104664747640001</v>
      </c>
      <c r="AH6404">
        <v>20.937252328351999</v>
      </c>
      <c r="AI6404">
        <v>93.024028512235404</v>
      </c>
      <c r="AJ6404">
        <v>95.094428639863096</v>
      </c>
      <c r="AK6404">
        <v>21.049600277644</v>
      </c>
      <c r="AL6404">
        <v>79.660550782568293</v>
      </c>
      <c r="AM6404">
        <v>93.087536438236299</v>
      </c>
      <c r="AN6404">
        <v>1.00000002251068</v>
      </c>
    </row>
    <row r="6405" spans="1:40" x14ac:dyDescent="0.25">
      <c r="A6405" t="str">
        <f>"20190312172535032"</f>
        <v>20190312172535032</v>
      </c>
      <c r="B6405" t="str">
        <f>"1552382735026587"</f>
        <v>1552382735026587</v>
      </c>
      <c r="C6405" t="s">
        <v>40</v>
      </c>
      <c r="D6405">
        <v>3.5457420000000002</v>
      </c>
      <c r="E6405">
        <v>0.49186740000000001</v>
      </c>
      <c r="F6405" t="s">
        <v>56</v>
      </c>
      <c r="G6405">
        <v>-245.1883</v>
      </c>
      <c r="H6405" s="1">
        <v>-1.432106E-6</v>
      </c>
      <c r="I6405">
        <v>-61.207389999999997</v>
      </c>
      <c r="J6405">
        <v>-266.03410000000002</v>
      </c>
      <c r="K6405">
        <v>1.110358</v>
      </c>
      <c r="L6405">
        <v>-61.890689999999999</v>
      </c>
      <c r="M6405">
        <v>0.99850039999999995</v>
      </c>
      <c r="N6405">
        <v>0</v>
      </c>
      <c r="O6405">
        <v>-5.4742779999999998E-2</v>
      </c>
      <c r="P6405">
        <v>0.98373999999999995</v>
      </c>
      <c r="Q6405">
        <v>0.17956920000000001</v>
      </c>
      <c r="R6405">
        <v>-3.2593769999999999E-3</v>
      </c>
      <c r="S6405">
        <v>3.0791930000000001</v>
      </c>
      <c r="T6405">
        <v>-0.16149740000000001</v>
      </c>
      <c r="U6405">
        <v>9.6954349999999995E-2</v>
      </c>
      <c r="V6405">
        <v>-5.1353240000000001E-2</v>
      </c>
      <c r="W6405">
        <v>0.1799046</v>
      </c>
      <c r="X6405">
        <v>0.98234270000000001</v>
      </c>
      <c r="Y6405">
        <v>-8.5946629999999996E-2</v>
      </c>
      <c r="Z6405">
        <v>5.1197650000000001E-3</v>
      </c>
      <c r="AA6405">
        <v>0.99628660000000002</v>
      </c>
      <c r="AB6405">
        <v>31</v>
      </c>
      <c r="AC6405">
        <v>20.845800000000001</v>
      </c>
      <c r="AD6405">
        <v>-1.110359432106</v>
      </c>
      <c r="AE6405">
        <v>0.68329999999999502</v>
      </c>
      <c r="AF6405">
        <v>-1.81827924408799</v>
      </c>
      <c r="AG6405">
        <v>-1.110359432106</v>
      </c>
      <c r="AH6405">
        <v>20.718416546275002</v>
      </c>
      <c r="AI6405">
        <v>93.055986802477904</v>
      </c>
      <c r="AJ6405">
        <v>95.015513074006705</v>
      </c>
      <c r="AK6405">
        <v>20.827669616712001</v>
      </c>
      <c r="AL6405">
        <v>79.635796926776294</v>
      </c>
      <c r="AM6405">
        <v>92.992487276071998</v>
      </c>
      <c r="AN6405">
        <v>1.00000000030147</v>
      </c>
    </row>
    <row r="6406" spans="1:40" x14ac:dyDescent="0.25">
      <c r="A6406" t="str">
        <f>"20190312172535043"</f>
        <v>20190312172535043</v>
      </c>
      <c r="B6406" t="str">
        <f>"1552382735036348"</f>
        <v>1552382735036348</v>
      </c>
      <c r="C6406" t="s">
        <v>40</v>
      </c>
      <c r="D6406">
        <v>3.6066039999999999</v>
      </c>
      <c r="E6406">
        <v>0.49196319999999999</v>
      </c>
      <c r="F6406" t="s">
        <v>56</v>
      </c>
      <c r="G6406">
        <v>-244.92240000000001</v>
      </c>
      <c r="H6406" s="1">
        <v>-1.3249649999999999E-6</v>
      </c>
      <c r="I6406">
        <v>-61.233469999999997</v>
      </c>
      <c r="J6406">
        <v>-265.87790000000001</v>
      </c>
      <c r="K6406">
        <v>1.110304</v>
      </c>
      <c r="L6406">
        <v>-61.898470000000003</v>
      </c>
      <c r="M6406">
        <v>0.99855150000000004</v>
      </c>
      <c r="N6406">
        <v>0</v>
      </c>
      <c r="O6406">
        <v>-5.380364E-2</v>
      </c>
      <c r="P6406">
        <v>0.98376540000000001</v>
      </c>
      <c r="Q6406">
        <v>0.17943619999999999</v>
      </c>
      <c r="R6406">
        <v>-2.921828E-3</v>
      </c>
      <c r="S6406">
        <v>3.0794679999999999</v>
      </c>
      <c r="T6406">
        <v>-0.1619631</v>
      </c>
      <c r="U6406">
        <v>9.5855709999999997E-2</v>
      </c>
      <c r="V6406">
        <v>-5.074124E-2</v>
      </c>
      <c r="W6406">
        <v>0.17982999999999999</v>
      </c>
      <c r="X6406">
        <v>0.98238809999999999</v>
      </c>
      <c r="Y6406">
        <v>-8.4653629999999994E-2</v>
      </c>
      <c r="Z6406">
        <v>5.050789E-3</v>
      </c>
      <c r="AA6406">
        <v>0.99639759999999999</v>
      </c>
      <c r="AB6406">
        <v>31</v>
      </c>
      <c r="AC6406">
        <v>20.955500000000001</v>
      </c>
      <c r="AD6406">
        <v>-1.1103053249649999</v>
      </c>
      <c r="AE6406">
        <v>0.66499999999999904</v>
      </c>
      <c r="AF6406">
        <v>-1.7865087682190699</v>
      </c>
      <c r="AG6406">
        <v>-1.1103053249649999</v>
      </c>
      <c r="AH6406">
        <v>20.830947387966699</v>
      </c>
      <c r="AI6406">
        <v>93.039883591455904</v>
      </c>
      <c r="AJ6406">
        <v>94.901820142610006</v>
      </c>
      <c r="AK6406">
        <v>20.9368756163332</v>
      </c>
      <c r="AL6406">
        <v>79.640141432665999</v>
      </c>
      <c r="AM6406">
        <v>92.956751700508306</v>
      </c>
      <c r="AN6406">
        <v>0.99999994067917197</v>
      </c>
    </row>
    <row r="6407" spans="1:40" x14ac:dyDescent="0.25">
      <c r="A6407" t="str">
        <f>"20190312172535053"</f>
        <v>20190312172535053</v>
      </c>
      <c r="B6407" t="str">
        <f>"1552382735047084"</f>
        <v>1552382735047084</v>
      </c>
      <c r="C6407" t="s">
        <v>40</v>
      </c>
      <c r="D6407">
        <v>3.5921460000000001</v>
      </c>
      <c r="E6407">
        <v>0.4920544</v>
      </c>
      <c r="F6407" t="s">
        <v>56</v>
      </c>
      <c r="G6407">
        <v>-244.8715</v>
      </c>
      <c r="H6407" s="1">
        <v>-1.305967E-6</v>
      </c>
      <c r="I6407">
        <v>-61.244129999999998</v>
      </c>
      <c r="J6407">
        <v>-265.7192</v>
      </c>
      <c r="K6407">
        <v>1.110249</v>
      </c>
      <c r="L6407">
        <v>-61.906190000000002</v>
      </c>
      <c r="M6407">
        <v>0.99859869999999995</v>
      </c>
      <c r="N6407">
        <v>0</v>
      </c>
      <c r="O6407">
        <v>-5.2918989999999999E-2</v>
      </c>
      <c r="P6407">
        <v>0.98379399999999995</v>
      </c>
      <c r="Q6407">
        <v>0.17928520000000001</v>
      </c>
      <c r="R6407">
        <v>-2.5215319999999999E-3</v>
      </c>
      <c r="S6407">
        <v>3.0794980000000001</v>
      </c>
      <c r="T6407">
        <v>-0.16276879999999999</v>
      </c>
      <c r="U6407">
        <v>9.5916749999999995E-2</v>
      </c>
      <c r="V6407">
        <v>-5.0245070000000003E-2</v>
      </c>
      <c r="W6407">
        <v>0.17973989999999901</v>
      </c>
      <c r="X6407">
        <v>0.98243020000000003</v>
      </c>
      <c r="Y6407">
        <v>-8.3790840000000005E-2</v>
      </c>
      <c r="Z6407">
        <v>5.0063649999999996E-3</v>
      </c>
      <c r="AA6407">
        <v>0.99647079999999999</v>
      </c>
      <c r="AB6407">
        <v>31</v>
      </c>
      <c r="AC6407">
        <v>20.8477</v>
      </c>
      <c r="AD6407">
        <v>-1.1102503059669999</v>
      </c>
      <c r="AE6407">
        <v>0.66205999999999599</v>
      </c>
      <c r="AF6407">
        <v>-1.75938685903568</v>
      </c>
      <c r="AG6407">
        <v>-1.1102503059669999</v>
      </c>
      <c r="AH6407">
        <v>20.7247340881319</v>
      </c>
      <c r="AI6407">
        <v>93.055506820725796</v>
      </c>
      <c r="AJ6407">
        <v>94.852381703759406</v>
      </c>
      <c r="AK6407">
        <v>20.828891014296101</v>
      </c>
      <c r="AL6407">
        <v>79.645390418237398</v>
      </c>
      <c r="AM6407">
        <v>92.927764595968895</v>
      </c>
      <c r="AN6407">
        <v>1.00000004829167</v>
      </c>
    </row>
    <row r="6408" spans="1:40" x14ac:dyDescent="0.25">
      <c r="A6408" t="str">
        <f>"20190312172535065"</f>
        <v>20190312172535065</v>
      </c>
      <c r="B6408" t="str">
        <f>"1552382735056843"</f>
        <v>1552382735056843</v>
      </c>
      <c r="C6408" t="s">
        <v>40</v>
      </c>
      <c r="D6408">
        <v>3.627259</v>
      </c>
      <c r="E6408">
        <v>0.49209930000000002</v>
      </c>
      <c r="F6408" t="s">
        <v>56</v>
      </c>
      <c r="G6408">
        <v>-244.86590000000001</v>
      </c>
      <c r="H6408" s="1">
        <v>-1.306971E-6</v>
      </c>
      <c r="I6408">
        <v>-61.257040000000003</v>
      </c>
      <c r="J6408">
        <v>-265.55950000000001</v>
      </c>
      <c r="K6408">
        <v>1.110188</v>
      </c>
      <c r="L6408">
        <v>-61.913939999999997</v>
      </c>
      <c r="M6408">
        <v>0.99864390000000003</v>
      </c>
      <c r="N6408">
        <v>0</v>
      </c>
      <c r="O6408">
        <v>-5.205808E-2</v>
      </c>
      <c r="P6408">
        <v>0.98382610000000004</v>
      </c>
      <c r="Q6408">
        <v>0.1791112</v>
      </c>
      <c r="R6408">
        <v>-2.3977600000000001E-3</v>
      </c>
      <c r="S6408">
        <v>3.0795590000000002</v>
      </c>
      <c r="T6408">
        <v>-0.1639582</v>
      </c>
      <c r="U6408">
        <v>9.5855709999999997E-2</v>
      </c>
      <c r="V6408">
        <v>-4.9496060000000001E-2</v>
      </c>
      <c r="W6408">
        <v>0.17963019999999999</v>
      </c>
      <c r="X6408">
        <v>0.98248820000000003</v>
      </c>
      <c r="Y6408">
        <v>-8.2911070000000003E-2</v>
      </c>
      <c r="Z6408">
        <v>4.9736349999999997E-3</v>
      </c>
      <c r="AA6408">
        <v>0.99654450000000006</v>
      </c>
      <c r="AB6408">
        <v>31</v>
      </c>
      <c r="AC6408">
        <v>20.6936</v>
      </c>
      <c r="AD6408">
        <v>-1.110189306971</v>
      </c>
      <c r="AE6408">
        <v>0.65690000000000004</v>
      </c>
      <c r="AF6408">
        <v>-1.7283091139421101</v>
      </c>
      <c r="AG6408">
        <v>-1.110189306971</v>
      </c>
      <c r="AH6408">
        <v>20.572192313903098</v>
      </c>
      <c r="AI6408">
        <v>93.0781780556798</v>
      </c>
      <c r="AJ6408">
        <v>94.802250807947104</v>
      </c>
      <c r="AK6408">
        <v>20.674493205175899</v>
      </c>
      <c r="AL6408">
        <v>79.651778894838699</v>
      </c>
      <c r="AM6408">
        <v>92.884024287315697</v>
      </c>
      <c r="AN6408">
        <v>0.99999996592340101</v>
      </c>
    </row>
    <row r="6409" spans="1:40" x14ac:dyDescent="0.25">
      <c r="A6409" t="str">
        <f>"20190312172535076"</f>
        <v>20190312172535076</v>
      </c>
      <c r="B6409" t="str">
        <f>"1552382735066604"</f>
        <v>1552382735066604</v>
      </c>
      <c r="C6409" t="s">
        <v>40</v>
      </c>
      <c r="D6409">
        <v>3.572765</v>
      </c>
      <c r="E6409">
        <v>0.4921333</v>
      </c>
      <c r="F6409" t="s">
        <v>56</v>
      </c>
      <c r="G6409">
        <v>-244.83269999999999</v>
      </c>
      <c r="H6409" s="1">
        <v>-1.2959350000000001E-6</v>
      </c>
      <c r="I6409">
        <v>-61.268940000000001</v>
      </c>
      <c r="J6409">
        <v>-265.3963</v>
      </c>
      <c r="K6409">
        <v>1.110128</v>
      </c>
      <c r="L6409">
        <v>-61.921719999999901</v>
      </c>
      <c r="M6409">
        <v>0.99868659999999998</v>
      </c>
      <c r="N6409">
        <v>0</v>
      </c>
      <c r="O6409">
        <v>-5.123246E-2</v>
      </c>
      <c r="P6409">
        <v>0.98384950000000004</v>
      </c>
      <c r="Q6409">
        <v>0.17898739999999999</v>
      </c>
      <c r="R6409">
        <v>-1.9750940000000002E-3</v>
      </c>
      <c r="S6409">
        <v>3.0795590000000002</v>
      </c>
      <c r="T6409">
        <v>-0.1649505</v>
      </c>
      <c r="U6409">
        <v>9.5825199999999999E-2</v>
      </c>
      <c r="V6409">
        <v>-4.9079159999999997E-2</v>
      </c>
      <c r="W6409">
        <v>0.1795715</v>
      </c>
      <c r="X6409">
        <v>0.9825199</v>
      </c>
      <c r="Y6409">
        <v>-8.2077410000000003E-2</v>
      </c>
      <c r="Z6409">
        <v>4.9372359999999898E-3</v>
      </c>
      <c r="AA6409">
        <v>0.99661370000000005</v>
      </c>
      <c r="AB6409">
        <v>32</v>
      </c>
      <c r="AC6409">
        <v>20.563600000000001</v>
      </c>
      <c r="AD6409">
        <v>-1.110129295935</v>
      </c>
      <c r="AE6409">
        <v>0.65277999999999203</v>
      </c>
      <c r="AF6409">
        <v>-1.70049578546948</v>
      </c>
      <c r="AG6409">
        <v>-1.110129295935</v>
      </c>
      <c r="AH6409">
        <v>20.4436305283946</v>
      </c>
      <c r="AI6409">
        <v>93.097544360514405</v>
      </c>
      <c r="AJ6409">
        <v>94.754901780450794</v>
      </c>
      <c r="AK6409">
        <v>20.544247422371001</v>
      </c>
      <c r="AL6409">
        <v>79.655198322447404</v>
      </c>
      <c r="AM6409">
        <v>92.859680841287002</v>
      </c>
      <c r="AN6409">
        <v>1.0000000207272799</v>
      </c>
    </row>
    <row r="6410" spans="1:40" x14ac:dyDescent="0.25">
      <c r="A6410" t="str">
        <f>"20190312172535089"</f>
        <v>20190312172535089</v>
      </c>
      <c r="B6410" t="str">
        <f>"1552382735076364"</f>
        <v>1552382735076364</v>
      </c>
      <c r="C6410" t="s">
        <v>40</v>
      </c>
      <c r="D6410">
        <v>3.5831559999999998</v>
      </c>
      <c r="E6410">
        <v>0.49217139999999998</v>
      </c>
      <c r="F6410" t="s">
        <v>56</v>
      </c>
      <c r="G6410">
        <v>-244.7072</v>
      </c>
      <c r="H6410" s="1">
        <v>-1.2434259999999999E-6</v>
      </c>
      <c r="I6410">
        <v>-61.273980000000002</v>
      </c>
      <c r="J6410">
        <v>-265.23390000000001</v>
      </c>
      <c r="K6410">
        <v>1.1100699999999999</v>
      </c>
      <c r="L6410">
        <v>-61.929349999999999</v>
      </c>
      <c r="M6410">
        <v>0.99872559999999999</v>
      </c>
      <c r="N6410">
        <v>0</v>
      </c>
      <c r="O6410">
        <v>-5.0464210000000002E-2</v>
      </c>
      <c r="P6410">
        <v>0.98392049999999998</v>
      </c>
      <c r="Q6410">
        <v>0.17859839999999999</v>
      </c>
      <c r="R6410">
        <v>-1.7768720000000001E-3</v>
      </c>
      <c r="S6410">
        <v>3.0794980000000001</v>
      </c>
      <c r="T6410">
        <v>-0.16523869999999999</v>
      </c>
      <c r="U6410">
        <v>9.6405030000000003E-2</v>
      </c>
      <c r="V6410">
        <v>-4.8494540000000003E-2</v>
      </c>
      <c r="W6410">
        <v>0.17925070000000001</v>
      </c>
      <c r="X6410">
        <v>0.98260749999999997</v>
      </c>
      <c r="Y6410">
        <v>-8.1500069999999994E-2</v>
      </c>
      <c r="Z6410">
        <v>4.8893030000000002E-3</v>
      </c>
      <c r="AA6410">
        <v>0.99666140000000003</v>
      </c>
      <c r="AB6410">
        <v>32</v>
      </c>
      <c r="AC6410">
        <v>20.526700000000002</v>
      </c>
      <c r="AD6410">
        <v>-1.1100712434260001</v>
      </c>
      <c r="AE6410">
        <v>0.65536999999999701</v>
      </c>
      <c r="AF6410">
        <v>-1.6854746668018701</v>
      </c>
      <c r="AG6410">
        <v>-1.1100712434260001</v>
      </c>
      <c r="AH6410">
        <v>20.407849963305999</v>
      </c>
      <c r="AI6410">
        <v>93.102953115398705</v>
      </c>
      <c r="AJ6410">
        <v>94.721316015017706</v>
      </c>
      <c r="AK6410">
        <v>20.507399229125099</v>
      </c>
      <c r="AL6410">
        <v>79.673881920884</v>
      </c>
      <c r="AM6410">
        <v>92.8254209976689</v>
      </c>
      <c r="AN6410">
        <v>1.0000000164582701</v>
      </c>
    </row>
    <row r="6411" spans="1:40" x14ac:dyDescent="0.25">
      <c r="A6411" t="str">
        <f>"20190312172535099"</f>
        <v>20190312172535099</v>
      </c>
      <c r="B6411" t="str">
        <f>"1552382735096860"</f>
        <v>1552382735096860</v>
      </c>
      <c r="C6411" t="s">
        <v>40</v>
      </c>
      <c r="D6411">
        <v>3.6144919999999998</v>
      </c>
      <c r="E6411">
        <v>0.492342</v>
      </c>
      <c r="F6411" t="s">
        <v>56</v>
      </c>
      <c r="G6411">
        <v>-244.65280000000001</v>
      </c>
      <c r="H6411" s="1">
        <v>-1.22291E-6</v>
      </c>
      <c r="I6411">
        <v>-61.284550000000003</v>
      </c>
      <c r="J6411">
        <v>-265.06700000000001</v>
      </c>
      <c r="K6411">
        <v>1.1100110000000001</v>
      </c>
      <c r="L6411">
        <v>-61.937159999999999</v>
      </c>
      <c r="M6411">
        <v>0.99876339999999997</v>
      </c>
      <c r="N6411">
        <v>0</v>
      </c>
      <c r="O6411">
        <v>-4.971097E-2</v>
      </c>
      <c r="P6411">
        <v>0.98396240000000001</v>
      </c>
      <c r="Q6411">
        <v>0.1783718</v>
      </c>
      <c r="R6411">
        <v>-1.413922E-3</v>
      </c>
      <c r="S6411">
        <v>3.0793460000000001</v>
      </c>
      <c r="T6411">
        <v>-0.1660895</v>
      </c>
      <c r="U6411">
        <v>9.6466060000000006E-2</v>
      </c>
      <c r="V6411">
        <v>-4.8087350000000001E-2</v>
      </c>
      <c r="W6411">
        <v>0.179094</v>
      </c>
      <c r="X6411">
        <v>0.98265610000000003</v>
      </c>
      <c r="Y6411">
        <v>-8.0769850000000004E-2</v>
      </c>
      <c r="Z6411">
        <v>4.8544449999999998E-3</v>
      </c>
      <c r="AA6411">
        <v>0.99672099999999997</v>
      </c>
      <c r="AB6411">
        <v>32</v>
      </c>
      <c r="AC6411">
        <v>20.414199999999902</v>
      </c>
      <c r="AD6411">
        <v>-1.11001222291</v>
      </c>
      <c r="AE6411">
        <v>0.65260999999999503</v>
      </c>
      <c r="AF6411">
        <v>-1.6617051134549701</v>
      </c>
      <c r="AG6411">
        <v>-1.11001222291</v>
      </c>
      <c r="AH6411">
        <v>20.296571581942601</v>
      </c>
      <c r="AI6411">
        <v>93.119949035158697</v>
      </c>
      <c r="AJ6411">
        <v>94.680436603879997</v>
      </c>
      <c r="AK6411">
        <v>20.394710319100199</v>
      </c>
      <c r="AL6411">
        <v>79.683008014836105</v>
      </c>
      <c r="AM6411">
        <v>92.801596637545799</v>
      </c>
      <c r="AN6411">
        <v>1.0000000324666101</v>
      </c>
    </row>
    <row r="6412" spans="1:40" x14ac:dyDescent="0.25">
      <c r="A6412" t="str">
        <f>"20190312172535112"</f>
        <v>20190312172535112</v>
      </c>
      <c r="B6412" t="str">
        <f>"1552382735106619"</f>
        <v>1552382735106619</v>
      </c>
      <c r="C6412" t="s">
        <v>40</v>
      </c>
      <c r="D6412">
        <v>3.596241</v>
      </c>
      <c r="E6412">
        <v>0.4923843</v>
      </c>
      <c r="F6412" t="s">
        <v>56</v>
      </c>
      <c r="G6412">
        <v>-244.71600000000001</v>
      </c>
      <c r="H6412" s="1">
        <v>-1.254706E-6</v>
      </c>
      <c r="I6412">
        <v>-61.302219999999998</v>
      </c>
      <c r="J6412">
        <v>-264.90030000000002</v>
      </c>
      <c r="K6412">
        <v>1.1099460000000001</v>
      </c>
      <c r="L6412">
        <v>-61.944819999999901</v>
      </c>
      <c r="M6412">
        <v>0.99879629999999997</v>
      </c>
      <c r="N6412">
        <v>0</v>
      </c>
      <c r="O6412">
        <v>-4.9040609999999998E-2</v>
      </c>
      <c r="P6412">
        <v>0.98401590000000005</v>
      </c>
      <c r="Q6412">
        <v>0.17807770000000001</v>
      </c>
      <c r="R6412">
        <v>-1.168877E-3</v>
      </c>
      <c r="S6412">
        <v>3.0794980000000001</v>
      </c>
      <c r="T6412">
        <v>-0.1679659</v>
      </c>
      <c r="U6412">
        <v>9.6069340000000003E-2</v>
      </c>
      <c r="V6412">
        <v>-4.7643680000000001E-2</v>
      </c>
      <c r="W6412">
        <v>0.17887439999999999</v>
      </c>
      <c r="X6412">
        <v>0.98271770000000003</v>
      </c>
      <c r="Y6412">
        <v>-7.9968929999999994E-2</v>
      </c>
      <c r="Z6412">
        <v>4.8506419999999996E-3</v>
      </c>
      <c r="AA6412">
        <v>0.99678560000000005</v>
      </c>
      <c r="AB6412">
        <v>32</v>
      </c>
      <c r="AC6412">
        <v>20.1843</v>
      </c>
      <c r="AD6412">
        <v>-1.1099472547060001</v>
      </c>
      <c r="AE6412">
        <v>0.64259999999999395</v>
      </c>
      <c r="AF6412">
        <v>-1.62676337729009</v>
      </c>
      <c r="AG6412">
        <v>-1.1099472547060001</v>
      </c>
      <c r="AH6412">
        <v>20.067877233582401</v>
      </c>
      <c r="AI6412">
        <v>93.155454303764898</v>
      </c>
      <c r="AJ6412">
        <v>94.634437186294903</v>
      </c>
      <c r="AK6412">
        <v>20.164276298842299</v>
      </c>
      <c r="AL6412">
        <v>79.695796597244694</v>
      </c>
      <c r="AM6412">
        <v>92.775615059282103</v>
      </c>
      <c r="AN6412">
        <v>1.0000000245562899</v>
      </c>
    </row>
    <row r="6413" spans="1:40" x14ac:dyDescent="0.25">
      <c r="A6413" t="str">
        <f>"20190312172535124"</f>
        <v>20190312172535124</v>
      </c>
      <c r="B6413" t="str">
        <f>"1552382735116380"</f>
        <v>1552382735116380</v>
      </c>
      <c r="C6413" t="s">
        <v>40</v>
      </c>
      <c r="D6413">
        <v>3.5679110000000001</v>
      </c>
      <c r="E6413">
        <v>0.49245689999999998</v>
      </c>
      <c r="F6413" t="s">
        <v>56</v>
      </c>
      <c r="G6413">
        <v>-244.6456</v>
      </c>
      <c r="H6413" s="1">
        <v>-1.227588E-6</v>
      </c>
      <c r="I6413">
        <v>-61.313850000000002</v>
      </c>
      <c r="J6413">
        <v>-264.72890000000001</v>
      </c>
      <c r="K6413">
        <v>1.109877</v>
      </c>
      <c r="L6413">
        <v>-61.9527</v>
      </c>
      <c r="M6413">
        <v>0.99882850000000001</v>
      </c>
      <c r="N6413">
        <v>0</v>
      </c>
      <c r="O6413">
        <v>-4.8382069999999999E-2</v>
      </c>
      <c r="P6413">
        <v>0.98406329999999997</v>
      </c>
      <c r="Q6413">
        <v>0.17781820000000001</v>
      </c>
      <c r="R6413">
        <v>-8.0056300000000001E-4</v>
      </c>
      <c r="S6413">
        <v>3.0793149999999998</v>
      </c>
      <c r="T6413">
        <v>-0.1687447</v>
      </c>
      <c r="U6413">
        <v>9.5916749999999995E-2</v>
      </c>
      <c r="V6413">
        <v>-4.7332249999999999E-2</v>
      </c>
      <c r="W6413">
        <v>0.17869189999999999</v>
      </c>
      <c r="X6413">
        <v>0.98276589999999997</v>
      </c>
      <c r="Y6413">
        <v>-7.926445E-2</v>
      </c>
      <c r="Z6413">
        <v>4.818073E-3</v>
      </c>
      <c r="AA6413">
        <v>0.99684200000000001</v>
      </c>
      <c r="AB6413">
        <v>32</v>
      </c>
      <c r="AC6413">
        <v>20.083300000000001</v>
      </c>
      <c r="AD6413">
        <v>-1.1098782275879999</v>
      </c>
      <c r="AE6413">
        <v>0.63884999999999703</v>
      </c>
      <c r="AF6413">
        <v>-1.6048773894113399</v>
      </c>
      <c r="AG6413">
        <v>-1.1098782275879999</v>
      </c>
      <c r="AH6413">
        <v>19.967949485071799</v>
      </c>
      <c r="AI6413">
        <v>93.171191729248093</v>
      </c>
      <c r="AJ6413">
        <v>94.595137190494299</v>
      </c>
      <c r="AK6413">
        <v>20.063062272581799</v>
      </c>
      <c r="AL6413">
        <v>79.706423795713206</v>
      </c>
      <c r="AM6413">
        <v>92.757364900198795</v>
      </c>
      <c r="AN6413">
        <v>0.99999997560924103</v>
      </c>
    </row>
    <row r="6414" spans="1:40" x14ac:dyDescent="0.25">
      <c r="A6414" t="str">
        <f>"20190312172535133"</f>
        <v>20190312172535133</v>
      </c>
      <c r="B6414" t="str">
        <f>"1552382735127115"</f>
        <v>1552382735127115</v>
      </c>
      <c r="C6414" t="s">
        <v>40</v>
      </c>
      <c r="D6414">
        <v>3.572959</v>
      </c>
      <c r="E6414">
        <v>0.49252370000000001</v>
      </c>
      <c r="F6414" t="s">
        <v>56</v>
      </c>
      <c r="G6414">
        <v>-244.58320000000001</v>
      </c>
      <c r="H6414" s="1">
        <v>-1.203663E-6</v>
      </c>
      <c r="I6414">
        <v>-61.324530000000003</v>
      </c>
      <c r="J6414">
        <v>-264.5838</v>
      </c>
      <c r="K6414">
        <v>1.109815</v>
      </c>
      <c r="L6414">
        <v>-61.95926</v>
      </c>
      <c r="M6414">
        <v>0.99885179999999996</v>
      </c>
      <c r="N6414">
        <v>0</v>
      </c>
      <c r="O6414">
        <v>-4.789417E-2</v>
      </c>
      <c r="P6414">
        <v>0.98411029999999999</v>
      </c>
      <c r="Q6414">
        <v>0.17755760000000001</v>
      </c>
      <c r="R6414">
        <v>-5.2362769999999995E-4</v>
      </c>
      <c r="S6414">
        <v>3.0793149999999998</v>
      </c>
      <c r="T6414">
        <v>-0.16964770000000001</v>
      </c>
      <c r="U6414">
        <v>9.6008300000000005E-2</v>
      </c>
      <c r="V6414">
        <v>-4.7100549999999998E-2</v>
      </c>
      <c r="W6414">
        <v>0.17849999999999999</v>
      </c>
      <c r="X6414">
        <v>0.98281189999999996</v>
      </c>
      <c r="Y6414">
        <v>-7.8806509999999996E-2</v>
      </c>
      <c r="Z6414">
        <v>4.804376E-3</v>
      </c>
      <c r="AA6414">
        <v>0.99687829999999999</v>
      </c>
      <c r="AB6414">
        <v>32</v>
      </c>
      <c r="AC6414">
        <v>20.000599999999899</v>
      </c>
      <c r="AD6414">
        <v>-1.1098162036629999</v>
      </c>
      <c r="AE6414">
        <v>0.63472999999999702</v>
      </c>
      <c r="AF6414">
        <v>-1.5870326896495</v>
      </c>
      <c r="AG6414">
        <v>-1.1098162036629999</v>
      </c>
      <c r="AH6414">
        <v>19.886079180836798</v>
      </c>
      <c r="AI6414">
        <v>93.184186264050396</v>
      </c>
      <c r="AJ6414">
        <v>94.562888575149401</v>
      </c>
      <c r="AK6414">
        <v>19.980152901077599</v>
      </c>
      <c r="AL6414">
        <v>79.717598472853595</v>
      </c>
      <c r="AM6414">
        <v>92.743759544670894</v>
      </c>
      <c r="AN6414">
        <v>0.99999997129595497</v>
      </c>
    </row>
    <row r="6415" spans="1:40" x14ac:dyDescent="0.25">
      <c r="A6415" t="str">
        <f>"20190312172535143"</f>
        <v>20190312172535143</v>
      </c>
      <c r="B6415" t="str">
        <f>"1552382735136876"</f>
        <v>1552382735136876</v>
      </c>
      <c r="C6415" t="s">
        <v>40</v>
      </c>
      <c r="D6415">
        <v>3.609197</v>
      </c>
      <c r="E6415">
        <v>0.49260179999999998</v>
      </c>
      <c r="F6415" t="s">
        <v>56</v>
      </c>
      <c r="G6415">
        <v>-244.55760000000001</v>
      </c>
      <c r="H6415" s="1">
        <v>-1.1953729999999999E-6</v>
      </c>
      <c r="I6415">
        <v>-61.334609999999998</v>
      </c>
      <c r="J6415">
        <v>-264.44540000000001</v>
      </c>
      <c r="K6415">
        <v>1.1097589999999999</v>
      </c>
      <c r="L6415">
        <v>-61.96555</v>
      </c>
      <c r="M6415">
        <v>0.99887320000000002</v>
      </c>
      <c r="N6415">
        <v>0</v>
      </c>
      <c r="O6415">
        <v>-4.7444210000000001E-2</v>
      </c>
      <c r="P6415">
        <v>0.98419259999999997</v>
      </c>
      <c r="Q6415">
        <v>0.177100799999999</v>
      </c>
      <c r="R6415">
        <v>-4.8455319999999999E-4</v>
      </c>
      <c r="S6415">
        <v>3.079285</v>
      </c>
      <c r="T6415">
        <v>-0.17064869999999999</v>
      </c>
      <c r="U6415">
        <v>9.6038819999999997E-2</v>
      </c>
      <c r="V6415">
        <v>-4.667176E-2</v>
      </c>
      <c r="W6415">
        <v>0.17811440000000001</v>
      </c>
      <c r="X6415">
        <v>0.98290230000000001</v>
      </c>
      <c r="Y6415">
        <v>-7.8366710000000006E-2</v>
      </c>
      <c r="Z6415">
        <v>4.7956550000000002E-3</v>
      </c>
      <c r="AA6415">
        <v>0.9969131</v>
      </c>
      <c r="AB6415">
        <v>32</v>
      </c>
      <c r="AC6415">
        <v>19.887799999999999</v>
      </c>
      <c r="AD6415">
        <v>-1.1097601953730001</v>
      </c>
      <c r="AE6415">
        <v>0.63094000000000205</v>
      </c>
      <c r="AF6415">
        <v>-1.5689108041701501</v>
      </c>
      <c r="AG6415">
        <v>-1.1097601953730001</v>
      </c>
      <c r="AH6415">
        <v>19.773960225262002</v>
      </c>
      <c r="AI6415">
        <v>93.202159190650207</v>
      </c>
      <c r="AJ6415">
        <v>94.5364735550055</v>
      </c>
      <c r="AK6415">
        <v>19.867122383297499</v>
      </c>
      <c r="AL6415">
        <v>79.740051443249001</v>
      </c>
      <c r="AM6415">
        <v>92.718569108524306</v>
      </c>
      <c r="AN6415">
        <v>0.99999996200707297</v>
      </c>
    </row>
    <row r="6416" spans="1:40" x14ac:dyDescent="0.25">
      <c r="A6416" t="str">
        <f>"20190312172535154"</f>
        <v>20190312172535154</v>
      </c>
      <c r="B6416" t="str">
        <f>"1552382735146636"</f>
        <v>1552382735146636</v>
      </c>
      <c r="C6416" t="s">
        <v>40</v>
      </c>
      <c r="D6416">
        <v>3.5977679999999999</v>
      </c>
      <c r="E6416">
        <v>0.49264819999999998</v>
      </c>
      <c r="F6416" t="s">
        <v>56</v>
      </c>
      <c r="G6416">
        <v>-244.63249999999999</v>
      </c>
      <c r="H6416" s="1">
        <v>-1.232297E-6</v>
      </c>
      <c r="I6416">
        <v>-61.352649999999997</v>
      </c>
      <c r="J6416">
        <v>-264.28120000000001</v>
      </c>
      <c r="K6416">
        <v>1.1096969999999999</v>
      </c>
      <c r="L6416">
        <v>-61.972900000000003</v>
      </c>
      <c r="M6416">
        <v>0.99889499999999998</v>
      </c>
      <c r="N6416">
        <v>0</v>
      </c>
      <c r="O6416">
        <v>-4.6983259999999999E-2</v>
      </c>
      <c r="P6416">
        <v>0.98424299999999998</v>
      </c>
      <c r="Q6416">
        <v>0.17682120000000001</v>
      </c>
      <c r="R6416">
        <v>-3.3315550000000003E-4</v>
      </c>
      <c r="S6416">
        <v>3.0792540000000002</v>
      </c>
      <c r="T6416">
        <v>-0.1724753</v>
      </c>
      <c r="U6416">
        <v>9.5245360000000001E-2</v>
      </c>
      <c r="V6416">
        <v>-4.6337169999999997E-2</v>
      </c>
      <c r="W6416">
        <v>0.17794309999999999</v>
      </c>
      <c r="X6416">
        <v>0.98294919999999997</v>
      </c>
      <c r="Y6416">
        <v>-7.7648030000000007E-2</v>
      </c>
      <c r="Z6416">
        <v>4.8010839999999997E-3</v>
      </c>
      <c r="AA6416">
        <v>0.99696929999999995</v>
      </c>
      <c r="AB6416">
        <v>32</v>
      </c>
      <c r="AC6416">
        <v>19.648700000000002</v>
      </c>
      <c r="AD6416">
        <v>-1.1096982322969999</v>
      </c>
      <c r="AE6416">
        <v>0.62025000000000496</v>
      </c>
      <c r="AF6416">
        <v>-1.5378254157111799</v>
      </c>
      <c r="AG6416">
        <v>-1.1096982322969999</v>
      </c>
      <c r="AH6416">
        <v>19.535610467399</v>
      </c>
      <c r="AI6416">
        <v>93.2411229595251</v>
      </c>
      <c r="AJ6416">
        <v>94.500989666863404</v>
      </c>
      <c r="AK6416">
        <v>19.627440319866398</v>
      </c>
      <c r="AL6416">
        <v>79.750025989220305</v>
      </c>
      <c r="AM6416">
        <v>92.698980008977202</v>
      </c>
      <c r="AN6416">
        <v>1.0000000049709199</v>
      </c>
    </row>
    <row r="6417" spans="1:40" x14ac:dyDescent="0.25">
      <c r="A6417" t="str">
        <f>"20190312172535165"</f>
        <v>20190312172535165</v>
      </c>
      <c r="B6417" t="str">
        <f>"1552382735156396"</f>
        <v>1552382735156396</v>
      </c>
      <c r="C6417" t="s">
        <v>40</v>
      </c>
      <c r="D6417">
        <v>3.6278060000000001</v>
      </c>
      <c r="E6417">
        <v>0.49272070000000001</v>
      </c>
      <c r="F6417" t="s">
        <v>56</v>
      </c>
      <c r="G6417">
        <v>-244.5789</v>
      </c>
      <c r="H6417" s="1">
        <v>-1.2126179999999999E-6</v>
      </c>
      <c r="I6417">
        <v>-61.365160000000003</v>
      </c>
      <c r="J6417">
        <v>-264.12240000000003</v>
      </c>
      <c r="K6417">
        <v>1.109642</v>
      </c>
      <c r="L6417">
        <v>-61.98001</v>
      </c>
      <c r="M6417">
        <v>0.99891410000000003</v>
      </c>
      <c r="N6417">
        <v>0</v>
      </c>
      <c r="O6417">
        <v>-4.6571710000000002E-2</v>
      </c>
      <c r="P6417">
        <v>0.98428959999999999</v>
      </c>
      <c r="Q6417">
        <v>0.17656160000000001</v>
      </c>
      <c r="R6417">
        <v>-3.3023299999999998E-4</v>
      </c>
      <c r="S6417">
        <v>3.0791629999999999</v>
      </c>
      <c r="T6417">
        <v>-0.1734282</v>
      </c>
      <c r="U6417">
        <v>9.4970700000000005E-2</v>
      </c>
      <c r="V6417">
        <v>-4.590379E-2</v>
      </c>
      <c r="W6417">
        <v>0.1778122</v>
      </c>
      <c r="X6417">
        <v>0.98299320000000001</v>
      </c>
      <c r="Y6417">
        <v>-7.7148590000000003E-2</v>
      </c>
      <c r="Z6417">
        <v>4.790519E-3</v>
      </c>
      <c r="AA6417">
        <v>0.99700809999999995</v>
      </c>
      <c r="AB6417">
        <v>32</v>
      </c>
      <c r="AC6417">
        <v>19.543500000000002</v>
      </c>
      <c r="AD6417">
        <v>-1.109643212618</v>
      </c>
      <c r="AE6417">
        <v>0.614850000000004</v>
      </c>
      <c r="AF6417">
        <v>-1.5194643046608001</v>
      </c>
      <c r="AG6417">
        <v>-1.109643212618</v>
      </c>
      <c r="AH6417">
        <v>19.431080529212601</v>
      </c>
      <c r="AI6417">
        <v>93.258492181975598</v>
      </c>
      <c r="AJ6417">
        <v>94.471294772061697</v>
      </c>
      <c r="AK6417">
        <v>19.521961232550201</v>
      </c>
      <c r="AL6417">
        <v>79.757647331817196</v>
      </c>
      <c r="AM6417">
        <v>92.673654418670694</v>
      </c>
      <c r="AN6417">
        <v>0.99999998382572197</v>
      </c>
    </row>
    <row r="6418" spans="1:40" x14ac:dyDescent="0.25">
      <c r="A6418" t="str">
        <f>"20190312172535175"</f>
        <v>20190312172535175</v>
      </c>
      <c r="B6418" t="str">
        <f>"1552382735167132"</f>
        <v>1552382735167132</v>
      </c>
      <c r="C6418" t="s">
        <v>40</v>
      </c>
      <c r="D6418">
        <v>3.611205</v>
      </c>
      <c r="E6418">
        <v>0.4927877</v>
      </c>
      <c r="F6418" t="s">
        <v>56</v>
      </c>
      <c r="G6418">
        <v>-244.54900000000001</v>
      </c>
      <c r="H6418" s="1">
        <v>-1.2043470000000001E-6</v>
      </c>
      <c r="I6418">
        <v>-61.382269999999998</v>
      </c>
      <c r="J6418">
        <v>-263.9701</v>
      </c>
      <c r="K6418">
        <v>1.109599</v>
      </c>
      <c r="L6418">
        <v>-61.986820000000002</v>
      </c>
      <c r="M6418">
        <v>0.99892979999999998</v>
      </c>
      <c r="N6418">
        <v>0</v>
      </c>
      <c r="O6418">
        <v>-4.6228489999999997E-2</v>
      </c>
      <c r="P6418">
        <v>0.98436259999999998</v>
      </c>
      <c r="Q6418">
        <v>0.1761547</v>
      </c>
      <c r="R6418">
        <v>-1.72293699999999E-4</v>
      </c>
      <c r="S6418">
        <v>3.079224</v>
      </c>
      <c r="T6418">
        <v>-0.17456529999999901</v>
      </c>
      <c r="U6418">
        <v>9.4024659999999996E-2</v>
      </c>
      <c r="V6418">
        <v>-4.5694470000000001E-2</v>
      </c>
      <c r="W6418">
        <v>0.177564</v>
      </c>
      <c r="X6418">
        <v>0.98304780000000003</v>
      </c>
      <c r="Y6418">
        <v>-7.6498440000000001E-2</v>
      </c>
      <c r="Z6418">
        <v>4.7839650000000003E-3</v>
      </c>
      <c r="AA6418">
        <v>0.99705820000000001</v>
      </c>
      <c r="AB6418">
        <v>32</v>
      </c>
      <c r="AC6418">
        <v>19.421099999999999</v>
      </c>
      <c r="AD6418">
        <v>-1.1096002043469999</v>
      </c>
      <c r="AE6418">
        <v>0.60454999999999603</v>
      </c>
      <c r="AF6418">
        <v>-1.4968314510617</v>
      </c>
      <c r="AG6418">
        <v>-1.1096002043469999</v>
      </c>
      <c r="AH6418">
        <v>19.309419190421501</v>
      </c>
      <c r="AI6418">
        <v>93.279023266868904</v>
      </c>
      <c r="AJ6418">
        <v>94.432601367836895</v>
      </c>
      <c r="AK6418">
        <v>19.3991078783997</v>
      </c>
      <c r="AL6418">
        <v>79.772097936964499</v>
      </c>
      <c r="AM6418">
        <v>92.661332589393794</v>
      </c>
      <c r="AN6418">
        <v>0.99999996788470902</v>
      </c>
    </row>
    <row r="6419" spans="1:40" x14ac:dyDescent="0.25">
      <c r="A6419" t="str">
        <f>"20190312172535187"</f>
        <v>20190312172535187</v>
      </c>
      <c r="B6419" t="str">
        <f>"1552382735176892"</f>
        <v>1552382735176892</v>
      </c>
      <c r="C6419" t="s">
        <v>40</v>
      </c>
      <c r="D6419">
        <v>3.6123180000000001</v>
      </c>
      <c r="E6419">
        <v>0.4928633</v>
      </c>
      <c r="F6419" t="s">
        <v>56</v>
      </c>
      <c r="G6419">
        <v>-244.5667</v>
      </c>
      <c r="H6419" s="1">
        <v>-1.216026E-6</v>
      </c>
      <c r="I6419">
        <v>-61.397539999999999</v>
      </c>
      <c r="J6419">
        <v>-263.81200000000001</v>
      </c>
      <c r="K6419">
        <v>1.1095619999999999</v>
      </c>
      <c r="L6419">
        <v>-61.993839999999999</v>
      </c>
      <c r="M6419">
        <v>0.99894369999999999</v>
      </c>
      <c r="N6419">
        <v>0</v>
      </c>
      <c r="O6419">
        <v>-4.5918830000000001E-2</v>
      </c>
      <c r="P6419">
        <v>0.98439109999999996</v>
      </c>
      <c r="Q6419">
        <v>0.17599479999999901</v>
      </c>
      <c r="R6419" s="1">
        <v>-5.1951040000000001E-5</v>
      </c>
      <c r="S6419">
        <v>3.0791930000000001</v>
      </c>
      <c r="T6419">
        <v>-0.17608650000000001</v>
      </c>
      <c r="U6419">
        <v>9.3505859999999996E-2</v>
      </c>
      <c r="V6419">
        <v>-4.5476530000000001E-2</v>
      </c>
      <c r="W6419">
        <v>0.177616</v>
      </c>
      <c r="X6419">
        <v>0.98304860000000005</v>
      </c>
      <c r="Y6419">
        <v>-7.6019660000000003E-2</v>
      </c>
      <c r="Z6419">
        <v>4.7942879999999998E-3</v>
      </c>
      <c r="AA6419">
        <v>0.99709479999999995</v>
      </c>
      <c r="AB6419">
        <v>32</v>
      </c>
      <c r="AC6419">
        <v>19.2453</v>
      </c>
      <c r="AD6419">
        <v>-1.1095632160259901</v>
      </c>
      <c r="AE6419">
        <v>0.59630000000000605</v>
      </c>
      <c r="AF6419">
        <v>-1.4744975078309299</v>
      </c>
      <c r="AG6419">
        <v>-1.1095632160259901</v>
      </c>
      <c r="AH6419">
        <v>19.1340783059869</v>
      </c>
      <c r="AI6419">
        <v>93.309010946636704</v>
      </c>
      <c r="AJ6419">
        <v>94.406579949603397</v>
      </c>
      <c r="AK6419">
        <v>19.222856864956299</v>
      </c>
      <c r="AL6419">
        <v>79.769071324383205</v>
      </c>
      <c r="AM6419">
        <v>92.648655317286597</v>
      </c>
      <c r="AN6419">
        <v>1.0000000540993901</v>
      </c>
    </row>
    <row r="6420" spans="1:40" x14ac:dyDescent="0.25">
      <c r="A6420" t="str">
        <f>"20190312172535197"</f>
        <v>20190312172535197</v>
      </c>
      <c r="B6420" t="str">
        <f>"1552382735186651"</f>
        <v>1552382735186651</v>
      </c>
      <c r="C6420" t="s">
        <v>40</v>
      </c>
      <c r="D6420">
        <v>3.594039</v>
      </c>
      <c r="E6420">
        <v>0.49294159999999998</v>
      </c>
      <c r="F6420" t="s">
        <v>56</v>
      </c>
      <c r="G6420">
        <v>-244.51329999999999</v>
      </c>
      <c r="H6420" s="1">
        <v>-1.1970750000000001E-6</v>
      </c>
      <c r="I6420">
        <v>-61.412520000000001</v>
      </c>
      <c r="J6420">
        <v>-263.6472</v>
      </c>
      <c r="K6420">
        <v>1.1095349999999999</v>
      </c>
      <c r="L6420">
        <v>-62.001190000000001</v>
      </c>
      <c r="M6420">
        <v>0.99895610000000001</v>
      </c>
      <c r="N6420">
        <v>0</v>
      </c>
      <c r="O6420">
        <v>-4.56412E-2</v>
      </c>
      <c r="P6420">
        <v>0.98447399999999996</v>
      </c>
      <c r="Q6420">
        <v>0.175531399999999</v>
      </c>
      <c r="R6420" s="1">
        <v>9.0618619999999995E-5</v>
      </c>
      <c r="S6420">
        <v>3.079224</v>
      </c>
      <c r="T6420">
        <v>-0.17703749999999999</v>
      </c>
      <c r="U6420">
        <v>9.2742920000000006E-2</v>
      </c>
      <c r="V6420">
        <v>-4.5312699999999997E-2</v>
      </c>
      <c r="W6420">
        <v>0.17741889999999999</v>
      </c>
      <c r="X6420">
        <v>0.98309170000000001</v>
      </c>
      <c r="Y6420">
        <v>-7.5494610000000004E-2</v>
      </c>
      <c r="Z6420">
        <v>4.7890880000000004E-3</v>
      </c>
      <c r="AA6420">
        <v>0.99713470000000004</v>
      </c>
      <c r="AB6420">
        <v>33</v>
      </c>
      <c r="AC6420">
        <v>19.133900000000001</v>
      </c>
      <c r="AD6420">
        <v>-1.109536197075</v>
      </c>
      <c r="AE6420">
        <v>0.58867000000000702</v>
      </c>
      <c r="AF6420">
        <v>-1.4564594005532501</v>
      </c>
      <c r="AG6420">
        <v>-1.109536197075</v>
      </c>
      <c r="AH6420">
        <v>19.023185805160299</v>
      </c>
      <c r="AI6420">
        <v>93.328302709294206</v>
      </c>
      <c r="AJ6420">
        <v>94.378157010858402</v>
      </c>
      <c r="AK6420">
        <v>19.1110947550299</v>
      </c>
      <c r="AL6420">
        <v>79.780546003956005</v>
      </c>
      <c r="AM6420">
        <v>92.639011465671601</v>
      </c>
      <c r="AN6420">
        <v>0.99999999873369505</v>
      </c>
    </row>
    <row r="6421" spans="1:40" x14ac:dyDescent="0.25">
      <c r="A6421" t="str">
        <f>"20190312172535210"</f>
        <v>20190312172535210</v>
      </c>
      <c r="B6421" t="str">
        <f>"1552382735196412"</f>
        <v>1552382735196412</v>
      </c>
      <c r="C6421" t="s">
        <v>40</v>
      </c>
      <c r="D6421">
        <v>3.6336719999999998</v>
      </c>
      <c r="E6421">
        <v>0.4930078</v>
      </c>
      <c r="F6421" t="s">
        <v>56</v>
      </c>
      <c r="G6421">
        <v>-244.55179999999999</v>
      </c>
      <c r="H6421" s="1">
        <v>-1.218222E-6</v>
      </c>
      <c r="I6421">
        <v>-61.429769999999998</v>
      </c>
      <c r="J6421">
        <v>-263.4837</v>
      </c>
      <c r="K6421">
        <v>1.109524</v>
      </c>
      <c r="L6421">
        <v>-62.008450000000003</v>
      </c>
      <c r="M6421">
        <v>0.99896479999999999</v>
      </c>
      <c r="N6421">
        <v>0</v>
      </c>
      <c r="O6421">
        <v>-4.5429520000000001E-2</v>
      </c>
      <c r="P6421">
        <v>0.98453199999999996</v>
      </c>
      <c r="Q6421">
        <v>0.17520529999999901</v>
      </c>
      <c r="R6421" s="1">
        <v>9.9409369999999995E-5</v>
      </c>
      <c r="S6421">
        <v>3.0791629999999999</v>
      </c>
      <c r="T6421">
        <v>-0.17891499999999999</v>
      </c>
      <c r="U6421">
        <v>9.2132569999999997E-2</v>
      </c>
      <c r="V6421">
        <v>-4.508007E-2</v>
      </c>
      <c r="W6421">
        <v>0.1774326</v>
      </c>
      <c r="X6421">
        <v>0.98309990000000003</v>
      </c>
      <c r="Y6421">
        <v>-7.5083250000000004E-2</v>
      </c>
      <c r="Z6421">
        <v>4.8156819999999999E-3</v>
      </c>
      <c r="AA6421">
        <v>0.99716559999999999</v>
      </c>
      <c r="AB6421">
        <v>33</v>
      </c>
      <c r="AC6421">
        <v>18.931899999999999</v>
      </c>
      <c r="AD6421">
        <v>-1.1095252182219999</v>
      </c>
      <c r="AE6421">
        <v>0.57868000000000497</v>
      </c>
      <c r="AF6421">
        <v>-1.4332339246238599</v>
      </c>
      <c r="AG6421">
        <v>-1.1095252182219999</v>
      </c>
      <c r="AH6421">
        <v>18.821478991163598</v>
      </c>
      <c r="AI6421">
        <v>93.363962262469997</v>
      </c>
      <c r="AJ6421">
        <v>94.354603589316497</v>
      </c>
      <c r="AK6421">
        <v>18.908550370331799</v>
      </c>
      <c r="AL6421">
        <v>79.779748170695896</v>
      </c>
      <c r="AM6421">
        <v>92.625460233532095</v>
      </c>
      <c r="AN6421">
        <v>0.99999997681698705</v>
      </c>
    </row>
    <row r="6422" spans="1:40" x14ac:dyDescent="0.25">
      <c r="A6422" t="str">
        <f>"20190312172535220"</f>
        <v>20190312172535220</v>
      </c>
      <c r="B6422" t="str">
        <f>"1552382735216907"</f>
        <v>1552382735216907</v>
      </c>
      <c r="C6422" t="s">
        <v>40</v>
      </c>
      <c r="D6422">
        <v>3.6859169999999999</v>
      </c>
      <c r="E6422">
        <v>0.4931431</v>
      </c>
      <c r="F6422" t="s">
        <v>56</v>
      </c>
      <c r="G6422">
        <v>-244.5461</v>
      </c>
      <c r="H6422" s="1">
        <v>-1.220547E-6</v>
      </c>
      <c r="I6422">
        <v>-61.447769999999998</v>
      </c>
      <c r="J6422">
        <v>-263.31599999999997</v>
      </c>
      <c r="K6422">
        <v>1.109521</v>
      </c>
      <c r="L6422">
        <v>-62.015929999999997</v>
      </c>
      <c r="M6422">
        <v>0.99897279999999999</v>
      </c>
      <c r="N6422">
        <v>0</v>
      </c>
      <c r="O6422">
        <v>-4.5236829999999999E-2</v>
      </c>
      <c r="P6422">
        <v>0.9845566</v>
      </c>
      <c r="Q6422">
        <v>0.1750671</v>
      </c>
      <c r="R6422" s="1">
        <v>5.1261860000000002E-5</v>
      </c>
      <c r="S6422">
        <v>3.0791930000000001</v>
      </c>
      <c r="T6422">
        <v>-0.1804056</v>
      </c>
      <c r="U6422">
        <v>9.1156009999999996E-2</v>
      </c>
      <c r="V6422">
        <v>-4.4807630000000001E-2</v>
      </c>
      <c r="W6422">
        <v>0.17767040000000001</v>
      </c>
      <c r="X6422">
        <v>0.98306939999999998</v>
      </c>
      <c r="Y6422">
        <v>-7.4572509999999995E-2</v>
      </c>
      <c r="Z6422">
        <v>4.8294899999999997E-3</v>
      </c>
      <c r="AA6422">
        <v>0.99720390000000003</v>
      </c>
      <c r="AB6422">
        <v>33</v>
      </c>
      <c r="AC6422">
        <v>18.7698999999999</v>
      </c>
      <c r="AD6422">
        <v>-1.1095222205469999</v>
      </c>
      <c r="AE6422">
        <v>0.56816000000000599</v>
      </c>
      <c r="AF6422">
        <v>-1.4117436985468499</v>
      </c>
      <c r="AG6422">
        <v>-1.1095222205469999</v>
      </c>
      <c r="AH6422">
        <v>18.659841514628798</v>
      </c>
      <c r="AI6422">
        <v>93.393150744497305</v>
      </c>
      <c r="AJ6422">
        <v>94.326572255856306</v>
      </c>
      <c r="AK6422">
        <v>18.746032785081201</v>
      </c>
      <c r="AL6422">
        <v>79.765903188502307</v>
      </c>
      <c r="AM6422">
        <v>92.609696199480396</v>
      </c>
      <c r="AN6422">
        <v>0.99999996997936802</v>
      </c>
    </row>
    <row r="6423" spans="1:40" x14ac:dyDescent="0.25">
      <c r="A6423" t="str">
        <f>"20190312172535233"</f>
        <v>20190312172535233</v>
      </c>
      <c r="B6423" t="str">
        <f>"1552382735226668"</f>
        <v>1552382735226668</v>
      </c>
      <c r="C6423" t="s">
        <v>40</v>
      </c>
      <c r="D6423">
        <v>3.6522549999999998</v>
      </c>
      <c r="E6423">
        <v>0.49321799999999999</v>
      </c>
      <c r="F6423" t="s">
        <v>56</v>
      </c>
      <c r="G6423">
        <v>-244.47219999999999</v>
      </c>
      <c r="H6423" s="1">
        <v>-1.194119E-6</v>
      </c>
      <c r="I6423">
        <v>-61.467559999999999</v>
      </c>
      <c r="J6423">
        <v>-263.14949999999999</v>
      </c>
      <c r="K6423">
        <v>1.109564</v>
      </c>
      <c r="L6423">
        <v>-62.023380000000003</v>
      </c>
      <c r="M6423">
        <v>0.99897599999999998</v>
      </c>
      <c r="N6423">
        <v>0</v>
      </c>
      <c r="O6423">
        <v>-4.5126239999999998E-2</v>
      </c>
      <c r="P6423">
        <v>0.98458900000000005</v>
      </c>
      <c r="Q6423">
        <v>0.17488480000000001</v>
      </c>
      <c r="R6423">
        <v>-3.2561269999999999E-4</v>
      </c>
      <c r="S6423">
        <v>3.079285</v>
      </c>
      <c r="T6423">
        <v>-0.18130840000000001</v>
      </c>
      <c r="U6423">
        <v>8.9599609999999996E-2</v>
      </c>
      <c r="V6423">
        <v>-4.4291339999999998E-2</v>
      </c>
      <c r="W6423">
        <v>0.17803740000000001</v>
      </c>
      <c r="X6423">
        <v>0.98302639999999997</v>
      </c>
      <c r="Y6423">
        <v>-7.3956910000000001E-2</v>
      </c>
      <c r="Z6423">
        <v>4.8288979999999999E-3</v>
      </c>
      <c r="AA6423">
        <v>0.99724970000000002</v>
      </c>
      <c r="AB6423">
        <v>33</v>
      </c>
      <c r="AC6423">
        <v>18.677299999999999</v>
      </c>
      <c r="AD6423">
        <v>-1.1095651941189999</v>
      </c>
      <c r="AE6423">
        <v>0.55582000000000398</v>
      </c>
      <c r="AF6423">
        <v>-1.3931820732112601</v>
      </c>
      <c r="AG6423">
        <v>-1.1095651941189999</v>
      </c>
      <c r="AH6423">
        <v>18.5677194975612</v>
      </c>
      <c r="AI6423">
        <v>93.410236807030401</v>
      </c>
      <c r="AJ6423">
        <v>94.291003978111206</v>
      </c>
      <c r="AK6423">
        <v>18.652943428564601</v>
      </c>
      <c r="AL6423">
        <v>79.744534969929106</v>
      </c>
      <c r="AM6423">
        <v>92.579779865028897</v>
      </c>
      <c r="AN6423">
        <v>0.99999997084735703</v>
      </c>
    </row>
    <row r="6424" spans="1:40" x14ac:dyDescent="0.25">
      <c r="A6424" t="str">
        <f>"20190312172535243"</f>
        <v>20190312172535243</v>
      </c>
      <c r="B6424" t="str">
        <f>"1552382735236428"</f>
        <v>1552382735236428</v>
      </c>
      <c r="C6424" t="s">
        <v>40</v>
      </c>
      <c r="D6424">
        <v>3.6671469999999999</v>
      </c>
      <c r="E6424">
        <v>0.49328630000000001</v>
      </c>
      <c r="F6424" t="s">
        <v>56</v>
      </c>
      <c r="G6424">
        <v>-244.39750000000001</v>
      </c>
      <c r="H6424" s="1">
        <v>-1.1676540000000001E-6</v>
      </c>
      <c r="I6424">
        <v>-61.48865</v>
      </c>
      <c r="J6424">
        <v>-262.99040000000002</v>
      </c>
      <c r="K6424">
        <v>1.109607</v>
      </c>
      <c r="L6424">
        <v>-62.03049</v>
      </c>
      <c r="M6424">
        <v>0.99897780000000003</v>
      </c>
      <c r="N6424">
        <v>0</v>
      </c>
      <c r="O6424">
        <v>-4.5042819999999997E-2</v>
      </c>
      <c r="P6424">
        <v>0.98465349999999996</v>
      </c>
      <c r="Q6424">
        <v>0.17451949999999999</v>
      </c>
      <c r="R6424">
        <v>-5.7386049999999999E-4</v>
      </c>
      <c r="S6424">
        <v>3.0793460000000001</v>
      </c>
      <c r="T6424">
        <v>-0.18220620000000001</v>
      </c>
      <c r="U6424">
        <v>8.7799070000000007E-2</v>
      </c>
      <c r="V6424">
        <v>-4.3932850000000002E-2</v>
      </c>
      <c r="W6424">
        <v>0.1781993</v>
      </c>
      <c r="X6424">
        <v>0.98301320000000003</v>
      </c>
      <c r="Y6424">
        <v>-7.3289759999999995E-2</v>
      </c>
      <c r="Z6424">
        <v>4.8280629999999996E-3</v>
      </c>
      <c r="AA6424">
        <v>0.99729900000000005</v>
      </c>
      <c r="AB6424">
        <v>33</v>
      </c>
      <c r="AC6424">
        <v>18.5929</v>
      </c>
      <c r="AD6424">
        <v>-1.1096081676539999</v>
      </c>
      <c r="AE6424">
        <v>0.54183999999999999</v>
      </c>
      <c r="AF6424">
        <v>-1.37388370421726</v>
      </c>
      <c r="AG6424">
        <v>-1.1096081676539999</v>
      </c>
      <c r="AH6424">
        <v>18.483846628440599</v>
      </c>
      <c r="AI6424">
        <v>93.425985383109193</v>
      </c>
      <c r="AJ6424">
        <v>94.250914427402705</v>
      </c>
      <c r="AK6424">
        <v>18.5680201664624</v>
      </c>
      <c r="AL6424">
        <v>79.735108533044496</v>
      </c>
      <c r="AM6424">
        <v>92.558961550177003</v>
      </c>
      <c r="AN6424">
        <v>1.00000001860192</v>
      </c>
    </row>
    <row r="6425" spans="1:40" x14ac:dyDescent="0.25">
      <c r="A6425" t="str">
        <f>"20190312172535253"</f>
        <v>20190312172535253</v>
      </c>
      <c r="B6425" t="str">
        <f>"1552382735247163"</f>
        <v>1552382735247163</v>
      </c>
      <c r="C6425" t="s">
        <v>40</v>
      </c>
      <c r="D6425">
        <v>3.6365370000000001</v>
      </c>
      <c r="E6425">
        <v>0.49335839999999997</v>
      </c>
      <c r="F6425" t="s">
        <v>56</v>
      </c>
      <c r="G6425">
        <v>-244.381</v>
      </c>
      <c r="H6425" s="1">
        <v>-1.165848E-6</v>
      </c>
      <c r="I6425">
        <v>-61.508319999999998</v>
      </c>
      <c r="J6425">
        <v>-262.83100000000002</v>
      </c>
      <c r="K6425">
        <v>1.1096349999999999</v>
      </c>
      <c r="L6425">
        <v>-62.03763</v>
      </c>
      <c r="M6425">
        <v>0.99897590000000003</v>
      </c>
      <c r="N6425">
        <v>0</v>
      </c>
      <c r="O6425">
        <v>-4.5040700000000003E-2</v>
      </c>
      <c r="P6425">
        <v>0.98472040000000005</v>
      </c>
      <c r="Q6425">
        <v>0.17414109999999999</v>
      </c>
      <c r="R6425">
        <v>-7.9179649999999995E-4</v>
      </c>
      <c r="S6425">
        <v>3.0793759999999999</v>
      </c>
      <c r="T6425">
        <v>-0.1836121</v>
      </c>
      <c r="U6425">
        <v>8.6395260000000001E-2</v>
      </c>
      <c r="V6425">
        <v>-4.368462E-2</v>
      </c>
      <c r="W6425">
        <v>0.17834749999999999</v>
      </c>
      <c r="X6425">
        <v>0.98299740000000002</v>
      </c>
      <c r="Y6425">
        <v>-7.2830790000000006E-2</v>
      </c>
      <c r="Z6425">
        <v>4.8514379999999996E-3</v>
      </c>
      <c r="AA6425">
        <v>0.99733249999999996</v>
      </c>
      <c r="AB6425">
        <v>32</v>
      </c>
      <c r="AC6425">
        <v>18.4499999999999</v>
      </c>
      <c r="AD6425">
        <v>-1.1096361658479901</v>
      </c>
      <c r="AE6425">
        <v>0.52931000000000905</v>
      </c>
      <c r="AF6425">
        <v>-1.35488460505143</v>
      </c>
      <c r="AG6425">
        <v>-1.1096361658479901</v>
      </c>
      <c r="AH6425">
        <v>18.341146591118001</v>
      </c>
      <c r="AI6425">
        <v>93.452779477073904</v>
      </c>
      <c r="AJ6425">
        <v>94.224840744967594</v>
      </c>
      <c r="AK6425">
        <v>18.424566833183398</v>
      </c>
      <c r="AL6425">
        <v>79.726479208443493</v>
      </c>
      <c r="AM6425">
        <v>92.544562772479296</v>
      </c>
      <c r="AN6425">
        <v>1.0000000325937699</v>
      </c>
    </row>
    <row r="6426" spans="1:40" x14ac:dyDescent="0.25">
      <c r="A6426" t="str">
        <f>"20190312172535265"</f>
        <v>20190312172535265</v>
      </c>
      <c r="B6426" t="str">
        <f>"1552382735256924"</f>
        <v>1552382735256924</v>
      </c>
      <c r="C6426" t="s">
        <v>40</v>
      </c>
      <c r="D6426">
        <v>3.6493699999999998</v>
      </c>
      <c r="E6426">
        <v>0.4934095</v>
      </c>
      <c r="F6426" t="s">
        <v>56</v>
      </c>
      <c r="G6426">
        <v>-244.37799999999999</v>
      </c>
      <c r="H6426" s="1">
        <v>-1.1695359999999999E-6</v>
      </c>
      <c r="I6426">
        <v>-61.527160000000002</v>
      </c>
      <c r="J6426">
        <v>-262.66469999999998</v>
      </c>
      <c r="K6426">
        <v>1.1096410000000001</v>
      </c>
      <c r="L6426">
        <v>-62.045140000000004</v>
      </c>
      <c r="M6426">
        <v>0.99897159999999996</v>
      </c>
      <c r="N6426">
        <v>0</v>
      </c>
      <c r="O6426">
        <v>-4.5081610000000001E-2</v>
      </c>
      <c r="P6426">
        <v>0.98480849999999998</v>
      </c>
      <c r="Q6426">
        <v>0.17364109999999999</v>
      </c>
      <c r="R6426">
        <v>-1.0883399999999999E-3</v>
      </c>
      <c r="S6426">
        <v>3.0793759999999999</v>
      </c>
      <c r="T6426">
        <v>-0.185172</v>
      </c>
      <c r="U6426">
        <v>8.5174559999999996E-2</v>
      </c>
      <c r="V6426">
        <v>-4.3399989999999999E-2</v>
      </c>
      <c r="W6426">
        <v>0.17836350000000001</v>
      </c>
      <c r="X6426">
        <v>0.98300710000000002</v>
      </c>
      <c r="Y6426">
        <v>-7.2473679999999999E-2</v>
      </c>
      <c r="Z6426">
        <v>4.8843380000000002E-3</v>
      </c>
      <c r="AA6426">
        <v>0.99735839999999998</v>
      </c>
      <c r="AB6426">
        <v>32</v>
      </c>
      <c r="AC6426">
        <v>18.2867</v>
      </c>
      <c r="AD6426">
        <v>-1.1096421695359999</v>
      </c>
      <c r="AE6426">
        <v>0.51798000000000799</v>
      </c>
      <c r="AF6426">
        <v>-1.3369380913995701</v>
      </c>
      <c r="AG6426">
        <v>-1.1096421695359999</v>
      </c>
      <c r="AH6426">
        <v>18.177876919918699</v>
      </c>
      <c r="AI6426">
        <v>93.483816832062601</v>
      </c>
      <c r="AJ6426">
        <v>94.206389965610697</v>
      </c>
      <c r="AK6426">
        <v>18.260720646249499</v>
      </c>
      <c r="AL6426">
        <v>79.7255474895464</v>
      </c>
      <c r="AM6426">
        <v>92.527980173205705</v>
      </c>
      <c r="AN6426">
        <v>1.00000002795732</v>
      </c>
    </row>
    <row r="6427" spans="1:40" x14ac:dyDescent="0.25">
      <c r="A6427" t="str">
        <f>"20190312172535276"</f>
        <v>20190312172535276</v>
      </c>
      <c r="B6427" t="str">
        <f>"1552382735266683"</f>
        <v>1552382735266683</v>
      </c>
      <c r="C6427" t="s">
        <v>40</v>
      </c>
      <c r="D6427">
        <v>3.651195</v>
      </c>
      <c r="E6427">
        <v>0.4934789</v>
      </c>
      <c r="F6427" t="s">
        <v>56</v>
      </c>
      <c r="G6427">
        <v>-244.41319999999999</v>
      </c>
      <c r="H6427" s="1">
        <v>-1.190936E-6</v>
      </c>
      <c r="I6427">
        <v>-61.550730000000001</v>
      </c>
      <c r="J6427">
        <v>-262.50749999999999</v>
      </c>
      <c r="K6427">
        <v>1.1096349999999999</v>
      </c>
      <c r="L6427">
        <v>-62.052250000000001</v>
      </c>
      <c r="M6427">
        <v>0.9989652</v>
      </c>
      <c r="N6427">
        <v>0</v>
      </c>
      <c r="O6427">
        <v>-4.5179650000000002E-2</v>
      </c>
      <c r="P6427">
        <v>0.9848884</v>
      </c>
      <c r="Q6427">
        <v>0.17318549999999999</v>
      </c>
      <c r="R6427">
        <v>-1.457416E-3</v>
      </c>
      <c r="S6427">
        <v>3.0793460000000001</v>
      </c>
      <c r="T6427">
        <v>-0.18721640000000001</v>
      </c>
      <c r="U6427">
        <v>8.3404539999999999E-2</v>
      </c>
      <c r="V6427">
        <v>-4.3101050000000002E-2</v>
      </c>
      <c r="W6427">
        <v>0.17834800000000001</v>
      </c>
      <c r="X6427">
        <v>0.98302299999999998</v>
      </c>
      <c r="Y6427">
        <v>-7.1995050000000005E-2</v>
      </c>
      <c r="Z6427">
        <v>4.9296670000000004E-3</v>
      </c>
      <c r="AA6427">
        <v>0.99739279999999997</v>
      </c>
      <c r="AB6427">
        <v>32</v>
      </c>
      <c r="AC6427">
        <v>18.0943</v>
      </c>
      <c r="AD6427">
        <v>-1.109636190936</v>
      </c>
      <c r="AE6427">
        <v>0.50151999999999897</v>
      </c>
      <c r="AF6427">
        <v>-1.3135769062531399</v>
      </c>
      <c r="AG6427">
        <v>-1.109636190936</v>
      </c>
      <c r="AH6427">
        <v>17.985576374419999</v>
      </c>
      <c r="AI6427">
        <v>93.521084648943699</v>
      </c>
      <c r="AJ6427">
        <v>94.177181673871104</v>
      </c>
      <c r="AK6427">
        <v>18.067587948726601</v>
      </c>
      <c r="AL6427">
        <v>79.726449382170202</v>
      </c>
      <c r="AM6427">
        <v>92.510549196505195</v>
      </c>
      <c r="AN6427">
        <v>0.99999996407205005</v>
      </c>
    </row>
    <row r="6428" spans="1:40" x14ac:dyDescent="0.25">
      <c r="A6428" t="str">
        <f>"20190312172535289"</f>
        <v>20190312172535289</v>
      </c>
      <c r="B6428" t="str">
        <f>"1552382735276444"</f>
        <v>1552382735276444</v>
      </c>
      <c r="C6428" t="s">
        <v>40</v>
      </c>
      <c r="D6428">
        <v>3.6597360000000001</v>
      </c>
      <c r="E6428">
        <v>0.4935447</v>
      </c>
      <c r="F6428" t="s">
        <v>56</v>
      </c>
      <c r="G6428">
        <v>-244.41409999999999</v>
      </c>
      <c r="H6428" s="1">
        <v>-1.1973890000000001E-6</v>
      </c>
      <c r="I6428">
        <v>-61.573599999999999</v>
      </c>
      <c r="J6428">
        <v>-262.34140000000002</v>
      </c>
      <c r="K6428">
        <v>1.109613</v>
      </c>
      <c r="L6428">
        <v>-62.059809999999999</v>
      </c>
      <c r="M6428">
        <v>0.99895560000000005</v>
      </c>
      <c r="N6428">
        <v>0</v>
      </c>
      <c r="O6428">
        <v>-4.5335449999999999E-2</v>
      </c>
      <c r="P6428">
        <v>0.98496779999999995</v>
      </c>
      <c r="Q6428">
        <v>0.17272709999999999</v>
      </c>
      <c r="R6428">
        <v>-1.883008E-3</v>
      </c>
      <c r="S6428">
        <v>3.0793759999999999</v>
      </c>
      <c r="T6428">
        <v>-0.18885209999999999</v>
      </c>
      <c r="U6428">
        <v>8.1451419999999997E-2</v>
      </c>
      <c r="V6428">
        <v>-4.2800810000000002E-2</v>
      </c>
      <c r="W6428">
        <v>0.178319899999999</v>
      </c>
      <c r="X6428">
        <v>0.98304130000000001</v>
      </c>
      <c r="Y6428">
        <v>-7.1515120000000001E-2</v>
      </c>
      <c r="Z6428">
        <v>4.9674860000000001E-3</v>
      </c>
      <c r="AA6428">
        <v>0.99742719999999896</v>
      </c>
      <c r="AB6428">
        <v>32</v>
      </c>
      <c r="AC6428">
        <v>17.927299999999999</v>
      </c>
      <c r="AD6428">
        <v>-1.1096141973889999</v>
      </c>
      <c r="AE6428">
        <v>0.48620999999999898</v>
      </c>
      <c r="AF6428">
        <v>-1.2935136222844501</v>
      </c>
      <c r="AG6428">
        <v>-1.1096141973889999</v>
      </c>
      <c r="AH6428">
        <v>17.818610752439302</v>
      </c>
      <c r="AI6428">
        <v>93.554037198502996</v>
      </c>
      <c r="AJ6428">
        <v>94.1520125047915</v>
      </c>
      <c r="AK6428">
        <v>17.899924868697902</v>
      </c>
      <c r="AL6428">
        <v>79.728086481417705</v>
      </c>
      <c r="AM6428">
        <v>92.4930366135344</v>
      </c>
      <c r="AN6428">
        <v>1.0000000467891701</v>
      </c>
    </row>
    <row r="6429" spans="1:40" x14ac:dyDescent="0.25">
      <c r="A6429" t="str">
        <f>"20190312172535299"</f>
        <v>20190312172535299</v>
      </c>
      <c r="B6429" t="str">
        <f>"1552382735287180"</f>
        <v>1552382735287180</v>
      </c>
      <c r="C6429" t="s">
        <v>40</v>
      </c>
      <c r="D6429">
        <v>3.6485080000000001</v>
      </c>
      <c r="E6429">
        <v>0.49361270000000002</v>
      </c>
      <c r="F6429" t="s">
        <v>56</v>
      </c>
      <c r="G6429">
        <v>-244.40940000000001</v>
      </c>
      <c r="H6429" s="1">
        <v>-1.2020939999999999E-6</v>
      </c>
      <c r="I6429">
        <v>-61.598770000000002</v>
      </c>
      <c r="J6429">
        <v>-262.16800000000001</v>
      </c>
      <c r="K6429">
        <v>1.10958</v>
      </c>
      <c r="L6429">
        <v>-62.067749999999997</v>
      </c>
      <c r="M6429">
        <v>0.9989441</v>
      </c>
      <c r="N6429">
        <v>0</v>
      </c>
      <c r="O6429">
        <v>-4.5534119999999997E-2</v>
      </c>
      <c r="P6429">
        <v>0.98505229999999999</v>
      </c>
      <c r="Q6429">
        <v>0.17223949999999999</v>
      </c>
      <c r="R6429">
        <v>-2.4100850000000002E-3</v>
      </c>
      <c r="S6429">
        <v>3.0793759999999999</v>
      </c>
      <c r="T6429">
        <v>-0.19054879999999999</v>
      </c>
      <c r="U6429">
        <v>7.91626E-2</v>
      </c>
      <c r="V6429">
        <v>-4.2440360000000003E-2</v>
      </c>
      <c r="W6429">
        <v>0.178257</v>
      </c>
      <c r="X6429">
        <v>0.98306830000000001</v>
      </c>
      <c r="Y6429">
        <v>-7.0969420000000005E-2</v>
      </c>
      <c r="Z6429">
        <v>5.0074830000000001E-3</v>
      </c>
      <c r="AA6429">
        <v>0.99746590000000002</v>
      </c>
      <c r="AB6429">
        <v>32</v>
      </c>
      <c r="AC6429">
        <v>17.758600000000001</v>
      </c>
      <c r="AD6429">
        <v>-1.1095812020939999</v>
      </c>
      <c r="AE6429">
        <v>0.46898000000000201</v>
      </c>
      <c r="AF6429">
        <v>-1.2721678863188799</v>
      </c>
      <c r="AG6429">
        <v>-1.1095812020939999</v>
      </c>
      <c r="AH6429">
        <v>17.649968802023501</v>
      </c>
      <c r="AI6429">
        <v>93.587933436066706</v>
      </c>
      <c r="AJ6429">
        <v>94.122614500456706</v>
      </c>
      <c r="AK6429">
        <v>17.7305098710506</v>
      </c>
      <c r="AL6429">
        <v>79.731748709125398</v>
      </c>
      <c r="AM6429">
        <v>92.471999677587903</v>
      </c>
      <c r="AN6429">
        <v>1.0000000123354</v>
      </c>
    </row>
    <row r="6430" spans="1:40" x14ac:dyDescent="0.25">
      <c r="A6430" t="str">
        <f>"20190312172535312"</f>
        <v>20190312172535312</v>
      </c>
      <c r="B6430" t="str">
        <f>"1552382735306702"</f>
        <v>1552382735306702</v>
      </c>
      <c r="C6430" t="s">
        <v>40</v>
      </c>
      <c r="D6430">
        <v>3.679881</v>
      </c>
      <c r="E6430">
        <v>0.49372650000000001</v>
      </c>
      <c r="F6430" t="s">
        <v>56</v>
      </c>
      <c r="G6430">
        <v>-244.40559999999999</v>
      </c>
      <c r="H6430" s="1">
        <v>-1.2074770000000001E-6</v>
      </c>
      <c r="I6430">
        <v>-61.625140000000002</v>
      </c>
      <c r="J6430">
        <v>-261.99740000000003</v>
      </c>
      <c r="K6430">
        <v>1.1095360000000001</v>
      </c>
      <c r="L6430">
        <v>-62.075679999999998</v>
      </c>
      <c r="M6430">
        <v>0.99892999999999998</v>
      </c>
      <c r="N6430">
        <v>0</v>
      </c>
      <c r="O6430">
        <v>-4.578985E-2</v>
      </c>
      <c r="P6430">
        <v>0.98514639999999998</v>
      </c>
      <c r="Q6430">
        <v>0.17169079999999901</v>
      </c>
      <c r="R6430">
        <v>-3.0015710000000002E-3</v>
      </c>
      <c r="S6430">
        <v>3.0793460000000001</v>
      </c>
      <c r="T6430">
        <v>-0.19236049999999999</v>
      </c>
      <c r="U6430">
        <v>7.6721189999999995E-2</v>
      </c>
      <c r="V6430">
        <v>-4.2070799999999998E-2</v>
      </c>
      <c r="W6430">
        <v>0.17809700000000001</v>
      </c>
      <c r="X6430">
        <v>0.98311320000000002</v>
      </c>
      <c r="Y6430">
        <v>-7.0431099999999996E-2</v>
      </c>
      <c r="Z6430">
        <v>5.0542520000000004E-3</v>
      </c>
      <c r="AA6430">
        <v>0.99750380000000005</v>
      </c>
      <c r="AB6430">
        <v>32</v>
      </c>
      <c r="AC6430">
        <v>17.591799999999999</v>
      </c>
      <c r="AD6430">
        <v>-1.109537207477</v>
      </c>
      <c r="AE6430">
        <v>0.45054000000000299</v>
      </c>
      <c r="AF6430">
        <v>-1.25063850374237</v>
      </c>
      <c r="AG6430">
        <v>-1.109537207477</v>
      </c>
      <c r="AH6430">
        <v>17.483214113461301</v>
      </c>
      <c r="AI6430">
        <v>93.6220615684704</v>
      </c>
      <c r="AJ6430">
        <v>94.091607986253706</v>
      </c>
      <c r="AK6430">
        <v>17.5629708540142</v>
      </c>
      <c r="AL6430">
        <v>79.741065281495594</v>
      </c>
      <c r="AM6430">
        <v>92.450388699332194</v>
      </c>
      <c r="AN6430">
        <v>1.00000002881793</v>
      </c>
    </row>
    <row r="6431" spans="1:40" x14ac:dyDescent="0.25">
      <c r="A6431" t="str">
        <f>"20190312172535324"</f>
        <v>20190312172535324</v>
      </c>
      <c r="B6431" t="str">
        <f>"1552382735316460"</f>
        <v>1552382735316460</v>
      </c>
      <c r="C6431" t="s">
        <v>40</v>
      </c>
      <c r="D6431">
        <v>3.643913</v>
      </c>
      <c r="E6431">
        <v>0.49379459999999997</v>
      </c>
      <c r="F6431" t="s">
        <v>56</v>
      </c>
      <c r="G6431">
        <v>-244.446</v>
      </c>
      <c r="H6431" s="1">
        <v>-1.232921E-6</v>
      </c>
      <c r="I6431">
        <v>-61.655729999999998</v>
      </c>
      <c r="J6431">
        <v>-261.83319999999998</v>
      </c>
      <c r="K6431">
        <v>1.109491</v>
      </c>
      <c r="L6431">
        <v>-62.083309999999997</v>
      </c>
      <c r="M6431">
        <v>0.99891549999999996</v>
      </c>
      <c r="N6431">
        <v>0</v>
      </c>
      <c r="O6431">
        <v>-4.6051729999999999E-2</v>
      </c>
      <c r="P6431">
        <v>0.98520149999999995</v>
      </c>
      <c r="Q6431">
        <v>0.1713655</v>
      </c>
      <c r="R6431">
        <v>-3.4703960000000002E-3</v>
      </c>
      <c r="S6431">
        <v>3.0794069999999998</v>
      </c>
      <c r="T6431">
        <v>-0.19466910000000001</v>
      </c>
      <c r="U6431">
        <v>7.3669429999999994E-2</v>
      </c>
      <c r="V6431">
        <v>-4.1829060000000001E-2</v>
      </c>
      <c r="W6431">
        <v>0.178137299999999</v>
      </c>
      <c r="X6431">
        <v>0.98311610000000005</v>
      </c>
      <c r="Y6431">
        <v>-6.9699730000000001E-2</v>
      </c>
      <c r="Z6431">
        <v>5.108179E-3</v>
      </c>
      <c r="AA6431">
        <v>0.99755499999999997</v>
      </c>
      <c r="AB6431">
        <v>32</v>
      </c>
      <c r="AC6431">
        <v>17.387199999999901</v>
      </c>
      <c r="AD6431">
        <v>-1.109492232921</v>
      </c>
      <c r="AE6431">
        <v>0.42757999999999102</v>
      </c>
      <c r="AF6431">
        <v>-1.22287947910713</v>
      </c>
      <c r="AG6431">
        <v>-1.109492232921</v>
      </c>
      <c r="AH6431">
        <v>17.278747493872999</v>
      </c>
      <c r="AI6431">
        <v>93.664855313618204</v>
      </c>
      <c r="AJ6431">
        <v>94.048279482520698</v>
      </c>
      <c r="AK6431">
        <v>17.3574630114069</v>
      </c>
      <c r="AL6431">
        <v>79.738717578894196</v>
      </c>
      <c r="AM6431">
        <v>92.436318533872296</v>
      </c>
      <c r="AN6431">
        <v>0.99999991699548796</v>
      </c>
    </row>
    <row r="6432" spans="1:40" x14ac:dyDescent="0.25">
      <c r="A6432" t="str">
        <f>"20190312172535334"</f>
        <v>20190312172535334</v>
      </c>
      <c r="B6432" t="str">
        <f>"1552382735327196"</f>
        <v>1552382735327196</v>
      </c>
      <c r="C6432" t="s">
        <v>40</v>
      </c>
      <c r="D6432">
        <v>3.6528740000000002</v>
      </c>
      <c r="E6432">
        <v>0.4938613</v>
      </c>
      <c r="F6432" t="s">
        <v>56</v>
      </c>
      <c r="G6432">
        <v>-244.40809999999999</v>
      </c>
      <c r="H6432" s="1">
        <v>-1.2229359999999999E-6</v>
      </c>
      <c r="I6432">
        <v>-61.67933</v>
      </c>
      <c r="J6432">
        <v>-261.67720000000003</v>
      </c>
      <c r="K6432">
        <v>1.1094459999999999</v>
      </c>
      <c r="L6432">
        <v>-62.090699999999998</v>
      </c>
      <c r="M6432">
        <v>0.99889969999999995</v>
      </c>
      <c r="N6432">
        <v>0</v>
      </c>
      <c r="O6432">
        <v>-4.6344339999999998E-2</v>
      </c>
      <c r="P6432">
        <v>0.98525039999999997</v>
      </c>
      <c r="Q6432">
        <v>0.17106869999999999</v>
      </c>
      <c r="R6432">
        <v>-4.2042039999999996E-3</v>
      </c>
      <c r="S6432">
        <v>3.0794069999999998</v>
      </c>
      <c r="T6432">
        <v>-0.1960721</v>
      </c>
      <c r="U6432">
        <v>7.1380620000000006E-2</v>
      </c>
      <c r="V6432">
        <v>-4.1354429999999998E-2</v>
      </c>
      <c r="W6432">
        <v>0.1781664</v>
      </c>
      <c r="X6432">
        <v>0.98313099999999998</v>
      </c>
      <c r="Y6432">
        <v>-6.9247980000000001E-2</v>
      </c>
      <c r="Z6432">
        <v>5.1491920000000004E-3</v>
      </c>
      <c r="AA6432">
        <v>0.99758619999999998</v>
      </c>
      <c r="AB6432">
        <v>32</v>
      </c>
      <c r="AC6432">
        <v>17.269100000000002</v>
      </c>
      <c r="AD6432">
        <v>-1.109447222936</v>
      </c>
      <c r="AE6432">
        <v>0.41136999999999002</v>
      </c>
      <c r="AF6432">
        <v>-1.20629763899995</v>
      </c>
      <c r="AG6432">
        <v>-1.109447222936</v>
      </c>
      <c r="AH6432">
        <v>17.160690214684301</v>
      </c>
      <c r="AI6432">
        <v>93.68997285332</v>
      </c>
      <c r="AJ6432">
        <v>94.020948977023394</v>
      </c>
      <c r="AK6432">
        <v>17.238773615854999</v>
      </c>
      <c r="AL6432">
        <v>79.737024121204996</v>
      </c>
      <c r="AM6432">
        <v>92.408670164761205</v>
      </c>
      <c r="AN6432">
        <v>1.0000000090652901</v>
      </c>
    </row>
    <row r="6433" spans="1:40" x14ac:dyDescent="0.25">
      <c r="A6433" t="str">
        <f>"20190312172535344"</f>
        <v>20190312172535344</v>
      </c>
      <c r="B6433" t="str">
        <f>"1552382735336956"</f>
        <v>1552382735336956</v>
      </c>
      <c r="C6433" t="s">
        <v>40</v>
      </c>
      <c r="D6433">
        <v>3.6702379999999999</v>
      </c>
      <c r="E6433">
        <v>0.49391160000000001</v>
      </c>
      <c r="F6433" t="s">
        <v>56</v>
      </c>
      <c r="G6433">
        <v>-244.37</v>
      </c>
      <c r="H6433" s="1">
        <v>-1.214042E-6</v>
      </c>
      <c r="I6433">
        <v>-61.70729</v>
      </c>
      <c r="J6433">
        <v>-261.52789999999999</v>
      </c>
      <c r="K6433">
        <v>1.1093980000000001</v>
      </c>
      <c r="L6433">
        <v>-62.097839999999998</v>
      </c>
      <c r="M6433">
        <v>0.99888390000000005</v>
      </c>
      <c r="N6433">
        <v>0</v>
      </c>
      <c r="O6433">
        <v>-4.6637770000000002E-2</v>
      </c>
      <c r="P6433">
        <v>0.98527439999999999</v>
      </c>
      <c r="Q6433">
        <v>0.17091489999999901</v>
      </c>
      <c r="R6433">
        <v>-4.773607E-3</v>
      </c>
      <c r="S6433">
        <v>3.079437</v>
      </c>
      <c r="T6433">
        <v>-0.19740179999999999</v>
      </c>
      <c r="U6433">
        <v>6.8206790000000003E-2</v>
      </c>
      <c r="V6433">
        <v>-4.1044839999999999E-2</v>
      </c>
      <c r="W6433">
        <v>0.17831469999999999</v>
      </c>
      <c r="X6433">
        <v>0.98311709999999997</v>
      </c>
      <c r="Y6433">
        <v>-6.8510989999999994E-2</v>
      </c>
      <c r="Z6433">
        <v>5.1792219999999998E-3</v>
      </c>
      <c r="AA6433">
        <v>0.99763690000000005</v>
      </c>
      <c r="AB6433">
        <v>32</v>
      </c>
      <c r="AC6433">
        <v>17.157899999999898</v>
      </c>
      <c r="AD6433">
        <v>-1.1093992140419999</v>
      </c>
      <c r="AE6433">
        <v>0.39055000000000401</v>
      </c>
      <c r="AF6433">
        <v>-1.18540033660407</v>
      </c>
      <c r="AG6433">
        <v>-1.1093992140419999</v>
      </c>
      <c r="AH6433">
        <v>17.049771182069399</v>
      </c>
      <c r="AI6433">
        <v>93.713949086388794</v>
      </c>
      <c r="AJ6433">
        <v>93.977139405868201</v>
      </c>
      <c r="AK6433">
        <v>17.126898082696201</v>
      </c>
      <c r="AL6433">
        <v>79.728389011974301</v>
      </c>
      <c r="AM6433">
        <v>92.390692996246599</v>
      </c>
      <c r="AN6433">
        <v>1.0000000217195599</v>
      </c>
    </row>
    <row r="6434" spans="1:40" x14ac:dyDescent="0.25">
      <c r="A6434" t="str">
        <f>"20190312172535355"</f>
        <v>20190312172535355</v>
      </c>
      <c r="B6434" t="str">
        <f>"1552382735346716"</f>
        <v>1552382735346716</v>
      </c>
      <c r="C6434" t="s">
        <v>40</v>
      </c>
      <c r="D6434">
        <v>3.6664460000000001</v>
      </c>
      <c r="E6434">
        <v>0.49396390000000001</v>
      </c>
      <c r="F6434" t="s">
        <v>56</v>
      </c>
      <c r="G6434">
        <v>-244.28280000000001</v>
      </c>
      <c r="H6434" s="1">
        <v>-1.182579E-6</v>
      </c>
      <c r="I6434">
        <v>-61.729669999999999</v>
      </c>
      <c r="J6434">
        <v>-261.36410000000001</v>
      </c>
      <c r="K6434">
        <v>1.1093459999999999</v>
      </c>
      <c r="L6434">
        <v>-62.105710000000002</v>
      </c>
      <c r="M6434">
        <v>0.9988648</v>
      </c>
      <c r="N6434">
        <v>0</v>
      </c>
      <c r="O6434">
        <v>-4.6994429999999997E-2</v>
      </c>
      <c r="P6434">
        <v>0.98531610000000003</v>
      </c>
      <c r="Q6434">
        <v>0.170651</v>
      </c>
      <c r="R6434">
        <v>-5.5395940000000001E-3</v>
      </c>
      <c r="S6434">
        <v>3.0795590000000002</v>
      </c>
      <c r="T6434">
        <v>-0.19811190000000001</v>
      </c>
      <c r="U6434">
        <v>6.5734860000000006E-2</v>
      </c>
      <c r="V6434">
        <v>-4.0601030000000003E-2</v>
      </c>
      <c r="W6434">
        <v>0.1783593</v>
      </c>
      <c r="X6434">
        <v>0.98312739999999998</v>
      </c>
      <c r="Y6434">
        <v>-6.8064520000000003E-2</v>
      </c>
      <c r="Z6434">
        <v>5.2062100000000002E-3</v>
      </c>
      <c r="AA6434">
        <v>0.99766730000000003</v>
      </c>
      <c r="AB6434">
        <v>32</v>
      </c>
      <c r="AC6434">
        <v>17.081299999999999</v>
      </c>
      <c r="AD6434">
        <v>-1.109347182579</v>
      </c>
      <c r="AE6434">
        <v>0.37603999999999599</v>
      </c>
      <c r="AF6434">
        <v>-1.17342783456855</v>
      </c>
      <c r="AG6434">
        <v>-1.109347182579</v>
      </c>
      <c r="AH6434">
        <v>16.9731982298098</v>
      </c>
      <c r="AI6434">
        <v>93.730583067628302</v>
      </c>
      <c r="AJ6434">
        <v>93.954803005188495</v>
      </c>
      <c r="AK6434">
        <v>17.049839946546498</v>
      </c>
      <c r="AL6434">
        <v>79.725791597706106</v>
      </c>
      <c r="AM6434">
        <v>92.364847651407999</v>
      </c>
      <c r="AN6434">
        <v>0.99999998408215496</v>
      </c>
    </row>
    <row r="6435" spans="1:40" x14ac:dyDescent="0.25">
      <c r="A6435" t="str">
        <f>"20190312172535366"</f>
        <v>20190312172535366</v>
      </c>
      <c r="B6435" t="str">
        <f>"1552382735356476"</f>
        <v>1552382735356476</v>
      </c>
      <c r="C6435" t="s">
        <v>40</v>
      </c>
      <c r="D6435">
        <v>3.6695630000000001</v>
      </c>
      <c r="E6435">
        <v>0.49402469999999998</v>
      </c>
      <c r="F6435" t="s">
        <v>56</v>
      </c>
      <c r="G6435">
        <v>-244.21700000000001</v>
      </c>
      <c r="H6435" s="1">
        <v>-1.161713E-6</v>
      </c>
      <c r="I6435">
        <v>-61.757309999999997</v>
      </c>
      <c r="J6435">
        <v>-261.21030000000002</v>
      </c>
      <c r="K6435">
        <v>1.109297</v>
      </c>
      <c r="L6435">
        <v>-62.113250000000001</v>
      </c>
      <c r="M6435">
        <v>0.99884580000000001</v>
      </c>
      <c r="N6435">
        <v>0</v>
      </c>
      <c r="O6435">
        <v>-4.7350129999999997E-2</v>
      </c>
      <c r="P6435">
        <v>0.98536369999999895</v>
      </c>
      <c r="Q6435">
        <v>0.17036189999999901</v>
      </c>
      <c r="R6435">
        <v>-5.9663889999999999E-3</v>
      </c>
      <c r="S6435">
        <v>3.0796199999999998</v>
      </c>
      <c r="T6435">
        <v>-0.1992381</v>
      </c>
      <c r="U6435">
        <v>6.2561039999999998E-2</v>
      </c>
      <c r="V6435">
        <v>-4.0499399999999998E-2</v>
      </c>
      <c r="W6435">
        <v>0.1783457</v>
      </c>
      <c r="X6435">
        <v>0.98313410000000001</v>
      </c>
      <c r="Y6435">
        <v>-6.7389690000000002E-2</v>
      </c>
      <c r="Z6435">
        <v>5.2368520000000002E-3</v>
      </c>
      <c r="AA6435">
        <v>0.99771299999999996</v>
      </c>
      <c r="AB6435">
        <v>32</v>
      </c>
      <c r="AC6435">
        <v>16.993300000000001</v>
      </c>
      <c r="AD6435">
        <v>-1.109298161713</v>
      </c>
      <c r="AE6435">
        <v>0.35594000000000298</v>
      </c>
      <c r="AF6435">
        <v>-1.1552810353723599</v>
      </c>
      <c r="AG6435">
        <v>-1.109298161713</v>
      </c>
      <c r="AH6435">
        <v>16.885461629718499</v>
      </c>
      <c r="AI6435">
        <v>93.7499298536205</v>
      </c>
      <c r="AJ6435">
        <v>93.914002043579799</v>
      </c>
      <c r="AK6435">
        <v>16.9612508716476</v>
      </c>
      <c r="AL6435">
        <v>79.726583935575704</v>
      </c>
      <c r="AM6435">
        <v>92.358918747893199</v>
      </c>
      <c r="AN6435">
        <v>1.00000002434582</v>
      </c>
    </row>
    <row r="6436" spans="1:40" x14ac:dyDescent="0.25">
      <c r="A6436" t="str">
        <f>"20190312172535375"</f>
        <v>20190312172535375</v>
      </c>
      <c r="B6436" t="str">
        <f>"1552382735367212"</f>
        <v>1552382735367212</v>
      </c>
      <c r="C6436" t="s">
        <v>40</v>
      </c>
      <c r="D6436">
        <v>3.6713740000000001</v>
      </c>
      <c r="E6436">
        <v>0.49402469999999998</v>
      </c>
      <c r="F6436" t="s">
        <v>56</v>
      </c>
      <c r="G6436">
        <v>-244.1738</v>
      </c>
      <c r="H6436" s="1">
        <v>-1.1491079999999999E-6</v>
      </c>
      <c r="I6436">
        <v>-61.779580000000003</v>
      </c>
      <c r="J6436">
        <v>-261.05829999999997</v>
      </c>
      <c r="K6436">
        <v>1.109253</v>
      </c>
      <c r="L6436">
        <v>-62.120730000000002</v>
      </c>
      <c r="M6436">
        <v>0.99882599999999999</v>
      </c>
      <c r="N6436">
        <v>0</v>
      </c>
      <c r="O6436">
        <v>-4.7724849999999999E-2</v>
      </c>
      <c r="P6436">
        <v>0.98536869999999999</v>
      </c>
      <c r="Q6436">
        <v>0.1703144</v>
      </c>
      <c r="R6436">
        <v>-6.4750819999999897E-3</v>
      </c>
      <c r="S6436">
        <v>3.0795590000000002</v>
      </c>
      <c r="T6436">
        <v>-0.200519</v>
      </c>
      <c r="U6436">
        <v>6.0302729999999999E-2</v>
      </c>
      <c r="V6436">
        <v>-4.0333790000000001E-2</v>
      </c>
      <c r="W6436">
        <v>0.17855260000000001</v>
      </c>
      <c r="X6436">
        <v>0.98310330000000001</v>
      </c>
      <c r="Y6436">
        <v>-6.7029989999999998E-2</v>
      </c>
      <c r="Z6436">
        <v>5.2832449999999998E-3</v>
      </c>
      <c r="AA6436">
        <v>0.99773699999999999</v>
      </c>
      <c r="AB6436">
        <v>32</v>
      </c>
      <c r="AC6436">
        <v>16.8844999999999</v>
      </c>
      <c r="AD6436">
        <v>-1.1092541491079999</v>
      </c>
      <c r="AE6436">
        <v>0.34114999999999801</v>
      </c>
      <c r="AF6436">
        <v>-1.1416737537002499</v>
      </c>
      <c r="AG6436">
        <v>-1.1092541491079999</v>
      </c>
      <c r="AH6436">
        <v>16.776598267071702</v>
      </c>
      <c r="AI6436">
        <v>93.774137568340294</v>
      </c>
      <c r="AJ6436">
        <v>93.893065205392801</v>
      </c>
      <c r="AK6436">
        <v>16.851946865033501</v>
      </c>
      <c r="AL6436">
        <v>79.714535516269393</v>
      </c>
      <c r="AM6436">
        <v>92.349357014963402</v>
      </c>
      <c r="AN6436">
        <v>0.99999997202670599</v>
      </c>
    </row>
    <row r="6437" spans="1:40" x14ac:dyDescent="0.25">
      <c r="A6437" t="str">
        <f>"20190312172535387"</f>
        <v>20190312172535387</v>
      </c>
      <c r="B6437" t="str">
        <f>"1552382735376972"</f>
        <v>1552382735376972</v>
      </c>
      <c r="C6437" t="s">
        <v>40</v>
      </c>
      <c r="D6437">
        <v>3.6469140000000002</v>
      </c>
      <c r="E6437">
        <v>0.4944308</v>
      </c>
      <c r="F6437" t="s">
        <v>56</v>
      </c>
      <c r="G6437">
        <v>-244.03989999999999</v>
      </c>
      <c r="H6437" s="1">
        <v>-1.097059E-6</v>
      </c>
      <c r="I6437">
        <v>-61.799900000000001</v>
      </c>
      <c r="J6437">
        <v>-260.89479999999998</v>
      </c>
      <c r="K6437">
        <v>1.1092089999999999</v>
      </c>
      <c r="L6437">
        <v>-62.12894</v>
      </c>
      <c r="M6437">
        <v>0.99880329999999995</v>
      </c>
      <c r="N6437">
        <v>0</v>
      </c>
      <c r="O6437">
        <v>-4.8152069999999998E-2</v>
      </c>
      <c r="P6437">
        <v>0.98540680000000003</v>
      </c>
      <c r="Q6437">
        <v>0.17007069999999999</v>
      </c>
      <c r="R6437">
        <v>-7.0590440000000004E-3</v>
      </c>
      <c r="S6437">
        <v>3.07959</v>
      </c>
      <c r="T6437">
        <v>-0.2007256</v>
      </c>
      <c r="U6437">
        <v>5.8044430000000001E-2</v>
      </c>
      <c r="V6437">
        <v>-4.014852E-2</v>
      </c>
      <c r="W6437">
        <v>0.17856569999999999</v>
      </c>
      <c r="X6437">
        <v>0.98310850000000005</v>
      </c>
      <c r="Y6437">
        <v>-6.6724519999999996E-2</v>
      </c>
      <c r="Z6437">
        <v>5.3065069999999898E-3</v>
      </c>
      <c r="AA6437">
        <v>0.99775729999999996</v>
      </c>
      <c r="AB6437">
        <v>32</v>
      </c>
      <c r="AC6437">
        <v>16.854899999999901</v>
      </c>
      <c r="AD6437">
        <v>-1.109210097059</v>
      </c>
      <c r="AE6437">
        <v>0.329039999999999</v>
      </c>
      <c r="AF6437">
        <v>-1.13537110820197</v>
      </c>
      <c r="AG6437">
        <v>-1.109210097059</v>
      </c>
      <c r="AH6437">
        <v>16.747001143262398</v>
      </c>
      <c r="AI6437">
        <v>93.780703862585199</v>
      </c>
      <c r="AJ6437">
        <v>93.878460478140497</v>
      </c>
      <c r="AK6437">
        <v>16.822052843966102</v>
      </c>
      <c r="AL6437">
        <v>79.713772638459901</v>
      </c>
      <c r="AM6437">
        <v>92.338565086837903</v>
      </c>
      <c r="AN6437">
        <v>0.99999996782346401</v>
      </c>
    </row>
    <row r="6438" spans="1:40" x14ac:dyDescent="0.25">
      <c r="A6438" t="str">
        <f>"20190312172535399"</f>
        <v>20190312172535399</v>
      </c>
      <c r="B6438" t="str">
        <f>"1552382735386732"</f>
        <v>1552382735386732</v>
      </c>
      <c r="C6438" t="s">
        <v>40</v>
      </c>
      <c r="D6438">
        <v>3.732691</v>
      </c>
      <c r="E6438">
        <v>0.49476740000000002</v>
      </c>
      <c r="F6438" t="s">
        <v>56</v>
      </c>
      <c r="G6438">
        <v>-244.00139999999999</v>
      </c>
      <c r="H6438" s="1">
        <v>-1.091299E-6</v>
      </c>
      <c r="I6438">
        <v>-61.84028</v>
      </c>
      <c r="J6438">
        <v>-260.73180000000002</v>
      </c>
      <c r="K6438">
        <v>1.1091629999999999</v>
      </c>
      <c r="L6438">
        <v>-62.137149999999998</v>
      </c>
      <c r="M6438">
        <v>0.99877969999999905</v>
      </c>
      <c r="N6438">
        <v>0</v>
      </c>
      <c r="O6438">
        <v>-4.8593919999999999E-2</v>
      </c>
      <c r="P6438">
        <v>0.98538939999999997</v>
      </c>
      <c r="Q6438">
        <v>0.17013909999999999</v>
      </c>
      <c r="R6438">
        <v>-7.7805469999999996E-3</v>
      </c>
      <c r="S6438">
        <v>3.0797119999999998</v>
      </c>
      <c r="T6438">
        <v>-0.20221169999999999</v>
      </c>
      <c r="U6438">
        <v>5.2612300000000001E-2</v>
      </c>
      <c r="V6438">
        <v>-3.9838709999999999E-2</v>
      </c>
      <c r="W6438">
        <v>0.17887629999999999</v>
      </c>
      <c r="X6438">
        <v>0.98306470000000001</v>
      </c>
      <c r="Y6438">
        <v>-6.5404180000000006E-2</v>
      </c>
      <c r="Z6438">
        <v>5.3312230000000004E-3</v>
      </c>
      <c r="AA6438">
        <v>0.99784459999999997</v>
      </c>
      <c r="AB6438">
        <v>32</v>
      </c>
      <c r="AC6438">
        <v>16.730399999999999</v>
      </c>
      <c r="AD6438">
        <v>-1.109164091299</v>
      </c>
      <c r="AE6438">
        <v>0.29686999999999097</v>
      </c>
      <c r="AF6438">
        <v>-1.10469275781867</v>
      </c>
      <c r="AG6438">
        <v>-1.109164091299</v>
      </c>
      <c r="AH6438">
        <v>16.6231676236842</v>
      </c>
      <c r="AI6438">
        <v>93.808968112369897</v>
      </c>
      <c r="AJ6438">
        <v>93.802001246516596</v>
      </c>
      <c r="AK6438">
        <v>16.696715033673701</v>
      </c>
      <c r="AL6438">
        <v>79.695685996511401</v>
      </c>
      <c r="AM6438">
        <v>92.320642401229605</v>
      </c>
      <c r="AN6438">
        <v>1.0000000289511199</v>
      </c>
    </row>
    <row r="6439" spans="1:40" x14ac:dyDescent="0.25">
      <c r="A6439" t="str">
        <f>"20190312172535411"</f>
        <v>20190312172535411</v>
      </c>
      <c r="B6439" t="str">
        <f>"1552382735406251"</f>
        <v>1552382735406251</v>
      </c>
      <c r="C6439" t="s">
        <v>40</v>
      </c>
      <c r="D6439">
        <v>3.7132900000000002</v>
      </c>
      <c r="E6439">
        <v>0.49547210000000003</v>
      </c>
      <c r="F6439" t="s">
        <v>56</v>
      </c>
      <c r="G6439">
        <v>-243.81899999999999</v>
      </c>
      <c r="H6439" s="1">
        <v>-1.022762E-6</v>
      </c>
      <c r="I6439">
        <v>-61.876809999999999</v>
      </c>
      <c r="J6439">
        <v>-260.5702</v>
      </c>
      <c r="K6439">
        <v>1.1091310000000001</v>
      </c>
      <c r="L6439">
        <v>-62.145449999999997</v>
      </c>
      <c r="M6439">
        <v>0.99875510000000001</v>
      </c>
      <c r="N6439">
        <v>0</v>
      </c>
      <c r="O6439">
        <v>-4.9056910000000002E-2</v>
      </c>
      <c r="P6439">
        <v>0.98530359999999995</v>
      </c>
      <c r="Q6439">
        <v>0.17059299999999999</v>
      </c>
      <c r="R6439">
        <v>-8.6564190000000003E-3</v>
      </c>
      <c r="S6439">
        <v>3.079742</v>
      </c>
      <c r="T6439">
        <v>-0.2019734</v>
      </c>
      <c r="U6439">
        <v>4.73938E-2</v>
      </c>
      <c r="V6439">
        <v>-3.9395979999999997E-2</v>
      </c>
      <c r="W6439">
        <v>0.1795476</v>
      </c>
      <c r="X6439">
        <v>0.9829601</v>
      </c>
      <c r="Y6439">
        <v>-6.4178470000000001E-2</v>
      </c>
      <c r="Z6439">
        <v>5.3151099999999996E-3</v>
      </c>
      <c r="AA6439">
        <v>0.99792429999999999</v>
      </c>
      <c r="AB6439">
        <v>32</v>
      </c>
      <c r="AC6439">
        <v>16.751199999999901</v>
      </c>
      <c r="AD6439">
        <v>-1.1091320227619901</v>
      </c>
      <c r="AE6439">
        <v>0.26863999999999699</v>
      </c>
      <c r="AF6439">
        <v>-1.08535517786402</v>
      </c>
      <c r="AG6439">
        <v>-1.1091320227619901</v>
      </c>
      <c r="AH6439">
        <v>16.6448973132151</v>
      </c>
      <c r="AI6439">
        <v>93.804210902914804</v>
      </c>
      <c r="AJ6439">
        <v>93.730774523174006</v>
      </c>
      <c r="AK6439">
        <v>16.717080375278101</v>
      </c>
      <c r="AL6439">
        <v>79.656589795964805</v>
      </c>
      <c r="AM6439">
        <v>92.295124633935103</v>
      </c>
      <c r="AN6439">
        <v>0.99999997104896399</v>
      </c>
    </row>
    <row r="6440" spans="1:40" x14ac:dyDescent="0.25">
      <c r="A6440" t="str">
        <f>"20190312172535422"</f>
        <v>20190312172535422</v>
      </c>
      <c r="B6440" t="str">
        <f>"1552382735416993"</f>
        <v>1552382735416993</v>
      </c>
      <c r="C6440" t="s">
        <v>40</v>
      </c>
      <c r="D6440">
        <v>3.7036639999999998</v>
      </c>
      <c r="E6440">
        <v>0.49583100000000002</v>
      </c>
      <c r="F6440" t="s">
        <v>56</v>
      </c>
      <c r="G6440">
        <v>-243.52019999999999</v>
      </c>
      <c r="H6440" s="1">
        <v>-9.0820440000000002E-7</v>
      </c>
      <c r="I6440">
        <v>-61.92794</v>
      </c>
      <c r="J6440">
        <v>-260.39609999999999</v>
      </c>
      <c r="K6440">
        <v>1.1091009999999999</v>
      </c>
      <c r="L6440">
        <v>-62.154420000000002</v>
      </c>
      <c r="M6440">
        <v>0.99872810000000001</v>
      </c>
      <c r="N6440">
        <v>0</v>
      </c>
      <c r="O6440">
        <v>-4.9564110000000001E-2</v>
      </c>
      <c r="P6440">
        <v>0.98522350000000003</v>
      </c>
      <c r="Q6440">
        <v>0.17098669999999999</v>
      </c>
      <c r="R6440">
        <v>-9.9273409999999992E-3</v>
      </c>
      <c r="S6440">
        <v>3.0797729999999999</v>
      </c>
      <c r="T6440">
        <v>-0.20034479999999999</v>
      </c>
      <c r="U6440">
        <v>3.9276119999999998E-2</v>
      </c>
      <c r="V6440">
        <v>-3.8602690000000002E-2</v>
      </c>
      <c r="W6440">
        <v>0.1801663</v>
      </c>
      <c r="X6440">
        <v>0.98287840000000004</v>
      </c>
      <c r="Y6440">
        <v>-6.2062539999999999E-2</v>
      </c>
      <c r="Z6440">
        <v>5.2365290000000002E-3</v>
      </c>
      <c r="AA6440">
        <v>0.99805849999999996</v>
      </c>
      <c r="AB6440">
        <v>32</v>
      </c>
      <c r="AC6440">
        <v>16.875900000000001</v>
      </c>
      <c r="AD6440">
        <v>-1.1091019082044</v>
      </c>
      <c r="AE6440">
        <v>0.22647999999999499</v>
      </c>
      <c r="AF6440">
        <v>-1.0581069649532899</v>
      </c>
      <c r="AG6440">
        <v>-1.1091019082044</v>
      </c>
      <c r="AH6440">
        <v>16.7715036556088</v>
      </c>
      <c r="AI6440">
        <v>93.775983618011693</v>
      </c>
      <c r="AJ6440">
        <v>93.609981607310999</v>
      </c>
      <c r="AK6440">
        <v>16.841408262439501</v>
      </c>
      <c r="AL6440">
        <v>79.620553608783098</v>
      </c>
      <c r="AM6440">
        <v>92.249143963298494</v>
      </c>
      <c r="AN6440">
        <v>1.00000000625874</v>
      </c>
    </row>
    <row r="6441" spans="1:40" x14ac:dyDescent="0.25">
      <c r="A6441" t="str">
        <f>"20190312172535432"</f>
        <v>20190312172535432</v>
      </c>
      <c r="B6441" t="str">
        <f>"1552382735426748"</f>
        <v>1552382735426748</v>
      </c>
      <c r="C6441" t="s">
        <v>40</v>
      </c>
      <c r="D6441">
        <v>3.6847919999999998</v>
      </c>
      <c r="E6441">
        <v>0.49618099999999998</v>
      </c>
      <c r="F6441" t="s">
        <v>56</v>
      </c>
      <c r="G6441">
        <v>-243.2388</v>
      </c>
      <c r="H6441" s="1">
        <v>-7.9898349999999996E-7</v>
      </c>
      <c r="I6441">
        <v>-61.971089999999997</v>
      </c>
      <c r="J6441">
        <v>-260.24349999999998</v>
      </c>
      <c r="K6441">
        <v>1.1090869999999999</v>
      </c>
      <c r="L6441">
        <v>-62.162410000000001</v>
      </c>
      <c r="M6441">
        <v>0.99870340000000002</v>
      </c>
      <c r="N6441">
        <v>0</v>
      </c>
      <c r="O6441">
        <v>-5.0024989999999998E-2</v>
      </c>
      <c r="P6441">
        <v>0.98514559999999995</v>
      </c>
      <c r="Q6441">
        <v>0.1713741</v>
      </c>
      <c r="R6441">
        <v>-1.091078E-2</v>
      </c>
      <c r="S6441">
        <v>3.0799259999999999</v>
      </c>
      <c r="T6441">
        <v>-0.1990972</v>
      </c>
      <c r="U6441">
        <v>3.2897950000000002E-2</v>
      </c>
      <c r="V6441">
        <v>-3.8057359999999998E-2</v>
      </c>
      <c r="W6441">
        <v>0.18073049999999999</v>
      </c>
      <c r="X6441">
        <v>0.98279609999999995</v>
      </c>
      <c r="Y6441">
        <v>-6.0461250000000001E-2</v>
      </c>
      <c r="Z6441">
        <v>5.1817950000000003E-3</v>
      </c>
      <c r="AA6441">
        <v>0.99815710000000002</v>
      </c>
      <c r="AB6441">
        <v>32</v>
      </c>
      <c r="AC6441">
        <v>17.0046999999999</v>
      </c>
      <c r="AD6441">
        <v>-1.1090877989835</v>
      </c>
      <c r="AE6441">
        <v>0.19131999999999</v>
      </c>
      <c r="AF6441">
        <v>-1.03736589250862</v>
      </c>
      <c r="AG6441">
        <v>-1.1090877989835</v>
      </c>
      <c r="AH6441">
        <v>16.9019452581853</v>
      </c>
      <c r="AI6441">
        <v>93.747275102348098</v>
      </c>
      <c r="AJ6441">
        <v>93.512153363266606</v>
      </c>
      <c r="AK6441">
        <v>16.970031150575</v>
      </c>
      <c r="AL6441">
        <v>79.587688019493399</v>
      </c>
      <c r="AM6441">
        <v>92.217588345431693</v>
      </c>
      <c r="AN6441">
        <v>1.0000000252278101</v>
      </c>
    </row>
    <row r="6442" spans="1:40" x14ac:dyDescent="0.25">
      <c r="A6442" t="str">
        <f>"20190312172535444"</f>
        <v>20190312172535444</v>
      </c>
      <c r="B6442" t="str">
        <f>"1552382735436508"</f>
        <v>1552382735436508</v>
      </c>
      <c r="C6442" t="s">
        <v>40</v>
      </c>
      <c r="D6442">
        <v>3.6714609999999999</v>
      </c>
      <c r="E6442">
        <v>0.49650290000000002</v>
      </c>
      <c r="F6442" t="s">
        <v>56</v>
      </c>
      <c r="G6442">
        <v>-242.9794</v>
      </c>
      <c r="H6442" s="1">
        <v>-6.9770509999999998E-7</v>
      </c>
      <c r="I6442">
        <v>-62.008740000000003</v>
      </c>
      <c r="J6442">
        <v>-260.08359999999999</v>
      </c>
      <c r="K6442">
        <v>1.109067</v>
      </c>
      <c r="L6442">
        <v>-62.170839999999998</v>
      </c>
      <c r="M6442">
        <v>0.99867729999999999</v>
      </c>
      <c r="N6442">
        <v>0</v>
      </c>
      <c r="O6442">
        <v>-5.0510819999999998E-2</v>
      </c>
      <c r="P6442">
        <v>0.98511320000000002</v>
      </c>
      <c r="Q6442">
        <v>0.1714936</v>
      </c>
      <c r="R6442">
        <v>-1.1928930000000001E-2</v>
      </c>
      <c r="S6442">
        <v>3.0799560000000001</v>
      </c>
      <c r="T6442">
        <v>-0.19786409999999999</v>
      </c>
      <c r="U6442">
        <v>2.7404789999999998E-2</v>
      </c>
      <c r="V6442">
        <v>-3.7505080000000003E-2</v>
      </c>
      <c r="W6442">
        <v>0.18102979999999999</v>
      </c>
      <c r="X6442">
        <v>0.98276220000000003</v>
      </c>
      <c r="Y6442">
        <v>-5.9171189999999999E-2</v>
      </c>
      <c r="Z6442">
        <v>5.1394910000000004E-3</v>
      </c>
      <c r="AA6442">
        <v>0.99823459999999997</v>
      </c>
      <c r="AB6442">
        <v>32</v>
      </c>
      <c r="AC6442">
        <v>17.104199999999899</v>
      </c>
      <c r="AD6442">
        <v>-1.1090676977050999</v>
      </c>
      <c r="AE6442">
        <v>0.16210000000000199</v>
      </c>
      <c r="AF6442">
        <v>-1.0215852749052901</v>
      </c>
      <c r="AG6442">
        <v>-1.1090676977050999</v>
      </c>
      <c r="AH6442">
        <v>17.0026957340412</v>
      </c>
      <c r="AI6442">
        <v>93.725356137281494</v>
      </c>
      <c r="AJ6442">
        <v>93.438410153471906</v>
      </c>
      <c r="AK6442">
        <v>17.069426758282699</v>
      </c>
      <c r="AL6442">
        <v>79.570251314571493</v>
      </c>
      <c r="AM6442">
        <v>92.185513939861096</v>
      </c>
      <c r="AN6442">
        <v>0.99999998063134299</v>
      </c>
    </row>
    <row r="6443" spans="1:40" x14ac:dyDescent="0.25">
      <c r="A6443" t="str">
        <f>"20190312172535455"</f>
        <v>20190312172535455</v>
      </c>
      <c r="B6443" t="str">
        <f>"1552382735446268"</f>
        <v>1552382735446268</v>
      </c>
      <c r="C6443" t="s">
        <v>40</v>
      </c>
      <c r="D6443">
        <v>3.6614040000000001</v>
      </c>
      <c r="E6443">
        <v>0.49682749999999998</v>
      </c>
      <c r="F6443" t="s">
        <v>56</v>
      </c>
      <c r="G6443">
        <v>-242.77950000000001</v>
      </c>
      <c r="H6443" s="1">
        <v>-6.2210199999999999E-7</v>
      </c>
      <c r="I6443">
        <v>-62.046979999999998</v>
      </c>
      <c r="J6443">
        <v>-259.91379999999998</v>
      </c>
      <c r="K6443">
        <v>1.109054</v>
      </c>
      <c r="L6443">
        <v>-62.179960000000001</v>
      </c>
      <c r="M6443">
        <v>0.9986488</v>
      </c>
      <c r="N6443">
        <v>0</v>
      </c>
      <c r="O6443">
        <v>-5.1035539999999997E-2</v>
      </c>
      <c r="P6443">
        <v>0.98511289999999996</v>
      </c>
      <c r="Q6443">
        <v>0.1714291</v>
      </c>
      <c r="R6443">
        <v>-1.284014E-2</v>
      </c>
      <c r="S6443">
        <v>3.0799560000000001</v>
      </c>
      <c r="T6443">
        <v>-0.19740240000000001</v>
      </c>
      <c r="U6443">
        <v>2.2033690000000002E-2</v>
      </c>
      <c r="V6443">
        <v>-3.7102709999999997E-2</v>
      </c>
      <c r="W6443">
        <v>0.18113950000000001</v>
      </c>
      <c r="X6443">
        <v>0.98275729999999994</v>
      </c>
      <c r="Y6443">
        <v>-5.795749E-2</v>
      </c>
      <c r="Z6443">
        <v>5.1222409999999996E-3</v>
      </c>
      <c r="AA6443">
        <v>0.99830589999999997</v>
      </c>
      <c r="AB6443">
        <v>32</v>
      </c>
      <c r="AC6443">
        <v>17.1342999999999</v>
      </c>
      <c r="AD6443">
        <v>-1.1090546221019999</v>
      </c>
      <c r="AE6443">
        <v>0.132979999999989</v>
      </c>
      <c r="AF6443">
        <v>-1.0031045368645799</v>
      </c>
      <c r="AG6443">
        <v>-1.1090546221019999</v>
      </c>
      <c r="AH6443">
        <v>17.033821356051</v>
      </c>
      <c r="AI6443">
        <v>93.718786869482003</v>
      </c>
      <c r="AJ6443">
        <v>93.370198335935299</v>
      </c>
      <c r="AK6443">
        <v>17.099335977064801</v>
      </c>
      <c r="AL6443">
        <v>79.5638607249969</v>
      </c>
      <c r="AM6443">
        <v>92.162099985709105</v>
      </c>
      <c r="AN6443">
        <v>1.0000000201264401</v>
      </c>
    </row>
    <row r="6444" spans="1:40" x14ac:dyDescent="0.25">
      <c r="A6444" t="str">
        <f>"20190312172535466"</f>
        <v>20190312172535466</v>
      </c>
      <c r="B6444" t="str">
        <f>"1552382735457004"</f>
        <v>1552382735457004</v>
      </c>
      <c r="C6444" t="s">
        <v>40</v>
      </c>
      <c r="D6444">
        <v>3.6410360000000002</v>
      </c>
      <c r="E6444">
        <v>0.4971313</v>
      </c>
      <c r="F6444" t="s">
        <v>56</v>
      </c>
      <c r="G6444">
        <v>-242.62549999999999</v>
      </c>
      <c r="H6444" s="1">
        <v>-5.6698839999999999E-7</v>
      </c>
      <c r="I6444">
        <v>-62.088079999999998</v>
      </c>
      <c r="J6444">
        <v>-259.76049999999998</v>
      </c>
      <c r="K6444">
        <v>1.109046</v>
      </c>
      <c r="L6444">
        <v>-62.188200000000002</v>
      </c>
      <c r="M6444">
        <v>0.99862300000000004</v>
      </c>
      <c r="N6444">
        <v>0</v>
      </c>
      <c r="O6444">
        <v>-5.1511540000000001E-2</v>
      </c>
      <c r="P6444">
        <v>0.98511859999999996</v>
      </c>
      <c r="Q6444">
        <v>0.17134089999999999</v>
      </c>
      <c r="R6444">
        <v>-1.356046E-2</v>
      </c>
      <c r="S6444">
        <v>3.0799259999999999</v>
      </c>
      <c r="T6444">
        <v>-0.19757910000000001</v>
      </c>
      <c r="U6444">
        <v>1.6357420000000001E-2</v>
      </c>
      <c r="V6444">
        <v>-3.6845959999999997E-2</v>
      </c>
      <c r="W6444">
        <v>0.18119950000000001</v>
      </c>
      <c r="X6444">
        <v>0.98275590000000002</v>
      </c>
      <c r="Y6444">
        <v>-5.6595050000000001E-2</v>
      </c>
      <c r="Z6444">
        <v>5.1136869999999996E-3</v>
      </c>
      <c r="AA6444">
        <v>0.9983841</v>
      </c>
      <c r="AB6444">
        <v>32</v>
      </c>
      <c r="AC6444">
        <v>17.134999999999899</v>
      </c>
      <c r="AD6444">
        <v>-1.1090465669884</v>
      </c>
      <c r="AE6444">
        <v>0.100119999999996</v>
      </c>
      <c r="AF6444">
        <v>-0.97858151591327602</v>
      </c>
      <c r="AG6444">
        <v>-1.1090465669884</v>
      </c>
      <c r="AH6444">
        <v>17.035728050220001</v>
      </c>
      <c r="AI6444">
        <v>93.718655734457798</v>
      </c>
      <c r="AJ6444">
        <v>93.287622509075703</v>
      </c>
      <c r="AK6444">
        <v>17.099813925071999</v>
      </c>
      <c r="AL6444">
        <v>79.560365144982796</v>
      </c>
      <c r="AM6444">
        <v>92.147155406174207</v>
      </c>
      <c r="AN6444">
        <v>1.00000002127669</v>
      </c>
    </row>
    <row r="6445" spans="1:40" x14ac:dyDescent="0.25">
      <c r="A6445" t="str">
        <f>"20190312172535477"</f>
        <v>20190312172535477</v>
      </c>
      <c r="B6445" t="str">
        <f>"1552382735466765"</f>
        <v>1552382735466765</v>
      </c>
      <c r="C6445" t="s">
        <v>40</v>
      </c>
      <c r="D6445">
        <v>3.689559</v>
      </c>
      <c r="E6445">
        <v>0.49742320000000001</v>
      </c>
      <c r="F6445" t="s">
        <v>56</v>
      </c>
      <c r="G6445">
        <v>-242.50479999999999</v>
      </c>
      <c r="H6445" s="1">
        <v>-5.2527380000000001E-7</v>
      </c>
      <c r="I6445">
        <v>-62.125900000000001</v>
      </c>
      <c r="J6445">
        <v>-259.6019</v>
      </c>
      <c r="K6445">
        <v>1.1090409999999999</v>
      </c>
      <c r="L6445">
        <v>-62.196840000000002</v>
      </c>
      <c r="M6445">
        <v>0.99859589999999998</v>
      </c>
      <c r="N6445">
        <v>0</v>
      </c>
      <c r="O6445">
        <v>-5.2006320000000002E-2</v>
      </c>
      <c r="P6445">
        <v>0.98512359999999999</v>
      </c>
      <c r="Q6445">
        <v>0.17123079999999999</v>
      </c>
      <c r="R6445">
        <v>-1.45542E-2</v>
      </c>
      <c r="S6445">
        <v>3.0799259999999999</v>
      </c>
      <c r="T6445">
        <v>-0.19795099999999999</v>
      </c>
      <c r="U6445">
        <v>1.1108399999999999E-2</v>
      </c>
      <c r="V6445">
        <v>-3.6335890000000003E-2</v>
      </c>
      <c r="W6445">
        <v>0.1812318</v>
      </c>
      <c r="X6445">
        <v>0.98276889999999995</v>
      </c>
      <c r="Y6445">
        <v>-5.538891E-2</v>
      </c>
      <c r="Z6445">
        <v>5.1162959999999898E-3</v>
      </c>
      <c r="AA6445">
        <v>0.9984518</v>
      </c>
      <c r="AB6445">
        <v>32</v>
      </c>
      <c r="AC6445">
        <v>17.097100000000001</v>
      </c>
      <c r="AD6445">
        <v>-1.1090415252738</v>
      </c>
      <c r="AE6445">
        <v>7.0940000000000197E-2</v>
      </c>
      <c r="AF6445">
        <v>-0.95602375762001301</v>
      </c>
      <c r="AG6445">
        <v>-1.1090415252738</v>
      </c>
      <c r="AH6445">
        <v>16.998746207547601</v>
      </c>
      <c r="AI6445">
        <v>93.726959344089494</v>
      </c>
      <c r="AJ6445">
        <v>93.2189716955872</v>
      </c>
      <c r="AK6445">
        <v>17.061691802354499</v>
      </c>
      <c r="AL6445">
        <v>79.558482967956195</v>
      </c>
      <c r="AM6445">
        <v>92.117430933411697</v>
      </c>
      <c r="AN6445">
        <v>0.99999998652027</v>
      </c>
    </row>
    <row r="6446" spans="1:40" x14ac:dyDescent="0.25">
      <c r="A6446" t="str">
        <f>"20190312172535490"</f>
        <v>20190312172535490</v>
      </c>
      <c r="B6446" t="str">
        <f>"1552382735476524"</f>
        <v>1552382735476524</v>
      </c>
      <c r="C6446" t="s">
        <v>40</v>
      </c>
      <c r="D6446">
        <v>3.684539</v>
      </c>
      <c r="E6446">
        <v>0.49770160000000002</v>
      </c>
      <c r="F6446" t="s">
        <v>56</v>
      </c>
      <c r="G6446">
        <v>-242.369</v>
      </c>
      <c r="H6446" s="1">
        <v>-4.784825E-7</v>
      </c>
      <c r="I6446">
        <v>-62.168950000000002</v>
      </c>
      <c r="J6446">
        <v>-259.42970000000003</v>
      </c>
      <c r="K6446">
        <v>1.109038</v>
      </c>
      <c r="L6446">
        <v>-62.206359999999997</v>
      </c>
      <c r="M6446">
        <v>0.99856619999999996</v>
      </c>
      <c r="N6446">
        <v>0</v>
      </c>
      <c r="O6446">
        <v>-5.2543979999999997E-2</v>
      </c>
      <c r="P6446">
        <v>0.98511479999999996</v>
      </c>
      <c r="Q6446">
        <v>0.171204</v>
      </c>
      <c r="R6446">
        <v>-1.543418E-2</v>
      </c>
      <c r="S6446">
        <v>3.079834</v>
      </c>
      <c r="T6446">
        <v>-0.1982064</v>
      </c>
      <c r="U6446">
        <v>4.9743649999999997E-3</v>
      </c>
      <c r="V6446">
        <v>-3.5981770000000003E-2</v>
      </c>
      <c r="W6446">
        <v>0.1813477</v>
      </c>
      <c r="X6446">
        <v>0.98276050000000004</v>
      </c>
      <c r="Y6446">
        <v>-5.3939359999999999E-2</v>
      </c>
      <c r="Z6446">
        <v>5.1109509999999999E-3</v>
      </c>
      <c r="AA6446">
        <v>0.99853119999999995</v>
      </c>
      <c r="AB6446">
        <v>32</v>
      </c>
      <c r="AC6446">
        <v>17.060699999999901</v>
      </c>
      <c r="AD6446">
        <v>-1.1090384784825</v>
      </c>
      <c r="AE6446">
        <v>3.7409999999994101E-2</v>
      </c>
      <c r="AF6446">
        <v>-0.92991279556967299</v>
      </c>
      <c r="AG6446">
        <v>-1.1090384784825</v>
      </c>
      <c r="AH6446">
        <v>16.9634819088078</v>
      </c>
      <c r="AI6446">
        <v>93.734968189106297</v>
      </c>
      <c r="AJ6446">
        <v>93.137728722557</v>
      </c>
      <c r="AK6446">
        <v>17.025111530459</v>
      </c>
      <c r="AL6446">
        <v>79.551729986329406</v>
      </c>
      <c r="AM6446">
        <v>92.096831426788299</v>
      </c>
      <c r="AN6446">
        <v>0.99999993821393396</v>
      </c>
    </row>
    <row r="6447" spans="1:40" x14ac:dyDescent="0.25">
      <c r="A6447" t="str">
        <f>"20190312172535500"</f>
        <v>20190312172535500</v>
      </c>
      <c r="B6447" t="str">
        <f>"1552382735497020"</f>
        <v>1552382735497020</v>
      </c>
      <c r="C6447" t="s">
        <v>40</v>
      </c>
      <c r="D6447">
        <v>3.6902189999999999</v>
      </c>
      <c r="E6447">
        <v>0.49824059999999998</v>
      </c>
      <c r="F6447" t="s">
        <v>56</v>
      </c>
      <c r="G6447">
        <v>-242.19319999999999</v>
      </c>
      <c r="H6447" s="1">
        <v>-4.1317009999999998E-7</v>
      </c>
      <c r="I6447">
        <v>-62.206980000000001</v>
      </c>
      <c r="J6447">
        <v>-259.26319999999998</v>
      </c>
      <c r="K6447">
        <v>1.1090390000000001</v>
      </c>
      <c r="L6447">
        <v>-62.215609999999998</v>
      </c>
      <c r="M6447">
        <v>0.99853740000000002</v>
      </c>
      <c r="N6447">
        <v>0</v>
      </c>
      <c r="O6447">
        <v>-5.3063440000000003E-2</v>
      </c>
      <c r="P6447">
        <v>0.98499789999999998</v>
      </c>
      <c r="Q6447">
        <v>0.17178060000000001</v>
      </c>
      <c r="R6447">
        <v>-1.6457090000000001E-2</v>
      </c>
      <c r="S6447">
        <v>3.0797729999999999</v>
      </c>
      <c r="T6447">
        <v>-0.19816059999999999</v>
      </c>
      <c r="U6447">
        <v>-1.220703E-4</v>
      </c>
      <c r="V6447">
        <v>-3.5461560000000003E-2</v>
      </c>
      <c r="W6447">
        <v>0.18205479999999999</v>
      </c>
      <c r="X6447">
        <v>0.98264870000000004</v>
      </c>
      <c r="Y6447">
        <v>-5.2807850000000003E-2</v>
      </c>
      <c r="Z6447">
        <v>5.106836E-3</v>
      </c>
      <c r="AA6447">
        <v>0.99859169999999997</v>
      </c>
      <c r="AB6447">
        <v>32</v>
      </c>
      <c r="AC6447">
        <v>17.069999999999901</v>
      </c>
      <c r="AD6447">
        <v>-1.10903941317009</v>
      </c>
      <c r="AE6447">
        <v>8.6299999999965796E-3</v>
      </c>
      <c r="AF6447">
        <v>-0.91061556562808199</v>
      </c>
      <c r="AG6447">
        <v>-1.10903941317009</v>
      </c>
      <c r="AH6447">
        <v>16.9738417934335</v>
      </c>
      <c r="AI6447">
        <v>93.732933721010795</v>
      </c>
      <c r="AJ6447">
        <v>93.070869912707806</v>
      </c>
      <c r="AK6447">
        <v>17.0343915170704</v>
      </c>
      <c r="AL6447">
        <v>79.510530655801105</v>
      </c>
      <c r="AM6447">
        <v>92.066777671148898</v>
      </c>
      <c r="AN6447">
        <v>0.99999997002618102</v>
      </c>
    </row>
    <row r="6448" spans="1:40" x14ac:dyDescent="0.25">
      <c r="A6448" t="str">
        <f>"20190312172535512"</f>
        <v>20190312172535512</v>
      </c>
      <c r="B6448" t="str">
        <f>"1552382735506779"</f>
        <v>1552382735506779</v>
      </c>
      <c r="C6448" t="s">
        <v>40</v>
      </c>
      <c r="D6448">
        <v>3.7084090000000001</v>
      </c>
      <c r="E6448">
        <v>0.49846940000000001</v>
      </c>
      <c r="F6448" t="s">
        <v>56</v>
      </c>
      <c r="G6448">
        <v>-241.85659999999999</v>
      </c>
      <c r="H6448" s="1">
        <v>-2.8184980000000001E-7</v>
      </c>
      <c r="I6448">
        <v>-62.256079999999997</v>
      </c>
      <c r="J6448">
        <v>-259.10320000000002</v>
      </c>
      <c r="K6448">
        <v>1.1090450000000001</v>
      </c>
      <c r="L6448">
        <v>-62.224580000000003</v>
      </c>
      <c r="M6448">
        <v>0.99850950000000005</v>
      </c>
      <c r="N6448">
        <v>0</v>
      </c>
      <c r="O6448">
        <v>-5.3559549999999997E-2</v>
      </c>
      <c r="P6448">
        <v>0.98494170000000003</v>
      </c>
      <c r="Q6448">
        <v>0.17198869999999999</v>
      </c>
      <c r="R6448">
        <v>-1.7597720000000001E-2</v>
      </c>
      <c r="S6448">
        <v>3.0798030000000001</v>
      </c>
      <c r="T6448">
        <v>-0.19622580000000001</v>
      </c>
      <c r="U6448">
        <v>-7.1716310000000004E-3</v>
      </c>
      <c r="V6448">
        <v>-3.4805759999999998E-2</v>
      </c>
      <c r="W6448">
        <v>0.18238299999999999</v>
      </c>
      <c r="X6448">
        <v>0.98261129999999997</v>
      </c>
      <c r="Y6448">
        <v>-5.1025130000000002E-2</v>
      </c>
      <c r="Z6448">
        <v>5.0317790000000001E-3</v>
      </c>
      <c r="AA6448">
        <v>0.99868469999999998</v>
      </c>
      <c r="AB6448">
        <v>32</v>
      </c>
      <c r="AC6448">
        <v>17.246600000000001</v>
      </c>
      <c r="AD6448">
        <v>-1.1090452818498</v>
      </c>
      <c r="AE6448">
        <v>-3.1500000000001097E-2</v>
      </c>
      <c r="AF6448">
        <v>-0.88864157623781703</v>
      </c>
      <c r="AG6448">
        <v>-1.1090452818498</v>
      </c>
      <c r="AH6448">
        <v>17.152601313583801</v>
      </c>
      <c r="AI6448">
        <v>93.694514411227402</v>
      </c>
      <c r="AJ6448">
        <v>92.965726927289197</v>
      </c>
      <c r="AK6448">
        <v>17.211374062258098</v>
      </c>
      <c r="AL6448">
        <v>79.491406135574096</v>
      </c>
      <c r="AM6448">
        <v>92.028665587001896</v>
      </c>
      <c r="AN6448">
        <v>0.99999998325293304</v>
      </c>
    </row>
    <row r="6449" spans="1:40" x14ac:dyDescent="0.25">
      <c r="A6449" t="str">
        <f>"20190312172535523"</f>
        <v>20190312172535523</v>
      </c>
      <c r="B6449" t="str">
        <f>"1552382735516540"</f>
        <v>1552382735516540</v>
      </c>
      <c r="C6449" t="s">
        <v>40</v>
      </c>
      <c r="D6449">
        <v>3.696485</v>
      </c>
      <c r="E6449">
        <v>0.49867919999999999</v>
      </c>
      <c r="F6449" t="s">
        <v>56</v>
      </c>
      <c r="G6449">
        <v>-241.6284</v>
      </c>
      <c r="H6449" s="1">
        <v>-1.9417379999999999E-7</v>
      </c>
      <c r="I6449">
        <v>-62.294469999999997</v>
      </c>
      <c r="J6449">
        <v>-258.93770000000001</v>
      </c>
      <c r="K6449">
        <v>1.1090279999999999</v>
      </c>
      <c r="L6449">
        <v>-62.233919999999998</v>
      </c>
      <c r="M6449">
        <v>0.99848159999999997</v>
      </c>
      <c r="N6449">
        <v>0</v>
      </c>
      <c r="O6449">
        <v>-5.4070449999999999E-2</v>
      </c>
      <c r="P6449">
        <v>0.98481039999999997</v>
      </c>
      <c r="Q6449">
        <v>0.17263419999999999</v>
      </c>
      <c r="R6449">
        <v>-1.8597590000000001E-2</v>
      </c>
      <c r="S6449">
        <v>3.0797729999999999</v>
      </c>
      <c r="T6449">
        <v>-0.19545950000000001</v>
      </c>
      <c r="U6449">
        <v>-1.2329100000000001E-2</v>
      </c>
      <c r="V6449">
        <v>-3.4302369999999999E-2</v>
      </c>
      <c r="W6449">
        <v>0.18305949999999999</v>
      </c>
      <c r="X6449">
        <v>0.98250320000000002</v>
      </c>
      <c r="Y6449">
        <v>-4.9866639999999997E-2</v>
      </c>
      <c r="Z6449">
        <v>5.0078020000000004E-3</v>
      </c>
      <c r="AA6449">
        <v>0.99874339999999995</v>
      </c>
      <c r="AB6449">
        <v>32</v>
      </c>
      <c r="AC6449">
        <v>17.3093</v>
      </c>
      <c r="AD6449">
        <v>-1.1090281941738001</v>
      </c>
      <c r="AE6449">
        <v>-6.0549999999999202E-2</v>
      </c>
      <c r="AF6449">
        <v>-0.87193277204223596</v>
      </c>
      <c r="AG6449">
        <v>-1.1090281941738001</v>
      </c>
      <c r="AH6449">
        <v>17.216574673916298</v>
      </c>
      <c r="AI6449">
        <v>93.680985706509304</v>
      </c>
      <c r="AJ6449">
        <v>92.899265488591695</v>
      </c>
      <c r="AK6449">
        <v>17.274277229365399</v>
      </c>
      <c r="AL6449">
        <v>79.451981846127495</v>
      </c>
      <c r="AM6449">
        <v>91.999569115929205</v>
      </c>
      <c r="AN6449">
        <v>0.99999998556905301</v>
      </c>
    </row>
    <row r="6450" spans="1:40" x14ac:dyDescent="0.25">
      <c r="A6450" t="str">
        <f>"20190312172535534"</f>
        <v>20190312172535534</v>
      </c>
      <c r="B6450" t="str">
        <f>"1552382735526300"</f>
        <v>1552382735526300</v>
      </c>
      <c r="C6450" t="s">
        <v>40</v>
      </c>
      <c r="D6450">
        <v>3.6602130000000002</v>
      </c>
      <c r="E6450">
        <v>0.49890059999999897</v>
      </c>
      <c r="F6450" t="s">
        <v>56</v>
      </c>
      <c r="G6450">
        <v>-241.26779999999999</v>
      </c>
      <c r="H6450" s="1">
        <v>-4.9413529999999997E-8</v>
      </c>
      <c r="I6450">
        <v>-62.331899999999997</v>
      </c>
      <c r="J6450">
        <v>-258.77190000000002</v>
      </c>
      <c r="K6450">
        <v>1.1089039999999999</v>
      </c>
      <c r="L6450">
        <v>-62.243380000000002</v>
      </c>
      <c r="M6450">
        <v>0.99845879999999998</v>
      </c>
      <c r="N6450">
        <v>0</v>
      </c>
      <c r="O6450">
        <v>-5.457066E-2</v>
      </c>
      <c r="P6450">
        <v>0.98473809999999995</v>
      </c>
      <c r="Q6450">
        <v>0.17297709999999999</v>
      </c>
      <c r="R6450">
        <v>-1.9228950000000002E-2</v>
      </c>
      <c r="S6450">
        <v>3.079834</v>
      </c>
      <c r="T6450">
        <v>-0.1933019</v>
      </c>
      <c r="U6450">
        <v>-1.7089839999999999E-2</v>
      </c>
      <c r="V6450">
        <v>-3.4167900000000001E-2</v>
      </c>
      <c r="W6450">
        <v>0.18298819999999999</v>
      </c>
      <c r="X6450">
        <v>0.98252119999999998</v>
      </c>
      <c r="Y6450">
        <v>-4.882864E-2</v>
      </c>
      <c r="Z6450">
        <v>4.9512509999999899E-3</v>
      </c>
      <c r="AA6450">
        <v>0.99879490000000004</v>
      </c>
      <c r="AB6450">
        <v>32</v>
      </c>
      <c r="AC6450">
        <v>17.504100000000001</v>
      </c>
      <c r="AD6450">
        <v>-1.10890404941353</v>
      </c>
      <c r="AE6450">
        <v>-8.8519999999995394E-2</v>
      </c>
      <c r="AF6450">
        <v>-0.86340588563309895</v>
      </c>
      <c r="AG6450">
        <v>-1.10890404941353</v>
      </c>
      <c r="AH6450">
        <v>17.412962774979899</v>
      </c>
      <c r="AI6450">
        <v>93.639368936459405</v>
      </c>
      <c r="AJ6450">
        <v>92.838634181731393</v>
      </c>
      <c r="AK6450">
        <v>17.469585298941301</v>
      </c>
      <c r="AL6450">
        <v>79.456137567461496</v>
      </c>
      <c r="AM6450">
        <v>91.991700396561697</v>
      </c>
      <c r="AN6450">
        <v>1.00000001758954</v>
      </c>
    </row>
    <row r="6451" spans="1:40" x14ac:dyDescent="0.25">
      <c r="A6451" t="str">
        <f>"20190312172535544"</f>
        <v>20190312172535544</v>
      </c>
      <c r="B6451" t="str">
        <f>"1552382735537036"</f>
        <v>1552382735537036</v>
      </c>
      <c r="C6451" t="s">
        <v>40</v>
      </c>
      <c r="D6451">
        <v>3.6638489999999999</v>
      </c>
      <c r="E6451">
        <v>0.4991159</v>
      </c>
      <c r="F6451" t="s">
        <v>56</v>
      </c>
      <c r="G6451">
        <v>-241</v>
      </c>
      <c r="H6451" s="1">
        <v>5.6810559999999997E-8</v>
      </c>
      <c r="I6451">
        <v>-62.364469999999997</v>
      </c>
      <c r="J6451">
        <v>-258.61520000000002</v>
      </c>
      <c r="K6451">
        <v>1.108787</v>
      </c>
      <c r="L6451">
        <v>-62.25235</v>
      </c>
      <c r="M6451">
        <v>0.99843769999999998</v>
      </c>
      <c r="N6451">
        <v>0</v>
      </c>
      <c r="O6451">
        <v>-5.5034760000000002E-2</v>
      </c>
      <c r="P6451">
        <v>0.9846395</v>
      </c>
      <c r="Q6451">
        <v>0.1734646</v>
      </c>
      <c r="R6451">
        <v>-1.989111E-2</v>
      </c>
      <c r="S6451">
        <v>3.079834</v>
      </c>
      <c r="T6451">
        <v>-0.19217090000000001</v>
      </c>
      <c r="U6451">
        <v>-2.0996089999999999E-2</v>
      </c>
      <c r="V6451">
        <v>-3.3967110000000002E-2</v>
      </c>
      <c r="W6451">
        <v>0.183029</v>
      </c>
      <c r="X6451">
        <v>0.98252059999999997</v>
      </c>
      <c r="Y6451">
        <v>-4.8028929999999997E-2</v>
      </c>
      <c r="Z6451">
        <v>4.9262439999999998E-3</v>
      </c>
      <c r="AA6451">
        <v>0.99883379999999999</v>
      </c>
      <c r="AB6451">
        <v>32</v>
      </c>
      <c r="AC6451">
        <v>17.615200000000002</v>
      </c>
      <c r="AD6451">
        <v>-1.1087869431894399</v>
      </c>
      <c r="AE6451">
        <v>-0.112119999999997</v>
      </c>
      <c r="AF6451">
        <v>-0.85415939583223299</v>
      </c>
      <c r="AG6451">
        <v>-1.1087869431894399</v>
      </c>
      <c r="AH6451">
        <v>17.5252381512733</v>
      </c>
      <c r="AI6451">
        <v>93.615884022233104</v>
      </c>
      <c r="AJ6451">
        <v>92.790320534938502</v>
      </c>
      <c r="AK6451">
        <v>17.581040043686802</v>
      </c>
      <c r="AL6451">
        <v>79.453760134137895</v>
      </c>
      <c r="AM6451">
        <v>91.980006584940597</v>
      </c>
      <c r="AN6451">
        <v>1.0000000544135501</v>
      </c>
    </row>
    <row r="6452" spans="1:40" x14ac:dyDescent="0.25">
      <c r="A6452" t="str">
        <f>"20190312172535555"</f>
        <v>20190312172535555</v>
      </c>
      <c r="B6452" t="str">
        <f>"1552382735546798"</f>
        <v>1552382735546798</v>
      </c>
      <c r="C6452" t="s">
        <v>40</v>
      </c>
      <c r="D6452">
        <v>3.6438000000000001</v>
      </c>
      <c r="E6452">
        <v>0.499336</v>
      </c>
      <c r="F6452" t="s">
        <v>56</v>
      </c>
      <c r="G6452">
        <v>-240.6977</v>
      </c>
      <c r="H6452" s="1">
        <v>1.775541E-7</v>
      </c>
      <c r="I6452">
        <v>-62.398049999999998</v>
      </c>
      <c r="J6452">
        <v>-258.4477</v>
      </c>
      <c r="K6452">
        <v>1.1086530000000001</v>
      </c>
      <c r="L6452">
        <v>-62.2620199999999</v>
      </c>
      <c r="M6452">
        <v>0.99841659999999999</v>
      </c>
      <c r="N6452">
        <v>0</v>
      </c>
      <c r="O6452">
        <v>-5.551681E-2</v>
      </c>
      <c r="P6452">
        <v>0.98453469999999998</v>
      </c>
      <c r="Q6452">
        <v>0.1740389</v>
      </c>
      <c r="R6452">
        <v>-2.0045009999999999E-2</v>
      </c>
      <c r="S6452">
        <v>3.0798800000000002</v>
      </c>
      <c r="T6452">
        <v>-0.19059219999999999</v>
      </c>
      <c r="U6452">
        <v>-2.505493E-2</v>
      </c>
      <c r="V6452">
        <v>-3.429273E-2</v>
      </c>
      <c r="W6452">
        <v>0.183028</v>
      </c>
      <c r="X6452">
        <v>0.98250939999999998</v>
      </c>
      <c r="Y6452">
        <v>-4.7198660000000003E-2</v>
      </c>
      <c r="Z6452">
        <v>4.889806E-3</v>
      </c>
      <c r="AA6452">
        <v>0.99887349999999997</v>
      </c>
      <c r="AB6452">
        <v>33</v>
      </c>
      <c r="AC6452">
        <v>17.75</v>
      </c>
      <c r="AD6452">
        <v>-1.10865282244589</v>
      </c>
      <c r="AE6452">
        <v>-0.13603000000000501</v>
      </c>
      <c r="AF6452">
        <v>-0.84634215132125901</v>
      </c>
      <c r="AG6452">
        <v>-1.10865282244589</v>
      </c>
      <c r="AH6452">
        <v>17.6612795845693</v>
      </c>
      <c r="AI6452">
        <v>93.587812864897103</v>
      </c>
      <c r="AJ6452">
        <v>92.743559164819402</v>
      </c>
      <c r="AK6452">
        <v>17.716269434679099</v>
      </c>
      <c r="AL6452">
        <v>79.453817627061099</v>
      </c>
      <c r="AM6452">
        <v>91.998995028454104</v>
      </c>
      <c r="AN6452">
        <v>0.999999980601606</v>
      </c>
    </row>
    <row r="6453" spans="1:40" x14ac:dyDescent="0.25">
      <c r="A6453" t="str">
        <f>"20190312172535566"</f>
        <v>20190312172535566</v>
      </c>
      <c r="B6453" t="str">
        <f>"1552382735556557"</f>
        <v>1552382735556557</v>
      </c>
      <c r="C6453" t="s">
        <v>40</v>
      </c>
      <c r="D6453">
        <v>3.662579</v>
      </c>
      <c r="E6453">
        <v>0.49955260000000001</v>
      </c>
      <c r="F6453" t="s">
        <v>56</v>
      </c>
      <c r="G6453">
        <v>-240.357</v>
      </c>
      <c r="H6453" s="1">
        <v>3.1630030000000002E-7</v>
      </c>
      <c r="I6453">
        <v>-62.425980000000003</v>
      </c>
      <c r="J6453">
        <v>-258.2953</v>
      </c>
      <c r="K6453">
        <v>1.108544</v>
      </c>
      <c r="L6453">
        <v>-62.270809999999997</v>
      </c>
      <c r="M6453">
        <v>0.99839710000000004</v>
      </c>
      <c r="N6453">
        <v>0</v>
      </c>
      <c r="O6453">
        <v>-5.5949939999999997E-2</v>
      </c>
      <c r="P6453">
        <v>0.98450959999999998</v>
      </c>
      <c r="Q6453">
        <v>0.17416470000000001</v>
      </c>
      <c r="R6453">
        <v>-2.0189550000000001E-2</v>
      </c>
      <c r="S6453">
        <v>3.0799259999999999</v>
      </c>
      <c r="T6453">
        <v>-0.18874679999999999</v>
      </c>
      <c r="U6453">
        <v>-2.792358E-2</v>
      </c>
      <c r="V6453">
        <v>-3.4584910000000003E-2</v>
      </c>
      <c r="W6453">
        <v>0.18262349999999999</v>
      </c>
      <c r="X6453">
        <v>0.98257450000000002</v>
      </c>
      <c r="Y6453">
        <v>-4.6705480000000001E-2</v>
      </c>
      <c r="Z6453">
        <v>4.8538100000000001E-3</v>
      </c>
      <c r="AA6453">
        <v>0.99889689999999998</v>
      </c>
      <c r="AB6453">
        <v>33</v>
      </c>
      <c r="AC6453">
        <v>17.938299999999899</v>
      </c>
      <c r="AD6453">
        <v>-1.1085436836997</v>
      </c>
      <c r="AE6453">
        <v>-0.155170000000005</v>
      </c>
      <c r="AF6453">
        <v>-0.84552766134861501</v>
      </c>
      <c r="AG6453">
        <v>-1.1085436836997</v>
      </c>
      <c r="AH6453">
        <v>17.850715278211698</v>
      </c>
      <c r="AI6453">
        <v>93.5495807954225</v>
      </c>
      <c r="AJ6453">
        <v>92.711879269685397</v>
      </c>
      <c r="AK6453">
        <v>17.905078108418301</v>
      </c>
      <c r="AL6453">
        <v>79.4773918682247</v>
      </c>
      <c r="AM6453">
        <v>92.015879357824502</v>
      </c>
      <c r="AN6453">
        <v>1.0000000534011</v>
      </c>
    </row>
    <row r="6454" spans="1:40" x14ac:dyDescent="0.25">
      <c r="A6454" t="str">
        <f>"20190312172535578"</f>
        <v>20190312172535578</v>
      </c>
      <c r="B6454" t="str">
        <f>"1552382735566316"</f>
        <v>1552382735566316</v>
      </c>
      <c r="C6454" t="s">
        <v>40</v>
      </c>
      <c r="D6454">
        <v>3.6261130000000001</v>
      </c>
      <c r="E6454">
        <v>0.49976749999999998</v>
      </c>
      <c r="F6454" t="s">
        <v>56</v>
      </c>
      <c r="G6454">
        <v>-240.1591</v>
      </c>
      <c r="H6454" s="1">
        <v>3.9413320000000001E-7</v>
      </c>
      <c r="I6454">
        <v>-62.45243</v>
      </c>
      <c r="J6454">
        <v>-258.1277</v>
      </c>
      <c r="K6454">
        <v>1.1084369999999999</v>
      </c>
      <c r="L6454">
        <v>-62.280610000000003</v>
      </c>
      <c r="M6454">
        <v>0.99837549999999997</v>
      </c>
      <c r="N6454">
        <v>0</v>
      </c>
      <c r="O6454">
        <v>-5.6422359999999998E-2</v>
      </c>
      <c r="P6454">
        <v>0.98440459999999996</v>
      </c>
      <c r="Q6454">
        <v>0.17472750000000001</v>
      </c>
      <c r="R6454">
        <v>-2.0452020000000001E-2</v>
      </c>
      <c r="S6454">
        <v>3.0798800000000002</v>
      </c>
      <c r="T6454">
        <v>-0.188252</v>
      </c>
      <c r="U6454">
        <v>-3.0853269999999999E-2</v>
      </c>
      <c r="V6454">
        <v>-3.4794529999999997E-2</v>
      </c>
      <c r="W6454">
        <v>0.1825949</v>
      </c>
      <c r="X6454">
        <v>0.98257240000000001</v>
      </c>
      <c r="Y6454">
        <v>-4.6228640000000001E-2</v>
      </c>
      <c r="Z6454">
        <v>4.8553709999999998E-3</v>
      </c>
      <c r="AA6454">
        <v>0.99891909999999895</v>
      </c>
      <c r="AB6454">
        <v>33</v>
      </c>
      <c r="AC6454">
        <v>17.968599999999999</v>
      </c>
      <c r="AD6454">
        <v>-1.1084366058668</v>
      </c>
      <c r="AE6454">
        <v>-0.17182000000000999</v>
      </c>
      <c r="AF6454">
        <v>-0.83912356476824701</v>
      </c>
      <c r="AG6454">
        <v>-1.1084366058668</v>
      </c>
      <c r="AH6454">
        <v>17.881629407747401</v>
      </c>
      <c r="AI6454">
        <v>93.543191609239102</v>
      </c>
      <c r="AJ6454">
        <v>92.686723515579601</v>
      </c>
      <c r="AK6454">
        <v>17.935591162328301</v>
      </c>
      <c r="AL6454">
        <v>79.479058398859195</v>
      </c>
      <c r="AM6454">
        <v>92.028091811114606</v>
      </c>
      <c r="AN6454">
        <v>1.0000000390328401</v>
      </c>
    </row>
    <row r="6455" spans="1:40" x14ac:dyDescent="0.25">
      <c r="A6455" t="str">
        <f>"20190312172535588"</f>
        <v>20190312172535588</v>
      </c>
      <c r="B6455" t="str">
        <f>"1552382735577052"</f>
        <v>1552382735577052</v>
      </c>
      <c r="C6455" t="s">
        <v>40</v>
      </c>
      <c r="D6455">
        <v>3.6092140000000001</v>
      </c>
      <c r="E6455">
        <v>0.49997330000000001</v>
      </c>
      <c r="F6455" t="s">
        <v>58</v>
      </c>
      <c r="G6455">
        <v>-239.81479999999999</v>
      </c>
      <c r="H6455" s="1">
        <v>-3.5864859999999999E-6</v>
      </c>
      <c r="I6455">
        <v>-62.483049999999999</v>
      </c>
      <c r="J6455">
        <v>-257.96620000000001</v>
      </c>
      <c r="K6455">
        <v>1.1083480000000001</v>
      </c>
      <c r="L6455">
        <v>-62.290039999999998</v>
      </c>
      <c r="M6455">
        <v>0.99835469999999904</v>
      </c>
      <c r="N6455">
        <v>0</v>
      </c>
      <c r="O6455">
        <v>-5.6867639999999997E-2</v>
      </c>
      <c r="P6455">
        <v>0.98424520000000004</v>
      </c>
      <c r="Q6455">
        <v>0.1755961</v>
      </c>
      <c r="R6455">
        <v>-2.068621E-2</v>
      </c>
      <c r="S6455">
        <v>3.0799099999999999</v>
      </c>
      <c r="T6455">
        <v>-0.18642059999999999</v>
      </c>
      <c r="U6455">
        <v>-3.4057619999999997E-2</v>
      </c>
      <c r="V6455">
        <v>-3.4999139999999998E-2</v>
      </c>
      <c r="W6455">
        <v>0.1828996</v>
      </c>
      <c r="X6455">
        <v>0.98250839999999995</v>
      </c>
      <c r="Y6455">
        <v>-4.5638819999999997E-2</v>
      </c>
      <c r="Z6455">
        <v>4.8171639999999996E-3</v>
      </c>
      <c r="AA6455">
        <v>0.99894640000000001</v>
      </c>
      <c r="AB6455">
        <v>33</v>
      </c>
      <c r="AC6455">
        <v>18.151399999999999</v>
      </c>
      <c r="AD6455">
        <v>-1.1083515864860001</v>
      </c>
      <c r="AE6455">
        <v>-0.19300999999999299</v>
      </c>
      <c r="AF6455">
        <v>-0.83643917764442799</v>
      </c>
      <c r="AG6455">
        <v>-1.1083515864860001</v>
      </c>
      <c r="AH6455">
        <v>18.065650530389799</v>
      </c>
      <c r="AI6455">
        <v>93.507023960725206</v>
      </c>
      <c r="AJ6455">
        <v>92.650900037574999</v>
      </c>
      <c r="AK6455">
        <v>18.118934925191901</v>
      </c>
      <c r="AL6455">
        <v>79.461300713765795</v>
      </c>
      <c r="AM6455">
        <v>92.040140774933406</v>
      </c>
      <c r="AN6455">
        <v>0.99999997977572896</v>
      </c>
    </row>
    <row r="6456" spans="1:40" x14ac:dyDescent="0.25">
      <c r="A6456" t="str">
        <f>"20190312172535600"</f>
        <v>20190312172535600</v>
      </c>
      <c r="B6456" t="str">
        <f>"1552382735596572"</f>
        <v>1552382735596572</v>
      </c>
      <c r="C6456" t="s">
        <v>40</v>
      </c>
      <c r="D6456">
        <v>3.6281219999999998</v>
      </c>
      <c r="E6456">
        <v>0.50038119999999997</v>
      </c>
      <c r="F6456" t="s">
        <v>58</v>
      </c>
      <c r="G6456">
        <v>-239.37780000000001</v>
      </c>
      <c r="H6456" s="1">
        <v>-3.4427530000000001E-6</v>
      </c>
      <c r="I6456">
        <v>-62.5111699999999</v>
      </c>
      <c r="J6456">
        <v>-257.79079999999999</v>
      </c>
      <c r="K6456">
        <v>1.108258</v>
      </c>
      <c r="L6456">
        <v>-62.3003199999999</v>
      </c>
      <c r="M6456">
        <v>0.99833150000000004</v>
      </c>
      <c r="N6456">
        <v>0</v>
      </c>
      <c r="O6456">
        <v>-5.7347370000000002E-2</v>
      </c>
      <c r="P6456">
        <v>0.98404449999999999</v>
      </c>
      <c r="Q6456">
        <v>0.17667089999999999</v>
      </c>
      <c r="R6456">
        <v>-2.1072830000000001E-2</v>
      </c>
      <c r="S6456">
        <v>3.0800169999999998</v>
      </c>
      <c r="T6456">
        <v>-0.18364820000000001</v>
      </c>
      <c r="U6456">
        <v>-3.6651610000000001E-2</v>
      </c>
      <c r="V6456">
        <v>-3.508319E-2</v>
      </c>
      <c r="W6456">
        <v>0.1833632</v>
      </c>
      <c r="X6456">
        <v>0.98241900000000004</v>
      </c>
      <c r="Y6456">
        <v>-4.5283099999999903E-2</v>
      </c>
      <c r="Z6456">
        <v>4.7633759999999997E-3</v>
      </c>
      <c r="AA6456">
        <v>0.99896280000000004</v>
      </c>
      <c r="AB6456">
        <v>33</v>
      </c>
      <c r="AC6456">
        <v>18.412999999999901</v>
      </c>
      <c r="AD6456">
        <v>-1.108261442753</v>
      </c>
      <c r="AE6456">
        <v>-0.21085000000000001</v>
      </c>
      <c r="AF6456">
        <v>-0.84240675173650204</v>
      </c>
      <c r="AG6456">
        <v>-1.108261442753</v>
      </c>
      <c r="AH6456">
        <v>18.3283980090631</v>
      </c>
      <c r="AI6456">
        <v>93.456644884013897</v>
      </c>
      <c r="AJ6456">
        <v>92.631566987075999</v>
      </c>
      <c r="AK6456">
        <v>18.381187832659101</v>
      </c>
      <c r="AL6456">
        <v>79.434281587245707</v>
      </c>
      <c r="AM6456">
        <v>92.045221932594004</v>
      </c>
      <c r="AN6456">
        <v>0.99999999244790805</v>
      </c>
    </row>
    <row r="6457" spans="1:40" x14ac:dyDescent="0.25">
      <c r="A6457" t="str">
        <f>"20190312172535612"</f>
        <v>20190312172535612</v>
      </c>
      <c r="B6457" t="str">
        <f>"1552382735606336"</f>
        <v>1552382735606336</v>
      </c>
      <c r="C6457" t="s">
        <v>40</v>
      </c>
      <c r="D6457">
        <v>3.6468400000000001</v>
      </c>
      <c r="E6457">
        <v>0.50057180000000001</v>
      </c>
      <c r="F6457" t="s">
        <v>58</v>
      </c>
      <c r="G6457">
        <v>-238.8321</v>
      </c>
      <c r="H6457" s="1">
        <v>-3.2644629999999999E-6</v>
      </c>
      <c r="I6457">
        <v>-62.552909999999997</v>
      </c>
      <c r="J6457">
        <v>-257.62450000000001</v>
      </c>
      <c r="K6457">
        <v>1.1081799999999999</v>
      </c>
      <c r="L6457">
        <v>-62.310180000000003</v>
      </c>
      <c r="M6457">
        <v>0.99831020000000004</v>
      </c>
      <c r="N6457">
        <v>0</v>
      </c>
      <c r="O6457">
        <v>-5.7782649999999998E-2</v>
      </c>
      <c r="P6457">
        <v>0.9838036</v>
      </c>
      <c r="Q6457">
        <v>0.1779714</v>
      </c>
      <c r="R6457">
        <v>-2.1370400000000001E-2</v>
      </c>
      <c r="S6457">
        <v>3.080063</v>
      </c>
      <c r="T6457">
        <v>-0.18004970000000001</v>
      </c>
      <c r="U6457">
        <v>-4.1046140000000002E-2</v>
      </c>
      <c r="V6457">
        <v>-3.5203829999999998E-2</v>
      </c>
      <c r="W6457">
        <v>0.18409629999999999</v>
      </c>
      <c r="X6457">
        <v>0.98227759999999997</v>
      </c>
      <c r="Y6457">
        <v>-4.4301529999999999E-2</v>
      </c>
      <c r="Z6457">
        <v>4.666763E-3</v>
      </c>
      <c r="AA6457">
        <v>0.99900730000000004</v>
      </c>
      <c r="AB6457">
        <v>33</v>
      </c>
      <c r="AC6457">
        <v>18.792400000000001</v>
      </c>
      <c r="AD6457">
        <v>-1.1081832644630001</v>
      </c>
      <c r="AE6457">
        <v>-0.24272999999999401</v>
      </c>
      <c r="AF6457">
        <v>-0.84064801810751899</v>
      </c>
      <c r="AG6457">
        <v>-1.1081832644630001</v>
      </c>
      <c r="AH6457">
        <v>18.7099742532527</v>
      </c>
      <c r="AI6457">
        <v>93.386234588932297</v>
      </c>
      <c r="AJ6457">
        <v>92.572596341376695</v>
      </c>
      <c r="AK6457">
        <v>18.7616069619679</v>
      </c>
      <c r="AL6457">
        <v>79.3915509319271</v>
      </c>
      <c r="AM6457">
        <v>92.052543971765601</v>
      </c>
      <c r="AN6457">
        <v>1.00000002039105</v>
      </c>
    </row>
    <row r="6458" spans="1:40" x14ac:dyDescent="0.25">
      <c r="A6458" t="str">
        <f>"20190312172535623"</f>
        <v>20190312172535623</v>
      </c>
      <c r="B6458" t="str">
        <f>"1552382735617068"</f>
        <v>1552382735617068</v>
      </c>
      <c r="C6458" t="s">
        <v>40</v>
      </c>
      <c r="D6458">
        <v>3.6135329999999999</v>
      </c>
      <c r="E6458">
        <v>0.500745</v>
      </c>
      <c r="F6458" t="s">
        <v>58</v>
      </c>
      <c r="G6458">
        <v>-238.22049999999999</v>
      </c>
      <c r="H6458" s="1">
        <v>-3.0614169999999999E-6</v>
      </c>
      <c r="I6458">
        <v>-62.5815699999999</v>
      </c>
      <c r="J6458">
        <v>-257.4477</v>
      </c>
      <c r="K6458">
        <v>1.108098</v>
      </c>
      <c r="L6458">
        <v>-62.320680000000003</v>
      </c>
      <c r="M6458">
        <v>0.99828709999999998</v>
      </c>
      <c r="N6458">
        <v>0</v>
      </c>
      <c r="O6458">
        <v>-5.8238989999999997E-2</v>
      </c>
      <c r="P6458">
        <v>0.98351259999999996</v>
      </c>
      <c r="Q6458">
        <v>0.1794859</v>
      </c>
      <c r="R6458">
        <v>-2.2086120000000001E-2</v>
      </c>
      <c r="S6458">
        <v>3.080276</v>
      </c>
      <c r="T6458">
        <v>-0.17591809999999999</v>
      </c>
      <c r="U6458">
        <v>-4.3090820000000002E-2</v>
      </c>
      <c r="V6458">
        <v>-3.4924160000000003E-2</v>
      </c>
      <c r="W6458">
        <v>0.18501529999999999</v>
      </c>
      <c r="X6458">
        <v>0.98211490000000001</v>
      </c>
      <c r="Y6458">
        <v>-4.4103410000000003E-2</v>
      </c>
      <c r="Z6458">
        <v>4.5798369999999998E-3</v>
      </c>
      <c r="AA6458">
        <v>0.99901649999999997</v>
      </c>
      <c r="AB6458">
        <v>34</v>
      </c>
      <c r="AC6458">
        <v>19.2272</v>
      </c>
      <c r="AD6458">
        <v>-1.1081010614169999</v>
      </c>
      <c r="AE6458">
        <v>-0.26088999999998902</v>
      </c>
      <c r="AF6458">
        <v>-0.85649865706756501</v>
      </c>
      <c r="AG6458">
        <v>-1.1081010614169999</v>
      </c>
      <c r="AH6458">
        <v>19.146177071177501</v>
      </c>
      <c r="AI6458">
        <v>93.309044248268094</v>
      </c>
      <c r="AJ6458">
        <v>92.561402305171995</v>
      </c>
      <c r="AK6458">
        <v>19.197332480132602</v>
      </c>
      <c r="AL6458">
        <v>79.337975766631004</v>
      </c>
      <c r="AM6458">
        <v>92.036588763125195</v>
      </c>
      <c r="AN6458">
        <v>1.0000000174939001</v>
      </c>
    </row>
    <row r="6459" spans="1:40" x14ac:dyDescent="0.25">
      <c r="A6459" t="str">
        <f>"20190312172535634"</f>
        <v>20190312172535634</v>
      </c>
      <c r="B6459" t="str">
        <f>"1552382735626828"</f>
        <v>1552382735626828</v>
      </c>
      <c r="C6459" t="s">
        <v>40</v>
      </c>
      <c r="D6459">
        <v>3.631227</v>
      </c>
      <c r="E6459">
        <v>0.50092199999999998</v>
      </c>
      <c r="F6459" t="s">
        <v>58</v>
      </c>
      <c r="G6459">
        <v>-237.4933</v>
      </c>
      <c r="H6459" s="1">
        <v>-2.7962130000000002E-6</v>
      </c>
      <c r="I6459">
        <v>-62.617939999999997</v>
      </c>
      <c r="J6459">
        <v>-257.2747</v>
      </c>
      <c r="K6459">
        <v>1.108028</v>
      </c>
      <c r="L6459">
        <v>-62.331020000000002</v>
      </c>
      <c r="M6459">
        <v>0.99826539999999997</v>
      </c>
      <c r="N6459">
        <v>0</v>
      </c>
      <c r="O6459">
        <v>-5.8664710000000002E-2</v>
      </c>
      <c r="P6459">
        <v>0.98326239999999998</v>
      </c>
      <c r="Q6459">
        <v>0.1807918</v>
      </c>
      <c r="R6459">
        <v>-2.258456E-2</v>
      </c>
      <c r="S6459">
        <v>3.0804749999999999</v>
      </c>
      <c r="T6459">
        <v>-0.17106350000000001</v>
      </c>
      <c r="U6459">
        <v>-4.5898439999999999E-2</v>
      </c>
      <c r="V6459">
        <v>-3.482971E-2</v>
      </c>
      <c r="W6459">
        <v>0.1857636</v>
      </c>
      <c r="X6459">
        <v>0.98197699999999999</v>
      </c>
      <c r="Y6459">
        <v>-4.3628989999999999E-2</v>
      </c>
      <c r="Z6459">
        <v>4.4637289999999996E-3</v>
      </c>
      <c r="AA6459">
        <v>0.99903779999999998</v>
      </c>
      <c r="AB6459">
        <v>34</v>
      </c>
      <c r="AC6459">
        <v>19.781399999999898</v>
      </c>
      <c r="AD6459">
        <v>-1.108030796213</v>
      </c>
      <c r="AE6459">
        <v>-0.286920000000009</v>
      </c>
      <c r="AF6459">
        <v>-0.87132531045034201</v>
      </c>
      <c r="AG6459">
        <v>-1.108030796213</v>
      </c>
      <c r="AH6459">
        <v>19.7023588024276</v>
      </c>
      <c r="AI6459">
        <v>93.2157006865271</v>
      </c>
      <c r="AJ6459">
        <v>92.532222404921399</v>
      </c>
      <c r="AK6459">
        <v>19.7527183552438</v>
      </c>
      <c r="AL6459">
        <v>79.294345094496094</v>
      </c>
      <c r="AM6459">
        <v>92.031370555956101</v>
      </c>
      <c r="AN6459">
        <v>1.00000002615632</v>
      </c>
    </row>
    <row r="6460" spans="1:40" x14ac:dyDescent="0.25">
      <c r="A6460" t="str">
        <f>"20190312172535645"</f>
        <v>20190312172535645</v>
      </c>
      <c r="B6460" t="str">
        <f>"1552382735636588"</f>
        <v>1552382735636588</v>
      </c>
      <c r="C6460" t="s">
        <v>40</v>
      </c>
      <c r="D6460">
        <v>3.6111520000000001</v>
      </c>
      <c r="E6460">
        <v>0.5010985</v>
      </c>
      <c r="F6460" t="s">
        <v>58</v>
      </c>
      <c r="G6460">
        <v>-236.8272</v>
      </c>
      <c r="H6460" s="1">
        <v>-2.5195819999999999E-6</v>
      </c>
      <c r="I6460">
        <v>-62.6522199999999</v>
      </c>
      <c r="J6460">
        <v>-257.10399999999998</v>
      </c>
      <c r="K6460">
        <v>1.107961</v>
      </c>
      <c r="L6460">
        <v>-62.34131</v>
      </c>
      <c r="M6460">
        <v>0.99824360000000001</v>
      </c>
      <c r="N6460">
        <v>0</v>
      </c>
      <c r="O6460">
        <v>-5.9073170000000001E-2</v>
      </c>
      <c r="P6460">
        <v>0.9830892</v>
      </c>
      <c r="Q6460">
        <v>0.18170839999999999</v>
      </c>
      <c r="R6460">
        <v>-2.2754880000000002E-2</v>
      </c>
      <c r="S6460">
        <v>3.0806580000000001</v>
      </c>
      <c r="T6460">
        <v>-0.16693740000000001</v>
      </c>
      <c r="U6460">
        <v>-4.840088E-2</v>
      </c>
      <c r="V6460">
        <v>-3.5049490000000003E-2</v>
      </c>
      <c r="W6460">
        <v>0.1861534</v>
      </c>
      <c r="X6460">
        <v>0.98189530000000003</v>
      </c>
      <c r="Y6460">
        <v>-4.3234679999999998E-2</v>
      </c>
      <c r="Z6460">
        <v>4.3673150000000001E-3</v>
      </c>
      <c r="AA6460">
        <v>0.99905540000000004</v>
      </c>
      <c r="AB6460">
        <v>34</v>
      </c>
      <c r="AC6460">
        <v>20.276800000000001</v>
      </c>
      <c r="AD6460">
        <v>-1.1079635195819999</v>
      </c>
      <c r="AE6460">
        <v>-0.31090999999999203</v>
      </c>
      <c r="AF6460">
        <v>-0.88481862598682504</v>
      </c>
      <c r="AG6460">
        <v>-1.1079635195819999</v>
      </c>
      <c r="AH6460">
        <v>20.199459460726199</v>
      </c>
      <c r="AI6460">
        <v>93.136591316777498</v>
      </c>
      <c r="AJ6460">
        <v>92.5081851785814</v>
      </c>
      <c r="AK6460">
        <v>20.2491641720625</v>
      </c>
      <c r="AL6460">
        <v>79.271614092498695</v>
      </c>
      <c r="AM6460">
        <v>92.044347872122998</v>
      </c>
      <c r="AN6460">
        <v>0.99999996762145404</v>
      </c>
    </row>
    <row r="6461" spans="1:40" x14ac:dyDescent="0.25">
      <c r="A6461" t="str">
        <f>"20190312172535656"</f>
        <v>20190312172535656</v>
      </c>
      <c r="B6461" t="str">
        <f>"1552382735646350"</f>
        <v>1552382735646350</v>
      </c>
      <c r="C6461" t="s">
        <v>40</v>
      </c>
      <c r="D6461">
        <v>3.656914</v>
      </c>
      <c r="E6461">
        <v>0.50126709999999997</v>
      </c>
      <c r="F6461" t="s">
        <v>58</v>
      </c>
      <c r="G6461">
        <v>-236.30029999999999</v>
      </c>
      <c r="H6461" s="1">
        <v>-2.3008699999999999E-6</v>
      </c>
      <c r="I6461">
        <v>-62.6796199999999</v>
      </c>
      <c r="J6461">
        <v>-256.94069999999999</v>
      </c>
      <c r="K6461">
        <v>1.1079030000000001</v>
      </c>
      <c r="L6461">
        <v>-62.351199999999999</v>
      </c>
      <c r="M6461">
        <v>0.99822350000000004</v>
      </c>
      <c r="N6461">
        <v>0</v>
      </c>
      <c r="O6461">
        <v>-5.9449389999999998E-2</v>
      </c>
      <c r="P6461">
        <v>0.98298810000000003</v>
      </c>
      <c r="Q6461">
        <v>0.18223420000000001</v>
      </c>
      <c r="R6461">
        <v>-2.2926950000000001E-2</v>
      </c>
      <c r="S6461">
        <v>3.0808110000000002</v>
      </c>
      <c r="T6461">
        <v>-0.164078</v>
      </c>
      <c r="U6461">
        <v>-5.0109859999999999E-2</v>
      </c>
      <c r="V6461">
        <v>-3.5238770000000003E-2</v>
      </c>
      <c r="W6461">
        <v>0.18620539999999999</v>
      </c>
      <c r="X6461">
        <v>0.98187869999999999</v>
      </c>
      <c r="Y6461">
        <v>-4.3062620000000003E-2</v>
      </c>
      <c r="Z6461">
        <v>4.3077790000000003E-3</v>
      </c>
      <c r="AA6461">
        <v>0.99906309999999998</v>
      </c>
      <c r="AB6461">
        <v>34</v>
      </c>
      <c r="AC6461">
        <v>20.6404</v>
      </c>
      <c r="AD6461">
        <v>-1.1079053008699999</v>
      </c>
      <c r="AE6461">
        <v>-0.32841999999999399</v>
      </c>
      <c r="AF6461">
        <v>-0.896646908491743</v>
      </c>
      <c r="AG6461">
        <v>-1.1079053008699999</v>
      </c>
      <c r="AH6461">
        <v>20.5641837695396</v>
      </c>
      <c r="AI6461">
        <v>93.080934665578994</v>
      </c>
      <c r="AJ6461">
        <v>92.496649726131096</v>
      </c>
      <c r="AK6461">
        <v>20.6135170201885</v>
      </c>
      <c r="AL6461">
        <v>79.268582062800803</v>
      </c>
      <c r="AM6461">
        <v>92.055413369916707</v>
      </c>
      <c r="AN6461">
        <v>1.0000000017069799</v>
      </c>
    </row>
    <row r="6462" spans="1:40" x14ac:dyDescent="0.25">
      <c r="A6462" t="str">
        <f>"20190312172535666"</f>
        <v>20190312172535666</v>
      </c>
      <c r="B6462" t="str">
        <f>"1552382735657084"</f>
        <v>1552382735657084</v>
      </c>
      <c r="C6462" t="s">
        <v>40</v>
      </c>
      <c r="D6462">
        <v>3.618268</v>
      </c>
      <c r="E6462">
        <v>0.50143649999999995</v>
      </c>
      <c r="F6462" t="s">
        <v>58</v>
      </c>
      <c r="G6462">
        <v>-235.9195</v>
      </c>
      <c r="H6462" s="1">
        <v>-2.1452089999999998E-6</v>
      </c>
      <c r="I6462">
        <v>-62.708660000000002</v>
      </c>
      <c r="J6462">
        <v>-256.77699999999999</v>
      </c>
      <c r="K6462">
        <v>1.1078570000000001</v>
      </c>
      <c r="L6462">
        <v>-62.361179999999997</v>
      </c>
      <c r="M6462">
        <v>0.99820359999999997</v>
      </c>
      <c r="N6462">
        <v>0</v>
      </c>
      <c r="O6462">
        <v>-5.9808890000000003E-2</v>
      </c>
      <c r="P6462">
        <v>0.98295589999999999</v>
      </c>
      <c r="Q6462">
        <v>0.18241950000000001</v>
      </c>
      <c r="R6462">
        <v>-2.282907E-2</v>
      </c>
      <c r="S6462">
        <v>3.0807950000000002</v>
      </c>
      <c r="T6462">
        <v>-0.16237079999999901</v>
      </c>
      <c r="U6462">
        <v>-5.2398680000000003E-2</v>
      </c>
      <c r="V6462">
        <v>-3.5686160000000001E-2</v>
      </c>
      <c r="W6462">
        <v>0.1859614</v>
      </c>
      <c r="X6462">
        <v>0.98190880000000003</v>
      </c>
      <c r="Y6462">
        <v>-4.2683249999999999E-2</v>
      </c>
      <c r="Z6462">
        <v>4.271904E-3</v>
      </c>
      <c r="AA6462">
        <v>0.99907950000000001</v>
      </c>
      <c r="AB6462">
        <v>34</v>
      </c>
      <c r="AC6462">
        <v>20.857499999999899</v>
      </c>
      <c r="AD6462">
        <v>-1.1078591452090001</v>
      </c>
      <c r="AE6462">
        <v>-0.34747999999999002</v>
      </c>
      <c r="AF6462">
        <v>-0.89808072659837002</v>
      </c>
      <c r="AG6462">
        <v>-1.1078591452090001</v>
      </c>
      <c r="AH6462">
        <v>20.782327639347098</v>
      </c>
      <c r="AI6462">
        <v>93.048581114513098</v>
      </c>
      <c r="AJ6462">
        <v>92.4744216272247</v>
      </c>
      <c r="AK6462">
        <v>20.831203589478001</v>
      </c>
      <c r="AL6462">
        <v>79.282810927695706</v>
      </c>
      <c r="AM6462">
        <v>92.081422253626002</v>
      </c>
      <c r="AN6462">
        <v>1.0000000179114701</v>
      </c>
    </row>
    <row r="6463" spans="1:40" x14ac:dyDescent="0.25">
      <c r="A6463" t="str">
        <f>"20190312172535678"</f>
        <v>20190312172535678</v>
      </c>
      <c r="B6463" t="str">
        <f>"1552382735666845"</f>
        <v>1552382735666845</v>
      </c>
      <c r="C6463" t="s">
        <v>40</v>
      </c>
      <c r="D6463">
        <v>3.6158450000000002</v>
      </c>
      <c r="E6463">
        <v>0.50159940000000003</v>
      </c>
      <c r="F6463" t="s">
        <v>58</v>
      </c>
      <c r="G6463">
        <v>-235.6763</v>
      </c>
      <c r="H6463" s="1">
        <v>-2.0462910000000002E-6</v>
      </c>
      <c r="I6463">
        <v>-62.72898</v>
      </c>
      <c r="J6463">
        <v>-256.6019</v>
      </c>
      <c r="K6463">
        <v>1.10782</v>
      </c>
      <c r="L6463">
        <v>-62.371920000000003</v>
      </c>
      <c r="M6463">
        <v>0.99818300000000004</v>
      </c>
      <c r="N6463">
        <v>0</v>
      </c>
      <c r="O6463">
        <v>-6.0179000000000003E-2</v>
      </c>
      <c r="P6463">
        <v>0.98291459999999997</v>
      </c>
      <c r="Q6463">
        <v>0.1826689</v>
      </c>
      <c r="R6463">
        <v>-2.2612130000000001E-2</v>
      </c>
      <c r="S6463">
        <v>3.0807950000000002</v>
      </c>
      <c r="T6463">
        <v>-0.16175220000000001</v>
      </c>
      <c r="U6463">
        <v>-5.3710939999999999E-2</v>
      </c>
      <c r="V6463">
        <v>-3.626091E-2</v>
      </c>
      <c r="W6463">
        <v>0.18579029999999999</v>
      </c>
      <c r="X6463">
        <v>0.98192009999999996</v>
      </c>
      <c r="Y6463">
        <v>-4.2628819999999998E-2</v>
      </c>
      <c r="Z6463">
        <v>4.2735809999999898E-3</v>
      </c>
      <c r="AA6463">
        <v>0.99908189999999997</v>
      </c>
      <c r="AB6463">
        <v>34</v>
      </c>
      <c r="AC6463">
        <v>20.925599999999999</v>
      </c>
      <c r="AD6463">
        <v>-1.107822046291</v>
      </c>
      <c r="AE6463">
        <v>-0.35706000000001098</v>
      </c>
      <c r="AF6463">
        <v>-0.90035188193590399</v>
      </c>
      <c r="AG6463">
        <v>-1.107822046291</v>
      </c>
      <c r="AH6463">
        <v>20.850739365694601</v>
      </c>
      <c r="AI6463">
        <v>93.038500163262896</v>
      </c>
      <c r="AJ6463">
        <v>92.472542363319405</v>
      </c>
      <c r="AK6463">
        <v>20.8995510787596</v>
      </c>
      <c r="AL6463">
        <v>79.2927877593239</v>
      </c>
      <c r="AM6463">
        <v>92.114890464417101</v>
      </c>
      <c r="AN6463">
        <v>0.99999998597606299</v>
      </c>
    </row>
    <row r="6464" spans="1:40" x14ac:dyDescent="0.25">
      <c r="A6464" t="str">
        <f>"20190312172535691"</f>
        <v>20190312172535691</v>
      </c>
      <c r="B6464" t="str">
        <f>"1552382735686365"</f>
        <v>1552382735686365</v>
      </c>
      <c r="C6464" t="s">
        <v>40</v>
      </c>
      <c r="D6464">
        <v>3.662004</v>
      </c>
      <c r="E6464">
        <v>0.50187910000000002</v>
      </c>
      <c r="F6464" t="s">
        <v>58</v>
      </c>
      <c r="G6464">
        <v>-235.39609999999999</v>
      </c>
      <c r="H6464" s="1">
        <v>-1.9315040000000002E-6</v>
      </c>
      <c r="I6464">
        <v>-62.74933</v>
      </c>
      <c r="J6464">
        <v>-256.41480000000001</v>
      </c>
      <c r="K6464">
        <v>1.1078110000000001</v>
      </c>
      <c r="L6464">
        <v>-62.383479999999999</v>
      </c>
      <c r="M6464">
        <v>0.9981622</v>
      </c>
      <c r="N6464">
        <v>0</v>
      </c>
      <c r="O6464">
        <v>-6.053621E-2</v>
      </c>
      <c r="P6464">
        <v>0.98284009999999999</v>
      </c>
      <c r="Q6464">
        <v>0.18304490000000001</v>
      </c>
      <c r="R6464">
        <v>-2.2805849999999999E-2</v>
      </c>
      <c r="S6464">
        <v>3.0807950000000002</v>
      </c>
      <c r="T6464">
        <v>-0.160944899999999</v>
      </c>
      <c r="U6464">
        <v>-5.4840090000000001E-2</v>
      </c>
      <c r="V6464">
        <v>-3.641378E-2</v>
      </c>
      <c r="W6464">
        <v>0.18582170000000001</v>
      </c>
      <c r="X6464">
        <v>0.98190849999999996</v>
      </c>
      <c r="Y6464">
        <v>-4.262117E-2</v>
      </c>
      <c r="Z6464">
        <v>4.270673E-3</v>
      </c>
      <c r="AA6464">
        <v>0.99908209999999997</v>
      </c>
      <c r="AB6464">
        <v>34</v>
      </c>
      <c r="AC6464">
        <v>21.018699999999999</v>
      </c>
      <c r="AD6464">
        <v>-1.107812931504</v>
      </c>
      <c r="AE6464">
        <v>-0.36585000000000101</v>
      </c>
      <c r="AF6464">
        <v>-0.904705791691369</v>
      </c>
      <c r="AG6464">
        <v>-1.107812931504</v>
      </c>
      <c r="AH6464">
        <v>20.944135006508098</v>
      </c>
      <c r="AI6464">
        <v>93.024949041416093</v>
      </c>
      <c r="AJ6464">
        <v>92.473418898801597</v>
      </c>
      <c r="AK6464">
        <v>20.992916263148501</v>
      </c>
      <c r="AL6464">
        <v>79.2909567771936</v>
      </c>
      <c r="AM6464">
        <v>92.123823412247603</v>
      </c>
      <c r="AN6464">
        <v>0.99999998496851294</v>
      </c>
    </row>
    <row r="6465" spans="1:40" x14ac:dyDescent="0.25">
      <c r="A6465" t="str">
        <f>"20190312172535702"</f>
        <v>20190312172535702</v>
      </c>
      <c r="B6465" t="str">
        <f>"1552382735697100"</f>
        <v>1552382735697100</v>
      </c>
      <c r="C6465" t="s">
        <v>40</v>
      </c>
      <c r="D6465">
        <v>3.6123889999999999</v>
      </c>
      <c r="E6465">
        <v>0.50203759999999997</v>
      </c>
      <c r="F6465" t="s">
        <v>58</v>
      </c>
      <c r="G6465">
        <v>-235.0455</v>
      </c>
      <c r="H6465" s="1">
        <v>-1.7913290000000001E-6</v>
      </c>
      <c r="I6465">
        <v>-62.787730000000003</v>
      </c>
      <c r="J6465">
        <v>-256.23379999999997</v>
      </c>
      <c r="K6465">
        <v>1.1078140000000001</v>
      </c>
      <c r="L6465">
        <v>-62.394710000000003</v>
      </c>
      <c r="M6465">
        <v>0.99814290000000006</v>
      </c>
      <c r="N6465">
        <v>0</v>
      </c>
      <c r="O6465">
        <v>-6.086569E-2</v>
      </c>
      <c r="P6465">
        <v>0.98273580000000005</v>
      </c>
      <c r="Q6465">
        <v>0.18357870000000001</v>
      </c>
      <c r="R6465">
        <v>-2.3008649999999999E-2</v>
      </c>
      <c r="S6465">
        <v>3.0807950000000002</v>
      </c>
      <c r="T6465">
        <v>-0.15971279999999999</v>
      </c>
      <c r="U6465">
        <v>-5.8288569999999998E-2</v>
      </c>
      <c r="V6465">
        <v>-3.6528669999999999E-2</v>
      </c>
      <c r="W6465">
        <v>0.18606439999999999</v>
      </c>
      <c r="X6465">
        <v>0.98185829999999996</v>
      </c>
      <c r="Y6465">
        <v>-4.183572E-2</v>
      </c>
      <c r="Z6465">
        <v>4.2346450000000004E-3</v>
      </c>
      <c r="AA6465">
        <v>0.99911550000000005</v>
      </c>
      <c r="AB6465">
        <v>35</v>
      </c>
      <c r="AC6465">
        <v>21.188299999999899</v>
      </c>
      <c r="AD6465">
        <v>-1.1078157913290001</v>
      </c>
      <c r="AE6465">
        <v>-0.39302000000000697</v>
      </c>
      <c r="AF6465">
        <v>-0.89490759974593204</v>
      </c>
      <c r="AG6465">
        <v>-1.1078157913290001</v>
      </c>
      <c r="AH6465">
        <v>21.115235613419099</v>
      </c>
      <c r="AI6465">
        <v>93.000594167392507</v>
      </c>
      <c r="AJ6465">
        <v>92.426861916094396</v>
      </c>
      <c r="AK6465">
        <v>21.163206053190599</v>
      </c>
      <c r="AL6465">
        <v>79.276804583010602</v>
      </c>
      <c r="AM6465">
        <v>92.130627001274505</v>
      </c>
      <c r="AN6465">
        <v>1.0000000129791</v>
      </c>
    </row>
    <row r="6466" spans="1:40" x14ac:dyDescent="0.25">
      <c r="A6466" t="str">
        <f>"20190312172535713"</f>
        <v>20190312172535713</v>
      </c>
      <c r="B6466" t="str">
        <f>"1552382735706860"</f>
        <v>1552382735706860</v>
      </c>
      <c r="C6466" t="s">
        <v>40</v>
      </c>
      <c r="D6466">
        <v>3.6366390000000002</v>
      </c>
      <c r="E6466">
        <v>0.50219279999999999</v>
      </c>
      <c r="F6466" t="s">
        <v>58</v>
      </c>
      <c r="G6466">
        <v>-234.6447</v>
      </c>
      <c r="H6466" s="1">
        <v>-1.6258120000000001E-6</v>
      </c>
      <c r="I6466">
        <v>-62.811880000000002</v>
      </c>
      <c r="J6466">
        <v>-256.05340000000001</v>
      </c>
      <c r="K6466">
        <v>1.1078650000000001</v>
      </c>
      <c r="L6466">
        <v>-62.406010000000002</v>
      </c>
      <c r="M6466">
        <v>0.99812659999999997</v>
      </c>
      <c r="N6466">
        <v>0</v>
      </c>
      <c r="O6466">
        <v>-6.1137249999999997E-2</v>
      </c>
      <c r="P6466">
        <v>0.98264019999999996</v>
      </c>
      <c r="Q6466">
        <v>0.18407090000000001</v>
      </c>
      <c r="R6466">
        <v>-2.3148330000000002E-2</v>
      </c>
      <c r="S6466">
        <v>3.0808409999999999</v>
      </c>
      <c r="T6466">
        <v>-0.15808939999999999</v>
      </c>
      <c r="U6466">
        <v>-5.9539790000000002E-2</v>
      </c>
      <c r="V6466">
        <v>-3.6656319999999999E-2</v>
      </c>
      <c r="W6466">
        <v>0.18641720000000001</v>
      </c>
      <c r="X6466">
        <v>0.98178659999999995</v>
      </c>
      <c r="Y6466">
        <v>-4.17048E-2</v>
      </c>
      <c r="Z6466">
        <v>4.2021139999999998E-3</v>
      </c>
      <c r="AA6466">
        <v>0.99912109999999998</v>
      </c>
      <c r="AB6466">
        <v>35</v>
      </c>
      <c r="AC6466">
        <v>21.4087</v>
      </c>
      <c r="AD6466">
        <v>-1.10786662581199</v>
      </c>
      <c r="AE6466">
        <v>-0.405870000000007</v>
      </c>
      <c r="AF6466">
        <v>-0.90134904304544505</v>
      </c>
      <c r="AG6466">
        <v>-1.10786662581199</v>
      </c>
      <c r="AH6466">
        <v>21.336349754163699</v>
      </c>
      <c r="AI6466">
        <v>92.969707390561894</v>
      </c>
      <c r="AJ6466">
        <v>92.419008318858005</v>
      </c>
      <c r="AK6466">
        <v>21.384097348029101</v>
      </c>
      <c r="AL6466">
        <v>79.256230457533505</v>
      </c>
      <c r="AM6466">
        <v>92.138221610423599</v>
      </c>
      <c r="AN6466">
        <v>0.999999993095671</v>
      </c>
    </row>
    <row r="6467" spans="1:40" x14ac:dyDescent="0.25">
      <c r="A6467" t="str">
        <f>"20190312172535725"</f>
        <v>20190312172535725</v>
      </c>
      <c r="B6467" t="str">
        <f>"1552382735716620"</f>
        <v>1552382735716620</v>
      </c>
      <c r="C6467" t="s">
        <v>40</v>
      </c>
      <c r="D6467">
        <v>3.6301079999999999</v>
      </c>
      <c r="E6467">
        <v>0.50230859999999899</v>
      </c>
      <c r="F6467" t="s">
        <v>58</v>
      </c>
      <c r="G6467">
        <v>-234.25309999999999</v>
      </c>
      <c r="H6467" s="1">
        <v>-1.4641399999999999E-6</v>
      </c>
      <c r="I6467">
        <v>-62.835669999999901</v>
      </c>
      <c r="J6467">
        <v>-255.8844</v>
      </c>
      <c r="K6467">
        <v>1.1079289999999999</v>
      </c>
      <c r="L6467">
        <v>-62.416600000000003</v>
      </c>
      <c r="M6467">
        <v>0.99811209999999995</v>
      </c>
      <c r="N6467">
        <v>0</v>
      </c>
      <c r="O6467">
        <v>-6.137637E-2</v>
      </c>
      <c r="P6467">
        <v>0.98260329999999996</v>
      </c>
      <c r="Q6467">
        <v>0.18423320000000001</v>
      </c>
      <c r="R6467">
        <v>-2.3431179999999999E-2</v>
      </c>
      <c r="S6467">
        <v>3.080902</v>
      </c>
      <c r="T6467">
        <v>-0.15656779999999901</v>
      </c>
      <c r="U6467">
        <v>-6.0729980000000003E-2</v>
      </c>
      <c r="V6467">
        <v>-3.6615540000000002E-2</v>
      </c>
      <c r="W6467">
        <v>0.1864912</v>
      </c>
      <c r="X6467">
        <v>0.98177409999999998</v>
      </c>
      <c r="Y6467">
        <v>-4.1561170000000001E-2</v>
      </c>
      <c r="Z6467">
        <v>4.1700890000000001E-3</v>
      </c>
      <c r="AA6467">
        <v>0.99912730000000005</v>
      </c>
      <c r="AB6467">
        <v>35</v>
      </c>
      <c r="AC6467">
        <v>21.6313</v>
      </c>
      <c r="AD6467">
        <v>-1.1079304641399901</v>
      </c>
      <c r="AE6467">
        <v>-0.41906999999999001</v>
      </c>
      <c r="AF6467">
        <v>-0.90699569478118403</v>
      </c>
      <c r="AG6467">
        <v>-1.1079304641399901</v>
      </c>
      <c r="AH6467">
        <v>21.559701336071999</v>
      </c>
      <c r="AI6467">
        <v>92.9391871490526</v>
      </c>
      <c r="AJ6467">
        <v>92.408957337374105</v>
      </c>
      <c r="AK6467">
        <v>21.607194931419201</v>
      </c>
      <c r="AL6467">
        <v>79.251915231429194</v>
      </c>
      <c r="AM6467">
        <v>92.135872220809006</v>
      </c>
      <c r="AN6467">
        <v>1.00000002443887</v>
      </c>
    </row>
    <row r="6468" spans="1:40" x14ac:dyDescent="0.25">
      <c r="A6468" t="str">
        <f>"20190312172535736"</f>
        <v>20190312172535736</v>
      </c>
      <c r="B6468" t="str">
        <f>"1552382735726380"</f>
        <v>1552382735726380</v>
      </c>
      <c r="C6468" t="s">
        <v>40</v>
      </c>
      <c r="D6468">
        <v>3.6369090000000002</v>
      </c>
      <c r="E6468">
        <v>0.50245030000000002</v>
      </c>
      <c r="F6468" t="s">
        <v>58</v>
      </c>
      <c r="G6468">
        <v>-234.01509999999999</v>
      </c>
      <c r="H6468" s="1">
        <v>-1.3675109999999999E-6</v>
      </c>
      <c r="I6468">
        <v>-62.856290000000001</v>
      </c>
      <c r="J6468">
        <v>-255.7039</v>
      </c>
      <c r="K6468">
        <v>1.108031</v>
      </c>
      <c r="L6468">
        <v>-62.427979999999998</v>
      </c>
      <c r="M6468">
        <v>0.99809890000000001</v>
      </c>
      <c r="N6468">
        <v>0</v>
      </c>
      <c r="O6468">
        <v>-6.1594860000000001E-2</v>
      </c>
      <c r="P6468">
        <v>0.98257439999999996</v>
      </c>
      <c r="Q6468">
        <v>0.18439249999999999</v>
      </c>
      <c r="R6468">
        <v>-2.3402539999999999E-2</v>
      </c>
      <c r="S6468">
        <v>3.080902</v>
      </c>
      <c r="T6468">
        <v>-0.15608259999999999</v>
      </c>
      <c r="U6468">
        <v>-6.1950680000000001E-2</v>
      </c>
      <c r="V6468">
        <v>-3.6871359999999999E-2</v>
      </c>
      <c r="W6468">
        <v>0.18665799999999999</v>
      </c>
      <c r="X6468">
        <v>0.98173279999999996</v>
      </c>
      <c r="Y6468">
        <v>-4.138493E-2</v>
      </c>
      <c r="Z6468">
        <v>4.1637360000000003E-3</v>
      </c>
      <c r="AA6468">
        <v>0.99913459999999998</v>
      </c>
      <c r="AB6468">
        <v>35</v>
      </c>
      <c r="AC6468">
        <v>21.688800000000001</v>
      </c>
      <c r="AD6468">
        <v>-1.108032367511</v>
      </c>
      <c r="AE6468">
        <v>-0.42830999999999603</v>
      </c>
      <c r="AF6468">
        <v>-0.90606111453328497</v>
      </c>
      <c r="AG6468">
        <v>-1.108032367511</v>
      </c>
      <c r="AH6468">
        <v>21.617600529561798</v>
      </c>
      <c r="AI6468">
        <v>92.931617034606006</v>
      </c>
      <c r="AJ6468">
        <v>92.400040226625407</v>
      </c>
      <c r="AK6468">
        <v>21.664933305377001</v>
      </c>
      <c r="AL6468">
        <v>79.242187200398803</v>
      </c>
      <c r="AM6468">
        <v>92.150871243774105</v>
      </c>
      <c r="AN6468">
        <v>0.99999999837404496</v>
      </c>
    </row>
    <row r="6469" spans="1:40" x14ac:dyDescent="0.25">
      <c r="A6469" t="str">
        <f>"20190312172535745"</f>
        <v>20190312172535745</v>
      </c>
      <c r="B6469" t="str">
        <f>"1552382735737116"</f>
        <v>1552382735737116</v>
      </c>
      <c r="C6469" t="s">
        <v>40</v>
      </c>
      <c r="D6469">
        <v>3.6335959999999998</v>
      </c>
      <c r="E6469">
        <v>0.50258890000000001</v>
      </c>
      <c r="F6469" t="s">
        <v>58</v>
      </c>
      <c r="G6469">
        <v>-233.7773</v>
      </c>
      <c r="H6469" s="1">
        <v>-1.271145E-6</v>
      </c>
      <c r="I6469">
        <v>-62.877499999999998</v>
      </c>
      <c r="J6469">
        <v>-255.54589999999999</v>
      </c>
      <c r="K6469">
        <v>1.1081299999999901</v>
      </c>
      <c r="L6469">
        <v>-62.437930000000001</v>
      </c>
      <c r="M6469">
        <v>0.99808810000000003</v>
      </c>
      <c r="N6469">
        <v>0</v>
      </c>
      <c r="O6469">
        <v>-6.1764529999999998E-2</v>
      </c>
      <c r="P6469">
        <v>0.98262579999999999</v>
      </c>
      <c r="Q6469">
        <v>0.18414069999999999</v>
      </c>
      <c r="R6469">
        <v>-2.321144E-2</v>
      </c>
      <c r="S6469">
        <v>3.0809169999999999</v>
      </c>
      <c r="T6469">
        <v>-0.15568969999999999</v>
      </c>
      <c r="U6469">
        <v>-6.3171389999999994E-2</v>
      </c>
      <c r="V6469">
        <v>-3.7250129999999999E-2</v>
      </c>
      <c r="W6469">
        <v>0.18645610000000001</v>
      </c>
      <c r="X6469">
        <v>0.98175690000000004</v>
      </c>
      <c r="Y6469">
        <v>-4.1159920000000003E-2</v>
      </c>
      <c r="Z6469">
        <v>4.1560950000000003E-3</v>
      </c>
      <c r="AA6469">
        <v>0.99914389999999997</v>
      </c>
      <c r="AB6469">
        <v>35</v>
      </c>
      <c r="AC6469">
        <v>21.7685999999999</v>
      </c>
      <c r="AD6469">
        <v>-1.10813127114499</v>
      </c>
      <c r="AE6469">
        <v>-0.43956999999999602</v>
      </c>
      <c r="AF6469">
        <v>-0.90345995468386797</v>
      </c>
      <c r="AG6469">
        <v>-1.10813127114499</v>
      </c>
      <c r="AH6469">
        <v>21.697984407945299</v>
      </c>
      <c r="AI6469">
        <v>92.9210689194922</v>
      </c>
      <c r="AJ6469">
        <v>92.384302497813096</v>
      </c>
      <c r="AK6469">
        <v>21.745039024366999</v>
      </c>
      <c r="AL6469">
        <v>79.253962278518998</v>
      </c>
      <c r="AM6469">
        <v>92.172892227993202</v>
      </c>
      <c r="AN6469">
        <v>1.0000000300549099</v>
      </c>
    </row>
    <row r="6470" spans="1:40" x14ac:dyDescent="0.25">
      <c r="A6470" t="str">
        <f>"20190312172535756"</f>
        <v>20190312172535756</v>
      </c>
      <c r="B6470" t="str">
        <f>"1552382735746877"</f>
        <v>1552382735746877</v>
      </c>
      <c r="C6470" t="s">
        <v>40</v>
      </c>
      <c r="D6470">
        <v>3.6006300000000002</v>
      </c>
      <c r="E6470">
        <v>0.50274070000000004</v>
      </c>
      <c r="F6470" t="s">
        <v>58</v>
      </c>
      <c r="G6470">
        <v>-233.7396</v>
      </c>
      <c r="H6470" s="1">
        <v>-1.258817E-6</v>
      </c>
      <c r="I6470">
        <v>-62.8919</v>
      </c>
      <c r="J6470">
        <v>-255.37620000000001</v>
      </c>
      <c r="K6470">
        <v>1.1082540000000001</v>
      </c>
      <c r="L6470">
        <v>-62.448639999999997</v>
      </c>
      <c r="M6470">
        <v>0.99807800000000002</v>
      </c>
      <c r="N6470">
        <v>0</v>
      </c>
      <c r="O6470">
        <v>-6.192363E-2</v>
      </c>
      <c r="P6470">
        <v>0.9826568</v>
      </c>
      <c r="Q6470">
        <v>0.1840011</v>
      </c>
      <c r="R6470">
        <v>-2.3002370000000001E-2</v>
      </c>
      <c r="S6470">
        <v>3.0808719999999998</v>
      </c>
      <c r="T6470">
        <v>-0.1565609</v>
      </c>
      <c r="U6470">
        <v>-6.4147949999999995E-2</v>
      </c>
      <c r="V6470">
        <v>-3.7640369999999999E-2</v>
      </c>
      <c r="W6470">
        <v>0.1864162</v>
      </c>
      <c r="X6470">
        <v>0.98174950000000005</v>
      </c>
      <c r="Y6470">
        <v>-4.1000849999999998E-2</v>
      </c>
      <c r="Z6470">
        <v>4.1833879999999997E-3</v>
      </c>
      <c r="AA6470">
        <v>0.99915030000000005</v>
      </c>
      <c r="AB6470">
        <v>35</v>
      </c>
      <c r="AC6470">
        <v>21.636600000000001</v>
      </c>
      <c r="AD6470">
        <v>-1.108255258817</v>
      </c>
      <c r="AE6470">
        <v>-0.44325999999999499</v>
      </c>
      <c r="AF6470">
        <v>-0.89506402146264297</v>
      </c>
      <c r="AG6470">
        <v>-1.108255258817</v>
      </c>
      <c r="AH6470">
        <v>21.565967853346301</v>
      </c>
      <c r="AI6470">
        <v>92.939263679329699</v>
      </c>
      <c r="AJ6470">
        <v>92.376613727911007</v>
      </c>
      <c r="AK6470">
        <v>21.612966912776699</v>
      </c>
      <c r="AL6470">
        <v>79.256288186543202</v>
      </c>
      <c r="AM6470">
        <v>92.195650262255796</v>
      </c>
      <c r="AN6470">
        <v>0.99999993891321104</v>
      </c>
    </row>
    <row r="6471" spans="1:40" x14ac:dyDescent="0.25">
      <c r="A6471" t="str">
        <f>"20190312172535767"</f>
        <v>20190312172535767</v>
      </c>
      <c r="B6471" t="str">
        <f>"1552382735756637"</f>
        <v>1552382735756637</v>
      </c>
      <c r="C6471" t="s">
        <v>40</v>
      </c>
      <c r="D6471">
        <v>3.6201379999999999</v>
      </c>
      <c r="E6471">
        <v>0.5028861</v>
      </c>
      <c r="F6471" t="s">
        <v>58</v>
      </c>
      <c r="G6471">
        <v>-233.64789999999999</v>
      </c>
      <c r="H6471" s="1">
        <v>-1.223314E-6</v>
      </c>
      <c r="I6471">
        <v>-62.906379999999999</v>
      </c>
      <c r="J6471">
        <v>-255.21019999999999</v>
      </c>
      <c r="K6471">
        <v>1.1083829999999999</v>
      </c>
      <c r="L6471">
        <v>-62.459110000000003</v>
      </c>
      <c r="M6471">
        <v>0.99806950000000005</v>
      </c>
      <c r="N6471">
        <v>0</v>
      </c>
      <c r="O6471">
        <v>-6.2056170000000001E-2</v>
      </c>
      <c r="P6471">
        <v>0.9827458</v>
      </c>
      <c r="Q6471">
        <v>0.1835579</v>
      </c>
      <c r="R6471">
        <v>-2.2746809999999999E-2</v>
      </c>
      <c r="S6471">
        <v>3.0808409999999999</v>
      </c>
      <c r="T6471">
        <v>-0.1571388</v>
      </c>
      <c r="U6471">
        <v>-6.4910889999999999E-2</v>
      </c>
      <c r="V6471">
        <v>-3.8057439999999998E-2</v>
      </c>
      <c r="W6471">
        <v>0.18610280000000001</v>
      </c>
      <c r="X6471">
        <v>0.98179289999999997</v>
      </c>
      <c r="Y6471">
        <v>-4.0885030000000003E-2</v>
      </c>
      <c r="Z6471">
        <v>4.2026279999999999E-3</v>
      </c>
      <c r="AA6471">
        <v>0.99915500000000002</v>
      </c>
      <c r="AB6471">
        <v>35</v>
      </c>
      <c r="AC6471">
        <v>21.5623</v>
      </c>
      <c r="AD6471">
        <v>-1.108384223314</v>
      </c>
      <c r="AE6471">
        <v>-0.44727000000000999</v>
      </c>
      <c r="AF6471">
        <v>-0.88932113220836395</v>
      </c>
      <c r="AG6471">
        <v>-1.108384223314</v>
      </c>
      <c r="AH6471">
        <v>21.491733495592499</v>
      </c>
      <c r="AI6471">
        <v>92.949755957420393</v>
      </c>
      <c r="AJ6471">
        <v>92.369529414032101</v>
      </c>
      <c r="AK6471">
        <v>21.538663289727499</v>
      </c>
      <c r="AL6471">
        <v>79.274564735616394</v>
      </c>
      <c r="AM6471">
        <v>92.219856682200898</v>
      </c>
      <c r="AN6471">
        <v>0.99999995969880096</v>
      </c>
    </row>
    <row r="6472" spans="1:40" x14ac:dyDescent="0.25">
      <c r="A6472" t="str">
        <f>"20190312172535779"</f>
        <v>20190312172535779</v>
      </c>
      <c r="B6472" t="str">
        <f>"1552382735766396"</f>
        <v>1552382735766396</v>
      </c>
      <c r="C6472" t="s">
        <v>40</v>
      </c>
      <c r="D6472">
        <v>3.6165750000000001</v>
      </c>
      <c r="E6472">
        <v>0.50302400000000003</v>
      </c>
      <c r="F6472" t="s">
        <v>58</v>
      </c>
      <c r="G6472">
        <v>-233.68539999999999</v>
      </c>
      <c r="H6472" s="1">
        <v>-1.2424899999999999E-6</v>
      </c>
      <c r="I6472">
        <v>-62.91789</v>
      </c>
      <c r="J6472">
        <v>-255.0284</v>
      </c>
      <c r="K6472">
        <v>1.1085240000000001</v>
      </c>
      <c r="L6472">
        <v>-62.470579999999998</v>
      </c>
      <c r="M6472">
        <v>0.99806090000000003</v>
      </c>
      <c r="N6472">
        <v>0</v>
      </c>
      <c r="O6472">
        <v>-6.2184330000000003E-2</v>
      </c>
      <c r="P6472">
        <v>0.98280959999999995</v>
      </c>
      <c r="Q6472">
        <v>0.18325900000000001</v>
      </c>
      <c r="R6472">
        <v>-2.238776E-2</v>
      </c>
      <c r="S6472">
        <v>3.0807950000000002</v>
      </c>
      <c r="T6472">
        <v>-0.15864110000000001</v>
      </c>
      <c r="U6472">
        <v>-6.5673830000000002E-2</v>
      </c>
      <c r="V6472">
        <v>-3.8575730000000003E-2</v>
      </c>
      <c r="W6472">
        <v>0.1859693</v>
      </c>
      <c r="X6472">
        <v>0.98179799999999995</v>
      </c>
      <c r="Y6472">
        <v>-4.0763149999999998E-2</v>
      </c>
      <c r="Z6472">
        <v>4.2462480000000002E-3</v>
      </c>
      <c r="AA6472">
        <v>0.99915980000000004</v>
      </c>
      <c r="AB6472">
        <v>35</v>
      </c>
      <c r="AC6472">
        <v>21.343</v>
      </c>
      <c r="AD6472">
        <v>-1.1085252424900001</v>
      </c>
      <c r="AE6472">
        <v>-0.44730999999999399</v>
      </c>
      <c r="AF6472">
        <v>-0.87839233296132202</v>
      </c>
      <c r="AG6472">
        <v>-1.1085252424900001</v>
      </c>
      <c r="AH6472">
        <v>21.272151053841601</v>
      </c>
      <c r="AI6472">
        <v>92.980539410510801</v>
      </c>
      <c r="AJ6472">
        <v>92.364575044216195</v>
      </c>
      <c r="AK6472">
        <v>21.319118456477</v>
      </c>
      <c r="AL6472">
        <v>79.282349954111396</v>
      </c>
      <c r="AM6472">
        <v>92.25004553766</v>
      </c>
      <c r="AN6472">
        <v>0.99999999014576102</v>
      </c>
    </row>
    <row r="6473" spans="1:40" x14ac:dyDescent="0.25">
      <c r="A6473" t="str">
        <f>"20190312172535790"</f>
        <v>20190312172535790</v>
      </c>
      <c r="B6473" t="str">
        <f>"1552382735786893"</f>
        <v>1552382735786893</v>
      </c>
      <c r="C6473" t="s">
        <v>40</v>
      </c>
      <c r="D6473">
        <v>3.6125150000000001</v>
      </c>
      <c r="E6473">
        <v>0.50329259999999998</v>
      </c>
      <c r="F6473" t="s">
        <v>58</v>
      </c>
      <c r="G6473">
        <v>-233.6464</v>
      </c>
      <c r="H6473" s="1">
        <v>-1.2283749999999999E-6</v>
      </c>
      <c r="I6473">
        <v>-62.927810000000001</v>
      </c>
      <c r="J6473">
        <v>-254.85669999999999</v>
      </c>
      <c r="K6473">
        <v>1.108657</v>
      </c>
      <c r="L6473">
        <v>-62.481409999999997</v>
      </c>
      <c r="M6473">
        <v>0.99805549999999998</v>
      </c>
      <c r="N6473">
        <v>0</v>
      </c>
      <c r="O6473">
        <v>-6.2265189999999998E-2</v>
      </c>
      <c r="P6473">
        <v>0.982823</v>
      </c>
      <c r="Q6473">
        <v>0.18325130000000001</v>
      </c>
      <c r="R6473">
        <v>-2.1868789999999999E-2</v>
      </c>
      <c r="S6473">
        <v>3.0807340000000001</v>
      </c>
      <c r="T6473">
        <v>-0.159717</v>
      </c>
      <c r="U6473">
        <v>-6.588745E-2</v>
      </c>
      <c r="V6473">
        <v>-3.9204549999999998E-2</v>
      </c>
      <c r="W6473">
        <v>0.18614359999999999</v>
      </c>
      <c r="X6473">
        <v>0.9817401</v>
      </c>
      <c r="Y6473">
        <v>-4.0772469999999998E-2</v>
      </c>
      <c r="Z6473">
        <v>4.2795089999999999E-3</v>
      </c>
      <c r="AA6473">
        <v>0.99915929999999997</v>
      </c>
      <c r="AB6473">
        <v>35</v>
      </c>
      <c r="AC6473">
        <v>21.210299999999901</v>
      </c>
      <c r="AD6473">
        <v>-1.1086582283749999</v>
      </c>
      <c r="AE6473">
        <v>-0.44640000000000402</v>
      </c>
      <c r="AF6473">
        <v>-0.87275158360211103</v>
      </c>
      <c r="AG6473">
        <v>-1.1086582283749999</v>
      </c>
      <c r="AH6473">
        <v>21.139209799966601</v>
      </c>
      <c r="AI6473">
        <v>92.999609485381498</v>
      </c>
      <c r="AJ6473">
        <v>92.364165935728096</v>
      </c>
      <c r="AK6473">
        <v>21.186245759006699</v>
      </c>
      <c r="AL6473">
        <v>79.272186259711702</v>
      </c>
      <c r="AM6473">
        <v>92.286819451525602</v>
      </c>
      <c r="AN6473">
        <v>1.00000003025483</v>
      </c>
    </row>
    <row r="6474" spans="1:40" x14ac:dyDescent="0.25">
      <c r="A6474" t="str">
        <f>"20190312172535802"</f>
        <v>20190312172535802</v>
      </c>
      <c r="B6474" t="str">
        <f>"1552382735796652"</f>
        <v>1552382735796652</v>
      </c>
      <c r="C6474" t="s">
        <v>40</v>
      </c>
      <c r="D6474">
        <v>3.5935700000000002</v>
      </c>
      <c r="E6474">
        <v>0.50343509999999903</v>
      </c>
      <c r="F6474" t="s">
        <v>58</v>
      </c>
      <c r="G6474">
        <v>-233.5069</v>
      </c>
      <c r="H6474" s="1">
        <v>-1.1727720000000001E-6</v>
      </c>
      <c r="I6474">
        <v>-62.943660000000001</v>
      </c>
      <c r="J6474">
        <v>-254.67150000000001</v>
      </c>
      <c r="K6474">
        <v>1.1087959999999999</v>
      </c>
      <c r="L6474">
        <v>-62.493070000000003</v>
      </c>
      <c r="M6474">
        <v>0.9980502</v>
      </c>
      <c r="N6474">
        <v>0</v>
      </c>
      <c r="O6474">
        <v>-6.233818E-2</v>
      </c>
      <c r="P6474">
        <v>0.98285919999999904</v>
      </c>
      <c r="Q6474">
        <v>0.18308379999999999</v>
      </c>
      <c r="R6474">
        <v>-2.1639479999999999E-2</v>
      </c>
      <c r="S6474">
        <v>3.0807950000000002</v>
      </c>
      <c r="T6474">
        <v>-0.15998099999999901</v>
      </c>
      <c r="U6474">
        <v>-6.6711430000000002E-2</v>
      </c>
      <c r="V6474">
        <v>-3.9540390000000002E-2</v>
      </c>
      <c r="W6474">
        <v>0.1861797</v>
      </c>
      <c r="X6474">
        <v>0.98171980000000003</v>
      </c>
      <c r="Y6474">
        <v>-4.0578620000000003E-2</v>
      </c>
      <c r="Z6474">
        <v>4.2852250000000001E-3</v>
      </c>
      <c r="AA6474">
        <v>0.99916709999999997</v>
      </c>
      <c r="AB6474">
        <v>35</v>
      </c>
      <c r="AC6474">
        <v>21.1646</v>
      </c>
      <c r="AD6474">
        <v>-1.1087971727720001</v>
      </c>
      <c r="AE6474">
        <v>-0.45058999999999799</v>
      </c>
      <c r="AF6474">
        <v>-0.86727616888637504</v>
      </c>
      <c r="AG6474">
        <v>-1.1087971727720001</v>
      </c>
      <c r="AH6474">
        <v>21.093657239808302</v>
      </c>
      <c r="AI6474">
        <v>93.006472473848802</v>
      </c>
      <c r="AJ6474">
        <v>92.354418258991402</v>
      </c>
      <c r="AK6474">
        <v>21.140576502876701</v>
      </c>
      <c r="AL6474">
        <v>79.270081235616502</v>
      </c>
      <c r="AM6474">
        <v>92.306435727908095</v>
      </c>
      <c r="AN6474">
        <v>1.0000000444227399</v>
      </c>
    </row>
    <row r="6475" spans="1:40" x14ac:dyDescent="0.25">
      <c r="A6475" t="str">
        <f>"20190312172535813"</f>
        <v>20190312172535813</v>
      </c>
      <c r="B6475" t="str">
        <f>"1552382735806412"</f>
        <v>1552382735806412</v>
      </c>
      <c r="C6475" t="s">
        <v>40</v>
      </c>
      <c r="D6475">
        <v>3.628234</v>
      </c>
      <c r="E6475">
        <v>0.50357070000000004</v>
      </c>
      <c r="F6475" t="s">
        <v>58</v>
      </c>
      <c r="G6475">
        <v>-233.4075</v>
      </c>
      <c r="H6475" s="1">
        <v>-1.133068E-6</v>
      </c>
      <c r="I6475">
        <v>-62.954729999999998</v>
      </c>
      <c r="J6475">
        <v>-254.49109999999999</v>
      </c>
      <c r="K6475">
        <v>1.108932</v>
      </c>
      <c r="L6475">
        <v>-62.504359999999998</v>
      </c>
      <c r="M6475">
        <v>0.99804910000000002</v>
      </c>
      <c r="N6475">
        <v>0</v>
      </c>
      <c r="O6475">
        <v>-6.2344700000000003E-2</v>
      </c>
      <c r="P6475">
        <v>0.98285129999999998</v>
      </c>
      <c r="Q6475">
        <v>0.18316389999999999</v>
      </c>
      <c r="R6475">
        <v>-2.1311699999999999E-2</v>
      </c>
      <c r="S6475">
        <v>3.0807799999999999</v>
      </c>
      <c r="T6475">
        <v>-0.16064510000000001</v>
      </c>
      <c r="U6475">
        <v>-6.6894529999999994E-2</v>
      </c>
      <c r="V6475">
        <v>-3.9906490000000003E-2</v>
      </c>
      <c r="W6475">
        <v>0.18647949999999999</v>
      </c>
      <c r="X6475">
        <v>0.98164799999999997</v>
      </c>
      <c r="Y6475">
        <v>-4.0524619999999997E-2</v>
      </c>
      <c r="Z6475">
        <v>4.3019410000000001E-3</v>
      </c>
      <c r="AA6475">
        <v>0.99916930000000004</v>
      </c>
      <c r="AB6475">
        <v>35</v>
      </c>
      <c r="AC6475">
        <v>21.083599999999901</v>
      </c>
      <c r="AD6475">
        <v>-1.1089331330679999</v>
      </c>
      <c r="AE6475">
        <v>-0.45037000000000599</v>
      </c>
      <c r="AF6475">
        <v>-0.86257897409500195</v>
      </c>
      <c r="AG6475">
        <v>-1.1089331330679999</v>
      </c>
      <c r="AH6475">
        <v>21.0125600065798</v>
      </c>
      <c r="AI6475">
        <v>93.018431840503297</v>
      </c>
      <c r="AJ6475">
        <v>92.350708405665898</v>
      </c>
      <c r="AK6475">
        <v>21.059474191211098</v>
      </c>
      <c r="AL6475">
        <v>79.252596903097896</v>
      </c>
      <c r="AM6475">
        <v>92.327937443161602</v>
      </c>
      <c r="AN6475">
        <v>0.999999963884184</v>
      </c>
    </row>
    <row r="6476" spans="1:40" x14ac:dyDescent="0.25">
      <c r="A6476" t="str">
        <f>"20190312172535823"</f>
        <v>20190312172535823</v>
      </c>
      <c r="B6476" t="str">
        <f>"1552382735817147"</f>
        <v>1552382735817147</v>
      </c>
      <c r="C6476" t="s">
        <v>40</v>
      </c>
      <c r="D6476">
        <v>3.5679110000000001</v>
      </c>
      <c r="E6476">
        <v>0.50371869999999996</v>
      </c>
      <c r="F6476" t="s">
        <v>58</v>
      </c>
      <c r="G6476">
        <v>-233.20439999999999</v>
      </c>
      <c r="H6476" s="1">
        <v>-1.0484979999999999E-6</v>
      </c>
      <c r="I6476">
        <v>-62.964399999999998</v>
      </c>
      <c r="J6476">
        <v>-254.3228</v>
      </c>
      <c r="K6476">
        <v>1.109056</v>
      </c>
      <c r="L6476">
        <v>-62.514890000000001</v>
      </c>
      <c r="M6476">
        <v>0.99804899999999996</v>
      </c>
      <c r="N6476">
        <v>0</v>
      </c>
      <c r="O6476">
        <v>-6.2334399999999998E-2</v>
      </c>
      <c r="P6476">
        <v>0.98287530000000001</v>
      </c>
      <c r="Q6476">
        <v>0.1830881</v>
      </c>
      <c r="R6476">
        <v>-2.0865789999999999E-2</v>
      </c>
      <c r="S6476">
        <v>3.0808260000000001</v>
      </c>
      <c r="T6476">
        <v>-0.160496</v>
      </c>
      <c r="U6476">
        <v>-6.658936E-2</v>
      </c>
      <c r="V6476">
        <v>-4.0374470000000003E-2</v>
      </c>
      <c r="W6476">
        <v>0.1866121</v>
      </c>
      <c r="X6476">
        <v>0.98160369999999997</v>
      </c>
      <c r="Y6476">
        <v>-4.0613789999999997E-2</v>
      </c>
      <c r="Z6476">
        <v>4.2996850000000001E-3</v>
      </c>
      <c r="AA6476">
        <v>0.99916570000000005</v>
      </c>
      <c r="AB6476">
        <v>35</v>
      </c>
      <c r="AC6476">
        <v>21.118400000000001</v>
      </c>
      <c r="AD6476">
        <v>-1.109057048498</v>
      </c>
      <c r="AE6476">
        <v>-0.44950999999999602</v>
      </c>
      <c r="AF6476">
        <v>-0.86538964396232099</v>
      </c>
      <c r="AG6476">
        <v>-1.109057048498</v>
      </c>
      <c r="AH6476">
        <v>21.047329961399999</v>
      </c>
      <c r="AI6476">
        <v>93.013782625102493</v>
      </c>
      <c r="AJ6476">
        <v>92.354467839853399</v>
      </c>
      <c r="AK6476">
        <v>21.094288451539299</v>
      </c>
      <c r="AL6476">
        <v>79.244864116204397</v>
      </c>
      <c r="AM6476">
        <v>92.355312574058701</v>
      </c>
      <c r="AN6476">
        <v>0.99999999877393997</v>
      </c>
    </row>
    <row r="6477" spans="1:40" x14ac:dyDescent="0.25">
      <c r="A6477" t="str">
        <f>"20190312172535834"</f>
        <v>20190312172535834</v>
      </c>
      <c r="B6477" t="str">
        <f>"1552382735826909"</f>
        <v>1552382735826909</v>
      </c>
      <c r="C6477" t="s">
        <v>40</v>
      </c>
      <c r="D6477">
        <v>3.588759</v>
      </c>
      <c r="E6477">
        <v>0.50385219999999997</v>
      </c>
      <c r="F6477" t="s">
        <v>58</v>
      </c>
      <c r="G6477">
        <v>-233.10669999999999</v>
      </c>
      <c r="H6477" s="1">
        <v>-1.0088749999999999E-6</v>
      </c>
      <c r="I6477">
        <v>-62.972969999999997</v>
      </c>
      <c r="J6477">
        <v>-254.14429999999999</v>
      </c>
      <c r="K6477">
        <v>1.1091789999999999</v>
      </c>
      <c r="L6477">
        <v>-62.526000000000003</v>
      </c>
      <c r="M6477">
        <v>0.9980521</v>
      </c>
      <c r="N6477">
        <v>0</v>
      </c>
      <c r="O6477">
        <v>-6.2271090000000001E-2</v>
      </c>
      <c r="P6477">
        <v>0.98290900000000003</v>
      </c>
      <c r="Q6477">
        <v>0.18299190000000001</v>
      </c>
      <c r="R6477">
        <v>-2.0113559999999999E-2</v>
      </c>
      <c r="S6477">
        <v>3.0808719999999998</v>
      </c>
      <c r="T6477">
        <v>-0.1610502</v>
      </c>
      <c r="U6477">
        <v>-6.6528320000000002E-2</v>
      </c>
      <c r="V6477">
        <v>-4.109703E-2</v>
      </c>
      <c r="W6477">
        <v>0.1867461</v>
      </c>
      <c r="X6477">
        <v>0.98154819999999998</v>
      </c>
      <c r="Y6477">
        <v>-4.056974E-2</v>
      </c>
      <c r="Z6477">
        <v>4.3099999999999996E-3</v>
      </c>
      <c r="AA6477">
        <v>0.99916740000000004</v>
      </c>
      <c r="AB6477">
        <v>35</v>
      </c>
      <c r="AC6477">
        <v>21.037600000000001</v>
      </c>
      <c r="AD6477">
        <v>-1.1091800088749999</v>
      </c>
      <c r="AE6477">
        <v>-0.44696999999999298</v>
      </c>
      <c r="AF6477">
        <v>-0.86154728217111298</v>
      </c>
      <c r="AG6477">
        <v>-1.1091800088749999</v>
      </c>
      <c r="AH6477">
        <v>20.966348964534198</v>
      </c>
      <c r="AI6477">
        <v>93.025739388974898</v>
      </c>
      <c r="AJ6477">
        <v>92.353069073870202</v>
      </c>
      <c r="AK6477">
        <v>21.013337024712001</v>
      </c>
      <c r="AL6477">
        <v>79.237048791380303</v>
      </c>
      <c r="AM6477">
        <v>92.397550974618795</v>
      </c>
      <c r="AN6477">
        <v>0.99999997033163501</v>
      </c>
    </row>
    <row r="6478" spans="1:40" x14ac:dyDescent="0.25">
      <c r="A6478" t="str">
        <f>"20190312172535846"</f>
        <v>20190312172535846</v>
      </c>
      <c r="B6478" t="str">
        <f>"1552382735836669"</f>
        <v>1552382735836669</v>
      </c>
      <c r="C6478" t="s">
        <v>40</v>
      </c>
      <c r="D6478">
        <v>3.5889669999999998</v>
      </c>
      <c r="E6478">
        <v>0.50398639999999995</v>
      </c>
      <c r="F6478" t="s">
        <v>58</v>
      </c>
      <c r="G6478">
        <v>-233.0153</v>
      </c>
      <c r="H6478" s="1">
        <v>-9.703149000000001E-7</v>
      </c>
      <c r="I6478">
        <v>-62.975499999999997</v>
      </c>
      <c r="J6478">
        <v>-253.96510000000001</v>
      </c>
      <c r="K6478">
        <v>1.109297</v>
      </c>
      <c r="L6478">
        <v>-62.537109999999998</v>
      </c>
      <c r="M6478">
        <v>0.99805730000000004</v>
      </c>
      <c r="N6478">
        <v>0</v>
      </c>
      <c r="O6478">
        <v>-6.2171909999999997E-2</v>
      </c>
      <c r="P6478">
        <v>0.98295129999999997</v>
      </c>
      <c r="Q6478">
        <v>0.1828293</v>
      </c>
      <c r="R6478">
        <v>-1.9503409999999999E-2</v>
      </c>
      <c r="S6478">
        <v>3.080902</v>
      </c>
      <c r="T6478">
        <v>-0.16173370000000001</v>
      </c>
      <c r="U6478">
        <v>-6.5551760000000001E-2</v>
      </c>
      <c r="V6478">
        <v>-4.1642640000000002E-2</v>
      </c>
      <c r="W6478">
        <v>0.18681719999999999</v>
      </c>
      <c r="X6478">
        <v>0.98151169999999999</v>
      </c>
      <c r="Y6478">
        <v>-4.078594E-2</v>
      </c>
      <c r="Z6478">
        <v>4.3287289999999999E-3</v>
      </c>
      <c r="AA6478">
        <v>0.99915849999999995</v>
      </c>
      <c r="AB6478">
        <v>35</v>
      </c>
      <c r="AC6478">
        <v>20.9498</v>
      </c>
      <c r="AD6478">
        <v>-1.10929797031489</v>
      </c>
      <c r="AE6478">
        <v>-0.438389999999998</v>
      </c>
      <c r="AF6478">
        <v>-0.86254050604518695</v>
      </c>
      <c r="AG6478">
        <v>-1.10929797031489</v>
      </c>
      <c r="AH6478">
        <v>20.8780160219656</v>
      </c>
      <c r="AI6478">
        <v>93.038811987702402</v>
      </c>
      <c r="AJ6478">
        <v>92.365734505194695</v>
      </c>
      <c r="AK6478">
        <v>20.925249607232001</v>
      </c>
      <c r="AL6478">
        <v>79.232902370009896</v>
      </c>
      <c r="AM6478">
        <v>92.429433548760798</v>
      </c>
      <c r="AN6478">
        <v>0.99999999645944904</v>
      </c>
    </row>
    <row r="6479" spans="1:40" x14ac:dyDescent="0.25">
      <c r="A6479" t="str">
        <f>"20190312172535857"</f>
        <v>20190312172535857</v>
      </c>
      <c r="B6479" t="str">
        <f>"1552382735846429"</f>
        <v>1552382735846429</v>
      </c>
      <c r="C6479" t="s">
        <v>40</v>
      </c>
      <c r="D6479">
        <v>3.5930170000000001</v>
      </c>
      <c r="E6479">
        <v>0.50405599999999995</v>
      </c>
      <c r="F6479" t="s">
        <v>58</v>
      </c>
      <c r="G6479">
        <v>-232.94110000000001</v>
      </c>
      <c r="H6479" s="1">
        <v>-9.4012400000000003E-7</v>
      </c>
      <c r="I6479">
        <v>-62.981659999999998</v>
      </c>
      <c r="J6479">
        <v>-253.79750000000001</v>
      </c>
      <c r="K6479">
        <v>1.1094040000000001</v>
      </c>
      <c r="L6479">
        <v>-62.547449999999998</v>
      </c>
      <c r="M6479">
        <v>0.99806430000000002</v>
      </c>
      <c r="N6479">
        <v>0</v>
      </c>
      <c r="O6479">
        <v>-6.2041739999999998E-2</v>
      </c>
      <c r="P6479">
        <v>0.98300580000000004</v>
      </c>
      <c r="Q6479">
        <v>0.18262680000000001</v>
      </c>
      <c r="R6479">
        <v>-1.8633420000000001E-2</v>
      </c>
      <c r="S6479">
        <v>3.080994</v>
      </c>
      <c r="T6479">
        <v>-0.1625634</v>
      </c>
      <c r="U6479">
        <v>-6.5155030000000003E-2</v>
      </c>
      <c r="V6479">
        <v>-4.241611E-2</v>
      </c>
      <c r="W6479">
        <v>0.186836</v>
      </c>
      <c r="X6479">
        <v>0.98147499999999999</v>
      </c>
      <c r="Y6479">
        <v>-4.0783649999999998E-2</v>
      </c>
      <c r="Z6479">
        <v>4.3438770000000003E-3</v>
      </c>
      <c r="AA6479">
        <v>0.99915860000000001</v>
      </c>
      <c r="AB6479">
        <v>35</v>
      </c>
      <c r="AC6479">
        <v>20.856400000000001</v>
      </c>
      <c r="AD6479">
        <v>-1.109404940124</v>
      </c>
      <c r="AE6479">
        <v>-0.43420999999999998</v>
      </c>
      <c r="AF6479">
        <v>-0.85817867784033997</v>
      </c>
      <c r="AG6479">
        <v>-1.109404940124</v>
      </c>
      <c r="AH6479">
        <v>20.7843771497955</v>
      </c>
      <c r="AI6479">
        <v>93.052773546760207</v>
      </c>
      <c r="AJ6479">
        <v>92.364376969641697</v>
      </c>
      <c r="AK6479">
        <v>20.831648601808102</v>
      </c>
      <c r="AL6479">
        <v>79.231805903710296</v>
      </c>
      <c r="AM6479">
        <v>92.474594657886897</v>
      </c>
      <c r="AN6479">
        <v>0.99999999645426596</v>
      </c>
    </row>
    <row r="6480" spans="1:40" x14ac:dyDescent="0.25">
      <c r="A6480" t="str">
        <f>"20190312172535867"</f>
        <v>20190312172535867</v>
      </c>
      <c r="B6480" t="str">
        <f>"1552382735857164"</f>
        <v>1552382735857164</v>
      </c>
      <c r="C6480" t="s">
        <v>40</v>
      </c>
      <c r="D6480">
        <v>3.6264780000000001</v>
      </c>
      <c r="E6480">
        <v>0.50402159999999996</v>
      </c>
      <c r="F6480" t="s">
        <v>58</v>
      </c>
      <c r="G6480">
        <v>-232.8948</v>
      </c>
      <c r="H6480" s="1">
        <v>-9.1927399999999995E-7</v>
      </c>
      <c r="I6480">
        <v>-62.977829999999997</v>
      </c>
      <c r="J6480">
        <v>-253.6217</v>
      </c>
      <c r="K6480">
        <v>1.1095109999999999</v>
      </c>
      <c r="L6480">
        <v>-62.558259999999997</v>
      </c>
      <c r="M6480">
        <v>0.99807469999999998</v>
      </c>
      <c r="N6480">
        <v>0</v>
      </c>
      <c r="O6480">
        <v>-6.1857099999999998E-2</v>
      </c>
      <c r="P6480">
        <v>0.98303119999999999</v>
      </c>
      <c r="Q6480">
        <v>0.1825811</v>
      </c>
      <c r="R6480">
        <v>-1.7710779999999999E-2</v>
      </c>
      <c r="S6480">
        <v>3.0810240000000002</v>
      </c>
      <c r="T6480">
        <v>-0.16352459999999999</v>
      </c>
      <c r="U6480">
        <v>-6.3446039999999995E-2</v>
      </c>
      <c r="V6480">
        <v>-4.3187690000000001E-2</v>
      </c>
      <c r="W6480">
        <v>0.18702289999999999</v>
      </c>
      <c r="X6480">
        <v>0.98140570000000005</v>
      </c>
      <c r="Y6480">
        <v>-4.1151119999999999E-2</v>
      </c>
      <c r="Z6480">
        <v>4.3694950000000001E-3</v>
      </c>
      <c r="AA6480">
        <v>0.99914340000000001</v>
      </c>
      <c r="AB6480">
        <v>35</v>
      </c>
      <c r="AC6480">
        <v>20.726900000000001</v>
      </c>
      <c r="AD6480">
        <v>-1.1095119192739999</v>
      </c>
      <c r="AE6480">
        <v>-0.41957000000000699</v>
      </c>
      <c r="AF6480">
        <v>-0.86088678213887504</v>
      </c>
      <c r="AG6480">
        <v>-1.1095119192739999</v>
      </c>
      <c r="AH6480">
        <v>20.6540020544676</v>
      </c>
      <c r="AI6480">
        <v>93.072252813205594</v>
      </c>
      <c r="AJ6480">
        <v>92.386784124077707</v>
      </c>
      <c r="AK6480">
        <v>20.701689390400599</v>
      </c>
      <c r="AL6480">
        <v>79.220904616115504</v>
      </c>
      <c r="AM6480">
        <v>92.519729532728107</v>
      </c>
      <c r="AN6480">
        <v>0.99999994484221599</v>
      </c>
    </row>
    <row r="6481" spans="1:40" x14ac:dyDescent="0.25">
      <c r="A6481" t="str">
        <f>"20190312172535879"</f>
        <v>20190312172535879</v>
      </c>
      <c r="B6481" t="str">
        <f>"1552382735866924"</f>
        <v>1552382735866924</v>
      </c>
      <c r="C6481" t="s">
        <v>40</v>
      </c>
      <c r="D6481">
        <v>3.6120649999999999</v>
      </c>
      <c r="E6481">
        <v>0.50391759999999997</v>
      </c>
      <c r="F6481" t="s">
        <v>58</v>
      </c>
      <c r="G6481">
        <v>-232.7473</v>
      </c>
      <c r="H6481" s="1">
        <v>-8.5418530000000005E-7</v>
      </c>
      <c r="I6481">
        <v>-62.971089999999997</v>
      </c>
      <c r="J6481">
        <v>-253.44130000000001</v>
      </c>
      <c r="K6481">
        <v>1.1096200000000001</v>
      </c>
      <c r="L6481">
        <v>-62.569270000000003</v>
      </c>
      <c r="M6481">
        <v>0.99808699999999995</v>
      </c>
      <c r="N6481">
        <v>0</v>
      </c>
      <c r="O6481">
        <v>-6.1638980000000003E-2</v>
      </c>
      <c r="P6481">
        <v>0.9830257</v>
      </c>
      <c r="Q6481">
        <v>0.1826701</v>
      </c>
      <c r="R6481">
        <v>-1.709486E-2</v>
      </c>
      <c r="S6481">
        <v>3.0810849999999999</v>
      </c>
      <c r="T6481">
        <v>-0.1637652</v>
      </c>
      <c r="U6481">
        <v>-6.0943600000000001E-2</v>
      </c>
      <c r="V6481">
        <v>-4.3618709999999998E-2</v>
      </c>
      <c r="W6481">
        <v>0.1873513</v>
      </c>
      <c r="X6481">
        <v>0.98132410000000003</v>
      </c>
      <c r="Y6481">
        <v>-4.174344E-2</v>
      </c>
      <c r="Z6481">
        <v>4.3800519999999997E-3</v>
      </c>
      <c r="AA6481">
        <v>0.99911870000000003</v>
      </c>
      <c r="AB6481">
        <v>35</v>
      </c>
      <c r="AC6481">
        <v>20.693999999999999</v>
      </c>
      <c r="AD6481">
        <v>-1.1096208541853001</v>
      </c>
      <c r="AE6481">
        <v>-0.401820000000007</v>
      </c>
      <c r="AF6481">
        <v>-0.872009568147877</v>
      </c>
      <c r="AG6481">
        <v>-1.1096208541853001</v>
      </c>
      <c r="AH6481">
        <v>20.620154057625701</v>
      </c>
      <c r="AI6481">
        <v>93.077509538772802</v>
      </c>
      <c r="AJ6481">
        <v>92.421549123515106</v>
      </c>
      <c r="AK6481">
        <v>20.668391627971499</v>
      </c>
      <c r="AL6481">
        <v>79.201751209694507</v>
      </c>
      <c r="AM6481">
        <v>92.545055269183194</v>
      </c>
      <c r="AN6481">
        <v>1.0000000453572799</v>
      </c>
    </row>
    <row r="6482" spans="1:40" x14ac:dyDescent="0.25">
      <c r="A6482" t="str">
        <f>"20190312172535893"</f>
        <v>20190312172535893</v>
      </c>
      <c r="B6482" t="str">
        <f>"1552382735886444"</f>
        <v>1552382735886444</v>
      </c>
      <c r="C6482" t="s">
        <v>40</v>
      </c>
      <c r="D6482">
        <v>3.6029390000000001</v>
      </c>
      <c r="E6482">
        <v>0.50373699999999999</v>
      </c>
      <c r="F6482" t="s">
        <v>58</v>
      </c>
      <c r="G6482">
        <v>-232.548</v>
      </c>
      <c r="H6482" s="1">
        <v>-7.6769769999999999E-7</v>
      </c>
      <c r="I6482">
        <v>-62.967359999999999</v>
      </c>
      <c r="J6482">
        <v>-253.249</v>
      </c>
      <c r="K6482">
        <v>1.1097300000000001</v>
      </c>
      <c r="L6482">
        <v>-62.5809</v>
      </c>
      <c r="M6482">
        <v>0.99810449999999995</v>
      </c>
      <c r="N6482">
        <v>0</v>
      </c>
      <c r="O6482">
        <v>-6.1336219999999997E-2</v>
      </c>
      <c r="P6482">
        <v>0.98286090000000004</v>
      </c>
      <c r="Q6482">
        <v>0.18360770000000001</v>
      </c>
      <c r="R6482">
        <v>-1.6521950000000001E-2</v>
      </c>
      <c r="S6482">
        <v>3.0811920000000002</v>
      </c>
      <c r="T6482">
        <v>-0.163638899999999</v>
      </c>
      <c r="U6482">
        <v>-5.8715820000000002E-2</v>
      </c>
      <c r="V6482">
        <v>-4.3917369999999997E-2</v>
      </c>
      <c r="W6482">
        <v>0.18853990000000001</v>
      </c>
      <c r="X6482">
        <v>0.98108300000000004</v>
      </c>
      <c r="Y6482">
        <v>-4.2163310000000002E-2</v>
      </c>
      <c r="Z6482">
        <v>4.371682E-3</v>
      </c>
      <c r="AA6482">
        <v>0.99910120000000002</v>
      </c>
      <c r="AB6482">
        <v>35</v>
      </c>
      <c r="AC6482">
        <v>20.701000000000001</v>
      </c>
      <c r="AD6482">
        <v>-1.1097307676977</v>
      </c>
      <c r="AE6482">
        <v>-0.38645999999999903</v>
      </c>
      <c r="AF6482">
        <v>-0.881472526677611</v>
      </c>
      <c r="AG6482">
        <v>-1.1097307676977</v>
      </c>
      <c r="AH6482">
        <v>20.6264715046978</v>
      </c>
      <c r="AI6482">
        <v>93.076814840246797</v>
      </c>
      <c r="AJ6482">
        <v>92.447046938354802</v>
      </c>
      <c r="AK6482">
        <v>20.675101521544502</v>
      </c>
      <c r="AL6482">
        <v>79.132412666510504</v>
      </c>
      <c r="AM6482">
        <v>92.563087152355905</v>
      </c>
      <c r="AN6482">
        <v>0.99999994108436097</v>
      </c>
    </row>
    <row r="6483" spans="1:40" x14ac:dyDescent="0.25">
      <c r="A6483" t="str">
        <f>"20190312172535904"</f>
        <v>20190312172535904</v>
      </c>
      <c r="B6483" t="str">
        <f>"1552382735897180"</f>
        <v>1552382735897180</v>
      </c>
      <c r="C6483" t="s">
        <v>40</v>
      </c>
      <c r="D6483">
        <v>3.6110980000000001</v>
      </c>
      <c r="E6483">
        <v>0.50364449999999905</v>
      </c>
      <c r="F6483" t="s">
        <v>58</v>
      </c>
      <c r="G6483">
        <v>-231.97020000000001</v>
      </c>
      <c r="H6483" s="1">
        <v>-5.1887479999999998E-7</v>
      </c>
      <c r="I6483">
        <v>-62.963760000000001</v>
      </c>
      <c r="J6483">
        <v>-253.0616</v>
      </c>
      <c r="K6483">
        <v>1.1098349999999999</v>
      </c>
      <c r="L6483">
        <v>-62.59216</v>
      </c>
      <c r="M6483">
        <v>0.99812279999999998</v>
      </c>
      <c r="N6483">
        <v>0</v>
      </c>
      <c r="O6483">
        <v>-6.1015460000000001E-2</v>
      </c>
      <c r="P6483">
        <v>0.98274459999999997</v>
      </c>
      <c r="Q6483">
        <v>0.18424660000000001</v>
      </c>
      <c r="R6483">
        <v>-1.6324700000000001E-2</v>
      </c>
      <c r="S6483">
        <v>3.0814210000000002</v>
      </c>
      <c r="T6483">
        <v>-0.16070209999999999</v>
      </c>
      <c r="U6483">
        <v>-5.5450439999999997E-2</v>
      </c>
      <c r="V6483">
        <v>-4.3825099999999999E-2</v>
      </c>
      <c r="W6483">
        <v>0.18942300000000001</v>
      </c>
      <c r="X6483">
        <v>0.98091709999999999</v>
      </c>
      <c r="Y6483">
        <v>-4.2906720000000002E-2</v>
      </c>
      <c r="Z6483">
        <v>4.2957680000000002E-3</v>
      </c>
      <c r="AA6483">
        <v>0.99906989999999996</v>
      </c>
      <c r="AB6483">
        <v>36</v>
      </c>
      <c r="AC6483">
        <v>21.0914</v>
      </c>
      <c r="AD6483">
        <v>-1.1098355188747999</v>
      </c>
      <c r="AE6483">
        <v>-0.37159999999999999</v>
      </c>
      <c r="AF6483">
        <v>-0.91348330604143901</v>
      </c>
      <c r="AG6483">
        <v>-1.1098355188747999</v>
      </c>
      <c r="AH6483">
        <v>21.016600815751101</v>
      </c>
      <c r="AI6483">
        <v>93.019996782748194</v>
      </c>
      <c r="AJ6483">
        <v>92.488785724093205</v>
      </c>
      <c r="AK6483">
        <v>21.065699525009901</v>
      </c>
      <c r="AL6483">
        <v>79.080887321865106</v>
      </c>
      <c r="AM6483">
        <v>92.558141292226196</v>
      </c>
      <c r="AN6483">
        <v>1.0000000346957001</v>
      </c>
    </row>
    <row r="6484" spans="1:40" x14ac:dyDescent="0.25">
      <c r="A6484" t="str">
        <f>"20190312172535914"</f>
        <v>20190312172535914</v>
      </c>
      <c r="B6484" t="str">
        <f>"1552382735906940"</f>
        <v>1552382735906940</v>
      </c>
      <c r="C6484" t="s">
        <v>40</v>
      </c>
      <c r="D6484">
        <v>3.6245579999999999</v>
      </c>
      <c r="E6484">
        <v>0.50355729999999999</v>
      </c>
      <c r="F6484" t="s">
        <v>58</v>
      </c>
      <c r="G6484">
        <v>-231.50989999999999</v>
      </c>
      <c r="H6484" s="1">
        <v>-3.2205730000000001E-7</v>
      </c>
      <c r="I6484">
        <v>-62.966259999999998</v>
      </c>
      <c r="J6484">
        <v>-252.87870000000001</v>
      </c>
      <c r="K6484">
        <v>1.1099330000000001</v>
      </c>
      <c r="L6484">
        <v>-62.603090000000002</v>
      </c>
      <c r="M6484">
        <v>0.99814409999999998</v>
      </c>
      <c r="N6484">
        <v>0</v>
      </c>
      <c r="O6484">
        <v>-6.0642939999999999E-2</v>
      </c>
      <c r="P6484">
        <v>0.98262879999999997</v>
      </c>
      <c r="Q6484">
        <v>0.18490599999999999</v>
      </c>
      <c r="R6484">
        <v>-1.582136E-2</v>
      </c>
      <c r="S6484">
        <v>3.081528</v>
      </c>
      <c r="T6484">
        <v>-0.15868779999999999</v>
      </c>
      <c r="U6484">
        <v>-5.3497309999999999E-2</v>
      </c>
      <c r="V6484">
        <v>-4.3988109999999997E-2</v>
      </c>
      <c r="W6484">
        <v>0.19031439999999999</v>
      </c>
      <c r="X6484">
        <v>0.98073719999999998</v>
      </c>
      <c r="Y6484">
        <v>-4.3171250000000001E-2</v>
      </c>
      <c r="Z6484">
        <v>4.2295600000000003E-3</v>
      </c>
      <c r="AA6484">
        <v>0.99905869999999997</v>
      </c>
      <c r="AB6484">
        <v>36</v>
      </c>
      <c r="AC6484">
        <v>21.3688</v>
      </c>
      <c r="AD6484">
        <v>-1.1099333220573</v>
      </c>
      <c r="AE6484">
        <v>-0.363169999999996</v>
      </c>
      <c r="AF6484">
        <v>-0.93087450735648902</v>
      </c>
      <c r="AG6484">
        <v>-1.1099333220573</v>
      </c>
      <c r="AH6484">
        <v>21.294060373730598</v>
      </c>
      <c r="AI6484">
        <v>92.980947728778901</v>
      </c>
      <c r="AJ6484">
        <v>92.503103852598798</v>
      </c>
      <c r="AK6484">
        <v>21.343277314600499</v>
      </c>
      <c r="AL6484">
        <v>79.028867102946293</v>
      </c>
      <c r="AM6484">
        <v>92.568114097541397</v>
      </c>
      <c r="AN6484">
        <v>0.99999999006628604</v>
      </c>
    </row>
    <row r="6485" spans="1:40" x14ac:dyDescent="0.25">
      <c r="A6485" t="str">
        <f>"20190312172535926"</f>
        <v>20190312172535926</v>
      </c>
      <c r="B6485" t="str">
        <f>"1552382735916700"</f>
        <v>1552382735916700</v>
      </c>
      <c r="C6485" t="s">
        <v>40</v>
      </c>
      <c r="D6485">
        <v>3.6281659999999998</v>
      </c>
      <c r="E6485">
        <v>0.5034729</v>
      </c>
      <c r="F6485" t="s">
        <v>58</v>
      </c>
      <c r="G6485">
        <v>-231.04660000000001</v>
      </c>
      <c r="H6485" s="1">
        <v>-1.2255679999999999E-7</v>
      </c>
      <c r="I6485">
        <v>-62.963430000000002</v>
      </c>
      <c r="J6485">
        <v>-252.7106</v>
      </c>
      <c r="K6485">
        <v>1.1100239999999999</v>
      </c>
      <c r="L6485">
        <v>-62.613010000000003</v>
      </c>
      <c r="M6485">
        <v>0.99816519999999997</v>
      </c>
      <c r="N6485">
        <v>0</v>
      </c>
      <c r="O6485">
        <v>-6.0275530000000001E-2</v>
      </c>
      <c r="P6485">
        <v>0.98261889999999996</v>
      </c>
      <c r="Q6485">
        <v>0.18499009999999999</v>
      </c>
      <c r="R6485">
        <v>-1.5464729999999999E-2</v>
      </c>
      <c r="S6485">
        <v>3.081696</v>
      </c>
      <c r="T6485">
        <v>-0.15667210000000001</v>
      </c>
      <c r="U6485">
        <v>-5.0872800000000003E-2</v>
      </c>
      <c r="V6485">
        <v>-4.4012669999999997E-2</v>
      </c>
      <c r="W6485">
        <v>0.19060879999999999</v>
      </c>
      <c r="X6485">
        <v>0.98067890000000002</v>
      </c>
      <c r="Y6485">
        <v>-4.365844E-2</v>
      </c>
      <c r="Z6485">
        <v>4.1694710000000001E-3</v>
      </c>
      <c r="AA6485">
        <v>0.99903779999999998</v>
      </c>
      <c r="AB6485">
        <v>36</v>
      </c>
      <c r="AC6485">
        <v>21.663999999999898</v>
      </c>
      <c r="AD6485">
        <v>-1.1100241225567999</v>
      </c>
      <c r="AE6485">
        <v>-0.350420000000006</v>
      </c>
      <c r="AF6485">
        <v>-0.95354511562739797</v>
      </c>
      <c r="AG6485">
        <v>-1.1100241225567999</v>
      </c>
      <c r="AH6485">
        <v>21.589066744858801</v>
      </c>
      <c r="AI6485">
        <v>92.940468014833002</v>
      </c>
      <c r="AJ6485">
        <v>92.528994234288106</v>
      </c>
      <c r="AK6485">
        <v>21.638604501080099</v>
      </c>
      <c r="AL6485">
        <v>79.011684442240096</v>
      </c>
      <c r="AM6485">
        <v>92.569698589528102</v>
      </c>
      <c r="AN6485">
        <v>0.99999996733158902</v>
      </c>
    </row>
    <row r="6486" spans="1:40" x14ac:dyDescent="0.25">
      <c r="A6486" t="str">
        <f>"20190312172535936"</f>
        <v>20190312172535936</v>
      </c>
      <c r="B6486" t="str">
        <f>"1552382735926461"</f>
        <v>1552382735926461</v>
      </c>
      <c r="C6486" t="s">
        <v>40</v>
      </c>
      <c r="D6486">
        <v>3.6146530000000001</v>
      </c>
      <c r="E6486">
        <v>0.50337920000000003</v>
      </c>
      <c r="F6486" t="s">
        <v>58</v>
      </c>
      <c r="G6486">
        <v>-230.84379999999999</v>
      </c>
      <c r="H6486" s="1">
        <v>-3.5462220000000001E-8</v>
      </c>
      <c r="I6486">
        <v>-62.963090000000001</v>
      </c>
      <c r="J6486">
        <v>-252.54220000000001</v>
      </c>
      <c r="K6486">
        <v>1.110106</v>
      </c>
      <c r="L6486">
        <v>-62.622860000000003</v>
      </c>
      <c r="M6486">
        <v>0.99818810000000002</v>
      </c>
      <c r="N6486">
        <v>0</v>
      </c>
      <c r="O6486">
        <v>-5.9872229999999999E-2</v>
      </c>
      <c r="P6486">
        <v>0.98267760000000004</v>
      </c>
      <c r="Q6486">
        <v>0.18472649999999999</v>
      </c>
      <c r="R6486">
        <v>-1.485906E-2</v>
      </c>
      <c r="S6486">
        <v>3.0817570000000001</v>
      </c>
      <c r="T6486">
        <v>-0.1564392</v>
      </c>
      <c r="U6486">
        <v>-4.9346920000000002E-2</v>
      </c>
      <c r="V6486">
        <v>-4.4254469999999997E-2</v>
      </c>
      <c r="W6486">
        <v>0.19054979999999999</v>
      </c>
      <c r="X6486">
        <v>0.98067950000000004</v>
      </c>
      <c r="Y6486">
        <v>-4.3750520000000001E-2</v>
      </c>
      <c r="Z6486">
        <v>4.1451389999999999E-3</v>
      </c>
      <c r="AA6486">
        <v>0.99903390000000003</v>
      </c>
      <c r="AB6486">
        <v>36</v>
      </c>
      <c r="AC6486">
        <v>21.698399999999999</v>
      </c>
      <c r="AD6486">
        <v>-1.1101060354622201</v>
      </c>
      <c r="AE6486">
        <v>-0.34023000000000497</v>
      </c>
      <c r="AF6486">
        <v>-0.95703091323253497</v>
      </c>
      <c r="AG6486">
        <v>-1.1101060354622201</v>
      </c>
      <c r="AH6486">
        <v>21.623260175604301</v>
      </c>
      <c r="AI6486">
        <v>92.936030766952896</v>
      </c>
      <c r="AJ6486">
        <v>92.534218675932394</v>
      </c>
      <c r="AK6486">
        <v>21.672877616983101</v>
      </c>
      <c r="AL6486">
        <v>79.015128182586494</v>
      </c>
      <c r="AM6486">
        <v>92.583795527394898</v>
      </c>
      <c r="AN6486">
        <v>0.99999998305763504</v>
      </c>
    </row>
    <row r="6487" spans="1:40" x14ac:dyDescent="0.25">
      <c r="A6487" t="str">
        <f>"20190312172535946"</f>
        <v>20190312172535946</v>
      </c>
      <c r="B6487" t="str">
        <f>"1552382735937196"</f>
        <v>1552382735937196</v>
      </c>
      <c r="C6487" t="s">
        <v>40</v>
      </c>
      <c r="D6487">
        <v>3.6197379999999999</v>
      </c>
      <c r="E6487">
        <v>0.50330029999999903</v>
      </c>
      <c r="F6487" t="s">
        <v>58</v>
      </c>
      <c r="G6487">
        <v>-230.7962</v>
      </c>
      <c r="H6487" s="1">
        <v>-1.330125E-8</v>
      </c>
      <c r="I6487">
        <v>-62.956580000000002</v>
      </c>
      <c r="J6487">
        <v>-252.3725</v>
      </c>
      <c r="K6487">
        <v>1.1101859999999999</v>
      </c>
      <c r="L6487">
        <v>-62.632689999999997</v>
      </c>
      <c r="M6487">
        <v>0.99821289999999996</v>
      </c>
      <c r="N6487">
        <v>0</v>
      </c>
      <c r="O6487">
        <v>-5.9433519999999997E-2</v>
      </c>
      <c r="P6487">
        <v>0.98277499999999995</v>
      </c>
      <c r="Q6487">
        <v>0.1842839</v>
      </c>
      <c r="R6487">
        <v>-1.388059E-2</v>
      </c>
      <c r="S6487">
        <v>3.0817410000000001</v>
      </c>
      <c r="T6487">
        <v>-0.15731870000000001</v>
      </c>
      <c r="U6487">
        <v>-4.7302249999999997E-2</v>
      </c>
      <c r="V6487">
        <v>-4.4835529999999998E-2</v>
      </c>
      <c r="W6487">
        <v>0.19030920000000001</v>
      </c>
      <c r="X6487">
        <v>0.98069980000000001</v>
      </c>
      <c r="Y6487">
        <v>-4.3972900000000002E-2</v>
      </c>
      <c r="Z6487">
        <v>4.1518019999999996E-3</v>
      </c>
      <c r="AA6487">
        <v>0.99902409999999997</v>
      </c>
      <c r="AB6487">
        <v>36</v>
      </c>
      <c r="AC6487">
        <v>21.5763</v>
      </c>
      <c r="AD6487">
        <v>-1.11018601330125</v>
      </c>
      <c r="AE6487">
        <v>-0.32388999999999801</v>
      </c>
      <c r="AF6487">
        <v>-0.95653096720709696</v>
      </c>
      <c r="AG6487">
        <v>-1.11018601330125</v>
      </c>
      <c r="AH6487">
        <v>21.5004977058822</v>
      </c>
      <c r="AI6487">
        <v>92.952947587821299</v>
      </c>
      <c r="AJ6487">
        <v>92.547339753132405</v>
      </c>
      <c r="AK6487">
        <v>21.5503797199957</v>
      </c>
      <c r="AL6487">
        <v>79.029170220732595</v>
      </c>
      <c r="AM6487">
        <v>92.6176197006519</v>
      </c>
      <c r="AN6487">
        <v>0.99999995703752897</v>
      </c>
    </row>
    <row r="6488" spans="1:40" x14ac:dyDescent="0.25">
      <c r="A6488" t="str">
        <f>"20190312172535957"</f>
        <v>20190312172535957</v>
      </c>
      <c r="B6488" t="str">
        <f>"1552382735946957"</f>
        <v>1552382735946957</v>
      </c>
      <c r="C6488" t="s">
        <v>40</v>
      </c>
      <c r="D6488">
        <v>3.5946920000000002</v>
      </c>
      <c r="E6488">
        <v>0.50322549999999999</v>
      </c>
      <c r="F6488" t="s">
        <v>58</v>
      </c>
      <c r="G6488">
        <v>-230.82400000000001</v>
      </c>
      <c r="H6488" s="1">
        <v>-2.143088E-8</v>
      </c>
      <c r="I6488">
        <v>-62.942259999999997</v>
      </c>
      <c r="J6488">
        <v>-252.20060000000001</v>
      </c>
      <c r="K6488">
        <v>1.1102669999999999</v>
      </c>
      <c r="L6488">
        <v>-62.64255</v>
      </c>
      <c r="M6488">
        <v>0.99823980000000001</v>
      </c>
      <c r="N6488">
        <v>0</v>
      </c>
      <c r="O6488">
        <v>-5.8960239999999997E-2</v>
      </c>
      <c r="P6488">
        <v>0.98286750000000001</v>
      </c>
      <c r="Q6488">
        <v>0.18384590000000001</v>
      </c>
      <c r="R6488">
        <v>-1.3126779999999999E-2</v>
      </c>
      <c r="S6488">
        <v>3.0817260000000002</v>
      </c>
      <c r="T6488">
        <v>-0.15877149999999901</v>
      </c>
      <c r="U6488">
        <v>-4.4281010000000003E-2</v>
      </c>
      <c r="V6488">
        <v>-4.5158429999999999E-2</v>
      </c>
      <c r="W6488">
        <v>0.19007189999999999</v>
      </c>
      <c r="X6488">
        <v>0.98073109999999997</v>
      </c>
      <c r="Y6488">
        <v>-4.4475880000000002E-2</v>
      </c>
      <c r="Z6488">
        <v>4.1787869999999998E-3</v>
      </c>
      <c r="AA6488">
        <v>0.99900169999999999</v>
      </c>
      <c r="AB6488">
        <v>36</v>
      </c>
      <c r="AC6488">
        <v>21.3766</v>
      </c>
      <c r="AD6488">
        <v>-1.1102670214308701</v>
      </c>
      <c r="AE6488">
        <v>-0.29970999999999698</v>
      </c>
      <c r="AF6488">
        <v>-0.95862124808791505</v>
      </c>
      <c r="AG6488">
        <v>-1.1102670214308701</v>
      </c>
      <c r="AH6488">
        <v>21.299635007668201</v>
      </c>
      <c r="AI6488">
        <v>92.980893205241401</v>
      </c>
      <c r="AJ6488">
        <v>92.576941419877997</v>
      </c>
      <c r="AK6488">
        <v>21.350084285923799</v>
      </c>
      <c r="AL6488">
        <v>79.043020333674903</v>
      </c>
      <c r="AM6488">
        <v>92.636360949691607</v>
      </c>
      <c r="AN6488">
        <v>1.0000000507384399</v>
      </c>
    </row>
    <row r="6489" spans="1:40" x14ac:dyDescent="0.25">
      <c r="A6489" t="str">
        <f>"20190312172535969"</f>
        <v>20190312172535969</v>
      </c>
      <c r="B6489" t="str">
        <f>"1552382735956716"</f>
        <v>1552382735956716</v>
      </c>
      <c r="C6489" t="s">
        <v>40</v>
      </c>
      <c r="D6489">
        <v>3.6025459999999998</v>
      </c>
      <c r="E6489">
        <v>0.50315370000000004</v>
      </c>
      <c r="F6489" t="s">
        <v>58</v>
      </c>
      <c r="G6489">
        <v>-230.84800000000001</v>
      </c>
      <c r="H6489" s="1">
        <v>-2.8763000000000001E-8</v>
      </c>
      <c r="I6489">
        <v>-62.9311199999999</v>
      </c>
      <c r="J6489">
        <v>-252.0224</v>
      </c>
      <c r="K6489">
        <v>1.1103479999999999</v>
      </c>
      <c r="L6489">
        <v>-62.652650000000001</v>
      </c>
      <c r="M6489">
        <v>0.99826979999999998</v>
      </c>
      <c r="N6489">
        <v>0</v>
      </c>
      <c r="O6489">
        <v>-5.842675E-2</v>
      </c>
      <c r="P6489">
        <v>0.9830139</v>
      </c>
      <c r="Q6489">
        <v>0.1831102</v>
      </c>
      <c r="R6489">
        <v>-1.242998E-2</v>
      </c>
      <c r="S6489">
        <v>3.0817109999999999</v>
      </c>
      <c r="T6489">
        <v>-0.16023950000000001</v>
      </c>
      <c r="U6489">
        <v>-4.1656489999999997E-2</v>
      </c>
      <c r="V6489">
        <v>-4.5368480000000003E-2</v>
      </c>
      <c r="W6489">
        <v>0.18954009999999999</v>
      </c>
      <c r="X6489">
        <v>0.98082429999999998</v>
      </c>
      <c r="Y6489">
        <v>-4.4790370000000003E-2</v>
      </c>
      <c r="Z6489">
        <v>4.1979319999999997E-3</v>
      </c>
      <c r="AA6489">
        <v>0.99898759999999998</v>
      </c>
      <c r="AB6489">
        <v>36</v>
      </c>
      <c r="AC6489">
        <v>21.174399999999999</v>
      </c>
      <c r="AD6489">
        <v>-1.1103480287630001</v>
      </c>
      <c r="AE6489">
        <v>-0.278469999999991</v>
      </c>
      <c r="AF6489">
        <v>-0.95655430520492901</v>
      </c>
      <c r="AG6489">
        <v>-1.1103480287630001</v>
      </c>
      <c r="AH6489">
        <v>21.096496171338799</v>
      </c>
      <c r="AI6489">
        <v>93.009717560504001</v>
      </c>
      <c r="AJ6489">
        <v>92.596118889218999</v>
      </c>
      <c r="AK6489">
        <v>21.147340721497201</v>
      </c>
      <c r="AL6489">
        <v>79.074054125097803</v>
      </c>
      <c r="AM6489">
        <v>92.648354983805604</v>
      </c>
      <c r="AN6489">
        <v>1.0000000279779999</v>
      </c>
    </row>
    <row r="6490" spans="1:40" x14ac:dyDescent="0.25">
      <c r="A6490" t="str">
        <f>"20190312172535980"</f>
        <v>20190312172535980</v>
      </c>
      <c r="B6490" t="str">
        <f>"1552382735977212"</f>
        <v>1552382735977212</v>
      </c>
      <c r="C6490" t="s">
        <v>40</v>
      </c>
      <c r="D6490">
        <v>3.5924010000000002</v>
      </c>
      <c r="E6490">
        <v>0.50299659999999902</v>
      </c>
      <c r="F6490" t="s">
        <v>58</v>
      </c>
      <c r="G6490">
        <v>-230.983</v>
      </c>
      <c r="H6490" s="1">
        <v>-8.3412599999999999E-8</v>
      </c>
      <c r="I6490">
        <v>-62.918860000000002</v>
      </c>
      <c r="J6490">
        <v>-251.84219999999999</v>
      </c>
      <c r="K6490">
        <v>1.11043</v>
      </c>
      <c r="L6490">
        <v>-62.662779999999998</v>
      </c>
      <c r="M6490">
        <v>0.99830090000000005</v>
      </c>
      <c r="N6490">
        <v>0</v>
      </c>
      <c r="O6490">
        <v>-5.7867389999999998E-2</v>
      </c>
      <c r="P6490">
        <v>0.9830892</v>
      </c>
      <c r="Q6490">
        <v>0.1827732</v>
      </c>
      <c r="R6490">
        <v>-1.139311E-2</v>
      </c>
      <c r="S6490">
        <v>3.0816189999999999</v>
      </c>
      <c r="T6490">
        <v>-0.1626319</v>
      </c>
      <c r="U6490">
        <v>-3.9001460000000002E-2</v>
      </c>
      <c r="V6490">
        <v>-4.5888829999999999E-2</v>
      </c>
      <c r="W6490">
        <v>0.1894052</v>
      </c>
      <c r="X6490">
        <v>0.98082610000000003</v>
      </c>
      <c r="Y6490">
        <v>-4.5087009999999997E-2</v>
      </c>
      <c r="Z6490">
        <v>4.2390609999999997E-3</v>
      </c>
      <c r="AA6490">
        <v>0.99897409999999998</v>
      </c>
      <c r="AB6490">
        <v>36</v>
      </c>
      <c r="AC6490">
        <v>20.859199999999898</v>
      </c>
      <c r="AD6490">
        <v>-1.1104300834126</v>
      </c>
      <c r="AE6490">
        <v>-0.25607999999998998</v>
      </c>
      <c r="AF6490">
        <v>-0.94875648110627697</v>
      </c>
      <c r="AG6490">
        <v>-1.1104300834126</v>
      </c>
      <c r="AH6490">
        <v>20.780182744462699</v>
      </c>
      <c r="AI6490">
        <v>93.055626715000201</v>
      </c>
      <c r="AJ6490">
        <v>92.614126076713703</v>
      </c>
      <c r="AK6490">
        <v>20.831447110651101</v>
      </c>
      <c r="AL6490">
        <v>79.081925345913305</v>
      </c>
      <c r="AM6490">
        <v>92.678681170082498</v>
      </c>
      <c r="AN6490">
        <v>0.99999997647350902</v>
      </c>
    </row>
    <row r="6491" spans="1:40" x14ac:dyDescent="0.25">
      <c r="A6491" t="str">
        <f>"20190312172535992"</f>
        <v>20190312172535992</v>
      </c>
      <c r="B6491" t="str">
        <f>"1552382735986972"</f>
        <v>1552382735986972</v>
      </c>
      <c r="C6491" t="s">
        <v>40</v>
      </c>
      <c r="D6491">
        <v>3.6039850000000002</v>
      </c>
      <c r="E6491">
        <v>0.50293549999999998</v>
      </c>
      <c r="F6491" t="s">
        <v>58</v>
      </c>
      <c r="G6491">
        <v>-230.95920000000001</v>
      </c>
      <c r="H6491" s="1">
        <v>-6.7136629999999995E-8</v>
      </c>
      <c r="I6491">
        <v>-62.895989999999998</v>
      </c>
      <c r="J6491">
        <v>-251.65299999999999</v>
      </c>
      <c r="K6491">
        <v>1.1105130000000001</v>
      </c>
      <c r="L6491">
        <v>-62.673189999999998</v>
      </c>
      <c r="M6491">
        <v>0.99833660000000002</v>
      </c>
      <c r="N6491">
        <v>0</v>
      </c>
      <c r="O6491">
        <v>-5.7221109999999999E-2</v>
      </c>
      <c r="P6491">
        <v>0.98319440000000002</v>
      </c>
      <c r="Q6491">
        <v>0.1822569</v>
      </c>
      <c r="R6491">
        <v>-1.0561569999999999E-2</v>
      </c>
      <c r="S6491">
        <v>3.0816650000000001</v>
      </c>
      <c r="T6491">
        <v>-0.1638645</v>
      </c>
      <c r="U6491">
        <v>-3.4423830000000002E-2</v>
      </c>
      <c r="V6491">
        <v>-4.6122219999999998E-2</v>
      </c>
      <c r="W6491">
        <v>0.18909390000000001</v>
      </c>
      <c r="X6491">
        <v>0.98087530000000001</v>
      </c>
      <c r="Y6491">
        <v>-4.5921829999999997E-2</v>
      </c>
      <c r="Z6491">
        <v>4.2590429999999997E-3</v>
      </c>
      <c r="AA6491">
        <v>0.99893589999999999</v>
      </c>
      <c r="AB6491">
        <v>36</v>
      </c>
      <c r="AC6491">
        <v>20.6937999999999</v>
      </c>
      <c r="AD6491">
        <v>-1.1105130671366299</v>
      </c>
      <c r="AE6491">
        <v>-0.222799999999999</v>
      </c>
      <c r="AF6491">
        <v>-0.95895543938812999</v>
      </c>
      <c r="AG6491">
        <v>-1.1105130671366299</v>
      </c>
      <c r="AH6491">
        <v>20.6132854433557</v>
      </c>
      <c r="AI6491">
        <v>93.080426933932003</v>
      </c>
      <c r="AJ6491">
        <v>92.663549865818695</v>
      </c>
      <c r="AK6491">
        <v>20.665439060815299</v>
      </c>
      <c r="AL6491">
        <v>79.100090672908394</v>
      </c>
      <c r="AM6491">
        <v>92.6921500691289</v>
      </c>
      <c r="AN6491">
        <v>1.0000000581725099</v>
      </c>
    </row>
    <row r="6492" spans="1:40" x14ac:dyDescent="0.25">
      <c r="A6492" t="str">
        <f>"20190312172536003"</f>
        <v>20190312172536003</v>
      </c>
      <c r="B6492" t="str">
        <f>"1552382735996733"</f>
        <v>1552382735996733</v>
      </c>
      <c r="C6492" t="s">
        <v>40</v>
      </c>
      <c r="D6492">
        <v>3.630045</v>
      </c>
      <c r="E6492">
        <v>0.50286909999999996</v>
      </c>
      <c r="F6492" t="s">
        <v>58</v>
      </c>
      <c r="G6492">
        <v>-230.98740000000001</v>
      </c>
      <c r="H6492" s="1">
        <v>-7.5378239999999999E-8</v>
      </c>
      <c r="I6492">
        <v>-62.881659999999997</v>
      </c>
      <c r="J6492">
        <v>-251.47540000000001</v>
      </c>
      <c r="K6492">
        <v>1.1105929999999999</v>
      </c>
      <c r="L6492">
        <v>-62.68289</v>
      </c>
      <c r="M6492">
        <v>0.9983706</v>
      </c>
      <c r="N6492">
        <v>0</v>
      </c>
      <c r="O6492">
        <v>-5.659952E-2</v>
      </c>
      <c r="P6492">
        <v>0.98326690000000005</v>
      </c>
      <c r="Q6492">
        <v>0.1819112</v>
      </c>
      <c r="R6492">
        <v>-9.7365720000000006E-3</v>
      </c>
      <c r="S6492">
        <v>3.0816650000000001</v>
      </c>
      <c r="T6492">
        <v>-0.1656001</v>
      </c>
      <c r="U6492">
        <v>-3.1097409999999999E-2</v>
      </c>
      <c r="V6492">
        <v>-4.636871E-2</v>
      </c>
      <c r="W6492">
        <v>0.1889393</v>
      </c>
      <c r="X6492">
        <v>0.98089340000000003</v>
      </c>
      <c r="Y6492">
        <v>-4.6375230000000003E-2</v>
      </c>
      <c r="Z6492">
        <v>4.2829809999999999E-3</v>
      </c>
      <c r="AA6492">
        <v>0.99891490000000005</v>
      </c>
      <c r="AB6492">
        <v>36</v>
      </c>
      <c r="AC6492">
        <v>20.488</v>
      </c>
      <c r="AD6492">
        <v>-1.11059307537824</v>
      </c>
      <c r="AE6492">
        <v>-0.19876999999999601</v>
      </c>
      <c r="AF6492">
        <v>-0.958374318903917</v>
      </c>
      <c r="AG6492">
        <v>-1.11059307537824</v>
      </c>
      <c r="AH6492">
        <v>20.406449166286301</v>
      </c>
      <c r="AI6492">
        <v>93.111748128072705</v>
      </c>
      <c r="AJ6492">
        <v>92.688879644422101</v>
      </c>
      <c r="AK6492">
        <v>20.459107162592399</v>
      </c>
      <c r="AL6492">
        <v>79.109110445263596</v>
      </c>
      <c r="AM6492">
        <v>92.706466464959902</v>
      </c>
      <c r="AN6492">
        <v>0.99999998925755695</v>
      </c>
    </row>
    <row r="6493" spans="1:40" x14ac:dyDescent="0.25">
      <c r="A6493" t="str">
        <f>"20190312172536014"</f>
        <v>20190312172536014</v>
      </c>
      <c r="B6493" t="str">
        <f>"1552382736006492"</f>
        <v>1552382736006492</v>
      </c>
      <c r="C6493" t="s">
        <v>40</v>
      </c>
      <c r="D6493">
        <v>3.6039840000000001</v>
      </c>
      <c r="E6493">
        <v>0.50280579999999997</v>
      </c>
      <c r="F6493" t="s">
        <v>58</v>
      </c>
      <c r="G6493">
        <v>-230.9562</v>
      </c>
      <c r="H6493" s="1">
        <v>-5.859522E-8</v>
      </c>
      <c r="I6493">
        <v>-62.868760000000002</v>
      </c>
      <c r="J6493">
        <v>-251.29169999999999</v>
      </c>
      <c r="K6493">
        <v>1.110673</v>
      </c>
      <c r="L6493">
        <v>-62.692720000000001</v>
      </c>
      <c r="M6493">
        <v>0.99840799999999996</v>
      </c>
      <c r="N6493">
        <v>0</v>
      </c>
      <c r="O6493">
        <v>-5.5908659999999999E-2</v>
      </c>
      <c r="P6493">
        <v>0.98330260000000003</v>
      </c>
      <c r="Q6493">
        <v>0.18177479999999999</v>
      </c>
      <c r="R6493">
        <v>-8.6115689999999995E-3</v>
      </c>
      <c r="S6493">
        <v>3.0816349999999999</v>
      </c>
      <c r="T6493">
        <v>-0.16679260000000001</v>
      </c>
      <c r="U6493">
        <v>-2.792358E-2</v>
      </c>
      <c r="V6493">
        <v>-4.6845739999999997E-2</v>
      </c>
      <c r="W6493">
        <v>0.18899460000000001</v>
      </c>
      <c r="X6493">
        <v>0.98086010000000001</v>
      </c>
      <c r="Y6493">
        <v>-4.671107E-2</v>
      </c>
      <c r="Z6493">
        <v>4.2856370000000001E-3</v>
      </c>
      <c r="AA6493">
        <v>0.99889919999999999</v>
      </c>
      <c r="AB6493">
        <v>36</v>
      </c>
      <c r="AC6493">
        <v>20.3355</v>
      </c>
      <c r="AD6493">
        <v>-1.11067305859522</v>
      </c>
      <c r="AE6493">
        <v>-0.17604</v>
      </c>
      <c r="AF6493">
        <v>-0.95833900109161596</v>
      </c>
      <c r="AG6493">
        <v>-1.11067305859522</v>
      </c>
      <c r="AH6493">
        <v>20.2531217968398</v>
      </c>
      <c r="AI6493">
        <v>93.135432236568406</v>
      </c>
      <c r="AJ6493">
        <v>92.709106049979098</v>
      </c>
      <c r="AK6493">
        <v>20.306180113495799</v>
      </c>
      <c r="AL6493">
        <v>79.105884074089104</v>
      </c>
      <c r="AM6493">
        <v>92.734360580318807</v>
      </c>
      <c r="AN6493">
        <v>1.00000000897865</v>
      </c>
    </row>
    <row r="6494" spans="1:40" x14ac:dyDescent="0.25">
      <c r="A6494" t="str">
        <f>"20190312172536025"</f>
        <v>20190312172536025</v>
      </c>
      <c r="B6494" t="str">
        <f>"1552382736017229"</f>
        <v>1552382736017229</v>
      </c>
      <c r="C6494" t="s">
        <v>40</v>
      </c>
      <c r="D6494">
        <v>3.616549</v>
      </c>
      <c r="E6494">
        <v>0.50273389999999996</v>
      </c>
      <c r="F6494" t="s">
        <v>58</v>
      </c>
      <c r="G6494">
        <v>-230.83199999999999</v>
      </c>
      <c r="H6494" s="1">
        <v>-7.9990059999999998E-10</v>
      </c>
      <c r="I6494">
        <v>-62.851909999999997</v>
      </c>
      <c r="J6494">
        <v>-251.1217</v>
      </c>
      <c r="K6494">
        <v>1.110746</v>
      </c>
      <c r="L6494">
        <v>-62.701689999999999</v>
      </c>
      <c r="M6494">
        <v>0.99844319999999998</v>
      </c>
      <c r="N6494">
        <v>0</v>
      </c>
      <c r="O6494">
        <v>-5.5251540000000002E-2</v>
      </c>
      <c r="P6494">
        <v>0.98336279999999998</v>
      </c>
      <c r="Q6494">
        <v>0.18150479999999999</v>
      </c>
      <c r="R6494">
        <v>-7.3302419999999998E-3</v>
      </c>
      <c r="S6494">
        <v>3.08168</v>
      </c>
      <c r="T6494">
        <v>-0.16729150000000001</v>
      </c>
      <c r="U6494">
        <v>-2.3986819999999999E-2</v>
      </c>
      <c r="V6494">
        <v>-4.750936E-2</v>
      </c>
      <c r="W6494">
        <v>0.18890000000000001</v>
      </c>
      <c r="X6494">
        <v>0.98084640000000001</v>
      </c>
      <c r="Y6494">
        <v>-4.7328969999999998E-2</v>
      </c>
      <c r="Z6494">
        <v>4.2795849999999998E-3</v>
      </c>
      <c r="AA6494">
        <v>0.99887020000000004</v>
      </c>
      <c r="AB6494">
        <v>36</v>
      </c>
      <c r="AC6494">
        <v>20.2897</v>
      </c>
      <c r="AD6494">
        <v>-1.1107460007998999</v>
      </c>
      <c r="AE6494">
        <v>-0.15021999999999699</v>
      </c>
      <c r="AF6494">
        <v>-0.96817799701358498</v>
      </c>
      <c r="AG6494">
        <v>-1.1107460007998999</v>
      </c>
      <c r="AH6494">
        <v>20.206450897553001</v>
      </c>
      <c r="AI6494">
        <v>93.142776788442902</v>
      </c>
      <c r="AJ6494">
        <v>92.743189331183402</v>
      </c>
      <c r="AK6494">
        <v>20.260103237333599</v>
      </c>
      <c r="AL6494">
        <v>79.111403632535499</v>
      </c>
      <c r="AM6494">
        <v>92.773074353953504</v>
      </c>
      <c r="AN6494">
        <v>1.00000000484028</v>
      </c>
    </row>
    <row r="6495" spans="1:40" x14ac:dyDescent="0.25">
      <c r="A6495" t="str">
        <f>"20190312172536036"</f>
        <v>20190312172536036</v>
      </c>
      <c r="B6495" t="str">
        <f>"1552382736026687"</f>
        <v>1552382736026687</v>
      </c>
      <c r="C6495" t="s">
        <v>40</v>
      </c>
      <c r="D6495">
        <v>3.627529</v>
      </c>
      <c r="E6495">
        <v>0.50266259999999996</v>
      </c>
      <c r="F6495" t="s">
        <v>58</v>
      </c>
      <c r="G6495">
        <v>-230.7816</v>
      </c>
      <c r="H6495" s="1">
        <v>2.6558269999999999E-8</v>
      </c>
      <c r="I6495">
        <v>-62.83034</v>
      </c>
      <c r="J6495">
        <v>-250.94730000000001</v>
      </c>
      <c r="K6495">
        <v>1.1108169999999999</v>
      </c>
      <c r="L6495">
        <v>-62.71078</v>
      </c>
      <c r="M6495">
        <v>0.99848040000000005</v>
      </c>
      <c r="N6495">
        <v>0</v>
      </c>
      <c r="O6495">
        <v>-5.4549E-2</v>
      </c>
      <c r="P6495">
        <v>0.98345550000000004</v>
      </c>
      <c r="Q6495">
        <v>0.18104719999999999</v>
      </c>
      <c r="R6495">
        <v>-6.1297169999999998E-3</v>
      </c>
      <c r="S6495">
        <v>3.0816650000000001</v>
      </c>
      <c r="T6495">
        <v>-0.1682855</v>
      </c>
      <c r="U6495">
        <v>-1.9500730000000001E-2</v>
      </c>
      <c r="V6495">
        <v>-4.8048460000000001E-2</v>
      </c>
      <c r="W6495">
        <v>0.1886186</v>
      </c>
      <c r="X6495">
        <v>0.98087429999999998</v>
      </c>
      <c r="Y6495">
        <v>-4.8078320000000001E-2</v>
      </c>
      <c r="Z6495">
        <v>4.2872079999999998E-3</v>
      </c>
      <c r="AA6495">
        <v>0.99883440000000001</v>
      </c>
      <c r="AB6495">
        <v>36</v>
      </c>
      <c r="AC6495">
        <v>20.165700000000001</v>
      </c>
      <c r="AD6495">
        <v>-1.1108169734417299</v>
      </c>
      <c r="AE6495">
        <v>-0.11955999999999201</v>
      </c>
      <c r="AF6495">
        <v>-0.97770396727977504</v>
      </c>
      <c r="AG6495">
        <v>-1.1108169734417299</v>
      </c>
      <c r="AH6495">
        <v>20.081264996826999</v>
      </c>
      <c r="AI6495">
        <v>93.162413186456007</v>
      </c>
      <c r="AJ6495">
        <v>92.787379716419295</v>
      </c>
      <c r="AK6495">
        <v>20.135715116898901</v>
      </c>
      <c r="AL6495">
        <v>79.127821882358305</v>
      </c>
      <c r="AM6495">
        <v>92.804411489220001</v>
      </c>
      <c r="AN6495">
        <v>1.0000000115874099</v>
      </c>
    </row>
    <row r="6496" spans="1:40" x14ac:dyDescent="0.25">
      <c r="A6496" t="str">
        <f>"20190312172536048"</f>
        <v>20190312172536048</v>
      </c>
      <c r="B6496" t="str">
        <f>"1552382736036448"</f>
        <v>1552382736036448</v>
      </c>
      <c r="C6496" t="s">
        <v>40</v>
      </c>
      <c r="D6496">
        <v>3.6169509999999998</v>
      </c>
      <c r="E6496">
        <v>0.50260470000000002</v>
      </c>
      <c r="F6496" t="s">
        <v>58</v>
      </c>
      <c r="G6496">
        <v>-230.7841</v>
      </c>
      <c r="H6496" s="1">
        <v>3.0163959999999998E-8</v>
      </c>
      <c r="I6496">
        <v>-62.812759999999997</v>
      </c>
      <c r="J6496">
        <v>-250.76050000000001</v>
      </c>
      <c r="K6496">
        <v>1.110892</v>
      </c>
      <c r="L6496">
        <v>-62.720309999999998</v>
      </c>
      <c r="M6496">
        <v>0.99852090000000004</v>
      </c>
      <c r="N6496">
        <v>0</v>
      </c>
      <c r="O6496">
        <v>-5.3771640000000002E-2</v>
      </c>
      <c r="P6496">
        <v>0.98352340000000005</v>
      </c>
      <c r="Q6496">
        <v>0.18071590000000001</v>
      </c>
      <c r="R6496">
        <v>-4.8477959999999997E-3</v>
      </c>
      <c r="S6496">
        <v>3.0816189999999999</v>
      </c>
      <c r="T6496">
        <v>-0.16977049999999999</v>
      </c>
      <c r="U6496">
        <v>-1.5594480000000001E-2</v>
      </c>
      <c r="V6496">
        <v>-4.859426E-2</v>
      </c>
      <c r="W6496">
        <v>0.1884729</v>
      </c>
      <c r="X6496">
        <v>0.98087539999999995</v>
      </c>
      <c r="Y6496">
        <v>-4.8564490000000002E-2</v>
      </c>
      <c r="Z6496">
        <v>4.2957300000000002E-3</v>
      </c>
      <c r="AA6496">
        <v>0.9988108</v>
      </c>
      <c r="AB6496">
        <v>36</v>
      </c>
      <c r="AC6496">
        <v>19.976400000000002</v>
      </c>
      <c r="AD6496">
        <v>-1.11089196983604</v>
      </c>
      <c r="AE6496">
        <v>-9.2449999999999394E-2</v>
      </c>
      <c r="AF6496">
        <v>-0.97885521728036196</v>
      </c>
      <c r="AG6496">
        <v>-1.11089196983604</v>
      </c>
      <c r="AH6496">
        <v>19.890957402588899</v>
      </c>
      <c r="AI6496">
        <v>93.192741037841103</v>
      </c>
      <c r="AJ6496">
        <v>92.817313596534007</v>
      </c>
      <c r="AK6496">
        <v>19.945987689173201</v>
      </c>
      <c r="AL6496">
        <v>79.136322136223498</v>
      </c>
      <c r="AM6496">
        <v>92.836212924541897</v>
      </c>
      <c r="AN6496">
        <v>0.99999999323225797</v>
      </c>
    </row>
    <row r="6497" spans="1:40" x14ac:dyDescent="0.25">
      <c r="A6497" t="str">
        <f>"20190312172536058"</f>
        <v>20190312172536058</v>
      </c>
      <c r="B6497" t="str">
        <f>"1552382736047184"</f>
        <v>1552382736047184</v>
      </c>
      <c r="C6497" t="s">
        <v>40</v>
      </c>
      <c r="D6497">
        <v>3.6352669999999998</v>
      </c>
      <c r="E6497">
        <v>0.5025425</v>
      </c>
      <c r="F6497" t="s">
        <v>58</v>
      </c>
      <c r="G6497">
        <v>-230.73349999999999</v>
      </c>
      <c r="H6497" s="1">
        <v>5.7018379999999997E-8</v>
      </c>
      <c r="I6497">
        <v>-62.793430000000001</v>
      </c>
      <c r="J6497">
        <v>-250.5821</v>
      </c>
      <c r="K6497">
        <v>1.1109599999999999</v>
      </c>
      <c r="L6497">
        <v>-62.729340000000001</v>
      </c>
      <c r="M6497">
        <v>0.99856</v>
      </c>
      <c r="N6497">
        <v>0</v>
      </c>
      <c r="O6497">
        <v>-5.3012280000000002E-2</v>
      </c>
      <c r="P6497">
        <v>0.98352569999999995</v>
      </c>
      <c r="Q6497">
        <v>0.18072750000000001</v>
      </c>
      <c r="R6497">
        <v>-3.8711259999999999E-3</v>
      </c>
      <c r="S6497">
        <v>3.081604</v>
      </c>
      <c r="T6497">
        <v>-0.17093549999999999</v>
      </c>
      <c r="U6497">
        <v>-1.126099E-2</v>
      </c>
      <c r="V6497">
        <v>-4.8847849999999998E-2</v>
      </c>
      <c r="W6497">
        <v>0.1886593</v>
      </c>
      <c r="X6497">
        <v>0.980827</v>
      </c>
      <c r="Y6497">
        <v>-4.9207550000000003E-2</v>
      </c>
      <c r="Z6497">
        <v>4.3010089999999997E-3</v>
      </c>
      <c r="AA6497">
        <v>0.99877930000000004</v>
      </c>
      <c r="AB6497">
        <v>36</v>
      </c>
      <c r="AC6497">
        <v>19.848600000000001</v>
      </c>
      <c r="AD6497">
        <v>-1.1109599429816199</v>
      </c>
      <c r="AE6497">
        <v>-6.4090000000007294E-2</v>
      </c>
      <c r="AF6497">
        <v>-0.98516891009497798</v>
      </c>
      <c r="AG6497">
        <v>-1.1109599429816199</v>
      </c>
      <c r="AH6497">
        <v>19.7621749626541</v>
      </c>
      <c r="AI6497">
        <v>93.213598208363393</v>
      </c>
      <c r="AJ6497">
        <v>92.853903049247094</v>
      </c>
      <c r="AK6497">
        <v>19.817879529124198</v>
      </c>
      <c r="AL6497">
        <v>79.125447448167805</v>
      </c>
      <c r="AM6497">
        <v>92.851129849010306</v>
      </c>
      <c r="AN6497">
        <v>1.0000000239275499</v>
      </c>
    </row>
    <row r="6498" spans="1:40" x14ac:dyDescent="0.25">
      <c r="A6498" t="str">
        <f>"20190312172536070"</f>
        <v>20190312172536070</v>
      </c>
      <c r="B6498" t="str">
        <f>"1552382736066704"</f>
        <v>1552382736066704</v>
      </c>
      <c r="C6498" t="s">
        <v>40</v>
      </c>
      <c r="D6498">
        <v>3.6141100000000002</v>
      </c>
      <c r="E6498">
        <v>0.50243320000000002</v>
      </c>
      <c r="F6498" t="s">
        <v>58</v>
      </c>
      <c r="G6498">
        <v>-230.55709999999999</v>
      </c>
      <c r="H6498" s="1">
        <v>1.36181799999999E-7</v>
      </c>
      <c r="I6498">
        <v>-62.780239999999999</v>
      </c>
      <c r="J6498">
        <v>-250.4162</v>
      </c>
      <c r="K6498">
        <v>1.1110180000000001</v>
      </c>
      <c r="L6498">
        <v>-62.737490000000001</v>
      </c>
      <c r="M6498">
        <v>0.99859710000000002</v>
      </c>
      <c r="N6498">
        <v>0</v>
      </c>
      <c r="O6498">
        <v>-5.2282389999999998E-2</v>
      </c>
      <c r="P6498">
        <v>0.98356399999999999</v>
      </c>
      <c r="Q6498">
        <v>0.1805368</v>
      </c>
      <c r="R6498">
        <v>-2.8933710000000001E-3</v>
      </c>
      <c r="S6498">
        <v>3.0816650000000001</v>
      </c>
      <c r="T6498">
        <v>-0.17096639999999999</v>
      </c>
      <c r="U6498">
        <v>-7.8430180000000002E-3</v>
      </c>
      <c r="V6498">
        <v>-4.9128280000000003E-2</v>
      </c>
      <c r="W6498">
        <v>0.18862889999999999</v>
      </c>
      <c r="X6498">
        <v>0.98081879999999999</v>
      </c>
      <c r="Y6498">
        <v>-4.9585900000000002E-2</v>
      </c>
      <c r="Z6498">
        <v>4.2718010000000004E-3</v>
      </c>
      <c r="AA6498">
        <v>0.99876069999999995</v>
      </c>
      <c r="AB6498">
        <v>36</v>
      </c>
      <c r="AC6498">
        <v>19.859100000000002</v>
      </c>
      <c r="AD6498">
        <v>-1.1110178638182</v>
      </c>
      <c r="AE6498">
        <v>-4.2749999999997998E-2</v>
      </c>
      <c r="AF6498">
        <v>-0.99251980403641704</v>
      </c>
      <c r="AG6498">
        <v>-1.1110178638182</v>
      </c>
      <c r="AH6498">
        <v>19.772288822197201</v>
      </c>
      <c r="AI6498">
        <v>93.212069562855604</v>
      </c>
      <c r="AJ6498">
        <v>92.873693782862205</v>
      </c>
      <c r="AK6498">
        <v>19.828334814691701</v>
      </c>
      <c r="AL6498">
        <v>79.127220646474598</v>
      </c>
      <c r="AM6498">
        <v>92.867494557458897</v>
      </c>
      <c r="AN6498">
        <v>0.99999998412220403</v>
      </c>
    </row>
    <row r="6499" spans="1:40" x14ac:dyDescent="0.25">
      <c r="A6499" t="str">
        <f>"20190312172536081"</f>
        <v>20190312172536081</v>
      </c>
      <c r="B6499" t="str">
        <f>"1552382736076463"</f>
        <v>1552382736076463</v>
      </c>
      <c r="C6499" t="s">
        <v>40</v>
      </c>
      <c r="D6499">
        <v>3.641397</v>
      </c>
      <c r="E6499">
        <v>0.50238079999999996</v>
      </c>
      <c r="F6499" t="s">
        <v>58</v>
      </c>
      <c r="G6499">
        <v>-230.4752</v>
      </c>
      <c r="H6499" s="1">
        <v>1.7591820000000001E-7</v>
      </c>
      <c r="I6499">
        <v>-62.762900000000002</v>
      </c>
      <c r="J6499">
        <v>-250.23050000000001</v>
      </c>
      <c r="K6499">
        <v>1.111081</v>
      </c>
      <c r="L6499">
        <v>-62.746580000000002</v>
      </c>
      <c r="M6499">
        <v>0.99863829999999998</v>
      </c>
      <c r="N6499">
        <v>0</v>
      </c>
      <c r="O6499">
        <v>-5.1458589999999998E-2</v>
      </c>
      <c r="P6499">
        <v>0.98354010000000003</v>
      </c>
      <c r="Q6499">
        <v>0.18068200000000001</v>
      </c>
      <c r="R6499">
        <v>-1.8379920000000001E-3</v>
      </c>
      <c r="S6499">
        <v>3.0816189999999999</v>
      </c>
      <c r="T6499">
        <v>-0.17169309999999999</v>
      </c>
      <c r="U6499">
        <v>-3.9367680000000002E-3</v>
      </c>
      <c r="V6499">
        <v>-4.9393609999999998E-2</v>
      </c>
      <c r="W6499">
        <v>0.18895239999999999</v>
      </c>
      <c r="X6499">
        <v>0.98074320000000004</v>
      </c>
      <c r="Y6499">
        <v>-5.0027299999999997E-2</v>
      </c>
      <c r="Z6499">
        <v>4.2564969999999997E-3</v>
      </c>
      <c r="AA6499">
        <v>0.99873880000000004</v>
      </c>
      <c r="AB6499">
        <v>36</v>
      </c>
      <c r="AC6499">
        <v>19.755299999999998</v>
      </c>
      <c r="AD6499">
        <v>-1.1110808240818</v>
      </c>
      <c r="AE6499">
        <v>-1.63200000000003E-2</v>
      </c>
      <c r="AF6499">
        <v>-0.997164687758614</v>
      </c>
      <c r="AG6499">
        <v>-1.1110808240818</v>
      </c>
      <c r="AH6499">
        <v>19.667752068999501</v>
      </c>
      <c r="AI6499">
        <v>93.229207155321504</v>
      </c>
      <c r="AJ6499">
        <v>92.902438913981399</v>
      </c>
      <c r="AK6499">
        <v>19.724332928131901</v>
      </c>
      <c r="AL6499">
        <v>79.108346014664903</v>
      </c>
      <c r="AM6499">
        <v>92.8831770041444</v>
      </c>
      <c r="AN6499">
        <v>0.99999998126041501</v>
      </c>
    </row>
    <row r="6500" spans="1:40" x14ac:dyDescent="0.25">
      <c r="A6500" t="str">
        <f>"20190312172536094"</f>
        <v>20190312172536094</v>
      </c>
      <c r="B6500" t="str">
        <f>"1552382736087199"</f>
        <v>1552382736087199</v>
      </c>
      <c r="C6500" t="s">
        <v>40</v>
      </c>
      <c r="D6500">
        <v>3.637337</v>
      </c>
      <c r="E6500">
        <v>0.50232529999999997</v>
      </c>
      <c r="F6500" t="s">
        <v>58</v>
      </c>
      <c r="G6500">
        <v>-230.24600000000001</v>
      </c>
      <c r="H6500" s="1">
        <v>2.7831159999999999E-7</v>
      </c>
      <c r="I6500">
        <v>-62.747709999999998</v>
      </c>
      <c r="J6500">
        <v>-250.04050000000001</v>
      </c>
      <c r="K6500">
        <v>1.111137</v>
      </c>
      <c r="L6500">
        <v>-62.755549999999999</v>
      </c>
      <c r="M6500">
        <v>0.99868080000000004</v>
      </c>
      <c r="N6500">
        <v>0</v>
      </c>
      <c r="O6500">
        <v>-5.0591459999999998E-2</v>
      </c>
      <c r="P6500">
        <v>0.98351339999999998</v>
      </c>
      <c r="Q6500">
        <v>0.1808343</v>
      </c>
      <c r="R6500">
        <v>-7.4072649999999999E-4</v>
      </c>
      <c r="S6500">
        <v>3.0816650000000001</v>
      </c>
      <c r="T6500">
        <v>-0.17133119999999999</v>
      </c>
      <c r="U6500">
        <v>-1.8310550000000001E-4</v>
      </c>
      <c r="V6500">
        <v>-4.9654139999999999E-2</v>
      </c>
      <c r="W6500">
        <v>0.18928349999999999</v>
      </c>
      <c r="X6500">
        <v>0.98066620000000004</v>
      </c>
      <c r="Y6500">
        <v>-5.0378180000000002E-2</v>
      </c>
      <c r="Z6500">
        <v>4.2091230000000004E-3</v>
      </c>
      <c r="AA6500">
        <v>0.99872139999999998</v>
      </c>
      <c r="AB6500">
        <v>36</v>
      </c>
      <c r="AC6500">
        <v>19.794499999999999</v>
      </c>
      <c r="AD6500">
        <v>-1.1111367216883901</v>
      </c>
      <c r="AE6500">
        <v>7.84000000000162E-3</v>
      </c>
      <c r="AF6500">
        <v>-1.0061309539185499</v>
      </c>
      <c r="AG6500">
        <v>-1.1111367216883901</v>
      </c>
      <c r="AH6500">
        <v>19.706657874694201</v>
      </c>
      <c r="AI6500">
        <v>93.222949230792196</v>
      </c>
      <c r="AJ6500">
        <v>92.922720191758103</v>
      </c>
      <c r="AK6500">
        <v>19.763584920276099</v>
      </c>
      <c r="AL6500">
        <v>79.089026810362796</v>
      </c>
      <c r="AM6500">
        <v>92.898585843120799</v>
      </c>
      <c r="AN6500">
        <v>0.99999998640691401</v>
      </c>
    </row>
    <row r="6501" spans="1:40" x14ac:dyDescent="0.25">
      <c r="A6501" t="str">
        <f>"20190312172536105"</f>
        <v>20190312172536105</v>
      </c>
      <c r="B6501" t="str">
        <f>"1552382736096959"</f>
        <v>1552382736096959</v>
      </c>
      <c r="C6501" t="s">
        <v>40</v>
      </c>
      <c r="D6501">
        <v>3.6408</v>
      </c>
      <c r="E6501">
        <v>0.50227449999999996</v>
      </c>
      <c r="F6501" t="s">
        <v>58</v>
      </c>
      <c r="G6501">
        <v>-230.0087</v>
      </c>
      <c r="H6501" s="1">
        <v>3.8425890000000001E-7</v>
      </c>
      <c r="I6501">
        <v>-62.732089999999999</v>
      </c>
      <c r="J6501">
        <v>-249.8458</v>
      </c>
      <c r="K6501">
        <v>1.111191</v>
      </c>
      <c r="L6501">
        <v>-62.764679999999998</v>
      </c>
      <c r="M6501">
        <v>0.99872419999999995</v>
      </c>
      <c r="N6501">
        <v>0</v>
      </c>
      <c r="O6501">
        <v>-4.9697650000000003E-2</v>
      </c>
      <c r="P6501">
        <v>0.98349640000000005</v>
      </c>
      <c r="Q6501">
        <v>0.18092800000000001</v>
      </c>
      <c r="R6501">
        <v>4.197685E-4</v>
      </c>
      <c r="S6501">
        <v>3.0817410000000001</v>
      </c>
      <c r="T6501">
        <v>-0.17094029999999999</v>
      </c>
      <c r="U6501">
        <v>3.6010740000000001E-3</v>
      </c>
      <c r="V6501">
        <v>-4.9951170000000003E-2</v>
      </c>
      <c r="W6501">
        <v>0.18955830000000001</v>
      </c>
      <c r="X6501">
        <v>0.98059799999999997</v>
      </c>
      <c r="Y6501">
        <v>-5.071237E-2</v>
      </c>
      <c r="Z6501">
        <v>4.1592199999999999E-3</v>
      </c>
      <c r="AA6501">
        <v>0.99870460000000005</v>
      </c>
      <c r="AB6501">
        <v>36</v>
      </c>
      <c r="AC6501">
        <v>19.8370999999999</v>
      </c>
      <c r="AD6501">
        <v>-1.1111906157411</v>
      </c>
      <c r="AE6501">
        <v>3.25900000000061E-2</v>
      </c>
      <c r="AF6501">
        <v>-1.0152608283325499</v>
      </c>
      <c r="AG6501">
        <v>-1.1111906157411</v>
      </c>
      <c r="AH6501">
        <v>19.748998186128301</v>
      </c>
      <c r="AI6501">
        <v>93.216151798220494</v>
      </c>
      <c r="AJ6501">
        <v>92.942883329779093</v>
      </c>
      <c r="AK6501">
        <v>19.806272453184</v>
      </c>
      <c r="AL6501">
        <v>79.0729912596356</v>
      </c>
      <c r="AM6501">
        <v>92.916097735333395</v>
      </c>
      <c r="AN6501">
        <v>0.99999995304362799</v>
      </c>
    </row>
    <row r="6502" spans="1:40" x14ac:dyDescent="0.25">
      <c r="A6502" t="str">
        <f>"20190312172536119"</f>
        <v>20190312172536119</v>
      </c>
      <c r="B6502" t="str">
        <f>"1552382736106719"</f>
        <v>1552382736106719</v>
      </c>
      <c r="C6502" t="s">
        <v>40</v>
      </c>
      <c r="D6502">
        <v>3.6600619999999999</v>
      </c>
      <c r="E6502">
        <v>0.50223240000000002</v>
      </c>
      <c r="F6502" t="s">
        <v>59</v>
      </c>
      <c r="G6502">
        <v>-229.79050000000001</v>
      </c>
      <c r="H6502" s="1">
        <v>-3.652057E-6</v>
      </c>
      <c r="I6502">
        <v>-62.71463</v>
      </c>
      <c r="J6502">
        <v>-249.62280000000001</v>
      </c>
      <c r="K6502">
        <v>1.1112439999999999</v>
      </c>
      <c r="L6502">
        <v>-62.7748699999999</v>
      </c>
      <c r="M6502">
        <v>0.99877309999999997</v>
      </c>
      <c r="N6502">
        <v>0</v>
      </c>
      <c r="O6502">
        <v>-4.866098E-2</v>
      </c>
      <c r="P6502">
        <v>0.98344989999999999</v>
      </c>
      <c r="Q6502">
        <v>0.181174</v>
      </c>
      <c r="R6502">
        <v>1.409839E-3</v>
      </c>
      <c r="S6502">
        <v>3.081772</v>
      </c>
      <c r="T6502">
        <v>-0.1707506</v>
      </c>
      <c r="U6502">
        <v>7.6904299999999998E-3</v>
      </c>
      <c r="V6502">
        <v>-4.9936019999999998E-2</v>
      </c>
      <c r="W6502">
        <v>0.19000729999999999</v>
      </c>
      <c r="X6502">
        <v>0.98051189999999999</v>
      </c>
      <c r="Y6502">
        <v>-5.1002560000000002E-2</v>
      </c>
      <c r="Z6502">
        <v>4.105282E-3</v>
      </c>
      <c r="AA6502">
        <v>0.99869010000000003</v>
      </c>
      <c r="AB6502">
        <v>36</v>
      </c>
      <c r="AC6502">
        <v>19.8323</v>
      </c>
      <c r="AD6502">
        <v>-1.111247652057</v>
      </c>
      <c r="AE6502">
        <v>6.0239999999985999E-2</v>
      </c>
      <c r="AF6502">
        <v>-1.02205967634985</v>
      </c>
      <c r="AG6502">
        <v>-1.111247652057</v>
      </c>
      <c r="AH6502">
        <v>19.743884772530102</v>
      </c>
      <c r="AI6502">
        <v>93.217088691921703</v>
      </c>
      <c r="AJ6502">
        <v>92.963321700083497</v>
      </c>
      <c r="AK6502">
        <v>19.801526790557599</v>
      </c>
      <c r="AL6502">
        <v>79.046789593816399</v>
      </c>
      <c r="AM6502">
        <v>92.915470366934201</v>
      </c>
      <c r="AN6502">
        <v>0.99999998309417004</v>
      </c>
    </row>
    <row r="6503" spans="1:40" x14ac:dyDescent="0.25">
      <c r="A6503" t="str">
        <f>"20190312172536132"</f>
        <v>20190312172536132</v>
      </c>
      <c r="B6503" t="str">
        <f>"1552382736127216"</f>
        <v>1552382736127216</v>
      </c>
      <c r="C6503" t="s">
        <v>40</v>
      </c>
      <c r="D6503">
        <v>3.657098</v>
      </c>
      <c r="E6503">
        <v>0.50216470000000002</v>
      </c>
      <c r="F6503" t="s">
        <v>59</v>
      </c>
      <c r="G6503">
        <v>-229.4853</v>
      </c>
      <c r="H6503" s="1">
        <v>-3.5463529999999998E-6</v>
      </c>
      <c r="I6503">
        <v>-62.700890000000001</v>
      </c>
      <c r="J6503">
        <v>-249.43709999999999</v>
      </c>
      <c r="K6503">
        <v>1.1112799999999901</v>
      </c>
      <c r="L6503">
        <v>-62.783140000000003</v>
      </c>
      <c r="M6503">
        <v>0.99881370000000003</v>
      </c>
      <c r="N6503">
        <v>0</v>
      </c>
      <c r="O6503">
        <v>-4.7789270000000002E-2</v>
      </c>
      <c r="P6503">
        <v>0.98339909999999997</v>
      </c>
      <c r="Q6503">
        <v>0.1814366</v>
      </c>
      <c r="R6503">
        <v>2.6474889999999998E-3</v>
      </c>
      <c r="S6503">
        <v>3.0818020000000002</v>
      </c>
      <c r="T6503">
        <v>-0.17006289999999999</v>
      </c>
      <c r="U6503">
        <v>1.132202E-2</v>
      </c>
      <c r="V6503">
        <v>-5.0324550000000003E-2</v>
      </c>
      <c r="W6503">
        <v>0.1904305</v>
      </c>
      <c r="X6503">
        <v>0.98040989999999995</v>
      </c>
      <c r="Y6503">
        <v>-5.130991E-2</v>
      </c>
      <c r="Z6503">
        <v>4.0491930000000004E-3</v>
      </c>
      <c r="AA6503">
        <v>0.99867459999999997</v>
      </c>
      <c r="AB6503">
        <v>36</v>
      </c>
      <c r="AC6503">
        <v>19.951799999999899</v>
      </c>
      <c r="AD6503">
        <v>-1.11128354635299</v>
      </c>
      <c r="AE6503">
        <v>8.2250000000001905E-2</v>
      </c>
      <c r="AF6503">
        <v>-1.03247662185483</v>
      </c>
      <c r="AG6503">
        <v>-1.11128354635299</v>
      </c>
      <c r="AH6503">
        <v>19.863449452426401</v>
      </c>
      <c r="AI6503">
        <v>93.197832218705003</v>
      </c>
      <c r="AJ6503">
        <v>92.975483340992099</v>
      </c>
      <c r="AK6503">
        <v>19.9212846785585</v>
      </c>
      <c r="AL6503">
        <v>79.022090741090494</v>
      </c>
      <c r="AM6503">
        <v>92.938419894788098</v>
      </c>
      <c r="AN6503">
        <v>0.99999995384048002</v>
      </c>
    </row>
    <row r="6504" spans="1:40" x14ac:dyDescent="0.25">
      <c r="A6504" t="str">
        <f>"20190312172536143"</f>
        <v>20190312172536143</v>
      </c>
      <c r="B6504" t="str">
        <f>"1552382736136976"</f>
        <v>1552382736136976</v>
      </c>
      <c r="C6504" t="s">
        <v>40</v>
      </c>
      <c r="D6504">
        <v>3.6487970000000001</v>
      </c>
      <c r="E6504">
        <v>0.50212489999999999</v>
      </c>
      <c r="F6504" t="s">
        <v>59</v>
      </c>
      <c r="G6504">
        <v>-229.23390000000001</v>
      </c>
      <c r="H6504" s="1">
        <v>-3.4577879999999998E-6</v>
      </c>
      <c r="I6504">
        <v>-62.678510000000003</v>
      </c>
      <c r="J6504">
        <v>-249.24189999999999</v>
      </c>
      <c r="K6504">
        <v>1.1113150000000001</v>
      </c>
      <c r="L6504">
        <v>-62.79175</v>
      </c>
      <c r="M6504">
        <v>0.99885559999999995</v>
      </c>
      <c r="N6504">
        <v>0</v>
      </c>
      <c r="O6504">
        <v>-4.6870620000000002E-2</v>
      </c>
      <c r="P6504">
        <v>0.98336159999999995</v>
      </c>
      <c r="Q6504">
        <v>0.1816199</v>
      </c>
      <c r="R6504">
        <v>3.7351870000000001E-3</v>
      </c>
      <c r="S6504">
        <v>3.0818789999999998</v>
      </c>
      <c r="T6504">
        <v>-0.16951949999999999</v>
      </c>
      <c r="U6504">
        <v>1.596069E-2</v>
      </c>
      <c r="V6504">
        <v>-5.0517399999999997E-2</v>
      </c>
      <c r="W6504">
        <v>0.1907797</v>
      </c>
      <c r="X6504">
        <v>0.98033210000000004</v>
      </c>
      <c r="Y6504">
        <v>-5.189597E-2</v>
      </c>
      <c r="Z6504">
        <v>4.0018400000000004E-3</v>
      </c>
      <c r="AA6504">
        <v>0.99864450000000005</v>
      </c>
      <c r="AB6504">
        <v>36</v>
      </c>
      <c r="AC6504">
        <v>20.0079999999999</v>
      </c>
      <c r="AD6504">
        <v>-1.111318457788</v>
      </c>
      <c r="AE6504">
        <v>0.113240000000004</v>
      </c>
      <c r="AF6504">
        <v>-1.0477132007511401</v>
      </c>
      <c r="AG6504">
        <v>-1.111318457788</v>
      </c>
      <c r="AH6504">
        <v>19.9192497421129</v>
      </c>
      <c r="AI6504">
        <v>93.188889767325307</v>
      </c>
      <c r="AJ6504">
        <v>93.010870325876596</v>
      </c>
      <c r="AK6504">
        <v>19.977718637379802</v>
      </c>
      <c r="AL6504">
        <v>79.001709511184799</v>
      </c>
      <c r="AM6504">
        <v>92.949894115867096</v>
      </c>
      <c r="AN6504">
        <v>0.99999996396262902</v>
      </c>
    </row>
    <row r="6505" spans="1:40" x14ac:dyDescent="0.25">
      <c r="A6505" t="str">
        <f>"20190312172536154"</f>
        <v>20190312172536154</v>
      </c>
      <c r="B6505" t="str">
        <f>"1552382736146735"</f>
        <v>1552382736146735</v>
      </c>
      <c r="C6505" t="s">
        <v>40</v>
      </c>
      <c r="D6505">
        <v>3.6330770000000001</v>
      </c>
      <c r="E6505">
        <v>0.50208920000000001</v>
      </c>
      <c r="F6505" t="s">
        <v>59</v>
      </c>
      <c r="G6505">
        <v>-228.98390000000001</v>
      </c>
      <c r="H6505" s="1">
        <v>-3.370423E-6</v>
      </c>
      <c r="I6505">
        <v>-62.661160000000002</v>
      </c>
      <c r="J6505">
        <v>-249.06370000000001</v>
      </c>
      <c r="K6505">
        <v>1.1113420000000001</v>
      </c>
      <c r="L6505">
        <v>-62.799349999999997</v>
      </c>
      <c r="M6505">
        <v>0.99889349999999999</v>
      </c>
      <c r="N6505">
        <v>0</v>
      </c>
      <c r="O6505">
        <v>-4.6028230000000003E-2</v>
      </c>
      <c r="P6505">
        <v>0.98341040000000002</v>
      </c>
      <c r="Q6505">
        <v>0.181334</v>
      </c>
      <c r="R6505">
        <v>4.7219779999999999E-3</v>
      </c>
      <c r="S6505">
        <v>3.0818940000000001</v>
      </c>
      <c r="T6505">
        <v>-0.1690681</v>
      </c>
      <c r="U6505">
        <v>1.986694E-2</v>
      </c>
      <c r="V6505">
        <v>-5.0684319999999998E-2</v>
      </c>
      <c r="W6505">
        <v>0.19063649999999999</v>
      </c>
      <c r="X6505">
        <v>0.98035139999999998</v>
      </c>
      <c r="Y6505">
        <v>-5.2320949999999998E-2</v>
      </c>
      <c r="Z6505">
        <v>3.9566899999999997E-3</v>
      </c>
      <c r="AA6505">
        <v>0.99862249999999997</v>
      </c>
      <c r="AB6505">
        <v>36</v>
      </c>
      <c r="AC6505">
        <v>20.079799999999999</v>
      </c>
      <c r="AD6505">
        <v>-1.1113453704230001</v>
      </c>
      <c r="AE6505">
        <v>0.13819000000000101</v>
      </c>
      <c r="AF6505">
        <v>-1.0590801886902601</v>
      </c>
      <c r="AG6505">
        <v>-1.1113453704230001</v>
      </c>
      <c r="AH6505">
        <v>19.990921438622301</v>
      </c>
      <c r="AI6505">
        <v>93.177493743073995</v>
      </c>
      <c r="AJ6505">
        <v>93.032584072284806</v>
      </c>
      <c r="AK6505">
        <v>20.0497800322998</v>
      </c>
      <c r="AL6505">
        <v>79.010068305788096</v>
      </c>
      <c r="AM6505">
        <v>92.959565717027303</v>
      </c>
      <c r="AN6505">
        <v>1.0000000214540301</v>
      </c>
    </row>
    <row r="6506" spans="1:40" x14ac:dyDescent="0.25">
      <c r="A6506" t="str">
        <f>"20190312172536164"</f>
        <v>20190312172536164</v>
      </c>
      <c r="B6506" t="str">
        <f>"1552382736156495"</f>
        <v>1552382736156495</v>
      </c>
      <c r="C6506" t="s">
        <v>40</v>
      </c>
      <c r="D6506">
        <v>3.6597390000000001</v>
      </c>
      <c r="E6506">
        <v>0.50206320000000004</v>
      </c>
      <c r="F6506" t="s">
        <v>59</v>
      </c>
      <c r="G6506">
        <v>-228.92869999999999</v>
      </c>
      <c r="H6506" s="1">
        <v>-3.3494289999999998E-6</v>
      </c>
      <c r="I6506">
        <v>-62.644629999999999</v>
      </c>
      <c r="J6506">
        <v>-248.9085</v>
      </c>
      <c r="K6506">
        <v>1.111364</v>
      </c>
      <c r="L6506">
        <v>-62.805909999999997</v>
      </c>
      <c r="M6506">
        <v>0.99892579999999997</v>
      </c>
      <c r="N6506">
        <v>0</v>
      </c>
      <c r="O6506">
        <v>-4.5293819999999999E-2</v>
      </c>
      <c r="P6506">
        <v>0.98349509999999996</v>
      </c>
      <c r="Q6506">
        <v>0.18084169999999999</v>
      </c>
      <c r="R6506">
        <v>5.8126509999999899E-3</v>
      </c>
      <c r="S6506">
        <v>3.0818629999999998</v>
      </c>
      <c r="T6506">
        <v>-0.17010320000000001</v>
      </c>
      <c r="U6506">
        <v>2.368164E-2</v>
      </c>
      <c r="V6506">
        <v>-5.106016E-2</v>
      </c>
      <c r="W6506">
        <v>0.1902652</v>
      </c>
      <c r="X6506">
        <v>0.98040400000000005</v>
      </c>
      <c r="Y6506">
        <v>-5.2821409999999999E-2</v>
      </c>
      <c r="Z6506">
        <v>3.9542429999999996E-3</v>
      </c>
      <c r="AA6506">
        <v>0.99859609999999999</v>
      </c>
      <c r="AB6506">
        <v>36</v>
      </c>
      <c r="AC6506">
        <v>19.979800000000001</v>
      </c>
      <c r="AD6506">
        <v>-1.111367349429</v>
      </c>
      <c r="AE6506">
        <v>0.16127999999998999</v>
      </c>
      <c r="AF6506">
        <v>-1.06283096061986</v>
      </c>
      <c r="AG6506">
        <v>-1.111367349429</v>
      </c>
      <c r="AH6506">
        <v>19.890448760156399</v>
      </c>
      <c r="AI6506">
        <v>93.193496981532604</v>
      </c>
      <c r="AJ6506">
        <v>93.058647461615195</v>
      </c>
      <c r="AK6506">
        <v>19.949804483168201</v>
      </c>
      <c r="AL6506">
        <v>79.031738573937801</v>
      </c>
      <c r="AM6506">
        <v>92.981312695739206</v>
      </c>
      <c r="AN6506">
        <v>0.99999999474313195</v>
      </c>
    </row>
    <row r="6507" spans="1:40" x14ac:dyDescent="0.25">
      <c r="A6507" t="str">
        <f>"20190312172536174"</f>
        <v>20190312172536174</v>
      </c>
      <c r="B6507" t="str">
        <f>"1552382736167231"</f>
        <v>1552382736167231</v>
      </c>
      <c r="C6507" t="s">
        <v>40</v>
      </c>
      <c r="D6507">
        <v>3.673724</v>
      </c>
      <c r="E6507">
        <v>0.50204150000000003</v>
      </c>
      <c r="F6507" t="s">
        <v>59</v>
      </c>
      <c r="G6507">
        <v>-228.97399999999999</v>
      </c>
      <c r="H6507" s="1">
        <v>-3.3627200000000001E-6</v>
      </c>
      <c r="I6507">
        <v>-62.628839999999997</v>
      </c>
      <c r="J6507">
        <v>-248.74619999999999</v>
      </c>
      <c r="K6507">
        <v>1.1113820000000001</v>
      </c>
      <c r="L6507">
        <v>-62.812559999999998</v>
      </c>
      <c r="M6507">
        <v>0.99895909999999999</v>
      </c>
      <c r="N6507">
        <v>0</v>
      </c>
      <c r="O6507">
        <v>-4.452532E-2</v>
      </c>
      <c r="P6507">
        <v>0.9835661</v>
      </c>
      <c r="Q6507">
        <v>0.1804193</v>
      </c>
      <c r="R6507">
        <v>6.8580169999999897E-3</v>
      </c>
      <c r="S6507">
        <v>3.0817869999999998</v>
      </c>
      <c r="T6507">
        <v>-0.17181279999999999</v>
      </c>
      <c r="U6507">
        <v>2.7374269999999999E-2</v>
      </c>
      <c r="V6507">
        <v>-5.1356369999999998E-2</v>
      </c>
      <c r="W6507">
        <v>0.1899614</v>
      </c>
      <c r="X6507">
        <v>0.98044750000000003</v>
      </c>
      <c r="Y6507">
        <v>-5.3247379999999997E-2</v>
      </c>
      <c r="Z6507">
        <v>3.9631040000000003E-3</v>
      </c>
      <c r="AA6507">
        <v>0.9985735</v>
      </c>
      <c r="AB6507">
        <v>36</v>
      </c>
      <c r="AC6507">
        <v>19.772199999999899</v>
      </c>
      <c r="AD6507">
        <v>-1.1113853627200001</v>
      </c>
      <c r="AE6507">
        <v>0.183719999999993</v>
      </c>
      <c r="AF6507">
        <v>-1.0605938807539399</v>
      </c>
      <c r="AG6507">
        <v>-1.1113853627200001</v>
      </c>
      <c r="AH6507">
        <v>19.682227749339201</v>
      </c>
      <c r="AI6507">
        <v>93.2271847668286</v>
      </c>
      <c r="AJ6507">
        <v>93.084449562067604</v>
      </c>
      <c r="AK6507">
        <v>19.742090213075699</v>
      </c>
      <c r="AL6507">
        <v>79.049469056133205</v>
      </c>
      <c r="AM6507">
        <v>92.998443606283104</v>
      </c>
      <c r="AN6507">
        <v>1.00000005524289</v>
      </c>
    </row>
    <row r="6508" spans="1:40" x14ac:dyDescent="0.25">
      <c r="A6508" t="str">
        <f>"20190312172536183"</f>
        <v>20190312172536183</v>
      </c>
      <c r="B6508" t="str">
        <f>"1552382736176991"</f>
        <v>1552382736176991</v>
      </c>
      <c r="C6508" t="s">
        <v>40</v>
      </c>
      <c r="D6508">
        <v>3.671878</v>
      </c>
      <c r="E6508">
        <v>0.50203999999999904</v>
      </c>
      <c r="F6508" t="s">
        <v>59</v>
      </c>
      <c r="G6508">
        <v>-228.97720000000001</v>
      </c>
      <c r="H6508" s="1">
        <v>-3.3620230000000002E-6</v>
      </c>
      <c r="I6508">
        <v>-62.615419999999901</v>
      </c>
      <c r="J6508">
        <v>-248.60140000000001</v>
      </c>
      <c r="K6508">
        <v>1.1113949999999999</v>
      </c>
      <c r="L6508">
        <v>-62.818510000000003</v>
      </c>
      <c r="M6508">
        <v>0.9989884</v>
      </c>
      <c r="N6508">
        <v>0</v>
      </c>
      <c r="O6508">
        <v>-4.3839410000000002E-2</v>
      </c>
      <c r="P6508">
        <v>0.98370360000000001</v>
      </c>
      <c r="Q6508">
        <v>0.17961440000000001</v>
      </c>
      <c r="R6508">
        <v>8.1475669999999997E-3</v>
      </c>
      <c r="S6508">
        <v>3.081696</v>
      </c>
      <c r="T6508">
        <v>-0.1732484</v>
      </c>
      <c r="U6508">
        <v>3.07312E-2</v>
      </c>
      <c r="V6508">
        <v>-5.1978299999999998E-2</v>
      </c>
      <c r="W6508">
        <v>0.18925910000000001</v>
      </c>
      <c r="X6508">
        <v>0.98055049999999999</v>
      </c>
      <c r="Y6508">
        <v>-5.364762E-2</v>
      </c>
      <c r="Z6508">
        <v>3.9690159999999997E-3</v>
      </c>
      <c r="AA6508">
        <v>0.998552</v>
      </c>
      <c r="AB6508">
        <v>36</v>
      </c>
      <c r="AC6508">
        <v>19.624199999999998</v>
      </c>
      <c r="AD6508">
        <v>-1.1113983620229999</v>
      </c>
      <c r="AE6508">
        <v>0.20309000000000299</v>
      </c>
      <c r="AF6508">
        <v>-1.0598521929984499</v>
      </c>
      <c r="AG6508">
        <v>-1.1113983620229999</v>
      </c>
      <c r="AH6508">
        <v>19.533781135778501</v>
      </c>
      <c r="AI6508">
        <v>93.251630227548901</v>
      </c>
      <c r="AJ6508">
        <v>93.105674901099107</v>
      </c>
      <c r="AK6508">
        <v>19.594057733165101</v>
      </c>
      <c r="AL6508">
        <v>79.090450897891202</v>
      </c>
      <c r="AM6508">
        <v>93.034369368650701</v>
      </c>
      <c r="AN6508">
        <v>1.00000001682697</v>
      </c>
    </row>
    <row r="6509" spans="1:40" x14ac:dyDescent="0.25">
      <c r="A6509" t="str">
        <f>"20190312172536192"</f>
        <v>20190312172536192</v>
      </c>
      <c r="B6509" t="str">
        <f>"1552382736186751"</f>
        <v>1552382736186751</v>
      </c>
      <c r="C6509" t="s">
        <v>40</v>
      </c>
      <c r="D6509">
        <v>3.816757</v>
      </c>
      <c r="E6509">
        <v>0.50200020000000001</v>
      </c>
      <c r="F6509" t="s">
        <v>59</v>
      </c>
      <c r="G6509">
        <v>-229.1525</v>
      </c>
      <c r="H6509" s="1">
        <v>-3.4197629999999999E-6</v>
      </c>
      <c r="I6509">
        <v>-62.601059999999997</v>
      </c>
      <c r="J6509">
        <v>-248.45150000000001</v>
      </c>
      <c r="K6509">
        <v>1.1114029999999999</v>
      </c>
      <c r="L6509">
        <v>-62.82443</v>
      </c>
      <c r="M6509">
        <v>0.99901819999999997</v>
      </c>
      <c r="N6509">
        <v>0</v>
      </c>
      <c r="O6509">
        <v>-4.312941E-2</v>
      </c>
      <c r="P6509">
        <v>0.98384609999999995</v>
      </c>
      <c r="Q6509">
        <v>0.17877489999999999</v>
      </c>
      <c r="R6509">
        <v>9.3144850000000008E-3</v>
      </c>
      <c r="S6509">
        <v>3.0815579999999998</v>
      </c>
      <c r="T6509">
        <v>-0.17609449999999999</v>
      </c>
      <c r="U6509">
        <v>3.4454350000000002E-2</v>
      </c>
      <c r="V6509">
        <v>-5.2453470000000002E-2</v>
      </c>
      <c r="W6509">
        <v>0.1885183</v>
      </c>
      <c r="X6509">
        <v>0.98066790000000004</v>
      </c>
      <c r="Y6509">
        <v>-5.4139989999999999E-2</v>
      </c>
      <c r="Z6509">
        <v>4.0078270000000003E-3</v>
      </c>
      <c r="AA6509">
        <v>0.99852529999999995</v>
      </c>
      <c r="AB6509">
        <v>36</v>
      </c>
      <c r="AC6509">
        <v>19.298999999999999</v>
      </c>
      <c r="AD6509">
        <v>-1.111406419763</v>
      </c>
      <c r="AE6509">
        <v>0.22337000000000901</v>
      </c>
      <c r="AF6509">
        <v>-1.05207057837944</v>
      </c>
      <c r="AG6509">
        <v>-1.111406419763</v>
      </c>
      <c r="AH6509">
        <v>19.2077127268903</v>
      </c>
      <c r="AI6509">
        <v>93.306639535866296</v>
      </c>
      <c r="AJ6509">
        <v>93.135148439387805</v>
      </c>
      <c r="AK6509">
        <v>19.268583365948999</v>
      </c>
      <c r="AL6509">
        <v>79.133673754769603</v>
      </c>
      <c r="AM6509">
        <v>93.061690237268493</v>
      </c>
      <c r="AN6509">
        <v>1.00000002302017</v>
      </c>
    </row>
    <row r="6510" spans="1:40" x14ac:dyDescent="0.25">
      <c r="A6510" t="str">
        <f>"20190312172536204"</f>
        <v>20190312172536204</v>
      </c>
      <c r="B6510" t="str">
        <f>"1552382736196512"</f>
        <v>1552382736196512</v>
      </c>
      <c r="C6510" t="s">
        <v>40</v>
      </c>
      <c r="D6510">
        <v>3.8439510000000001</v>
      </c>
      <c r="E6510">
        <v>0.50197119999999995</v>
      </c>
      <c r="F6510" t="s">
        <v>59</v>
      </c>
      <c r="G6510">
        <v>-229.32130000000001</v>
      </c>
      <c r="H6510" s="1">
        <v>-3.4754779999999998E-6</v>
      </c>
      <c r="I6510">
        <v>-62.588180000000001</v>
      </c>
      <c r="J6510">
        <v>-248.262</v>
      </c>
      <c r="K6510">
        <v>1.111418</v>
      </c>
      <c r="L6510">
        <v>-62.831850000000003</v>
      </c>
      <c r="M6510">
        <v>0.99905529999999998</v>
      </c>
      <c r="N6510">
        <v>0</v>
      </c>
      <c r="O6510">
        <v>-4.2233279999999998E-2</v>
      </c>
      <c r="P6510">
        <v>0.98389490000000002</v>
      </c>
      <c r="Q6510">
        <v>0.1784338</v>
      </c>
      <c r="R6510">
        <v>1.059946E-2</v>
      </c>
      <c r="S6510">
        <v>3.0814360000000001</v>
      </c>
      <c r="T6510">
        <v>-0.1790226</v>
      </c>
      <c r="U6510">
        <v>3.805542E-2</v>
      </c>
      <c r="V6510">
        <v>-5.2861159999999997E-2</v>
      </c>
      <c r="W6510">
        <v>0.1882992</v>
      </c>
      <c r="X6510">
        <v>0.98068809999999995</v>
      </c>
      <c r="Y6510">
        <v>-5.4407289999999997E-2</v>
      </c>
      <c r="Z6510">
        <v>4.0302749999999998E-3</v>
      </c>
      <c r="AA6510">
        <v>0.99851069999999997</v>
      </c>
      <c r="AB6510">
        <v>36</v>
      </c>
      <c r="AC6510">
        <v>18.9407</v>
      </c>
      <c r="AD6510">
        <v>-1.1114214754780001</v>
      </c>
      <c r="AE6510">
        <v>0.243670000000001</v>
      </c>
      <c r="AF6510">
        <v>-1.0398425778402101</v>
      </c>
      <c r="AG6510">
        <v>-1.1114214754780001</v>
      </c>
      <c r="AH6510">
        <v>18.848618065333199</v>
      </c>
      <c r="AI6510">
        <v>93.369465029173796</v>
      </c>
      <c r="AJ6510">
        <v>93.157698782990295</v>
      </c>
      <c r="AK6510">
        <v>18.909969150044802</v>
      </c>
      <c r="AL6510">
        <v>79.146456153386197</v>
      </c>
      <c r="AM6510">
        <v>93.085377723315901</v>
      </c>
      <c r="AN6510">
        <v>1.0000000202193899</v>
      </c>
    </row>
    <row r="6511" spans="1:40" x14ac:dyDescent="0.25">
      <c r="A6511" t="str">
        <f>"20190312172536215"</f>
        <v>20190312172536215</v>
      </c>
      <c r="B6511" t="str">
        <f>"1552382736207247"</f>
        <v>1552382736207247</v>
      </c>
      <c r="C6511" t="s">
        <v>40</v>
      </c>
      <c r="D6511">
        <v>3.580222</v>
      </c>
      <c r="E6511">
        <v>0.50197119999999995</v>
      </c>
      <c r="F6511" t="s">
        <v>59</v>
      </c>
      <c r="G6511">
        <v>-229.18350000000001</v>
      </c>
      <c r="H6511" s="1">
        <v>-3.4263160000000001E-6</v>
      </c>
      <c r="I6511">
        <v>-62.571269999999998</v>
      </c>
      <c r="J6511">
        <v>-248.09119999999999</v>
      </c>
      <c r="K6511">
        <v>1.1114329999999999</v>
      </c>
      <c r="L6511">
        <v>-62.838349999999998</v>
      </c>
      <c r="M6511">
        <v>0.99908790000000003</v>
      </c>
      <c r="N6511">
        <v>0</v>
      </c>
      <c r="O6511">
        <v>-4.1424969999999998E-2</v>
      </c>
      <c r="P6511">
        <v>0.98399530000000002</v>
      </c>
      <c r="Q6511">
        <v>0.17781040000000001</v>
      </c>
      <c r="R6511">
        <v>1.168985E-2</v>
      </c>
      <c r="S6511">
        <v>3.081207</v>
      </c>
      <c r="T6511">
        <v>-0.17949590000000001</v>
      </c>
      <c r="U6511">
        <v>4.2083740000000001E-2</v>
      </c>
      <c r="V6511">
        <v>-5.3161149999999997E-2</v>
      </c>
      <c r="W6511">
        <v>0.18777940000000001</v>
      </c>
      <c r="X6511">
        <v>0.98077150000000002</v>
      </c>
      <c r="Y6511">
        <v>-5.4905250000000003E-2</v>
      </c>
      <c r="Z6511">
        <v>4.0086649999999998E-3</v>
      </c>
      <c r="AA6511">
        <v>0.99848349999999997</v>
      </c>
      <c r="AB6511">
        <v>36</v>
      </c>
      <c r="AC6511">
        <v>18.907699999999899</v>
      </c>
      <c r="AD6511">
        <v>-1.1114364263159999</v>
      </c>
      <c r="AE6511">
        <v>0.26707999999999998</v>
      </c>
      <c r="AF6511">
        <v>-1.04652826586908</v>
      </c>
      <c r="AG6511">
        <v>-1.1114364263159999</v>
      </c>
      <c r="AH6511">
        <v>18.815403039938701</v>
      </c>
      <c r="AI6511">
        <v>93.375360545875296</v>
      </c>
      <c r="AJ6511">
        <v>93.183558342595504</v>
      </c>
      <c r="AK6511">
        <v>18.877232421526799</v>
      </c>
      <c r="AL6511">
        <v>79.176778904362905</v>
      </c>
      <c r="AM6511">
        <v>93.102589958009901</v>
      </c>
      <c r="AN6511">
        <v>0.99999997307296495</v>
      </c>
    </row>
    <row r="6512" spans="1:40" x14ac:dyDescent="0.25">
      <c r="A6512" t="str">
        <f>"20190312172536226"</f>
        <v>20190312172536226</v>
      </c>
      <c r="B6512" t="str">
        <f>"1552382736217007"</f>
        <v>1552382736217007</v>
      </c>
      <c r="C6512" t="s">
        <v>40</v>
      </c>
      <c r="D6512">
        <v>2.9331399999999999</v>
      </c>
      <c r="E6512">
        <v>0.5017914</v>
      </c>
      <c r="F6512" t="s">
        <v>59</v>
      </c>
      <c r="G6512">
        <v>-229.21850000000001</v>
      </c>
      <c r="H6512" s="1">
        <v>-3.436714E-6</v>
      </c>
      <c r="I6512">
        <v>-62.560009999999998</v>
      </c>
      <c r="J6512">
        <v>-247.91550000000001</v>
      </c>
      <c r="K6512">
        <v>1.1114470000000001</v>
      </c>
      <c r="L6512">
        <v>-62.844909999999999</v>
      </c>
      <c r="M6512">
        <v>0.99912100000000004</v>
      </c>
      <c r="N6512">
        <v>0</v>
      </c>
      <c r="O6512">
        <v>-4.0594610000000003E-2</v>
      </c>
      <c r="P6512">
        <v>0.98399499999999995</v>
      </c>
      <c r="Q6512">
        <v>0.17772669999999999</v>
      </c>
      <c r="R6512">
        <v>1.2929970000000001E-2</v>
      </c>
      <c r="S6512">
        <v>3.0810390000000001</v>
      </c>
      <c r="T6512">
        <v>-0.1814463</v>
      </c>
      <c r="U6512">
        <v>4.5440670000000002E-2</v>
      </c>
      <c r="V6512">
        <v>-5.3587009999999997E-2</v>
      </c>
      <c r="W6512">
        <v>0.18779670000000001</v>
      </c>
      <c r="X6512">
        <v>0.98074499999999998</v>
      </c>
      <c r="Y6512">
        <v>-5.5161269999999998E-2</v>
      </c>
      <c r="Z6512">
        <v>4.0110509999999999E-3</v>
      </c>
      <c r="AA6512">
        <v>0.99846939999999995</v>
      </c>
      <c r="AB6512">
        <v>36</v>
      </c>
      <c r="AC6512">
        <v>18.696999999999999</v>
      </c>
      <c r="AD6512">
        <v>-1.1114504367139999</v>
      </c>
      <c r="AE6512">
        <v>0.28489999999999999</v>
      </c>
      <c r="AF6512">
        <v>-1.0400296824811099</v>
      </c>
      <c r="AG6512">
        <v>-1.1114504367139999</v>
      </c>
      <c r="AH6512">
        <v>18.6042925867349</v>
      </c>
      <c r="AI6512">
        <v>93.4135616384835</v>
      </c>
      <c r="AJ6512">
        <v>93.199656900155603</v>
      </c>
      <c r="AK6512">
        <v>18.666458862530799</v>
      </c>
      <c r="AL6512">
        <v>79.175769608072201</v>
      </c>
      <c r="AM6512">
        <v>93.127479185088603</v>
      </c>
      <c r="AN6512">
        <v>0.99999996159831395</v>
      </c>
    </row>
    <row r="6513" spans="1:40" x14ac:dyDescent="0.25">
      <c r="A6513" t="str">
        <f>"20190312172536338"</f>
        <v>20190312172536338</v>
      </c>
      <c r="B6513" t="str">
        <f>"1552382736326826"</f>
        <v>1552382736326826</v>
      </c>
      <c r="C6513" t="s">
        <v>40</v>
      </c>
      <c r="D6513">
        <v>3.5680679999999998</v>
      </c>
      <c r="E6513">
        <v>0.50164509999999995</v>
      </c>
      <c r="F6513" t="s">
        <v>59</v>
      </c>
      <c r="G6513">
        <v>-229.4657</v>
      </c>
      <c r="H6513" s="1">
        <v>-3.5183069999999998E-6</v>
      </c>
      <c r="I6513">
        <v>-62.541069999999998</v>
      </c>
      <c r="J6513">
        <v>-246.11529999999999</v>
      </c>
      <c r="K6513">
        <v>1.1115189999999999</v>
      </c>
      <c r="L6513">
        <v>-62.903840000000002</v>
      </c>
      <c r="M6513">
        <v>0.99941659999999999</v>
      </c>
      <c r="N6513">
        <v>0</v>
      </c>
      <c r="O6513">
        <v>-3.2216630000000003E-2</v>
      </c>
      <c r="P6513">
        <v>0.98392089999999999</v>
      </c>
      <c r="Q6513">
        <v>0.1771044</v>
      </c>
      <c r="R6513">
        <v>2.3107409999999998E-2</v>
      </c>
      <c r="S6513">
        <v>3.0816499999999998</v>
      </c>
      <c r="T6513">
        <v>-0.18564459999999999</v>
      </c>
      <c r="U6513">
        <v>5.0750730000000001E-2</v>
      </c>
      <c r="V6513">
        <v>-5.5516780000000002E-2</v>
      </c>
      <c r="W6513">
        <v>0.18802659999999999</v>
      </c>
      <c r="X6513">
        <v>0.98059359999999995</v>
      </c>
      <c r="Y6513">
        <v>-4.8525909999999998E-2</v>
      </c>
      <c r="Z6513">
        <v>3.3991310000000001E-3</v>
      </c>
      <c r="AA6513">
        <v>0.99881609999999998</v>
      </c>
      <c r="AB6513">
        <v>36</v>
      </c>
      <c r="AC6513">
        <v>16.6495999999999</v>
      </c>
      <c r="AD6513">
        <v>-1.1115225183069899</v>
      </c>
      <c r="AE6513">
        <v>0.36277000000000398</v>
      </c>
      <c r="AF6513">
        <v>-0.89502304888914797</v>
      </c>
      <c r="AG6513">
        <v>-1.1115225183069899</v>
      </c>
      <c r="AH6513">
        <v>16.555517663400199</v>
      </c>
      <c r="AI6513">
        <v>93.835438463803897</v>
      </c>
      <c r="AJ6513">
        <v>93.094507353290197</v>
      </c>
      <c r="AK6513">
        <v>16.616910473066401</v>
      </c>
      <c r="AL6513">
        <v>79.162358401501095</v>
      </c>
      <c r="AM6513">
        <v>93.2403690361039</v>
      </c>
      <c r="AN6513">
        <v>0.99999996176504302</v>
      </c>
    </row>
    <row r="6514" spans="1:40" x14ac:dyDescent="0.25">
      <c r="A6514" t="str">
        <f>"20190312172536349"</f>
        <v>20190312172536349</v>
      </c>
      <c r="B6514" t="str">
        <f>"1552382736347324"</f>
        <v>1552382736347324</v>
      </c>
      <c r="C6514" t="s">
        <v>40</v>
      </c>
      <c r="D6514">
        <v>3.5706730000000002</v>
      </c>
      <c r="E6514">
        <v>0.50133749999999999</v>
      </c>
      <c r="F6514" t="s">
        <v>59</v>
      </c>
      <c r="G6514">
        <v>-227.80510000000001</v>
      </c>
      <c r="H6514" s="1">
        <v>-2.9163529999999999E-6</v>
      </c>
      <c r="I6514">
        <v>-62.407040000000002</v>
      </c>
      <c r="J6514">
        <v>-245.95359999999999</v>
      </c>
      <c r="K6514">
        <v>1.111521</v>
      </c>
      <c r="L6514">
        <v>-62.908389999999997</v>
      </c>
      <c r="M6514">
        <v>0.99943919999999997</v>
      </c>
      <c r="N6514">
        <v>0</v>
      </c>
      <c r="O6514">
        <v>-3.1487149999999998E-2</v>
      </c>
      <c r="P6514">
        <v>0.98394539999999997</v>
      </c>
      <c r="Q6514">
        <v>0.17689079999999999</v>
      </c>
      <c r="R6514">
        <v>2.36958E-2</v>
      </c>
      <c r="S6514">
        <v>3.0807340000000001</v>
      </c>
      <c r="T6514">
        <v>-0.18701709999999999</v>
      </c>
      <c r="U6514">
        <v>8.3587649999999999E-2</v>
      </c>
      <c r="V6514">
        <v>-5.53851E-2</v>
      </c>
      <c r="W6514">
        <v>0.18787860000000001</v>
      </c>
      <c r="X6514">
        <v>0.98062939999999998</v>
      </c>
      <c r="Y6514">
        <v>-5.8421149999999998E-2</v>
      </c>
      <c r="Z6514">
        <v>3.6807039999999999E-3</v>
      </c>
      <c r="AA6514">
        <v>0.99828519999999998</v>
      </c>
      <c r="AB6514">
        <v>36</v>
      </c>
      <c r="AC6514">
        <v>18.148499999999899</v>
      </c>
      <c r="AD6514">
        <v>-1.111523916353</v>
      </c>
      <c r="AE6514">
        <v>0.50135000000000196</v>
      </c>
      <c r="AF6514">
        <v>-1.06857775916814</v>
      </c>
      <c r="AG6514">
        <v>-1.111523916353</v>
      </c>
      <c r="AH6514">
        <v>18.0560349554403</v>
      </c>
      <c r="AI6514">
        <v>93.5165277882966</v>
      </c>
      <c r="AJ6514">
        <v>93.386882404563096</v>
      </c>
      <c r="AK6514">
        <v>18.1217477676987</v>
      </c>
      <c r="AL6514">
        <v>79.170991904063101</v>
      </c>
      <c r="AM6514">
        <v>93.232581773061099</v>
      </c>
      <c r="AN6514">
        <v>0.99999994889216304</v>
      </c>
    </row>
    <row r="6515" spans="1:40" x14ac:dyDescent="0.25">
      <c r="A6515" t="str">
        <f>"20190312172536371"</f>
        <v>20190312172536371</v>
      </c>
      <c r="B6515" t="str">
        <f>"1552382736366845"</f>
        <v>1552382736366845</v>
      </c>
      <c r="C6515" t="s">
        <v>40</v>
      </c>
      <c r="D6515">
        <v>3.7075749999999998</v>
      </c>
      <c r="E6515">
        <v>0.50108079999999999</v>
      </c>
      <c r="F6515" t="s">
        <v>59</v>
      </c>
      <c r="G6515">
        <v>-228.01220000000001</v>
      </c>
      <c r="H6515" s="1">
        <v>-3.0030240000000001E-6</v>
      </c>
      <c r="I6515">
        <v>-62.397319999999901</v>
      </c>
      <c r="J6515">
        <v>-245.59190000000001</v>
      </c>
      <c r="K6515">
        <v>1.111521</v>
      </c>
      <c r="L6515">
        <v>-62.918210000000002</v>
      </c>
      <c r="M6515">
        <v>0.99948720000000002</v>
      </c>
      <c r="N6515">
        <v>0</v>
      </c>
      <c r="O6515">
        <v>-2.9872699999999999E-2</v>
      </c>
      <c r="P6515">
        <v>0.98394300000000001</v>
      </c>
      <c r="Q6515">
        <v>0.17668049999999999</v>
      </c>
      <c r="R6515">
        <v>2.530174E-2</v>
      </c>
      <c r="S6515">
        <v>3.0811609999999998</v>
      </c>
      <c r="T6515">
        <v>-0.1908871</v>
      </c>
      <c r="U6515">
        <v>8.7768550000000001E-2</v>
      </c>
      <c r="V6515">
        <v>-5.53943E-2</v>
      </c>
      <c r="W6515">
        <v>0.187807</v>
      </c>
      <c r="X6515">
        <v>0.98064269999999998</v>
      </c>
      <c r="Y6515">
        <v>-5.8155199999999997E-2</v>
      </c>
      <c r="Z6515">
        <v>3.6480229999999998E-3</v>
      </c>
      <c r="AA6515">
        <v>0.99830090000000005</v>
      </c>
      <c r="AB6515">
        <v>36</v>
      </c>
      <c r="AC6515">
        <v>17.579699999999999</v>
      </c>
      <c r="AD6515">
        <v>-1.1115240030239999</v>
      </c>
      <c r="AE6515">
        <v>0.52089000000000096</v>
      </c>
      <c r="AF6515">
        <v>-1.04168478710573</v>
      </c>
      <c r="AG6515">
        <v>-1.1115240030239999</v>
      </c>
      <c r="AH6515">
        <v>17.486446925466101</v>
      </c>
      <c r="AI6515">
        <v>93.630687236536204</v>
      </c>
      <c r="AJ6515">
        <v>93.409136897663501</v>
      </c>
      <c r="AK6515">
        <v>17.552675547680199</v>
      </c>
      <c r="AL6515">
        <v>79.175169754521605</v>
      </c>
      <c r="AM6515">
        <v>93.233073840828396</v>
      </c>
      <c r="AN6515">
        <v>1.0000000513923799</v>
      </c>
    </row>
    <row r="6516" spans="1:40" x14ac:dyDescent="0.25">
      <c r="A6516" t="str">
        <f>"20190312172536383"</f>
        <v>20190312172536383</v>
      </c>
      <c r="B6516" t="str">
        <f>"1552382736376602"</f>
        <v>1552382736376602</v>
      </c>
      <c r="C6516" t="s">
        <v>40</v>
      </c>
      <c r="D6516">
        <v>3.716682</v>
      </c>
      <c r="E6516">
        <v>0.50096819999999997</v>
      </c>
      <c r="F6516" t="s">
        <v>59</v>
      </c>
      <c r="G6516">
        <v>-227.673</v>
      </c>
      <c r="H6516" s="1">
        <v>-2.8511370000000001E-6</v>
      </c>
      <c r="I6516">
        <v>-62.368679999999998</v>
      </c>
      <c r="J6516">
        <v>-245.40889999999999</v>
      </c>
      <c r="K6516">
        <v>1.111518</v>
      </c>
      <c r="L6516">
        <v>-62.923000000000002</v>
      </c>
      <c r="M6516">
        <v>0.99951020000000002</v>
      </c>
      <c r="N6516">
        <v>0</v>
      </c>
      <c r="O6516">
        <v>-2.9065669999999998E-2</v>
      </c>
      <c r="P6516">
        <v>0.98388339999999996</v>
      </c>
      <c r="Q6516">
        <v>0.17691189999999901</v>
      </c>
      <c r="R6516">
        <v>2.5997719999999998E-2</v>
      </c>
      <c r="S6516">
        <v>3.0808260000000001</v>
      </c>
      <c r="T6516">
        <v>-0.19110679999999999</v>
      </c>
      <c r="U6516">
        <v>9.4482419999999998E-2</v>
      </c>
      <c r="V6516">
        <v>-5.5290550000000001E-2</v>
      </c>
      <c r="W6516">
        <v>0.18810479999999999</v>
      </c>
      <c r="X6516">
        <v>0.9805914</v>
      </c>
      <c r="Y6516">
        <v>-5.9524340000000002E-2</v>
      </c>
      <c r="Z6516">
        <v>3.6449249999999998E-3</v>
      </c>
      <c r="AA6516">
        <v>0.9982202</v>
      </c>
      <c r="AB6516">
        <v>36</v>
      </c>
      <c r="AC6516">
        <v>17.735899999999901</v>
      </c>
      <c r="AD6516">
        <v>-1.1115208511370001</v>
      </c>
      <c r="AE6516">
        <v>0.55431999999999704</v>
      </c>
      <c r="AF6516">
        <v>-1.06544569507049</v>
      </c>
      <c r="AG6516">
        <v>-1.1115208511370001</v>
      </c>
      <c r="AH6516">
        <v>17.643065359102401</v>
      </c>
      <c r="AI6516">
        <v>93.598356877280494</v>
      </c>
      <c r="AJ6516">
        <v>93.455833492208598</v>
      </c>
      <c r="AK6516">
        <v>17.7101216369967</v>
      </c>
      <c r="AL6516">
        <v>79.157796640002005</v>
      </c>
      <c r="AM6516">
        <v>93.2271997753937</v>
      </c>
      <c r="AN6516">
        <v>0.99999997722815004</v>
      </c>
    </row>
    <row r="6517" spans="1:40" x14ac:dyDescent="0.25">
      <c r="A6517" t="str">
        <f>"20190312172536394"</f>
        <v>20190312172536394</v>
      </c>
      <c r="B6517" t="str">
        <f>"1552382736387338"</f>
        <v>1552382736387338</v>
      </c>
      <c r="C6517" t="s">
        <v>40</v>
      </c>
      <c r="D6517">
        <v>4.3472089999999897</v>
      </c>
      <c r="E6517">
        <v>0.50084220000000002</v>
      </c>
      <c r="F6517" t="s">
        <v>59</v>
      </c>
      <c r="G6517">
        <v>-227.3706</v>
      </c>
      <c r="H6517" s="1">
        <v>-2.7176270000000001E-6</v>
      </c>
      <c r="I6517">
        <v>-62.351730000000003</v>
      </c>
      <c r="J6517">
        <v>-245.2337</v>
      </c>
      <c r="K6517">
        <v>1.1115159999999999</v>
      </c>
      <c r="L6517">
        <v>-62.927399999999999</v>
      </c>
      <c r="M6517">
        <v>0.99953119999999995</v>
      </c>
      <c r="N6517">
        <v>0</v>
      </c>
      <c r="O6517">
        <v>-2.8304630000000001E-2</v>
      </c>
      <c r="P6517">
        <v>0.98383929999999997</v>
      </c>
      <c r="Q6517">
        <v>0.17705580000000001</v>
      </c>
      <c r="R6517">
        <v>2.667454E-2</v>
      </c>
      <c r="S6517">
        <v>3.0806879999999999</v>
      </c>
      <c r="T6517">
        <v>-0.18983230000000001</v>
      </c>
      <c r="U6517">
        <v>9.7564700000000004E-2</v>
      </c>
      <c r="V6517">
        <v>-5.5213089999999999E-2</v>
      </c>
      <c r="W6517">
        <v>0.18830720000000001</v>
      </c>
      <c r="X6517">
        <v>0.98055700000000001</v>
      </c>
      <c r="Y6517">
        <v>-5.9766680000000003E-2</v>
      </c>
      <c r="Z6517">
        <v>3.5813949999999998E-3</v>
      </c>
      <c r="AA6517">
        <v>0.99820600000000004</v>
      </c>
      <c r="AB6517">
        <v>36</v>
      </c>
      <c r="AC6517">
        <v>17.863099999999999</v>
      </c>
      <c r="AD6517">
        <v>-1.1115187176270001</v>
      </c>
      <c r="AE6517">
        <v>0.57566999999999502</v>
      </c>
      <c r="AF6517">
        <v>-1.0769168537090901</v>
      </c>
      <c r="AG6517">
        <v>-1.1115187176270001</v>
      </c>
      <c r="AH6517">
        <v>17.7709116878946</v>
      </c>
      <c r="AI6517">
        <v>93.572484931878904</v>
      </c>
      <c r="AJ6517">
        <v>93.467882014930893</v>
      </c>
      <c r="AK6517">
        <v>17.8381760835682</v>
      </c>
      <c r="AL6517">
        <v>79.145989859307605</v>
      </c>
      <c r="AM6517">
        <v>93.222800945462495</v>
      </c>
      <c r="AN6517">
        <v>1.00000005856409</v>
      </c>
    </row>
    <row r="6518" spans="1:40" x14ac:dyDescent="0.25">
      <c r="A6518" t="str">
        <f>"20190312172536404"</f>
        <v>20190312172536404</v>
      </c>
      <c r="B6518" t="str">
        <f>"1552382736397099"</f>
        <v>1552382736397099</v>
      </c>
      <c r="C6518" t="s">
        <v>40</v>
      </c>
      <c r="D6518">
        <v>3.8589329999999999</v>
      </c>
      <c r="E6518">
        <v>0.50072229999999995</v>
      </c>
      <c r="F6518" t="s">
        <v>59</v>
      </c>
      <c r="G6518">
        <v>-227.10149999999999</v>
      </c>
      <c r="H6518" s="1">
        <v>-2.5981799999999998E-6</v>
      </c>
      <c r="I6518">
        <v>-62.333730000000003</v>
      </c>
      <c r="J6518">
        <v>-245.0538</v>
      </c>
      <c r="K6518">
        <v>1.1115109999999999</v>
      </c>
      <c r="L6518">
        <v>-62.931789999999999</v>
      </c>
      <c r="M6518">
        <v>0.99955240000000001</v>
      </c>
      <c r="N6518">
        <v>0</v>
      </c>
      <c r="O6518">
        <v>-2.7528830000000001E-2</v>
      </c>
      <c r="P6518">
        <v>0.98383430000000005</v>
      </c>
      <c r="Q6518">
        <v>0.17692260000000001</v>
      </c>
      <c r="R6518">
        <v>2.7728989999999999E-2</v>
      </c>
      <c r="S6518">
        <v>3.0805210000000001</v>
      </c>
      <c r="T6518">
        <v>-0.1888386</v>
      </c>
      <c r="U6518">
        <v>0.10086059999999999</v>
      </c>
      <c r="V6518">
        <v>-5.5498190000000003E-2</v>
      </c>
      <c r="W6518">
        <v>0.1882318</v>
      </c>
      <c r="X6518">
        <v>0.98055539999999997</v>
      </c>
      <c r="Y6518">
        <v>-6.0063180000000001E-2</v>
      </c>
      <c r="Z6518">
        <v>3.5243990000000001E-3</v>
      </c>
      <c r="AA6518">
        <v>0.99818839999999998</v>
      </c>
      <c r="AB6518">
        <v>36</v>
      </c>
      <c r="AC6518">
        <v>17.952300000000001</v>
      </c>
      <c r="AD6518">
        <v>-1.11151359818</v>
      </c>
      <c r="AE6518">
        <v>0.59805999999999604</v>
      </c>
      <c r="AF6518">
        <v>-1.0879072113834101</v>
      </c>
      <c r="AG6518">
        <v>-1.11151359818</v>
      </c>
      <c r="AH6518">
        <v>17.860638408661099</v>
      </c>
      <c r="AI6518">
        <v>93.554500870930298</v>
      </c>
      <c r="AJ6518">
        <v>93.485629914881002</v>
      </c>
      <c r="AK6518">
        <v>17.928229386764801</v>
      </c>
      <c r="AL6518">
        <v>79.150388814100907</v>
      </c>
      <c r="AM6518">
        <v>93.239412223318894</v>
      </c>
      <c r="AN6518">
        <v>1.0000000760468299</v>
      </c>
    </row>
    <row r="6519" spans="1:40" x14ac:dyDescent="0.25">
      <c r="A6519" t="str">
        <f>"20190312172536415"</f>
        <v>20190312172536415</v>
      </c>
      <c r="B6519" t="str">
        <f>"1552382736406859"</f>
        <v>1552382736406859</v>
      </c>
      <c r="C6519" t="s">
        <v>40</v>
      </c>
      <c r="D6519">
        <v>3.7338</v>
      </c>
      <c r="E6519">
        <v>0.50060979999999999</v>
      </c>
      <c r="F6519" t="s">
        <v>59</v>
      </c>
      <c r="G6519">
        <v>-226.91820000000001</v>
      </c>
      <c r="H6519" s="1">
        <v>-2.5149210000000002E-6</v>
      </c>
      <c r="I6519">
        <v>-62.312980000000003</v>
      </c>
      <c r="J6519">
        <v>-244.87960000000001</v>
      </c>
      <c r="K6519">
        <v>1.111504</v>
      </c>
      <c r="L6519">
        <v>-62.93591</v>
      </c>
      <c r="M6519">
        <v>0.99957189999999996</v>
      </c>
      <c r="N6519">
        <v>0</v>
      </c>
      <c r="O6519">
        <v>-2.678794E-2</v>
      </c>
      <c r="P6519">
        <v>0.98384179999999999</v>
      </c>
      <c r="Q6519">
        <v>0.17675669999999999</v>
      </c>
      <c r="R6519">
        <v>2.8505490000000001E-2</v>
      </c>
      <c r="S6519">
        <v>3.080276</v>
      </c>
      <c r="T6519">
        <v>-0.18878710000000001</v>
      </c>
      <c r="U6519">
        <v>0.1051025</v>
      </c>
      <c r="V6519">
        <v>-5.5539619999999998E-2</v>
      </c>
      <c r="W6519">
        <v>0.18811939999999999</v>
      </c>
      <c r="X6519">
        <v>0.98057450000000002</v>
      </c>
      <c r="Y6519">
        <v>-6.0699259999999998E-2</v>
      </c>
      <c r="Z6519">
        <v>3.4977609999999998E-3</v>
      </c>
      <c r="AA6519">
        <v>0.99814999999999998</v>
      </c>
      <c r="AB6519">
        <v>36</v>
      </c>
      <c r="AC6519">
        <v>17.961399999999902</v>
      </c>
      <c r="AD6519">
        <v>-1.1115065149209999</v>
      </c>
      <c r="AE6519">
        <v>0.62292999999999599</v>
      </c>
      <c r="AF6519">
        <v>-1.0996824436186401</v>
      </c>
      <c r="AG6519">
        <v>-1.1115065149209999</v>
      </c>
      <c r="AH6519">
        <v>17.869914417212499</v>
      </c>
      <c r="AI6519">
        <v>93.5525023390136</v>
      </c>
      <c r="AJ6519">
        <v>93.521438691895796</v>
      </c>
      <c r="AK6519">
        <v>17.938188021314001</v>
      </c>
      <c r="AL6519">
        <v>79.156944661872004</v>
      </c>
      <c r="AM6519">
        <v>93.241762312902097</v>
      </c>
      <c r="AN6519">
        <v>0.99999995404817599</v>
      </c>
    </row>
    <row r="6520" spans="1:40" x14ac:dyDescent="0.25">
      <c r="A6520" t="str">
        <f>"20190312172536427"</f>
        <v>20190312172536427</v>
      </c>
      <c r="B6520" t="str">
        <f>"1552382736416619"</f>
        <v>1552382736416619</v>
      </c>
      <c r="C6520" t="s">
        <v>40</v>
      </c>
      <c r="D6520">
        <v>3.8442259999999999</v>
      </c>
      <c r="E6520">
        <v>0.50049100000000002</v>
      </c>
      <c r="F6520" t="s">
        <v>59</v>
      </c>
      <c r="G6520">
        <v>-226.74250000000001</v>
      </c>
      <c r="H6520" s="1">
        <v>-2.4363849999999999E-6</v>
      </c>
      <c r="I6520">
        <v>-62.298679999999997</v>
      </c>
      <c r="J6520">
        <v>-244.7047</v>
      </c>
      <c r="K6520">
        <v>1.1114930000000001</v>
      </c>
      <c r="L6520">
        <v>-62.939970000000002</v>
      </c>
      <c r="M6520">
        <v>0.9995906</v>
      </c>
      <c r="N6520">
        <v>0</v>
      </c>
      <c r="O6520">
        <v>-2.6053739999999999E-2</v>
      </c>
      <c r="P6520">
        <v>0.98388830000000005</v>
      </c>
      <c r="Q6520">
        <v>0.1763391</v>
      </c>
      <c r="R6520">
        <v>2.9471580000000001E-2</v>
      </c>
      <c r="S6520">
        <v>3.0800480000000001</v>
      </c>
      <c r="T6520">
        <v>-0.18875610000000001</v>
      </c>
      <c r="U6520">
        <v>0.1082153</v>
      </c>
      <c r="V6520">
        <v>-5.5776920000000001E-2</v>
      </c>
      <c r="W6520">
        <v>0.18775310000000001</v>
      </c>
      <c r="X6520">
        <v>0.98063129999999998</v>
      </c>
      <c r="Y6520">
        <v>-6.0977110000000001E-2</v>
      </c>
      <c r="Z6520">
        <v>3.4609559999999998E-3</v>
      </c>
      <c r="AA6520">
        <v>0.99813320000000005</v>
      </c>
      <c r="AB6520">
        <v>36</v>
      </c>
      <c r="AC6520">
        <v>17.9621999999999</v>
      </c>
      <c r="AD6520">
        <v>-1.111495436385</v>
      </c>
      <c r="AE6520">
        <v>0.64128999999999003</v>
      </c>
      <c r="AF6520">
        <v>-1.1048622533421999</v>
      </c>
      <c r="AG6520">
        <v>-1.111495436385</v>
      </c>
      <c r="AH6520">
        <v>17.871049732834098</v>
      </c>
      <c r="AI6520">
        <v>93.552179665253703</v>
      </c>
      <c r="AJ6520">
        <v>93.537759421774098</v>
      </c>
      <c r="AK6520">
        <v>17.939636597696101</v>
      </c>
      <c r="AL6520">
        <v>79.178313572958004</v>
      </c>
      <c r="AM6520">
        <v>93.255395255504197</v>
      </c>
      <c r="AN6520">
        <v>1.00000001895199</v>
      </c>
    </row>
    <row r="6521" spans="1:40" x14ac:dyDescent="0.25">
      <c r="A6521" t="str">
        <f>"20190312172536437"</f>
        <v>20190312172536437</v>
      </c>
      <c r="B6521" t="str">
        <f>"1552382736427356"</f>
        <v>1552382736427356</v>
      </c>
      <c r="C6521" t="s">
        <v>40</v>
      </c>
      <c r="D6521">
        <v>3.7450540000000001</v>
      </c>
      <c r="E6521">
        <v>0.50037739999999997</v>
      </c>
      <c r="F6521" t="s">
        <v>59</v>
      </c>
      <c r="G6521">
        <v>-226.66480000000001</v>
      </c>
      <c r="H6521" s="1">
        <v>-2.3995979999999998E-6</v>
      </c>
      <c r="I6521">
        <v>-62.283209999999997</v>
      </c>
      <c r="J6521">
        <v>-244.52850000000001</v>
      </c>
      <c r="K6521">
        <v>1.111483</v>
      </c>
      <c r="L6521">
        <v>-62.94388</v>
      </c>
      <c r="M6521">
        <v>0.99960870000000002</v>
      </c>
      <c r="N6521">
        <v>0</v>
      </c>
      <c r="O6521">
        <v>-2.5323249999999999E-2</v>
      </c>
      <c r="P6521">
        <v>0.98392210000000002</v>
      </c>
      <c r="Q6521">
        <v>0.1760166</v>
      </c>
      <c r="R6521">
        <v>3.0258230000000001E-2</v>
      </c>
      <c r="S6521">
        <v>3.0797729999999999</v>
      </c>
      <c r="T6521">
        <v>-0.1897538</v>
      </c>
      <c r="U6521">
        <v>0.1121216</v>
      </c>
      <c r="V6521">
        <v>-5.5837850000000001E-2</v>
      </c>
      <c r="W6521">
        <v>0.1874815</v>
      </c>
      <c r="X6521">
        <v>0.98067979999999999</v>
      </c>
      <c r="Y6521">
        <v>-6.1513819999999997E-2</v>
      </c>
      <c r="Z6521">
        <v>3.4510130000000002E-3</v>
      </c>
      <c r="AA6521">
        <v>0.99810030000000005</v>
      </c>
      <c r="AB6521">
        <v>36</v>
      </c>
      <c r="AC6521">
        <v>17.863699999999898</v>
      </c>
      <c r="AD6521">
        <v>-1.1114853995980001</v>
      </c>
      <c r="AE6521">
        <v>0.66067000000000997</v>
      </c>
      <c r="AF6521">
        <v>-1.1085711531347799</v>
      </c>
      <c r="AG6521">
        <v>-1.1114853995980001</v>
      </c>
      <c r="AH6521">
        <v>17.7725290242083</v>
      </c>
      <c r="AI6521">
        <v>93.5716663863017</v>
      </c>
      <c r="AJ6521">
        <v>93.569231221012501</v>
      </c>
      <c r="AK6521">
        <v>17.841724067797099</v>
      </c>
      <c r="AL6521">
        <v>79.194156498562506</v>
      </c>
      <c r="AM6521">
        <v>93.258782921796396</v>
      </c>
      <c r="AN6521">
        <v>1.00000002423145</v>
      </c>
    </row>
    <row r="6522" spans="1:40" x14ac:dyDescent="0.25">
      <c r="A6522" t="str">
        <f>"20190312172536448"</f>
        <v>20190312172536448</v>
      </c>
      <c r="B6522" t="str">
        <f>"1552382736446874"</f>
        <v>1552382736446874</v>
      </c>
      <c r="C6522" t="s">
        <v>40</v>
      </c>
      <c r="D6522">
        <v>3.6637279999999999</v>
      </c>
      <c r="E6522">
        <v>0.50015690000000002</v>
      </c>
      <c r="F6522" t="s">
        <v>59</v>
      </c>
      <c r="G6522">
        <v>-226.5496</v>
      </c>
      <c r="H6522" s="1">
        <v>-2.3473310000000002E-6</v>
      </c>
      <c r="I6522">
        <v>-62.270400000000002</v>
      </c>
      <c r="J6522">
        <v>-244.35120000000001</v>
      </c>
      <c r="K6522">
        <v>1.1114710000000001</v>
      </c>
      <c r="L6522">
        <v>-62.947719999999997</v>
      </c>
      <c r="M6522">
        <v>0.99962620000000002</v>
      </c>
      <c r="N6522">
        <v>0</v>
      </c>
      <c r="O6522">
        <v>-2.460364E-2</v>
      </c>
      <c r="P6522">
        <v>0.98389040000000005</v>
      </c>
      <c r="Q6522">
        <v>0.1760921</v>
      </c>
      <c r="R6522">
        <v>3.084889E-2</v>
      </c>
      <c r="S6522">
        <v>3.0795439999999998</v>
      </c>
      <c r="T6522">
        <v>-0.1903821</v>
      </c>
      <c r="U6522">
        <v>0.115356399999999</v>
      </c>
      <c r="V6522">
        <v>-5.5712049999999999E-2</v>
      </c>
      <c r="W6522">
        <v>0.18761120000000001</v>
      </c>
      <c r="X6522">
        <v>0.98066209999999998</v>
      </c>
      <c r="Y6522">
        <v>-6.1844650000000001E-2</v>
      </c>
      <c r="Z6522">
        <v>3.4283949999999999E-3</v>
      </c>
      <c r="AA6522">
        <v>0.99807990000000002</v>
      </c>
      <c r="AB6522">
        <v>36</v>
      </c>
      <c r="AC6522">
        <v>17.801600000000001</v>
      </c>
      <c r="AD6522">
        <v>-1.1114733473309999</v>
      </c>
      <c r="AE6522">
        <v>0.67731999999999404</v>
      </c>
      <c r="AF6522">
        <v>-1.1108061767264601</v>
      </c>
      <c r="AG6522">
        <v>-1.1114733473309999</v>
      </c>
      <c r="AH6522">
        <v>17.710602499548699</v>
      </c>
      <c r="AI6522">
        <v>93.584007059191805</v>
      </c>
      <c r="AJ6522">
        <v>93.588881165713005</v>
      </c>
      <c r="AK6522">
        <v>17.780177284299</v>
      </c>
      <c r="AL6522">
        <v>79.1865904490936</v>
      </c>
      <c r="AM6522">
        <v>93.251515369915495</v>
      </c>
      <c r="AN6522">
        <v>0.99999997462852597</v>
      </c>
    </row>
    <row r="6523" spans="1:40" x14ac:dyDescent="0.25">
      <c r="A6523" t="str">
        <f>"20190312172536460"</f>
        <v>20190312172536460</v>
      </c>
      <c r="B6523" t="str">
        <f>"1552382736456634"</f>
        <v>1552382736456634</v>
      </c>
      <c r="C6523" t="s">
        <v>40</v>
      </c>
      <c r="D6523">
        <v>3.649629</v>
      </c>
      <c r="E6523">
        <v>0.50005889999999997</v>
      </c>
      <c r="F6523" t="s">
        <v>59</v>
      </c>
      <c r="G6523">
        <v>-226.3099</v>
      </c>
      <c r="H6523" s="1">
        <v>-2.240224E-6</v>
      </c>
      <c r="I6523">
        <v>-62.251130000000003</v>
      </c>
      <c r="J6523">
        <v>-244.16990000000001</v>
      </c>
      <c r="K6523">
        <v>1.1114580000000001</v>
      </c>
      <c r="L6523">
        <v>-62.951569999999997</v>
      </c>
      <c r="M6523">
        <v>0.99964310000000001</v>
      </c>
      <c r="N6523">
        <v>0</v>
      </c>
      <c r="O6523">
        <v>-2.3875110000000001E-2</v>
      </c>
      <c r="P6523">
        <v>0.9839002</v>
      </c>
      <c r="Q6523">
        <v>0.17590729999999999</v>
      </c>
      <c r="R6523">
        <v>3.1579580000000003E-2</v>
      </c>
      <c r="S6523">
        <v>3.0793460000000001</v>
      </c>
      <c r="T6523">
        <v>-0.18970999999999999</v>
      </c>
      <c r="U6523">
        <v>0.1188965</v>
      </c>
      <c r="V6523">
        <v>-5.5717179999999998E-2</v>
      </c>
      <c r="W6523">
        <v>0.18748290000000001</v>
      </c>
      <c r="X6523">
        <v>0.98068639999999996</v>
      </c>
      <c r="Y6523">
        <v>-6.226715E-2</v>
      </c>
      <c r="Z6523">
        <v>3.3846369999999998E-3</v>
      </c>
      <c r="AA6523">
        <v>0.99805379999999999</v>
      </c>
      <c r="AB6523">
        <v>36</v>
      </c>
      <c r="AC6523">
        <v>17.86</v>
      </c>
      <c r="AD6523">
        <v>-1.1114602402239999</v>
      </c>
      <c r="AE6523">
        <v>0.70043999999999296</v>
      </c>
      <c r="AF6523">
        <v>-1.1223404813667099</v>
      </c>
      <c r="AG6523">
        <v>-1.1114602402239999</v>
      </c>
      <c r="AH6523">
        <v>17.769472064450099</v>
      </c>
      <c r="AI6523">
        <v>93.572023590572996</v>
      </c>
      <c r="AJ6523">
        <v>93.614067136813802</v>
      </c>
      <c r="AK6523">
        <v>17.839538376061899</v>
      </c>
      <c r="AL6523">
        <v>79.194074883582999</v>
      </c>
      <c r="AM6523">
        <v>93.251733726594495</v>
      </c>
      <c r="AN6523">
        <v>1.0000000285422601</v>
      </c>
    </row>
    <row r="6524" spans="1:40" x14ac:dyDescent="0.25">
      <c r="A6524" t="str">
        <f>"20190312172536472"</f>
        <v>20190312172536472</v>
      </c>
      <c r="B6524" t="str">
        <f>"1552382736466398"</f>
        <v>1552382736466398</v>
      </c>
      <c r="C6524" t="s">
        <v>40</v>
      </c>
      <c r="D6524">
        <v>3.6771289999999999</v>
      </c>
      <c r="E6524">
        <v>0.49996839999999998</v>
      </c>
      <c r="F6524" t="s">
        <v>59</v>
      </c>
      <c r="G6524">
        <v>-226.1764</v>
      </c>
      <c r="H6524" s="1">
        <v>-2.180333E-6</v>
      </c>
      <c r="I6524">
        <v>-62.239310000000003</v>
      </c>
      <c r="J6524">
        <v>-243.98740000000001</v>
      </c>
      <c r="K6524">
        <v>1.111445</v>
      </c>
      <c r="L6524">
        <v>-62.955260000000003</v>
      </c>
      <c r="M6524">
        <v>0.99965910000000002</v>
      </c>
      <c r="N6524">
        <v>0</v>
      </c>
      <c r="O6524">
        <v>-2.316584E-2</v>
      </c>
      <c r="P6524">
        <v>0.98386099999999999</v>
      </c>
      <c r="Q6524">
        <v>0.1760197</v>
      </c>
      <c r="R6524">
        <v>3.2169030000000001E-2</v>
      </c>
      <c r="S6524">
        <v>3.0791780000000002</v>
      </c>
      <c r="T6524">
        <v>-0.19020129999999999</v>
      </c>
      <c r="U6524">
        <v>0.1218872</v>
      </c>
      <c r="V6524">
        <v>-5.5598410000000001E-2</v>
      </c>
      <c r="W6524">
        <v>0.18765519999999999</v>
      </c>
      <c r="X6524">
        <v>0.98066010000000003</v>
      </c>
      <c r="Y6524">
        <v>-6.2529029999999999E-2</v>
      </c>
      <c r="Z6524">
        <v>3.3578309999999999E-3</v>
      </c>
      <c r="AA6524">
        <v>0.99803750000000002</v>
      </c>
      <c r="AB6524">
        <v>36</v>
      </c>
      <c r="AC6524">
        <v>17.811</v>
      </c>
      <c r="AD6524">
        <v>-1.1114471803329999</v>
      </c>
      <c r="AE6524">
        <v>0.71594999999999898</v>
      </c>
      <c r="AF6524">
        <v>-1.12402459383274</v>
      </c>
      <c r="AG6524">
        <v>-1.1114471803329999</v>
      </c>
      <c r="AH6524">
        <v>17.720738640315901</v>
      </c>
      <c r="AI6524">
        <v>93.581718896631898</v>
      </c>
      <c r="AJ6524">
        <v>93.6294030431594</v>
      </c>
      <c r="AK6524">
        <v>17.791102385197998</v>
      </c>
      <c r="AL6524">
        <v>79.184023520066305</v>
      </c>
      <c r="AM6524">
        <v>93.244903803724497</v>
      </c>
      <c r="AN6524">
        <v>0.99999994450678698</v>
      </c>
    </row>
    <row r="6525" spans="1:40" x14ac:dyDescent="0.25">
      <c r="A6525" t="str">
        <f>"20190312172536483"</f>
        <v>20190312172536483</v>
      </c>
      <c r="B6525" t="str">
        <f>"1552382736477131"</f>
        <v>1552382736477131</v>
      </c>
      <c r="C6525" t="s">
        <v>40</v>
      </c>
      <c r="D6525">
        <v>3.653607</v>
      </c>
      <c r="E6525">
        <v>0.4998821</v>
      </c>
      <c r="F6525" t="s">
        <v>59</v>
      </c>
      <c r="G6525">
        <v>-225.95910000000001</v>
      </c>
      <c r="H6525" s="1">
        <v>-2.0840450000000001E-6</v>
      </c>
      <c r="I6525">
        <v>-62.225520000000003</v>
      </c>
      <c r="J6525">
        <v>-243.79810000000001</v>
      </c>
      <c r="K6525">
        <v>1.111435</v>
      </c>
      <c r="L6525">
        <v>-62.958979999999997</v>
      </c>
      <c r="M6525">
        <v>0.99967499999999998</v>
      </c>
      <c r="N6525">
        <v>0</v>
      </c>
      <c r="O6525">
        <v>-2.243873E-2</v>
      </c>
      <c r="P6525">
        <v>0.98388589999999998</v>
      </c>
      <c r="Q6525">
        <v>0.17580270000000001</v>
      </c>
      <c r="R6525">
        <v>3.2590630000000002E-2</v>
      </c>
      <c r="S6525">
        <v>3.0791019999999998</v>
      </c>
      <c r="T6525">
        <v>-0.1898271</v>
      </c>
      <c r="U6525">
        <v>0.1246338</v>
      </c>
      <c r="V6525">
        <v>-5.529328E-2</v>
      </c>
      <c r="W6525">
        <v>0.18750349999999999</v>
      </c>
      <c r="X6525">
        <v>0.98070650000000004</v>
      </c>
      <c r="Y6525">
        <v>-6.2694639999999996E-2</v>
      </c>
      <c r="Z6525">
        <v>3.3115919999999999E-3</v>
      </c>
      <c r="AA6525">
        <v>0.99802729999999995</v>
      </c>
      <c r="AB6525">
        <v>36</v>
      </c>
      <c r="AC6525">
        <v>17.838999999999999</v>
      </c>
      <c r="AD6525">
        <v>-1.1114370840450001</v>
      </c>
      <c r="AE6525">
        <v>0.733460000000007</v>
      </c>
      <c r="AF6525">
        <v>-1.12921317264983</v>
      </c>
      <c r="AG6525">
        <v>-1.1114370840450001</v>
      </c>
      <c r="AH6525">
        <v>17.749266593434999</v>
      </c>
      <c r="AI6525">
        <v>93.575901679160197</v>
      </c>
      <c r="AJ6525">
        <v>93.640267006129307</v>
      </c>
      <c r="AK6525">
        <v>17.8198450999414</v>
      </c>
      <c r="AL6525">
        <v>79.192873780959602</v>
      </c>
      <c r="AM6525">
        <v>93.226980806875503</v>
      </c>
      <c r="AN6525">
        <v>1.00000007423382</v>
      </c>
    </row>
    <row r="6526" spans="1:40" x14ac:dyDescent="0.25">
      <c r="A6526" t="str">
        <f>"20190312172536494"</f>
        <v>20190312172536494</v>
      </c>
      <c r="B6526" t="str">
        <f>"1552382736486891"</f>
        <v>1552382736486891</v>
      </c>
      <c r="C6526" t="s">
        <v>40</v>
      </c>
      <c r="D6526">
        <v>3.7824409999999999</v>
      </c>
      <c r="E6526">
        <v>0.49979230000000002</v>
      </c>
      <c r="F6526" t="s">
        <v>59</v>
      </c>
      <c r="G6526">
        <v>-225.8297</v>
      </c>
      <c r="H6526" s="1">
        <v>-2.0274109999999999E-6</v>
      </c>
      <c r="I6526">
        <v>-62.22043</v>
      </c>
      <c r="J6526">
        <v>-243.62479999999999</v>
      </c>
      <c r="K6526">
        <v>1.111421</v>
      </c>
      <c r="L6526">
        <v>-62.962249999999997</v>
      </c>
      <c r="M6526">
        <v>0.99968840000000003</v>
      </c>
      <c r="N6526">
        <v>0</v>
      </c>
      <c r="O6526">
        <v>-2.1795189999999999E-2</v>
      </c>
      <c r="P6526">
        <v>0.98387550000000001</v>
      </c>
      <c r="Q6526">
        <v>0.1757765</v>
      </c>
      <c r="R6526">
        <v>3.3039499999999999E-2</v>
      </c>
      <c r="S6526">
        <v>3.0789949999999999</v>
      </c>
      <c r="T6526">
        <v>-0.1904516</v>
      </c>
      <c r="U6526">
        <v>0.12655640000000001</v>
      </c>
      <c r="V6526">
        <v>-5.5097899999999998E-2</v>
      </c>
      <c r="W6526">
        <v>0.18753909999999999</v>
      </c>
      <c r="X6526">
        <v>0.98071059999999999</v>
      </c>
      <c r="Y6526">
        <v>-6.2675939999999999E-2</v>
      </c>
      <c r="Z6526">
        <v>3.2822089999999999E-3</v>
      </c>
      <c r="AA6526">
        <v>0.99802849999999999</v>
      </c>
      <c r="AB6526">
        <v>36</v>
      </c>
      <c r="AC6526">
        <v>17.795099999999898</v>
      </c>
      <c r="AD6526">
        <v>-1.111423027411</v>
      </c>
      <c r="AE6526">
        <v>0.74181999999998904</v>
      </c>
      <c r="AF6526">
        <v>-1.12513869314174</v>
      </c>
      <c r="AG6526">
        <v>-1.111423027411</v>
      </c>
      <c r="AH6526">
        <v>17.705755492877099</v>
      </c>
      <c r="AI6526">
        <v>93.584637897965905</v>
      </c>
      <c r="AJ6526">
        <v>93.636056871282904</v>
      </c>
      <c r="AK6526">
        <v>17.776247517353301</v>
      </c>
      <c r="AL6526">
        <v>79.190796257533293</v>
      </c>
      <c r="AM6526">
        <v>93.215588756333005</v>
      </c>
      <c r="AN6526">
        <v>0.99999998678278901</v>
      </c>
    </row>
    <row r="6527" spans="1:40" x14ac:dyDescent="0.25">
      <c r="A6527" t="str">
        <f>"20190312172536506"</f>
        <v>20190312172536506</v>
      </c>
      <c r="B6527" t="str">
        <f>"1552382736496651"</f>
        <v>1552382736496651</v>
      </c>
      <c r="C6527" t="s">
        <v>40</v>
      </c>
      <c r="D6527">
        <v>3.8263389999999999</v>
      </c>
      <c r="E6527">
        <v>0.49970409999999998</v>
      </c>
      <c r="F6527" t="s">
        <v>59</v>
      </c>
      <c r="G6527">
        <v>-225.6292</v>
      </c>
      <c r="H6527" s="1">
        <v>-1.9391569999999999E-6</v>
      </c>
      <c r="I6527">
        <v>-62.2104</v>
      </c>
      <c r="J6527">
        <v>-243.43860000000001</v>
      </c>
      <c r="K6527">
        <v>1.111405</v>
      </c>
      <c r="L6527">
        <v>-62.965730000000001</v>
      </c>
      <c r="M6527">
        <v>0.99970219999999999</v>
      </c>
      <c r="N6527">
        <v>0</v>
      </c>
      <c r="O6527">
        <v>-2.1116659999999999E-2</v>
      </c>
      <c r="P6527">
        <v>0.98382400000000003</v>
      </c>
      <c r="Q6527">
        <v>0.17593710000000001</v>
      </c>
      <c r="R6527">
        <v>3.3713369999999999E-2</v>
      </c>
      <c r="S6527">
        <v>3.0788120000000001</v>
      </c>
      <c r="T6527">
        <v>-0.19015029999999999</v>
      </c>
      <c r="U6527">
        <v>0.12863160000000001</v>
      </c>
      <c r="V6527">
        <v>-5.5091250000000001E-2</v>
      </c>
      <c r="W6527">
        <v>0.18776619999999999</v>
      </c>
      <c r="X6527">
        <v>0.98066750000000003</v>
      </c>
      <c r="Y6527">
        <v>-6.2674320000000006E-2</v>
      </c>
      <c r="Z6527">
        <v>3.2352739999999998E-3</v>
      </c>
      <c r="AA6527">
        <v>0.99802880000000005</v>
      </c>
      <c r="AB6527">
        <v>36</v>
      </c>
      <c r="AC6527">
        <v>17.8094</v>
      </c>
      <c r="AD6527">
        <v>-1.1114069391570001</v>
      </c>
      <c r="AE6527">
        <v>0.75533000000000705</v>
      </c>
      <c r="AF6527">
        <v>-1.1268839993278299</v>
      </c>
      <c r="AG6527">
        <v>-1.1114069391570001</v>
      </c>
      <c r="AH6527">
        <v>17.720588727581099</v>
      </c>
      <c r="AI6527">
        <v>93.5815831913511</v>
      </c>
      <c r="AJ6527">
        <v>93.638641806102896</v>
      </c>
      <c r="AK6527">
        <v>17.7911314363202</v>
      </c>
      <c r="AL6527">
        <v>79.177548856324194</v>
      </c>
      <c r="AM6527">
        <v>93.215342478052804</v>
      </c>
      <c r="AN6527">
        <v>0.99999996862262497</v>
      </c>
    </row>
    <row r="6528" spans="1:40" x14ac:dyDescent="0.25">
      <c r="A6528" t="str">
        <f>"20190312172536518"</f>
        <v>20190312172536518</v>
      </c>
      <c r="B6528" t="str">
        <f>"1552382736507387"</f>
        <v>1552382736507387</v>
      </c>
      <c r="C6528" t="s">
        <v>40</v>
      </c>
      <c r="D6528">
        <v>3.7459660000000001</v>
      </c>
      <c r="E6528">
        <v>0.49961430000000001</v>
      </c>
      <c r="F6528" t="s">
        <v>59</v>
      </c>
      <c r="G6528">
        <v>-225.3569</v>
      </c>
      <c r="H6528" s="1">
        <v>-1.81889E-6</v>
      </c>
      <c r="I6528">
        <v>-62.194839999999999</v>
      </c>
      <c r="J6528">
        <v>-243.2474</v>
      </c>
      <c r="K6528">
        <v>1.111389</v>
      </c>
      <c r="L6528">
        <v>-62.969119999999997</v>
      </c>
      <c r="M6528">
        <v>0.99971560000000004</v>
      </c>
      <c r="N6528">
        <v>0</v>
      </c>
      <c r="O6528">
        <v>-2.043818E-2</v>
      </c>
      <c r="P6528">
        <v>0.98377599999999998</v>
      </c>
      <c r="Q6528">
        <v>0.17606569999999999</v>
      </c>
      <c r="R6528">
        <v>3.4434840000000001E-2</v>
      </c>
      <c r="S6528">
        <v>3.078659</v>
      </c>
      <c r="T6528">
        <v>-0.18923290000000001</v>
      </c>
      <c r="U6528">
        <v>0.13125609999999999</v>
      </c>
      <c r="V6528">
        <v>-5.5131220000000002E-2</v>
      </c>
      <c r="W6528">
        <v>0.1879643</v>
      </c>
      <c r="X6528">
        <v>0.98062729999999998</v>
      </c>
      <c r="Y6528">
        <v>-6.2850829999999996E-2</v>
      </c>
      <c r="Z6528">
        <v>3.183567E-3</v>
      </c>
      <c r="AA6528">
        <v>0.99801779999999995</v>
      </c>
      <c r="AB6528">
        <v>36</v>
      </c>
      <c r="AC6528">
        <v>17.890499999999999</v>
      </c>
      <c r="AD6528">
        <v>-1.1113908188899999</v>
      </c>
      <c r="AE6528">
        <v>0.77427999999999697</v>
      </c>
      <c r="AF6528">
        <v>-1.13542157185471</v>
      </c>
      <c r="AG6528">
        <v>-1.1113908188899999</v>
      </c>
      <c r="AH6528">
        <v>17.802363300232098</v>
      </c>
      <c r="AI6528">
        <v>93.565079977016197</v>
      </c>
      <c r="AJ6528">
        <v>93.649339566729196</v>
      </c>
      <c r="AK6528">
        <v>17.873122580332598</v>
      </c>
      <c r="AL6528">
        <v>79.165992770080607</v>
      </c>
      <c r="AM6528">
        <v>93.217802013341199</v>
      </c>
      <c r="AN6528">
        <v>0.99999996549923298</v>
      </c>
    </row>
    <row r="6529" spans="1:40" x14ac:dyDescent="0.25">
      <c r="A6529" t="str">
        <f>"20190312172536529"</f>
        <v>20190312172536529</v>
      </c>
      <c r="B6529" t="str">
        <f>"1552382736526908"</f>
        <v>1552382736526908</v>
      </c>
      <c r="C6529" t="s">
        <v>40</v>
      </c>
      <c r="D6529">
        <v>3.734362</v>
      </c>
      <c r="E6529">
        <v>0.49945349999999999</v>
      </c>
      <c r="F6529" t="s">
        <v>59</v>
      </c>
      <c r="G6529">
        <v>-225.1147</v>
      </c>
      <c r="H6529" s="1">
        <v>-1.7116069999999901E-6</v>
      </c>
      <c r="I6529">
        <v>-62.179659999999998</v>
      </c>
      <c r="J6529">
        <v>-243.06800000000001</v>
      </c>
      <c r="K6529">
        <v>1.1113710000000001</v>
      </c>
      <c r="L6529">
        <v>-62.972200000000001</v>
      </c>
      <c r="M6529">
        <v>0.99972709999999998</v>
      </c>
      <c r="N6529">
        <v>0</v>
      </c>
      <c r="O6529">
        <v>-1.9824540000000002E-2</v>
      </c>
      <c r="P6529">
        <v>0.98371260000000005</v>
      </c>
      <c r="Q6529">
        <v>0.17633299999999999</v>
      </c>
      <c r="R6529">
        <v>3.4876240000000003E-2</v>
      </c>
      <c r="S6529">
        <v>3.0785520000000002</v>
      </c>
      <c r="T6529">
        <v>-0.188691</v>
      </c>
      <c r="U6529">
        <v>0.13403319999999999</v>
      </c>
      <c r="V6529">
        <v>-5.4955520000000001E-2</v>
      </c>
      <c r="W6529">
        <v>0.18830150000000001</v>
      </c>
      <c r="X6529">
        <v>0.98057249999999996</v>
      </c>
      <c r="Y6529">
        <v>-6.3139849999999997E-2</v>
      </c>
      <c r="Z6529">
        <v>3.1458010000000002E-3</v>
      </c>
      <c r="AA6529">
        <v>0.99799970000000005</v>
      </c>
      <c r="AB6529">
        <v>36</v>
      </c>
      <c r="AC6529">
        <v>17.953299999999899</v>
      </c>
      <c r="AD6529">
        <v>-1.11137271160699</v>
      </c>
      <c r="AE6529">
        <v>0.79254000000000202</v>
      </c>
      <c r="AF6529">
        <v>-1.1439521625251701</v>
      </c>
      <c r="AG6529">
        <v>-1.11137271160699</v>
      </c>
      <c r="AH6529">
        <v>17.865729072545701</v>
      </c>
      <c r="AI6529">
        <v>93.552353473626297</v>
      </c>
      <c r="AJ6529">
        <v>93.663677872001898</v>
      </c>
      <c r="AK6529">
        <v>17.936779285809799</v>
      </c>
      <c r="AL6529">
        <v>79.146321705850198</v>
      </c>
      <c r="AM6529">
        <v>93.207747395002599</v>
      </c>
      <c r="AN6529">
        <v>0.99999999591848499</v>
      </c>
    </row>
    <row r="6530" spans="1:40" x14ac:dyDescent="0.25">
      <c r="A6530" t="str">
        <f>"20190312172536541"</f>
        <v>20190312172536541</v>
      </c>
      <c r="B6530" t="str">
        <f>"1552382736536666"</f>
        <v>1552382736536666</v>
      </c>
      <c r="C6530" t="s">
        <v>40</v>
      </c>
      <c r="D6530">
        <v>3.753457</v>
      </c>
      <c r="E6530">
        <v>0.49938129999999997</v>
      </c>
      <c r="F6530" t="s">
        <v>59</v>
      </c>
      <c r="G6530">
        <v>-224.82050000000001</v>
      </c>
      <c r="H6530" s="1">
        <v>-1.5817949999999999E-6</v>
      </c>
      <c r="I6530">
        <v>-62.163420000000002</v>
      </c>
      <c r="J6530">
        <v>-242.87909999999999</v>
      </c>
      <c r="K6530">
        <v>1.1113550000000001</v>
      </c>
      <c r="L6530">
        <v>-62.9754</v>
      </c>
      <c r="M6530">
        <v>0.99973860000000003</v>
      </c>
      <c r="N6530">
        <v>0</v>
      </c>
      <c r="O6530">
        <v>-1.9188319999999998E-2</v>
      </c>
      <c r="P6530">
        <v>0.98371109999999995</v>
      </c>
      <c r="Q6530">
        <v>0.1761945</v>
      </c>
      <c r="R6530">
        <v>3.5611080000000003E-2</v>
      </c>
      <c r="S6530">
        <v>3.07843</v>
      </c>
      <c r="T6530">
        <v>-0.18749399999999999</v>
      </c>
      <c r="U6530">
        <v>0.13644410000000001</v>
      </c>
      <c r="V6530">
        <v>-5.5049720000000003E-2</v>
      </c>
      <c r="W6530">
        <v>0.1882374</v>
      </c>
      <c r="X6530">
        <v>0.9805796</v>
      </c>
      <c r="Y6530">
        <v>-6.3289419999999999E-2</v>
      </c>
      <c r="Z6530">
        <v>3.0918040000000001E-3</v>
      </c>
      <c r="AA6530">
        <v>0.99799040000000006</v>
      </c>
      <c r="AB6530">
        <v>36</v>
      </c>
      <c r="AC6530">
        <v>18.058599999999899</v>
      </c>
      <c r="AD6530">
        <v>-1.111356581795</v>
      </c>
      <c r="AE6530">
        <v>0.81198000000000503</v>
      </c>
      <c r="AF6530">
        <v>-1.1540096022924</v>
      </c>
      <c r="AG6530">
        <v>-1.111356581795</v>
      </c>
      <c r="AH6530">
        <v>17.971764392408701</v>
      </c>
      <c r="AI6530">
        <v>93.531355382745502</v>
      </c>
      <c r="AJ6530">
        <v>93.674053735372297</v>
      </c>
      <c r="AK6530">
        <v>18.0430365235548</v>
      </c>
      <c r="AL6530">
        <v>79.150062064360995</v>
      </c>
      <c r="AM6530">
        <v>93.213211109318706</v>
      </c>
      <c r="AN6530">
        <v>1.00000007118349</v>
      </c>
    </row>
    <row r="6531" spans="1:40" x14ac:dyDescent="0.25">
      <c r="A6531" t="str">
        <f>"20190312172536551"</f>
        <v>20190312172536551</v>
      </c>
      <c r="B6531" t="str">
        <f>"1552382736546427"</f>
        <v>1552382736546427</v>
      </c>
      <c r="C6531" t="s">
        <v>40</v>
      </c>
      <c r="D6531">
        <v>3.7739590000000001</v>
      </c>
      <c r="E6531">
        <v>0.49931310000000001</v>
      </c>
      <c r="F6531" t="s">
        <v>59</v>
      </c>
      <c r="G6531">
        <v>-224.6609</v>
      </c>
      <c r="H6531" s="1">
        <v>-1.5109389999999901E-6</v>
      </c>
      <c r="I6531">
        <v>-62.152709999999999</v>
      </c>
      <c r="J6531">
        <v>-242.7175</v>
      </c>
      <c r="K6531">
        <v>1.1113379999999999</v>
      </c>
      <c r="L6531">
        <v>-62.978000000000002</v>
      </c>
      <c r="M6531">
        <v>0.99974730000000001</v>
      </c>
      <c r="N6531">
        <v>0</v>
      </c>
      <c r="O6531">
        <v>-1.867593E-2</v>
      </c>
      <c r="P6531">
        <v>0.98366299999999995</v>
      </c>
      <c r="Q6531">
        <v>0.17639949999999999</v>
      </c>
      <c r="R6531">
        <v>3.591921E-2</v>
      </c>
      <c r="S6531">
        <v>3.0782780000000001</v>
      </c>
      <c r="T6531">
        <v>-0.18778259999999999</v>
      </c>
      <c r="U6531">
        <v>0.13900760000000001</v>
      </c>
      <c r="V6531">
        <v>-5.4839619999999999E-2</v>
      </c>
      <c r="W6531">
        <v>0.1885146</v>
      </c>
      <c r="X6531">
        <v>0.98053809999999997</v>
      </c>
      <c r="Y6531">
        <v>-6.3609440000000003E-2</v>
      </c>
      <c r="Z6531">
        <v>3.075183E-3</v>
      </c>
      <c r="AA6531">
        <v>0.99797009999999997</v>
      </c>
      <c r="AB6531">
        <v>36</v>
      </c>
      <c r="AC6531">
        <v>18.0566</v>
      </c>
      <c r="AD6531">
        <v>-1.1113395109390001</v>
      </c>
      <c r="AE6531">
        <v>0.82529000000000197</v>
      </c>
      <c r="AF6531">
        <v>-1.1580186874837599</v>
      </c>
      <c r="AG6531">
        <v>-1.1113395109390001</v>
      </c>
      <c r="AH6531">
        <v>17.970105316734099</v>
      </c>
      <c r="AI6531">
        <v>93.531574792701605</v>
      </c>
      <c r="AJ6531">
        <v>93.687121873780299</v>
      </c>
      <c r="AK6531">
        <v>18.041639833553099</v>
      </c>
      <c r="AL6531">
        <v>79.133889937702506</v>
      </c>
      <c r="AM6531">
        <v>93.201108474510207</v>
      </c>
      <c r="AN6531">
        <v>1.0000000519432499</v>
      </c>
    </row>
    <row r="6532" spans="1:40" x14ac:dyDescent="0.25">
      <c r="A6532" t="str">
        <f>"20190312172536561"</f>
        <v>20190312172536561</v>
      </c>
      <c r="B6532" t="str">
        <f>"1552382736557162"</f>
        <v>1552382736557162</v>
      </c>
      <c r="C6532" t="s">
        <v>40</v>
      </c>
      <c r="D6532">
        <v>3.7647379999999999</v>
      </c>
      <c r="E6532">
        <v>0.49924609999999903</v>
      </c>
      <c r="F6532" t="s">
        <v>59</v>
      </c>
      <c r="G6532">
        <v>-224.41560000000001</v>
      </c>
      <c r="H6532" s="1">
        <v>-1.403739E-6</v>
      </c>
      <c r="I6532">
        <v>-62.143889999999999</v>
      </c>
      <c r="J6532">
        <v>-242.5607</v>
      </c>
      <c r="K6532">
        <v>1.111326</v>
      </c>
      <c r="L6532">
        <v>-62.980499999999999</v>
      </c>
      <c r="M6532">
        <v>0.99975579999999997</v>
      </c>
      <c r="N6532">
        <v>0</v>
      </c>
      <c r="O6532">
        <v>-1.8179730000000002E-2</v>
      </c>
      <c r="P6532">
        <v>0.98363080000000003</v>
      </c>
      <c r="Q6532">
        <v>0.17648559999999999</v>
      </c>
      <c r="R6532">
        <v>3.6380969999999999E-2</v>
      </c>
      <c r="S6532">
        <v>3.078201</v>
      </c>
      <c r="T6532">
        <v>-0.1869169</v>
      </c>
      <c r="U6532">
        <v>0.14028929999999901</v>
      </c>
      <c r="V6532">
        <v>-5.4800550000000003E-2</v>
      </c>
      <c r="W6532">
        <v>0.18867010000000001</v>
      </c>
      <c r="X6532">
        <v>0.9805104</v>
      </c>
      <c r="Y6532">
        <v>-6.3532389999999994E-2</v>
      </c>
      <c r="Z6532">
        <v>3.0286530000000001E-3</v>
      </c>
      <c r="AA6532">
        <v>0.99797519999999995</v>
      </c>
      <c r="AB6532">
        <v>36</v>
      </c>
      <c r="AC6532">
        <v>18.1450999999999</v>
      </c>
      <c r="AD6532">
        <v>-1.111327403739</v>
      </c>
      <c r="AE6532">
        <v>0.83660999999999996</v>
      </c>
      <c r="AF6532">
        <v>-1.16202109333409</v>
      </c>
      <c r="AG6532">
        <v>-1.111327403739</v>
      </c>
      <c r="AH6532">
        <v>18.0592906917595</v>
      </c>
      <c r="AI6532">
        <v>93.514161539396596</v>
      </c>
      <c r="AJ6532">
        <v>93.6816090186948</v>
      </c>
      <c r="AK6532">
        <v>18.1307286645938</v>
      </c>
      <c r="AL6532">
        <v>79.124817907988799</v>
      </c>
      <c r="AM6532">
        <v>93.198922792289196</v>
      </c>
      <c r="AN6532">
        <v>1.00000007571123</v>
      </c>
    </row>
    <row r="6533" spans="1:40" x14ac:dyDescent="0.25">
      <c r="A6533" t="str">
        <f>"20190312172536572"</f>
        <v>20190312172536572</v>
      </c>
      <c r="B6533" t="str">
        <f>"1552382736566926"</f>
        <v>1552382736566926</v>
      </c>
      <c r="C6533" t="s">
        <v>40</v>
      </c>
      <c r="D6533">
        <v>3.8320820000000002</v>
      </c>
      <c r="E6533">
        <v>0.49917050000000002</v>
      </c>
      <c r="F6533" t="s">
        <v>59</v>
      </c>
      <c r="G6533">
        <v>-224.22370000000001</v>
      </c>
      <c r="H6533" s="1">
        <v>-1.319285E-6</v>
      </c>
      <c r="I6533">
        <v>-62.134410000000003</v>
      </c>
      <c r="J6533">
        <v>-242.3792</v>
      </c>
      <c r="K6533">
        <v>1.1113059999999999</v>
      </c>
      <c r="L6533">
        <v>-62.983280000000001</v>
      </c>
      <c r="M6533">
        <v>0.99976430000000005</v>
      </c>
      <c r="N6533">
        <v>0</v>
      </c>
      <c r="O6533">
        <v>-1.764454E-2</v>
      </c>
      <c r="P6533">
        <v>0.98354640000000004</v>
      </c>
      <c r="Q6533">
        <v>0.1768305</v>
      </c>
      <c r="R6533">
        <v>3.6984759999999998E-2</v>
      </c>
      <c r="S6533">
        <v>3.0781559999999999</v>
      </c>
      <c r="T6533">
        <v>-0.1865531</v>
      </c>
      <c r="U6533">
        <v>0.14202879999999901</v>
      </c>
      <c r="V6533">
        <v>-5.4860369999999999E-2</v>
      </c>
      <c r="W6533">
        <v>0.18910689999999999</v>
      </c>
      <c r="X6533">
        <v>0.98042280000000004</v>
      </c>
      <c r="Y6533">
        <v>-6.3563149999999999E-2</v>
      </c>
      <c r="Z6533">
        <v>2.9913140000000001E-3</v>
      </c>
      <c r="AA6533">
        <v>0.99797329999999995</v>
      </c>
      <c r="AB6533">
        <v>36</v>
      </c>
      <c r="AC6533">
        <v>18.1554999999999</v>
      </c>
      <c r="AD6533">
        <v>-1.11130731928499</v>
      </c>
      <c r="AE6533">
        <v>0.848870000000012</v>
      </c>
      <c r="AF6533">
        <v>-1.16475441209083</v>
      </c>
      <c r="AG6533">
        <v>-1.11130731928499</v>
      </c>
      <c r="AH6533">
        <v>18.070137864167702</v>
      </c>
      <c r="AI6533">
        <v>93.511968714600499</v>
      </c>
      <c r="AJ6533">
        <v>93.688035967686204</v>
      </c>
      <c r="AK6533">
        <v>18.141707175136801</v>
      </c>
      <c r="AL6533">
        <v>79.099331205643693</v>
      </c>
      <c r="AM6533">
        <v>93.202692993010501</v>
      </c>
      <c r="AN6533">
        <v>0.99999997329199297</v>
      </c>
    </row>
    <row r="6534" spans="1:40" x14ac:dyDescent="0.25">
      <c r="A6534" t="str">
        <f>"20190312172536583"</f>
        <v>20190312172536583</v>
      </c>
      <c r="B6534" t="str">
        <f>"1552382736576682"</f>
        <v>1552382736576682</v>
      </c>
      <c r="C6534" t="s">
        <v>40</v>
      </c>
      <c r="D6534">
        <v>3.7725200000000001</v>
      </c>
      <c r="E6534">
        <v>0.4990793</v>
      </c>
      <c r="F6534" t="s">
        <v>59</v>
      </c>
      <c r="G6534">
        <v>-223.90790000000001</v>
      </c>
      <c r="H6534" s="1">
        <v>-1.1798609999999999E-6</v>
      </c>
      <c r="I6534">
        <v>-62.116680000000002</v>
      </c>
      <c r="J6534">
        <v>-242.20249999999999</v>
      </c>
      <c r="K6534">
        <v>1.1112899999999999</v>
      </c>
      <c r="L6534">
        <v>-62.985930000000003</v>
      </c>
      <c r="M6534">
        <v>0.99977199999999999</v>
      </c>
      <c r="N6534">
        <v>0</v>
      </c>
      <c r="O6534">
        <v>-1.7132720000000001E-2</v>
      </c>
      <c r="P6534">
        <v>0.98354410000000003</v>
      </c>
      <c r="Q6534">
        <v>0.17676929999999999</v>
      </c>
      <c r="R6534">
        <v>3.7332549999999999E-2</v>
      </c>
      <c r="S6534">
        <v>3.078049</v>
      </c>
      <c r="T6534">
        <v>-0.18518770000000001</v>
      </c>
      <c r="U6534">
        <v>0.14440919999999999</v>
      </c>
      <c r="V6534">
        <v>-5.4688460000000001E-2</v>
      </c>
      <c r="W6534">
        <v>0.1891388</v>
      </c>
      <c r="X6534">
        <v>0.98042629999999997</v>
      </c>
      <c r="Y6534">
        <v>-6.3826579999999994E-2</v>
      </c>
      <c r="Z6534">
        <v>2.9466710000000001E-3</v>
      </c>
      <c r="AA6534">
        <v>0.99795659999999997</v>
      </c>
      <c r="AB6534">
        <v>36</v>
      </c>
      <c r="AC6534">
        <v>18.2945999999999</v>
      </c>
      <c r="AD6534">
        <v>-1.1112911798609999</v>
      </c>
      <c r="AE6534">
        <v>0.86925000000000097</v>
      </c>
      <c r="AF6534">
        <v>-1.17824633937916</v>
      </c>
      <c r="AG6534">
        <v>-1.1112911798609999</v>
      </c>
      <c r="AH6534">
        <v>18.209979606014901</v>
      </c>
      <c r="AI6534">
        <v>93.484960157300193</v>
      </c>
      <c r="AJ6534">
        <v>93.702067285383393</v>
      </c>
      <c r="AK6534">
        <v>18.281865051853298</v>
      </c>
      <c r="AL6534">
        <v>79.097470412011404</v>
      </c>
      <c r="AM6534">
        <v>93.192666481115197</v>
      </c>
      <c r="AN6534">
        <v>1.0000000215271501</v>
      </c>
    </row>
    <row r="6535" spans="1:40" x14ac:dyDescent="0.25">
      <c r="A6535" t="str">
        <f>"20190312172536594"</f>
        <v>20190312172536594</v>
      </c>
      <c r="B6535" t="str">
        <f>"1552382736586443"</f>
        <v>1552382736586443</v>
      </c>
      <c r="C6535" t="s">
        <v>40</v>
      </c>
      <c r="D6535">
        <v>3.8247429999999998</v>
      </c>
      <c r="E6535">
        <v>0.49900620000000001</v>
      </c>
      <c r="F6535" t="s">
        <v>59</v>
      </c>
      <c r="G6535">
        <v>-223.7039</v>
      </c>
      <c r="H6535" s="1">
        <v>-1.090538E-6</v>
      </c>
      <c r="I6535">
        <v>-62.108460000000001</v>
      </c>
      <c r="J6535">
        <v>-242.02600000000001</v>
      </c>
      <c r="K6535">
        <v>1.1112690000000001</v>
      </c>
      <c r="L6535">
        <v>-62.988460000000003</v>
      </c>
      <c r="M6535">
        <v>0.99977890000000003</v>
      </c>
      <c r="N6535">
        <v>0</v>
      </c>
      <c r="O6535">
        <v>-1.665173E-2</v>
      </c>
      <c r="P6535">
        <v>0.98350599999999999</v>
      </c>
      <c r="Q6535">
        <v>0.17693249999999999</v>
      </c>
      <c r="R6535">
        <v>3.7562249999999998E-2</v>
      </c>
      <c r="S6535">
        <v>3.0778660000000002</v>
      </c>
      <c r="T6535">
        <v>-0.18490039999999999</v>
      </c>
      <c r="U6535">
        <v>0.14599609999999999</v>
      </c>
      <c r="V6535">
        <v>-5.4427580000000003E-2</v>
      </c>
      <c r="W6535">
        <v>0.18940199999999999</v>
      </c>
      <c r="X6535">
        <v>0.98038999999999998</v>
      </c>
      <c r="Y6535">
        <v>-6.3863909999999996E-2</v>
      </c>
      <c r="Z6535">
        <v>2.9145120000000002E-3</v>
      </c>
      <c r="AA6535">
        <v>0.99795440000000002</v>
      </c>
      <c r="AB6535">
        <v>36</v>
      </c>
      <c r="AC6535">
        <v>18.322099999999899</v>
      </c>
      <c r="AD6535">
        <v>-1.111270090538</v>
      </c>
      <c r="AE6535">
        <v>0.87999999999999501</v>
      </c>
      <c r="AF6535">
        <v>-1.1806645258263599</v>
      </c>
      <c r="AG6535">
        <v>-1.111270090538</v>
      </c>
      <c r="AH6535">
        <v>18.2379677649574</v>
      </c>
      <c r="AI6535">
        <v>93.479551934250694</v>
      </c>
      <c r="AJ6535">
        <v>93.703967073064405</v>
      </c>
      <c r="AK6535">
        <v>18.309897818728899</v>
      </c>
      <c r="AL6535">
        <v>79.082112504538401</v>
      </c>
      <c r="AM6535">
        <v>93.177585215280004</v>
      </c>
      <c r="AN6535">
        <v>1.0000000155843201</v>
      </c>
    </row>
    <row r="6536" spans="1:40" x14ac:dyDescent="0.25">
      <c r="A6536" t="str">
        <f>"20190312172536605"</f>
        <v>20190312172536605</v>
      </c>
      <c r="B6536" t="str">
        <f>"1552382736597179"</f>
        <v>1552382736597179</v>
      </c>
      <c r="C6536" t="s">
        <v>40</v>
      </c>
      <c r="D6536">
        <v>3.8072859999999999</v>
      </c>
      <c r="E6536">
        <v>0.49894300000000003</v>
      </c>
      <c r="F6536" t="s">
        <v>59</v>
      </c>
      <c r="G6536">
        <v>-223.4512</v>
      </c>
      <c r="H6536" s="1">
        <v>-9.7992140000000005E-7</v>
      </c>
      <c r="I6536">
        <v>-62.098519999999901</v>
      </c>
      <c r="J6536">
        <v>-241.84540000000001</v>
      </c>
      <c r="K6536">
        <v>1.111248</v>
      </c>
      <c r="L6536">
        <v>-62.991059999999997</v>
      </c>
      <c r="M6536">
        <v>0.99978549999999999</v>
      </c>
      <c r="N6536">
        <v>0</v>
      </c>
      <c r="O6536">
        <v>-1.617497E-2</v>
      </c>
      <c r="P6536">
        <v>0.9835161</v>
      </c>
      <c r="Q6536">
        <v>0.1768026</v>
      </c>
      <c r="R6536">
        <v>3.7911819999999999E-2</v>
      </c>
      <c r="S6536">
        <v>3.0778050000000001</v>
      </c>
      <c r="T6536">
        <v>-0.18413470000000001</v>
      </c>
      <c r="U6536">
        <v>0.14746090000000001</v>
      </c>
      <c r="V6536">
        <v>-5.4289959999999998E-2</v>
      </c>
      <c r="W6536">
        <v>0.18937519999999999</v>
      </c>
      <c r="X6536">
        <v>0.98040280000000002</v>
      </c>
      <c r="Y6536">
        <v>-6.3864900000000002E-2</v>
      </c>
      <c r="Z6536">
        <v>2.8740340000000001E-3</v>
      </c>
      <c r="AA6536">
        <v>0.99795440000000002</v>
      </c>
      <c r="AB6536">
        <v>36</v>
      </c>
      <c r="AC6536">
        <v>18.394200000000001</v>
      </c>
      <c r="AD6536">
        <v>-1.1112489799214</v>
      </c>
      <c r="AE6536">
        <v>0.892540000000003</v>
      </c>
      <c r="AF6536">
        <v>-1.18565657950581</v>
      </c>
      <c r="AG6536">
        <v>-1.1112489799214</v>
      </c>
      <c r="AH6536">
        <v>18.3106830867927</v>
      </c>
      <c r="AI6536">
        <v>93.465698553739998</v>
      </c>
      <c r="AJ6536">
        <v>93.704854234300697</v>
      </c>
      <c r="AK6536">
        <v>18.382648637366099</v>
      </c>
      <c r="AL6536">
        <v>79.083676251529795</v>
      </c>
      <c r="AM6536">
        <v>93.169525804289407</v>
      </c>
      <c r="AN6536">
        <v>1.0000000081898399</v>
      </c>
    </row>
    <row r="6537" spans="1:40" x14ac:dyDescent="0.25">
      <c r="A6537" t="str">
        <f>"20190312172536616"</f>
        <v>20190312172536616</v>
      </c>
      <c r="B6537" t="str">
        <f>"1552382736606939"</f>
        <v>1552382736606939</v>
      </c>
      <c r="C6537" t="s">
        <v>40</v>
      </c>
      <c r="D6537">
        <v>3.7924419999999999</v>
      </c>
      <c r="E6537">
        <v>0.49887910000000002</v>
      </c>
      <c r="F6537" t="s">
        <v>59</v>
      </c>
      <c r="G6537">
        <v>-223.30340000000001</v>
      </c>
      <c r="H6537" s="1">
        <v>-9.1540370000000003E-7</v>
      </c>
      <c r="I6537">
        <v>-62.09346</v>
      </c>
      <c r="J6537">
        <v>-241.67500000000001</v>
      </c>
      <c r="K6537">
        <v>1.1112280000000001</v>
      </c>
      <c r="L6537">
        <v>-62.993409999999997</v>
      </c>
      <c r="M6537">
        <v>0.99979110000000004</v>
      </c>
      <c r="N6537">
        <v>0</v>
      </c>
      <c r="O6537">
        <v>-1.574478E-2</v>
      </c>
      <c r="P6537">
        <v>0.98355740000000003</v>
      </c>
      <c r="Q6537">
        <v>0.17650179999999999</v>
      </c>
      <c r="R6537">
        <v>3.8238210000000002E-2</v>
      </c>
      <c r="S6537">
        <v>3.0776819999999998</v>
      </c>
      <c r="T6537">
        <v>-0.18445030000000001</v>
      </c>
      <c r="U6537">
        <v>0.1489868</v>
      </c>
      <c r="V6537">
        <v>-5.4175699999999903E-2</v>
      </c>
      <c r="W6537">
        <v>0.18917300000000001</v>
      </c>
      <c r="X6537">
        <v>0.98044810000000004</v>
      </c>
      <c r="Y6537">
        <v>-6.3931210000000002E-2</v>
      </c>
      <c r="Z6537">
        <v>2.8552669999999999E-3</v>
      </c>
      <c r="AA6537">
        <v>0.99795020000000001</v>
      </c>
      <c r="AB6537">
        <v>36</v>
      </c>
      <c r="AC6537">
        <v>18.371600000000001</v>
      </c>
      <c r="AD6537">
        <v>-1.1112289154037001</v>
      </c>
      <c r="AE6537">
        <v>0.89994999999999603</v>
      </c>
      <c r="AF6537">
        <v>-1.1847954979775399</v>
      </c>
      <c r="AG6537">
        <v>-1.1112289154037001</v>
      </c>
      <c r="AH6537">
        <v>18.288402117979199</v>
      </c>
      <c r="AI6537">
        <v>93.4698409441568</v>
      </c>
      <c r="AJ6537">
        <v>93.706668904997898</v>
      </c>
      <c r="AK6537">
        <v>18.360398201111099</v>
      </c>
      <c r="AL6537">
        <v>79.095474121205001</v>
      </c>
      <c r="AM6537">
        <v>93.162722860672304</v>
      </c>
      <c r="AN6537">
        <v>0.99999995359654803</v>
      </c>
    </row>
    <row r="6538" spans="1:40" x14ac:dyDescent="0.25">
      <c r="A6538" t="str">
        <f>"20190312172536628"</f>
        <v>20190312172536628</v>
      </c>
      <c r="B6538" t="str">
        <f>"1552382736616699"</f>
        <v>1552382736616699</v>
      </c>
      <c r="C6538" t="s">
        <v>40</v>
      </c>
      <c r="D6538">
        <v>3.9067059999999998</v>
      </c>
      <c r="E6538">
        <v>0.49877630000000001</v>
      </c>
      <c r="F6538" t="s">
        <v>59</v>
      </c>
      <c r="G6538">
        <v>-223.21299999999999</v>
      </c>
      <c r="H6538" s="1">
        <v>-8.7619240000000004E-7</v>
      </c>
      <c r="I6538">
        <v>-62.091589999999997</v>
      </c>
      <c r="J6538">
        <v>-241.4992</v>
      </c>
      <c r="K6538">
        <v>1.1112089999999999</v>
      </c>
      <c r="L6538">
        <v>-62.995759999999997</v>
      </c>
      <c r="M6538">
        <v>0.99979649999999998</v>
      </c>
      <c r="N6538">
        <v>0</v>
      </c>
      <c r="O6538">
        <v>-1.532261E-2</v>
      </c>
      <c r="P6538">
        <v>0.98352189999999995</v>
      </c>
      <c r="Q6538">
        <v>0.17659530000000001</v>
      </c>
      <c r="R6538">
        <v>3.8719839999999998E-2</v>
      </c>
      <c r="S6538">
        <v>3.0775600000000001</v>
      </c>
      <c r="T6538">
        <v>-0.18523800000000001</v>
      </c>
      <c r="U6538">
        <v>0.15032960000000001</v>
      </c>
      <c r="V6538">
        <v>-5.4224170000000002E-2</v>
      </c>
      <c r="W6538">
        <v>0.18936310000000001</v>
      </c>
      <c r="X6538">
        <v>0.98040879999999997</v>
      </c>
      <c r="Y6538">
        <v>-6.3945630000000003E-2</v>
      </c>
      <c r="Z6538">
        <v>2.8425799999999999E-3</v>
      </c>
      <c r="AA6538">
        <v>0.99794939999999999</v>
      </c>
      <c r="AB6538">
        <v>36</v>
      </c>
      <c r="AC6538">
        <v>18.286200000000001</v>
      </c>
      <c r="AD6538">
        <v>-1.1112098761923901</v>
      </c>
      <c r="AE6538">
        <v>0.90416999999999303</v>
      </c>
      <c r="AF6538">
        <v>-1.1799337422016301</v>
      </c>
      <c r="AG6538">
        <v>-1.1112098761923901</v>
      </c>
      <c r="AH6538">
        <v>18.203142434055401</v>
      </c>
      <c r="AI6538">
        <v>93.485985224016702</v>
      </c>
      <c r="AJ6538">
        <v>93.708742965407794</v>
      </c>
      <c r="AK6538">
        <v>18.2751586997061</v>
      </c>
      <c r="AL6538">
        <v>79.084382543347203</v>
      </c>
      <c r="AM6538">
        <v>93.1656733722063</v>
      </c>
      <c r="AN6538">
        <v>1.00000002968561</v>
      </c>
    </row>
    <row r="6539" spans="1:40" x14ac:dyDescent="0.25">
      <c r="A6539" t="str">
        <f>"20190312172536638"</f>
        <v>20190312172536638</v>
      </c>
      <c r="B6539" t="str">
        <f>"1552382736626458"</f>
        <v>1552382736626458</v>
      </c>
      <c r="C6539" t="s">
        <v>40</v>
      </c>
      <c r="D6539">
        <v>3.8487499999999999</v>
      </c>
      <c r="E6539">
        <v>0.49871650000000001</v>
      </c>
      <c r="F6539" t="s">
        <v>59</v>
      </c>
      <c r="G6539">
        <v>-222.95830000000001</v>
      </c>
      <c r="H6539" s="1">
        <v>-7.6374289999999997E-7</v>
      </c>
      <c r="I6539">
        <v>-62.077350000000003</v>
      </c>
      <c r="J6539">
        <v>-241.32409999999999</v>
      </c>
      <c r="K6539">
        <v>1.1111879999999901</v>
      </c>
      <c r="L6539">
        <v>-62.998080000000002</v>
      </c>
      <c r="M6539">
        <v>0.9998013</v>
      </c>
      <c r="N6539">
        <v>0</v>
      </c>
      <c r="O6539">
        <v>-1.491665E-2</v>
      </c>
      <c r="P6539">
        <v>0.98356949999999999</v>
      </c>
      <c r="Q6539">
        <v>0.1762996</v>
      </c>
      <c r="R6539">
        <v>3.885595E-2</v>
      </c>
      <c r="S6539">
        <v>3.0773769999999998</v>
      </c>
      <c r="T6539">
        <v>-0.18443560000000001</v>
      </c>
      <c r="U6539">
        <v>0.1524353</v>
      </c>
      <c r="V6539">
        <v>-5.3943900000000003E-2</v>
      </c>
      <c r="W6539">
        <v>0.189165</v>
      </c>
      <c r="X6539">
        <v>0.98046250000000001</v>
      </c>
      <c r="Y6539">
        <v>-6.4225989999999997E-2</v>
      </c>
      <c r="Z6539">
        <v>2.8145029999999999E-3</v>
      </c>
      <c r="AA6539">
        <v>0.99793140000000002</v>
      </c>
      <c r="AB6539">
        <v>36</v>
      </c>
      <c r="AC6539">
        <v>18.365799999999901</v>
      </c>
      <c r="AD6539">
        <v>-1.1111887637429001</v>
      </c>
      <c r="AE6539">
        <v>0.92072999999999805</v>
      </c>
      <c r="AF6539">
        <v>-1.19026152187125</v>
      </c>
      <c r="AG6539">
        <v>-1.1111887637429001</v>
      </c>
      <c r="AH6539">
        <v>18.2832603817475</v>
      </c>
      <c r="AI6539">
        <v>93.470618250377697</v>
      </c>
      <c r="AJ6539">
        <v>93.724765785996894</v>
      </c>
      <c r="AK6539">
        <v>18.3556278330623</v>
      </c>
      <c r="AL6539">
        <v>79.095941734009301</v>
      </c>
      <c r="AM6539">
        <v>93.149171746999698</v>
      </c>
      <c r="AN6539">
        <v>1.00000002773922</v>
      </c>
    </row>
    <row r="6540" spans="1:40" x14ac:dyDescent="0.25">
      <c r="A6540" t="str">
        <f>"20190312172536650"</f>
        <v>20190312172536650</v>
      </c>
      <c r="B6540" t="str">
        <f>"1552382736646955"</f>
        <v>1552382736646955</v>
      </c>
      <c r="C6540" t="s">
        <v>40</v>
      </c>
      <c r="D6540">
        <v>3.858266</v>
      </c>
      <c r="E6540">
        <v>0.49863819999999998</v>
      </c>
      <c r="F6540" t="s">
        <v>59</v>
      </c>
      <c r="G6540">
        <v>-222.84190000000001</v>
      </c>
      <c r="H6540" s="1">
        <v>-7.1374629999999997E-7</v>
      </c>
      <c r="I6540">
        <v>-62.077030000000001</v>
      </c>
      <c r="J6540">
        <v>-241.14840000000001</v>
      </c>
      <c r="K6540">
        <v>1.1111629999999999</v>
      </c>
      <c r="L6540">
        <v>-63.000309999999999</v>
      </c>
      <c r="M6540">
        <v>0.99980559999999996</v>
      </c>
      <c r="N6540">
        <v>0</v>
      </c>
      <c r="O6540">
        <v>-1.454132E-2</v>
      </c>
      <c r="P6540">
        <v>0.9835469</v>
      </c>
      <c r="Q6540">
        <v>0.1763335</v>
      </c>
      <c r="R6540">
        <v>3.9267549999999998E-2</v>
      </c>
      <c r="S6540">
        <v>3.0772249999999999</v>
      </c>
      <c r="T6540">
        <v>-0.18500900000000001</v>
      </c>
      <c r="U6540">
        <v>0.15335079999999901</v>
      </c>
      <c r="V6540">
        <v>-5.3968759999999998E-2</v>
      </c>
      <c r="W6540">
        <v>0.1892896</v>
      </c>
      <c r="X6540">
        <v>0.980437</v>
      </c>
      <c r="Y6540">
        <v>-6.4149919999999999E-2</v>
      </c>
      <c r="Z6540">
        <v>2.7985390000000001E-3</v>
      </c>
      <c r="AA6540">
        <v>0.99793639999999995</v>
      </c>
      <c r="AB6540">
        <v>36</v>
      </c>
      <c r="AC6540">
        <v>18.3065</v>
      </c>
      <c r="AD6540">
        <v>-1.1111637137463</v>
      </c>
      <c r="AE6540">
        <v>0.923279999999991</v>
      </c>
      <c r="AF6540">
        <v>-1.18505172880465</v>
      </c>
      <c r="AG6540">
        <v>-1.1111637137463</v>
      </c>
      <c r="AH6540">
        <v>18.224165729720799</v>
      </c>
      <c r="AI6540">
        <v>93.481783146514005</v>
      </c>
      <c r="AJ6540">
        <v>93.720499709349099</v>
      </c>
      <c r="AK6540">
        <v>18.296427217984899</v>
      </c>
      <c r="AL6540">
        <v>79.088670417880806</v>
      </c>
      <c r="AM6540">
        <v>93.150701895753102</v>
      </c>
      <c r="AN6540">
        <v>0.99999994534654701</v>
      </c>
    </row>
    <row r="6541" spans="1:40" x14ac:dyDescent="0.25">
      <c r="A6541" t="str">
        <f>"20190312172536661"</f>
        <v>20190312172536661</v>
      </c>
      <c r="B6541" t="str">
        <f>"1552382736656718"</f>
        <v>1552382736656718</v>
      </c>
      <c r="C6541" t="s">
        <v>40</v>
      </c>
      <c r="D6541">
        <v>3.8414299999999999</v>
      </c>
      <c r="E6541">
        <v>0.49860070000000001</v>
      </c>
      <c r="F6541" t="s">
        <v>59</v>
      </c>
      <c r="G6541">
        <v>-222.6275</v>
      </c>
      <c r="H6541" s="1">
        <v>-6.1969820000000001E-7</v>
      </c>
      <c r="I6541">
        <v>-62.067740000000001</v>
      </c>
      <c r="J6541">
        <v>-240.96520000000001</v>
      </c>
      <c r="K6541">
        <v>1.111138</v>
      </c>
      <c r="L6541">
        <v>-63.002589999999998</v>
      </c>
      <c r="M6541">
        <v>0.99980999999999998</v>
      </c>
      <c r="N6541">
        <v>0</v>
      </c>
      <c r="O6541">
        <v>-1.415985E-2</v>
      </c>
      <c r="P6541">
        <v>0.98360630000000004</v>
      </c>
      <c r="Q6541">
        <v>0.17596589999999901</v>
      </c>
      <c r="R6541">
        <v>3.9434410000000003E-2</v>
      </c>
      <c r="S6541">
        <v>3.0771030000000001</v>
      </c>
      <c r="T6541">
        <v>-0.18461040000000001</v>
      </c>
      <c r="U6541">
        <v>0.15493770000000001</v>
      </c>
      <c r="V6541">
        <v>-5.3741629999999999E-2</v>
      </c>
      <c r="W6541">
        <v>0.18901609999999999</v>
      </c>
      <c r="X6541">
        <v>0.98050230000000005</v>
      </c>
      <c r="Y6541">
        <v>-6.4285549999999997E-2</v>
      </c>
      <c r="Z6541">
        <v>2.7738020000000001E-3</v>
      </c>
      <c r="AA6541">
        <v>0.99792769999999997</v>
      </c>
      <c r="AB6541">
        <v>36</v>
      </c>
      <c r="AC6541">
        <v>18.337700000000002</v>
      </c>
      <c r="AD6541">
        <v>-1.1111386196981901</v>
      </c>
      <c r="AE6541">
        <v>0.93485000000000396</v>
      </c>
      <c r="AF6541">
        <v>-1.19008055629155</v>
      </c>
      <c r="AG6541">
        <v>-1.1111386196981901</v>
      </c>
      <c r="AH6541">
        <v>18.255769875957199</v>
      </c>
      <c r="AI6541">
        <v>93.475655400953698</v>
      </c>
      <c r="AJ6541">
        <v>93.729793353241604</v>
      </c>
      <c r="AK6541">
        <v>18.328231080127601</v>
      </c>
      <c r="AL6541">
        <v>79.104629555836993</v>
      </c>
      <c r="AM6541">
        <v>93.137260036044296</v>
      </c>
      <c r="AN6541">
        <v>1.0000000045797699</v>
      </c>
    </row>
    <row r="6542" spans="1:40" x14ac:dyDescent="0.25">
      <c r="A6542" t="str">
        <f>"20190312172536673"</f>
        <v>20190312172536673</v>
      </c>
      <c r="B6542" t="str">
        <f>"1552382736666474"</f>
        <v>1552382736666474</v>
      </c>
      <c r="C6542" t="s">
        <v>40</v>
      </c>
      <c r="D6542">
        <v>3.8338399999999999</v>
      </c>
      <c r="E6542">
        <v>0.49856210000000001</v>
      </c>
      <c r="F6542" t="s">
        <v>59</v>
      </c>
      <c r="G6542">
        <v>-222.55959999999999</v>
      </c>
      <c r="H6542" s="1">
        <v>-5.9129719999999996E-7</v>
      </c>
      <c r="I6542">
        <v>-62.071040000000004</v>
      </c>
      <c r="J6542">
        <v>-240.78139999999999</v>
      </c>
      <c r="K6542">
        <v>1.111108</v>
      </c>
      <c r="L6542">
        <v>-63.004849999999998</v>
      </c>
      <c r="M6542">
        <v>0.99981359999999997</v>
      </c>
      <c r="N6542">
        <v>0</v>
      </c>
      <c r="O6542">
        <v>-1.3818540000000001E-2</v>
      </c>
      <c r="P6542">
        <v>0.98361330000000002</v>
      </c>
      <c r="Q6542">
        <v>0.17587720000000001</v>
      </c>
      <c r="R6542">
        <v>3.9649110000000001E-2</v>
      </c>
      <c r="S6542">
        <v>3.076965</v>
      </c>
      <c r="T6542">
        <v>-0.18575449999999999</v>
      </c>
      <c r="U6542">
        <v>0.15573119999999999</v>
      </c>
      <c r="V6542">
        <v>-5.3601860000000001E-2</v>
      </c>
      <c r="W6542">
        <v>0.1890143</v>
      </c>
      <c r="X6542">
        <v>0.98051029999999995</v>
      </c>
      <c r="Y6542">
        <v>-6.4202850000000006E-2</v>
      </c>
      <c r="Z6542">
        <v>2.768001E-3</v>
      </c>
      <c r="AA6542">
        <v>0.99793299999999996</v>
      </c>
      <c r="AB6542">
        <v>35</v>
      </c>
      <c r="AC6542">
        <v>18.221800000000002</v>
      </c>
      <c r="AD6542">
        <v>-1.1111085912972001</v>
      </c>
      <c r="AE6542">
        <v>0.93380999999999403</v>
      </c>
      <c r="AF6542">
        <v>-1.1811621182946499</v>
      </c>
      <c r="AG6542">
        <v>-1.1111085912972001</v>
      </c>
      <c r="AH6542">
        <v>18.1398840985287</v>
      </c>
      <c r="AI6542">
        <v>93.497727232252998</v>
      </c>
      <c r="AJ6542">
        <v>93.725503526513705</v>
      </c>
      <c r="AK6542">
        <v>18.212223954240301</v>
      </c>
      <c r="AL6542">
        <v>79.10473460483</v>
      </c>
      <c r="AM6542">
        <v>93.129091477739806</v>
      </c>
      <c r="AN6542">
        <v>1.0000000067030099</v>
      </c>
    </row>
    <row r="6543" spans="1:40" x14ac:dyDescent="0.25">
      <c r="A6543" t="str">
        <f>"20190312172536685"</f>
        <v>20190312172536685</v>
      </c>
      <c r="B6543" t="str">
        <f>"1552382736677211"</f>
        <v>1552382736677211</v>
      </c>
      <c r="C6543" t="s">
        <v>40</v>
      </c>
      <c r="D6543">
        <v>3.8879239999999999</v>
      </c>
      <c r="E6543">
        <v>0.49851580000000001</v>
      </c>
      <c r="F6543" t="s">
        <v>59</v>
      </c>
      <c r="G6543">
        <v>-222.40700000000001</v>
      </c>
      <c r="H6543" s="1">
        <v>-5.2537909999999997E-7</v>
      </c>
      <c r="I6543">
        <v>-62.068860000000001</v>
      </c>
      <c r="J6543">
        <v>-240.59979999999999</v>
      </c>
      <c r="K6543">
        <v>1.111075</v>
      </c>
      <c r="L6543">
        <v>-63.007080000000002</v>
      </c>
      <c r="M6543">
        <v>0.99981710000000001</v>
      </c>
      <c r="N6543">
        <v>0</v>
      </c>
      <c r="O6543">
        <v>-1.349212E-2</v>
      </c>
      <c r="P6543">
        <v>0.98362119999999997</v>
      </c>
      <c r="Q6543">
        <v>0.1758181</v>
      </c>
      <c r="R6543">
        <v>3.9720270000000002E-2</v>
      </c>
      <c r="S6543">
        <v>3.0769350000000002</v>
      </c>
      <c r="T6543">
        <v>-0.18606349999999999</v>
      </c>
      <c r="U6543">
        <v>0.156738299999999</v>
      </c>
      <c r="V6543">
        <v>-5.3333690000000003E-2</v>
      </c>
      <c r="W6543">
        <v>0.18903909999999999</v>
      </c>
      <c r="X6543">
        <v>0.98052010000000001</v>
      </c>
      <c r="Y6543">
        <v>-6.4203460000000004E-2</v>
      </c>
      <c r="Z6543">
        <v>2.752909E-3</v>
      </c>
      <c r="AA6543">
        <v>0.99793299999999996</v>
      </c>
      <c r="AB6543">
        <v>35</v>
      </c>
      <c r="AC6543">
        <v>18.192799999999899</v>
      </c>
      <c r="AD6543">
        <v>-1.1110755253791</v>
      </c>
      <c r="AE6543">
        <v>0.93822000000000105</v>
      </c>
      <c r="AF6543">
        <v>-1.17922992698105</v>
      </c>
      <c r="AG6543">
        <v>-1.1110755253791</v>
      </c>
      <c r="AH6543">
        <v>18.1111119580459</v>
      </c>
      <c r="AI6543">
        <v>93.503166792788605</v>
      </c>
      <c r="AJ6543">
        <v>93.725318547624994</v>
      </c>
      <c r="AK6543">
        <v>18.183438849696699</v>
      </c>
      <c r="AL6543">
        <v>79.103287124304202</v>
      </c>
      <c r="AM6543">
        <v>93.113436459030794</v>
      </c>
      <c r="AN6543">
        <v>0.99999996516091705</v>
      </c>
    </row>
    <row r="6544" spans="1:40" x14ac:dyDescent="0.25">
      <c r="A6544" t="str">
        <f>"20190312172536694"</f>
        <v>20190312172536694</v>
      </c>
      <c r="B6544" t="str">
        <f>"1552382736686972"</f>
        <v>1552382736686972</v>
      </c>
      <c r="C6544" t="s">
        <v>40</v>
      </c>
      <c r="D6544">
        <v>3.7886259999999998</v>
      </c>
      <c r="E6544">
        <v>0.49849470000000001</v>
      </c>
      <c r="F6544" t="s">
        <v>59</v>
      </c>
      <c r="G6544">
        <v>-222.25040000000001</v>
      </c>
      <c r="H6544" s="1">
        <v>-4.5798119999999999E-7</v>
      </c>
      <c r="I6544">
        <v>-62.067979999999999</v>
      </c>
      <c r="J6544">
        <v>-240.43299999999999</v>
      </c>
      <c r="K6544">
        <v>1.1110450000000001</v>
      </c>
      <c r="L6544">
        <v>-63.009030000000003</v>
      </c>
      <c r="M6544">
        <v>0.99981980000000004</v>
      </c>
      <c r="N6544">
        <v>0</v>
      </c>
      <c r="O6544">
        <v>-1.3216489999999999E-2</v>
      </c>
      <c r="P6544">
        <v>0.98367289999999996</v>
      </c>
      <c r="Q6544">
        <v>0.1755216</v>
      </c>
      <c r="R6544">
        <v>3.9747770000000002E-2</v>
      </c>
      <c r="S6544">
        <v>3.076889</v>
      </c>
      <c r="T6544">
        <v>-0.18630840000000001</v>
      </c>
      <c r="U6544">
        <v>0.15747069999999999</v>
      </c>
      <c r="V6544">
        <v>-5.3073250000000002E-2</v>
      </c>
      <c r="W6544">
        <v>0.1888157</v>
      </c>
      <c r="X6544">
        <v>0.98057729999999999</v>
      </c>
      <c r="Y6544">
        <v>-6.4166249999999994E-2</v>
      </c>
      <c r="Z6544">
        <v>2.7387599999999998E-3</v>
      </c>
      <c r="AA6544">
        <v>0.99793549999999998</v>
      </c>
      <c r="AB6544">
        <v>35</v>
      </c>
      <c r="AC6544">
        <v>18.182599999999901</v>
      </c>
      <c r="AD6544">
        <v>-1.1110454579811999</v>
      </c>
      <c r="AE6544">
        <v>0.94104999999999706</v>
      </c>
      <c r="AF6544">
        <v>-1.1769176159810799</v>
      </c>
      <c r="AG6544">
        <v>-1.1110454579811999</v>
      </c>
      <c r="AH6544">
        <v>18.101167391932499</v>
      </c>
      <c r="AI6544">
        <v>93.505012811681596</v>
      </c>
      <c r="AJ6544">
        <v>93.720071119203794</v>
      </c>
      <c r="AK6544">
        <v>18.1733821297871</v>
      </c>
      <c r="AL6544">
        <v>79.116322013638396</v>
      </c>
      <c r="AM6544">
        <v>93.098082186216601</v>
      </c>
      <c r="AN6544">
        <v>0.999999989853671</v>
      </c>
    </row>
    <row r="6545" spans="1:40" x14ac:dyDescent="0.25">
      <c r="A6545" t="str">
        <f>"20190312172536706"</f>
        <v>20190312172536706</v>
      </c>
      <c r="B6545" t="str">
        <f>"1552382736696731"</f>
        <v>1552382736696731</v>
      </c>
      <c r="C6545" t="s">
        <v>40</v>
      </c>
      <c r="D6545">
        <v>3.9168180000000001</v>
      </c>
      <c r="E6545">
        <v>0.49845859999999897</v>
      </c>
      <c r="F6545" t="s">
        <v>59</v>
      </c>
      <c r="G6545">
        <v>-222.18190000000001</v>
      </c>
      <c r="H6545" s="1">
        <v>-4.2973200000000003E-7</v>
      </c>
      <c r="I6545">
        <v>-62.072960000000002</v>
      </c>
      <c r="J6545">
        <v>-240.25810000000001</v>
      </c>
      <c r="K6545">
        <v>1.1110139999999999</v>
      </c>
      <c r="L6545">
        <v>-63.01108</v>
      </c>
      <c r="M6545">
        <v>0.9998224</v>
      </c>
      <c r="N6545">
        <v>0</v>
      </c>
      <c r="O6545">
        <v>-1.294258E-2</v>
      </c>
      <c r="P6545">
        <v>0.98368440000000001</v>
      </c>
      <c r="Q6545">
        <v>0.17541679999999901</v>
      </c>
      <c r="R6545">
        <v>3.9929039999999999E-2</v>
      </c>
      <c r="S6545">
        <v>3.0768279999999999</v>
      </c>
      <c r="T6545">
        <v>-0.18730350000000001</v>
      </c>
      <c r="U6545">
        <v>0.15780640000000001</v>
      </c>
      <c r="V6545">
        <v>-5.2967439999999998E-2</v>
      </c>
      <c r="W6545">
        <v>0.1887829</v>
      </c>
      <c r="X6545">
        <v>0.9805893</v>
      </c>
      <c r="Y6545">
        <v>-6.4001769999999999E-2</v>
      </c>
      <c r="Z6545">
        <v>2.7317600000000002E-3</v>
      </c>
      <c r="AA6545">
        <v>0.997946</v>
      </c>
      <c r="AB6545">
        <v>35</v>
      </c>
      <c r="AC6545">
        <v>18.0762</v>
      </c>
      <c r="AD6545">
        <v>-1.1110144297319999</v>
      </c>
      <c r="AE6545">
        <v>0.93812000000001206</v>
      </c>
      <c r="AF6545">
        <v>-1.1676169942626999</v>
      </c>
      <c r="AG6545">
        <v>-1.1110144297319999</v>
      </c>
      <c r="AH6545">
        <v>17.9947470569284</v>
      </c>
      <c r="AI6545">
        <v>93.525621093751298</v>
      </c>
      <c r="AJ6545">
        <v>93.712520875836006</v>
      </c>
      <c r="AK6545">
        <v>18.066781787335501</v>
      </c>
      <c r="AL6545">
        <v>79.118235338904199</v>
      </c>
      <c r="AM6545">
        <v>93.091879896714701</v>
      </c>
      <c r="AN6545">
        <v>0.99999995415352505</v>
      </c>
    </row>
    <row r="6546" spans="1:40" x14ac:dyDescent="0.25">
      <c r="A6546" t="str">
        <f>"20190312172536718"</f>
        <v>20190312172536718</v>
      </c>
      <c r="B6546" t="str">
        <f>"1552382736706491"</f>
        <v>1552382736706491</v>
      </c>
      <c r="C6546" t="s">
        <v>40</v>
      </c>
      <c r="D6546">
        <v>3.9358819999999999</v>
      </c>
      <c r="E6546">
        <v>0.4984172</v>
      </c>
      <c r="F6546" t="s">
        <v>59</v>
      </c>
      <c r="G6546">
        <v>-222.05160000000001</v>
      </c>
      <c r="H6546" s="1">
        <v>-3.7371739999999998E-7</v>
      </c>
      <c r="I6546">
        <v>-62.072589999999998</v>
      </c>
      <c r="J6546">
        <v>-240.07140000000001</v>
      </c>
      <c r="K6546">
        <v>1.1109770000000001</v>
      </c>
      <c r="L6546">
        <v>-63.013210000000001</v>
      </c>
      <c r="M6546">
        <v>0.99982499999999996</v>
      </c>
      <c r="N6546">
        <v>0</v>
      </c>
      <c r="O6546">
        <v>-1.2670030000000001E-2</v>
      </c>
      <c r="P6546">
        <v>0.98369740000000006</v>
      </c>
      <c r="Q6546">
        <v>0.17528529999999901</v>
      </c>
      <c r="R6546">
        <v>4.0183330000000003E-2</v>
      </c>
      <c r="S6546">
        <v>3.076813</v>
      </c>
      <c r="T6546">
        <v>-0.18775530000000001</v>
      </c>
      <c r="U6546">
        <v>0.15859989999999999</v>
      </c>
      <c r="V6546">
        <v>-5.2934839999999997E-2</v>
      </c>
      <c r="W6546">
        <v>0.1887249</v>
      </c>
      <c r="X6546">
        <v>0.98060230000000004</v>
      </c>
      <c r="Y6546">
        <v>-6.3986520000000005E-2</v>
      </c>
      <c r="Z6546">
        <v>2.7212600000000001E-3</v>
      </c>
      <c r="AA6546">
        <v>0.99794700000000003</v>
      </c>
      <c r="AB6546">
        <v>35</v>
      </c>
      <c r="AC6546">
        <v>18.0198</v>
      </c>
      <c r="AD6546">
        <v>-1.11097737371739</v>
      </c>
      <c r="AE6546">
        <v>0.94061999999999502</v>
      </c>
      <c r="AF6546">
        <v>-1.16446329330734</v>
      </c>
      <c r="AG6546">
        <v>-1.11097737371739</v>
      </c>
      <c r="AH6546">
        <v>17.938433815519101</v>
      </c>
      <c r="AI6546">
        <v>93.536536836276596</v>
      </c>
      <c r="AJ6546">
        <v>93.714112050424703</v>
      </c>
      <c r="AK6546">
        <v>18.010487312677899</v>
      </c>
      <c r="AL6546">
        <v>79.121620136096098</v>
      </c>
      <c r="AM6546">
        <v>93.089939733657701</v>
      </c>
      <c r="AN6546">
        <v>1.0000000279655601</v>
      </c>
    </row>
    <row r="6547" spans="1:40" x14ac:dyDescent="0.25">
      <c r="A6547" t="str">
        <f>"20190312172536729"</f>
        <v>20190312172536729</v>
      </c>
      <c r="B6547" t="str">
        <f>"1552382736717227"</f>
        <v>1552382736717227</v>
      </c>
      <c r="C6547" t="s">
        <v>40</v>
      </c>
      <c r="D6547">
        <v>3.8221949999999998</v>
      </c>
      <c r="E6547">
        <v>0.49838979999999999</v>
      </c>
      <c r="F6547" t="s">
        <v>59</v>
      </c>
      <c r="G6547">
        <v>-221.92250000000001</v>
      </c>
      <c r="H6547" s="1">
        <v>-3.1787350000000002E-7</v>
      </c>
      <c r="I6547">
        <v>-62.070480000000003</v>
      </c>
      <c r="J6547">
        <v>-239.89590000000001</v>
      </c>
      <c r="K6547">
        <v>1.1109469999999999</v>
      </c>
      <c r="L6547">
        <v>-63.015169999999998</v>
      </c>
      <c r="M6547">
        <v>0.99982709999999997</v>
      </c>
      <c r="N6547">
        <v>0</v>
      </c>
      <c r="O6547">
        <v>-1.243792E-2</v>
      </c>
      <c r="P6547">
        <v>0.98372459999999995</v>
      </c>
      <c r="Q6547">
        <v>0.1751287</v>
      </c>
      <c r="R6547">
        <v>4.019988E-2</v>
      </c>
      <c r="S6547">
        <v>3.0767519999999999</v>
      </c>
      <c r="T6547">
        <v>-0.18834200000000001</v>
      </c>
      <c r="U6547">
        <v>0.15982060000000001</v>
      </c>
      <c r="V6547">
        <v>-5.2705750000000003E-2</v>
      </c>
      <c r="W6547">
        <v>0.1886331</v>
      </c>
      <c r="X6547">
        <v>0.98063230000000001</v>
      </c>
      <c r="Y6547">
        <v>-6.4149990000000004E-2</v>
      </c>
      <c r="Z6547">
        <v>2.7205810000000001E-3</v>
      </c>
      <c r="AA6547">
        <v>0.9979365</v>
      </c>
      <c r="AB6547">
        <v>35</v>
      </c>
      <c r="AC6547">
        <v>17.973399999999899</v>
      </c>
      <c r="AD6547">
        <v>-1.1109473178735001</v>
      </c>
      <c r="AE6547">
        <v>0.94468999999999403</v>
      </c>
      <c r="AF6547">
        <v>-1.16375603710075</v>
      </c>
      <c r="AG6547">
        <v>-1.1109473178735001</v>
      </c>
      <c r="AH6547">
        <v>17.892088935927301</v>
      </c>
      <c r="AI6547">
        <v>93.5455488814018</v>
      </c>
      <c r="AJ6547">
        <v>93.721450178007899</v>
      </c>
      <c r="AK6547">
        <v>17.964280629853</v>
      </c>
      <c r="AL6547">
        <v>79.1269760567655</v>
      </c>
      <c r="AM6547">
        <v>93.076498980220606</v>
      </c>
      <c r="AN6547">
        <v>1.00000002515098</v>
      </c>
    </row>
    <row r="6548" spans="1:40" x14ac:dyDescent="0.25">
      <c r="A6548" t="str">
        <f>"20190312172536739"</f>
        <v>20190312172536739</v>
      </c>
      <c r="B6548" t="str">
        <f>"1552382736736747"</f>
        <v>1552382736736747</v>
      </c>
      <c r="C6548" t="s">
        <v>40</v>
      </c>
      <c r="D6548">
        <v>3.8287239999999998</v>
      </c>
      <c r="E6548">
        <v>0.49833230000000001</v>
      </c>
      <c r="F6548" t="s">
        <v>59</v>
      </c>
      <c r="G6548">
        <v>-221.79669999999999</v>
      </c>
      <c r="H6548" s="1">
        <v>-2.648039E-7</v>
      </c>
      <c r="I6548">
        <v>-62.074460000000002</v>
      </c>
      <c r="J6548">
        <v>-239.7259</v>
      </c>
      <c r="K6548">
        <v>1.1109169999999999</v>
      </c>
      <c r="L6548">
        <v>-63.017060000000001</v>
      </c>
      <c r="M6548">
        <v>0.99982890000000002</v>
      </c>
      <c r="N6548">
        <v>0</v>
      </c>
      <c r="O6548">
        <v>-1.2222480000000001E-2</v>
      </c>
      <c r="P6548">
        <v>0.98371189999999997</v>
      </c>
      <c r="Q6548">
        <v>0.17520959999999999</v>
      </c>
      <c r="R6548">
        <v>4.0158220000000001E-2</v>
      </c>
      <c r="S6548">
        <v>3.076721</v>
      </c>
      <c r="T6548">
        <v>-0.1888523</v>
      </c>
      <c r="U6548">
        <v>0.1599121</v>
      </c>
      <c r="V6548">
        <v>-5.2435420000000003E-2</v>
      </c>
      <c r="W6548">
        <v>0.188774</v>
      </c>
      <c r="X6548">
        <v>0.98061969999999998</v>
      </c>
      <c r="Y6548">
        <v>-6.3965069999999999E-2</v>
      </c>
      <c r="Z6548">
        <v>2.7090930000000001E-3</v>
      </c>
      <c r="AA6548">
        <v>0.99794850000000002</v>
      </c>
      <c r="AB6548">
        <v>35</v>
      </c>
      <c r="AC6548">
        <v>17.929200000000002</v>
      </c>
      <c r="AD6548">
        <v>-1.1109172648039001</v>
      </c>
      <c r="AE6548">
        <v>0.94260000000000599</v>
      </c>
      <c r="AF6548">
        <v>-1.1572592788484799</v>
      </c>
      <c r="AG6548">
        <v>-1.1109172648039001</v>
      </c>
      <c r="AH6548">
        <v>17.848005130913901</v>
      </c>
      <c r="AI6548">
        <v>93.554234529223606</v>
      </c>
      <c r="AJ6548">
        <v>93.709847944053905</v>
      </c>
      <c r="AK6548">
        <v>17.919951823619702</v>
      </c>
      <c r="AL6548">
        <v>79.118755621636794</v>
      </c>
      <c r="AM6548">
        <v>93.060788820971496</v>
      </c>
      <c r="AN6548">
        <v>1.00000004618733</v>
      </c>
    </row>
    <row r="6549" spans="1:40" x14ac:dyDescent="0.25">
      <c r="A6549" t="str">
        <f>"20190312172536751"</f>
        <v>20190312172536751</v>
      </c>
      <c r="B6549" t="str">
        <f>"1552382736746507"</f>
        <v>1552382736746507</v>
      </c>
      <c r="C6549" t="s">
        <v>40</v>
      </c>
      <c r="D6549">
        <v>3.7854390000000002</v>
      </c>
      <c r="E6549">
        <v>0.49830669999999999</v>
      </c>
      <c r="F6549" t="s">
        <v>59</v>
      </c>
      <c r="G6549">
        <v>-221.59700000000001</v>
      </c>
      <c r="H6549" s="1">
        <v>-1.7894289999999899E-7</v>
      </c>
      <c r="I6549">
        <v>-62.073729999999998</v>
      </c>
      <c r="J6549">
        <v>-239.54740000000001</v>
      </c>
      <c r="K6549">
        <v>1.1108849999999999</v>
      </c>
      <c r="L6549">
        <v>-63.019039999999997</v>
      </c>
      <c r="M6549">
        <v>0.99983060000000001</v>
      </c>
      <c r="N6549">
        <v>0</v>
      </c>
      <c r="O6549">
        <v>-1.2026E-2</v>
      </c>
      <c r="P6549">
        <v>0.98368949999999999</v>
      </c>
      <c r="Q6549">
        <v>0.17529420000000001</v>
      </c>
      <c r="R6549">
        <v>4.0336400000000001E-2</v>
      </c>
      <c r="S6549">
        <v>3.076721</v>
      </c>
      <c r="T6549">
        <v>-0.18853690000000001</v>
      </c>
      <c r="U6549">
        <v>0.16009519999999999</v>
      </c>
      <c r="V6549">
        <v>-5.2402169999999998E-2</v>
      </c>
      <c r="W6549">
        <v>0.1889159</v>
      </c>
      <c r="X6549">
        <v>0.98059410000000002</v>
      </c>
      <c r="Y6549">
        <v>-6.3829300000000005E-2</v>
      </c>
      <c r="Z6549">
        <v>2.6883969999999999E-3</v>
      </c>
      <c r="AA6549">
        <v>0.99795719999999999</v>
      </c>
      <c r="AB6549">
        <v>35</v>
      </c>
      <c r="AC6549">
        <v>17.950399999999998</v>
      </c>
      <c r="AD6549">
        <v>-1.1108851789429</v>
      </c>
      <c r="AE6549">
        <v>0.94530999999999898</v>
      </c>
      <c r="AF6549">
        <v>-1.1567162132503701</v>
      </c>
      <c r="AG6549">
        <v>-1.1108851789429</v>
      </c>
      <c r="AH6549">
        <v>17.869482791919602</v>
      </c>
      <c r="AI6549">
        <v>93.549896035574804</v>
      </c>
      <c r="AJ6549">
        <v>93.703667450927298</v>
      </c>
      <c r="AK6549">
        <v>17.9413063495806</v>
      </c>
      <c r="AL6549">
        <v>79.110475837747401</v>
      </c>
      <c r="AM6549">
        <v>93.058931325513996</v>
      </c>
      <c r="AN6549">
        <v>0.99999999682416396</v>
      </c>
    </row>
    <row r="6550" spans="1:40" x14ac:dyDescent="0.25">
      <c r="A6550" t="str">
        <f>"20190312172536763"</f>
        <v>20190312172536763</v>
      </c>
      <c r="B6550" t="str">
        <f>"1552382736757244"</f>
        <v>1552382736757244</v>
      </c>
      <c r="C6550" t="s">
        <v>40</v>
      </c>
      <c r="D6550">
        <v>3.9294210000000001</v>
      </c>
      <c r="E6550">
        <v>0.49826920000000002</v>
      </c>
      <c r="F6550" t="s">
        <v>59</v>
      </c>
      <c r="G6550">
        <v>-221.39169999999999</v>
      </c>
      <c r="H6550" s="1">
        <v>-9.0416050000000003E-8</v>
      </c>
      <c r="I6550">
        <v>-62.071620000000003</v>
      </c>
      <c r="J6550">
        <v>-239.3631</v>
      </c>
      <c r="K6550">
        <v>1.110851</v>
      </c>
      <c r="L6550">
        <v>-63.021059999999999</v>
      </c>
      <c r="M6550">
        <v>0.9998321</v>
      </c>
      <c r="N6550">
        <v>0</v>
      </c>
      <c r="O6550">
        <v>-1.1831690000000001E-2</v>
      </c>
      <c r="P6550">
        <v>0.98364149999999995</v>
      </c>
      <c r="Q6550">
        <v>0.17549999999999999</v>
      </c>
      <c r="R6550">
        <v>4.060917E-2</v>
      </c>
      <c r="S6550">
        <v>3.0767060000000002</v>
      </c>
      <c r="T6550">
        <v>-0.1882529</v>
      </c>
      <c r="U6550">
        <v>0.160553</v>
      </c>
      <c r="V6550">
        <v>-5.2465869999999998E-2</v>
      </c>
      <c r="W6550">
        <v>0.1891786</v>
      </c>
      <c r="X6550">
        <v>0.98053999999999997</v>
      </c>
      <c r="Y6550">
        <v>-6.3784569999999999E-2</v>
      </c>
      <c r="Z6550">
        <v>2.6711199999999999E-3</v>
      </c>
      <c r="AA6550">
        <v>0.99796010000000002</v>
      </c>
      <c r="AB6550">
        <v>35</v>
      </c>
      <c r="AC6550">
        <v>17.971399999999999</v>
      </c>
      <c r="AD6550">
        <v>-1.11085109041605</v>
      </c>
      <c r="AE6550">
        <v>0.94944000000000195</v>
      </c>
      <c r="AF6550">
        <v>-1.1576157384664501</v>
      </c>
      <c r="AG6550">
        <v>-1.11085109041605</v>
      </c>
      <c r="AH6550">
        <v>17.890741554821801</v>
      </c>
      <c r="AI6550">
        <v>93.545586167802995</v>
      </c>
      <c r="AJ6550">
        <v>93.702147539358805</v>
      </c>
      <c r="AK6550">
        <v>17.962535949148499</v>
      </c>
      <c r="AL6550">
        <v>79.095147334963102</v>
      </c>
      <c r="AM6550">
        <v>93.062811338790496</v>
      </c>
      <c r="AN6550">
        <v>0.99999995090640703</v>
      </c>
    </row>
    <row r="6551" spans="1:40" x14ac:dyDescent="0.25">
      <c r="A6551" t="str">
        <f>"20190312172536772"</f>
        <v>20190312172536772</v>
      </c>
      <c r="B6551" t="str">
        <f>"1552382736767003"</f>
        <v>1552382736767003</v>
      </c>
      <c r="C6551" t="s">
        <v>40</v>
      </c>
      <c r="D6551">
        <v>3.9352290000000001</v>
      </c>
      <c r="E6551">
        <v>0.4982337</v>
      </c>
      <c r="F6551" t="s">
        <v>59</v>
      </c>
      <c r="G6551">
        <v>-221.16370000000001</v>
      </c>
      <c r="H6551" s="1">
        <v>8.5087780000000007E-9</v>
      </c>
      <c r="I6551">
        <v>-62.066659999999999</v>
      </c>
      <c r="J6551">
        <v>-239.19820000000001</v>
      </c>
      <c r="K6551">
        <v>1.110822</v>
      </c>
      <c r="L6551">
        <v>-63.022829999999999</v>
      </c>
      <c r="M6551">
        <v>0.99983330000000004</v>
      </c>
      <c r="N6551">
        <v>0</v>
      </c>
      <c r="O6551">
        <v>-1.1683020000000001E-2</v>
      </c>
      <c r="P6551">
        <v>0.98357640000000002</v>
      </c>
      <c r="Q6551">
        <v>0.1758429</v>
      </c>
      <c r="R6551">
        <v>4.070853E-2</v>
      </c>
      <c r="S6551">
        <v>3.0767359999999999</v>
      </c>
      <c r="T6551">
        <v>-0.18779670000000001</v>
      </c>
      <c r="U6551">
        <v>0.1613464</v>
      </c>
      <c r="V6551">
        <v>-5.2402949999999997E-2</v>
      </c>
      <c r="W6551">
        <v>0.18956770000000001</v>
      </c>
      <c r="X6551">
        <v>0.98046829999999996</v>
      </c>
      <c r="Y6551">
        <v>-6.389309E-2</v>
      </c>
      <c r="Z6551">
        <v>2.6588610000000002E-3</v>
      </c>
      <c r="AA6551">
        <v>0.99795319999999998</v>
      </c>
      <c r="AB6551">
        <v>35</v>
      </c>
      <c r="AC6551">
        <v>18.034500000000001</v>
      </c>
      <c r="AD6551">
        <v>-1.1108219914912201</v>
      </c>
      <c r="AE6551">
        <v>0.95617000000000696</v>
      </c>
      <c r="AF6551">
        <v>-1.16242518732918</v>
      </c>
      <c r="AG6551">
        <v>-1.1108219914912201</v>
      </c>
      <c r="AH6551">
        <v>17.954172282071301</v>
      </c>
      <c r="AI6551">
        <v>93.532990429997696</v>
      </c>
      <c r="AJ6551">
        <v>93.704388539317094</v>
      </c>
      <c r="AK6551">
        <v>18.026021750436701</v>
      </c>
      <c r="AL6551">
        <v>79.072443636762202</v>
      </c>
      <c r="AM6551">
        <v>93.059368510499894</v>
      </c>
      <c r="AN6551">
        <v>1.0000000346784399</v>
      </c>
    </row>
    <row r="6552" spans="1:40" x14ac:dyDescent="0.25">
      <c r="A6552" t="str">
        <f>"20190312172536785"</f>
        <v>20190312172536785</v>
      </c>
      <c r="B6552" t="str">
        <f>"1552382736776764"</f>
        <v>1552382736776764</v>
      </c>
      <c r="C6552" t="s">
        <v>40</v>
      </c>
      <c r="D6552">
        <v>3.8897240000000002</v>
      </c>
      <c r="E6552">
        <v>0.49819999999999998</v>
      </c>
      <c r="F6552" t="s">
        <v>59</v>
      </c>
      <c r="G6552">
        <v>-220.91380000000001</v>
      </c>
      <c r="H6552" s="1">
        <v>1.168245E-7</v>
      </c>
      <c r="I6552">
        <v>-62.061639999999997</v>
      </c>
      <c r="J6552">
        <v>-239.01779999999999</v>
      </c>
      <c r="K6552">
        <v>1.1107929999999999</v>
      </c>
      <c r="L6552">
        <v>-63.024749999999997</v>
      </c>
      <c r="M6552">
        <v>0.99983440000000001</v>
      </c>
      <c r="N6552">
        <v>0</v>
      </c>
      <c r="O6552">
        <v>-1.152893E-2</v>
      </c>
      <c r="P6552">
        <v>0.98356739999999998</v>
      </c>
      <c r="Q6552">
        <v>0.17588960000000001</v>
      </c>
      <c r="R6552">
        <v>4.0718909999999997E-2</v>
      </c>
      <c r="S6552">
        <v>3.076813</v>
      </c>
      <c r="T6552">
        <v>-0.18692339999999999</v>
      </c>
      <c r="U6552">
        <v>0.1617432</v>
      </c>
      <c r="V6552">
        <v>-5.2244409999999998E-2</v>
      </c>
      <c r="W6552">
        <v>0.1896632</v>
      </c>
      <c r="X6552">
        <v>0.9804583</v>
      </c>
      <c r="Y6552">
        <v>-6.3867960000000001E-2</v>
      </c>
      <c r="Z6552">
        <v>2.6363350000000001E-3</v>
      </c>
      <c r="AA6552">
        <v>0.99795489999999998</v>
      </c>
      <c r="AB6552">
        <v>35</v>
      </c>
      <c r="AC6552">
        <v>18.1039999999999</v>
      </c>
      <c r="AD6552">
        <v>-1.1107928831754901</v>
      </c>
      <c r="AE6552">
        <v>0.96310999999999303</v>
      </c>
      <c r="AF6552">
        <v>-1.16740403155364</v>
      </c>
      <c r="AG6552">
        <v>-1.1107928831754901</v>
      </c>
      <c r="AH6552">
        <v>18.024030332021599</v>
      </c>
      <c r="AI6552">
        <v>93.519233931616995</v>
      </c>
      <c r="AJ6552">
        <v>93.705831897220193</v>
      </c>
      <c r="AK6552">
        <v>18.095921154001399</v>
      </c>
      <c r="AL6552">
        <v>79.066870881101195</v>
      </c>
      <c r="AM6552">
        <v>93.050161244299204</v>
      </c>
      <c r="AN6552">
        <v>1.00000004292468</v>
      </c>
    </row>
    <row r="6553" spans="1:40" x14ac:dyDescent="0.25">
      <c r="A6553" t="str">
        <f>"20190312172536796"</f>
        <v>20190312172536796</v>
      </c>
      <c r="B6553" t="str">
        <f>"1552382736786523"</f>
        <v>1552382736786523</v>
      </c>
      <c r="C6553" t="s">
        <v>40</v>
      </c>
      <c r="D6553">
        <v>3.8231609999999998</v>
      </c>
      <c r="E6553">
        <v>0.49817889999999998</v>
      </c>
      <c r="F6553" t="s">
        <v>59</v>
      </c>
      <c r="G6553">
        <v>-220.73400000000001</v>
      </c>
      <c r="H6553" s="1">
        <v>1.936759E-7</v>
      </c>
      <c r="I6553">
        <v>-62.06288</v>
      </c>
      <c r="J6553">
        <v>-238.8373</v>
      </c>
      <c r="K6553">
        <v>1.1107629999999999</v>
      </c>
      <c r="L6553">
        <v>-63.026699999999998</v>
      </c>
      <c r="M6553">
        <v>0.99983540000000004</v>
      </c>
      <c r="N6553">
        <v>0</v>
      </c>
      <c r="O6553">
        <v>-1.1393749999999999E-2</v>
      </c>
      <c r="P6553">
        <v>0.98350539999999997</v>
      </c>
      <c r="Q6553">
        <v>0.1762319</v>
      </c>
      <c r="R6553">
        <v>4.0742309999999997E-2</v>
      </c>
      <c r="S6553">
        <v>3.0768279999999999</v>
      </c>
      <c r="T6553">
        <v>-0.18692600000000001</v>
      </c>
      <c r="U6553">
        <v>0.16186519999999999</v>
      </c>
      <c r="V6553">
        <v>-5.2118409999999997E-2</v>
      </c>
      <c r="W6553">
        <v>0.19005040000000001</v>
      </c>
      <c r="X6553">
        <v>0.98038999999999998</v>
      </c>
      <c r="Y6553">
        <v>-6.3772690000000007E-2</v>
      </c>
      <c r="Z6553">
        <v>2.6252659999999998E-3</v>
      </c>
      <c r="AA6553">
        <v>0.99796099999999999</v>
      </c>
      <c r="AB6553">
        <v>35</v>
      </c>
      <c r="AC6553">
        <v>18.103299999999901</v>
      </c>
      <c r="AD6553">
        <v>-1.1107628063241</v>
      </c>
      <c r="AE6553">
        <v>0.96381999999999102</v>
      </c>
      <c r="AF6553">
        <v>-1.1656665139011899</v>
      </c>
      <c r="AG6553">
        <v>-1.1107628063241</v>
      </c>
      <c r="AH6553">
        <v>18.023481331747199</v>
      </c>
      <c r="AI6553">
        <v>93.519267170761793</v>
      </c>
      <c r="AJ6553">
        <v>93.700444020141902</v>
      </c>
      <c r="AK6553">
        <v>18.095260477522299</v>
      </c>
      <c r="AL6553">
        <v>79.044274696785294</v>
      </c>
      <c r="AM6553">
        <v>93.043030467978795</v>
      </c>
      <c r="AN6553">
        <v>1.0000000176505399</v>
      </c>
    </row>
    <row r="6554" spans="1:40" x14ac:dyDescent="0.25">
      <c r="A6554" t="str">
        <f>"20190312172536807"</f>
        <v>20190312172536807</v>
      </c>
      <c r="B6554" t="str">
        <f>"1552382736797259"</f>
        <v>1552382736797259</v>
      </c>
      <c r="C6554" t="s">
        <v>40</v>
      </c>
      <c r="D6554">
        <v>3.845647</v>
      </c>
      <c r="E6554">
        <v>0.49815429999999999</v>
      </c>
      <c r="F6554" t="s">
        <v>59</v>
      </c>
      <c r="G6554">
        <v>-220.45570000000001</v>
      </c>
      <c r="H6554" s="1">
        <v>3.1412470000000001E-7</v>
      </c>
      <c r="I6554">
        <v>-62.058079999999997</v>
      </c>
      <c r="J6554">
        <v>-238.67320000000001</v>
      </c>
      <c r="K6554">
        <v>1.110741</v>
      </c>
      <c r="L6554">
        <v>-63.028440000000003</v>
      </c>
      <c r="M6554">
        <v>0.99983610000000001</v>
      </c>
      <c r="N6554">
        <v>0</v>
      </c>
      <c r="O6554">
        <v>-1.1282779999999999E-2</v>
      </c>
      <c r="P6554">
        <v>0.98351469999999996</v>
      </c>
      <c r="Q6554">
        <v>0.17614630000000001</v>
      </c>
      <c r="R6554">
        <v>4.0885280000000003E-2</v>
      </c>
      <c r="S6554">
        <v>3.0769199999999999</v>
      </c>
      <c r="T6554">
        <v>-0.18593229999999999</v>
      </c>
      <c r="U6554">
        <v>0.162139899999999</v>
      </c>
      <c r="V6554">
        <v>-5.2138990000000003E-2</v>
      </c>
      <c r="W6554">
        <v>0.19000400000000001</v>
      </c>
      <c r="X6554">
        <v>0.98039790000000004</v>
      </c>
      <c r="Y6554">
        <v>-6.3750929999999997E-2</v>
      </c>
      <c r="Z6554">
        <v>2.6038989999999998E-3</v>
      </c>
      <c r="AA6554">
        <v>0.99796240000000003</v>
      </c>
      <c r="AB6554">
        <v>35</v>
      </c>
      <c r="AC6554">
        <v>18.217500000000001</v>
      </c>
      <c r="AD6554">
        <v>-1.1107406858752999</v>
      </c>
      <c r="AE6554">
        <v>0.970359999999999</v>
      </c>
      <c r="AF6554">
        <v>-1.1715200994697601</v>
      </c>
      <c r="AG6554">
        <v>-1.1107406858752999</v>
      </c>
      <c r="AH6554">
        <v>18.138153392900001</v>
      </c>
      <c r="AI6554">
        <v>93.497023114454805</v>
      </c>
      <c r="AJ6554">
        <v>93.695527847507194</v>
      </c>
      <c r="AK6554">
        <v>18.2098548242178</v>
      </c>
      <c r="AL6554">
        <v>79.046982568682793</v>
      </c>
      <c r="AM6554">
        <v>93.044205325813294</v>
      </c>
      <c r="AN6554">
        <v>1.0000000183093101</v>
      </c>
    </row>
    <row r="6555" spans="1:40" x14ac:dyDescent="0.25">
      <c r="A6555" t="str">
        <f>"20190312172536816"</f>
        <v>20190312172536816</v>
      </c>
      <c r="B6555" t="str">
        <f>"1552382736807019"</f>
        <v>1552382736807019</v>
      </c>
      <c r="C6555" t="s">
        <v>40</v>
      </c>
      <c r="D6555">
        <v>3.809625</v>
      </c>
      <c r="E6555">
        <v>0.4981315</v>
      </c>
      <c r="F6555" t="s">
        <v>59</v>
      </c>
      <c r="G6555">
        <v>-220.32660000000001</v>
      </c>
      <c r="H6555" s="1">
        <v>3.6966250000000001E-7</v>
      </c>
      <c r="I6555">
        <v>-62.057450000000003</v>
      </c>
      <c r="J6555">
        <v>-238.50309999999999</v>
      </c>
      <c r="K6555">
        <v>1.110717</v>
      </c>
      <c r="L6555">
        <v>-63.030239999999999</v>
      </c>
      <c r="M6555">
        <v>0.99983679999999997</v>
      </c>
      <c r="N6555">
        <v>0</v>
      </c>
      <c r="O6555">
        <v>-1.117871E-2</v>
      </c>
      <c r="P6555">
        <v>0.98349690000000001</v>
      </c>
      <c r="Q6555">
        <v>0.17622750000000001</v>
      </c>
      <c r="R6555">
        <v>4.0962779999999997E-2</v>
      </c>
      <c r="S6555">
        <v>3.0768589999999998</v>
      </c>
      <c r="T6555">
        <v>-0.18627869999999999</v>
      </c>
      <c r="U6555">
        <v>0.16284179999999901</v>
      </c>
      <c r="V6555">
        <v>-5.2099909999999999E-2</v>
      </c>
      <c r="W6555">
        <v>0.1901225</v>
      </c>
      <c r="X6555">
        <v>0.98037700000000005</v>
      </c>
      <c r="Y6555">
        <v>-6.387458E-2</v>
      </c>
      <c r="Z6555">
        <v>2.6062239999999999E-3</v>
      </c>
      <c r="AA6555">
        <v>0.99795449999999997</v>
      </c>
      <c r="AB6555">
        <v>35</v>
      </c>
      <c r="AC6555">
        <v>18.176499999999901</v>
      </c>
      <c r="AD6555">
        <v>-1.1107166303375</v>
      </c>
      <c r="AE6555">
        <v>0.97278999999999605</v>
      </c>
      <c r="AF6555">
        <v>-1.1715771994575701</v>
      </c>
      <c r="AG6555">
        <v>-1.1107166303375</v>
      </c>
      <c r="AH6555">
        <v>18.097104996316499</v>
      </c>
      <c r="AI6555">
        <v>93.504826005862498</v>
      </c>
      <c r="AJ6555">
        <v>93.704066872659496</v>
      </c>
      <c r="AK6555">
        <v>18.1689706316814</v>
      </c>
      <c r="AL6555">
        <v>79.040066911008793</v>
      </c>
      <c r="AM6555">
        <v>93.041992601188596</v>
      </c>
      <c r="AN6555">
        <v>1.00000001387862</v>
      </c>
    </row>
    <row r="6556" spans="1:40" x14ac:dyDescent="0.25">
      <c r="A6556" t="str">
        <f>"20190312172536828"</f>
        <v>20190312172536828</v>
      </c>
      <c r="B6556" t="str">
        <f>"1552382736816779"</f>
        <v>1552382736816779</v>
      </c>
      <c r="C6556" t="s">
        <v>40</v>
      </c>
      <c r="D6556">
        <v>3.800128</v>
      </c>
      <c r="E6556">
        <v>0.49810710000000002</v>
      </c>
      <c r="F6556" t="s">
        <v>59</v>
      </c>
      <c r="G6556">
        <v>-220.13749999999999</v>
      </c>
      <c r="H6556" s="1">
        <v>4.51161E-7</v>
      </c>
      <c r="I6556">
        <v>-62.055709999999998</v>
      </c>
      <c r="J6556">
        <v>-238.32669999999999</v>
      </c>
      <c r="K6556">
        <v>1.110692</v>
      </c>
      <c r="L6556">
        <v>-63.0321</v>
      </c>
      <c r="M6556">
        <v>0.99983730000000004</v>
      </c>
      <c r="N6556">
        <v>0</v>
      </c>
      <c r="O6556">
        <v>-1.1084750000000001E-2</v>
      </c>
      <c r="P6556">
        <v>0.98345490000000002</v>
      </c>
      <c r="Q6556">
        <v>0.17639460000000001</v>
      </c>
      <c r="R6556">
        <v>4.125036E-2</v>
      </c>
      <c r="S6556">
        <v>3.076889</v>
      </c>
      <c r="T6556">
        <v>-0.1860849</v>
      </c>
      <c r="U6556">
        <v>0.163269</v>
      </c>
      <c r="V6556">
        <v>-5.2281540000000001E-2</v>
      </c>
      <c r="W6556">
        <v>0.19032470000000001</v>
      </c>
      <c r="X6556">
        <v>0.98032810000000004</v>
      </c>
      <c r="Y6556">
        <v>-6.3918840000000005E-2</v>
      </c>
      <c r="Z6556">
        <v>2.5991439999999998E-3</v>
      </c>
      <c r="AA6556">
        <v>0.9979517</v>
      </c>
      <c r="AB6556">
        <v>35</v>
      </c>
      <c r="AC6556">
        <v>18.1892</v>
      </c>
      <c r="AD6556">
        <v>-1.1106915488389999</v>
      </c>
      <c r="AE6556">
        <v>0.97639000000000198</v>
      </c>
      <c r="AF6556">
        <v>-1.17360966488281</v>
      </c>
      <c r="AG6556">
        <v>-1.1106915488389999</v>
      </c>
      <c r="AH6556">
        <v>18.109925319884699</v>
      </c>
      <c r="AI6556">
        <v>93.502257204815507</v>
      </c>
      <c r="AJ6556">
        <v>93.707855416377896</v>
      </c>
      <c r="AK6556">
        <v>18.181869828319901</v>
      </c>
      <c r="AL6556">
        <v>79.028266270979699</v>
      </c>
      <c r="AM6556">
        <v>93.052729511025603</v>
      </c>
      <c r="AN6556">
        <v>1.0000000172522301</v>
      </c>
    </row>
    <row r="6557" spans="1:40" x14ac:dyDescent="0.25">
      <c r="A6557" t="str">
        <f>"20190312172536840"</f>
        <v>20190312172536840</v>
      </c>
      <c r="B6557" t="str">
        <f>"1552382736837275"</f>
        <v>1552382736837275</v>
      </c>
      <c r="C6557" t="s">
        <v>40</v>
      </c>
      <c r="D6557">
        <v>3.8241459999999998</v>
      </c>
      <c r="E6557">
        <v>0.49807089999999998</v>
      </c>
      <c r="F6557" t="s">
        <v>57</v>
      </c>
      <c r="G6557">
        <v>-219.91630000000001</v>
      </c>
      <c r="H6557" s="1">
        <v>-3.529844E-6</v>
      </c>
      <c r="I6557">
        <v>-62.05003</v>
      </c>
      <c r="J6557">
        <v>-238.14490000000001</v>
      </c>
      <c r="K6557">
        <v>1.110668</v>
      </c>
      <c r="L6557">
        <v>-63.034030000000001</v>
      </c>
      <c r="M6557">
        <v>0.99983809999999995</v>
      </c>
      <c r="N6557">
        <v>0</v>
      </c>
      <c r="O6557">
        <v>-1.0995080000000001E-2</v>
      </c>
      <c r="P6557">
        <v>0.98342810000000003</v>
      </c>
      <c r="Q6557">
        <v>0.1765168</v>
      </c>
      <c r="R6557">
        <v>4.136745E-2</v>
      </c>
      <c r="S6557">
        <v>3.0769039999999999</v>
      </c>
      <c r="T6557">
        <v>-0.18562870000000001</v>
      </c>
      <c r="U6557">
        <v>0.16412349999999901</v>
      </c>
      <c r="V6557">
        <v>-5.2297209999999997E-2</v>
      </c>
      <c r="W6557">
        <v>0.1904825</v>
      </c>
      <c r="X6557">
        <v>0.98029659999999996</v>
      </c>
      <c r="Y6557">
        <v>-6.4105930000000005E-2</v>
      </c>
      <c r="Z6557">
        <v>2.5929830000000001E-3</v>
      </c>
      <c r="AA6557">
        <v>0.99793969999999999</v>
      </c>
      <c r="AB6557">
        <v>35</v>
      </c>
      <c r="AC6557">
        <v>18.2286</v>
      </c>
      <c r="AD6557">
        <v>-1.110671529844</v>
      </c>
      <c r="AE6557">
        <v>0.98399999999999399</v>
      </c>
      <c r="AF6557">
        <v>-1.1800176880619799</v>
      </c>
      <c r="AG6557">
        <v>-1.110671529844</v>
      </c>
      <c r="AH6557">
        <v>18.149493699986198</v>
      </c>
      <c r="AI6557">
        <v>93.494530196826702</v>
      </c>
      <c r="AJ6557">
        <v>93.719938930227997</v>
      </c>
      <c r="AK6557">
        <v>18.221694612663899</v>
      </c>
      <c r="AL6557">
        <v>79.019056348588606</v>
      </c>
      <c r="AM6557">
        <v>93.053740691431599</v>
      </c>
      <c r="AN6557">
        <v>1.00000000247579</v>
      </c>
    </row>
    <row r="6558" spans="1:40" x14ac:dyDescent="0.25">
      <c r="A6558" t="str">
        <f>"20190312172536851"</f>
        <v>20190312172536851</v>
      </c>
      <c r="B6558" t="str">
        <f>"1552382736847039"</f>
        <v>1552382736847039</v>
      </c>
      <c r="C6558" t="s">
        <v>40</v>
      </c>
      <c r="D6558">
        <v>3.8232189999999999</v>
      </c>
      <c r="E6558">
        <v>0.49805169999999999</v>
      </c>
      <c r="F6558" t="s">
        <v>57</v>
      </c>
      <c r="G6558">
        <v>-219.70689999999999</v>
      </c>
      <c r="H6558" s="1">
        <v>-3.457971E-6</v>
      </c>
      <c r="I6558">
        <v>-62.04663</v>
      </c>
      <c r="J6558">
        <v>-237.9727</v>
      </c>
      <c r="K6558">
        <v>1.1106480000000001</v>
      </c>
      <c r="L6558">
        <v>-63.035829999999997</v>
      </c>
      <c r="M6558">
        <v>0.99983840000000002</v>
      </c>
      <c r="N6558">
        <v>0</v>
      </c>
      <c r="O6558">
        <v>-1.092484E-2</v>
      </c>
      <c r="P6558">
        <v>0.98340689999999997</v>
      </c>
      <c r="Q6558">
        <v>0.1766112</v>
      </c>
      <c r="R6558">
        <v>4.1468350000000001E-2</v>
      </c>
      <c r="S6558">
        <v>3.076889</v>
      </c>
      <c r="T6558">
        <v>-0.18534539999999999</v>
      </c>
      <c r="U6558">
        <v>0.16476440000000001</v>
      </c>
      <c r="V6558">
        <v>-5.2318370000000003E-2</v>
      </c>
      <c r="W6558">
        <v>0.19060559999999999</v>
      </c>
      <c r="X6558">
        <v>0.98027160000000002</v>
      </c>
      <c r="Y6558">
        <v>-6.4243649999999999E-2</v>
      </c>
      <c r="Z6558">
        <v>2.5889490000000001E-3</v>
      </c>
      <c r="AA6558">
        <v>0.99793089999999995</v>
      </c>
      <c r="AB6558">
        <v>35</v>
      </c>
      <c r="AC6558">
        <v>18.265799999999999</v>
      </c>
      <c r="AD6558">
        <v>-1.1106514579709901</v>
      </c>
      <c r="AE6558">
        <v>0.98919999999999597</v>
      </c>
      <c r="AF6558">
        <v>-1.18434622381531</v>
      </c>
      <c r="AG6558">
        <v>-1.1106514579709901</v>
      </c>
      <c r="AH6558">
        <v>18.1868571334854</v>
      </c>
      <c r="AI6558">
        <v>93.487282295520401</v>
      </c>
      <c r="AJ6558">
        <v>93.725897228202697</v>
      </c>
      <c r="AK6558">
        <v>18.259189331204301</v>
      </c>
      <c r="AL6558">
        <v>79.011872223582699</v>
      </c>
      <c r="AM6558">
        <v>93.0550516908052</v>
      </c>
      <c r="AN6558">
        <v>1.0000000581786801</v>
      </c>
    </row>
    <row r="6559" spans="1:40" x14ac:dyDescent="0.25">
      <c r="A6559" t="str">
        <f>"20190312172536863"</f>
        <v>20190312172536863</v>
      </c>
      <c r="B6559" t="str">
        <f>"1552382736856795"</f>
        <v>1552382736856795</v>
      </c>
      <c r="C6559" t="s">
        <v>40</v>
      </c>
      <c r="D6559">
        <v>3.9174060000000002</v>
      </c>
      <c r="E6559">
        <v>0.49802180000000001</v>
      </c>
      <c r="F6559" t="s">
        <v>57</v>
      </c>
      <c r="G6559">
        <v>-219.51419999999999</v>
      </c>
      <c r="H6559" s="1">
        <v>-3.3918459999999999E-6</v>
      </c>
      <c r="I6559">
        <v>-62.043480000000002</v>
      </c>
      <c r="J6559">
        <v>-237.78880000000001</v>
      </c>
      <c r="K6559">
        <v>1.1106259999999999</v>
      </c>
      <c r="L6559">
        <v>-63.037719999999901</v>
      </c>
      <c r="M6559">
        <v>0.99983869999999997</v>
      </c>
      <c r="N6559">
        <v>0</v>
      </c>
      <c r="O6559">
        <v>-1.085319E-2</v>
      </c>
      <c r="P6559">
        <v>0.98340269999999996</v>
      </c>
      <c r="Q6559">
        <v>0.17660339999999999</v>
      </c>
      <c r="R6559">
        <v>4.1602739999999999E-2</v>
      </c>
      <c r="S6559">
        <v>3.0768740000000001</v>
      </c>
      <c r="T6559">
        <v>-0.1851361</v>
      </c>
      <c r="U6559">
        <v>0.16540529999999901</v>
      </c>
      <c r="V6559">
        <v>-5.2371420000000002E-2</v>
      </c>
      <c r="W6559">
        <v>0.19062850000000001</v>
      </c>
      <c r="X6559">
        <v>0.98026420000000003</v>
      </c>
      <c r="Y6559">
        <v>-6.4379859999999997E-2</v>
      </c>
      <c r="Z6559">
        <v>2.585815E-3</v>
      </c>
      <c r="AA6559">
        <v>0.99792210000000003</v>
      </c>
      <c r="AB6559">
        <v>35</v>
      </c>
      <c r="AC6559">
        <v>18.2746</v>
      </c>
      <c r="AD6559">
        <v>-1.110629391846</v>
      </c>
      <c r="AE6559">
        <v>0.99423999999999002</v>
      </c>
      <c r="AF6559">
        <v>-1.18816386998351</v>
      </c>
      <c r="AG6559">
        <v>-1.110629391846</v>
      </c>
      <c r="AH6559">
        <v>18.195723415965801</v>
      </c>
      <c r="AI6559">
        <v>93.485477943305995</v>
      </c>
      <c r="AJ6559">
        <v>93.736057164455502</v>
      </c>
      <c r="AK6559">
        <v>18.268267067740499</v>
      </c>
      <c r="AL6559">
        <v>79.010534397769206</v>
      </c>
      <c r="AM6559">
        <v>93.058166629889897</v>
      </c>
      <c r="AN6559">
        <v>0.99999994622335098</v>
      </c>
    </row>
    <row r="6560" spans="1:40" x14ac:dyDescent="0.25">
      <c r="A6560" t="str">
        <f>"20190312172536873"</f>
        <v>20190312172536873</v>
      </c>
      <c r="B6560" t="str">
        <f>"1552382736866555"</f>
        <v>1552382736866555</v>
      </c>
      <c r="C6560" t="s">
        <v>40</v>
      </c>
      <c r="D6560">
        <v>3.7954240000000001</v>
      </c>
      <c r="E6560">
        <v>0.4980097</v>
      </c>
      <c r="F6560" t="s">
        <v>57</v>
      </c>
      <c r="G6560">
        <v>-219.34719999999999</v>
      </c>
      <c r="H6560" s="1">
        <v>-3.334831E-6</v>
      </c>
      <c r="I6560">
        <v>-62.042439999999999</v>
      </c>
      <c r="J6560">
        <v>-237.61850000000001</v>
      </c>
      <c r="K6560">
        <v>1.1106100000000001</v>
      </c>
      <c r="L6560">
        <v>-63.039490000000001</v>
      </c>
      <c r="M6560">
        <v>0.99983909999999998</v>
      </c>
      <c r="N6560">
        <v>0</v>
      </c>
      <c r="O6560">
        <v>-1.079656E-2</v>
      </c>
      <c r="P6560">
        <v>0.98334719999999998</v>
      </c>
      <c r="Q6560">
        <v>0.1768721</v>
      </c>
      <c r="R6560">
        <v>4.17714E-2</v>
      </c>
      <c r="S6560">
        <v>3.0768740000000001</v>
      </c>
      <c r="T6560">
        <v>-0.18530170000000001</v>
      </c>
      <c r="U6560">
        <v>0.1660461</v>
      </c>
      <c r="V6560">
        <v>-5.2474949999999999E-2</v>
      </c>
      <c r="W6560">
        <v>0.19092149999999999</v>
      </c>
      <c r="X6560">
        <v>0.98020169999999995</v>
      </c>
      <c r="Y6560">
        <v>-6.4530180000000006E-2</v>
      </c>
      <c r="Z6560">
        <v>2.5892229999999999E-3</v>
      </c>
      <c r="AA6560">
        <v>0.99791240000000003</v>
      </c>
      <c r="AB6560">
        <v>35</v>
      </c>
      <c r="AC6560">
        <v>18.2713</v>
      </c>
      <c r="AD6560">
        <v>-1.1106133348309899</v>
      </c>
      <c r="AE6560">
        <v>0.99705000000000099</v>
      </c>
      <c r="AF6560">
        <v>-1.18989597192883</v>
      </c>
      <c r="AG6560">
        <v>-1.1106133348309899</v>
      </c>
      <c r="AH6560">
        <v>18.192451754193399</v>
      </c>
      <c r="AI6560">
        <v>93.486028733701502</v>
      </c>
      <c r="AJ6560">
        <v>93.742159062589096</v>
      </c>
      <c r="AK6560">
        <v>18.2651201811587</v>
      </c>
      <c r="AL6560">
        <v>78.993433306276202</v>
      </c>
      <c r="AM6560">
        <v>93.064395639717105</v>
      </c>
      <c r="AN6560">
        <v>1.0000000061113199</v>
      </c>
    </row>
    <row r="6561" spans="1:40" x14ac:dyDescent="0.25">
      <c r="A6561" t="str">
        <f>"20190312172536885"</f>
        <v>20190312172536885</v>
      </c>
      <c r="B6561" t="str">
        <f>"1552382736877293"</f>
        <v>1552382736877293</v>
      </c>
      <c r="C6561" t="s">
        <v>40</v>
      </c>
      <c r="D6561">
        <v>3.8904329999999998</v>
      </c>
      <c r="E6561">
        <v>0.49798490000000001</v>
      </c>
      <c r="F6561" t="s">
        <v>57</v>
      </c>
      <c r="G6561">
        <v>-219.10130000000001</v>
      </c>
      <c r="H6561" s="1">
        <v>-3.2501719999999999E-6</v>
      </c>
      <c r="I6561">
        <v>-62.037019999999998</v>
      </c>
      <c r="J6561">
        <v>-237.44589999999999</v>
      </c>
      <c r="K6561">
        <v>1.110598</v>
      </c>
      <c r="L6561">
        <v>-63.041289999999996</v>
      </c>
      <c r="M6561">
        <v>0.99983920000000004</v>
      </c>
      <c r="N6561">
        <v>0</v>
      </c>
      <c r="O6561">
        <v>-1.0741580000000001E-2</v>
      </c>
      <c r="P6561">
        <v>0.98336460000000003</v>
      </c>
      <c r="Q6561">
        <v>0.17671700000000001</v>
      </c>
      <c r="R6561">
        <v>4.2018739999999999E-2</v>
      </c>
      <c r="S6561">
        <v>3.0769039999999999</v>
      </c>
      <c r="T6561">
        <v>-0.1845444</v>
      </c>
      <c r="U6561">
        <v>0.16656489999999999</v>
      </c>
      <c r="V6561">
        <v>-5.2660459999999999E-2</v>
      </c>
      <c r="W6561">
        <v>0.19079090000000001</v>
      </c>
      <c r="X6561">
        <v>0.98021720000000001</v>
      </c>
      <c r="Y6561">
        <v>-6.4643560000000003E-2</v>
      </c>
      <c r="Z6561">
        <v>2.5787269999999998E-3</v>
      </c>
      <c r="AA6561">
        <v>0.99790509999999999</v>
      </c>
      <c r="AB6561">
        <v>35</v>
      </c>
      <c r="AC6561">
        <v>18.3445999999999</v>
      </c>
      <c r="AD6561">
        <v>-1.110601250172</v>
      </c>
      <c r="AE6561">
        <v>1.00427</v>
      </c>
      <c r="AF6561">
        <v>-1.1969085334571501</v>
      </c>
      <c r="AG6561">
        <v>-1.110601250172</v>
      </c>
      <c r="AH6561">
        <v>18.2660040347977</v>
      </c>
      <c r="AI6561">
        <v>93.471960941284294</v>
      </c>
      <c r="AJ6561">
        <v>93.749036069255098</v>
      </c>
      <c r="AK6561">
        <v>18.338836619960102</v>
      </c>
      <c r="AL6561">
        <v>79.001056474626296</v>
      </c>
      <c r="AM6561">
        <v>93.075159632570603</v>
      </c>
      <c r="AN6561">
        <v>1.0000000253730299</v>
      </c>
    </row>
    <row r="6562" spans="1:40" x14ac:dyDescent="0.25">
      <c r="A6562" t="str">
        <f>"20190312172536895"</f>
        <v>20190312172536895</v>
      </c>
      <c r="B6562" t="str">
        <f>"1552382736887051"</f>
        <v>1552382736887051</v>
      </c>
      <c r="C6562" t="s">
        <v>40</v>
      </c>
      <c r="D6562">
        <v>3.8810440000000002</v>
      </c>
      <c r="E6562">
        <v>0.49796269999999998</v>
      </c>
      <c r="F6562" t="s">
        <v>57</v>
      </c>
      <c r="G6562">
        <v>-218.98920000000001</v>
      </c>
      <c r="H6562" s="1">
        <v>-3.211942E-6</v>
      </c>
      <c r="I6562">
        <v>-62.0364</v>
      </c>
      <c r="J6562">
        <v>-237.27</v>
      </c>
      <c r="K6562">
        <v>1.110582</v>
      </c>
      <c r="L6562">
        <v>-63.043120000000002</v>
      </c>
      <c r="M6562">
        <v>0.99983940000000004</v>
      </c>
      <c r="N6562">
        <v>0</v>
      </c>
      <c r="O6562">
        <v>-1.069048E-2</v>
      </c>
      <c r="P6562">
        <v>0.98334529999999998</v>
      </c>
      <c r="Q6562">
        <v>0.1767611</v>
      </c>
      <c r="R6562">
        <v>4.2281550000000001E-2</v>
      </c>
      <c r="S6562">
        <v>3.0768430000000002</v>
      </c>
      <c r="T6562">
        <v>-0.1851438</v>
      </c>
      <c r="U6562">
        <v>0.16751099999999999</v>
      </c>
      <c r="V6562">
        <v>-5.2866349999999999E-2</v>
      </c>
      <c r="W6562">
        <v>0.19085740000000001</v>
      </c>
      <c r="X6562">
        <v>0.98019310000000004</v>
      </c>
      <c r="Y6562">
        <v>-6.4898310000000001E-2</v>
      </c>
      <c r="Z6562">
        <v>2.5917000000000002E-3</v>
      </c>
      <c r="AA6562">
        <v>0.99788849999999996</v>
      </c>
      <c r="AB6562">
        <v>35</v>
      </c>
      <c r="AC6562">
        <v>18.280799999999999</v>
      </c>
      <c r="AD6562">
        <v>-1.1105852119420001</v>
      </c>
      <c r="AE6562">
        <v>1.0067199999999901</v>
      </c>
      <c r="AF6562">
        <v>-1.1977061492500101</v>
      </c>
      <c r="AG6562">
        <v>-1.1105852119420001</v>
      </c>
      <c r="AH6562">
        <v>18.202015916891199</v>
      </c>
      <c r="AI6562">
        <v>93.484023909657594</v>
      </c>
      <c r="AJ6562">
        <v>93.764677696507604</v>
      </c>
      <c r="AK6562">
        <v>18.275154800211599</v>
      </c>
      <c r="AL6562">
        <v>78.997174203714394</v>
      </c>
      <c r="AM6562">
        <v>93.087235328311706</v>
      </c>
      <c r="AN6562">
        <v>0.99999995569234501</v>
      </c>
    </row>
    <row r="6563" spans="1:40" x14ac:dyDescent="0.25">
      <c r="A6563" t="str">
        <f>"20190312172536907"</f>
        <v>20190312172536907</v>
      </c>
      <c r="B6563" t="str">
        <f>"1552382736896811"</f>
        <v>1552382736896811</v>
      </c>
      <c r="C6563" t="s">
        <v>40</v>
      </c>
      <c r="D6563">
        <v>3.8256800000000002</v>
      </c>
      <c r="E6563">
        <v>0.49794729999999998</v>
      </c>
      <c r="F6563" t="s">
        <v>57</v>
      </c>
      <c r="G6563">
        <v>-218.81389999999999</v>
      </c>
      <c r="H6563" s="1">
        <v>-3.151699E-6</v>
      </c>
      <c r="I6563">
        <v>-62.033149999999999</v>
      </c>
      <c r="J6563">
        <v>-237.09889999999999</v>
      </c>
      <c r="K6563">
        <v>1.110573</v>
      </c>
      <c r="L6563">
        <v>-63.044890000000002</v>
      </c>
      <c r="M6563">
        <v>0.99983979999999995</v>
      </c>
      <c r="N6563">
        <v>0</v>
      </c>
      <c r="O6563">
        <v>-1.064386E-2</v>
      </c>
      <c r="P6563">
        <v>0.98335810000000001</v>
      </c>
      <c r="Q6563">
        <v>0.17662</v>
      </c>
      <c r="R6563">
        <v>4.2574069999999999E-2</v>
      </c>
      <c r="S6563">
        <v>3.0768589999999998</v>
      </c>
      <c r="T6563">
        <v>-0.18514849999999999</v>
      </c>
      <c r="U6563">
        <v>0.1683655</v>
      </c>
      <c r="V6563">
        <v>-5.3106939999999998E-2</v>
      </c>
      <c r="W6563">
        <v>0.19073570000000001</v>
      </c>
      <c r="X6563">
        <v>0.98020379999999996</v>
      </c>
      <c r="Y6563">
        <v>-6.5127499999999894E-2</v>
      </c>
      <c r="Z6563">
        <v>2.595815E-3</v>
      </c>
      <c r="AA6563">
        <v>0.99787360000000003</v>
      </c>
      <c r="AB6563">
        <v>35</v>
      </c>
      <c r="AC6563">
        <v>18.285</v>
      </c>
      <c r="AD6563">
        <v>-1.110576151699</v>
      </c>
      <c r="AE6563">
        <v>1.0117400000000001</v>
      </c>
      <c r="AF6563">
        <v>-1.2019055333180899</v>
      </c>
      <c r="AG6563">
        <v>-1.110576151699</v>
      </c>
      <c r="AH6563">
        <v>18.206236535952801</v>
      </c>
      <c r="AI6563">
        <v>93.483140761392903</v>
      </c>
      <c r="AJ6563">
        <v>93.776965956680698</v>
      </c>
      <c r="AK6563">
        <v>18.279633615114001</v>
      </c>
      <c r="AL6563">
        <v>79.004277773279796</v>
      </c>
      <c r="AM6563">
        <v>93.101223907386995</v>
      </c>
      <c r="AN6563">
        <v>0.99999997193254597</v>
      </c>
    </row>
    <row r="6564" spans="1:40" x14ac:dyDescent="0.25">
      <c r="A6564" t="str">
        <f>"20190312172536919"</f>
        <v>20190312172536919</v>
      </c>
      <c r="B6564" t="str">
        <f>"1552382736906571"</f>
        <v>1552382736906571</v>
      </c>
      <c r="C6564" t="s">
        <v>40</v>
      </c>
      <c r="D6564">
        <v>3.8021699999999998</v>
      </c>
      <c r="E6564">
        <v>0.49793270000000001</v>
      </c>
      <c r="F6564" t="s">
        <v>57</v>
      </c>
      <c r="G6564">
        <v>-218.69630000000001</v>
      </c>
      <c r="H6564" s="1">
        <v>-3.1119350000000001E-6</v>
      </c>
      <c r="I6564">
        <v>-62.034550000000003</v>
      </c>
      <c r="J6564">
        <v>-236.91200000000001</v>
      </c>
      <c r="K6564">
        <v>1.11056</v>
      </c>
      <c r="L6564">
        <v>-63.046810000000001</v>
      </c>
      <c r="M6564">
        <v>0.99983999999999995</v>
      </c>
      <c r="N6564">
        <v>0</v>
      </c>
      <c r="O6564">
        <v>-1.0594610000000001E-2</v>
      </c>
      <c r="P6564">
        <v>0.98327030000000004</v>
      </c>
      <c r="Q6564">
        <v>0.17701929999999999</v>
      </c>
      <c r="R6564">
        <v>4.2941420000000001E-2</v>
      </c>
      <c r="S6564">
        <v>3.076813</v>
      </c>
      <c r="T6564">
        <v>-0.1856824</v>
      </c>
      <c r="U6564">
        <v>0.1689148</v>
      </c>
      <c r="V6564">
        <v>-5.3419389999999997E-2</v>
      </c>
      <c r="W6564">
        <v>0.19115460000000001</v>
      </c>
      <c r="X6564">
        <v>0.98010529999999996</v>
      </c>
      <c r="Y6564">
        <v>-6.5255839999999996E-2</v>
      </c>
      <c r="Z6564">
        <v>2.6042119999999998E-3</v>
      </c>
      <c r="AA6564">
        <v>0.99786509999999995</v>
      </c>
      <c r="AB6564">
        <v>35</v>
      </c>
      <c r="AC6564">
        <v>18.215699999999998</v>
      </c>
      <c r="AD6564">
        <v>-1.1105631119349999</v>
      </c>
      <c r="AE6564">
        <v>1.0122599999999899</v>
      </c>
      <c r="AF6564">
        <v>-1.20076194659461</v>
      </c>
      <c r="AG6564">
        <v>-1.1105631119349999</v>
      </c>
      <c r="AH6564">
        <v>18.1367447488274</v>
      </c>
      <c r="AI6564">
        <v>93.496368987402803</v>
      </c>
      <c r="AJ6564">
        <v>93.787798527549498</v>
      </c>
      <c r="AK6564">
        <v>18.210345679368601</v>
      </c>
      <c r="AL6564">
        <v>78.979827622455204</v>
      </c>
      <c r="AM6564">
        <v>93.119746637295094</v>
      </c>
      <c r="AN6564">
        <v>1.0000000557086</v>
      </c>
    </row>
    <row r="6565" spans="1:40" x14ac:dyDescent="0.25">
      <c r="A6565" t="str">
        <f>"20190312172536930"</f>
        <v>20190312172536930</v>
      </c>
      <c r="B6565" t="str">
        <f>"1552382736927068"</f>
        <v>1552382736927068</v>
      </c>
      <c r="C6565" t="s">
        <v>40</v>
      </c>
      <c r="D6565">
        <v>3.886587</v>
      </c>
      <c r="E6565">
        <v>0.49790859999999898</v>
      </c>
      <c r="F6565" t="s">
        <v>57</v>
      </c>
      <c r="G6565">
        <v>-218.39599999999999</v>
      </c>
      <c r="H6565" s="1">
        <v>-3.0075480000000001E-6</v>
      </c>
      <c r="I6565">
        <v>-62.024740000000001</v>
      </c>
      <c r="J6565">
        <v>-236.73779999999999</v>
      </c>
      <c r="K6565">
        <v>1.1105579999999999</v>
      </c>
      <c r="L6565">
        <v>-63.048609999999996</v>
      </c>
      <c r="M6565">
        <v>0.99984019999999996</v>
      </c>
      <c r="N6565">
        <v>0</v>
      </c>
      <c r="O6565">
        <v>-1.0550769999999999E-2</v>
      </c>
      <c r="P6565">
        <v>0.98328040000000005</v>
      </c>
      <c r="Q6565">
        <v>0.17694079999999901</v>
      </c>
      <c r="R6565">
        <v>4.3031569999999998E-2</v>
      </c>
      <c r="S6565">
        <v>3.0768430000000002</v>
      </c>
      <c r="T6565">
        <v>-0.18454429999999999</v>
      </c>
      <c r="U6565">
        <v>0.16983029999999999</v>
      </c>
      <c r="V6565">
        <v>-5.3462580000000003E-2</v>
      </c>
      <c r="W6565">
        <v>0.19109280000000001</v>
      </c>
      <c r="X6565">
        <v>0.98011490000000001</v>
      </c>
      <c r="Y6565">
        <v>-6.5508880000000005E-2</v>
      </c>
      <c r="Z6565">
        <v>2.5931830000000002E-3</v>
      </c>
      <c r="AA6565">
        <v>0.99784859999999997</v>
      </c>
      <c r="AB6565">
        <v>35</v>
      </c>
      <c r="AC6565">
        <v>18.341799999999999</v>
      </c>
      <c r="AD6565">
        <v>-1.1105610075479999</v>
      </c>
      <c r="AE6565">
        <v>1.0238699999999901</v>
      </c>
      <c r="AF6565">
        <v>-1.2129204256942701</v>
      </c>
      <c r="AG6565">
        <v>-1.1105610075479999</v>
      </c>
      <c r="AH6565">
        <v>18.263228806135601</v>
      </c>
      <c r="AI6565">
        <v>93.472159988610301</v>
      </c>
      <c r="AJ6565">
        <v>93.799619273616102</v>
      </c>
      <c r="AK6565">
        <v>18.3371221334159</v>
      </c>
      <c r="AL6565">
        <v>78.983433948431895</v>
      </c>
      <c r="AM6565">
        <v>93.122233467274498</v>
      </c>
      <c r="AN6565">
        <v>0.99999996143705205</v>
      </c>
    </row>
    <row r="6566" spans="1:40" x14ac:dyDescent="0.25">
      <c r="A6566" t="str">
        <f>"20190312172536941"</f>
        <v>20190312172536941</v>
      </c>
      <c r="B6566" t="str">
        <f>"1552382736936826"</f>
        <v>1552382736936826</v>
      </c>
      <c r="C6566" t="s">
        <v>40</v>
      </c>
      <c r="D6566">
        <v>3.8973810000000002</v>
      </c>
      <c r="E6566">
        <v>0.49788480000000002</v>
      </c>
      <c r="F6566" t="s">
        <v>57</v>
      </c>
      <c r="G6566">
        <v>-218.25280000000001</v>
      </c>
      <c r="H6566" s="1">
        <v>-2.9467379999999999E-6</v>
      </c>
      <c r="I6566">
        <v>-62.027160000000002</v>
      </c>
      <c r="J6566">
        <v>-236.56309999999999</v>
      </c>
      <c r="K6566">
        <v>1.1105529999999999</v>
      </c>
      <c r="L6566">
        <v>-63.050420000000003</v>
      </c>
      <c r="M6566">
        <v>0.99984039999999996</v>
      </c>
      <c r="N6566">
        <v>0</v>
      </c>
      <c r="O6566">
        <v>-1.0507509999999999E-2</v>
      </c>
      <c r="P6566">
        <v>0.98322940000000003</v>
      </c>
      <c r="Q6566">
        <v>0.1772089</v>
      </c>
      <c r="R6566">
        <v>4.309379E-2</v>
      </c>
      <c r="S6566">
        <v>3.0768589999999998</v>
      </c>
      <c r="T6566">
        <v>-0.18485409999999999</v>
      </c>
      <c r="U6566">
        <v>0.17001340000000001</v>
      </c>
      <c r="V6566">
        <v>-5.3477799999999999E-2</v>
      </c>
      <c r="W6566">
        <v>0.19137689999999999</v>
      </c>
      <c r="X6566">
        <v>0.98005869999999995</v>
      </c>
      <c r="Y6566">
        <v>-6.5524239999999997E-2</v>
      </c>
      <c r="Z6566">
        <v>2.5953769999999998E-3</v>
      </c>
      <c r="AA6566">
        <v>0.99784759999999995</v>
      </c>
      <c r="AB6566">
        <v>35</v>
      </c>
      <c r="AC6566">
        <v>18.310299999999899</v>
      </c>
      <c r="AD6566">
        <v>-1.110555946738</v>
      </c>
      <c r="AE6566">
        <v>1.0232600000000001</v>
      </c>
      <c r="AF6566">
        <v>-1.21117760284341</v>
      </c>
      <c r="AG6566">
        <v>-1.110555946738</v>
      </c>
      <c r="AH6566">
        <v>18.231676542665902</v>
      </c>
      <c r="AI6566">
        <v>93.478134020054</v>
      </c>
      <c r="AJ6566">
        <v>93.800722709787493</v>
      </c>
      <c r="AK6566">
        <v>18.3055815327691</v>
      </c>
      <c r="AL6566">
        <v>78.966850852453405</v>
      </c>
      <c r="AM6566">
        <v>93.123299297392407</v>
      </c>
      <c r="AN6566">
        <v>1.00000002419606</v>
      </c>
    </row>
    <row r="6567" spans="1:40" x14ac:dyDescent="0.25">
      <c r="A6567" t="str">
        <f>"20190312172536952"</f>
        <v>20190312172536952</v>
      </c>
      <c r="B6567" t="str">
        <f>"1552382736946587"</f>
        <v>1552382736946587</v>
      </c>
      <c r="C6567" t="s">
        <v>40</v>
      </c>
      <c r="D6567">
        <v>3.7144059999999999</v>
      </c>
      <c r="E6567">
        <v>0.49787579999999998</v>
      </c>
      <c r="F6567" t="s">
        <v>57</v>
      </c>
      <c r="G6567">
        <v>-218.0119</v>
      </c>
      <c r="H6567" s="1">
        <v>-2.8425950000000002E-6</v>
      </c>
      <c r="I6567">
        <v>-62.024209999999997</v>
      </c>
      <c r="J6567">
        <v>-236.38650000000001</v>
      </c>
      <c r="K6567">
        <v>1.1105510000000001</v>
      </c>
      <c r="L6567">
        <v>-63.052219999999998</v>
      </c>
      <c r="M6567">
        <v>0.99984070000000003</v>
      </c>
      <c r="N6567">
        <v>0</v>
      </c>
      <c r="O6567">
        <v>-1.0464680000000001E-2</v>
      </c>
      <c r="P6567">
        <v>0.98316879999999995</v>
      </c>
      <c r="Q6567">
        <v>0.1775264</v>
      </c>
      <c r="R6567">
        <v>4.3172559999999999E-2</v>
      </c>
      <c r="S6567">
        <v>3.0769039999999999</v>
      </c>
      <c r="T6567">
        <v>-0.1841959</v>
      </c>
      <c r="U6567">
        <v>0.1701965</v>
      </c>
      <c r="V6567">
        <v>-5.3511200000000002E-2</v>
      </c>
      <c r="W6567">
        <v>0.1917073</v>
      </c>
      <c r="X6567">
        <v>0.97999230000000004</v>
      </c>
      <c r="Y6567">
        <v>-6.5540890000000004E-2</v>
      </c>
      <c r="Z6567">
        <v>2.584046E-3</v>
      </c>
      <c r="AA6567">
        <v>0.99784649999999997</v>
      </c>
      <c r="AB6567">
        <v>35</v>
      </c>
      <c r="AC6567">
        <v>18.374600000000001</v>
      </c>
      <c r="AD6567">
        <v>-1.1105538425949999</v>
      </c>
      <c r="AE6567">
        <v>1.0280100000000001</v>
      </c>
      <c r="AF6567">
        <v>-1.21583060348101</v>
      </c>
      <c r="AG6567">
        <v>-1.1105538425949999</v>
      </c>
      <c r="AH6567">
        <v>18.2962082016866</v>
      </c>
      <c r="AI6567">
        <v>93.465885295301305</v>
      </c>
      <c r="AJ6567">
        <v>93.801863809691199</v>
      </c>
      <c r="AK6567">
        <v>18.370160817290799</v>
      </c>
      <c r="AL6567">
        <v>78.947563188457394</v>
      </c>
      <c r="AM6567">
        <v>93.125457447224207</v>
      </c>
      <c r="AN6567">
        <v>1.000000022729</v>
      </c>
    </row>
    <row r="6568" spans="1:40" x14ac:dyDescent="0.25">
      <c r="A6568" t="str">
        <f>"20190312172536963"</f>
        <v>20190312172536963</v>
      </c>
      <c r="B6568" t="str">
        <f>"1552382736957323"</f>
        <v>1552382736957323</v>
      </c>
      <c r="C6568" t="s">
        <v>40</v>
      </c>
      <c r="D6568">
        <v>3.8571010000000001</v>
      </c>
      <c r="E6568">
        <v>0.49786360000000002</v>
      </c>
      <c r="F6568" t="s">
        <v>57</v>
      </c>
      <c r="G6568">
        <v>-217.7338</v>
      </c>
      <c r="H6568" s="1">
        <v>-2.721986E-6</v>
      </c>
      <c r="I6568">
        <v>-62.019289999999998</v>
      </c>
      <c r="J6568">
        <v>-236.2216</v>
      </c>
      <c r="K6568">
        <v>1.1105499999999999</v>
      </c>
      <c r="L6568">
        <v>-63.053890000000003</v>
      </c>
      <c r="M6568">
        <v>0.99984099999999998</v>
      </c>
      <c r="N6568">
        <v>0</v>
      </c>
      <c r="O6568">
        <v>-1.042446E-2</v>
      </c>
      <c r="P6568">
        <v>0.98311850000000001</v>
      </c>
      <c r="Q6568">
        <v>0.17782139999999999</v>
      </c>
      <c r="R6568">
        <v>4.3103710000000003E-2</v>
      </c>
      <c r="S6568">
        <v>3.0769350000000002</v>
      </c>
      <c r="T6568">
        <v>-0.18319550000000001</v>
      </c>
      <c r="U6568">
        <v>0.17037959999999999</v>
      </c>
      <c r="V6568">
        <v>-5.3399990000000001E-2</v>
      </c>
      <c r="W6568">
        <v>0.19201480000000001</v>
      </c>
      <c r="X6568">
        <v>0.97993810000000003</v>
      </c>
      <c r="Y6568">
        <v>-6.5560899999999894E-2</v>
      </c>
      <c r="Z6568">
        <v>2.5682109999999999E-3</v>
      </c>
      <c r="AA6568">
        <v>0.99784530000000005</v>
      </c>
      <c r="AB6568">
        <v>35</v>
      </c>
      <c r="AC6568">
        <v>18.4878</v>
      </c>
      <c r="AD6568">
        <v>-1.1105527219860001</v>
      </c>
      <c r="AE6568">
        <v>1.03459999999999</v>
      </c>
      <c r="AF6568">
        <v>-1.2228904426877101</v>
      </c>
      <c r="AG6568">
        <v>-1.1105527219860001</v>
      </c>
      <c r="AH6568">
        <v>18.409787501475101</v>
      </c>
      <c r="AI6568">
        <v>93.444556693630005</v>
      </c>
      <c r="AJ6568">
        <v>93.800352326531197</v>
      </c>
      <c r="AK6568">
        <v>18.483751357140601</v>
      </c>
      <c r="AL6568">
        <v>78.929610535863702</v>
      </c>
      <c r="AM6568">
        <v>93.119146951468906</v>
      </c>
      <c r="AN6568">
        <v>0.99999996109132405</v>
      </c>
    </row>
    <row r="6569" spans="1:40" x14ac:dyDescent="0.25">
      <c r="A6569" t="str">
        <f>"20190312172536973"</f>
        <v>20190312172536973</v>
      </c>
      <c r="B6569" t="str">
        <f>"1552382736967083"</f>
        <v>1552382736967083</v>
      </c>
      <c r="C6569" t="s">
        <v>40</v>
      </c>
      <c r="D6569">
        <v>3.8877799999999998</v>
      </c>
      <c r="E6569">
        <v>0.49785069999999998</v>
      </c>
      <c r="F6569" t="s">
        <v>57</v>
      </c>
      <c r="G6569">
        <v>-217.47130000000001</v>
      </c>
      <c r="H6569" s="1">
        <v>-2.6084400000000001E-6</v>
      </c>
      <c r="I6569">
        <v>-62.015790000000003</v>
      </c>
      <c r="J6569">
        <v>-236.04519999999999</v>
      </c>
      <c r="K6569">
        <v>1.1105510000000001</v>
      </c>
      <c r="L6569">
        <v>-63.055660000000003</v>
      </c>
      <c r="M6569">
        <v>0.99984110000000004</v>
      </c>
      <c r="N6569">
        <v>0</v>
      </c>
      <c r="O6569">
        <v>-1.038147E-2</v>
      </c>
      <c r="P6569">
        <v>0.98310410000000004</v>
      </c>
      <c r="Q6569">
        <v>0.17783270000000001</v>
      </c>
      <c r="R6569">
        <v>4.3377249999999999E-2</v>
      </c>
      <c r="S6569">
        <v>3.0770110000000002</v>
      </c>
      <c r="T6569">
        <v>-0.18224670000000001</v>
      </c>
      <c r="U6569">
        <v>0.1703491</v>
      </c>
      <c r="V6569">
        <v>-5.3628700000000001E-2</v>
      </c>
      <c r="W6569">
        <v>0.19203770000000001</v>
      </c>
      <c r="X6569">
        <v>0.97992120000000005</v>
      </c>
      <c r="Y6569">
        <v>-6.5508330000000004E-2</v>
      </c>
      <c r="Z6569">
        <v>2.550774E-3</v>
      </c>
      <c r="AA6569">
        <v>0.99784870000000003</v>
      </c>
      <c r="AB6569">
        <v>35</v>
      </c>
      <c r="AC6569">
        <v>18.573899999999899</v>
      </c>
      <c r="AD6569">
        <v>-1.1105536084400001</v>
      </c>
      <c r="AE6569">
        <v>1.0398699999999901</v>
      </c>
      <c r="AF6569">
        <v>-1.2282812333436499</v>
      </c>
      <c r="AG6569">
        <v>-1.1105536084400001</v>
      </c>
      <c r="AH6569">
        <v>18.496185581226101</v>
      </c>
      <c r="AI6569">
        <v>93.428512182825997</v>
      </c>
      <c r="AJ6569">
        <v>93.799278142289694</v>
      </c>
      <c r="AK6569">
        <v>18.570161150635101</v>
      </c>
      <c r="AL6569">
        <v>78.928274431924905</v>
      </c>
      <c r="AM6569">
        <v>93.132533499644296</v>
      </c>
      <c r="AN6569">
        <v>1.0000000369472</v>
      </c>
    </row>
    <row r="6570" spans="1:40" x14ac:dyDescent="0.25">
      <c r="A6570" t="str">
        <f>"20190312172536986"</f>
        <v>20190312172536986</v>
      </c>
      <c r="B6570" t="str">
        <f>"1552382736976843"</f>
        <v>1552382736976843</v>
      </c>
      <c r="C6570" t="s">
        <v>40</v>
      </c>
      <c r="D6570">
        <v>3.7166589999999999</v>
      </c>
      <c r="E6570">
        <v>0.49784319999999999</v>
      </c>
      <c r="F6570" t="s">
        <v>57</v>
      </c>
      <c r="G6570">
        <v>-217.28710000000001</v>
      </c>
      <c r="H6570" s="1">
        <v>-2.5283940000000001E-6</v>
      </c>
      <c r="I6570">
        <v>-62.011890000000001</v>
      </c>
      <c r="J6570">
        <v>-235.8646</v>
      </c>
      <c r="K6570">
        <v>1.1105499999999999</v>
      </c>
      <c r="L6570">
        <v>-63.057499999999997</v>
      </c>
      <c r="M6570">
        <v>0.99984150000000005</v>
      </c>
      <c r="N6570">
        <v>0</v>
      </c>
      <c r="O6570">
        <v>-1.03374E-2</v>
      </c>
      <c r="P6570">
        <v>0.98302769999999995</v>
      </c>
      <c r="Q6570">
        <v>0.17825269999999999</v>
      </c>
      <c r="R6570">
        <v>4.3390779999999997E-2</v>
      </c>
      <c r="S6570">
        <v>3.0769350000000002</v>
      </c>
      <c r="T6570">
        <v>-0.18216650000000001</v>
      </c>
      <c r="U6570">
        <v>0.17120360000000001</v>
      </c>
      <c r="V6570">
        <v>-5.3596060000000001E-2</v>
      </c>
      <c r="W6570">
        <v>0.19246779999999999</v>
      </c>
      <c r="X6570">
        <v>0.9798386</v>
      </c>
      <c r="Y6570">
        <v>-6.5741759999999996E-2</v>
      </c>
      <c r="Z6570">
        <v>2.5539899999999999E-3</v>
      </c>
      <c r="AA6570">
        <v>0.99783339999999998</v>
      </c>
      <c r="AB6570">
        <v>35</v>
      </c>
      <c r="AC6570">
        <v>18.577499999999901</v>
      </c>
      <c r="AD6570">
        <v>-1.1105525283940001</v>
      </c>
      <c r="AE6570">
        <v>1.0456099999999899</v>
      </c>
      <c r="AF6570">
        <v>-1.23322423553754</v>
      </c>
      <c r="AG6570">
        <v>-1.1105525283940001</v>
      </c>
      <c r="AH6570">
        <v>18.499795371110199</v>
      </c>
      <c r="AI6570">
        <v>93.427783871396002</v>
      </c>
      <c r="AJ6570">
        <v>93.813780505615696</v>
      </c>
      <c r="AK6570">
        <v>18.5740840341157</v>
      </c>
      <c r="AL6570">
        <v>78.903163075795504</v>
      </c>
      <c r="AM6570">
        <v>93.1308941273236</v>
      </c>
      <c r="AN6570">
        <v>1.00000003686716</v>
      </c>
    </row>
    <row r="6571" spans="1:40" x14ac:dyDescent="0.25">
      <c r="A6571" t="str">
        <f>"20190312172536997"</f>
        <v>20190312172536997</v>
      </c>
      <c r="B6571" t="str">
        <f>"1552382736986603"</f>
        <v>1552382736986603</v>
      </c>
      <c r="C6571" t="s">
        <v>40</v>
      </c>
      <c r="D6571">
        <v>3.7766280000000001</v>
      </c>
      <c r="E6571">
        <v>0.49783090000000002</v>
      </c>
      <c r="F6571" t="s">
        <v>57</v>
      </c>
      <c r="G6571">
        <v>-216.98480000000001</v>
      </c>
      <c r="H6571" s="1">
        <v>-2.3973159999999999E-6</v>
      </c>
      <c r="I6571">
        <v>-62.006610000000002</v>
      </c>
      <c r="J6571">
        <v>-235.68870000000001</v>
      </c>
      <c r="K6571">
        <v>1.110544</v>
      </c>
      <c r="L6571">
        <v>-63.0593</v>
      </c>
      <c r="M6571">
        <v>0.99984170000000006</v>
      </c>
      <c r="N6571">
        <v>0</v>
      </c>
      <c r="O6571">
        <v>-1.02939E-2</v>
      </c>
      <c r="P6571">
        <v>0.98300010000000004</v>
      </c>
      <c r="Q6571">
        <v>0.17831279999999999</v>
      </c>
      <c r="R6571">
        <v>4.3765819999999997E-2</v>
      </c>
      <c r="S6571">
        <v>3.0770569999999999</v>
      </c>
      <c r="T6571">
        <v>-0.18099960000000001</v>
      </c>
      <c r="U6571">
        <v>0.17126459999999999</v>
      </c>
      <c r="V6571">
        <v>-5.3926559999999998E-2</v>
      </c>
      <c r="W6571">
        <v>0.19253790000000001</v>
      </c>
      <c r="X6571">
        <v>0.97980670000000003</v>
      </c>
      <c r="Y6571">
        <v>-6.5717709999999999E-2</v>
      </c>
      <c r="Z6571">
        <v>2.5342960000000001E-3</v>
      </c>
      <c r="AA6571">
        <v>0.99783500000000003</v>
      </c>
      <c r="AB6571">
        <v>35</v>
      </c>
      <c r="AC6571">
        <v>18.703900000000001</v>
      </c>
      <c r="AD6571">
        <v>-1.1105463973159999</v>
      </c>
      <c r="AE6571">
        <v>1.0526899999999999</v>
      </c>
      <c r="AF6571">
        <v>-1.2408299516467001</v>
      </c>
      <c r="AG6571">
        <v>-1.1105463973159999</v>
      </c>
      <c r="AH6571">
        <v>18.626612354824999</v>
      </c>
      <c r="AI6571">
        <v>93.404492818984806</v>
      </c>
      <c r="AJ6571">
        <v>93.811183284008195</v>
      </c>
      <c r="AK6571">
        <v>18.700899980653698</v>
      </c>
      <c r="AL6571">
        <v>78.899070158188593</v>
      </c>
      <c r="AM6571">
        <v>93.150264369059599</v>
      </c>
      <c r="AN6571">
        <v>1.0000000430873599</v>
      </c>
    </row>
    <row r="6572" spans="1:40" x14ac:dyDescent="0.25">
      <c r="A6572" t="str">
        <f>"20190312172537008"</f>
        <v>20190312172537008</v>
      </c>
      <c r="B6572" t="str">
        <f>"1552382736996363"</f>
        <v>1552382736996363</v>
      </c>
      <c r="C6572" t="s">
        <v>40</v>
      </c>
      <c r="D6572">
        <v>3.8798910000000002</v>
      </c>
      <c r="E6572">
        <v>0.49780580000000002</v>
      </c>
      <c r="F6572" t="s">
        <v>57</v>
      </c>
      <c r="G6572">
        <v>-216.79660000000001</v>
      </c>
      <c r="H6572" s="1">
        <v>-2.3153730000000002E-6</v>
      </c>
      <c r="I6572">
        <v>-62.002090000000003</v>
      </c>
      <c r="J6572">
        <v>-235.5333</v>
      </c>
      <c r="K6572">
        <v>1.1105449999999999</v>
      </c>
      <c r="L6572">
        <v>-63.0608199999999</v>
      </c>
      <c r="M6572">
        <v>0.99984200000000001</v>
      </c>
      <c r="N6572">
        <v>0</v>
      </c>
      <c r="O6572">
        <v>-1.025527E-2</v>
      </c>
      <c r="P6572">
        <v>0.98293949999999997</v>
      </c>
      <c r="Q6572">
        <v>0.178624</v>
      </c>
      <c r="R6572">
        <v>4.385886E-2</v>
      </c>
      <c r="S6572">
        <v>3.0770110000000002</v>
      </c>
      <c r="T6572">
        <v>-0.1808776</v>
      </c>
      <c r="U6572">
        <v>0.17218020000000001</v>
      </c>
      <c r="V6572">
        <v>-5.3979649999999997E-2</v>
      </c>
      <c r="W6572">
        <v>0.1928561</v>
      </c>
      <c r="X6572">
        <v>0.97974119999999998</v>
      </c>
      <c r="Y6572">
        <v>-6.5975740000000005E-2</v>
      </c>
      <c r="Z6572">
        <v>2.53791E-3</v>
      </c>
      <c r="AA6572">
        <v>0.99781799999999998</v>
      </c>
      <c r="AB6572">
        <v>35</v>
      </c>
      <c r="AC6572">
        <v>18.7366999999999</v>
      </c>
      <c r="AD6572">
        <v>-1.1105473153730001</v>
      </c>
      <c r="AE6572">
        <v>1.05872999999999</v>
      </c>
      <c r="AF6572">
        <v>-1.24647944307431</v>
      </c>
      <c r="AG6572">
        <v>-1.1105473153730001</v>
      </c>
      <c r="AH6572">
        <v>18.6595120788418</v>
      </c>
      <c r="AI6572">
        <v>93.398465306955103</v>
      </c>
      <c r="AJ6572">
        <v>93.821753878934501</v>
      </c>
      <c r="AK6572">
        <v>18.734044340775199</v>
      </c>
      <c r="AL6572">
        <v>78.880490486636006</v>
      </c>
      <c r="AM6572">
        <v>93.153569898043898</v>
      </c>
      <c r="AN6572">
        <v>1.0000000484493801</v>
      </c>
    </row>
    <row r="6573" spans="1:40" x14ac:dyDescent="0.25">
      <c r="A6573" t="str">
        <f>"20190312172537018"</f>
        <v>20190312172537018</v>
      </c>
      <c r="B6573" t="str">
        <f>"1552382737007099"</f>
        <v>1552382737007099</v>
      </c>
      <c r="C6573" t="s">
        <v>40</v>
      </c>
      <c r="D6573">
        <v>3.7346189999999999</v>
      </c>
      <c r="E6573">
        <v>0.4977954</v>
      </c>
      <c r="F6573" t="s">
        <v>57</v>
      </c>
      <c r="G6573">
        <v>-216.55619999999999</v>
      </c>
      <c r="H6573" s="1">
        <v>-2.2107529999999998E-6</v>
      </c>
      <c r="I6573">
        <v>-61.996450000000003</v>
      </c>
      <c r="J6573">
        <v>-235.35499999999999</v>
      </c>
      <c r="K6573">
        <v>1.1105449999999999</v>
      </c>
      <c r="L6573">
        <v>-63.06259</v>
      </c>
      <c r="M6573">
        <v>0.99984229999999996</v>
      </c>
      <c r="N6573">
        <v>0</v>
      </c>
      <c r="O6573">
        <v>-1.0210439999999999E-2</v>
      </c>
      <c r="P6573">
        <v>0.98287880000000005</v>
      </c>
      <c r="Q6573">
        <v>0.1788981</v>
      </c>
      <c r="R6573">
        <v>4.409954E-2</v>
      </c>
      <c r="S6573">
        <v>3.0771030000000001</v>
      </c>
      <c r="T6573">
        <v>-0.1800736</v>
      </c>
      <c r="U6573">
        <v>0.17257690000000001</v>
      </c>
      <c r="V6573">
        <v>-5.417421E-2</v>
      </c>
      <c r="W6573">
        <v>0.19313820000000001</v>
      </c>
      <c r="X6573">
        <v>0.97967479999999996</v>
      </c>
      <c r="Y6573">
        <v>-6.6058699999999998E-2</v>
      </c>
      <c r="Z6573">
        <v>2.5263690000000001E-3</v>
      </c>
      <c r="AA6573">
        <v>0.99781260000000005</v>
      </c>
      <c r="AB6573">
        <v>35</v>
      </c>
      <c r="AC6573">
        <v>18.7988</v>
      </c>
      <c r="AD6573">
        <v>-1.1105472107529999</v>
      </c>
      <c r="AE6573">
        <v>1.0661399999999901</v>
      </c>
      <c r="AF6573">
        <v>-1.2536874723885301</v>
      </c>
      <c r="AG6573">
        <v>-1.1105472107529999</v>
      </c>
      <c r="AH6573">
        <v>18.7218050697679</v>
      </c>
      <c r="AI6573">
        <v>93.387147041511895</v>
      </c>
      <c r="AJ6573">
        <v>93.831036641187396</v>
      </c>
      <c r="AK6573">
        <v>18.796569699179798</v>
      </c>
      <c r="AL6573">
        <v>78.864016667184899</v>
      </c>
      <c r="AM6573">
        <v>93.165127385266004</v>
      </c>
      <c r="AN6573">
        <v>0.99999996154170101</v>
      </c>
    </row>
    <row r="6574" spans="1:40" x14ac:dyDescent="0.25">
      <c r="A6574" t="str">
        <f>"20190312172537031"</f>
        <v>20190312172537031</v>
      </c>
      <c r="B6574" t="str">
        <f>"1552382737026619"</f>
        <v>1552382737026619</v>
      </c>
      <c r="C6574" t="s">
        <v>40</v>
      </c>
      <c r="D6574">
        <v>3.8488190000000002</v>
      </c>
      <c r="E6574">
        <v>0.49776150000000002</v>
      </c>
      <c r="F6574" t="s">
        <v>57</v>
      </c>
      <c r="G6574">
        <v>-216.3049</v>
      </c>
      <c r="H6574" s="1">
        <v>-2.1008689999999999E-6</v>
      </c>
      <c r="I6574">
        <v>-61.988660000000003</v>
      </c>
      <c r="J6574">
        <v>-235.17760000000001</v>
      </c>
      <c r="K6574">
        <v>1.110552</v>
      </c>
      <c r="L6574">
        <v>-63.064390000000003</v>
      </c>
      <c r="M6574">
        <v>0.99984280000000003</v>
      </c>
      <c r="N6574">
        <v>0</v>
      </c>
      <c r="O6574">
        <v>-1.0165469999999999E-2</v>
      </c>
      <c r="P6574">
        <v>0.98282639999999999</v>
      </c>
      <c r="Q6574">
        <v>0.17914920000000001</v>
      </c>
      <c r="R6574">
        <v>4.424612E-2</v>
      </c>
      <c r="S6574">
        <v>3.0771480000000002</v>
      </c>
      <c r="T6574">
        <v>-0.17938579999999901</v>
      </c>
      <c r="U6574">
        <v>0.1734619</v>
      </c>
      <c r="V6574">
        <v>-5.4275579999999997E-2</v>
      </c>
      <c r="W6574">
        <v>0.19339600000000001</v>
      </c>
      <c r="X6574">
        <v>0.9796184</v>
      </c>
      <c r="Y6574">
        <v>-6.6299720000000006E-2</v>
      </c>
      <c r="Z6574">
        <v>2.5210739999999999E-3</v>
      </c>
      <c r="AA6574">
        <v>0.99779660000000003</v>
      </c>
      <c r="AB6574">
        <v>35</v>
      </c>
      <c r="AC6574">
        <v>18.872699999999998</v>
      </c>
      <c r="AD6574">
        <v>-1.1105541008689901</v>
      </c>
      <c r="AE6574">
        <v>1.0757300000000001</v>
      </c>
      <c r="AF6574">
        <v>-1.2631846886667399</v>
      </c>
      <c r="AG6574">
        <v>-1.1105541008689901</v>
      </c>
      <c r="AH6574">
        <v>18.795914869828401</v>
      </c>
      <c r="AI6574">
        <v>93.373789531864404</v>
      </c>
      <c r="AJ6574">
        <v>93.844797353780393</v>
      </c>
      <c r="AK6574">
        <v>18.871019626996201</v>
      </c>
      <c r="AL6574">
        <v>78.848962755087499</v>
      </c>
      <c r="AM6574">
        <v>93.171220045427503</v>
      </c>
      <c r="AN6574">
        <v>1.0000000305094401</v>
      </c>
    </row>
    <row r="6575" spans="1:40" x14ac:dyDescent="0.25">
      <c r="A6575" t="str">
        <f>"20190312172537042"</f>
        <v>20190312172537042</v>
      </c>
      <c r="B6575" t="str">
        <f>"1552382737036379"</f>
        <v>1552382737036379</v>
      </c>
      <c r="C6575" t="s">
        <v>40</v>
      </c>
      <c r="D6575">
        <v>3.8674270000000002</v>
      </c>
      <c r="E6575">
        <v>0.49774160000000001</v>
      </c>
      <c r="F6575" t="s">
        <v>57</v>
      </c>
      <c r="G6575">
        <v>-216.07929999999999</v>
      </c>
      <c r="H6575" s="1">
        <v>-2.0028359999999998E-6</v>
      </c>
      <c r="I6575">
        <v>-61.9839699999999</v>
      </c>
      <c r="J6575">
        <v>-235.00370000000001</v>
      </c>
      <c r="K6575">
        <v>1.1105560000000001</v>
      </c>
      <c r="L6575">
        <v>-63.066099999999999</v>
      </c>
      <c r="M6575">
        <v>0.99984320000000004</v>
      </c>
      <c r="N6575">
        <v>0</v>
      </c>
      <c r="O6575">
        <v>-1.012133E-2</v>
      </c>
      <c r="P6575">
        <v>0.98276730000000001</v>
      </c>
      <c r="Q6575">
        <v>0.17943629999999999</v>
      </c>
      <c r="R6575">
        <v>4.4399189999999998E-2</v>
      </c>
      <c r="S6575">
        <v>3.077194</v>
      </c>
      <c r="T6575">
        <v>-0.1789365</v>
      </c>
      <c r="U6575">
        <v>0.17407230000000001</v>
      </c>
      <c r="V6575">
        <v>-5.4383069999999999E-2</v>
      </c>
      <c r="W6575">
        <v>0.1936889</v>
      </c>
      <c r="X6575">
        <v>0.97955449999999999</v>
      </c>
      <c r="Y6575">
        <v>-6.6452600000000001E-2</v>
      </c>
      <c r="Z6575">
        <v>2.516594E-3</v>
      </c>
      <c r="AA6575">
        <v>0.99778639999999996</v>
      </c>
      <c r="AB6575">
        <v>35</v>
      </c>
      <c r="AC6575">
        <v>18.924399999999999</v>
      </c>
      <c r="AD6575">
        <v>-1.11055800283599</v>
      </c>
      <c r="AE6575">
        <v>1.08213</v>
      </c>
      <c r="AF6575">
        <v>-1.2692779835402299</v>
      </c>
      <c r="AG6575">
        <v>-1.11055800283599</v>
      </c>
      <c r="AH6575">
        <v>18.847780205212501</v>
      </c>
      <c r="AI6575">
        <v>93.364507583447093</v>
      </c>
      <c r="AJ6575">
        <v>93.852688753314993</v>
      </c>
      <c r="AK6575">
        <v>18.923087072176301</v>
      </c>
      <c r="AL6575">
        <v>78.831856632469993</v>
      </c>
      <c r="AM6575">
        <v>93.177694481950198</v>
      </c>
      <c r="AN6575">
        <v>0.99999996337804098</v>
      </c>
    </row>
    <row r="6576" spans="1:40" x14ac:dyDescent="0.25">
      <c r="A6576" t="str">
        <f>"20190312172537052"</f>
        <v>20190312172537052</v>
      </c>
      <c r="B6576" t="str">
        <f>"1552382737047116"</f>
        <v>1552382737047116</v>
      </c>
      <c r="C6576" t="s">
        <v>40</v>
      </c>
      <c r="D6576">
        <v>3.7594409999999998</v>
      </c>
      <c r="E6576">
        <v>0.4977337</v>
      </c>
      <c r="F6576" t="s">
        <v>57</v>
      </c>
      <c r="G6576">
        <v>-215.83789999999999</v>
      </c>
      <c r="H6576" s="1">
        <v>-1.8975029999999999E-6</v>
      </c>
      <c r="I6576">
        <v>-61.977319999999999</v>
      </c>
      <c r="J6576">
        <v>-234.82839999999999</v>
      </c>
      <c r="K6576">
        <v>1.1105579999999999</v>
      </c>
      <c r="L6576">
        <v>-63.067839999999997</v>
      </c>
      <c r="M6576">
        <v>0.9998435</v>
      </c>
      <c r="N6576">
        <v>0</v>
      </c>
      <c r="O6576">
        <v>-1.007658E-2</v>
      </c>
      <c r="P6576">
        <v>0.9826627</v>
      </c>
      <c r="Q6576">
        <v>0.1800358</v>
      </c>
      <c r="R6576">
        <v>4.429015E-2</v>
      </c>
      <c r="S6576">
        <v>3.0772550000000001</v>
      </c>
      <c r="T6576">
        <v>-0.1783111</v>
      </c>
      <c r="U6576">
        <v>0.17480470000000001</v>
      </c>
      <c r="V6576">
        <v>-5.4228869999999998E-2</v>
      </c>
      <c r="W6576">
        <v>0.19429370000000001</v>
      </c>
      <c r="X6576">
        <v>0.97944330000000002</v>
      </c>
      <c r="Y6576">
        <v>-6.6644209999999995E-2</v>
      </c>
      <c r="Z6576">
        <v>2.5106999999999998E-3</v>
      </c>
      <c r="AA6576">
        <v>0.99777360000000004</v>
      </c>
      <c r="AB6576">
        <v>35</v>
      </c>
      <c r="AC6576">
        <v>18.990500000000001</v>
      </c>
      <c r="AD6576">
        <v>-1.110559897503</v>
      </c>
      <c r="AE6576">
        <v>1.0905199999999999</v>
      </c>
      <c r="AF6576">
        <v>-1.2774896435054901</v>
      </c>
      <c r="AG6576">
        <v>-1.110559897503</v>
      </c>
      <c r="AH6576">
        <v>18.9140744621625</v>
      </c>
      <c r="AI6576">
        <v>93.352703071669694</v>
      </c>
      <c r="AJ6576">
        <v>93.863988515620903</v>
      </c>
      <c r="AK6576">
        <v>18.9896691870984</v>
      </c>
      <c r="AL6576">
        <v>78.796533470483098</v>
      </c>
      <c r="AM6576">
        <v>93.169061724724799</v>
      </c>
      <c r="AN6576">
        <v>0.99999999505802795</v>
      </c>
    </row>
    <row r="6577" spans="1:40" x14ac:dyDescent="0.25">
      <c r="A6577" t="str">
        <f>"20190312172537064"</f>
        <v>20190312172537064</v>
      </c>
      <c r="B6577" t="str">
        <f>"1552382737056875"</f>
        <v>1552382737056875</v>
      </c>
      <c r="C6577" t="s">
        <v>40</v>
      </c>
      <c r="D6577">
        <v>3.7235179999999999</v>
      </c>
      <c r="E6577">
        <v>0.49772739999999999</v>
      </c>
      <c r="F6577" t="s">
        <v>57</v>
      </c>
      <c r="G6577">
        <v>-215.47640000000001</v>
      </c>
      <c r="H6577" s="1">
        <v>-1.7403380000000001E-6</v>
      </c>
      <c r="I6577">
        <v>-61.96951</v>
      </c>
      <c r="J6577">
        <v>-234.65110000000001</v>
      </c>
      <c r="K6577">
        <v>1.110563</v>
      </c>
      <c r="L6577">
        <v>-63.069580000000002</v>
      </c>
      <c r="M6577">
        <v>0.99984379999999995</v>
      </c>
      <c r="N6577">
        <v>0</v>
      </c>
      <c r="O6577">
        <v>-1.003123E-2</v>
      </c>
      <c r="P6577">
        <v>0.98262479999999996</v>
      </c>
      <c r="Q6577">
        <v>0.18024299999999999</v>
      </c>
      <c r="R6577">
        <v>4.4284469999999999E-2</v>
      </c>
      <c r="S6577">
        <v>3.077423</v>
      </c>
      <c r="T6577">
        <v>-0.1766046</v>
      </c>
      <c r="U6577">
        <v>0.1746521</v>
      </c>
      <c r="V6577">
        <v>-5.4177500000000003E-2</v>
      </c>
      <c r="W6577">
        <v>0.19450609999999999</v>
      </c>
      <c r="X6577">
        <v>0.97940400000000005</v>
      </c>
      <c r="Y6577">
        <v>-6.6549239999999996E-2</v>
      </c>
      <c r="Z6577">
        <v>2.4812609999999998E-3</v>
      </c>
      <c r="AA6577">
        <v>0.99778009999999995</v>
      </c>
      <c r="AB6577">
        <v>35</v>
      </c>
      <c r="AC6577">
        <v>19.174700000000001</v>
      </c>
      <c r="AD6577">
        <v>-1.1105647403379999</v>
      </c>
      <c r="AE6577">
        <v>1.1000700000000001</v>
      </c>
      <c r="AF6577">
        <v>-1.2880741355437</v>
      </c>
      <c r="AG6577">
        <v>-1.1105647403379999</v>
      </c>
      <c r="AH6577">
        <v>19.098841517995002</v>
      </c>
      <c r="AI6577">
        <v>93.320377621936501</v>
      </c>
      <c r="AJ6577">
        <v>93.858329374565997</v>
      </c>
      <c r="AK6577">
        <v>19.174416193214999</v>
      </c>
      <c r="AL6577">
        <v>78.784127331615394</v>
      </c>
      <c r="AM6577">
        <v>93.166192626149197</v>
      </c>
      <c r="AN6577">
        <v>1.0000000098297299</v>
      </c>
    </row>
    <row r="6578" spans="1:40" x14ac:dyDescent="0.25">
      <c r="A6578" t="str">
        <f>"20190312172537075"</f>
        <v>20190312172537075</v>
      </c>
      <c r="B6578" t="str">
        <f>"1552382737066635"</f>
        <v>1552382737066635</v>
      </c>
      <c r="C6578" t="s">
        <v>40</v>
      </c>
      <c r="D6578">
        <v>3.7410420000000002</v>
      </c>
      <c r="E6578">
        <v>0.49772040000000001</v>
      </c>
      <c r="F6578" t="s">
        <v>57</v>
      </c>
      <c r="G6578">
        <v>-215.2516</v>
      </c>
      <c r="H6578" s="1">
        <v>-1.6433480000000001E-6</v>
      </c>
      <c r="I6578">
        <v>-61.967419999999997</v>
      </c>
      <c r="J6578">
        <v>-234.47800000000001</v>
      </c>
      <c r="K6578">
        <v>1.1105640000000001</v>
      </c>
      <c r="L6578">
        <v>-63.071289999999998</v>
      </c>
      <c r="M6578">
        <v>0.99984419999999996</v>
      </c>
      <c r="N6578">
        <v>0</v>
      </c>
      <c r="O6578">
        <v>-9.9867050000000002E-3</v>
      </c>
      <c r="P6578">
        <v>0.98257119999999998</v>
      </c>
      <c r="Q6578">
        <v>0.1805387</v>
      </c>
      <c r="R6578">
        <v>4.4269709999999997E-2</v>
      </c>
      <c r="S6578">
        <v>3.077499</v>
      </c>
      <c r="T6578">
        <v>-0.176178</v>
      </c>
      <c r="U6578">
        <v>0.1748352</v>
      </c>
      <c r="V6578">
        <v>-5.411817E-2</v>
      </c>
      <c r="W6578">
        <v>0.19480639999999999</v>
      </c>
      <c r="X6578">
        <v>0.97934759999999998</v>
      </c>
      <c r="Y6578">
        <v>-6.6563259999999999E-2</v>
      </c>
      <c r="Z6578">
        <v>2.4730659999999999E-3</v>
      </c>
      <c r="AA6578">
        <v>0.99777910000000003</v>
      </c>
      <c r="AB6578">
        <v>35</v>
      </c>
      <c r="AC6578">
        <v>19.226399999999899</v>
      </c>
      <c r="AD6578">
        <v>-1.11056564334799</v>
      </c>
      <c r="AE6578">
        <v>1.1038699999999999</v>
      </c>
      <c r="AF6578">
        <v>-1.29154855885137</v>
      </c>
      <c r="AG6578">
        <v>-1.11056564334799</v>
      </c>
      <c r="AH6578">
        <v>19.1507291396962</v>
      </c>
      <c r="AI6578">
        <v>93.311404303767304</v>
      </c>
      <c r="AJ6578">
        <v>93.858254890537296</v>
      </c>
      <c r="AK6578">
        <v>19.2263329917607</v>
      </c>
      <c r="AL6578">
        <v>78.766585934612195</v>
      </c>
      <c r="AM6578">
        <v>93.162914128624607</v>
      </c>
      <c r="AN6578">
        <v>1.0000000157154301</v>
      </c>
    </row>
    <row r="6579" spans="1:40" x14ac:dyDescent="0.25">
      <c r="A6579" t="str">
        <f>"20190312172537087"</f>
        <v>20190312172537087</v>
      </c>
      <c r="B6579" t="str">
        <f>"1552382737076396"</f>
        <v>1552382737076396</v>
      </c>
      <c r="C6579" t="s">
        <v>40</v>
      </c>
      <c r="D6579">
        <v>3.8570730000000002</v>
      </c>
      <c r="E6579">
        <v>0.49770019999999998</v>
      </c>
      <c r="F6579" t="s">
        <v>57</v>
      </c>
      <c r="G6579">
        <v>-215.00540000000001</v>
      </c>
      <c r="H6579" s="1">
        <v>-1.537112E-6</v>
      </c>
      <c r="I6579">
        <v>-61.965009999999999</v>
      </c>
      <c r="J6579">
        <v>-234.3064</v>
      </c>
      <c r="K6579">
        <v>1.1105670000000001</v>
      </c>
      <c r="L6579">
        <v>-63.072940000000003</v>
      </c>
      <c r="M6579">
        <v>0.99984459999999997</v>
      </c>
      <c r="N6579">
        <v>0</v>
      </c>
      <c r="O6579">
        <v>-9.9426500000000008E-3</v>
      </c>
      <c r="P6579">
        <v>0.98253520000000005</v>
      </c>
      <c r="Q6579">
        <v>0.18074750000000001</v>
      </c>
      <c r="R6579">
        <v>4.4217480000000003E-2</v>
      </c>
      <c r="S6579">
        <v>3.0775760000000001</v>
      </c>
      <c r="T6579">
        <v>-0.17552139999999999</v>
      </c>
      <c r="U6579">
        <v>0.1748352</v>
      </c>
      <c r="V6579">
        <v>-5.4021979999999997E-2</v>
      </c>
      <c r="W6579">
        <v>0.19501869999999999</v>
      </c>
      <c r="X6579">
        <v>0.97931060000000003</v>
      </c>
      <c r="Y6579">
        <v>-6.6518980000000005E-2</v>
      </c>
      <c r="Z6579">
        <v>2.4600339999999998E-3</v>
      </c>
      <c r="AA6579">
        <v>0.99778210000000001</v>
      </c>
      <c r="AB6579">
        <v>35</v>
      </c>
      <c r="AC6579">
        <v>19.300999999999899</v>
      </c>
      <c r="AD6579">
        <v>-1.110568537112</v>
      </c>
      <c r="AE6579">
        <v>1.1079300000000001</v>
      </c>
      <c r="AF6579">
        <v>-1.2955235346418099</v>
      </c>
      <c r="AG6579">
        <v>-1.110568537112</v>
      </c>
      <c r="AH6579">
        <v>19.225586081263199</v>
      </c>
      <c r="AI6579">
        <v>93.298560419154697</v>
      </c>
      <c r="AJ6579">
        <v>93.855070232199196</v>
      </c>
      <c r="AK6579">
        <v>19.301163277701502</v>
      </c>
      <c r="AL6579">
        <v>78.754183542198106</v>
      </c>
      <c r="AM6579">
        <v>93.157422774548294</v>
      </c>
      <c r="AN6579">
        <v>0.99999995947258402</v>
      </c>
    </row>
    <row r="6580" spans="1:40" x14ac:dyDescent="0.25">
      <c r="A6580" t="str">
        <f>"20190312172537096"</f>
        <v>20190312172537096</v>
      </c>
      <c r="B6580" t="str">
        <f>"1552382737087132"</f>
        <v>1552382737087132</v>
      </c>
      <c r="C6580" t="s">
        <v>40</v>
      </c>
      <c r="D6580">
        <v>3.7018659999999999</v>
      </c>
      <c r="E6580">
        <v>0.49769289999999999</v>
      </c>
      <c r="F6580" t="s">
        <v>57</v>
      </c>
      <c r="G6580">
        <v>-214.79419999999999</v>
      </c>
      <c r="H6580" s="1">
        <v>-1.446636E-6</v>
      </c>
      <c r="I6580">
        <v>-61.965609999999998</v>
      </c>
      <c r="J6580">
        <v>-234.14160000000001</v>
      </c>
      <c r="K6580">
        <v>1.1105670000000001</v>
      </c>
      <c r="L6580">
        <v>-63.0745199999999</v>
      </c>
      <c r="M6580">
        <v>0.99984490000000004</v>
      </c>
      <c r="N6580">
        <v>0</v>
      </c>
      <c r="O6580">
        <v>-9.9003760000000007E-3</v>
      </c>
      <c r="P6580">
        <v>0.98252839999999997</v>
      </c>
      <c r="Q6580">
        <v>0.18076999999999999</v>
      </c>
      <c r="R6580">
        <v>4.4277499999999997E-2</v>
      </c>
      <c r="S6580">
        <v>3.0776979999999998</v>
      </c>
      <c r="T6580">
        <v>-0.1751722</v>
      </c>
      <c r="U6580">
        <v>0.1746521</v>
      </c>
      <c r="V6580">
        <v>-5.4039900000000002E-2</v>
      </c>
      <c r="W6580">
        <v>0.1950453</v>
      </c>
      <c r="X6580">
        <v>0.97930439999999996</v>
      </c>
      <c r="Y6580">
        <v>-6.641611E-2</v>
      </c>
      <c r="Z6580">
        <v>2.4497299999999998E-3</v>
      </c>
      <c r="AA6580">
        <v>0.99778900000000004</v>
      </c>
      <c r="AB6580">
        <v>35</v>
      </c>
      <c r="AC6580">
        <v>19.3474</v>
      </c>
      <c r="AD6580">
        <v>-1.110568446636</v>
      </c>
      <c r="AE6580">
        <v>1.1089099999999901</v>
      </c>
      <c r="AF6580">
        <v>-1.2961657138768099</v>
      </c>
      <c r="AG6580">
        <v>-1.110568446636</v>
      </c>
      <c r="AH6580">
        <v>19.272179343173399</v>
      </c>
      <c r="AI6580">
        <v>93.290631469430096</v>
      </c>
      <c r="AJ6580">
        <v>93.847678640565107</v>
      </c>
      <c r="AK6580">
        <v>19.347617539840201</v>
      </c>
      <c r="AL6580">
        <v>78.752630595947394</v>
      </c>
      <c r="AM6580">
        <v>93.1584879804563</v>
      </c>
      <c r="AN6580">
        <v>1.00000004385172</v>
      </c>
    </row>
    <row r="6581" spans="1:40" x14ac:dyDescent="0.25">
      <c r="A6581" t="str">
        <f>"20190312172537108"</f>
        <v>20190312172537108</v>
      </c>
      <c r="B6581" t="str">
        <f>"1552382737096891"</f>
        <v>1552382737096891</v>
      </c>
      <c r="C6581" t="s">
        <v>40</v>
      </c>
      <c r="D6581">
        <v>3.739446</v>
      </c>
      <c r="E6581">
        <v>0.49768400000000002</v>
      </c>
      <c r="F6581" t="s">
        <v>57</v>
      </c>
      <c r="G6581">
        <v>-214.6421</v>
      </c>
      <c r="H6581" s="1">
        <v>-1.3820019999999999E-6</v>
      </c>
      <c r="I6581">
        <v>-61.967930000000003</v>
      </c>
      <c r="J6581">
        <v>-233.9709</v>
      </c>
      <c r="K6581">
        <v>1.110571</v>
      </c>
      <c r="L6581">
        <v>-63.0762</v>
      </c>
      <c r="M6581">
        <v>0.99984530000000005</v>
      </c>
      <c r="N6581">
        <v>0</v>
      </c>
      <c r="O6581">
        <v>-9.8564299999999994E-3</v>
      </c>
      <c r="P6581">
        <v>0.98246480000000003</v>
      </c>
      <c r="Q6581">
        <v>0.18112980000000001</v>
      </c>
      <c r="R6581">
        <v>4.421779E-2</v>
      </c>
      <c r="S6581">
        <v>3.077728</v>
      </c>
      <c r="T6581">
        <v>-0.1752881</v>
      </c>
      <c r="U6581">
        <v>0.1746521</v>
      </c>
      <c r="V6581">
        <v>-5.3935999999999998E-2</v>
      </c>
      <c r="W6581">
        <v>0.19540779999999999</v>
      </c>
      <c r="X6581">
        <v>0.97923780000000005</v>
      </c>
      <c r="Y6581">
        <v>-6.6371689999999997E-2</v>
      </c>
      <c r="Z6581">
        <v>2.447561E-3</v>
      </c>
      <c r="AA6581">
        <v>0.99779189999999995</v>
      </c>
      <c r="AB6581">
        <v>35</v>
      </c>
      <c r="AC6581">
        <v>19.328800000000001</v>
      </c>
      <c r="AD6581">
        <v>-1.1105723820019999</v>
      </c>
      <c r="AE6581">
        <v>1.1082699999999901</v>
      </c>
      <c r="AF6581">
        <v>-1.29448985130478</v>
      </c>
      <c r="AG6581">
        <v>-1.1105723820019999</v>
      </c>
      <c r="AH6581">
        <v>19.253582725201699</v>
      </c>
      <c r="AI6581">
        <v>93.293819328419403</v>
      </c>
      <c r="AJ6581">
        <v>93.846419205553303</v>
      </c>
      <c r="AK6581">
        <v>19.328981420317501</v>
      </c>
      <c r="AL6581">
        <v>78.731452712936601</v>
      </c>
      <c r="AM6581">
        <v>93.152641533253998</v>
      </c>
      <c r="AN6581">
        <v>0.99999998467283902</v>
      </c>
    </row>
    <row r="6582" spans="1:40" x14ac:dyDescent="0.25">
      <c r="A6582" t="str">
        <f>"20190312172537120"</f>
        <v>20190312172537120</v>
      </c>
      <c r="B6582" t="str">
        <f>"1552382737116411"</f>
        <v>1552382737116411</v>
      </c>
      <c r="C6582" t="s">
        <v>40</v>
      </c>
      <c r="D6582">
        <v>3.7679670000000001</v>
      </c>
      <c r="E6582">
        <v>0.4977684</v>
      </c>
      <c r="F6582" t="s">
        <v>57</v>
      </c>
      <c r="G6582">
        <v>-214.36330000000001</v>
      </c>
      <c r="H6582" s="1">
        <v>-1.2612099999999999E-6</v>
      </c>
      <c r="I6582">
        <v>-61.963500000000003</v>
      </c>
      <c r="J6582">
        <v>-233.7919</v>
      </c>
      <c r="K6582">
        <v>1.110574</v>
      </c>
      <c r="L6582">
        <v>-63.077910000000003</v>
      </c>
      <c r="M6582">
        <v>0.99984589999999995</v>
      </c>
      <c r="N6582">
        <v>0</v>
      </c>
      <c r="O6582">
        <v>-9.8104539999999997E-3</v>
      </c>
      <c r="P6582">
        <v>0.98248800000000003</v>
      </c>
      <c r="Q6582">
        <v>0.18102389999999999</v>
      </c>
      <c r="R6582">
        <v>4.4141180000000002E-2</v>
      </c>
      <c r="S6582">
        <v>3.07782</v>
      </c>
      <c r="T6582">
        <v>-0.17432690000000001</v>
      </c>
      <c r="U6582">
        <v>0.1746521</v>
      </c>
      <c r="V6582">
        <v>-5.3814309999999997E-2</v>
      </c>
      <c r="W6582">
        <v>0.19530629999999999</v>
      </c>
      <c r="X6582">
        <v>0.97926469999999999</v>
      </c>
      <c r="Y6582">
        <v>-6.6325620000000002E-2</v>
      </c>
      <c r="Z6582">
        <v>2.430186E-3</v>
      </c>
      <c r="AA6582">
        <v>0.99779499999999999</v>
      </c>
      <c r="AB6582">
        <v>35</v>
      </c>
      <c r="AC6582">
        <v>19.4285999999999</v>
      </c>
      <c r="AD6582">
        <v>-1.1105752612099999</v>
      </c>
      <c r="AE6582">
        <v>1.1144099999999899</v>
      </c>
      <c r="AF6582">
        <v>-1.3007437293597801</v>
      </c>
      <c r="AG6582">
        <v>-1.1105752612099999</v>
      </c>
      <c r="AH6582">
        <v>19.353700340863099</v>
      </c>
      <c r="AI6582">
        <v>93.276831344516694</v>
      </c>
      <c r="AJ6582">
        <v>93.845012238660203</v>
      </c>
      <c r="AK6582">
        <v>19.429128352661799</v>
      </c>
      <c r="AL6582">
        <v>78.7373819984048</v>
      </c>
      <c r="AM6582">
        <v>93.145456633624306</v>
      </c>
      <c r="AN6582">
        <v>0.999999941723276</v>
      </c>
    </row>
    <row r="6583" spans="1:40" x14ac:dyDescent="0.25">
      <c r="A6583" t="str">
        <f>"20190312172537132"</f>
        <v>20190312172537132</v>
      </c>
      <c r="B6583" t="str">
        <f>"1552382737127148"</f>
        <v>1552382737127148</v>
      </c>
      <c r="C6583" t="s">
        <v>40</v>
      </c>
      <c r="D6583">
        <v>3.7719589999999998</v>
      </c>
      <c r="E6583">
        <v>0.4978167</v>
      </c>
      <c r="F6583" t="s">
        <v>57</v>
      </c>
      <c r="G6583">
        <v>-214.2371</v>
      </c>
      <c r="H6583" s="1">
        <v>-1.209937E-6</v>
      </c>
      <c r="I6583">
        <v>-61.974240000000002</v>
      </c>
      <c r="J6583">
        <v>-233.62049999999999</v>
      </c>
      <c r="K6583">
        <v>1.110581</v>
      </c>
      <c r="L6583">
        <v>-63.079560000000001</v>
      </c>
      <c r="M6583">
        <v>0.99984609999999996</v>
      </c>
      <c r="N6583">
        <v>0</v>
      </c>
      <c r="O6583">
        <v>-9.7663779999999992E-3</v>
      </c>
      <c r="P6583">
        <v>0.98246960000000005</v>
      </c>
      <c r="Q6583">
        <v>0.181146</v>
      </c>
      <c r="R6583">
        <v>4.404396E-2</v>
      </c>
      <c r="S6583">
        <v>3.0778660000000002</v>
      </c>
      <c r="T6583">
        <v>-0.17480090000000001</v>
      </c>
      <c r="U6583">
        <v>0.1737061</v>
      </c>
      <c r="V6583">
        <v>-5.3672869999999998E-2</v>
      </c>
      <c r="W6583">
        <v>0.1954302</v>
      </c>
      <c r="X6583">
        <v>0.9792478</v>
      </c>
      <c r="Y6583">
        <v>-6.5975060000000002E-2</v>
      </c>
      <c r="Z6583">
        <v>2.4243300000000001E-3</v>
      </c>
      <c r="AA6583">
        <v>0.99781839999999999</v>
      </c>
      <c r="AB6583">
        <v>35</v>
      </c>
      <c r="AC6583">
        <v>19.383399999999899</v>
      </c>
      <c r="AD6583">
        <v>-1.110582209937</v>
      </c>
      <c r="AE6583">
        <v>1.1053199999999901</v>
      </c>
      <c r="AF6583">
        <v>-1.2903707210609301</v>
      </c>
      <c r="AG6583">
        <v>-1.110582209937</v>
      </c>
      <c r="AH6583">
        <v>19.308499176804901</v>
      </c>
      <c r="AI6583">
        <v>93.284589199534196</v>
      </c>
      <c r="AJ6583">
        <v>93.823343544329205</v>
      </c>
      <c r="AK6583">
        <v>19.383410172192999</v>
      </c>
      <c r="AL6583">
        <v>78.730144196247394</v>
      </c>
      <c r="AM6583">
        <v>93.137260008479601</v>
      </c>
      <c r="AN6583">
        <v>0.99999999692545805</v>
      </c>
    </row>
    <row r="6584" spans="1:40" x14ac:dyDescent="0.25">
      <c r="A6584" t="str">
        <f>"20190312172537142"</f>
        <v>20190312172537142</v>
      </c>
      <c r="B6584" t="str">
        <f>"1552382737136909"</f>
        <v>1552382737136909</v>
      </c>
      <c r="C6584" t="s">
        <v>40</v>
      </c>
      <c r="D6584">
        <v>3.7615639999999999</v>
      </c>
      <c r="E6584">
        <v>0.49786560000000002</v>
      </c>
      <c r="F6584" t="s">
        <v>57</v>
      </c>
      <c r="G6584">
        <v>-214.02600000000001</v>
      </c>
      <c r="H6584" s="1">
        <v>-1.1203699999999999E-6</v>
      </c>
      <c r="I6584">
        <v>-61.97795</v>
      </c>
      <c r="J6584">
        <v>-233.44839999999999</v>
      </c>
      <c r="K6584">
        <v>1.1105849999999999</v>
      </c>
      <c r="L6584">
        <v>-63.081180000000003</v>
      </c>
      <c r="M6584">
        <v>0.99984660000000003</v>
      </c>
      <c r="N6584">
        <v>0</v>
      </c>
      <c r="O6584">
        <v>-9.7221830000000006E-3</v>
      </c>
      <c r="P6584">
        <v>0.98247329999999999</v>
      </c>
      <c r="Q6584">
        <v>0.18119299999999999</v>
      </c>
      <c r="R6584">
        <v>4.3771339999999999E-2</v>
      </c>
      <c r="S6584">
        <v>3.0779570000000001</v>
      </c>
      <c r="T6584">
        <v>-0.1744531</v>
      </c>
      <c r="U6584">
        <v>0.17303470000000001</v>
      </c>
      <c r="V6584">
        <v>-5.3357130000000003E-2</v>
      </c>
      <c r="W6584">
        <v>0.19548070000000001</v>
      </c>
      <c r="X6584">
        <v>0.97925499999999999</v>
      </c>
      <c r="Y6584">
        <v>-6.5713279999999999E-2</v>
      </c>
      <c r="Z6584">
        <v>2.4095480000000001E-3</v>
      </c>
      <c r="AA6584">
        <v>0.99783560000000004</v>
      </c>
      <c r="AB6584">
        <v>35</v>
      </c>
      <c r="AC6584">
        <v>19.4224</v>
      </c>
      <c r="AD6584">
        <v>-1.11058612037</v>
      </c>
      <c r="AE6584">
        <v>1.1032299999999999</v>
      </c>
      <c r="AF6584">
        <v>-1.2878288362074399</v>
      </c>
      <c r="AG6584">
        <v>-1.11058612037</v>
      </c>
      <c r="AH6584">
        <v>19.347698551039599</v>
      </c>
      <c r="AI6584">
        <v>93.278018445988806</v>
      </c>
      <c r="AJ6584">
        <v>93.808125966924194</v>
      </c>
      <c r="AK6584">
        <v>19.422289871794899</v>
      </c>
      <c r="AL6584">
        <v>78.727194132242403</v>
      </c>
      <c r="AM6584">
        <v>93.118818186701802</v>
      </c>
      <c r="AN6584">
        <v>1.00000002120966</v>
      </c>
    </row>
    <row r="6585" spans="1:40" x14ac:dyDescent="0.25">
      <c r="A6585" t="str">
        <f>"20190312172537154"</f>
        <v>20190312172537154</v>
      </c>
      <c r="B6585" t="str">
        <f>"1552382737146667"</f>
        <v>1552382737146667</v>
      </c>
      <c r="C6585" t="s">
        <v>40</v>
      </c>
      <c r="D6585">
        <v>3.7728299999999999</v>
      </c>
      <c r="E6585">
        <v>0.49791489999999999</v>
      </c>
      <c r="F6585" t="s">
        <v>57</v>
      </c>
      <c r="G6585">
        <v>-213.8441</v>
      </c>
      <c r="H6585" s="1">
        <v>-1.044482E-6</v>
      </c>
      <c r="I6585">
        <v>-61.98603</v>
      </c>
      <c r="J6585">
        <v>-233.26349999999999</v>
      </c>
      <c r="K6585">
        <v>1.11059</v>
      </c>
      <c r="L6585">
        <v>-63.082949999999997</v>
      </c>
      <c r="M6585">
        <v>0.99984709999999999</v>
      </c>
      <c r="N6585">
        <v>0</v>
      </c>
      <c r="O6585">
        <v>-9.6745259999999993E-3</v>
      </c>
      <c r="P6585">
        <v>0.98241650000000003</v>
      </c>
      <c r="Q6585">
        <v>0.1815107</v>
      </c>
      <c r="R6585">
        <v>4.373018E-2</v>
      </c>
      <c r="S6585">
        <v>3.0780029999999998</v>
      </c>
      <c r="T6585">
        <v>-0.1743691</v>
      </c>
      <c r="U6585">
        <v>0.17193599999999901</v>
      </c>
      <c r="V6585">
        <v>-5.3268700000000002E-2</v>
      </c>
      <c r="W6585">
        <v>0.19579959999999999</v>
      </c>
      <c r="X6585">
        <v>0.97919610000000001</v>
      </c>
      <c r="Y6585">
        <v>-6.5310679999999996E-2</v>
      </c>
      <c r="Z6585">
        <v>2.3942960000000002E-3</v>
      </c>
      <c r="AA6585">
        <v>0.99786209999999997</v>
      </c>
      <c r="AB6585">
        <v>35</v>
      </c>
      <c r="AC6585">
        <v>19.4194</v>
      </c>
      <c r="AD6585">
        <v>-1.110591044482</v>
      </c>
      <c r="AE6585">
        <v>1.0969199999999899</v>
      </c>
      <c r="AF6585">
        <v>-1.2805870225215401</v>
      </c>
      <c r="AG6585">
        <v>-1.110591044482</v>
      </c>
      <c r="AH6585">
        <v>19.344808433362001</v>
      </c>
      <c r="AI6585">
        <v>93.278600405699507</v>
      </c>
      <c r="AJ6585">
        <v>93.787338412058006</v>
      </c>
      <c r="AK6585">
        <v>19.4189322289823</v>
      </c>
      <c r="AL6585">
        <v>78.708562451778903</v>
      </c>
      <c r="AM6585">
        <v>93.113846398894907</v>
      </c>
      <c r="AN6585">
        <v>1.0000000200075201</v>
      </c>
    </row>
    <row r="6586" spans="1:40" x14ac:dyDescent="0.25">
      <c r="A6586" t="str">
        <f>"20190312172537165"</f>
        <v>20190312172537165</v>
      </c>
      <c r="B6586" t="str">
        <f>"1552382737156427"</f>
        <v>1552382737156427</v>
      </c>
      <c r="C6586" t="s">
        <v>40</v>
      </c>
      <c r="D6586">
        <v>3.7610160000000001</v>
      </c>
      <c r="E6586">
        <v>0.49796489999999999</v>
      </c>
      <c r="F6586" t="s">
        <v>57</v>
      </c>
      <c r="G6586">
        <v>-213.55510000000001</v>
      </c>
      <c r="H6586" s="1">
        <v>-9.2056979999999995E-7</v>
      </c>
      <c r="I6586">
        <v>-61.9863199999999</v>
      </c>
      <c r="J6586">
        <v>-233.09989999999999</v>
      </c>
      <c r="K6586">
        <v>1.1105879999999999</v>
      </c>
      <c r="L6586">
        <v>-63.084470000000003</v>
      </c>
      <c r="M6586">
        <v>0.99984729999999999</v>
      </c>
      <c r="N6586">
        <v>0</v>
      </c>
      <c r="O6586">
        <v>-9.6324670000000005E-3</v>
      </c>
      <c r="P6586">
        <v>0.9823733</v>
      </c>
      <c r="Q6586">
        <v>0.18176429999999999</v>
      </c>
      <c r="R6586">
        <v>4.3641249999999999E-2</v>
      </c>
      <c r="S6586">
        <v>3.0781100000000001</v>
      </c>
      <c r="T6586">
        <v>-0.17345439999999901</v>
      </c>
      <c r="U6586">
        <v>0.17126459999999999</v>
      </c>
      <c r="V6586">
        <v>-5.3137530000000002E-2</v>
      </c>
      <c r="W6586">
        <v>0.19605449999999999</v>
      </c>
      <c r="X6586">
        <v>0.97915220000000003</v>
      </c>
      <c r="Y6586">
        <v>-6.505155E-2</v>
      </c>
      <c r="Z6586">
        <v>2.372032E-3</v>
      </c>
      <c r="AA6586">
        <v>0.99787910000000002</v>
      </c>
      <c r="AB6586">
        <v>35</v>
      </c>
      <c r="AC6586">
        <v>19.544799999999899</v>
      </c>
      <c r="AD6586">
        <v>-1.1105889205698001</v>
      </c>
      <c r="AE6586">
        <v>1.09815</v>
      </c>
      <c r="AF6586">
        <v>-1.28225654821431</v>
      </c>
      <c r="AG6586">
        <v>-1.1105889205698001</v>
      </c>
      <c r="AH6586">
        <v>19.470644621245398</v>
      </c>
      <c r="AI6586">
        <v>93.257523907868006</v>
      </c>
      <c r="AJ6586">
        <v>93.767823582533595</v>
      </c>
      <c r="AK6586">
        <v>19.544400517098602</v>
      </c>
      <c r="AL6586">
        <v>78.693668843180106</v>
      </c>
      <c r="AM6586">
        <v>93.106332822126106</v>
      </c>
      <c r="AN6586">
        <v>0.99999999741479495</v>
      </c>
    </row>
    <row r="6587" spans="1:40" x14ac:dyDescent="0.25">
      <c r="A6587" t="str">
        <f>"20190312172537174"</f>
        <v>20190312172537174</v>
      </c>
      <c r="B6587" t="str">
        <f>"1552382737167163"</f>
        <v>1552382737167163</v>
      </c>
      <c r="C6587" t="s">
        <v>40</v>
      </c>
      <c r="D6587">
        <v>3.7580809999999998</v>
      </c>
      <c r="E6587">
        <v>0.49801119999999999</v>
      </c>
      <c r="F6587" t="s">
        <v>57</v>
      </c>
      <c r="G6587">
        <v>-213.3082</v>
      </c>
      <c r="H6587" s="1">
        <v>-8.1517399999999996E-7</v>
      </c>
      <c r="I6587">
        <v>-61.988160000000001</v>
      </c>
      <c r="J6587">
        <v>-232.93809999999999</v>
      </c>
      <c r="K6587">
        <v>1.1105929999999999</v>
      </c>
      <c r="L6587">
        <v>-63.085999999999999</v>
      </c>
      <c r="M6587">
        <v>0.99984759999999995</v>
      </c>
      <c r="N6587">
        <v>0</v>
      </c>
      <c r="O6587">
        <v>-9.5906429999999994E-3</v>
      </c>
      <c r="P6587">
        <v>0.98232560000000002</v>
      </c>
      <c r="Q6587">
        <v>0.18203220000000001</v>
      </c>
      <c r="R6587">
        <v>4.359466E-2</v>
      </c>
      <c r="S6587">
        <v>3.078201</v>
      </c>
      <c r="T6587">
        <v>-0.17272999999999999</v>
      </c>
      <c r="U6587">
        <v>0.17050170000000001</v>
      </c>
      <c r="V6587">
        <v>-5.3049180000000001E-2</v>
      </c>
      <c r="W6587">
        <v>0.19632379999999999</v>
      </c>
      <c r="X6587">
        <v>0.97910299999999995</v>
      </c>
      <c r="Y6587">
        <v>-6.4763080000000001E-2</v>
      </c>
      <c r="Z6587">
        <v>2.351662E-3</v>
      </c>
      <c r="AA6587">
        <v>0.9978979</v>
      </c>
      <c r="AB6587">
        <v>34</v>
      </c>
      <c r="AC6587">
        <v>19.6298999999999</v>
      </c>
      <c r="AD6587">
        <v>-1.110593815174</v>
      </c>
      <c r="AE6587">
        <v>1.0978399999999999</v>
      </c>
      <c r="AF6587">
        <v>-1.2819821726271501</v>
      </c>
      <c r="AG6587">
        <v>-1.110593815174</v>
      </c>
      <c r="AH6587">
        <v>19.556064746853998</v>
      </c>
      <c r="AI6587">
        <v>93.243403755026506</v>
      </c>
      <c r="AJ6587">
        <v>93.750612542976498</v>
      </c>
      <c r="AK6587">
        <v>19.629482043507402</v>
      </c>
      <c r="AL6587">
        <v>78.677932940208393</v>
      </c>
      <c r="AM6587">
        <v>93.101333645963194</v>
      </c>
      <c r="AN6587">
        <v>0.99999996727705498</v>
      </c>
    </row>
    <row r="6588" spans="1:40" x14ac:dyDescent="0.25">
      <c r="A6588" t="str">
        <f>"20190312172537186"</f>
        <v>20190312172537186</v>
      </c>
      <c r="B6588" t="str">
        <f>"1552382737176924"</f>
        <v>1552382737176924</v>
      </c>
      <c r="C6588" t="s">
        <v>40</v>
      </c>
      <c r="D6588">
        <v>3.7330070000000002</v>
      </c>
      <c r="E6588">
        <v>0.49805859999999902</v>
      </c>
      <c r="F6588" t="s">
        <v>57</v>
      </c>
      <c r="G6588">
        <v>-213.05719999999999</v>
      </c>
      <c r="H6588" s="1">
        <v>-7.0725459999999899E-7</v>
      </c>
      <c r="I6588">
        <v>-61.987340000000003</v>
      </c>
      <c r="J6588">
        <v>-232.767</v>
      </c>
      <c r="K6588">
        <v>1.1105969999999901</v>
      </c>
      <c r="L6588">
        <v>-63.087620000000001</v>
      </c>
      <c r="M6588">
        <v>0.99984810000000002</v>
      </c>
      <c r="N6588">
        <v>0</v>
      </c>
      <c r="O6588">
        <v>-9.5467910000000007E-3</v>
      </c>
      <c r="P6588">
        <v>0.98225490000000004</v>
      </c>
      <c r="Q6588">
        <v>0.1824286</v>
      </c>
      <c r="R6588">
        <v>4.353543E-2</v>
      </c>
      <c r="S6588">
        <v>3.0782929999999999</v>
      </c>
      <c r="T6588">
        <v>-0.17196069999999999</v>
      </c>
      <c r="U6588">
        <v>0.17010500000000001</v>
      </c>
      <c r="V6588">
        <v>-5.2945899999999997E-2</v>
      </c>
      <c r="W6588">
        <v>0.19672029999999999</v>
      </c>
      <c r="X6588">
        <v>0.97902909999999999</v>
      </c>
      <c r="Y6588">
        <v>-6.4590830000000002E-2</v>
      </c>
      <c r="Z6588">
        <v>2.3338930000000001E-3</v>
      </c>
      <c r="AA6588">
        <v>0.99790909999999999</v>
      </c>
      <c r="AB6588">
        <v>34</v>
      </c>
      <c r="AC6588">
        <v>19.709800000000001</v>
      </c>
      <c r="AD6588">
        <v>-1.1105977072545901</v>
      </c>
      <c r="AE6588">
        <v>1.1002799999999899</v>
      </c>
      <c r="AF6588">
        <v>-1.2843500041976299</v>
      </c>
      <c r="AG6588">
        <v>-1.1105977072545901</v>
      </c>
      <c r="AH6588">
        <v>19.636244179054898</v>
      </c>
      <c r="AI6588">
        <v>93.230230481227807</v>
      </c>
      <c r="AJ6588">
        <v>93.742220969812294</v>
      </c>
      <c r="AK6588">
        <v>19.7095171848554</v>
      </c>
      <c r="AL6588">
        <v>78.654764427243705</v>
      </c>
      <c r="AM6588">
        <v>93.095540685094093</v>
      </c>
      <c r="AN6588">
        <v>1.0000000617028499</v>
      </c>
    </row>
    <row r="6589" spans="1:40" x14ac:dyDescent="0.25">
      <c r="A6589" t="str">
        <f>"20190312172537196"</f>
        <v>20190312172537196</v>
      </c>
      <c r="B6589" t="str">
        <f>"1552382737186684"</f>
        <v>1552382737186684</v>
      </c>
      <c r="C6589" t="s">
        <v>40</v>
      </c>
      <c r="D6589">
        <v>3.7066479999999999</v>
      </c>
      <c r="E6589">
        <v>0.49811359999999899</v>
      </c>
      <c r="F6589" t="s">
        <v>57</v>
      </c>
      <c r="G6589">
        <v>-212.74760000000001</v>
      </c>
      <c r="H6589" s="1">
        <v>-5.7357560000000001E-7</v>
      </c>
      <c r="I6589">
        <v>-61.984110000000001</v>
      </c>
      <c r="J6589">
        <v>-232.6002</v>
      </c>
      <c r="K6589">
        <v>1.110603</v>
      </c>
      <c r="L6589">
        <v>-63.08914</v>
      </c>
      <c r="M6589">
        <v>0.99984859999999998</v>
      </c>
      <c r="N6589">
        <v>0</v>
      </c>
      <c r="O6589">
        <v>-9.5038910000000004E-3</v>
      </c>
      <c r="P6589">
        <v>0.98221449999999999</v>
      </c>
      <c r="Q6589">
        <v>0.1826209</v>
      </c>
      <c r="R6589">
        <v>4.364142E-2</v>
      </c>
      <c r="S6589">
        <v>3.0783839999999998</v>
      </c>
      <c r="T6589">
        <v>-0.17077619999999999</v>
      </c>
      <c r="U6589">
        <v>0.16967769999999999</v>
      </c>
      <c r="V6589">
        <v>-5.3009639999999997E-2</v>
      </c>
      <c r="W6589">
        <v>0.19691339999999999</v>
      </c>
      <c r="X6589">
        <v>0.97898680000000005</v>
      </c>
      <c r="Y6589">
        <v>-6.4410229999999999E-2</v>
      </c>
      <c r="Z6589">
        <v>2.3104039999999998E-3</v>
      </c>
      <c r="AA6589">
        <v>0.99792080000000005</v>
      </c>
      <c r="AB6589">
        <v>34</v>
      </c>
      <c r="AC6589">
        <v>19.852599999999899</v>
      </c>
      <c r="AD6589">
        <v>-1.1106035735755999</v>
      </c>
      <c r="AE6589">
        <v>1.10502999999999</v>
      </c>
      <c r="AF6589">
        <v>-1.28965349247477</v>
      </c>
      <c r="AG6589">
        <v>-1.1106035735755999</v>
      </c>
      <c r="AH6589">
        <v>19.779490087153199</v>
      </c>
      <c r="AI6589">
        <v>93.206945373044803</v>
      </c>
      <c r="AJ6589">
        <v>93.730493434909505</v>
      </c>
      <c r="AK6589">
        <v>19.852578536202401</v>
      </c>
      <c r="AL6589">
        <v>78.643479546371097</v>
      </c>
      <c r="AM6589">
        <v>93.099393705597507</v>
      </c>
      <c r="AN6589">
        <v>1.0000000318033599</v>
      </c>
    </row>
    <row r="6590" spans="1:40" x14ac:dyDescent="0.25">
      <c r="A6590" t="str">
        <f>"20190312172537208"</f>
        <v>20190312172537208</v>
      </c>
      <c r="B6590" t="str">
        <f>"1552382737196443"</f>
        <v>1552382737196443</v>
      </c>
      <c r="C6590" t="s">
        <v>40</v>
      </c>
      <c r="D6590">
        <v>3.7211439999999998</v>
      </c>
      <c r="E6590">
        <v>0.49815429999999999</v>
      </c>
      <c r="F6590" t="s">
        <v>57</v>
      </c>
      <c r="G6590">
        <v>-212.53039999999999</v>
      </c>
      <c r="H6590" s="1">
        <v>-4.8077540000000004E-7</v>
      </c>
      <c r="I6590">
        <v>-61.985480000000003</v>
      </c>
      <c r="J6590">
        <v>-232.43049999999999</v>
      </c>
      <c r="K6590">
        <v>1.110608</v>
      </c>
      <c r="L6590">
        <v>-63.090730000000001</v>
      </c>
      <c r="M6590">
        <v>0.99984899999999999</v>
      </c>
      <c r="N6590">
        <v>0</v>
      </c>
      <c r="O6590">
        <v>-9.4603919999999998E-3</v>
      </c>
      <c r="P6590">
        <v>0.98217580000000004</v>
      </c>
      <c r="Q6590">
        <v>0.18277360000000001</v>
      </c>
      <c r="R6590">
        <v>4.3870930000000002E-2</v>
      </c>
      <c r="S6590">
        <v>3.0784760000000002</v>
      </c>
      <c r="T6590">
        <v>-0.17035410000000001</v>
      </c>
      <c r="U6590">
        <v>0.16928099999999999</v>
      </c>
      <c r="V6590">
        <v>-5.3195630000000001E-2</v>
      </c>
      <c r="W6590">
        <v>0.1970662</v>
      </c>
      <c r="X6590">
        <v>0.97894590000000004</v>
      </c>
      <c r="Y6590">
        <v>-6.4237859999999994E-2</v>
      </c>
      <c r="Z6590">
        <v>2.2974750000000002E-3</v>
      </c>
      <c r="AA6590">
        <v>0.99793200000000004</v>
      </c>
      <c r="AB6590">
        <v>34</v>
      </c>
      <c r="AC6590">
        <v>19.900099999999998</v>
      </c>
      <c r="AD6590">
        <v>-1.1106084807754</v>
      </c>
      <c r="AE6590">
        <v>1.1052500000000001</v>
      </c>
      <c r="AF6590">
        <v>-1.28947933360954</v>
      </c>
      <c r="AG6590">
        <v>-1.1106084807754</v>
      </c>
      <c r="AH6590">
        <v>19.827186909944601</v>
      </c>
      <c r="AI6590">
        <v>93.199295098756096</v>
      </c>
      <c r="AJ6590">
        <v>93.721043350771893</v>
      </c>
      <c r="AK6590">
        <v>19.900089168424699</v>
      </c>
      <c r="AL6590">
        <v>78.634549050539903</v>
      </c>
      <c r="AM6590">
        <v>93.110376636905798</v>
      </c>
      <c r="AN6590">
        <v>0.99999996868017305</v>
      </c>
    </row>
    <row r="6591" spans="1:40" x14ac:dyDescent="0.25">
      <c r="A6591" t="str">
        <f>"20190312172537218"</f>
        <v>20190312172537218</v>
      </c>
      <c r="B6591" t="str">
        <f>"1552382737216939"</f>
        <v>1552382737216939</v>
      </c>
      <c r="C6591" t="s">
        <v>40</v>
      </c>
      <c r="D6591">
        <v>3.7221959999999998</v>
      </c>
      <c r="E6591">
        <v>0.49825839999999999</v>
      </c>
      <c r="F6591" t="s">
        <v>57</v>
      </c>
      <c r="G6591">
        <v>-212.31309999999999</v>
      </c>
      <c r="H6591" s="1">
        <v>-3.870042E-7</v>
      </c>
      <c r="I6591">
        <v>-61.983460000000001</v>
      </c>
      <c r="J6591">
        <v>-232.25479999999999</v>
      </c>
      <c r="K6591">
        <v>1.110611</v>
      </c>
      <c r="L6591">
        <v>-63.092350000000003</v>
      </c>
      <c r="M6591">
        <v>0.9998494</v>
      </c>
      <c r="N6591">
        <v>0</v>
      </c>
      <c r="O6591">
        <v>-9.4152239999999998E-3</v>
      </c>
      <c r="P6591">
        <v>0.98213510000000004</v>
      </c>
      <c r="Q6591">
        <v>0.18293989999999999</v>
      </c>
      <c r="R6591">
        <v>4.4090240000000003E-2</v>
      </c>
      <c r="S6591">
        <v>3.078522</v>
      </c>
      <c r="T6591">
        <v>-0.16995379999999999</v>
      </c>
      <c r="U6591">
        <v>0.16943359999999999</v>
      </c>
      <c r="V6591">
        <v>-5.3370720000000003E-2</v>
      </c>
      <c r="W6591">
        <v>0.19723270000000001</v>
      </c>
      <c r="X6591">
        <v>0.97890290000000002</v>
      </c>
      <c r="Y6591">
        <v>-6.4241880000000001E-2</v>
      </c>
      <c r="Z6591">
        <v>2.2896679999999999E-3</v>
      </c>
      <c r="AA6591">
        <v>0.99793169999999998</v>
      </c>
      <c r="AB6591">
        <v>34</v>
      </c>
      <c r="AC6591">
        <v>19.941700000000001</v>
      </c>
      <c r="AD6591">
        <v>-1.11061138700419</v>
      </c>
      <c r="AE6591">
        <v>1.1088899999999999</v>
      </c>
      <c r="AF6591">
        <v>-1.29261940689819</v>
      </c>
      <c r="AG6591">
        <v>-1.11061138700419</v>
      </c>
      <c r="AH6591">
        <v>19.868936830193899</v>
      </c>
      <c r="AI6591">
        <v>93.192590374561803</v>
      </c>
      <c r="AJ6591">
        <v>93.722263262304494</v>
      </c>
      <c r="AK6591">
        <v>19.941889914104699</v>
      </c>
      <c r="AL6591">
        <v>78.624819025246794</v>
      </c>
      <c r="AM6591">
        <v>93.120730847628096</v>
      </c>
      <c r="AN6591">
        <v>1.0000000296655001</v>
      </c>
    </row>
    <row r="6592" spans="1:40" x14ac:dyDescent="0.25">
      <c r="A6592" t="str">
        <f>"20190312172537231"</f>
        <v>20190312172537231</v>
      </c>
      <c r="B6592" t="str">
        <f>"1552382737226699"</f>
        <v>1552382737226699</v>
      </c>
      <c r="C6592" t="s">
        <v>40</v>
      </c>
      <c r="D6592">
        <v>3.7166009999999998</v>
      </c>
      <c r="E6592">
        <v>0.49831049999999899</v>
      </c>
      <c r="F6592" t="s">
        <v>57</v>
      </c>
      <c r="G6592">
        <v>-212.12360000000001</v>
      </c>
      <c r="H6592" s="1">
        <v>-3.0627349999999999E-7</v>
      </c>
      <c r="I6592">
        <v>-61.985550000000003</v>
      </c>
      <c r="J6592">
        <v>-232.08179999999999</v>
      </c>
      <c r="K6592">
        <v>1.110614</v>
      </c>
      <c r="L6592">
        <v>-63.093899999999998</v>
      </c>
      <c r="M6592">
        <v>0.99984969999999995</v>
      </c>
      <c r="N6592">
        <v>0</v>
      </c>
      <c r="O6592">
        <v>-9.3707700000000005E-3</v>
      </c>
      <c r="P6592">
        <v>0.98210569999999997</v>
      </c>
      <c r="Q6592">
        <v>0.18305779999999999</v>
      </c>
      <c r="R6592">
        <v>4.4252039999999999E-2</v>
      </c>
      <c r="S6592">
        <v>3.0786129999999998</v>
      </c>
      <c r="T6592">
        <v>-0.16984270000000001</v>
      </c>
      <c r="U6592">
        <v>0.1692505</v>
      </c>
      <c r="V6592">
        <v>-5.3488460000000002E-2</v>
      </c>
      <c r="W6592">
        <v>0.1973509</v>
      </c>
      <c r="X6592">
        <v>0.97887259999999998</v>
      </c>
      <c r="Y6592">
        <v>-6.4137089999999994E-2</v>
      </c>
      <c r="Z6592">
        <v>2.282774E-3</v>
      </c>
      <c r="AA6592">
        <v>0.99793849999999995</v>
      </c>
      <c r="AB6592">
        <v>34</v>
      </c>
      <c r="AC6592">
        <v>19.958199999999898</v>
      </c>
      <c r="AD6592">
        <v>-1.1106143062735001</v>
      </c>
      <c r="AE6592">
        <v>1.10834999999999</v>
      </c>
      <c r="AF6592">
        <v>-1.29135841290915</v>
      </c>
      <c r="AG6592">
        <v>-1.1106143062735001</v>
      </c>
      <c r="AH6592">
        <v>19.8855482365772</v>
      </c>
      <c r="AI6592">
        <v>93.189961582719405</v>
      </c>
      <c r="AJ6592">
        <v>93.715544596867105</v>
      </c>
      <c r="AK6592">
        <v>19.958359134887001</v>
      </c>
      <c r="AL6592">
        <v>78.617910311279601</v>
      </c>
      <c r="AM6592">
        <v>93.127698391480095</v>
      </c>
      <c r="AN6592">
        <v>0.99999998005737001</v>
      </c>
    </row>
    <row r="6593" spans="1:40" x14ac:dyDescent="0.25">
      <c r="A6593" t="str">
        <f>"20190312172537243"</f>
        <v>20190312172537243</v>
      </c>
      <c r="B6593" t="str">
        <f>"1552382737236459"</f>
        <v>1552382737236459</v>
      </c>
      <c r="C6593" t="s">
        <v>40</v>
      </c>
      <c r="D6593">
        <v>3.7458550000000002</v>
      </c>
      <c r="E6593">
        <v>0.49836160000000002</v>
      </c>
      <c r="F6593" t="s">
        <v>57</v>
      </c>
      <c r="G6593">
        <v>-211.9314</v>
      </c>
      <c r="H6593" s="1">
        <v>-2.2422100000000001E-7</v>
      </c>
      <c r="I6593">
        <v>-61.987079999999999</v>
      </c>
      <c r="J6593">
        <v>-231.9032</v>
      </c>
      <c r="K6593">
        <v>1.110614</v>
      </c>
      <c r="L6593">
        <v>-63.095579999999998</v>
      </c>
      <c r="M6593">
        <v>0.99985020000000002</v>
      </c>
      <c r="N6593">
        <v>0</v>
      </c>
      <c r="O6593">
        <v>-9.3251219999999999E-3</v>
      </c>
      <c r="P6593">
        <v>0.98208759999999995</v>
      </c>
      <c r="Q6593">
        <v>0.18310499999999999</v>
      </c>
      <c r="R6593">
        <v>4.4458810000000001E-2</v>
      </c>
      <c r="S6593">
        <v>3.0786739999999999</v>
      </c>
      <c r="T6593">
        <v>-0.1696849</v>
      </c>
      <c r="U6593">
        <v>0.1690979</v>
      </c>
      <c r="V6593">
        <v>-5.36499E-2</v>
      </c>
      <c r="W6593">
        <v>0.19739809999999999</v>
      </c>
      <c r="X6593">
        <v>0.97885420000000001</v>
      </c>
      <c r="Y6593">
        <v>-6.4041559999999997E-2</v>
      </c>
      <c r="Z6593">
        <v>2.2754730000000001E-3</v>
      </c>
      <c r="AA6593">
        <v>0.99794470000000002</v>
      </c>
      <c r="AB6593">
        <v>34</v>
      </c>
      <c r="AC6593">
        <v>19.971800000000002</v>
      </c>
      <c r="AD6593">
        <v>-1.110614224221</v>
      </c>
      <c r="AE6593">
        <v>1.10849999999999</v>
      </c>
      <c r="AF6593">
        <v>-1.2907318982945399</v>
      </c>
      <c r="AG6593">
        <v>-1.110614224221</v>
      </c>
      <c r="AH6593">
        <v>19.8992465155834</v>
      </c>
      <c r="AI6593">
        <v>93.187785630631595</v>
      </c>
      <c r="AJ6593">
        <v>93.711197682578003</v>
      </c>
      <c r="AK6593">
        <v>19.971966970638501</v>
      </c>
      <c r="AL6593">
        <v>78.615151143190701</v>
      </c>
      <c r="AM6593">
        <v>93.137178501665701</v>
      </c>
      <c r="AN6593">
        <v>0.99999993325562697</v>
      </c>
    </row>
    <row r="6594" spans="1:40" x14ac:dyDescent="0.25">
      <c r="A6594" t="str">
        <f>"20190312172537253"</f>
        <v>20190312172537253</v>
      </c>
      <c r="B6594" t="str">
        <f>"1552382737247195"</f>
        <v>1552382737247195</v>
      </c>
      <c r="C6594" t="s">
        <v>40</v>
      </c>
      <c r="D6594">
        <v>3.7228850000000002</v>
      </c>
      <c r="E6594">
        <v>0.49841550000000001</v>
      </c>
      <c r="F6594" t="s">
        <v>57</v>
      </c>
      <c r="G6594">
        <v>-211.76079999999999</v>
      </c>
      <c r="H6594" s="1">
        <v>-1.5112429999999899E-7</v>
      </c>
      <c r="I6594">
        <v>-61.987409999999997</v>
      </c>
      <c r="J6594">
        <v>-231.73349999999999</v>
      </c>
      <c r="K6594">
        <v>1.110616</v>
      </c>
      <c r="L6594">
        <v>-63.097110000000001</v>
      </c>
      <c r="M6594">
        <v>0.99985049999999998</v>
      </c>
      <c r="N6594">
        <v>0</v>
      </c>
      <c r="O6594">
        <v>-9.2813800000000005E-3</v>
      </c>
      <c r="P6594">
        <v>0.98211700000000002</v>
      </c>
      <c r="Q6594">
        <v>0.18289330000000001</v>
      </c>
      <c r="R6594">
        <v>4.4680949999999997E-2</v>
      </c>
      <c r="S6594">
        <v>3.0787200000000001</v>
      </c>
      <c r="T6594">
        <v>-0.1697545</v>
      </c>
      <c r="U6594">
        <v>0.16937260000000001</v>
      </c>
      <c r="V6594">
        <v>-5.3829589999999997E-2</v>
      </c>
      <c r="W6594">
        <v>0.19718730000000001</v>
      </c>
      <c r="X6594">
        <v>0.9788869</v>
      </c>
      <c r="Y6594">
        <v>-6.408577E-2</v>
      </c>
      <c r="Z6594">
        <v>2.275174E-3</v>
      </c>
      <c r="AA6594">
        <v>0.99794179999999999</v>
      </c>
      <c r="AB6594">
        <v>34</v>
      </c>
      <c r="AC6594">
        <v>19.9727</v>
      </c>
      <c r="AD6594">
        <v>-1.1106161511243</v>
      </c>
      <c r="AE6594">
        <v>1.1096999999999999</v>
      </c>
      <c r="AF6594">
        <v>-1.2910663117108101</v>
      </c>
      <c r="AG6594">
        <v>-1.1106161511243</v>
      </c>
      <c r="AH6594">
        <v>19.9001947431845</v>
      </c>
      <c r="AI6594">
        <v>93.187636749589004</v>
      </c>
      <c r="AJ6594">
        <v>93.711980135361003</v>
      </c>
      <c r="AK6594">
        <v>19.9729334668957</v>
      </c>
      <c r="AL6594">
        <v>78.6274721295148</v>
      </c>
      <c r="AM6594">
        <v>93.147559845662698</v>
      </c>
      <c r="AN6594">
        <v>1.00000000951623</v>
      </c>
    </row>
    <row r="6595" spans="1:40" x14ac:dyDescent="0.25">
      <c r="A6595" t="str">
        <f>"20190312172537265"</f>
        <v>20190312172537265</v>
      </c>
      <c r="B6595" t="str">
        <f>"1552382737256955"</f>
        <v>1552382737256955</v>
      </c>
      <c r="C6595" t="s">
        <v>40</v>
      </c>
      <c r="D6595">
        <v>3.7292190000000001</v>
      </c>
      <c r="E6595">
        <v>0.49846800000000002</v>
      </c>
      <c r="F6595" t="s">
        <v>57</v>
      </c>
      <c r="G6595">
        <v>-211.6968</v>
      </c>
      <c r="H6595" s="1">
        <v>-1.252545E-7</v>
      </c>
      <c r="I6595">
        <v>-61.99335</v>
      </c>
      <c r="J6595">
        <v>-231.5598</v>
      </c>
      <c r="K6595">
        <v>1.1106199999999999</v>
      </c>
      <c r="L6595">
        <v>-63.098660000000002</v>
      </c>
      <c r="M6595">
        <v>0.99985100000000005</v>
      </c>
      <c r="N6595">
        <v>0</v>
      </c>
      <c r="O6595">
        <v>-9.2370409999999997E-3</v>
      </c>
      <c r="P6595">
        <v>0.98215350000000001</v>
      </c>
      <c r="Q6595">
        <v>0.18266389999999999</v>
      </c>
      <c r="R6595">
        <v>4.4820319999999997E-2</v>
      </c>
      <c r="S6595">
        <v>3.0786899999999999</v>
      </c>
      <c r="T6595">
        <v>-0.1706492</v>
      </c>
      <c r="U6595">
        <v>0.16958619999999999</v>
      </c>
      <c r="V6595">
        <v>-5.3925479999999998E-2</v>
      </c>
      <c r="W6595">
        <v>0.1969583</v>
      </c>
      <c r="X6595">
        <v>0.97892769999999996</v>
      </c>
      <c r="Y6595">
        <v>-6.4109940000000004E-2</v>
      </c>
      <c r="Z6595">
        <v>2.2853790000000001E-3</v>
      </c>
      <c r="AA6595">
        <v>0.99794020000000005</v>
      </c>
      <c r="AB6595">
        <v>34</v>
      </c>
      <c r="AC6595">
        <v>19.863</v>
      </c>
      <c r="AD6595">
        <v>-1.1106201252545</v>
      </c>
      <c r="AE6595">
        <v>1.10530999999999</v>
      </c>
      <c r="AF6595">
        <v>-1.28475346696257</v>
      </c>
      <c r="AG6595">
        <v>-1.1106201252545</v>
      </c>
      <c r="AH6595">
        <v>19.790260713013001</v>
      </c>
      <c r="AI6595">
        <v>93.205309999322793</v>
      </c>
      <c r="AJ6595">
        <v>93.714342336340295</v>
      </c>
      <c r="AK6595">
        <v>19.8629929170434</v>
      </c>
      <c r="AL6595">
        <v>78.640855047119302</v>
      </c>
      <c r="AM6595">
        <v>93.153024333114303</v>
      </c>
      <c r="AN6595">
        <v>0.99999998557970504</v>
      </c>
    </row>
    <row r="6596" spans="1:40" x14ac:dyDescent="0.25">
      <c r="A6596" t="str">
        <f>"20190312172537275"</f>
        <v>20190312172537275</v>
      </c>
      <c r="B6596" t="str">
        <f>"1552382737266715"</f>
        <v>1552382737266715</v>
      </c>
      <c r="C6596" t="s">
        <v>40</v>
      </c>
      <c r="D6596">
        <v>3.7229299999999999</v>
      </c>
      <c r="E6596">
        <v>0.49851970000000001</v>
      </c>
      <c r="F6596" t="s">
        <v>57</v>
      </c>
      <c r="G6596">
        <v>-211.62860000000001</v>
      </c>
      <c r="H6596" s="1">
        <v>-9.7759879999999998E-8</v>
      </c>
      <c r="I6596">
        <v>-61.999920000000003</v>
      </c>
      <c r="J6596">
        <v>-231.3947</v>
      </c>
      <c r="K6596">
        <v>1.1106259999999999</v>
      </c>
      <c r="L6596">
        <v>-63.100160000000002</v>
      </c>
      <c r="M6596">
        <v>0.99985139999999995</v>
      </c>
      <c r="N6596">
        <v>0</v>
      </c>
      <c r="O6596">
        <v>-9.1944880000000007E-3</v>
      </c>
      <c r="P6596">
        <v>0.98209109999999999</v>
      </c>
      <c r="Q6596">
        <v>0.18291869999999999</v>
      </c>
      <c r="R6596">
        <v>4.5143349999999999E-2</v>
      </c>
      <c r="S6596">
        <v>3.0786739999999999</v>
      </c>
      <c r="T6596">
        <v>-0.17155179999999901</v>
      </c>
      <c r="U6596">
        <v>0.16970829999999901</v>
      </c>
      <c r="V6596">
        <v>-5.4205530000000002E-2</v>
      </c>
      <c r="W6596">
        <v>0.1972121</v>
      </c>
      <c r="X6596">
        <v>0.97886119999999999</v>
      </c>
      <c r="Y6596">
        <v>-6.4106070000000001E-2</v>
      </c>
      <c r="Z6596">
        <v>2.294983E-3</v>
      </c>
      <c r="AA6596">
        <v>0.99794050000000001</v>
      </c>
      <c r="AB6596">
        <v>34</v>
      </c>
      <c r="AC6596">
        <v>19.766099999999899</v>
      </c>
      <c r="AD6596">
        <v>-1.1106260977598701</v>
      </c>
      <c r="AE6596">
        <v>1.1002399999999899</v>
      </c>
      <c r="AF6596">
        <v>-1.27792983682756</v>
      </c>
      <c r="AG6596">
        <v>-1.1106260977598701</v>
      </c>
      <c r="AH6596">
        <v>19.693165059842801</v>
      </c>
      <c r="AI6596">
        <v>93.221103115243807</v>
      </c>
      <c r="AJ6596">
        <v>93.712834829614394</v>
      </c>
      <c r="AK6596">
        <v>19.765812532529399</v>
      </c>
      <c r="AL6596">
        <v>78.6260232037273</v>
      </c>
      <c r="AM6596">
        <v>93.169580443834704</v>
      </c>
      <c r="AN6596">
        <v>1.00000005036721</v>
      </c>
    </row>
    <row r="6597" spans="1:40" x14ac:dyDescent="0.25">
      <c r="A6597" t="str">
        <f>"20190312172537287"</f>
        <v>20190312172537287</v>
      </c>
      <c r="B6597" t="str">
        <f>"1552382737276475"</f>
        <v>1552382737276475</v>
      </c>
      <c r="C6597" t="s">
        <v>40</v>
      </c>
      <c r="D6597">
        <v>3.729663</v>
      </c>
      <c r="E6597">
        <v>0.49857119999999999</v>
      </c>
      <c r="F6597" t="s">
        <v>57</v>
      </c>
      <c r="G6597">
        <v>-211.39580000000001</v>
      </c>
      <c r="H6597" s="1">
        <v>3.366154E-9</v>
      </c>
      <c r="I6597">
        <v>-61.995330000000003</v>
      </c>
      <c r="J6597">
        <v>-231.22970000000001</v>
      </c>
      <c r="K6597">
        <v>1.1106339999999999</v>
      </c>
      <c r="L6597">
        <v>-63.101619999999997</v>
      </c>
      <c r="M6597">
        <v>0.99985179999999996</v>
      </c>
      <c r="N6597">
        <v>0</v>
      </c>
      <c r="O6597">
        <v>-9.1520520000000008E-3</v>
      </c>
      <c r="P6597">
        <v>0.98209139999999995</v>
      </c>
      <c r="Q6597">
        <v>0.18291209999999999</v>
      </c>
      <c r="R6597">
        <v>4.5169800000000003E-2</v>
      </c>
      <c r="S6597">
        <v>3.0787200000000001</v>
      </c>
      <c r="T6597">
        <v>-0.17097470000000001</v>
      </c>
      <c r="U6597">
        <v>0.17007449999999999</v>
      </c>
      <c r="V6597">
        <v>-5.4190660000000002E-2</v>
      </c>
      <c r="W6597">
        <v>0.19720509999999999</v>
      </c>
      <c r="X6597">
        <v>0.97886340000000005</v>
      </c>
      <c r="Y6597">
        <v>-6.4181950000000001E-2</v>
      </c>
      <c r="Z6597">
        <v>2.2869829999999998E-3</v>
      </c>
      <c r="AA6597">
        <v>0.99793560000000003</v>
      </c>
      <c r="AB6597">
        <v>34</v>
      </c>
      <c r="AC6597">
        <v>19.8339</v>
      </c>
      <c r="AD6597">
        <v>-1.1106339966338401</v>
      </c>
      <c r="AE6597">
        <v>1.10628999999999</v>
      </c>
      <c r="AF6597">
        <v>-1.28377088854705</v>
      </c>
      <c r="AG6597">
        <v>-1.1106339966338401</v>
      </c>
      <c r="AH6597">
        <v>19.761171595189801</v>
      </c>
      <c r="AI6597">
        <v>93.210048977470095</v>
      </c>
      <c r="AJ6597">
        <v>93.716957717352997</v>
      </c>
      <c r="AK6597">
        <v>19.833947624799698</v>
      </c>
      <c r="AL6597">
        <v>78.626431929288501</v>
      </c>
      <c r="AM6597">
        <v>93.168705609636206</v>
      </c>
      <c r="AN6597">
        <v>1.0000000174784001</v>
      </c>
    </row>
    <row r="6598" spans="1:40" x14ac:dyDescent="0.25">
      <c r="A6598" t="str">
        <f>"20190312172537296"</f>
        <v>20190312172537296</v>
      </c>
      <c r="B6598" t="str">
        <f>"1552382737287211"</f>
        <v>1552382737287211</v>
      </c>
      <c r="C6598" t="s">
        <v>40</v>
      </c>
      <c r="D6598">
        <v>3.7362649999999999</v>
      </c>
      <c r="E6598">
        <v>0.49862380000000001</v>
      </c>
      <c r="F6598" t="s">
        <v>57</v>
      </c>
      <c r="G6598">
        <v>-211.2594</v>
      </c>
      <c r="H6598" s="1">
        <v>5.9982709999999995E-8</v>
      </c>
      <c r="I6598">
        <v>-62.002360000000003</v>
      </c>
      <c r="J6598">
        <v>-231.06139999999999</v>
      </c>
      <c r="K6598">
        <v>1.1106419999999999</v>
      </c>
      <c r="L6598">
        <v>-63.103119999999997</v>
      </c>
      <c r="M6598">
        <v>0.99985219999999997</v>
      </c>
      <c r="N6598">
        <v>0</v>
      </c>
      <c r="O6598">
        <v>-9.1087809999999998E-3</v>
      </c>
      <c r="P6598">
        <v>0.98205520000000002</v>
      </c>
      <c r="Q6598">
        <v>0.1830521</v>
      </c>
      <c r="R6598">
        <v>4.5385210000000002E-2</v>
      </c>
      <c r="S6598">
        <v>3.0788120000000001</v>
      </c>
      <c r="T6598">
        <v>-0.17122589999999999</v>
      </c>
      <c r="U6598">
        <v>0.16946410000000001</v>
      </c>
      <c r="V6598">
        <v>-5.4363219999999997E-2</v>
      </c>
      <c r="W6598">
        <v>0.1973444</v>
      </c>
      <c r="X6598">
        <v>0.97882570000000002</v>
      </c>
      <c r="Y6598">
        <v>-6.3940010000000005E-2</v>
      </c>
      <c r="Z6598">
        <v>2.2811609999999999E-3</v>
      </c>
      <c r="AA6598">
        <v>0.99795109999999998</v>
      </c>
      <c r="AB6598">
        <v>34</v>
      </c>
      <c r="AC6598">
        <v>19.8019999999999</v>
      </c>
      <c r="AD6598">
        <v>-1.11064194001729</v>
      </c>
      <c r="AE6598">
        <v>1.10076</v>
      </c>
      <c r="AF6598">
        <v>-1.2771004665091199</v>
      </c>
      <c r="AG6598">
        <v>-1.11064194001729</v>
      </c>
      <c r="AH6598">
        <v>19.729277659953599</v>
      </c>
      <c r="AI6598">
        <v>93.215298636411006</v>
      </c>
      <c r="AJ6598">
        <v>93.703659272363097</v>
      </c>
      <c r="AK6598">
        <v>19.801740027180099</v>
      </c>
      <c r="AL6598">
        <v>78.618289990282307</v>
      </c>
      <c r="AM6598">
        <v>93.178897280111897</v>
      </c>
      <c r="AN6598">
        <v>0.99999996144030801</v>
      </c>
    </row>
    <row r="6599" spans="1:40" x14ac:dyDescent="0.25">
      <c r="A6599" t="str">
        <f>"20190312172537317"</f>
        <v>20190312172537317</v>
      </c>
      <c r="B6599" t="str">
        <f>"1552382737306732"</f>
        <v>1552382737306732</v>
      </c>
      <c r="C6599" t="s">
        <v>40</v>
      </c>
      <c r="D6599">
        <v>3.7233320000000001</v>
      </c>
      <c r="E6599">
        <v>0.49872670000000002</v>
      </c>
      <c r="F6599" t="s">
        <v>57</v>
      </c>
      <c r="G6599">
        <v>-211.06180000000001</v>
      </c>
      <c r="H6599" s="1">
        <v>1.4501160000000001E-7</v>
      </c>
      <c r="I6599">
        <v>-62.001449999999998</v>
      </c>
      <c r="J6599">
        <v>-230.75919999999999</v>
      </c>
      <c r="K6599">
        <v>1.110652</v>
      </c>
      <c r="L6599">
        <v>-63.1057699999999</v>
      </c>
      <c r="M6599">
        <v>0.99985290000000004</v>
      </c>
      <c r="N6599">
        <v>0</v>
      </c>
      <c r="O6599">
        <v>-9.0312989999999996E-3</v>
      </c>
      <c r="P6599">
        <v>0.98197310000000004</v>
      </c>
      <c r="Q6599">
        <v>0.18344240000000001</v>
      </c>
      <c r="R6599">
        <v>4.5583949999999998E-2</v>
      </c>
      <c r="S6599">
        <v>3.078827</v>
      </c>
      <c r="T6599">
        <v>-0.1709765</v>
      </c>
      <c r="U6599">
        <v>0.16958619999999999</v>
      </c>
      <c r="V6599">
        <v>-5.4484890000000001E-2</v>
      </c>
      <c r="W6599">
        <v>0.1977324</v>
      </c>
      <c r="X6599">
        <v>0.97874070000000002</v>
      </c>
      <c r="Y6599">
        <v>-6.3902349999999997E-2</v>
      </c>
      <c r="Z6599">
        <v>2.2724889999999999E-3</v>
      </c>
      <c r="AA6599">
        <v>0.9979536</v>
      </c>
      <c r="AB6599">
        <v>34</v>
      </c>
      <c r="AC6599">
        <v>19.697399999999899</v>
      </c>
      <c r="AD6599">
        <v>-1.1106518549883999</v>
      </c>
      <c r="AE6599">
        <v>1.10431999999999</v>
      </c>
      <c r="AF6599">
        <v>-1.2781360694426001</v>
      </c>
      <c r="AG6599">
        <v>-1.1106518549883999</v>
      </c>
      <c r="AH6599">
        <v>19.624424626505299</v>
      </c>
      <c r="AI6599">
        <v>93.232387258036795</v>
      </c>
      <c r="AJ6599">
        <v>93.726403156226993</v>
      </c>
      <c r="AK6599">
        <v>19.697340462011301</v>
      </c>
      <c r="AL6599">
        <v>78.595613177814698</v>
      </c>
      <c r="AM6599">
        <v>93.186273432677197</v>
      </c>
      <c r="AN6599">
        <v>1.0000000315422799</v>
      </c>
    </row>
    <row r="6600" spans="1:40" x14ac:dyDescent="0.25">
      <c r="A6600" t="str">
        <f>"20190312172537333"</f>
        <v>20190312172537333</v>
      </c>
      <c r="B6600" t="str">
        <f>"1552382737327227"</f>
        <v>1552382737327227</v>
      </c>
      <c r="C6600" t="s">
        <v>40</v>
      </c>
      <c r="D6600">
        <v>3.7455850000000002</v>
      </c>
      <c r="E6600">
        <v>0.49882369999999998</v>
      </c>
      <c r="F6600" t="s">
        <v>57</v>
      </c>
      <c r="G6600">
        <v>-210.6652</v>
      </c>
      <c r="H6600" s="1">
        <v>3.151779E-7</v>
      </c>
      <c r="I6600">
        <v>-62.001370000000001</v>
      </c>
      <c r="J6600">
        <v>-230.53399999999999</v>
      </c>
      <c r="K6600">
        <v>1.1106640000000001</v>
      </c>
      <c r="L6600">
        <v>-63.107790000000001</v>
      </c>
      <c r="M6600">
        <v>0.9998534</v>
      </c>
      <c r="N6600">
        <v>0</v>
      </c>
      <c r="O6600">
        <v>-8.973366E-3</v>
      </c>
      <c r="P6600">
        <v>0.9817804</v>
      </c>
      <c r="Q6600">
        <v>0.1844826</v>
      </c>
      <c r="R6600">
        <v>4.5537559999999998E-2</v>
      </c>
      <c r="S6600">
        <v>3.0790099999999998</v>
      </c>
      <c r="T6600">
        <v>-0.17018469999999999</v>
      </c>
      <c r="U6600">
        <v>0.16922000000000001</v>
      </c>
      <c r="V6600">
        <v>-5.4379909999999997E-2</v>
      </c>
      <c r="W6600">
        <v>0.19876949999999999</v>
      </c>
      <c r="X6600">
        <v>0.97853639999999997</v>
      </c>
      <c r="Y6600">
        <v>-6.3724340000000004E-2</v>
      </c>
      <c r="Z6600">
        <v>2.2537450000000001E-3</v>
      </c>
      <c r="AA6600">
        <v>0.99796499999999999</v>
      </c>
      <c r="AB6600">
        <v>34</v>
      </c>
      <c r="AC6600">
        <v>19.8688</v>
      </c>
      <c r="AD6600">
        <v>-1.1106636848221001</v>
      </c>
      <c r="AE6600">
        <v>1.10642</v>
      </c>
      <c r="AF6600">
        <v>-1.28069487854152</v>
      </c>
      <c r="AG6600">
        <v>-1.1106636848221001</v>
      </c>
      <c r="AH6600">
        <v>19.796402001425498</v>
      </c>
      <c r="AI6600">
        <v>93.204489592142806</v>
      </c>
      <c r="AJ6600">
        <v>93.701495821582199</v>
      </c>
      <c r="AK6600">
        <v>19.868852140844702</v>
      </c>
      <c r="AL6600">
        <v>78.534987887821202</v>
      </c>
      <c r="AM6600">
        <v>93.180809412659798</v>
      </c>
      <c r="AN6600">
        <v>0.99999998743340801</v>
      </c>
    </row>
    <row r="6601" spans="1:40" x14ac:dyDescent="0.25">
      <c r="A6601" t="str">
        <f>"20190312172537344"</f>
        <v>20190312172537344</v>
      </c>
      <c r="B6601" t="str">
        <f>"1552382737336987"</f>
        <v>1552382737336987</v>
      </c>
      <c r="C6601" t="s">
        <v>40</v>
      </c>
      <c r="D6601">
        <v>3.7625760000000001</v>
      </c>
      <c r="E6601">
        <v>0.49887219999999999</v>
      </c>
      <c r="F6601" t="s">
        <v>57</v>
      </c>
      <c r="G6601">
        <v>-210.0839</v>
      </c>
      <c r="H6601" s="1">
        <v>5.66596E-7</v>
      </c>
      <c r="I6601">
        <v>-61.993659999999998</v>
      </c>
      <c r="J6601">
        <v>-230.35640000000001</v>
      </c>
      <c r="K6601">
        <v>1.110668</v>
      </c>
      <c r="L6601">
        <v>-63.109310000000001</v>
      </c>
      <c r="M6601">
        <v>0.99985380000000001</v>
      </c>
      <c r="N6601">
        <v>0</v>
      </c>
      <c r="O6601">
        <v>-8.9277090000000007E-3</v>
      </c>
      <c r="P6601">
        <v>0.9817091</v>
      </c>
      <c r="Q6601">
        <v>0.18481120000000001</v>
      </c>
      <c r="R6601">
        <v>4.5738960000000002E-2</v>
      </c>
      <c r="S6601">
        <v>3.0793460000000001</v>
      </c>
      <c r="T6601">
        <v>-0.16724159999999999</v>
      </c>
      <c r="U6601">
        <v>0.16775509999999999</v>
      </c>
      <c r="V6601">
        <v>-5.4535800000000002E-2</v>
      </c>
      <c r="W6601">
        <v>0.1990961</v>
      </c>
      <c r="X6601">
        <v>0.97846129999999998</v>
      </c>
      <c r="Y6601">
        <v>-6.3204129999999997E-2</v>
      </c>
      <c r="Z6601">
        <v>2.1980319999999999E-3</v>
      </c>
      <c r="AA6601">
        <v>0.99799819999999995</v>
      </c>
      <c r="AB6601">
        <v>34</v>
      </c>
      <c r="AC6601">
        <v>20.272500000000001</v>
      </c>
      <c r="AD6601">
        <v>-1.1106674334039901</v>
      </c>
      <c r="AE6601">
        <v>1.11565</v>
      </c>
      <c r="AF6601">
        <v>-1.2927431709820301</v>
      </c>
      <c r="AG6601">
        <v>-1.1106674334039901</v>
      </c>
      <c r="AH6601">
        <v>20.2012774988053</v>
      </c>
      <c r="AI6601">
        <v>93.140546031046497</v>
      </c>
      <c r="AJ6601">
        <v>93.6615441065629</v>
      </c>
      <c r="AK6601">
        <v>20.273045642860001</v>
      </c>
      <c r="AL6601">
        <v>78.5158931641122</v>
      </c>
      <c r="AM6601">
        <v>93.190153313035907</v>
      </c>
      <c r="AN6601">
        <v>0.99999996305726901</v>
      </c>
    </row>
    <row r="6602" spans="1:40" x14ac:dyDescent="0.25">
      <c r="A6602" t="str">
        <f>"20190312172537355"</f>
        <v>20190312172537355</v>
      </c>
      <c r="B6602" t="str">
        <f>"1552382737346747"</f>
        <v>1552382737346747</v>
      </c>
      <c r="C6602" t="s">
        <v>40</v>
      </c>
      <c r="D6602">
        <v>3.769838</v>
      </c>
      <c r="E6602">
        <v>0.49892399999999998</v>
      </c>
      <c r="F6602" t="s">
        <v>50</v>
      </c>
      <c r="G6602">
        <v>-209.80090000000001</v>
      </c>
      <c r="H6602" s="1">
        <v>-4.8597640000000003E-7</v>
      </c>
      <c r="I6602">
        <v>-61.990960000000001</v>
      </c>
      <c r="J6602">
        <v>-230.18090000000001</v>
      </c>
      <c r="K6602">
        <v>1.110673</v>
      </c>
      <c r="L6602">
        <v>-63.110840000000003</v>
      </c>
      <c r="M6602">
        <v>0.99985409999999997</v>
      </c>
      <c r="N6602">
        <v>0</v>
      </c>
      <c r="O6602">
        <v>-8.8824100000000003E-3</v>
      </c>
      <c r="P6602">
        <v>0.98159799999999997</v>
      </c>
      <c r="Q6602">
        <v>0.18536130000000001</v>
      </c>
      <c r="R6602">
        <v>4.5899660000000002E-2</v>
      </c>
      <c r="S6602">
        <v>3.0794069999999998</v>
      </c>
      <c r="T6602">
        <v>-0.16638889999999901</v>
      </c>
      <c r="U6602">
        <v>0.16754150000000001</v>
      </c>
      <c r="V6602">
        <v>-5.4650879999999999E-2</v>
      </c>
      <c r="W6602">
        <v>0.19964419999999999</v>
      </c>
      <c r="X6602">
        <v>0.97834319999999997</v>
      </c>
      <c r="Y6602">
        <v>-6.3090140000000003E-2</v>
      </c>
      <c r="Z6602">
        <v>2.1812820000000001E-3</v>
      </c>
      <c r="AA6602">
        <v>0.99800540000000004</v>
      </c>
      <c r="AB6602">
        <v>34</v>
      </c>
      <c r="AC6602">
        <v>20.3799999999999</v>
      </c>
      <c r="AD6602">
        <v>-1.1106734859764</v>
      </c>
      <c r="AE6602">
        <v>1.11988</v>
      </c>
      <c r="AF6602">
        <v>-1.2970379224939199</v>
      </c>
      <c r="AG6602">
        <v>-1.1106734859764</v>
      </c>
      <c r="AH6602">
        <v>20.309109975606098</v>
      </c>
      <c r="AI6602">
        <v>93.123946681147899</v>
      </c>
      <c r="AJ6602">
        <v>93.654222618070605</v>
      </c>
      <c r="AK6602">
        <v>20.380771598889499</v>
      </c>
      <c r="AL6602">
        <v>78.483846068714698</v>
      </c>
      <c r="AM6602">
        <v>93.1972562492885</v>
      </c>
      <c r="AN6602">
        <v>0.99999997113232597</v>
      </c>
    </row>
    <row r="6603" spans="1:40" x14ac:dyDescent="0.25">
      <c r="A6603" t="str">
        <f>"20190312172537365"</f>
        <v>20190312172537365</v>
      </c>
      <c r="B6603" t="str">
        <f>"1552382737356507"</f>
        <v>1552382737356507</v>
      </c>
      <c r="C6603" t="s">
        <v>40</v>
      </c>
      <c r="D6603">
        <v>3.723433</v>
      </c>
      <c r="E6603">
        <v>0.4989751</v>
      </c>
      <c r="F6603" t="s">
        <v>50</v>
      </c>
      <c r="G6603">
        <v>-209.43260000000001</v>
      </c>
      <c r="H6603" s="1">
        <v>-6.2522240000000001E-7</v>
      </c>
      <c r="I6603">
        <v>-61.985550000000003</v>
      </c>
      <c r="J6603">
        <v>-230.02760000000001</v>
      </c>
      <c r="K6603">
        <v>1.110676</v>
      </c>
      <c r="L6603">
        <v>-63.112180000000002</v>
      </c>
      <c r="M6603">
        <v>0.99985469999999999</v>
      </c>
      <c r="N6603">
        <v>0</v>
      </c>
      <c r="O6603">
        <v>-8.8433079999999994E-3</v>
      </c>
      <c r="P6603">
        <v>0.98158270000000003</v>
      </c>
      <c r="Q6603">
        <v>0.1854345</v>
      </c>
      <c r="R6603">
        <v>4.5933120000000001E-2</v>
      </c>
      <c r="S6603">
        <v>3.0795750000000002</v>
      </c>
      <c r="T6603">
        <v>-0.1648521</v>
      </c>
      <c r="U6603">
        <v>0.1670227</v>
      </c>
      <c r="V6603">
        <v>-5.4646340000000002E-2</v>
      </c>
      <c r="W6603">
        <v>0.19971620000000001</v>
      </c>
      <c r="X6603">
        <v>0.9783288</v>
      </c>
      <c r="Y6603">
        <v>-6.2882789999999994E-2</v>
      </c>
      <c r="Z6603">
        <v>2.153425E-3</v>
      </c>
      <c r="AA6603">
        <v>0.99801859999999998</v>
      </c>
      <c r="AB6603">
        <v>34</v>
      </c>
      <c r="AC6603">
        <v>20.594999999999999</v>
      </c>
      <c r="AD6603">
        <v>-1.1106766252223901</v>
      </c>
      <c r="AE6603">
        <v>1.12662999999999</v>
      </c>
      <c r="AF6603">
        <v>-1.3049492380996299</v>
      </c>
      <c r="AG6603">
        <v>-1.1106766252223901</v>
      </c>
      <c r="AH6603">
        <v>20.5247146734254</v>
      </c>
      <c r="AI6603">
        <v>93.091259338376901</v>
      </c>
      <c r="AJ6603">
        <v>93.637935173214601</v>
      </c>
      <c r="AK6603">
        <v>20.596126031498201</v>
      </c>
      <c r="AL6603">
        <v>78.479636462958396</v>
      </c>
      <c r="AM6603">
        <v>93.197038154157696</v>
      </c>
      <c r="AN6603">
        <v>1.0000000119636301</v>
      </c>
    </row>
    <row r="6604" spans="1:40" x14ac:dyDescent="0.25">
      <c r="A6604" t="str">
        <f>"20190312172537376"</f>
        <v>20190312172537376</v>
      </c>
      <c r="B6604" t="str">
        <f>"1552382737367244"</f>
        <v>1552382737367244</v>
      </c>
      <c r="C6604" t="s">
        <v>40</v>
      </c>
      <c r="D6604">
        <v>3.725241</v>
      </c>
      <c r="E6604">
        <v>0.49902740000000001</v>
      </c>
      <c r="F6604" t="s">
        <v>50</v>
      </c>
      <c r="G6604">
        <v>-209.27680000000001</v>
      </c>
      <c r="H6604" s="1">
        <v>-6.8636390000000003E-7</v>
      </c>
      <c r="I6604">
        <v>-61.991720000000001</v>
      </c>
      <c r="J6604">
        <v>-229.86240000000001</v>
      </c>
      <c r="K6604">
        <v>1.1106799999999999</v>
      </c>
      <c r="L6604">
        <v>-63.113590000000002</v>
      </c>
      <c r="M6604">
        <v>0.99985500000000005</v>
      </c>
      <c r="N6604">
        <v>0</v>
      </c>
      <c r="O6604">
        <v>-8.8006300000000003E-3</v>
      </c>
      <c r="P6604">
        <v>0.98150510000000002</v>
      </c>
      <c r="Q6604">
        <v>0.18579850000000001</v>
      </c>
      <c r="R6604">
        <v>4.6119050000000002E-2</v>
      </c>
      <c r="S6604">
        <v>3.0796510000000001</v>
      </c>
      <c r="T6604">
        <v>-0.1648375</v>
      </c>
      <c r="U6604">
        <v>0.166290299999999</v>
      </c>
      <c r="V6604">
        <v>-5.4789610000000002E-2</v>
      </c>
      <c r="W6604">
        <v>0.20007820000000001</v>
      </c>
      <c r="X6604">
        <v>0.97824679999999997</v>
      </c>
      <c r="Y6604">
        <v>-6.2602679999999994E-2</v>
      </c>
      <c r="Z6604">
        <v>2.1434280000000002E-3</v>
      </c>
      <c r="AA6604">
        <v>0.99803620000000004</v>
      </c>
      <c r="AB6604">
        <v>34</v>
      </c>
      <c r="AC6604">
        <v>20.585599999999999</v>
      </c>
      <c r="AD6604">
        <v>-1.1106806863638901</v>
      </c>
      <c r="AE6604">
        <v>1.1218699999999999</v>
      </c>
      <c r="AF6604">
        <v>-1.2992410774783101</v>
      </c>
      <c r="AG6604">
        <v>-1.1106806863638901</v>
      </c>
      <c r="AH6604">
        <v>20.5153837191123</v>
      </c>
      <c r="AI6604">
        <v>93.092722522099294</v>
      </c>
      <c r="AJ6604">
        <v>93.623707453542494</v>
      </c>
      <c r="AK6604">
        <v>20.586466625112902</v>
      </c>
      <c r="AL6604">
        <v>78.458467944946506</v>
      </c>
      <c r="AM6604">
        <v>93.205670716966495</v>
      </c>
      <c r="AN6604">
        <v>0.999999994594715</v>
      </c>
    </row>
    <row r="6605" spans="1:40" x14ac:dyDescent="0.25">
      <c r="A6605" t="str">
        <f>"20190312172537386"</f>
        <v>20190312172537386</v>
      </c>
      <c r="B6605" t="str">
        <f>"1552382737377004"</f>
        <v>1552382737377004</v>
      </c>
      <c r="C6605" t="s">
        <v>40</v>
      </c>
      <c r="D6605">
        <v>3.7438630000000002</v>
      </c>
      <c r="E6605">
        <v>0.49907679999999999</v>
      </c>
      <c r="F6605" t="s">
        <v>50</v>
      </c>
      <c r="G6605">
        <v>-208.9949</v>
      </c>
      <c r="H6605" s="1">
        <v>-8.3343070000000002E-7</v>
      </c>
      <c r="I6605">
        <v>-61.985399999999998</v>
      </c>
      <c r="J6605">
        <v>-229.6969</v>
      </c>
      <c r="K6605">
        <v>1.1106849999999999</v>
      </c>
      <c r="L6605">
        <v>-63.115020000000001</v>
      </c>
      <c r="M6605">
        <v>0.9998553</v>
      </c>
      <c r="N6605">
        <v>0</v>
      </c>
      <c r="O6605">
        <v>-8.7579530000000006E-3</v>
      </c>
      <c r="P6605">
        <v>0.98154660000000005</v>
      </c>
      <c r="Q6605">
        <v>0.18555099999999999</v>
      </c>
      <c r="R6605">
        <v>4.6232250000000003E-2</v>
      </c>
      <c r="S6605">
        <v>3.079742</v>
      </c>
      <c r="T6605">
        <v>-0.16392079999999901</v>
      </c>
      <c r="U6605">
        <v>0.16650390000000001</v>
      </c>
      <c r="V6605">
        <v>-5.4861020000000003E-2</v>
      </c>
      <c r="W6605">
        <v>0.1998306</v>
      </c>
      <c r="X6605">
        <v>0.97829339999999998</v>
      </c>
      <c r="Y6605">
        <v>-6.2628669999999997E-2</v>
      </c>
      <c r="Z6605">
        <v>2.1298789999999999E-3</v>
      </c>
      <c r="AA6605">
        <v>0.99803459999999999</v>
      </c>
      <c r="AB6605">
        <v>34</v>
      </c>
      <c r="AC6605">
        <v>20.702000000000002</v>
      </c>
      <c r="AD6605">
        <v>-1.1106858334306999</v>
      </c>
      <c r="AE6605">
        <v>1.1296199999999901</v>
      </c>
      <c r="AF6605">
        <v>-1.3071516999694099</v>
      </c>
      <c r="AG6605">
        <v>-1.1106858334306999</v>
      </c>
      <c r="AH6605">
        <v>20.632099611098401</v>
      </c>
      <c r="AI6605">
        <v>93.075270005005507</v>
      </c>
      <c r="AJ6605">
        <v>93.625142953108195</v>
      </c>
      <c r="AK6605">
        <v>20.703280004617699</v>
      </c>
      <c r="AL6605">
        <v>78.472946704140298</v>
      </c>
      <c r="AM6605">
        <v>93.209687517086095</v>
      </c>
      <c r="AN6605">
        <v>0.99999998834768</v>
      </c>
    </row>
    <row r="6606" spans="1:40" x14ac:dyDescent="0.25">
      <c r="A6606" t="str">
        <f>"20190312172537398"</f>
        <v>20190312172537398</v>
      </c>
      <c r="B6606" t="str">
        <f>"1552382737386763"</f>
        <v>1552382737386763</v>
      </c>
      <c r="C6606" t="s">
        <v>40</v>
      </c>
      <c r="D6606">
        <v>3.7742469999999999</v>
      </c>
      <c r="E6606">
        <v>0.49912339999999999</v>
      </c>
      <c r="F6606" t="s">
        <v>50</v>
      </c>
      <c r="G6606">
        <v>-208.94540000000001</v>
      </c>
      <c r="H6606" s="1">
        <v>-8.6579999999999898E-7</v>
      </c>
      <c r="I6606">
        <v>-61.991459999999996</v>
      </c>
      <c r="J6606">
        <v>-229.52520000000001</v>
      </c>
      <c r="K6606">
        <v>1.110687</v>
      </c>
      <c r="L6606">
        <v>-63.116459999999996</v>
      </c>
      <c r="M6606">
        <v>0.99985579999999996</v>
      </c>
      <c r="N6606">
        <v>0</v>
      </c>
      <c r="O6606">
        <v>-8.7138430000000006E-3</v>
      </c>
      <c r="P6606">
        <v>0.98156200000000005</v>
      </c>
      <c r="Q6606">
        <v>0.1854218</v>
      </c>
      <c r="R6606">
        <v>4.6423930000000002E-2</v>
      </c>
      <c r="S6606">
        <v>3.0797270000000001</v>
      </c>
      <c r="T6606">
        <v>-0.1648365</v>
      </c>
      <c r="U6606">
        <v>0.16674800000000001</v>
      </c>
      <c r="V6606">
        <v>-5.500944E-2</v>
      </c>
      <c r="W6606">
        <v>0.1997012</v>
      </c>
      <c r="X6606">
        <v>0.9783115</v>
      </c>
      <c r="Y6606">
        <v>-6.2662679999999998E-2</v>
      </c>
      <c r="Z6606">
        <v>2.140318E-3</v>
      </c>
      <c r="AA6606">
        <v>0.99803249999999999</v>
      </c>
      <c r="AB6606">
        <v>34</v>
      </c>
      <c r="AC6606">
        <v>20.579799999999999</v>
      </c>
      <c r="AD6606">
        <v>-1.1106878657999999</v>
      </c>
      <c r="AE6606">
        <v>1.125</v>
      </c>
      <c r="AF6606">
        <v>-1.30052866123583</v>
      </c>
      <c r="AG6606">
        <v>-1.1106878657999999</v>
      </c>
      <c r="AH6606">
        <v>20.509653076016399</v>
      </c>
      <c r="AI6606">
        <v>93.093589262892195</v>
      </c>
      <c r="AJ6606">
        <v>93.628299865628193</v>
      </c>
      <c r="AK6606">
        <v>20.5808374861783</v>
      </c>
      <c r="AL6606">
        <v>78.480513421967501</v>
      </c>
      <c r="AM6606">
        <v>93.218293299517001</v>
      </c>
      <c r="AN6606">
        <v>0.99999999940140105</v>
      </c>
    </row>
    <row r="6607" spans="1:40" x14ac:dyDescent="0.25">
      <c r="A6607" t="str">
        <f>"20190312172537410"</f>
        <v>20190312172537410</v>
      </c>
      <c r="B6607" t="str">
        <f>"1552382737407260"</f>
        <v>1552382737407260</v>
      </c>
      <c r="C6607" t="s">
        <v>40</v>
      </c>
      <c r="D6607">
        <v>3.7551839999999999</v>
      </c>
      <c r="E6607">
        <v>0.49921919999999997</v>
      </c>
      <c r="F6607" t="s">
        <v>50</v>
      </c>
      <c r="G6607">
        <v>-208.84540000000001</v>
      </c>
      <c r="H6607" s="1">
        <v>-9.2959769999999998E-7</v>
      </c>
      <c r="I6607">
        <v>-61.993270000000003</v>
      </c>
      <c r="J6607">
        <v>-229.35980000000001</v>
      </c>
      <c r="K6607">
        <v>1.11069</v>
      </c>
      <c r="L6607">
        <v>-63.117829999999998</v>
      </c>
      <c r="M6607">
        <v>0.99985619999999997</v>
      </c>
      <c r="N6607">
        <v>0</v>
      </c>
      <c r="O6607">
        <v>-8.6714019999999999E-3</v>
      </c>
      <c r="P6607">
        <v>0.98160519999999996</v>
      </c>
      <c r="Q6607">
        <v>0.1850791</v>
      </c>
      <c r="R6607">
        <v>4.6871370000000002E-2</v>
      </c>
      <c r="S6607">
        <v>3.0796809999999999</v>
      </c>
      <c r="T6607">
        <v>-0.1654061</v>
      </c>
      <c r="U6607">
        <v>0.16726679999999999</v>
      </c>
      <c r="V6607">
        <v>-5.5415499999999999E-2</v>
      </c>
      <c r="W6607">
        <v>0.1993578</v>
      </c>
      <c r="X6607">
        <v>0.97835859999999997</v>
      </c>
      <c r="Y6607">
        <v>-6.2787910000000002E-2</v>
      </c>
      <c r="Z6607">
        <v>2.148807E-3</v>
      </c>
      <c r="AA6607">
        <v>0.99802460000000004</v>
      </c>
      <c r="AB6607">
        <v>34</v>
      </c>
      <c r="AC6607">
        <v>20.514399999999899</v>
      </c>
      <c r="AD6607">
        <v>-1.1106909295977001</v>
      </c>
      <c r="AE6607">
        <v>1.12456</v>
      </c>
      <c r="AF6607">
        <v>-1.29862986978115</v>
      </c>
      <c r="AG6607">
        <v>-1.1106909295977001</v>
      </c>
      <c r="AH6607">
        <v>20.444126503857198</v>
      </c>
      <c r="AI6607">
        <v>93.1034722764972</v>
      </c>
      <c r="AJ6607">
        <v>93.634597860859799</v>
      </c>
      <c r="AK6607">
        <v>20.515418162579401</v>
      </c>
      <c r="AL6607">
        <v>78.500592322787099</v>
      </c>
      <c r="AM6607">
        <v>93.241843356473296</v>
      </c>
      <c r="AN6607">
        <v>0.999999980127524</v>
      </c>
    </row>
    <row r="6608" spans="1:40" x14ac:dyDescent="0.25">
      <c r="A6608" t="str">
        <f>"20190312172537420"</f>
        <v>20190312172537420</v>
      </c>
      <c r="B6608" t="str">
        <f>"1552382737417019"</f>
        <v>1552382737417019</v>
      </c>
      <c r="C6608" t="s">
        <v>40</v>
      </c>
      <c r="D6608">
        <v>3.76654</v>
      </c>
      <c r="E6608">
        <v>0.49926749999999998</v>
      </c>
      <c r="F6608" t="s">
        <v>50</v>
      </c>
      <c r="G6608">
        <v>-208.85059999999999</v>
      </c>
      <c r="H6608" s="1">
        <v>-9.2709149999999996E-7</v>
      </c>
      <c r="I6608">
        <v>-61.999229999999997</v>
      </c>
      <c r="J6608">
        <v>-229.18430000000001</v>
      </c>
      <c r="K6608">
        <v>1.1106940000000001</v>
      </c>
      <c r="L6608">
        <v>-63.119349999999997</v>
      </c>
      <c r="M6608">
        <v>0.99985659999999998</v>
      </c>
      <c r="N6608">
        <v>0</v>
      </c>
      <c r="O6608">
        <v>-8.6262170000000003E-3</v>
      </c>
      <c r="P6608">
        <v>0.98161549999999997</v>
      </c>
      <c r="Q6608">
        <v>0.18498000000000001</v>
      </c>
      <c r="R6608">
        <v>4.7046400000000002E-2</v>
      </c>
      <c r="S6608">
        <v>3.0796510000000001</v>
      </c>
      <c r="T6608">
        <v>-0.1667807</v>
      </c>
      <c r="U6608">
        <v>0.167968799999999</v>
      </c>
      <c r="V6608">
        <v>-5.5545890000000001E-2</v>
      </c>
      <c r="W6608">
        <v>0.19925780000000001</v>
      </c>
      <c r="X6608">
        <v>0.97837160000000001</v>
      </c>
      <c r="Y6608">
        <v>-6.2968239999999995E-2</v>
      </c>
      <c r="Z6608">
        <v>2.1690780000000001E-3</v>
      </c>
      <c r="AA6608">
        <v>0.99801320000000004</v>
      </c>
      <c r="AB6608">
        <v>34</v>
      </c>
      <c r="AC6608">
        <v>20.3337</v>
      </c>
      <c r="AD6608">
        <v>-1.1106949270915001</v>
      </c>
      <c r="AE6608">
        <v>1.12011999999999</v>
      </c>
      <c r="AF6608">
        <v>-1.29165757866501</v>
      </c>
      <c r="AG6608">
        <v>-1.1106949270915001</v>
      </c>
      <c r="AH6608">
        <v>20.2630038334751</v>
      </c>
      <c r="AI6608">
        <v>93.131124930209793</v>
      </c>
      <c r="AJ6608">
        <v>93.647363110921802</v>
      </c>
      <c r="AK6608">
        <v>20.334486639131502</v>
      </c>
      <c r="AL6608">
        <v>78.506439464672496</v>
      </c>
      <c r="AM6608">
        <v>93.2494118465398</v>
      </c>
      <c r="AN6608">
        <v>1.00000000222164</v>
      </c>
    </row>
    <row r="6609" spans="1:40" x14ac:dyDescent="0.25">
      <c r="A6609" t="str">
        <f>"20190312172537432"</f>
        <v>20190312172537432</v>
      </c>
      <c r="B6609" t="str">
        <f>"1552382737426779"</f>
        <v>1552382737426779</v>
      </c>
      <c r="C6609" t="s">
        <v>40</v>
      </c>
      <c r="D6609">
        <v>3.7683110000000002</v>
      </c>
      <c r="E6609">
        <v>0.49931439999999999</v>
      </c>
      <c r="F6609" t="s">
        <v>50</v>
      </c>
      <c r="G6609">
        <v>-208.7319</v>
      </c>
      <c r="H6609" s="1">
        <v>-1.003161E-6</v>
      </c>
      <c r="I6609">
        <v>-62.00365</v>
      </c>
      <c r="J6609">
        <v>-229.01070000000001</v>
      </c>
      <c r="K6609">
        <v>1.1106940000000001</v>
      </c>
      <c r="L6609">
        <v>-63.12079</v>
      </c>
      <c r="M6609">
        <v>0.99985690000000005</v>
      </c>
      <c r="N6609">
        <v>0</v>
      </c>
      <c r="O6609">
        <v>-8.5815100000000005E-3</v>
      </c>
      <c r="P6609">
        <v>0.98165610000000003</v>
      </c>
      <c r="Q6609">
        <v>0.18466109999999999</v>
      </c>
      <c r="R6609">
        <v>4.7450590000000001E-2</v>
      </c>
      <c r="S6609">
        <v>3.0796510000000001</v>
      </c>
      <c r="T6609">
        <v>-0.16724439999999999</v>
      </c>
      <c r="U6609">
        <v>0.16799929999999999</v>
      </c>
      <c r="V6609">
        <v>-5.5907409999999998E-2</v>
      </c>
      <c r="W6609">
        <v>0.19893859999999999</v>
      </c>
      <c r="X6609">
        <v>0.97841599999999995</v>
      </c>
      <c r="Y6609">
        <v>-6.2933020000000006E-2</v>
      </c>
      <c r="Z6609">
        <v>2.1717199999999998E-3</v>
      </c>
      <c r="AA6609">
        <v>0.9980154</v>
      </c>
      <c r="AB6609">
        <v>34</v>
      </c>
      <c r="AC6609">
        <v>20.2788</v>
      </c>
      <c r="AD6609">
        <v>-1.1106950031609999</v>
      </c>
      <c r="AE6609">
        <v>1.11713999999999</v>
      </c>
      <c r="AF6609">
        <v>-1.2872900345857901</v>
      </c>
      <c r="AG6609">
        <v>-1.1106950031609999</v>
      </c>
      <c r="AH6609">
        <v>20.208026960046801</v>
      </c>
      <c r="AI6609">
        <v>93.139634989575399</v>
      </c>
      <c r="AJ6609">
        <v>93.644925963926994</v>
      </c>
      <c r="AK6609">
        <v>20.279425845944701</v>
      </c>
      <c r="AL6609">
        <v>78.5251023133616</v>
      </c>
      <c r="AM6609">
        <v>93.270366765511795</v>
      </c>
      <c r="AN6609">
        <v>1.00000003705943</v>
      </c>
    </row>
    <row r="6610" spans="1:40" x14ac:dyDescent="0.25">
      <c r="A6610" t="str">
        <f>"20190312172537444"</f>
        <v>20190312172537444</v>
      </c>
      <c r="B6610" t="str">
        <f>"1552382737436539"</f>
        <v>1552382737436539</v>
      </c>
      <c r="C6610" t="s">
        <v>40</v>
      </c>
      <c r="D6610">
        <v>3.7638600000000002</v>
      </c>
      <c r="E6610">
        <v>0.49936180000000002</v>
      </c>
      <c r="F6610" t="s">
        <v>50</v>
      </c>
      <c r="G6610">
        <v>-208.70089999999999</v>
      </c>
      <c r="H6610" s="1">
        <v>-1.023523E-6</v>
      </c>
      <c r="I6610">
        <v>-62.008200000000002</v>
      </c>
      <c r="J6610">
        <v>-228.8314</v>
      </c>
      <c r="K6610">
        <v>1.110698</v>
      </c>
      <c r="L6610">
        <v>-63.122280000000003</v>
      </c>
      <c r="M6610">
        <v>0.99985740000000001</v>
      </c>
      <c r="N6610">
        <v>0</v>
      </c>
      <c r="O6610">
        <v>-8.5354899999999997E-3</v>
      </c>
      <c r="P6610">
        <v>0.98161240000000005</v>
      </c>
      <c r="Q6610">
        <v>0.1848147</v>
      </c>
      <c r="R6610">
        <v>4.7754699999999997E-2</v>
      </c>
      <c r="S6610">
        <v>3.0795750000000002</v>
      </c>
      <c r="T6610">
        <v>-0.16841449999999999</v>
      </c>
      <c r="U6610">
        <v>0.1687012</v>
      </c>
      <c r="V6610">
        <v>-5.6165510000000002E-2</v>
      </c>
      <c r="W6610">
        <v>0.19908960000000001</v>
      </c>
      <c r="X6610">
        <v>0.97837050000000003</v>
      </c>
      <c r="Y6610">
        <v>-6.3113530000000001E-2</v>
      </c>
      <c r="Z6610">
        <v>2.189346E-3</v>
      </c>
      <c r="AA6610">
        <v>0.998004</v>
      </c>
      <c r="AB6610">
        <v>34</v>
      </c>
      <c r="AC6610">
        <v>20.130500000000001</v>
      </c>
      <c r="AD6610">
        <v>-1.1106990235230001</v>
      </c>
      <c r="AE6610">
        <v>1.11408</v>
      </c>
      <c r="AF6610">
        <v>-1.28199052055888</v>
      </c>
      <c r="AG6610">
        <v>-1.1106990235230001</v>
      </c>
      <c r="AH6610">
        <v>20.059376540678699</v>
      </c>
      <c r="AI6610">
        <v>93.162823984414402</v>
      </c>
      <c r="AJ6610">
        <v>93.656787916411204</v>
      </c>
      <c r="AK6610">
        <v>20.130964686680802</v>
      </c>
      <c r="AL6610">
        <v>78.516274024001106</v>
      </c>
      <c r="AM6610">
        <v>93.2855840746398</v>
      </c>
      <c r="AN6610">
        <v>1.0000000343059801</v>
      </c>
    </row>
    <row r="6611" spans="1:40" x14ac:dyDescent="0.25">
      <c r="A6611" t="str">
        <f>"20190312172537454"</f>
        <v>20190312172537454</v>
      </c>
      <c r="B6611" t="str">
        <f>"1552382737447276"</f>
        <v>1552382737447276</v>
      </c>
      <c r="C6611" t="s">
        <v>40</v>
      </c>
      <c r="D6611">
        <v>3.7801650000000002</v>
      </c>
      <c r="E6611">
        <v>0.49941140000000001</v>
      </c>
      <c r="F6611" t="s">
        <v>50</v>
      </c>
      <c r="G6611">
        <v>-208.482</v>
      </c>
      <c r="H6611" s="1">
        <v>-1.162144E-6</v>
      </c>
      <c r="I6611">
        <v>-62.004739999999998</v>
      </c>
      <c r="J6611">
        <v>-228.67070000000001</v>
      </c>
      <c r="K6611">
        <v>1.1107039999999999</v>
      </c>
      <c r="L6611">
        <v>-63.123629999999999</v>
      </c>
      <c r="M6611">
        <v>0.99985769999999996</v>
      </c>
      <c r="N6611">
        <v>0</v>
      </c>
      <c r="O6611">
        <v>-8.4939999999999998E-3</v>
      </c>
      <c r="P6611">
        <v>0.98162139999999998</v>
      </c>
      <c r="Q6611">
        <v>0.18469179999999999</v>
      </c>
      <c r="R6611">
        <v>4.8044730000000001E-2</v>
      </c>
      <c r="S6611">
        <v>3.0796359999999998</v>
      </c>
      <c r="T6611">
        <v>-0.168091299999999</v>
      </c>
      <c r="U6611">
        <v>0.16912839999999901</v>
      </c>
      <c r="V6611">
        <v>-5.641467E-2</v>
      </c>
      <c r="W6611">
        <v>0.19896620000000001</v>
      </c>
      <c r="X6611">
        <v>0.97838119999999995</v>
      </c>
      <c r="Y6611">
        <v>-6.3209409999999994E-2</v>
      </c>
      <c r="Z6611">
        <v>2.1854510000000001E-3</v>
      </c>
      <c r="AA6611">
        <v>0.99799789999999999</v>
      </c>
      <c r="AB6611">
        <v>34</v>
      </c>
      <c r="AC6611">
        <v>20.188700000000001</v>
      </c>
      <c r="AD6611">
        <v>-1.1107051621439901</v>
      </c>
      <c r="AE6611">
        <v>1.1188899999999999</v>
      </c>
      <c r="AF6611">
        <v>-1.28646872834336</v>
      </c>
      <c r="AG6611">
        <v>-1.1107051621439901</v>
      </c>
      <c r="AH6611">
        <v>20.117761104551398</v>
      </c>
      <c r="AI6611">
        <v>93.153673535753498</v>
      </c>
      <c r="AJ6611">
        <v>93.658906338243298</v>
      </c>
      <c r="AK6611">
        <v>20.189427421450599</v>
      </c>
      <c r="AL6611">
        <v>78.523487890360798</v>
      </c>
      <c r="AM6611">
        <v>93.300091342795</v>
      </c>
      <c r="AN6611">
        <v>0.99999996812354297</v>
      </c>
    </row>
    <row r="6612" spans="1:40" x14ac:dyDescent="0.25">
      <c r="A6612" t="str">
        <f>"20190312172537465"</f>
        <v>20190312172537465</v>
      </c>
      <c r="B6612" t="str">
        <f>"1552382737457036"</f>
        <v>1552382737457036</v>
      </c>
      <c r="C6612" t="s">
        <v>40</v>
      </c>
      <c r="D6612">
        <v>3.7795049999999999</v>
      </c>
      <c r="E6612">
        <v>0.49946000000000002</v>
      </c>
      <c r="F6612" t="s">
        <v>50</v>
      </c>
      <c r="G6612">
        <v>-208.38499999999999</v>
      </c>
      <c r="H6612" s="1">
        <v>-1.224298E-6</v>
      </c>
      <c r="I6612">
        <v>-62.008150000000001</v>
      </c>
      <c r="J6612">
        <v>-228.5078</v>
      </c>
      <c r="K6612">
        <v>1.1107020000000001</v>
      </c>
      <c r="L6612">
        <v>-63.124940000000002</v>
      </c>
      <c r="M6612">
        <v>0.99985809999999997</v>
      </c>
      <c r="N6612">
        <v>0</v>
      </c>
      <c r="O6612">
        <v>-8.4521530000000004E-3</v>
      </c>
      <c r="P6612">
        <v>0.9815893</v>
      </c>
      <c r="Q6612">
        <v>0.18487419999999999</v>
      </c>
      <c r="R6612">
        <v>4.8002610000000001E-2</v>
      </c>
      <c r="S6612">
        <v>3.0796049999999999</v>
      </c>
      <c r="T6612">
        <v>-0.16861799999999999</v>
      </c>
      <c r="U6612">
        <v>0.16934199999999999</v>
      </c>
      <c r="V6612">
        <v>-5.633092E-2</v>
      </c>
      <c r="W6612">
        <v>0.19914660000000001</v>
      </c>
      <c r="X6612">
        <v>0.97834940000000004</v>
      </c>
      <c r="Y6612">
        <v>-6.3236559999999997E-2</v>
      </c>
      <c r="Z6612">
        <v>2.1907599999999999E-3</v>
      </c>
      <c r="AA6612">
        <v>0.9979962</v>
      </c>
      <c r="AB6612">
        <v>34</v>
      </c>
      <c r="AC6612">
        <v>20.122800000000002</v>
      </c>
      <c r="AD6612">
        <v>-1.1107032242979999</v>
      </c>
      <c r="AE6612">
        <v>1.1167899999999999</v>
      </c>
      <c r="AF6612">
        <v>-1.28295246948208</v>
      </c>
      <c r="AG6612">
        <v>-1.1107032242979999</v>
      </c>
      <c r="AH6612">
        <v>20.051738202624701</v>
      </c>
      <c r="AI6612">
        <v>93.164023755665994</v>
      </c>
      <c r="AJ6612">
        <v>93.660914592248702</v>
      </c>
      <c r="AK6612">
        <v>20.123415059030499</v>
      </c>
      <c r="AL6612">
        <v>78.512941551739502</v>
      </c>
      <c r="AM6612">
        <v>93.295309889739201</v>
      </c>
      <c r="AN6612">
        <v>1.0000000446599799</v>
      </c>
    </row>
    <row r="6613" spans="1:40" x14ac:dyDescent="0.25">
      <c r="A6613" t="str">
        <f>"20190312172537476"</f>
        <v>20190312172537476</v>
      </c>
      <c r="B6613" t="str">
        <f>"1552382737466795"</f>
        <v>1552382737466795</v>
      </c>
      <c r="C6613" t="s">
        <v>40</v>
      </c>
      <c r="D6613">
        <v>3.765774</v>
      </c>
      <c r="E6613">
        <v>0.49950749999999999</v>
      </c>
      <c r="F6613" t="s">
        <v>50</v>
      </c>
      <c r="G6613">
        <v>-208.17509999999999</v>
      </c>
      <c r="H6613" s="1">
        <v>-1.3581960000000001E-6</v>
      </c>
      <c r="I6613">
        <v>-62.011760000000002</v>
      </c>
      <c r="J6613">
        <v>-228.3349</v>
      </c>
      <c r="K6613">
        <v>1.110708</v>
      </c>
      <c r="L6613">
        <v>-63.126339999999999</v>
      </c>
      <c r="M6613">
        <v>0.99985860000000004</v>
      </c>
      <c r="N6613">
        <v>0</v>
      </c>
      <c r="O6613">
        <v>-8.4077999999999896E-3</v>
      </c>
      <c r="P6613">
        <v>0.98149989999999998</v>
      </c>
      <c r="Q6613">
        <v>0.18531880000000001</v>
      </c>
      <c r="R6613">
        <v>4.8116470000000001E-2</v>
      </c>
      <c r="S6613">
        <v>3.0797119999999998</v>
      </c>
      <c r="T6613">
        <v>-0.16823399999999999</v>
      </c>
      <c r="U6613">
        <v>0.1686096</v>
      </c>
      <c r="V6613">
        <v>-5.6400859999999997E-2</v>
      </c>
      <c r="W6613">
        <v>0.1995886</v>
      </c>
      <c r="X6613">
        <v>0.97825530000000005</v>
      </c>
      <c r="Y6613">
        <v>-6.2954720000000006E-2</v>
      </c>
      <c r="Z6613">
        <v>2.175611E-3</v>
      </c>
      <c r="AA6613">
        <v>0.99801399999999996</v>
      </c>
      <c r="AB6613">
        <v>34</v>
      </c>
      <c r="AC6613">
        <v>20.159800000000001</v>
      </c>
      <c r="AD6613">
        <v>-1.1107093581959999</v>
      </c>
      <c r="AE6613">
        <v>1.1145799999999999</v>
      </c>
      <c r="AF6613">
        <v>-1.28018399900068</v>
      </c>
      <c r="AG6613">
        <v>-1.1107093581959999</v>
      </c>
      <c r="AH6613">
        <v>20.088921278848101</v>
      </c>
      <c r="AI6613">
        <v>93.158248018451403</v>
      </c>
      <c r="AJ6613">
        <v>93.646292919242796</v>
      </c>
      <c r="AK6613">
        <v>20.160290288024999</v>
      </c>
      <c r="AL6613">
        <v>78.487098055046701</v>
      </c>
      <c r="AM6613">
        <v>93.299708958373699</v>
      </c>
      <c r="AN6613">
        <v>1.00000004911839</v>
      </c>
    </row>
    <row r="6614" spans="1:40" x14ac:dyDescent="0.25">
      <c r="A6614" t="str">
        <f>"20190312172537487"</f>
        <v>20190312172537487</v>
      </c>
      <c r="B6614" t="str">
        <f>"1552382737476555"</f>
        <v>1552382737476555</v>
      </c>
      <c r="C6614" t="s">
        <v>40</v>
      </c>
      <c r="D6614">
        <v>3.7679529999999999</v>
      </c>
      <c r="E6614">
        <v>0.49955939999999999</v>
      </c>
      <c r="F6614" t="s">
        <v>50</v>
      </c>
      <c r="G6614">
        <v>-207.84829999999999</v>
      </c>
      <c r="H6614" s="1">
        <v>-1.5649409999999999E-6</v>
      </c>
      <c r="I6614">
        <v>-62.004759999999997</v>
      </c>
      <c r="J6614">
        <v>-228.1737</v>
      </c>
      <c r="K6614">
        <v>1.1107089999999999</v>
      </c>
      <c r="L6614">
        <v>-63.127690000000001</v>
      </c>
      <c r="M6614">
        <v>0.99985889999999999</v>
      </c>
      <c r="N6614">
        <v>0</v>
      </c>
      <c r="O6614">
        <v>-8.3663100000000001E-3</v>
      </c>
      <c r="P6614">
        <v>0.98138709999999996</v>
      </c>
      <c r="Q6614">
        <v>0.1859307</v>
      </c>
      <c r="R6614">
        <v>4.8055250000000001E-2</v>
      </c>
      <c r="S6614">
        <v>3.0798030000000001</v>
      </c>
      <c r="T6614">
        <v>-0.1669757</v>
      </c>
      <c r="U6614">
        <v>0.1686096</v>
      </c>
      <c r="V6614">
        <v>-5.6298099999999997E-2</v>
      </c>
      <c r="W6614">
        <v>0.20019790000000001</v>
      </c>
      <c r="X6614">
        <v>0.97813669999999997</v>
      </c>
      <c r="Y6614">
        <v>-6.2913399999999994E-2</v>
      </c>
      <c r="Z6614">
        <v>2.155934E-3</v>
      </c>
      <c r="AA6614">
        <v>0.99801669999999998</v>
      </c>
      <c r="AB6614">
        <v>34</v>
      </c>
      <c r="AC6614">
        <v>20.325399999999998</v>
      </c>
      <c r="AD6614">
        <v>-1.1107105649409901</v>
      </c>
      <c r="AE6614">
        <v>1.12293</v>
      </c>
      <c r="AF6614">
        <v>-1.28911943634863</v>
      </c>
      <c r="AG6614">
        <v>-1.1107105649409901</v>
      </c>
      <c r="AH6614">
        <v>20.254990670078101</v>
      </c>
      <c r="AI6614">
        <v>93.132425045118396</v>
      </c>
      <c r="AJ6614">
        <v>93.641651479968701</v>
      </c>
      <c r="AK6614">
        <v>20.326341380710701</v>
      </c>
      <c r="AL6614">
        <v>78.451468541877404</v>
      </c>
      <c r="AM6614">
        <v>93.294108761366402</v>
      </c>
      <c r="AN6614">
        <v>1.00000003955745</v>
      </c>
    </row>
    <row r="6615" spans="1:40" x14ac:dyDescent="0.25">
      <c r="A6615" t="str">
        <f>"20190312172537498"</f>
        <v>20190312172537498</v>
      </c>
      <c r="B6615" t="str">
        <f>"1552382737487292"</f>
        <v>1552382737487292</v>
      </c>
      <c r="C6615" t="s">
        <v>40</v>
      </c>
      <c r="D6615">
        <v>3.7767390000000001</v>
      </c>
      <c r="E6615">
        <v>0.49960860000000001</v>
      </c>
      <c r="F6615" t="s">
        <v>50</v>
      </c>
      <c r="G6615">
        <v>-207.46709999999999</v>
      </c>
      <c r="H6615" s="1">
        <v>-1.8062890000000001E-6</v>
      </c>
      <c r="I6615">
        <v>-61.997610000000002</v>
      </c>
      <c r="J6615">
        <v>-228.0051</v>
      </c>
      <c r="K6615">
        <v>1.1107119999999999</v>
      </c>
      <c r="L6615">
        <v>-63.12903</v>
      </c>
      <c r="M6615">
        <v>0.99985919999999895</v>
      </c>
      <c r="N6615">
        <v>0</v>
      </c>
      <c r="O6615">
        <v>-8.3227930000000002E-3</v>
      </c>
      <c r="P6615">
        <v>0.98129040000000001</v>
      </c>
      <c r="Q6615">
        <v>0.18635699999999999</v>
      </c>
      <c r="R6615">
        <v>4.837636E-2</v>
      </c>
      <c r="S6615">
        <v>3.079971</v>
      </c>
      <c r="T6615">
        <v>-0.165211</v>
      </c>
      <c r="U6615">
        <v>0.16809079999999901</v>
      </c>
      <c r="V6615">
        <v>-5.6575729999999998E-2</v>
      </c>
      <c r="W6615">
        <v>0.2006211</v>
      </c>
      <c r="X6615">
        <v>0.97803390000000001</v>
      </c>
      <c r="Y6615">
        <v>-6.2701960000000001E-2</v>
      </c>
      <c r="Z6615">
        <v>2.1250800000000001E-3</v>
      </c>
      <c r="AA6615">
        <v>0.99802999999999997</v>
      </c>
      <c r="AB6615">
        <v>34</v>
      </c>
      <c r="AC6615">
        <v>20.538</v>
      </c>
      <c r="AD6615">
        <v>-1.1107138062890001</v>
      </c>
      <c r="AE6615">
        <v>1.1314200000000101</v>
      </c>
      <c r="AF6615">
        <v>-1.2985460506925</v>
      </c>
      <c r="AG6615">
        <v>-1.1107138062890001</v>
      </c>
      <c r="AH6615">
        <v>20.4681878323339</v>
      </c>
      <c r="AI6615">
        <v>93.099910246427797</v>
      </c>
      <c r="AJ6615">
        <v>93.630102960379702</v>
      </c>
      <c r="AK6615">
        <v>20.539391912735599</v>
      </c>
      <c r="AL6615">
        <v>78.4267180864599</v>
      </c>
      <c r="AM6615">
        <v>93.310664551701393</v>
      </c>
      <c r="AN6615">
        <v>0.99999997426972598</v>
      </c>
    </row>
    <row r="6616" spans="1:40" x14ac:dyDescent="0.25">
      <c r="A6616" t="str">
        <f>"20190312172537510"</f>
        <v>20190312172537510</v>
      </c>
      <c r="B6616" t="str">
        <f>"1552382737506811"</f>
        <v>1552382737506811</v>
      </c>
      <c r="C6616" t="s">
        <v>40</v>
      </c>
      <c r="D6616">
        <v>3.750194</v>
      </c>
      <c r="E6616">
        <v>0.49970310000000001</v>
      </c>
      <c r="F6616" t="s">
        <v>50</v>
      </c>
      <c r="G6616">
        <v>-207.1497</v>
      </c>
      <c r="H6616" s="1">
        <v>-2.006487E-6</v>
      </c>
      <c r="I6616">
        <v>-61.986519999999999</v>
      </c>
      <c r="J6616">
        <v>-227.8381</v>
      </c>
      <c r="K6616">
        <v>1.110716</v>
      </c>
      <c r="L6616">
        <v>-63.1303699999999</v>
      </c>
      <c r="M6616">
        <v>0.99985959999999996</v>
      </c>
      <c r="N6616">
        <v>0</v>
      </c>
      <c r="O6616">
        <v>-8.2798719999999902E-3</v>
      </c>
      <c r="P6616">
        <v>0.98119420000000002</v>
      </c>
      <c r="Q6616">
        <v>0.18683939999999999</v>
      </c>
      <c r="R6616">
        <v>4.8470590000000001E-2</v>
      </c>
      <c r="S6616">
        <v>3.0800320000000001</v>
      </c>
      <c r="T6616">
        <v>-0.1640356</v>
      </c>
      <c r="U6616">
        <v>0.16873170000000001</v>
      </c>
      <c r="V6616">
        <v>-5.6626950000000002E-2</v>
      </c>
      <c r="W6616">
        <v>0.20110040000000001</v>
      </c>
      <c r="X6616">
        <v>0.97793249999999998</v>
      </c>
      <c r="Y6616">
        <v>-6.2866359999999996E-2</v>
      </c>
      <c r="Z6616">
        <v>2.1120179999999998E-3</v>
      </c>
      <c r="AA6616">
        <v>0.99801969999999995</v>
      </c>
      <c r="AB6616">
        <v>34</v>
      </c>
      <c r="AC6616">
        <v>20.688400000000001</v>
      </c>
      <c r="AD6616">
        <v>-1.1107180064869999</v>
      </c>
      <c r="AE6616">
        <v>1.14384999999999</v>
      </c>
      <c r="AF6616">
        <v>-1.31135793060786</v>
      </c>
      <c r="AG6616">
        <v>-1.1107180064869999</v>
      </c>
      <c r="AH6616">
        <v>20.6189678126036</v>
      </c>
      <c r="AI6616">
        <v>93.077266337080005</v>
      </c>
      <c r="AJ6616">
        <v>93.639086863999594</v>
      </c>
      <c r="AK6616">
        <v>20.690461274927799</v>
      </c>
      <c r="AL6616">
        <v>78.398684945553995</v>
      </c>
      <c r="AM6616">
        <v>93.313997957837699</v>
      </c>
      <c r="AN6616">
        <v>0.99999997845135502</v>
      </c>
    </row>
    <row r="6617" spans="1:40" x14ac:dyDescent="0.25">
      <c r="A6617" t="str">
        <f>"20190312172537522"</f>
        <v>20190312172537522</v>
      </c>
      <c r="B6617" t="str">
        <f>"1552382737516572"</f>
        <v>1552382737516572</v>
      </c>
      <c r="C6617" t="s">
        <v>40</v>
      </c>
      <c r="D6617">
        <v>3.7597049999999999</v>
      </c>
      <c r="E6617">
        <v>0.49974730000000001</v>
      </c>
      <c r="F6617" t="s">
        <v>50</v>
      </c>
      <c r="G6617">
        <v>-206.8329</v>
      </c>
      <c r="H6617" s="1">
        <v>-2.2074100000000001E-6</v>
      </c>
      <c r="I6617">
        <v>-61.983260000000001</v>
      </c>
      <c r="J6617">
        <v>-227.65270000000001</v>
      </c>
      <c r="K6617">
        <v>1.110717</v>
      </c>
      <c r="L6617">
        <v>-63.1318699999999</v>
      </c>
      <c r="M6617">
        <v>0.99985999999999997</v>
      </c>
      <c r="N6617">
        <v>0</v>
      </c>
      <c r="O6617">
        <v>-8.2319430000000002E-3</v>
      </c>
      <c r="P6617">
        <v>0.98106610000000005</v>
      </c>
      <c r="Q6617">
        <v>0.18737280000000001</v>
      </c>
      <c r="R6617">
        <v>4.8996249999999998E-2</v>
      </c>
      <c r="S6617">
        <v>3.0802</v>
      </c>
      <c r="T6617">
        <v>-0.1628754</v>
      </c>
      <c r="U6617">
        <v>0.1682129</v>
      </c>
      <c r="V6617">
        <v>-5.7104630000000003E-2</v>
      </c>
      <c r="W6617">
        <v>0.20163049999999999</v>
      </c>
      <c r="X6617">
        <v>0.97779559999999999</v>
      </c>
      <c r="Y6617">
        <v>-6.2649739999999995E-2</v>
      </c>
      <c r="Z6617">
        <v>2.0887470000000002E-3</v>
      </c>
      <c r="AA6617">
        <v>0.99803339999999996</v>
      </c>
      <c r="AB6617">
        <v>34</v>
      </c>
      <c r="AC6617">
        <v>20.819800000000001</v>
      </c>
      <c r="AD6617">
        <v>-1.1107192074100001</v>
      </c>
      <c r="AE6617">
        <v>1.1486099999999899</v>
      </c>
      <c r="AF6617">
        <v>-1.3162418345031801</v>
      </c>
      <c r="AG6617">
        <v>-1.1107192074100001</v>
      </c>
      <c r="AH6617">
        <v>20.750757873860898</v>
      </c>
      <c r="AI6617">
        <v>93.057795373449494</v>
      </c>
      <c r="AJ6617">
        <v>93.6294675005648</v>
      </c>
      <c r="AK6617">
        <v>20.822107051501899</v>
      </c>
      <c r="AL6617">
        <v>78.367677743647704</v>
      </c>
      <c r="AM6617">
        <v>93.342357121403495</v>
      </c>
      <c r="AN6617">
        <v>1.0000000163385201</v>
      </c>
    </row>
    <row r="6618" spans="1:40" x14ac:dyDescent="0.25">
      <c r="A6618" t="str">
        <f>"20190312172537532"</f>
        <v>20190312172537532</v>
      </c>
      <c r="B6618" t="str">
        <f>"1552382737527307"</f>
        <v>1552382737527307</v>
      </c>
      <c r="C6618" t="s">
        <v>40</v>
      </c>
      <c r="D6618">
        <v>3.7562060000000002</v>
      </c>
      <c r="E6618">
        <v>0.49979309999999899</v>
      </c>
      <c r="F6618" t="s">
        <v>50</v>
      </c>
      <c r="G6618">
        <v>-206.4485</v>
      </c>
      <c r="H6618" s="1">
        <v>-2.4493570000000001E-6</v>
      </c>
      <c r="I6618">
        <v>-61.966349999999998</v>
      </c>
      <c r="J6618">
        <v>-227.48439999999999</v>
      </c>
      <c r="K6618">
        <v>1.1107209999999901</v>
      </c>
      <c r="L6618">
        <v>-63.133209999999998</v>
      </c>
      <c r="M6618">
        <v>0.99986030000000004</v>
      </c>
      <c r="N6618">
        <v>0</v>
      </c>
      <c r="O6618">
        <v>-8.1885440000000007E-3</v>
      </c>
      <c r="P6618">
        <v>0.98095509999999997</v>
      </c>
      <c r="Q6618">
        <v>0.1878697</v>
      </c>
      <c r="R6618">
        <v>4.9317399999999997E-2</v>
      </c>
      <c r="S6618">
        <v>3.080276</v>
      </c>
      <c r="T6618">
        <v>-0.16135139999999901</v>
      </c>
      <c r="U6618">
        <v>0.1693115</v>
      </c>
      <c r="V6618">
        <v>-5.7382139999999998E-2</v>
      </c>
      <c r="W6618">
        <v>0.2021241</v>
      </c>
      <c r="X6618">
        <v>0.97767740000000003</v>
      </c>
      <c r="Y6618">
        <v>-6.2961450000000002E-2</v>
      </c>
      <c r="Z6618">
        <v>2.0750399999999998E-3</v>
      </c>
      <c r="AA6618">
        <v>0.99801379999999995</v>
      </c>
      <c r="AB6618">
        <v>34</v>
      </c>
      <c r="AC6618">
        <v>21.035900000000002</v>
      </c>
      <c r="AD6618">
        <v>-1.11072344935699</v>
      </c>
      <c r="AE6618">
        <v>1.16685999999999</v>
      </c>
      <c r="AF6618">
        <v>-1.3353809580901901</v>
      </c>
      <c r="AG6618">
        <v>-1.11072344935699</v>
      </c>
      <c r="AH6618">
        <v>20.967361412687001</v>
      </c>
      <c r="AI6618">
        <v>93.026228101850194</v>
      </c>
      <c r="AJ6618">
        <v>93.644163552647697</v>
      </c>
      <c r="AK6618">
        <v>21.039182339017302</v>
      </c>
      <c r="AL6618">
        <v>78.338801591416299</v>
      </c>
      <c r="AM6618">
        <v>93.358967918194693</v>
      </c>
      <c r="AN6618">
        <v>0.999999980131274</v>
      </c>
    </row>
    <row r="6619" spans="1:40" x14ac:dyDescent="0.25">
      <c r="A6619" t="str">
        <f>"20190312172537544"</f>
        <v>20190312172537544</v>
      </c>
      <c r="B6619" t="str">
        <f>"1552382737536663"</f>
        <v>1552382737536663</v>
      </c>
      <c r="C6619" t="s">
        <v>40</v>
      </c>
      <c r="D6619">
        <v>3.7661989999999999</v>
      </c>
      <c r="E6619">
        <v>0.49983909999999998</v>
      </c>
      <c r="F6619" t="s">
        <v>50</v>
      </c>
      <c r="G6619">
        <v>-206.09549999999999</v>
      </c>
      <c r="H6619" s="1">
        <v>-2.6720279999999999E-6</v>
      </c>
      <c r="I6619">
        <v>-61.953960000000002</v>
      </c>
      <c r="J6619">
        <v>-227.31530000000001</v>
      </c>
      <c r="K6619">
        <v>1.1107229999999999</v>
      </c>
      <c r="L6619">
        <v>-63.13458</v>
      </c>
      <c r="M6619">
        <v>0.99986070000000005</v>
      </c>
      <c r="N6619">
        <v>0</v>
      </c>
      <c r="O6619">
        <v>-8.1450250000000002E-3</v>
      </c>
      <c r="P6619">
        <v>0.98087740000000001</v>
      </c>
      <c r="Q6619">
        <v>0.18807550000000001</v>
      </c>
      <c r="R6619">
        <v>5.0074100000000003E-2</v>
      </c>
      <c r="S6619">
        <v>3.0803530000000001</v>
      </c>
      <c r="T6619">
        <v>-0.1599621</v>
      </c>
      <c r="U6619">
        <v>0.16983029999999999</v>
      </c>
      <c r="V6619">
        <v>-5.8095689999999998E-2</v>
      </c>
      <c r="W6619">
        <v>0.2023277</v>
      </c>
      <c r="X6619">
        <v>0.97759309999999999</v>
      </c>
      <c r="Y6619">
        <v>-6.3085810000000006E-2</v>
      </c>
      <c r="Z6619">
        <v>2.0581029999999999E-3</v>
      </c>
      <c r="AA6619">
        <v>0.99800599999999995</v>
      </c>
      <c r="AB6619">
        <v>34</v>
      </c>
      <c r="AC6619">
        <v>21.219799999999999</v>
      </c>
      <c r="AD6619">
        <v>-1.1107256720280001</v>
      </c>
      <c r="AE6619">
        <v>1.18062000000001</v>
      </c>
      <c r="AF6619">
        <v>-1.3497482431632299</v>
      </c>
      <c r="AG6619">
        <v>-1.1107256720280001</v>
      </c>
      <c r="AH6619">
        <v>21.151704539693799</v>
      </c>
      <c r="AI6619">
        <v>92.999884430195493</v>
      </c>
      <c r="AJ6619">
        <v>93.651250064149295</v>
      </c>
      <c r="AK6619">
        <v>21.2238106091467</v>
      </c>
      <c r="AL6619">
        <v>78.326889569776299</v>
      </c>
      <c r="AM6619">
        <v>93.400931997212297</v>
      </c>
      <c r="AN6619">
        <v>0.99999993827573597</v>
      </c>
    </row>
    <row r="6620" spans="1:40" x14ac:dyDescent="0.25">
      <c r="A6620" t="str">
        <f>"20190312172537555"</f>
        <v>20190312172537555</v>
      </c>
      <c r="B6620" t="str">
        <f>"1552382737546424"</f>
        <v>1552382737546424</v>
      </c>
      <c r="C6620" t="s">
        <v>40</v>
      </c>
      <c r="D6620">
        <v>3.7808250000000001</v>
      </c>
      <c r="E6620">
        <v>0.49988719999999998</v>
      </c>
      <c r="F6620" t="s">
        <v>50</v>
      </c>
      <c r="G6620">
        <v>-205.864</v>
      </c>
      <c r="H6620" s="1">
        <v>-2.8172170000000002E-6</v>
      </c>
      <c r="I6620">
        <v>-61.939979999999998</v>
      </c>
      <c r="J6620">
        <v>-227.148</v>
      </c>
      <c r="K6620">
        <v>1.110724</v>
      </c>
      <c r="L6620">
        <v>-63.135890000000003</v>
      </c>
      <c r="M6620">
        <v>0.99986120000000001</v>
      </c>
      <c r="N6620">
        <v>0</v>
      </c>
      <c r="O6620">
        <v>-8.1018640000000003E-3</v>
      </c>
      <c r="P6620">
        <v>0.98079159999999999</v>
      </c>
      <c r="Q6620">
        <v>0.1883726</v>
      </c>
      <c r="R6620">
        <v>5.0630700000000001E-2</v>
      </c>
      <c r="S6620">
        <v>3.0803219999999998</v>
      </c>
      <c r="T6620">
        <v>-0.15949569999999999</v>
      </c>
      <c r="U6620">
        <v>0.17153929999999901</v>
      </c>
      <c r="V6620">
        <v>-5.860949E-2</v>
      </c>
      <c r="W6620">
        <v>0.20262189999999999</v>
      </c>
      <c r="X6620">
        <v>0.97750159999999997</v>
      </c>
      <c r="Y6620">
        <v>-6.3595209999999999E-2</v>
      </c>
      <c r="Z6620">
        <v>2.0630380000000001E-3</v>
      </c>
      <c r="AA6620">
        <v>0.99797360000000002</v>
      </c>
      <c r="AB6620">
        <v>34</v>
      </c>
      <c r="AC6620">
        <v>21.283999999999899</v>
      </c>
      <c r="AD6620">
        <v>-1.110726817217</v>
      </c>
      <c r="AE6620">
        <v>1.19590999999999</v>
      </c>
      <c r="AF6620">
        <v>-1.3646243982620101</v>
      </c>
      <c r="AG6620">
        <v>-1.110726817217</v>
      </c>
      <c r="AH6620">
        <v>21.216013774882001</v>
      </c>
      <c r="AI6620">
        <v>92.990714182725796</v>
      </c>
      <c r="AJ6620">
        <v>93.680223009162205</v>
      </c>
      <c r="AK6620">
        <v>21.2888504693607</v>
      </c>
      <c r="AL6620">
        <v>78.309677860458805</v>
      </c>
      <c r="AM6620">
        <v>93.431258793305105</v>
      </c>
      <c r="AN6620">
        <v>1.0000000423401101</v>
      </c>
    </row>
    <row r="6621" spans="1:40" x14ac:dyDescent="0.25">
      <c r="A6621" t="str">
        <f>"20190312172537565"</f>
        <v>20190312172537565</v>
      </c>
      <c r="B6621" t="str">
        <f>"1552382737557160"</f>
        <v>1552382737557160</v>
      </c>
      <c r="C6621" t="s">
        <v>40</v>
      </c>
      <c r="D6621">
        <v>3.7799580000000002</v>
      </c>
      <c r="E6621">
        <v>0.49993599999999999</v>
      </c>
      <c r="F6621" t="s">
        <v>50</v>
      </c>
      <c r="G6621">
        <v>-205.58869999999999</v>
      </c>
      <c r="H6621" s="1">
        <v>-2.990468E-6</v>
      </c>
      <c r="I6621">
        <v>-61.927590000000002</v>
      </c>
      <c r="J6621">
        <v>-226.9872</v>
      </c>
      <c r="K6621">
        <v>1.110727</v>
      </c>
      <c r="L6621">
        <v>-63.137149999999998</v>
      </c>
      <c r="M6621">
        <v>0.99986160000000002</v>
      </c>
      <c r="N6621">
        <v>0</v>
      </c>
      <c r="O6621">
        <v>-8.0606089999999998E-3</v>
      </c>
      <c r="P6621">
        <v>0.98072210000000004</v>
      </c>
      <c r="Q6621">
        <v>0.1885532</v>
      </c>
      <c r="R6621">
        <v>5.1305009999999998E-2</v>
      </c>
      <c r="S6621">
        <v>3.0803219999999998</v>
      </c>
      <c r="T6621">
        <v>-0.15869710000000001</v>
      </c>
      <c r="U6621">
        <v>0.17263789999999901</v>
      </c>
      <c r="V6621">
        <v>-5.9242549999999998E-2</v>
      </c>
      <c r="W6621">
        <v>0.20279929999999999</v>
      </c>
      <c r="X6621">
        <v>0.97742660000000003</v>
      </c>
      <c r="Y6621">
        <v>-6.3909460000000001E-2</v>
      </c>
      <c r="Z6621">
        <v>2.0586620000000002E-3</v>
      </c>
      <c r="AA6621">
        <v>0.9979536</v>
      </c>
      <c r="AB6621">
        <v>34</v>
      </c>
      <c r="AC6621">
        <v>21.398499999999999</v>
      </c>
      <c r="AD6621">
        <v>-1.1107299904679999</v>
      </c>
      <c r="AE6621">
        <v>1.20955999999999</v>
      </c>
      <c r="AF6621">
        <v>-1.3783220849189499</v>
      </c>
      <c r="AG6621">
        <v>-1.1107299904679999</v>
      </c>
      <c r="AH6621">
        <v>21.3307648376062</v>
      </c>
      <c r="AI6621">
        <v>92.974606327967805</v>
      </c>
      <c r="AJ6621">
        <v>93.697120217164894</v>
      </c>
      <c r="AK6621">
        <v>21.404088895320001</v>
      </c>
      <c r="AL6621">
        <v>78.2992975551863</v>
      </c>
      <c r="AM6621">
        <v>93.468496415113194</v>
      </c>
      <c r="AN6621">
        <v>0.99999999709927601</v>
      </c>
    </row>
    <row r="6622" spans="1:40" x14ac:dyDescent="0.25">
      <c r="A6622" t="str">
        <f>"20190312172537576"</f>
        <v>20190312172537576</v>
      </c>
      <c r="B6622" t="str">
        <f>"1552382737566920"</f>
        <v>1552382737566920</v>
      </c>
      <c r="C6622" t="s">
        <v>40</v>
      </c>
      <c r="D6622">
        <v>3.7976930000000002</v>
      </c>
      <c r="E6622">
        <v>0.49998480000000001</v>
      </c>
      <c r="F6622" t="s">
        <v>50</v>
      </c>
      <c r="G6622">
        <v>-205.37299999999999</v>
      </c>
      <c r="H6622" s="1">
        <v>-3.1256760000000002E-6</v>
      </c>
      <c r="I6622">
        <v>-61.913980000000002</v>
      </c>
      <c r="J6622">
        <v>-226.8252</v>
      </c>
      <c r="K6622">
        <v>1.1107260000000001</v>
      </c>
      <c r="L6622">
        <v>-63.13843</v>
      </c>
      <c r="M6622">
        <v>0.99986180000000002</v>
      </c>
      <c r="N6622">
        <v>0</v>
      </c>
      <c r="O6622">
        <v>-8.0187590000000003E-3</v>
      </c>
      <c r="P6622">
        <v>0.9805893</v>
      </c>
      <c r="Q6622">
        <v>0.18908179999999999</v>
      </c>
      <c r="R6622">
        <v>5.1891239999999998E-2</v>
      </c>
      <c r="S6622">
        <v>3.080292</v>
      </c>
      <c r="T6622">
        <v>-0.1582932</v>
      </c>
      <c r="U6622">
        <v>0.17431640000000001</v>
      </c>
      <c r="V6622">
        <v>-5.9786789999999999E-2</v>
      </c>
      <c r="W6622">
        <v>0.20332459999999999</v>
      </c>
      <c r="X6622">
        <v>0.97728429999999999</v>
      </c>
      <c r="Y6622">
        <v>-6.4410179999999997E-2</v>
      </c>
      <c r="Z6622">
        <v>2.0641180000000002E-3</v>
      </c>
      <c r="AA6622">
        <v>0.99792130000000001</v>
      </c>
      <c r="AB6622">
        <v>34</v>
      </c>
      <c r="AC6622">
        <v>21.452200000000001</v>
      </c>
      <c r="AD6622">
        <v>-1.1107291256759999</v>
      </c>
      <c r="AE6622">
        <v>1.22445</v>
      </c>
      <c r="AF6622">
        <v>-1.39272732076239</v>
      </c>
      <c r="AG6622">
        <v>-1.1107291256759999</v>
      </c>
      <c r="AH6622">
        <v>21.3845479209232</v>
      </c>
      <c r="AI6622">
        <v>92.967038348078802</v>
      </c>
      <c r="AJ6622">
        <v>93.726282199941807</v>
      </c>
      <c r="AK6622">
        <v>21.4586182771138</v>
      </c>
      <c r="AL6622">
        <v>78.268559459863297</v>
      </c>
      <c r="AM6622">
        <v>93.500789781910399</v>
      </c>
      <c r="AN6622">
        <v>0.99999997812507602</v>
      </c>
    </row>
    <row r="6623" spans="1:40" x14ac:dyDescent="0.25">
      <c r="A6623" t="str">
        <f>"20190312172537588"</f>
        <v>20190312172537588</v>
      </c>
      <c r="B6623" t="str">
        <f>"1552382737576680"</f>
        <v>1552382737576680</v>
      </c>
      <c r="C6623" t="s">
        <v>40</v>
      </c>
      <c r="D6623">
        <v>3.764662</v>
      </c>
      <c r="E6623">
        <v>0.50002829999999998</v>
      </c>
      <c r="F6623" t="s">
        <v>50</v>
      </c>
      <c r="G6623">
        <v>-205.00470000000001</v>
      </c>
      <c r="H6623" s="1">
        <v>-3.3568199999999902E-6</v>
      </c>
      <c r="I6623">
        <v>-61.89235</v>
      </c>
      <c r="J6623">
        <v>-226.65780000000001</v>
      </c>
      <c r="K6623">
        <v>1.110727</v>
      </c>
      <c r="L6623">
        <v>-63.139710000000001</v>
      </c>
      <c r="M6623">
        <v>0.99986220000000003</v>
      </c>
      <c r="N6623">
        <v>0</v>
      </c>
      <c r="O6623">
        <v>-7.9751159999999904E-3</v>
      </c>
      <c r="P6623">
        <v>0.98051580000000005</v>
      </c>
      <c r="Q6623">
        <v>0.1893601</v>
      </c>
      <c r="R6623">
        <v>5.226107E-2</v>
      </c>
      <c r="S6623">
        <v>3.0803219999999998</v>
      </c>
      <c r="T6623">
        <v>-0.1567972</v>
      </c>
      <c r="U6623">
        <v>0.17590329999999901</v>
      </c>
      <c r="V6623">
        <v>-6.0113199999999901E-2</v>
      </c>
      <c r="W6623">
        <v>0.20360010000000001</v>
      </c>
      <c r="X6623">
        <v>0.97720689999999999</v>
      </c>
      <c r="Y6623">
        <v>-6.487975E-2</v>
      </c>
      <c r="Z6623">
        <v>2.0542999999999998E-3</v>
      </c>
      <c r="AA6623">
        <v>0.99789090000000003</v>
      </c>
      <c r="AB6623">
        <v>34</v>
      </c>
      <c r="AC6623">
        <v>21.653099999999899</v>
      </c>
      <c r="AD6623">
        <v>-1.11073035682</v>
      </c>
      <c r="AE6623">
        <v>1.24736</v>
      </c>
      <c r="AF6623">
        <v>-1.41631014506438</v>
      </c>
      <c r="AG6623">
        <v>-1.11073035682</v>
      </c>
      <c r="AH6623">
        <v>21.585850487897801</v>
      </c>
      <c r="AI6623">
        <v>92.939328063781502</v>
      </c>
      <c r="AJ6623">
        <v>93.753961145583901</v>
      </c>
      <c r="AK6623">
        <v>21.660761704946001</v>
      </c>
      <c r="AL6623">
        <v>78.2524370415871</v>
      </c>
      <c r="AM6623">
        <v>93.520132747553703</v>
      </c>
      <c r="AN6623">
        <v>0.99999996147092896</v>
      </c>
    </row>
    <row r="6624" spans="1:40" x14ac:dyDescent="0.25">
      <c r="A6624" t="str">
        <f>"20190312172537599"</f>
        <v>20190312172537599</v>
      </c>
      <c r="B6624" t="str">
        <f>"1552382737586439"</f>
        <v>1552382737586439</v>
      </c>
      <c r="C6624" t="s">
        <v>40</v>
      </c>
      <c r="D6624">
        <v>3.761978</v>
      </c>
      <c r="E6624">
        <v>0.50007409999999997</v>
      </c>
      <c r="F6624" t="s">
        <v>50</v>
      </c>
      <c r="G6624">
        <v>-204.732</v>
      </c>
      <c r="H6624" s="1">
        <v>-3.4631759999999999E-6</v>
      </c>
      <c r="I6624">
        <v>-61.879370000000002</v>
      </c>
      <c r="J6624">
        <v>-226.48769999999999</v>
      </c>
      <c r="K6624">
        <v>1.110724</v>
      </c>
      <c r="L6624">
        <v>-63.14105</v>
      </c>
      <c r="M6624">
        <v>0.99986269999999999</v>
      </c>
      <c r="N6624">
        <v>0</v>
      </c>
      <c r="O6624">
        <v>-7.9303969999999901E-3</v>
      </c>
      <c r="P6624">
        <v>0.98044480000000001</v>
      </c>
      <c r="Q6624">
        <v>0.18952559999999999</v>
      </c>
      <c r="R6624">
        <v>5.2997639999999999E-2</v>
      </c>
      <c r="S6624">
        <v>3.0803069999999999</v>
      </c>
      <c r="T6624">
        <v>-0.15604409999999999</v>
      </c>
      <c r="U6624">
        <v>0.177063</v>
      </c>
      <c r="V6624">
        <v>-6.0805850000000002E-2</v>
      </c>
      <c r="W6624">
        <v>0.203763</v>
      </c>
      <c r="X6624">
        <v>0.9771301</v>
      </c>
      <c r="Y6624">
        <v>-6.5210400000000002E-2</v>
      </c>
      <c r="Z6624">
        <v>2.050535E-3</v>
      </c>
      <c r="AA6624">
        <v>0.99786940000000002</v>
      </c>
      <c r="AB6624">
        <v>34</v>
      </c>
      <c r="AC6624">
        <v>21.755699999999901</v>
      </c>
      <c r="AD6624">
        <v>-1.110727463176</v>
      </c>
      <c r="AE6624">
        <v>1.2616799999999999</v>
      </c>
      <c r="AF6624">
        <v>-1.4304737914325401</v>
      </c>
      <c r="AG6624">
        <v>-1.110727463176</v>
      </c>
      <c r="AH6624">
        <v>21.688665574506</v>
      </c>
      <c r="AI6624">
        <v>92.925345417762799</v>
      </c>
      <c r="AJ6624">
        <v>93.773472203614702</v>
      </c>
      <c r="AK6624">
        <v>21.764149079809901</v>
      </c>
      <c r="AL6624">
        <v>78.242903838300904</v>
      </c>
      <c r="AM6624">
        <v>93.5608686021598</v>
      </c>
      <c r="AN6624">
        <v>0.99999997194461498</v>
      </c>
    </row>
    <row r="6625" spans="1:40" x14ac:dyDescent="0.25">
      <c r="A6625" t="str">
        <f>"20190312172537611"</f>
        <v>20190312172537611</v>
      </c>
      <c r="B6625" t="str">
        <f>"1552382737606935"</f>
        <v>1552382737606935</v>
      </c>
      <c r="C6625" t="s">
        <v>40</v>
      </c>
      <c r="D6625">
        <v>3.7519369999999999</v>
      </c>
      <c r="E6625">
        <v>0.50017730000000005</v>
      </c>
      <c r="F6625" t="s">
        <v>50</v>
      </c>
      <c r="G6625">
        <v>-204.51519999999999</v>
      </c>
      <c r="H6625" s="1">
        <v>-3.5363520000000001E-6</v>
      </c>
      <c r="I6625">
        <v>-61.864289999999997</v>
      </c>
      <c r="J6625">
        <v>-226.31360000000001</v>
      </c>
      <c r="K6625">
        <v>1.110725</v>
      </c>
      <c r="L6625">
        <v>-63.142359999999996</v>
      </c>
      <c r="M6625">
        <v>0.99986299999999995</v>
      </c>
      <c r="N6625">
        <v>0</v>
      </c>
      <c r="O6625">
        <v>-7.8829290000000003E-3</v>
      </c>
      <c r="P6625">
        <v>0.98035349999999999</v>
      </c>
      <c r="Q6625">
        <v>0.18979080000000001</v>
      </c>
      <c r="R6625">
        <v>5.3728339999999999E-2</v>
      </c>
      <c r="S6625">
        <v>3.0802610000000001</v>
      </c>
      <c r="T6625">
        <v>-0.1557095</v>
      </c>
      <c r="U6625">
        <v>0.17898559999999999</v>
      </c>
      <c r="V6625">
        <v>-6.1489660000000002E-2</v>
      </c>
      <c r="W6625">
        <v>0.20402439999999999</v>
      </c>
      <c r="X6625">
        <v>0.97703280000000003</v>
      </c>
      <c r="Y6625">
        <v>-6.5784369999999995E-2</v>
      </c>
      <c r="Z6625">
        <v>2.0582270000000001E-3</v>
      </c>
      <c r="AA6625">
        <v>0.99783180000000005</v>
      </c>
      <c r="AB6625">
        <v>34</v>
      </c>
      <c r="AC6625">
        <v>21.798400000000001</v>
      </c>
      <c r="AD6625">
        <v>-1.1107285363520001</v>
      </c>
      <c r="AE6625">
        <v>1.27806999999999</v>
      </c>
      <c r="AF6625">
        <v>-1.4461418676443101</v>
      </c>
      <c r="AG6625">
        <v>-1.1107285363520001</v>
      </c>
      <c r="AH6625">
        <v>21.731417053018301</v>
      </c>
      <c r="AI6625">
        <v>92.919489606725804</v>
      </c>
      <c r="AJ6625">
        <v>93.807199524413505</v>
      </c>
      <c r="AK6625">
        <v>21.807786025065401</v>
      </c>
      <c r="AL6625">
        <v>78.227605838507202</v>
      </c>
      <c r="AM6625">
        <v>93.601166269848306</v>
      </c>
      <c r="AN6625">
        <v>1.0000000131790501</v>
      </c>
    </row>
    <row r="6626" spans="1:40" x14ac:dyDescent="0.25">
      <c r="A6626" t="str">
        <f>"20190312172537622"</f>
        <v>20190312172537622</v>
      </c>
      <c r="B6626" t="str">
        <f>"1552382737616695"</f>
        <v>1552382737616695</v>
      </c>
      <c r="C6626" t="s">
        <v>40</v>
      </c>
      <c r="D6626">
        <v>3.799166</v>
      </c>
      <c r="E6626">
        <v>0.50022639999999996</v>
      </c>
      <c r="F6626" t="s">
        <v>50</v>
      </c>
      <c r="G6626">
        <v>-204.2808</v>
      </c>
      <c r="H6626" s="1">
        <v>-3.615633E-6</v>
      </c>
      <c r="I6626">
        <v>-61.849220000000003</v>
      </c>
      <c r="J6626">
        <v>-226.1456</v>
      </c>
      <c r="K6626">
        <v>1.1107260000000001</v>
      </c>
      <c r="L6626">
        <v>-63.143650000000001</v>
      </c>
      <c r="M6626">
        <v>0.99986350000000002</v>
      </c>
      <c r="N6626">
        <v>0</v>
      </c>
      <c r="O6626">
        <v>-7.8368910000000003E-3</v>
      </c>
      <c r="P6626">
        <v>0.98032240000000004</v>
      </c>
      <c r="Q6626">
        <v>0.18975939999999999</v>
      </c>
      <c r="R6626">
        <v>5.4402850000000003E-2</v>
      </c>
      <c r="S6626">
        <v>3.0802610000000001</v>
      </c>
      <c r="T6626">
        <v>-0.15528330000000001</v>
      </c>
      <c r="U6626">
        <v>0.18078610000000001</v>
      </c>
      <c r="V6626">
        <v>-6.2119510000000003E-2</v>
      </c>
      <c r="W6626">
        <v>0.20399129999999999</v>
      </c>
      <c r="X6626">
        <v>0.97699990000000003</v>
      </c>
      <c r="Y6626">
        <v>-6.6319580000000003E-2</v>
      </c>
      <c r="Z6626">
        <v>2.063718E-3</v>
      </c>
      <c r="AA6626">
        <v>0.99779629999999997</v>
      </c>
      <c r="AB6626">
        <v>34</v>
      </c>
      <c r="AC6626">
        <v>21.864799999999999</v>
      </c>
      <c r="AD6626">
        <v>-1.110729615633</v>
      </c>
      <c r="AE6626">
        <v>1.29443</v>
      </c>
      <c r="AF6626">
        <v>-1.46200071896297</v>
      </c>
      <c r="AG6626">
        <v>-1.110729615633</v>
      </c>
      <c r="AH6626">
        <v>21.7979271225589</v>
      </c>
      <c r="AI6626">
        <v>92.910498433236498</v>
      </c>
      <c r="AJ6626">
        <v>93.837117233122299</v>
      </c>
      <c r="AK6626">
        <v>21.875118130462301</v>
      </c>
      <c r="AL6626">
        <v>78.229543441753606</v>
      </c>
      <c r="AM6626">
        <v>93.638077299989803</v>
      </c>
      <c r="AN6626">
        <v>1.0000000442991599</v>
      </c>
    </row>
    <row r="6627" spans="1:40" x14ac:dyDescent="0.25">
      <c r="A6627" t="str">
        <f>"20190312172537633"</f>
        <v>20190312172537633</v>
      </c>
      <c r="B6627" t="str">
        <f>"1552382737626455"</f>
        <v>1552382737626455</v>
      </c>
      <c r="C6627" t="s">
        <v>40</v>
      </c>
      <c r="D6627">
        <v>3.7884000000000002</v>
      </c>
      <c r="E6627">
        <v>0.5002759</v>
      </c>
      <c r="F6627" t="s">
        <v>50</v>
      </c>
      <c r="G6627">
        <v>-204.15600000000001</v>
      </c>
      <c r="H6627" s="1">
        <v>-3.6696329999999998E-6</v>
      </c>
      <c r="I6627">
        <v>-61.840600000000002</v>
      </c>
      <c r="J6627">
        <v>-225.97309999999999</v>
      </c>
      <c r="K6627">
        <v>1.11073</v>
      </c>
      <c r="L6627">
        <v>-63.144930000000002</v>
      </c>
      <c r="M6627">
        <v>0.99986370000000002</v>
      </c>
      <c r="N6627">
        <v>0</v>
      </c>
      <c r="O6627">
        <v>-7.7872649999999998E-3</v>
      </c>
      <c r="P6627">
        <v>0.98031780000000002</v>
      </c>
      <c r="Q6627">
        <v>0.18959490000000001</v>
      </c>
      <c r="R6627">
        <v>5.5054850000000002E-2</v>
      </c>
      <c r="S6627">
        <v>3.0802149999999999</v>
      </c>
      <c r="T6627">
        <v>-0.15558710000000001</v>
      </c>
      <c r="U6627">
        <v>0.18252560000000001</v>
      </c>
      <c r="V6627">
        <v>-6.2723150000000005E-2</v>
      </c>
      <c r="W6627">
        <v>0.20382420000000001</v>
      </c>
      <c r="X6627">
        <v>0.97699619999999998</v>
      </c>
      <c r="Y6627">
        <v>-6.6831509999999997E-2</v>
      </c>
      <c r="Z6627">
        <v>2.0781530000000001E-3</v>
      </c>
      <c r="AA6627">
        <v>0.99776209999999999</v>
      </c>
      <c r="AB6627">
        <v>34</v>
      </c>
      <c r="AC6627">
        <v>21.8171</v>
      </c>
      <c r="AD6627">
        <v>-1.1107336696329999</v>
      </c>
      <c r="AE6627">
        <v>1.30433</v>
      </c>
      <c r="AF6627">
        <v>-1.47040634945847</v>
      </c>
      <c r="AG6627">
        <v>-1.1107336696329999</v>
      </c>
      <c r="AH6627">
        <v>21.750105794104499</v>
      </c>
      <c r="AI6627">
        <v>92.916793033436605</v>
      </c>
      <c r="AJ6627">
        <v>93.867571087818703</v>
      </c>
      <c r="AK6627">
        <v>21.828030744254502</v>
      </c>
      <c r="AL6627">
        <v>78.2393229404408</v>
      </c>
      <c r="AM6627">
        <v>93.673347487795397</v>
      </c>
      <c r="AN6627">
        <v>1.000000036433</v>
      </c>
    </row>
    <row r="6628" spans="1:40" x14ac:dyDescent="0.25">
      <c r="A6628" t="str">
        <f>"20190312172537644"</f>
        <v>20190312172537644</v>
      </c>
      <c r="B6628" t="str">
        <f>"1552382737636436"</f>
        <v>1552382737636436</v>
      </c>
      <c r="C6628" t="s">
        <v>40</v>
      </c>
      <c r="D6628">
        <v>3.7884380000000002</v>
      </c>
      <c r="E6628">
        <v>0.50032520000000003</v>
      </c>
      <c r="F6628" t="s">
        <v>50</v>
      </c>
      <c r="G6628">
        <v>-204.0829</v>
      </c>
      <c r="H6628" s="1">
        <v>-3.7066549999999998E-6</v>
      </c>
      <c r="I6628">
        <v>-61.836239999999997</v>
      </c>
      <c r="J6628">
        <v>-225.81479999999999</v>
      </c>
      <c r="K6628">
        <v>1.1107340000000001</v>
      </c>
      <c r="L6628">
        <v>-63.146149999999999</v>
      </c>
      <c r="M6628">
        <v>0.99986419999999998</v>
      </c>
      <c r="N6628">
        <v>0</v>
      </c>
      <c r="O6628">
        <v>-7.7408579999999998E-3</v>
      </c>
      <c r="P6628">
        <v>0.98027249999999999</v>
      </c>
      <c r="Q6628">
        <v>0.1896533</v>
      </c>
      <c r="R6628">
        <v>5.5656490000000003E-2</v>
      </c>
      <c r="S6628">
        <v>3.080139</v>
      </c>
      <c r="T6628">
        <v>-0.15628989999999901</v>
      </c>
      <c r="U6628">
        <v>0.1841431</v>
      </c>
      <c r="V6628">
        <v>-6.3279550000000004E-2</v>
      </c>
      <c r="W6628">
        <v>0.2038806</v>
      </c>
      <c r="X6628">
        <v>0.9769485</v>
      </c>
      <c r="Y6628">
        <v>-6.7307329999999999E-2</v>
      </c>
      <c r="Z6628">
        <v>2.0972500000000002E-3</v>
      </c>
      <c r="AA6628">
        <v>0.99773009999999995</v>
      </c>
      <c r="AB6628">
        <v>34</v>
      </c>
      <c r="AC6628">
        <v>21.7319</v>
      </c>
      <c r="AD6628">
        <v>-1.1107377066549999</v>
      </c>
      <c r="AE6628">
        <v>1.3099099999999899</v>
      </c>
      <c r="AF6628">
        <v>-1.4742747567653001</v>
      </c>
      <c r="AG6628">
        <v>-1.1107377066549999</v>
      </c>
      <c r="AH6628">
        <v>21.664717392853099</v>
      </c>
      <c r="AI6628">
        <v>92.928191985976397</v>
      </c>
      <c r="AJ6628">
        <v>93.892951616129295</v>
      </c>
      <c r="AK6628">
        <v>21.7432105270499</v>
      </c>
      <c r="AL6628">
        <v>78.236021546499103</v>
      </c>
      <c r="AM6628">
        <v>93.706022784871607</v>
      </c>
      <c r="AN6628">
        <v>0.99999998607840601</v>
      </c>
    </row>
    <row r="6629" spans="1:40" x14ac:dyDescent="0.25">
      <c r="A6629" t="str">
        <f>"20190312172537654"</f>
        <v>20190312172537654</v>
      </c>
      <c r="B6629" t="str">
        <f>"1552382737647173"</f>
        <v>1552382737647173</v>
      </c>
      <c r="C6629" t="s">
        <v>40</v>
      </c>
      <c r="D6629">
        <v>3.7916189999999999</v>
      </c>
      <c r="E6629">
        <v>0.50037959999999904</v>
      </c>
      <c r="F6629" t="s">
        <v>50</v>
      </c>
      <c r="G6629">
        <v>-203.93090000000001</v>
      </c>
      <c r="H6629" s="1">
        <v>-3.7835989999999998E-6</v>
      </c>
      <c r="I6629">
        <v>-61.827849999999998</v>
      </c>
      <c r="J6629">
        <v>-225.64599999999999</v>
      </c>
      <c r="K6629">
        <v>1.1107370000000001</v>
      </c>
      <c r="L6629">
        <v>-63.147399999999998</v>
      </c>
      <c r="M6629">
        <v>0.99986459999999999</v>
      </c>
      <c r="N6629">
        <v>0</v>
      </c>
      <c r="O6629">
        <v>-7.6890719999999999E-3</v>
      </c>
      <c r="P6629">
        <v>0.98023419999999895</v>
      </c>
      <c r="Q6629">
        <v>0.1897035</v>
      </c>
      <c r="R6629">
        <v>5.615672E-2</v>
      </c>
      <c r="S6629">
        <v>3.0801090000000002</v>
      </c>
      <c r="T6629">
        <v>-0.15633359999999999</v>
      </c>
      <c r="U6629">
        <v>0.18554689999999999</v>
      </c>
      <c r="V6629">
        <v>-6.3730309999999998E-2</v>
      </c>
      <c r="W6629">
        <v>0.20392830000000001</v>
      </c>
      <c r="X6629">
        <v>0.97690929999999998</v>
      </c>
      <c r="Y6629">
        <v>-6.7708840000000006E-2</v>
      </c>
      <c r="Z6629">
        <v>2.1053759999999999E-3</v>
      </c>
      <c r="AA6629">
        <v>0.99770289999999995</v>
      </c>
      <c r="AB6629">
        <v>34</v>
      </c>
      <c r="AC6629">
        <v>21.7150999999999</v>
      </c>
      <c r="AD6629">
        <v>-1.110740783599</v>
      </c>
      <c r="AE6629">
        <v>1.31954999999999</v>
      </c>
      <c r="AF6629">
        <v>-1.48263275667237</v>
      </c>
      <c r="AG6629">
        <v>-1.110740783599</v>
      </c>
      <c r="AH6629">
        <v>21.6478799181758</v>
      </c>
      <c r="AI6629">
        <v>92.930386366976705</v>
      </c>
      <c r="AJ6629">
        <v>93.917988735538501</v>
      </c>
      <c r="AK6629">
        <v>21.727002782971901</v>
      </c>
      <c r="AL6629">
        <v>78.233230556926799</v>
      </c>
      <c r="AM6629">
        <v>93.732496929381099</v>
      </c>
      <c r="AN6629">
        <v>1.0000000421900299</v>
      </c>
    </row>
    <row r="6630" spans="1:40" x14ac:dyDescent="0.25">
      <c r="A6630" t="str">
        <f>"20190312172537666"</f>
        <v>20190312172537666</v>
      </c>
      <c r="B6630" t="str">
        <f>"1552382737656932"</f>
        <v>1552382737656932</v>
      </c>
      <c r="C6630" t="s">
        <v>40</v>
      </c>
      <c r="D6630">
        <v>3.7948469999999999</v>
      </c>
      <c r="E6630">
        <v>0.50042819999999999</v>
      </c>
      <c r="F6630" t="s">
        <v>50</v>
      </c>
      <c r="G6630">
        <v>-203.76920000000001</v>
      </c>
      <c r="H6630" s="1">
        <v>-3.8656199999999996E-6</v>
      </c>
      <c r="I6630">
        <v>-61.821280000000002</v>
      </c>
      <c r="J6630">
        <v>-225.4753</v>
      </c>
      <c r="K6630">
        <v>1.1107400000000001</v>
      </c>
      <c r="L6630">
        <v>-63.148650000000004</v>
      </c>
      <c r="M6630">
        <v>0.99986520000000001</v>
      </c>
      <c r="N6630">
        <v>0</v>
      </c>
      <c r="O6630">
        <v>-7.6342930000000003E-3</v>
      </c>
      <c r="P6630">
        <v>0.98016219999999998</v>
      </c>
      <c r="Q6630">
        <v>0.18987409999999999</v>
      </c>
      <c r="R6630">
        <v>5.6833259999999997E-2</v>
      </c>
      <c r="S6630">
        <v>3.080063</v>
      </c>
      <c r="T6630">
        <v>-0.15638279999999999</v>
      </c>
      <c r="U6630">
        <v>0.1867065</v>
      </c>
      <c r="V6630">
        <v>-6.435362E-2</v>
      </c>
      <c r="W6630">
        <v>0.20409530000000001</v>
      </c>
      <c r="X6630">
        <v>0.97683350000000002</v>
      </c>
      <c r="Y6630">
        <v>-6.8028930000000001E-2</v>
      </c>
      <c r="Z6630">
        <v>2.1113809999999998E-3</v>
      </c>
      <c r="AA6630">
        <v>0.99768109999999999</v>
      </c>
      <c r="AB6630">
        <v>34</v>
      </c>
      <c r="AC6630">
        <v>21.7060999999999</v>
      </c>
      <c r="AD6630">
        <v>-1.1107438656199999</v>
      </c>
      <c r="AE6630">
        <v>1.3273699999999999</v>
      </c>
      <c r="AF6630">
        <v>-1.4891745671669701</v>
      </c>
      <c r="AG6630">
        <v>-1.1107438656199999</v>
      </c>
      <c r="AH6630">
        <v>21.6388808855104</v>
      </c>
      <c r="AI6630">
        <v>92.9315448808849</v>
      </c>
      <c r="AJ6630">
        <v>93.936853263067604</v>
      </c>
      <c r="AK6630">
        <v>21.718484265800299</v>
      </c>
      <c r="AL6630">
        <v>78.223455897113197</v>
      </c>
      <c r="AM6630">
        <v>93.7691892717326</v>
      </c>
      <c r="AN6630">
        <v>0.99999998330572204</v>
      </c>
    </row>
    <row r="6631" spans="1:40" x14ac:dyDescent="0.25">
      <c r="A6631" t="str">
        <f>"20190312172537677"</f>
        <v>20190312172537677</v>
      </c>
      <c r="B6631" t="str">
        <f>"1552382737666692"</f>
        <v>1552382737666692</v>
      </c>
      <c r="C6631" t="s">
        <v>40</v>
      </c>
      <c r="D6631">
        <v>3.8027950000000001</v>
      </c>
      <c r="E6631">
        <v>0.50045390000000001</v>
      </c>
      <c r="F6631" t="s">
        <v>50</v>
      </c>
      <c r="G6631">
        <v>-203.55289999999999</v>
      </c>
      <c r="H6631" s="1">
        <v>-3.9749940000000003E-6</v>
      </c>
      <c r="I6631">
        <v>-61.806699999999999</v>
      </c>
      <c r="J6631">
        <v>-225.31899999999999</v>
      </c>
      <c r="K6631">
        <v>1.110746</v>
      </c>
      <c r="L6631">
        <v>-63.149810000000002</v>
      </c>
      <c r="M6631">
        <v>0.99986569999999997</v>
      </c>
      <c r="N6631">
        <v>0</v>
      </c>
      <c r="O6631">
        <v>-7.5816540000000002E-3</v>
      </c>
      <c r="P6631">
        <v>0.98012920000000003</v>
      </c>
      <c r="Q6631">
        <v>0.18990000000000001</v>
      </c>
      <c r="R6631">
        <v>5.73134E-2</v>
      </c>
      <c r="S6631">
        <v>3.0800019999999999</v>
      </c>
      <c r="T6631">
        <v>-0.1560549</v>
      </c>
      <c r="U6631">
        <v>0.1885376</v>
      </c>
      <c r="V6631">
        <v>-6.4783679999999996E-2</v>
      </c>
      <c r="W6631">
        <v>0.2041182</v>
      </c>
      <c r="X6631">
        <v>0.97680029999999995</v>
      </c>
      <c r="Y6631">
        <v>-6.8568309999999993E-2</v>
      </c>
      <c r="Z6631">
        <v>2.1179419999999998E-3</v>
      </c>
      <c r="AA6631">
        <v>0.99764419999999998</v>
      </c>
      <c r="AB6631">
        <v>34</v>
      </c>
      <c r="AC6631">
        <v>21.766100000000002</v>
      </c>
      <c r="AD6631">
        <v>-1.110749974994</v>
      </c>
      <c r="AE6631">
        <v>1.34310999999999</v>
      </c>
      <c r="AF6631">
        <v>-1.5042094727867901</v>
      </c>
      <c r="AG6631">
        <v>-1.110749974994</v>
      </c>
      <c r="AH6631">
        <v>21.698996421744901</v>
      </c>
      <c r="AI6631">
        <v>92.923352649579599</v>
      </c>
      <c r="AJ6631">
        <v>93.965492040753304</v>
      </c>
      <c r="AK6631">
        <v>21.779413613682699</v>
      </c>
      <c r="AL6631">
        <v>78.222115753603802</v>
      </c>
      <c r="AM6631">
        <v>93.794433121549602</v>
      </c>
      <c r="AN6631">
        <v>0.99999999542283602</v>
      </c>
    </row>
    <row r="6632" spans="1:40" x14ac:dyDescent="0.25">
      <c r="A6632" t="str">
        <f>"20190312172537689"</f>
        <v>20190312172537689</v>
      </c>
      <c r="B6632" t="str">
        <f>"1552382737676452"</f>
        <v>1552382737676452</v>
      </c>
      <c r="C6632" t="s">
        <v>40</v>
      </c>
      <c r="D6632">
        <v>3.7647680000000001</v>
      </c>
      <c r="E6632">
        <v>0.50042299999999995</v>
      </c>
      <c r="F6632" t="s">
        <v>50</v>
      </c>
      <c r="G6632">
        <v>-203.4171</v>
      </c>
      <c r="H6632" s="1">
        <v>-4.0436499999999998E-6</v>
      </c>
      <c r="I6632">
        <v>-61.79804</v>
      </c>
      <c r="J6632">
        <v>-225.1507</v>
      </c>
      <c r="K6632">
        <v>1.110749</v>
      </c>
      <c r="L6632">
        <v>-63.151029999999999</v>
      </c>
      <c r="M6632">
        <v>0.99986600000000003</v>
      </c>
      <c r="N6632">
        <v>0</v>
      </c>
      <c r="O6632">
        <v>-7.5199309999999997E-3</v>
      </c>
      <c r="P6632">
        <v>0.97999480000000005</v>
      </c>
      <c r="Q6632">
        <v>0.1904574</v>
      </c>
      <c r="R6632">
        <v>5.776249E-2</v>
      </c>
      <c r="S6632">
        <v>3.079971</v>
      </c>
      <c r="T6632">
        <v>-0.15620029999999999</v>
      </c>
      <c r="U6632">
        <v>0.19009400000000001</v>
      </c>
      <c r="V6632">
        <v>-6.517423E-2</v>
      </c>
      <c r="W6632">
        <v>0.2046714</v>
      </c>
      <c r="X6632">
        <v>0.97665860000000004</v>
      </c>
      <c r="Y6632">
        <v>-6.9008890000000003E-2</v>
      </c>
      <c r="Z6632">
        <v>2.127931E-3</v>
      </c>
      <c r="AA6632">
        <v>0.9976138</v>
      </c>
      <c r="AB6632">
        <v>34</v>
      </c>
      <c r="AC6632">
        <v>21.733599999999999</v>
      </c>
      <c r="AD6632">
        <v>-1.1107530436499999</v>
      </c>
      <c r="AE6632">
        <v>1.3529899999999999</v>
      </c>
      <c r="AF6632">
        <v>-1.51246888491179</v>
      </c>
      <c r="AG6632">
        <v>-1.1107530436499999</v>
      </c>
      <c r="AH6632">
        <v>21.666435823792</v>
      </c>
      <c r="AI6632">
        <v>92.927648130276694</v>
      </c>
      <c r="AJ6632">
        <v>93.993168626180605</v>
      </c>
      <c r="AK6632">
        <v>21.7475464307655</v>
      </c>
      <c r="AL6632">
        <v>78.189736699993503</v>
      </c>
      <c r="AM6632">
        <v>93.817792719243599</v>
      </c>
      <c r="AN6632">
        <v>1.000000041594</v>
      </c>
    </row>
    <row r="6633" spans="1:40" x14ac:dyDescent="0.25">
      <c r="A6633" t="str">
        <f>"20190312172537700"</f>
        <v>20190312172537700</v>
      </c>
      <c r="B6633" t="str">
        <f>"1552382737696948"</f>
        <v>1552382737696948</v>
      </c>
      <c r="C6633" t="s">
        <v>40</v>
      </c>
      <c r="D6633">
        <v>3.7342650000000002</v>
      </c>
      <c r="E6633">
        <v>0.50030980000000003</v>
      </c>
      <c r="F6633" t="s">
        <v>50</v>
      </c>
      <c r="G6633">
        <v>-203.03710000000001</v>
      </c>
      <c r="H6633" s="1">
        <v>-4.2357529999999999E-6</v>
      </c>
      <c r="I6633">
        <v>-61.771749999999997</v>
      </c>
      <c r="J6633">
        <v>-224.9639</v>
      </c>
      <c r="K6633">
        <v>1.1107549999999999</v>
      </c>
      <c r="L6633">
        <v>-63.152369999999998</v>
      </c>
      <c r="M6633">
        <v>0.99986649999999999</v>
      </c>
      <c r="N6633">
        <v>0</v>
      </c>
      <c r="O6633">
        <v>-7.4486489999999999E-3</v>
      </c>
      <c r="P6633">
        <v>0.97994490000000001</v>
      </c>
      <c r="Q6633">
        <v>0.19055069999999999</v>
      </c>
      <c r="R6633">
        <v>5.8297540000000002E-2</v>
      </c>
      <c r="S6633">
        <v>3.0800019999999999</v>
      </c>
      <c r="T6633">
        <v>-0.1547067</v>
      </c>
      <c r="U6633">
        <v>0.19210820000000001</v>
      </c>
      <c r="V6633">
        <v>-6.5641469999999993E-2</v>
      </c>
      <c r="W6633">
        <v>0.20476150000000001</v>
      </c>
      <c r="X6633">
        <v>0.97660840000000004</v>
      </c>
      <c r="Y6633">
        <v>-6.9588269999999994E-2</v>
      </c>
      <c r="Z6633">
        <v>2.1184979999999999E-3</v>
      </c>
      <c r="AA6633">
        <v>0.99757359999999995</v>
      </c>
      <c r="AB6633">
        <v>33</v>
      </c>
      <c r="AC6633">
        <v>21.926799999999901</v>
      </c>
      <c r="AD6633">
        <v>-1.1107592357529901</v>
      </c>
      <c r="AE6633">
        <v>1.38062</v>
      </c>
      <c r="AF6633">
        <v>-1.5399877023495001</v>
      </c>
      <c r="AG6633">
        <v>-1.1107592357529901</v>
      </c>
      <c r="AH6633">
        <v>21.8600312052058</v>
      </c>
      <c r="AI6633">
        <v>92.901651638173007</v>
      </c>
      <c r="AJ6633">
        <v>94.029695208271605</v>
      </c>
      <c r="AK6633">
        <v>21.942340633938102</v>
      </c>
      <c r="AL6633">
        <v>78.184462402792093</v>
      </c>
      <c r="AM6633">
        <v>93.845278064585202</v>
      </c>
      <c r="AN6633">
        <v>1.00000002070828</v>
      </c>
    </row>
    <row r="6634" spans="1:40" x14ac:dyDescent="0.25">
      <c r="A6634" t="str">
        <f>"20190312172537712"</f>
        <v>20190312172537712</v>
      </c>
      <c r="B6634" t="str">
        <f>"1552382737706708"</f>
        <v>1552382737706708</v>
      </c>
      <c r="C6634" t="s">
        <v>40</v>
      </c>
      <c r="D6634">
        <v>4.1266610000000004</v>
      </c>
      <c r="E6634">
        <v>0.50025299999999995</v>
      </c>
      <c r="F6634" t="s">
        <v>50</v>
      </c>
      <c r="G6634">
        <v>-202.8348</v>
      </c>
      <c r="H6634" s="1">
        <v>-4.337633E-6</v>
      </c>
      <c r="I6634">
        <v>-61.750790000000002</v>
      </c>
      <c r="J6634">
        <v>-224.80199999999999</v>
      </c>
      <c r="K6634">
        <v>1.1107640000000001</v>
      </c>
      <c r="L6634">
        <v>-63.153500000000001</v>
      </c>
      <c r="M6634">
        <v>0.99986710000000001</v>
      </c>
      <c r="N6634">
        <v>0</v>
      </c>
      <c r="O6634">
        <v>-7.3765059999999997E-3</v>
      </c>
      <c r="P6634">
        <v>0.97985940000000005</v>
      </c>
      <c r="Q6634">
        <v>0.19078909999999999</v>
      </c>
      <c r="R6634">
        <v>5.8951770000000001E-2</v>
      </c>
      <c r="S6634">
        <v>3.0798489999999998</v>
      </c>
      <c r="T6634">
        <v>-0.1545916</v>
      </c>
      <c r="U6634">
        <v>0.1950684</v>
      </c>
      <c r="V6634">
        <v>-6.6228620000000002E-2</v>
      </c>
      <c r="W6634">
        <v>0.20499529999999999</v>
      </c>
      <c r="X6634">
        <v>0.97651969999999999</v>
      </c>
      <c r="Y6634">
        <v>-7.0473510000000003E-2</v>
      </c>
      <c r="Z6634">
        <v>2.1355290000000002E-3</v>
      </c>
      <c r="AA6634">
        <v>0.99751140000000005</v>
      </c>
      <c r="AB6634">
        <v>33</v>
      </c>
      <c r="AC6634">
        <v>21.967199999999998</v>
      </c>
      <c r="AD6634">
        <v>-1.11076833763299</v>
      </c>
      <c r="AE6634">
        <v>1.4027099999999899</v>
      </c>
      <c r="AF6634">
        <v>-1.5607557964607299</v>
      </c>
      <c r="AG6634">
        <v>-1.11076833763299</v>
      </c>
      <c r="AH6634">
        <v>21.900486145351898</v>
      </c>
      <c r="AI6634">
        <v>92.896157708257903</v>
      </c>
      <c r="AJ6634">
        <v>94.076338238318797</v>
      </c>
      <c r="AK6634">
        <v>21.984109223682999</v>
      </c>
      <c r="AL6634">
        <v>78.170776250344304</v>
      </c>
      <c r="AM6634">
        <v>93.879920063225299</v>
      </c>
      <c r="AN6634">
        <v>1.00000001380864</v>
      </c>
    </row>
    <row r="6635" spans="1:40" x14ac:dyDescent="0.25">
      <c r="A6635" t="str">
        <f>"20190312172537724"</f>
        <v>20190312172537724</v>
      </c>
      <c r="B6635" t="str">
        <f>"1552382737716469"</f>
        <v>1552382737716469</v>
      </c>
      <c r="C6635" t="s">
        <v>40</v>
      </c>
      <c r="D6635">
        <v>3.7033969999999998</v>
      </c>
      <c r="E6635">
        <v>0.50019369999999996</v>
      </c>
      <c r="F6635" t="s">
        <v>50</v>
      </c>
      <c r="G6635">
        <v>-202.5831</v>
      </c>
      <c r="H6635" s="1">
        <v>-4.464471E-6</v>
      </c>
      <c r="I6635">
        <v>-61.726799999999997</v>
      </c>
      <c r="J6635">
        <v>-224.6336</v>
      </c>
      <c r="K6635">
        <v>1.1107720000000001</v>
      </c>
      <c r="L6635">
        <v>-63.154690000000002</v>
      </c>
      <c r="M6635">
        <v>0.99986770000000003</v>
      </c>
      <c r="N6635">
        <v>0</v>
      </c>
      <c r="O6635">
        <v>-7.2985059999999997E-3</v>
      </c>
      <c r="P6635">
        <v>0.97980719999999999</v>
      </c>
      <c r="Q6635">
        <v>0.19081909999999999</v>
      </c>
      <c r="R6635">
        <v>5.9717630000000001E-2</v>
      </c>
      <c r="S6635">
        <v>3.0797270000000001</v>
      </c>
      <c r="T6635">
        <v>-0.15396179999999901</v>
      </c>
      <c r="U6635">
        <v>0.19775390000000001</v>
      </c>
      <c r="V6635">
        <v>-6.6922040000000002E-2</v>
      </c>
      <c r="W6635">
        <v>0.20502139999999999</v>
      </c>
      <c r="X6635">
        <v>0.97646699999999997</v>
      </c>
      <c r="Y6635">
        <v>-7.1264399999999894E-2</v>
      </c>
      <c r="Z6635">
        <v>2.142709E-3</v>
      </c>
      <c r="AA6635">
        <v>0.99745519999999999</v>
      </c>
      <c r="AB6635">
        <v>33</v>
      </c>
      <c r="AC6635">
        <v>22.0505</v>
      </c>
      <c r="AD6635">
        <v>-1.1107764644710001</v>
      </c>
      <c r="AE6635">
        <v>1.4278900000000001</v>
      </c>
      <c r="AF6635">
        <v>-1.5847999408838001</v>
      </c>
      <c r="AG6635">
        <v>-1.1107764644710001</v>
      </c>
      <c r="AH6635">
        <v>21.983937377487599</v>
      </c>
      <c r="AI6635">
        <v>92.885034473439603</v>
      </c>
      <c r="AJ6635">
        <v>94.123262384440693</v>
      </c>
      <c r="AK6635">
        <v>22.0689582405683</v>
      </c>
      <c r="AL6635">
        <v>78.169249029175603</v>
      </c>
      <c r="AM6635">
        <v>93.920628100497595</v>
      </c>
      <c r="AN6635">
        <v>1.00000006799235</v>
      </c>
    </row>
    <row r="6636" spans="1:40" x14ac:dyDescent="0.25">
      <c r="A6636" t="str">
        <f>"20190312172537735"</f>
        <v>20190312172537735</v>
      </c>
      <c r="B6636" t="str">
        <f>"1552382737727204"</f>
        <v>1552382737727204</v>
      </c>
      <c r="C6636" t="s">
        <v>40</v>
      </c>
      <c r="D6636">
        <v>3.7286540000000001</v>
      </c>
      <c r="E6636">
        <v>0.5001314</v>
      </c>
      <c r="F6636" t="s">
        <v>50</v>
      </c>
      <c r="G6636">
        <v>-202.42089999999999</v>
      </c>
      <c r="H6636" s="1">
        <v>-4.5459050000000003E-6</v>
      </c>
      <c r="I6636">
        <v>-61.705640000000002</v>
      </c>
      <c r="J6636">
        <v>-224.44589999999999</v>
      </c>
      <c r="K6636">
        <v>1.1107880000000001</v>
      </c>
      <c r="L6636">
        <v>-63.155940000000001</v>
      </c>
      <c r="M6636">
        <v>0.99986850000000005</v>
      </c>
      <c r="N6636">
        <v>0</v>
      </c>
      <c r="O6636">
        <v>-7.1981440000000001E-3</v>
      </c>
      <c r="P6636">
        <v>0.9798038</v>
      </c>
      <c r="Q6636">
        <v>0.19063720000000001</v>
      </c>
      <c r="R6636">
        <v>6.0351120000000001E-2</v>
      </c>
      <c r="S6636">
        <v>3.07959</v>
      </c>
      <c r="T6636">
        <v>-0.1539991</v>
      </c>
      <c r="U6636">
        <v>0.2008972</v>
      </c>
      <c r="V6636">
        <v>-6.7463430000000005E-2</v>
      </c>
      <c r="W6636">
        <v>0.2048352</v>
      </c>
      <c r="X6636">
        <v>0.97646869999999997</v>
      </c>
      <c r="Y6636">
        <v>-7.2179859999999998E-2</v>
      </c>
      <c r="Z6636">
        <v>2.1610919999999999E-3</v>
      </c>
      <c r="AA6636">
        <v>0.99738930000000003</v>
      </c>
      <c r="AB6636">
        <v>33</v>
      </c>
      <c r="AC6636">
        <v>22.024999999999999</v>
      </c>
      <c r="AD6636">
        <v>-1.1107925459050001</v>
      </c>
      <c r="AE6636">
        <v>1.4502999999999899</v>
      </c>
      <c r="AF6636">
        <v>-1.6047541901751701</v>
      </c>
      <c r="AG6636">
        <v>-1.1107925459050001</v>
      </c>
      <c r="AH6636">
        <v>21.958378394991598</v>
      </c>
      <c r="AI6636">
        <v>92.888221975937398</v>
      </c>
      <c r="AJ6636">
        <v>94.179838399915994</v>
      </c>
      <c r="AK6636">
        <v>22.044942227834401</v>
      </c>
      <c r="AL6636">
        <v>78.180147388168294</v>
      </c>
      <c r="AM6636">
        <v>93.952238463267406</v>
      </c>
      <c r="AN6636">
        <v>0.99999994781304602</v>
      </c>
    </row>
    <row r="6637" spans="1:40" x14ac:dyDescent="0.25">
      <c r="A6637" t="str">
        <f>"20190312172537747"</f>
        <v>20190312172537747</v>
      </c>
      <c r="B6637" t="str">
        <f>"1552382737736497"</f>
        <v>1552382737736497</v>
      </c>
      <c r="C6637" t="s">
        <v>40</v>
      </c>
      <c r="D6637">
        <v>3.6939690000000001</v>
      </c>
      <c r="E6637">
        <v>0.50007309999999905</v>
      </c>
      <c r="F6637" t="s">
        <v>50</v>
      </c>
      <c r="G6637">
        <v>-202.339</v>
      </c>
      <c r="H6637" s="1">
        <v>-4.586974E-6</v>
      </c>
      <c r="I6637">
        <v>-61.694220000000001</v>
      </c>
      <c r="J6637">
        <v>-224.28059999999999</v>
      </c>
      <c r="K6637">
        <v>1.110798</v>
      </c>
      <c r="L6637">
        <v>-63.157069999999997</v>
      </c>
      <c r="M6637">
        <v>0.99986920000000001</v>
      </c>
      <c r="N6637">
        <v>0</v>
      </c>
      <c r="O6637">
        <v>-7.1013630000000003E-3</v>
      </c>
      <c r="P6637">
        <v>0.97978160000000003</v>
      </c>
      <c r="Q6637">
        <v>0.1905096</v>
      </c>
      <c r="R6637">
        <v>6.111084E-2</v>
      </c>
      <c r="S6637">
        <v>3.0794220000000001</v>
      </c>
      <c r="T6637">
        <v>-0.15473020000000001</v>
      </c>
      <c r="U6637">
        <v>0.2036133</v>
      </c>
      <c r="V6637">
        <v>-6.8134420000000001E-2</v>
      </c>
      <c r="W6637">
        <v>0.20470360000000001</v>
      </c>
      <c r="X6637">
        <v>0.97644980000000003</v>
      </c>
      <c r="Y6637">
        <v>-7.296097E-2</v>
      </c>
      <c r="Z6637">
        <v>2.1861290000000002E-3</v>
      </c>
      <c r="AA6637">
        <v>0.99733240000000001</v>
      </c>
      <c r="AB6637">
        <v>33</v>
      </c>
      <c r="AC6637">
        <v>21.941599999999902</v>
      </c>
      <c r="AD6637">
        <v>-1.1108025869739999</v>
      </c>
      <c r="AE6637">
        <v>1.46285</v>
      </c>
      <c r="AF6637">
        <v>-1.61452521797362</v>
      </c>
      <c r="AG6637">
        <v>-1.1108025869739999</v>
      </c>
      <c r="AH6637">
        <v>21.8748416516978</v>
      </c>
      <c r="AI6637">
        <v>92.8991055984513</v>
      </c>
      <c r="AJ6637">
        <v>94.221198660256505</v>
      </c>
      <c r="AK6637">
        <v>21.962451396726099</v>
      </c>
      <c r="AL6637">
        <v>78.187851819868797</v>
      </c>
      <c r="AM6637">
        <v>93.991497928485998</v>
      </c>
      <c r="AN6637">
        <v>1.00000003748086</v>
      </c>
    </row>
    <row r="6638" spans="1:40" x14ac:dyDescent="0.25">
      <c r="A6638" t="str">
        <f>"20190312172537757"</f>
        <v>20190312172537757</v>
      </c>
      <c r="B6638" t="str">
        <f>"1552382737747233"</f>
        <v>1552382737747233</v>
      </c>
      <c r="C6638" t="s">
        <v>40</v>
      </c>
      <c r="D6638">
        <v>3.6944460000000001</v>
      </c>
      <c r="E6638">
        <v>0.50001879999999999</v>
      </c>
      <c r="F6638" t="s">
        <v>50</v>
      </c>
      <c r="G6638">
        <v>-202.25370000000001</v>
      </c>
      <c r="H6638" s="1">
        <v>-4.6295670000000003E-6</v>
      </c>
      <c r="I6638">
        <v>-61.67915</v>
      </c>
      <c r="J6638">
        <v>-224.1113</v>
      </c>
      <c r="K6638">
        <v>1.1108100000000001</v>
      </c>
      <c r="L6638">
        <v>-63.158169999999998</v>
      </c>
      <c r="M6638">
        <v>0.99987009999999998</v>
      </c>
      <c r="N6638">
        <v>0</v>
      </c>
      <c r="O6638">
        <v>-6.9943030000000003E-3</v>
      </c>
      <c r="P6638">
        <v>0.97973350000000003</v>
      </c>
      <c r="Q6638">
        <v>0.1905481</v>
      </c>
      <c r="R6638">
        <v>6.1757739999999998E-2</v>
      </c>
      <c r="S6638">
        <v>3.0792079999999999</v>
      </c>
      <c r="T6638">
        <v>-0.15528259999999999</v>
      </c>
      <c r="U6638">
        <v>0.20660400000000001</v>
      </c>
      <c r="V6638">
        <v>-6.8682389999999996E-2</v>
      </c>
      <c r="W6638">
        <v>0.20473720000000001</v>
      </c>
      <c r="X6638">
        <v>0.9764043</v>
      </c>
      <c r="Y6638">
        <v>-7.3821419999999999E-2</v>
      </c>
      <c r="Z6638">
        <v>2.210273E-3</v>
      </c>
      <c r="AA6638">
        <v>0.99726899999999996</v>
      </c>
      <c r="AB6638">
        <v>33</v>
      </c>
      <c r="AC6638">
        <v>21.857599999999898</v>
      </c>
      <c r="AD6638">
        <v>-1.1108146295670001</v>
      </c>
      <c r="AE6638">
        <v>1.47901999999999</v>
      </c>
      <c r="AF6638">
        <v>-1.62769388721408</v>
      </c>
      <c r="AG6638">
        <v>-1.1108146295670001</v>
      </c>
      <c r="AH6638">
        <v>21.790696562944699</v>
      </c>
      <c r="AI6638">
        <v>92.910122031451394</v>
      </c>
      <c r="AJ6638">
        <v>94.271874327686206</v>
      </c>
      <c r="AK6638">
        <v>21.8796195860455</v>
      </c>
      <c r="AL6638">
        <v>78.185884270150197</v>
      </c>
      <c r="AM6638">
        <v>94.023681352376897</v>
      </c>
      <c r="AN6638">
        <v>0.99999997440921995</v>
      </c>
    </row>
    <row r="6639" spans="1:40" x14ac:dyDescent="0.25">
      <c r="A6639" t="str">
        <f>"20190312172537770"</f>
        <v>20190312172537770</v>
      </c>
      <c r="B6639" t="str">
        <f>"1552382737766752"</f>
        <v>1552382737766752</v>
      </c>
      <c r="C6639" t="s">
        <v>40</v>
      </c>
      <c r="D6639">
        <v>3.684215</v>
      </c>
      <c r="E6639">
        <v>0.49991140000000001</v>
      </c>
      <c r="F6639" t="s">
        <v>50</v>
      </c>
      <c r="G6639">
        <v>-202.0872</v>
      </c>
      <c r="H6639" s="1">
        <v>-4.7133689999999998E-6</v>
      </c>
      <c r="I6639">
        <v>-61.661589999999997</v>
      </c>
      <c r="J6639">
        <v>-223.93690000000001</v>
      </c>
      <c r="K6639">
        <v>1.1108229999999999</v>
      </c>
      <c r="L6639">
        <v>-63.1592699999999</v>
      </c>
      <c r="M6639">
        <v>0.99987099999999995</v>
      </c>
      <c r="N6639">
        <v>0</v>
      </c>
      <c r="O6639">
        <v>-6.8672840000000004E-3</v>
      </c>
      <c r="P6639">
        <v>0.97975730000000005</v>
      </c>
      <c r="Q6639">
        <v>0.1901378</v>
      </c>
      <c r="R6639">
        <v>6.263792E-2</v>
      </c>
      <c r="S6639">
        <v>3.0790709999999999</v>
      </c>
      <c r="T6639">
        <v>-0.1552973</v>
      </c>
      <c r="U6639">
        <v>0.20922850000000001</v>
      </c>
      <c r="V6639">
        <v>-6.9446980000000005E-2</v>
      </c>
      <c r="W6639">
        <v>0.20432220000000001</v>
      </c>
      <c r="X6639">
        <v>0.97643720000000001</v>
      </c>
      <c r="Y6639">
        <v>-7.4543100000000001E-2</v>
      </c>
      <c r="Z6639">
        <v>2.2222880000000002E-3</v>
      </c>
      <c r="AA6639">
        <v>0.99721530000000003</v>
      </c>
      <c r="AB6639">
        <v>33</v>
      </c>
      <c r="AC6639">
        <v>21.849699999999999</v>
      </c>
      <c r="AD6639">
        <v>-1.1108277133690001</v>
      </c>
      <c r="AE6639">
        <v>1.4976799999999799</v>
      </c>
      <c r="AF6639">
        <v>-1.6434806270689499</v>
      </c>
      <c r="AG6639">
        <v>-1.1108277133690001</v>
      </c>
      <c r="AH6639">
        <v>21.782860718698501</v>
      </c>
      <c r="AI6639">
        <v>92.911038248144706</v>
      </c>
      <c r="AJ6639">
        <v>94.314696633278501</v>
      </c>
      <c r="AK6639">
        <v>21.872996773889</v>
      </c>
      <c r="AL6639">
        <v>78.210176132908501</v>
      </c>
      <c r="AM6639">
        <v>94.068187806879905</v>
      </c>
      <c r="AN6639">
        <v>1.0000000249939001</v>
      </c>
    </row>
    <row r="6640" spans="1:40" x14ac:dyDescent="0.25">
      <c r="A6640" t="str">
        <f>"20190312172537779"</f>
        <v>20190312172537779</v>
      </c>
      <c r="B6640" t="str">
        <f>"1552382737776514"</f>
        <v>1552382737776514</v>
      </c>
      <c r="C6640" t="s">
        <v>40</v>
      </c>
      <c r="D6640">
        <v>3.7121930000000001</v>
      </c>
      <c r="E6640">
        <v>0.49985230000000003</v>
      </c>
      <c r="F6640" t="s">
        <v>50</v>
      </c>
      <c r="G6640">
        <v>-202.12860000000001</v>
      </c>
      <c r="H6640" s="1">
        <v>-4.6916430000000002E-6</v>
      </c>
      <c r="I6640">
        <v>-61.650640000000003</v>
      </c>
      <c r="J6640">
        <v>-223.79329999999999</v>
      </c>
      <c r="K6640">
        <v>1.1108420000000001</v>
      </c>
      <c r="L6640">
        <v>-63.16019</v>
      </c>
      <c r="M6640">
        <v>0.99987159999999997</v>
      </c>
      <c r="N6640">
        <v>0</v>
      </c>
      <c r="O6640">
        <v>-6.7585469999999898E-3</v>
      </c>
      <c r="P6640">
        <v>0.97974119999999998</v>
      </c>
      <c r="Q6640">
        <v>0.1898967</v>
      </c>
      <c r="R6640">
        <v>6.3614619999999997E-2</v>
      </c>
      <c r="S6640">
        <v>3.0787960000000001</v>
      </c>
      <c r="T6640">
        <v>-0.15682160000000001</v>
      </c>
      <c r="U6640">
        <v>0.21298220000000001</v>
      </c>
      <c r="V6640">
        <v>-7.0324090000000006E-2</v>
      </c>
      <c r="W6640">
        <v>0.2040767</v>
      </c>
      <c r="X6640">
        <v>0.97642580000000001</v>
      </c>
      <c r="Y6640">
        <v>-7.5647399999999906E-2</v>
      </c>
      <c r="Z6640">
        <v>2.2667220000000001E-3</v>
      </c>
      <c r="AA6640">
        <v>0.99713209999999997</v>
      </c>
      <c r="AB6640">
        <v>33</v>
      </c>
      <c r="AC6640">
        <v>21.6646999999999</v>
      </c>
      <c r="AD6640">
        <v>-1.110846691643</v>
      </c>
      <c r="AE6640">
        <v>1.50954999999999</v>
      </c>
      <c r="AF6640">
        <v>-1.6516315839892199</v>
      </c>
      <c r="AG6640">
        <v>-1.110846691643</v>
      </c>
      <c r="AH6640">
        <v>21.597494568478901</v>
      </c>
      <c r="AI6640">
        <v>92.935802669079806</v>
      </c>
      <c r="AJ6640">
        <v>94.373085489348995</v>
      </c>
      <c r="AK6640">
        <v>21.6890211604176</v>
      </c>
      <c r="AL6640">
        <v>78.224545426901599</v>
      </c>
      <c r="AM6640">
        <v>94.1194408498461</v>
      </c>
      <c r="AN6640">
        <v>1.0000000600114201</v>
      </c>
    </row>
    <row r="6641" spans="1:40" x14ac:dyDescent="0.25">
      <c r="A6641" t="str">
        <f>"20190312172537790"</f>
        <v>20190312172537790</v>
      </c>
      <c r="B6641" t="str">
        <f>"1552382737787248"</f>
        <v>1552382737787248</v>
      </c>
      <c r="C6641" t="s">
        <v>40</v>
      </c>
      <c r="D6641">
        <v>3.7346509999999999</v>
      </c>
      <c r="E6641">
        <v>0.49979430000000002</v>
      </c>
      <c r="F6641" t="s">
        <v>50</v>
      </c>
      <c r="G6641">
        <v>-202.10329999999999</v>
      </c>
      <c r="H6641" s="1">
        <v>-4.7036420000000001E-6</v>
      </c>
      <c r="I6641">
        <v>-61.635309999999997</v>
      </c>
      <c r="J6641">
        <v>-223.6481</v>
      </c>
      <c r="K6641">
        <v>1.110867</v>
      </c>
      <c r="L6641">
        <v>-63.161009999999997</v>
      </c>
      <c r="M6641">
        <v>0.99987239999999999</v>
      </c>
      <c r="N6641">
        <v>0</v>
      </c>
      <c r="O6641">
        <v>-6.6282959999999997E-3</v>
      </c>
      <c r="P6641">
        <v>0.97965259999999998</v>
      </c>
      <c r="Q6641">
        <v>0.19009010000000001</v>
      </c>
      <c r="R6641">
        <v>6.4395010000000003E-2</v>
      </c>
      <c r="S6641">
        <v>3.0785369999999999</v>
      </c>
      <c r="T6641">
        <v>-0.15766620000000001</v>
      </c>
      <c r="U6641">
        <v>0.2164307</v>
      </c>
      <c r="V6641">
        <v>-7.0985660000000006E-2</v>
      </c>
      <c r="W6641">
        <v>0.20426430000000001</v>
      </c>
      <c r="X6641">
        <v>0.97633859999999995</v>
      </c>
      <c r="Y6641">
        <v>-7.6632530000000004E-2</v>
      </c>
      <c r="Z6641">
        <v>2.2975370000000001E-3</v>
      </c>
      <c r="AA6641">
        <v>0.99705679999999997</v>
      </c>
      <c r="AB6641">
        <v>33</v>
      </c>
      <c r="AC6641">
        <v>21.544799999999999</v>
      </c>
      <c r="AD6641">
        <v>-1.1108717036419999</v>
      </c>
      <c r="AE6641">
        <v>1.5257000000000001</v>
      </c>
      <c r="AF6641">
        <v>-1.66408491699372</v>
      </c>
      <c r="AG6641">
        <v>-1.1108717036419999</v>
      </c>
      <c r="AH6641">
        <v>21.477399183619699</v>
      </c>
      <c r="AI6641">
        <v>92.952029031878695</v>
      </c>
      <c r="AJ6641">
        <v>94.430468144438507</v>
      </c>
      <c r="AK6641">
        <v>21.570393836123301</v>
      </c>
      <c r="AL6641">
        <v>78.213564314141394</v>
      </c>
      <c r="AM6641">
        <v>94.158429035232302</v>
      </c>
      <c r="AN6641">
        <v>0.99999996501504196</v>
      </c>
    </row>
    <row r="6642" spans="1:40" x14ac:dyDescent="0.25">
      <c r="A6642" t="str">
        <f>"20190312172537800"</f>
        <v>20190312172537800</v>
      </c>
      <c r="B6642" t="str">
        <f>"1552382737797009"</f>
        <v>1552382737797009</v>
      </c>
      <c r="C6642" t="s">
        <v>40</v>
      </c>
      <c r="D6642">
        <v>3.691227</v>
      </c>
      <c r="E6642">
        <v>0.49973859999999998</v>
      </c>
      <c r="F6642" t="s">
        <v>50</v>
      </c>
      <c r="G6642">
        <v>-201.90299999999999</v>
      </c>
      <c r="H6642" s="1">
        <v>-4.8043160000000003E-6</v>
      </c>
      <c r="I6642">
        <v>-61.611280000000001</v>
      </c>
      <c r="J6642">
        <v>-223.4828</v>
      </c>
      <c r="K6642">
        <v>1.1108979999999999</v>
      </c>
      <c r="L6642">
        <v>-63.161990000000003</v>
      </c>
      <c r="M6642">
        <v>0.99987360000000003</v>
      </c>
      <c r="N6642">
        <v>0</v>
      </c>
      <c r="O6642">
        <v>-6.476178E-3</v>
      </c>
      <c r="P6642">
        <v>0.97952459999999997</v>
      </c>
      <c r="Q6642">
        <v>0.19044939999999999</v>
      </c>
      <c r="R6642">
        <v>6.5274330000000005E-2</v>
      </c>
      <c r="S6642">
        <v>3.0783839999999998</v>
      </c>
      <c r="T6642">
        <v>-0.15726270000000001</v>
      </c>
      <c r="U6642">
        <v>0.2193909</v>
      </c>
      <c r="V6642">
        <v>-7.1725579999999997E-2</v>
      </c>
      <c r="W6642">
        <v>0.20461579999999999</v>
      </c>
      <c r="X6642">
        <v>0.97621100000000005</v>
      </c>
      <c r="Y6642">
        <v>-7.7437989999999998E-2</v>
      </c>
      <c r="Z6642">
        <v>2.3044760000000002E-3</v>
      </c>
      <c r="AA6642">
        <v>0.99699450000000001</v>
      </c>
      <c r="AB6642">
        <v>33</v>
      </c>
      <c r="AC6642">
        <v>21.579799999999999</v>
      </c>
      <c r="AD6642">
        <v>-1.1109028043160001</v>
      </c>
      <c r="AE6642">
        <v>1.55070999999999</v>
      </c>
      <c r="AF6642">
        <v>-1.6860017663164</v>
      </c>
      <c r="AG6642">
        <v>-1.1109028043160001</v>
      </c>
      <c r="AH6642">
        <v>21.5125866482073</v>
      </c>
      <c r="AI6642">
        <v>92.947088097520194</v>
      </c>
      <c r="AJ6642">
        <v>94.481270857987994</v>
      </c>
      <c r="AK6642">
        <v>21.6071305659332</v>
      </c>
      <c r="AL6642">
        <v>78.192991328513401</v>
      </c>
      <c r="AM6642">
        <v>94.202167268513307</v>
      </c>
      <c r="AN6642">
        <v>1.0000000504784801</v>
      </c>
    </row>
    <row r="6643" spans="1:40" x14ac:dyDescent="0.25">
      <c r="A6643" t="str">
        <f>"20190312172537812"</f>
        <v>20190312172537812</v>
      </c>
      <c r="B6643" t="str">
        <f>"1552382737806772"</f>
        <v>1552382737806772</v>
      </c>
      <c r="C6643" t="s">
        <v>40</v>
      </c>
      <c r="D6643">
        <v>3.6831619999999998</v>
      </c>
      <c r="E6643">
        <v>0.49968299999999999</v>
      </c>
      <c r="F6643" t="s">
        <v>50</v>
      </c>
      <c r="G6643">
        <v>-201.61009999999999</v>
      </c>
      <c r="H6643" s="1">
        <v>-4.9516670000000001E-6</v>
      </c>
      <c r="I6643">
        <v>-61.578609999999998</v>
      </c>
      <c r="J6643">
        <v>-223.3152</v>
      </c>
      <c r="K6643">
        <v>1.1109359999999999</v>
      </c>
      <c r="L6643">
        <v>-63.1629</v>
      </c>
      <c r="M6643">
        <v>0.99987490000000001</v>
      </c>
      <c r="N6643">
        <v>0</v>
      </c>
      <c r="O6643">
        <v>-6.2895190000000004E-3</v>
      </c>
      <c r="P6643">
        <v>0.97934900000000003</v>
      </c>
      <c r="Q6643">
        <v>0.1910171</v>
      </c>
      <c r="R6643">
        <v>6.6246180000000002E-2</v>
      </c>
      <c r="S6643">
        <v>3.0782929999999999</v>
      </c>
      <c r="T6643">
        <v>-0.15634479999999901</v>
      </c>
      <c r="U6643">
        <v>0.22283939999999999</v>
      </c>
      <c r="V6643">
        <v>-7.2527339999999996E-2</v>
      </c>
      <c r="W6643">
        <v>0.205174</v>
      </c>
      <c r="X6643">
        <v>0.97603450000000003</v>
      </c>
      <c r="Y6643">
        <v>-7.8365389999999993E-2</v>
      </c>
      <c r="Z6643">
        <v>2.3050610000000002E-3</v>
      </c>
      <c r="AA6643">
        <v>0.99692199999999997</v>
      </c>
      <c r="AB6643">
        <v>33</v>
      </c>
      <c r="AC6643">
        <v>21.705100000000002</v>
      </c>
      <c r="AD6643">
        <v>-1.1109409516669999</v>
      </c>
      <c r="AE6643">
        <v>1.58429</v>
      </c>
      <c r="AF6643">
        <v>-1.716315202169</v>
      </c>
      <c r="AG6643">
        <v>-1.1109409516669999</v>
      </c>
      <c r="AH6643">
        <v>21.638318749370399</v>
      </c>
      <c r="AI6643">
        <v>92.929877342376301</v>
      </c>
      <c r="AJ6643">
        <v>94.535110446421101</v>
      </c>
      <c r="AK6643">
        <v>21.7346903812923</v>
      </c>
      <c r="AL6643">
        <v>78.160314552567897</v>
      </c>
      <c r="AM6643">
        <v>94.249734226752295</v>
      </c>
      <c r="AN6643">
        <v>0.99999996525686197</v>
      </c>
    </row>
    <row r="6644" spans="1:40" x14ac:dyDescent="0.25">
      <c r="A6644" t="str">
        <f>"20190312172537823"</f>
        <v>20190312172537823</v>
      </c>
      <c r="B6644" t="str">
        <f>"1552382737816529"</f>
        <v>1552382737816529</v>
      </c>
      <c r="C6644" t="s">
        <v>40</v>
      </c>
      <c r="D6644">
        <v>3.6666219999999998</v>
      </c>
      <c r="E6644">
        <v>0.49961929999999999</v>
      </c>
      <c r="F6644" t="s">
        <v>50</v>
      </c>
      <c r="G6644">
        <v>-201.2244</v>
      </c>
      <c r="H6644" s="1">
        <v>-5.1458620000000004E-6</v>
      </c>
      <c r="I6644">
        <v>-61.53848</v>
      </c>
      <c r="J6644">
        <v>-223.1456</v>
      </c>
      <c r="K6644">
        <v>1.110975</v>
      </c>
      <c r="L6644">
        <v>-63.163820000000001</v>
      </c>
      <c r="M6644">
        <v>0.99987599999999999</v>
      </c>
      <c r="N6644">
        <v>0</v>
      </c>
      <c r="O6644">
        <v>-6.0910319999999997E-3</v>
      </c>
      <c r="P6644">
        <v>0.979186</v>
      </c>
      <c r="Q6644">
        <v>0.19153110000000001</v>
      </c>
      <c r="R6644">
        <v>6.7164280000000007E-2</v>
      </c>
      <c r="S6644">
        <v>3.0781559999999999</v>
      </c>
      <c r="T6644">
        <v>-0.15479970000000001</v>
      </c>
      <c r="U6644">
        <v>0.22634889999999999</v>
      </c>
      <c r="V6644">
        <v>-7.3264969999999999E-2</v>
      </c>
      <c r="W6644">
        <v>0.2056789</v>
      </c>
      <c r="X6644">
        <v>0.9758732</v>
      </c>
      <c r="Y6644">
        <v>-7.9302499999999998E-2</v>
      </c>
      <c r="Z6644">
        <v>2.2958700000000002E-3</v>
      </c>
      <c r="AA6644">
        <v>0.99684790000000001</v>
      </c>
      <c r="AB6644">
        <v>33</v>
      </c>
      <c r="AC6644">
        <v>21.921199999999999</v>
      </c>
      <c r="AD6644">
        <v>-1.1109801458619999</v>
      </c>
      <c r="AE6644">
        <v>1.62533999999998</v>
      </c>
      <c r="AF6644">
        <v>-1.7543651589556299</v>
      </c>
      <c r="AG6644">
        <v>-1.1109801458619999</v>
      </c>
      <c r="AH6644">
        <v>21.855063838361801</v>
      </c>
      <c r="AI6644">
        <v>92.900753522274996</v>
      </c>
      <c r="AJ6644">
        <v>94.589446579186003</v>
      </c>
      <c r="AK6644">
        <v>21.953493785143301</v>
      </c>
      <c r="AL6644">
        <v>78.130756322000906</v>
      </c>
      <c r="AM6644">
        <v>94.293501737707004</v>
      </c>
      <c r="AN6644">
        <v>1.00000003410627</v>
      </c>
    </row>
    <row r="6645" spans="1:40" x14ac:dyDescent="0.25">
      <c r="A6645" t="str">
        <f>"20190312172537834"</f>
        <v>20190312172537834</v>
      </c>
      <c r="B6645" t="str">
        <f>"1552382737827265"</f>
        <v>1552382737827265</v>
      </c>
      <c r="C6645" t="s">
        <v>40</v>
      </c>
      <c r="D6645">
        <v>3.701355</v>
      </c>
      <c r="E6645">
        <v>0.49956469999999997</v>
      </c>
      <c r="F6645" t="s">
        <v>50</v>
      </c>
      <c r="G6645">
        <v>-200.84190000000001</v>
      </c>
      <c r="H6645" s="1">
        <v>-5.3386220000000002E-6</v>
      </c>
      <c r="I6645">
        <v>-61.501779999999997</v>
      </c>
      <c r="J6645">
        <v>-222.9785</v>
      </c>
      <c r="K6645">
        <v>1.111022</v>
      </c>
      <c r="L6645">
        <v>-63.164610000000003</v>
      </c>
      <c r="M6645">
        <v>0.99987749999999997</v>
      </c>
      <c r="N6645">
        <v>0</v>
      </c>
      <c r="O6645">
        <v>-5.862669E-3</v>
      </c>
      <c r="P6645">
        <v>0.97904849999999999</v>
      </c>
      <c r="Q6645">
        <v>0.19188179999999999</v>
      </c>
      <c r="R6645">
        <v>6.8160479999999996E-2</v>
      </c>
      <c r="S6645">
        <v>3.0780180000000001</v>
      </c>
      <c r="T6645">
        <v>-0.1533206</v>
      </c>
      <c r="U6645">
        <v>0.22937009999999999</v>
      </c>
      <c r="V6645">
        <v>-7.405291E-2</v>
      </c>
      <c r="W6645">
        <v>0.2060196</v>
      </c>
      <c r="X6645">
        <v>0.97574179999999999</v>
      </c>
      <c r="Y6645">
        <v>-8.0052579999999998E-2</v>
      </c>
      <c r="Z6645">
        <v>2.2812679999999999E-3</v>
      </c>
      <c r="AA6645">
        <v>0.99678800000000001</v>
      </c>
      <c r="AB6645">
        <v>33</v>
      </c>
      <c r="AC6645">
        <v>22.136599999999898</v>
      </c>
      <c r="AD6645">
        <v>-1.111027338622</v>
      </c>
      <c r="AE6645">
        <v>1.66282999999999</v>
      </c>
      <c r="AF6645">
        <v>-1.7881156594771299</v>
      </c>
      <c r="AG6645">
        <v>-1.111027338622</v>
      </c>
      <c r="AH6645">
        <v>22.0711845412151</v>
      </c>
      <c r="AI6645">
        <v>92.872348255987404</v>
      </c>
      <c r="AJ6645">
        <v>94.631750051103495</v>
      </c>
      <c r="AK6645">
        <v>22.1713537342943</v>
      </c>
      <c r="AL6645">
        <v>78.110807844593097</v>
      </c>
      <c r="AM6645">
        <v>94.340083603389203</v>
      </c>
      <c r="AN6645">
        <v>0.99999998466543305</v>
      </c>
    </row>
    <row r="6646" spans="1:40" x14ac:dyDescent="0.25">
      <c r="A6646" t="str">
        <f>"20190312172537845"</f>
        <v>20190312172537845</v>
      </c>
      <c r="B6646" t="str">
        <f>"1552382737837025"</f>
        <v>1552382737837025</v>
      </c>
      <c r="C6646" t="s">
        <v>40</v>
      </c>
      <c r="D6646">
        <v>3.6970589999999999</v>
      </c>
      <c r="E6646">
        <v>0.49951190000000001</v>
      </c>
      <c r="F6646" t="s">
        <v>50</v>
      </c>
      <c r="G6646">
        <v>-200.547</v>
      </c>
      <c r="H6646" s="1">
        <v>-5.4869480000000004E-6</v>
      </c>
      <c r="I6646">
        <v>-61.468290000000003</v>
      </c>
      <c r="J6646">
        <v>-222.8177</v>
      </c>
      <c r="K6646">
        <v>1.111059</v>
      </c>
      <c r="L6646">
        <v>-63.16534</v>
      </c>
      <c r="M6646">
        <v>0.99987879999999996</v>
      </c>
      <c r="N6646">
        <v>0</v>
      </c>
      <c r="O6646">
        <v>-5.6266719999999897E-3</v>
      </c>
      <c r="P6646">
        <v>0.97881320000000005</v>
      </c>
      <c r="Q6646">
        <v>0.19264519999999999</v>
      </c>
      <c r="R6646">
        <v>6.9373899999999905E-2</v>
      </c>
      <c r="S6646">
        <v>3.0778810000000001</v>
      </c>
      <c r="T6646">
        <v>-0.152447</v>
      </c>
      <c r="U6646">
        <v>0.23275760000000001</v>
      </c>
      <c r="V6646">
        <v>-7.5051729999999997E-2</v>
      </c>
      <c r="W6646">
        <v>0.2067717</v>
      </c>
      <c r="X6646">
        <v>0.9755064</v>
      </c>
      <c r="Y6646">
        <v>-8.0911930000000007E-2</v>
      </c>
      <c r="Z6646">
        <v>2.277865E-3</v>
      </c>
      <c r="AA6646">
        <v>0.99671860000000001</v>
      </c>
      <c r="AB6646">
        <v>33</v>
      </c>
      <c r="AC6646">
        <v>22.270700000000001</v>
      </c>
      <c r="AD6646">
        <v>-1.111064486948</v>
      </c>
      <c r="AE6646">
        <v>1.69704999999999</v>
      </c>
      <c r="AF6646">
        <v>-1.8178479031113</v>
      </c>
      <c r="AG6646">
        <v>-1.111064486948</v>
      </c>
      <c r="AH6646">
        <v>22.2058481417568</v>
      </c>
      <c r="AI6646">
        <v>92.854858136146404</v>
      </c>
      <c r="AJ6646">
        <v>94.679995723681103</v>
      </c>
      <c r="AK6646">
        <v>22.3078176204613</v>
      </c>
      <c r="AL6646">
        <v>78.066767830842096</v>
      </c>
      <c r="AM6646">
        <v>94.399451339815997</v>
      </c>
      <c r="AN6646">
        <v>1.0000000172689201</v>
      </c>
    </row>
    <row r="6647" spans="1:40" x14ac:dyDescent="0.25">
      <c r="A6647" t="str">
        <f>"20190312172537856"</f>
        <v>20190312172537856</v>
      </c>
      <c r="B6647" t="str">
        <f>"1552382737846785"</f>
        <v>1552382737846785</v>
      </c>
      <c r="C6647" t="s">
        <v>40</v>
      </c>
      <c r="D6647">
        <v>3.793984</v>
      </c>
      <c r="E6647">
        <v>0.49944670000000002</v>
      </c>
      <c r="F6647" t="s">
        <v>50</v>
      </c>
      <c r="G6647">
        <v>-200.0592</v>
      </c>
      <c r="H6647" s="1">
        <v>-5.7323320000000002E-6</v>
      </c>
      <c r="I6647">
        <v>-61.413960000000003</v>
      </c>
      <c r="J6647">
        <v>-222.655</v>
      </c>
      <c r="K6647">
        <v>1.111094</v>
      </c>
      <c r="L6647">
        <v>-63.166049999999998</v>
      </c>
      <c r="M6647">
        <v>0.99988030000000006</v>
      </c>
      <c r="N6647">
        <v>0</v>
      </c>
      <c r="O6647">
        <v>-5.362973E-3</v>
      </c>
      <c r="P6647">
        <v>0.97868480000000002</v>
      </c>
      <c r="Q6647">
        <v>0.19294800000000001</v>
      </c>
      <c r="R6647">
        <v>7.0337910000000003E-2</v>
      </c>
      <c r="S6647">
        <v>3.077728</v>
      </c>
      <c r="T6647">
        <v>-0.15025450000000001</v>
      </c>
      <c r="U6647">
        <v>0.2368469</v>
      </c>
      <c r="V6647">
        <v>-7.5775819999999994E-2</v>
      </c>
      <c r="W6647">
        <v>0.2070642</v>
      </c>
      <c r="X6647">
        <v>0.97538829999999999</v>
      </c>
      <c r="Y6647">
        <v>-8.1971459999999996E-2</v>
      </c>
      <c r="Z6647">
        <v>2.2581020000000001E-3</v>
      </c>
      <c r="AA6647">
        <v>0.99663210000000002</v>
      </c>
      <c r="AB6647">
        <v>33</v>
      </c>
      <c r="AC6647">
        <v>22.595800000000001</v>
      </c>
      <c r="AD6647">
        <v>-1.111099732332</v>
      </c>
      <c r="AE6647">
        <v>1.7520899999999999</v>
      </c>
      <c r="AF6647">
        <v>-1.86876661440573</v>
      </c>
      <c r="AG6647">
        <v>-1.111099732332</v>
      </c>
      <c r="AH6647">
        <v>22.531921720313701</v>
      </c>
      <c r="AI6647">
        <v>92.813452490722497</v>
      </c>
      <c r="AJ6647">
        <v>94.741181823930404</v>
      </c>
      <c r="AK6647">
        <v>22.636570581354601</v>
      </c>
      <c r="AL6647">
        <v>78.049637244452498</v>
      </c>
      <c r="AM6647">
        <v>94.442263317662295</v>
      </c>
      <c r="AN6647">
        <v>0.99999994679759896</v>
      </c>
    </row>
    <row r="6648" spans="1:40" x14ac:dyDescent="0.25">
      <c r="A6648" t="str">
        <f>"20190312172537868"</f>
        <v>20190312172537868</v>
      </c>
      <c r="B6648" t="str">
        <f>"1552382737856545"</f>
        <v>1552382737856545</v>
      </c>
      <c r="C6648" t="s">
        <v>40</v>
      </c>
      <c r="D6648">
        <v>3.6856879999999999</v>
      </c>
      <c r="E6648">
        <v>0.49939440000000002</v>
      </c>
      <c r="F6648" t="s">
        <v>50</v>
      </c>
      <c r="G6648">
        <v>-199.7946</v>
      </c>
      <c r="H6648" s="1">
        <v>-5.8486009999999996E-6</v>
      </c>
      <c r="I6648">
        <v>-61.381570000000004</v>
      </c>
      <c r="J6648">
        <v>-222.4915</v>
      </c>
      <c r="K6648">
        <v>1.1111279999999999</v>
      </c>
      <c r="L6648">
        <v>-63.16666</v>
      </c>
      <c r="M6648">
        <v>0.99988189999999999</v>
      </c>
      <c r="N6648">
        <v>0</v>
      </c>
      <c r="O6648">
        <v>-5.0682230000000002E-3</v>
      </c>
      <c r="P6648">
        <v>0.97856129999999997</v>
      </c>
      <c r="Q6648">
        <v>0.19308829999999999</v>
      </c>
      <c r="R6648">
        <v>7.1659109999999998E-2</v>
      </c>
      <c r="S6648">
        <v>3.0775600000000001</v>
      </c>
      <c r="T6648">
        <v>-0.14958099999999999</v>
      </c>
      <c r="U6648">
        <v>0.24023439999999999</v>
      </c>
      <c r="V6648">
        <v>-7.6828489999999999E-2</v>
      </c>
      <c r="W6648">
        <v>0.2071925</v>
      </c>
      <c r="X6648">
        <v>0.97527870000000005</v>
      </c>
      <c r="Y6648">
        <v>-8.2772570000000004E-2</v>
      </c>
      <c r="Z6648">
        <v>2.253147E-3</v>
      </c>
      <c r="AA6648">
        <v>0.9965659</v>
      </c>
      <c r="AB6648">
        <v>33</v>
      </c>
      <c r="AC6648">
        <v>22.696899999999999</v>
      </c>
      <c r="AD6648">
        <v>-1.1111338486010001</v>
      </c>
      <c r="AE6648">
        <v>1.7850900000000001</v>
      </c>
      <c r="AF6648">
        <v>-1.8955970261236299</v>
      </c>
      <c r="AG6648">
        <v>-1.1111338486010001</v>
      </c>
      <c r="AH6648">
        <v>22.6336494010895</v>
      </c>
      <c r="AI6648">
        <v>92.800725286966397</v>
      </c>
      <c r="AJ6648">
        <v>94.787422091195495</v>
      </c>
      <c r="AK6648">
        <v>22.740052588470299</v>
      </c>
      <c r="AL6648">
        <v>78.042123233194403</v>
      </c>
      <c r="AM6648">
        <v>94.504226669818607</v>
      </c>
      <c r="AN6648">
        <v>0.99999994580280804</v>
      </c>
    </row>
    <row r="6649" spans="1:40" x14ac:dyDescent="0.25">
      <c r="A6649" t="str">
        <f>"20190312172537878"</f>
        <v>20190312172537878</v>
      </c>
      <c r="B6649" t="str">
        <f>"1552382737867281"</f>
        <v>1552382737867281</v>
      </c>
      <c r="C6649" t="s">
        <v>40</v>
      </c>
      <c r="D6649">
        <v>3.7040130000000002</v>
      </c>
      <c r="E6649">
        <v>0.4993418</v>
      </c>
      <c r="F6649" t="s">
        <v>50</v>
      </c>
      <c r="G6649">
        <v>-199.59639999999999</v>
      </c>
      <c r="H6649" s="1">
        <v>-5.9272739999999997E-6</v>
      </c>
      <c r="I6649">
        <v>-61.345910000000003</v>
      </c>
      <c r="J6649">
        <v>-222.328</v>
      </c>
      <c r="K6649">
        <v>1.111162</v>
      </c>
      <c r="L6649">
        <v>-63.167180000000002</v>
      </c>
      <c r="M6649">
        <v>0.99988339999999998</v>
      </c>
      <c r="N6649">
        <v>0</v>
      </c>
      <c r="O6649">
        <v>-4.7515029999999998E-3</v>
      </c>
      <c r="P6649">
        <v>0.97848020000000002</v>
      </c>
      <c r="Q6649">
        <v>0.19303919999999999</v>
      </c>
      <c r="R6649">
        <v>7.2887350000000004E-2</v>
      </c>
      <c r="S6649">
        <v>3.0772550000000001</v>
      </c>
      <c r="T6649">
        <v>-0.14934410000000001</v>
      </c>
      <c r="U6649">
        <v>0.24472050000000001</v>
      </c>
      <c r="V6649">
        <v>-7.7767950000000002E-2</v>
      </c>
      <c r="W6649">
        <v>0.20713229999999999</v>
      </c>
      <c r="X6649">
        <v>0.97521709999999995</v>
      </c>
      <c r="Y6649">
        <v>-8.3907750000000003E-2</v>
      </c>
      <c r="Z6649">
        <v>2.261824E-3</v>
      </c>
      <c r="AA6649">
        <v>0.996471</v>
      </c>
      <c r="AB6649">
        <v>33</v>
      </c>
      <c r="AC6649">
        <v>22.7316</v>
      </c>
      <c r="AD6649">
        <v>-1.111167927274</v>
      </c>
      <c r="AE6649">
        <v>1.8212699999999999</v>
      </c>
      <c r="AF6649">
        <v>-1.9247004210574099</v>
      </c>
      <c r="AG6649">
        <v>-1.111167927274</v>
      </c>
      <c r="AH6649">
        <v>22.6688678472409</v>
      </c>
      <c r="AI6649">
        <v>92.796196898811004</v>
      </c>
      <c r="AJ6649">
        <v>94.8530593140365</v>
      </c>
      <c r="AK6649">
        <v>22.777548931987699</v>
      </c>
      <c r="AL6649">
        <v>78.045649798750702</v>
      </c>
      <c r="AM6649">
        <v>94.559360390419201</v>
      </c>
      <c r="AN6649">
        <v>1.0000000179414501</v>
      </c>
    </row>
    <row r="6650" spans="1:40" x14ac:dyDescent="0.25">
      <c r="A6650" t="str">
        <f>"20190312172537890"</f>
        <v>20190312172537890</v>
      </c>
      <c r="B6650" t="str">
        <f>"1552382737886801"</f>
        <v>1552382737886801</v>
      </c>
      <c r="C6650" t="s">
        <v>40</v>
      </c>
      <c r="D6650">
        <v>3.6896629999999999</v>
      </c>
      <c r="E6650">
        <v>0.4992412</v>
      </c>
      <c r="F6650" t="s">
        <v>50</v>
      </c>
      <c r="G6650">
        <v>-199.49029999999999</v>
      </c>
      <c r="H6650" s="1">
        <v>-5.968979E-6</v>
      </c>
      <c r="I6650">
        <v>-61.319819999999901</v>
      </c>
      <c r="J6650">
        <v>-222.1602</v>
      </c>
      <c r="K6650">
        <v>1.1112029999999999</v>
      </c>
      <c r="L6650">
        <v>-63.167630000000003</v>
      </c>
      <c r="M6650">
        <v>0.99988509999999997</v>
      </c>
      <c r="N6650">
        <v>0</v>
      </c>
      <c r="O6650">
        <v>-4.3732520000000002E-3</v>
      </c>
      <c r="P6650">
        <v>0.97846219999999995</v>
      </c>
      <c r="Q6650">
        <v>0.1926939</v>
      </c>
      <c r="R6650">
        <v>7.4033450000000001E-2</v>
      </c>
      <c r="S6650">
        <v>3.0770110000000002</v>
      </c>
      <c r="T6650">
        <v>-0.1497116</v>
      </c>
      <c r="U6650">
        <v>0.24890139999999999</v>
      </c>
      <c r="V6650">
        <v>-7.8569639999999996E-2</v>
      </c>
      <c r="W6650">
        <v>0.20677499999999999</v>
      </c>
      <c r="X6650">
        <v>0.97522869999999995</v>
      </c>
      <c r="Y6650">
        <v>-8.4881079999999998E-2</v>
      </c>
      <c r="Z6650">
        <v>2.272699E-3</v>
      </c>
      <c r="AA6650">
        <v>0.99638850000000001</v>
      </c>
      <c r="AB6650">
        <v>33</v>
      </c>
      <c r="AC6650">
        <v>22.669899999999998</v>
      </c>
      <c r="AD6650">
        <v>-1.1112089689789999</v>
      </c>
      <c r="AE6650">
        <v>1.84781</v>
      </c>
      <c r="AF6650">
        <v>-1.9423080506131001</v>
      </c>
      <c r="AG6650">
        <v>-1.1112089689789999</v>
      </c>
      <c r="AH6650">
        <v>22.607641407480202</v>
      </c>
      <c r="AI6650">
        <v>92.803621502690802</v>
      </c>
      <c r="AJ6650">
        <v>94.910439380207507</v>
      </c>
      <c r="AK6650">
        <v>22.718116029843401</v>
      </c>
      <c r="AL6650">
        <v>78.066575012602101</v>
      </c>
      <c r="AM6650">
        <v>94.606105897316894</v>
      </c>
      <c r="AN6650">
        <v>1.0000000531291999</v>
      </c>
    </row>
    <row r="6651" spans="1:40" x14ac:dyDescent="0.25">
      <c r="A6651" t="str">
        <f>"20190312172537901"</f>
        <v>20190312172537901</v>
      </c>
      <c r="B6651" t="str">
        <f>"1552382737896564"</f>
        <v>1552382737896564</v>
      </c>
      <c r="C6651" t="s">
        <v>40</v>
      </c>
      <c r="D6651">
        <v>3.6985700000000001</v>
      </c>
      <c r="E6651">
        <v>0.49919190000000002</v>
      </c>
      <c r="F6651" t="s">
        <v>50</v>
      </c>
      <c r="G6651">
        <v>-199.53309999999999</v>
      </c>
      <c r="H6651" s="1">
        <v>-5.9505589999999998E-6</v>
      </c>
      <c r="I6651">
        <v>-61.303190000000001</v>
      </c>
      <c r="J6651">
        <v>-221.994</v>
      </c>
      <c r="K6651">
        <v>1.111245</v>
      </c>
      <c r="L6651">
        <v>-63.168059999999997</v>
      </c>
      <c r="M6651">
        <v>0.99988679999999996</v>
      </c>
      <c r="N6651">
        <v>0</v>
      </c>
      <c r="O6651">
        <v>-3.9829419999999997E-3</v>
      </c>
      <c r="P6651">
        <v>0.9784735</v>
      </c>
      <c r="Q6651">
        <v>0.19206090000000001</v>
      </c>
      <c r="R6651">
        <v>7.5514579999999998E-2</v>
      </c>
      <c r="S6651">
        <v>3.0766140000000002</v>
      </c>
      <c r="T6651">
        <v>-0.1510917</v>
      </c>
      <c r="U6651">
        <v>0.2535095</v>
      </c>
      <c r="V6651">
        <v>-7.9695340000000003E-2</v>
      </c>
      <c r="W6651">
        <v>0.2061297</v>
      </c>
      <c r="X6651">
        <v>0.97527390000000003</v>
      </c>
      <c r="Y6651">
        <v>-8.5982119999999995E-2</v>
      </c>
      <c r="Z6651">
        <v>2.3016260000000002E-3</v>
      </c>
      <c r="AA6651">
        <v>0.99629400000000001</v>
      </c>
      <c r="AB6651">
        <v>33</v>
      </c>
      <c r="AC6651">
        <v>22.460899999999999</v>
      </c>
      <c r="AD6651">
        <v>-1.111250950559</v>
      </c>
      <c r="AE6651">
        <v>1.86486999999999</v>
      </c>
      <c r="AF6651">
        <v>-1.9495856264022799</v>
      </c>
      <c r="AG6651">
        <v>-1.111250950559</v>
      </c>
      <c r="AH6651">
        <v>22.398841585212701</v>
      </c>
      <c r="AI6651">
        <v>92.829548047612704</v>
      </c>
      <c r="AJ6651">
        <v>94.974463518577906</v>
      </c>
      <c r="AK6651">
        <v>22.510972150248101</v>
      </c>
      <c r="AL6651">
        <v>78.104361277538402</v>
      </c>
      <c r="AM6651">
        <v>94.671593867267504</v>
      </c>
      <c r="AN6651">
        <v>0.99999999023050701</v>
      </c>
    </row>
    <row r="6652" spans="1:40" x14ac:dyDescent="0.25">
      <c r="A6652" t="str">
        <f>"20190312172537913"</f>
        <v>20190312172537913</v>
      </c>
      <c r="B6652" t="str">
        <f>"1552382737907296"</f>
        <v>1552382737907296</v>
      </c>
      <c r="C6652" t="s">
        <v>40</v>
      </c>
      <c r="D6652">
        <v>3.6839729999999999</v>
      </c>
      <c r="E6652">
        <v>0.49914459999999999</v>
      </c>
      <c r="F6652" t="s">
        <v>50</v>
      </c>
      <c r="G6652">
        <v>-199.68969999999999</v>
      </c>
      <c r="H6652" s="1">
        <v>-5.8860110000000001E-6</v>
      </c>
      <c r="I6652">
        <v>-61.290080000000003</v>
      </c>
      <c r="J6652">
        <v>-221.8235</v>
      </c>
      <c r="K6652">
        <v>1.1113029999999999</v>
      </c>
      <c r="L6652">
        <v>-63.1682699999999</v>
      </c>
      <c r="M6652">
        <v>0.99988869999999996</v>
      </c>
      <c r="N6652">
        <v>0</v>
      </c>
      <c r="O6652">
        <v>-3.494998E-3</v>
      </c>
      <c r="P6652">
        <v>0.97846860000000002</v>
      </c>
      <c r="Q6652">
        <v>0.19154389999999999</v>
      </c>
      <c r="R6652">
        <v>7.6879710000000004E-2</v>
      </c>
      <c r="S6652">
        <v>3.076111</v>
      </c>
      <c r="T6652">
        <v>-0.15325899999999901</v>
      </c>
      <c r="U6652">
        <v>0.25900269999999997</v>
      </c>
      <c r="V6652">
        <v>-8.0617430000000004E-2</v>
      </c>
      <c r="W6652">
        <v>0.2055968</v>
      </c>
      <c r="X6652">
        <v>0.97531060000000003</v>
      </c>
      <c r="Y6652">
        <v>-8.7271970000000004E-2</v>
      </c>
      <c r="Z6652">
        <v>2.3426079999999999E-3</v>
      </c>
      <c r="AA6652">
        <v>0.99618180000000001</v>
      </c>
      <c r="AB6652">
        <v>33</v>
      </c>
      <c r="AC6652">
        <v>22.133800000000001</v>
      </c>
      <c r="AD6652">
        <v>-1.1113088860110001</v>
      </c>
      <c r="AE6652">
        <v>1.87818999999998</v>
      </c>
      <c r="AF6652">
        <v>-1.95066196046329</v>
      </c>
      <c r="AG6652">
        <v>-1.1113088860110001</v>
      </c>
      <c r="AH6652">
        <v>22.071856414053901</v>
      </c>
      <c r="AI6652">
        <v>92.871212517984702</v>
      </c>
      <c r="AJ6652">
        <v>95.050552486723106</v>
      </c>
      <c r="AK6652">
        <v>22.185737199532898</v>
      </c>
      <c r="AL6652">
        <v>78.135562506686995</v>
      </c>
      <c r="AM6652">
        <v>94.725224696786597</v>
      </c>
      <c r="AN6652">
        <v>0.99999999033120202</v>
      </c>
    </row>
    <row r="6653" spans="1:40" x14ac:dyDescent="0.25">
      <c r="A6653" t="str">
        <f>"20190312172537924"</f>
        <v>20190312172537924</v>
      </c>
      <c r="B6653" t="str">
        <f>"1552382737917056"</f>
        <v>1552382737917056</v>
      </c>
      <c r="C6653" t="s">
        <v>40</v>
      </c>
      <c r="D6653">
        <v>3.6846230000000002</v>
      </c>
      <c r="E6653">
        <v>0.49909710000000002</v>
      </c>
      <c r="F6653" t="s">
        <v>50</v>
      </c>
      <c r="G6653">
        <v>-199.7841</v>
      </c>
      <c r="H6653" s="1">
        <v>-5.8466899999999996E-6</v>
      </c>
      <c r="I6653">
        <v>-61.274909999999998</v>
      </c>
      <c r="J6653">
        <v>-221.65559999999999</v>
      </c>
      <c r="K6653">
        <v>1.1113660000000001</v>
      </c>
      <c r="L6653">
        <v>-63.168430000000001</v>
      </c>
      <c r="M6653">
        <v>0.99989019999999995</v>
      </c>
      <c r="N6653">
        <v>0</v>
      </c>
      <c r="O6653">
        <v>-2.9901110000000002E-3</v>
      </c>
      <c r="P6653">
        <v>0.97856609999999999</v>
      </c>
      <c r="Q6653">
        <v>0.19053320000000001</v>
      </c>
      <c r="R6653">
        <v>7.8137990000000004E-2</v>
      </c>
      <c r="S6653">
        <v>3.0756230000000002</v>
      </c>
      <c r="T6653">
        <v>-0.15508459999999999</v>
      </c>
      <c r="U6653">
        <v>0.26422119999999999</v>
      </c>
      <c r="V6653">
        <v>-8.1416580000000002E-2</v>
      </c>
      <c r="W6653">
        <v>0.204572</v>
      </c>
      <c r="X6653">
        <v>0.97545970000000004</v>
      </c>
      <c r="Y6653">
        <v>-8.8456670000000001E-2</v>
      </c>
      <c r="Z6653">
        <v>2.3750770000000002E-3</v>
      </c>
      <c r="AA6653">
        <v>0.9960772</v>
      </c>
      <c r="AB6653">
        <v>33</v>
      </c>
      <c r="AC6653">
        <v>21.871500000000001</v>
      </c>
      <c r="AD6653">
        <v>-1.11137184669</v>
      </c>
      <c r="AE6653">
        <v>1.8935200000000001</v>
      </c>
      <c r="AF6653">
        <v>-1.95390911145636</v>
      </c>
      <c r="AG6653">
        <v>-1.11137184669</v>
      </c>
      <c r="AH6653">
        <v>21.809844995054601</v>
      </c>
      <c r="AI6653">
        <v>92.905501237473402</v>
      </c>
      <c r="AJ6653">
        <v>95.119370228300795</v>
      </c>
      <c r="AK6653">
        <v>21.925379059568201</v>
      </c>
      <c r="AL6653">
        <v>78.195554445193494</v>
      </c>
      <c r="AM6653">
        <v>94.771123968026103</v>
      </c>
      <c r="AN6653">
        <v>0.99999999450349297</v>
      </c>
    </row>
    <row r="6654" spans="1:40" x14ac:dyDescent="0.25">
      <c r="A6654" t="str">
        <f>"20190312172537935"</f>
        <v>20190312172537935</v>
      </c>
      <c r="B6654" t="str">
        <f>"1552382737926818"</f>
        <v>1552382737926818</v>
      </c>
      <c r="C6654" t="s">
        <v>40</v>
      </c>
      <c r="D6654">
        <v>3.7767309999999998</v>
      </c>
      <c r="E6654">
        <v>0.49904150000000003</v>
      </c>
      <c r="F6654" t="s">
        <v>50</v>
      </c>
      <c r="G6654">
        <v>-200.08609999999999</v>
      </c>
      <c r="H6654" s="1">
        <v>-5.7110879999999999E-6</v>
      </c>
      <c r="I6654">
        <v>-61.283650000000002</v>
      </c>
      <c r="J6654">
        <v>-221.48349999999999</v>
      </c>
      <c r="K6654">
        <v>1.1114409999999999</v>
      </c>
      <c r="L6654">
        <v>-63.168430000000001</v>
      </c>
      <c r="M6654">
        <v>0.99989189999999994</v>
      </c>
      <c r="N6654">
        <v>0</v>
      </c>
      <c r="O6654">
        <v>-2.404139E-3</v>
      </c>
      <c r="P6654">
        <v>0.97861520000000002</v>
      </c>
      <c r="Q6654">
        <v>0.18966549999999999</v>
      </c>
      <c r="R6654">
        <v>7.9621079999999997E-2</v>
      </c>
      <c r="S6654">
        <v>3.0751040000000001</v>
      </c>
      <c r="T6654">
        <v>-0.15844520000000001</v>
      </c>
      <c r="U6654">
        <v>0.26870729999999998</v>
      </c>
      <c r="V6654">
        <v>-8.2365569999999999E-2</v>
      </c>
      <c r="W6654">
        <v>0.20368739999999999</v>
      </c>
      <c r="X6654">
        <v>0.97556509999999996</v>
      </c>
      <c r="Y6654">
        <v>-8.9324070000000005E-2</v>
      </c>
      <c r="Z6654">
        <v>2.4189020000000001E-3</v>
      </c>
      <c r="AA6654">
        <v>0.99599970000000004</v>
      </c>
      <c r="AB6654">
        <v>33</v>
      </c>
      <c r="AC6654">
        <v>21.397400000000001</v>
      </c>
      <c r="AD6654">
        <v>-1.111446711088</v>
      </c>
      <c r="AE6654">
        <v>1.8847799999999999</v>
      </c>
      <c r="AF6654">
        <v>-1.93105226324637</v>
      </c>
      <c r="AG6654">
        <v>-1.111446711088</v>
      </c>
      <c r="AH6654">
        <v>21.335684161391399</v>
      </c>
      <c r="AI6654">
        <v>92.969914430979998</v>
      </c>
      <c r="AJ6654">
        <v>95.171641392234406</v>
      </c>
      <c r="AK6654">
        <v>21.451706115589602</v>
      </c>
      <c r="AL6654">
        <v>78.247327974641706</v>
      </c>
      <c r="AM6654">
        <v>94.8259558948576</v>
      </c>
      <c r="AN6654">
        <v>0.99999995418909604</v>
      </c>
    </row>
    <row r="6655" spans="1:40" x14ac:dyDescent="0.25">
      <c r="A6655" t="str">
        <f>"20190312172537948"</f>
        <v>20190312172537948</v>
      </c>
      <c r="B6655" t="str">
        <f>"1552382737936577"</f>
        <v>1552382737936577</v>
      </c>
      <c r="C6655" t="s">
        <v>40</v>
      </c>
      <c r="D6655">
        <v>3.7981400000000001</v>
      </c>
      <c r="E6655">
        <v>0.49898439999999999</v>
      </c>
      <c r="F6655" t="s">
        <v>50</v>
      </c>
      <c r="G6655">
        <v>-200.31440000000001</v>
      </c>
      <c r="H6655" s="1">
        <v>-5.5945700000000002E-6</v>
      </c>
      <c r="I6655">
        <v>-61.280900000000003</v>
      </c>
      <c r="J6655">
        <v>-221.3107</v>
      </c>
      <c r="K6655">
        <v>1.111529</v>
      </c>
      <c r="L6655">
        <v>-63.168239999999997</v>
      </c>
      <c r="M6655">
        <v>0.99989309999999998</v>
      </c>
      <c r="N6655">
        <v>0</v>
      </c>
      <c r="O6655">
        <v>-1.7502209999999999E-3</v>
      </c>
      <c r="P6655">
        <v>0.97863549999999999</v>
      </c>
      <c r="Q6655">
        <v>0.18890799999999999</v>
      </c>
      <c r="R6655">
        <v>8.1155749999999999E-2</v>
      </c>
      <c r="S6655">
        <v>3.0745390000000001</v>
      </c>
      <c r="T6655">
        <v>-0.1614237</v>
      </c>
      <c r="U6655">
        <v>0.27413939999999998</v>
      </c>
      <c r="V6655">
        <v>-8.3304999999999907E-2</v>
      </c>
      <c r="W6655">
        <v>0.2029096</v>
      </c>
      <c r="X6655">
        <v>0.97564740000000005</v>
      </c>
      <c r="Y6655">
        <v>-9.0429430000000005E-2</v>
      </c>
      <c r="Z6655">
        <v>2.4592640000000001E-3</v>
      </c>
      <c r="AA6655">
        <v>0.99589989999999995</v>
      </c>
      <c r="AB6655">
        <v>33</v>
      </c>
      <c r="AC6655">
        <v>20.996299999999898</v>
      </c>
      <c r="AD6655">
        <v>-1.1115345945699999</v>
      </c>
      <c r="AE6655">
        <v>1.88734</v>
      </c>
      <c r="AF6655">
        <v>-1.9187547550176201</v>
      </c>
      <c r="AG6655">
        <v>-1.1115345945699999</v>
      </c>
      <c r="AH6655">
        <v>20.934762822056999</v>
      </c>
      <c r="AI6655">
        <v>93.026612615032207</v>
      </c>
      <c r="AJ6655">
        <v>95.236756375938498</v>
      </c>
      <c r="AK6655">
        <v>21.051874581153299</v>
      </c>
      <c r="AL6655">
        <v>78.292842956581097</v>
      </c>
      <c r="AM6655">
        <v>94.880324764419797</v>
      </c>
      <c r="AN6655">
        <v>0.99999993896195805</v>
      </c>
    </row>
    <row r="6656" spans="1:40" x14ac:dyDescent="0.25">
      <c r="A6656" t="str">
        <f>"20190312172537959"</f>
        <v>20190312172537959</v>
      </c>
      <c r="B6656" t="str">
        <f>"1552382737947313"</f>
        <v>1552382737947313</v>
      </c>
      <c r="C6656" t="s">
        <v>40</v>
      </c>
      <c r="D6656">
        <v>3.7570830000000002</v>
      </c>
      <c r="E6656">
        <v>0.4989266</v>
      </c>
      <c r="F6656" t="s">
        <v>50</v>
      </c>
      <c r="G6656">
        <v>-200.4829</v>
      </c>
      <c r="H6656" s="1">
        <v>-5.5083409999999999E-6</v>
      </c>
      <c r="I6656">
        <v>-61.274000000000001</v>
      </c>
      <c r="J6656">
        <v>-221.13740000000001</v>
      </c>
      <c r="K6656">
        <v>1.111621</v>
      </c>
      <c r="L6656">
        <v>-63.167940000000002</v>
      </c>
      <c r="M6656">
        <v>0.99989430000000001</v>
      </c>
      <c r="N6656">
        <v>0</v>
      </c>
      <c r="O6656">
        <v>-1.040306E-3</v>
      </c>
      <c r="P6656">
        <v>0.97869459999999997</v>
      </c>
      <c r="Q6656">
        <v>0.18797559999999999</v>
      </c>
      <c r="R6656">
        <v>8.25964E-2</v>
      </c>
      <c r="S6656">
        <v>3.0739899999999998</v>
      </c>
      <c r="T6656">
        <v>-0.164051799999999</v>
      </c>
      <c r="U6656">
        <v>0.27957149999999997</v>
      </c>
      <c r="V6656">
        <v>-8.4097420000000006E-2</v>
      </c>
      <c r="W6656">
        <v>0.20195640000000001</v>
      </c>
      <c r="X6656">
        <v>0.97577729999999996</v>
      </c>
      <c r="Y6656">
        <v>-9.147914E-2</v>
      </c>
      <c r="Z6656">
        <v>2.4896390000000001E-3</v>
      </c>
      <c r="AA6656">
        <v>0.99580389999999996</v>
      </c>
      <c r="AB6656">
        <v>33</v>
      </c>
      <c r="AC6656">
        <v>20.654499999999999</v>
      </c>
      <c r="AD6656">
        <v>-1.111626508341</v>
      </c>
      <c r="AE6656">
        <v>1.89394</v>
      </c>
      <c r="AF6656">
        <v>-1.9099420274507599</v>
      </c>
      <c r="AG6656">
        <v>-1.111626508341</v>
      </c>
      <c r="AH6656">
        <v>20.5933649840211</v>
      </c>
      <c r="AI6656">
        <v>93.076639823732705</v>
      </c>
      <c r="AJ6656">
        <v>95.298767822889104</v>
      </c>
      <c r="AK6656">
        <v>20.7115975580681</v>
      </c>
      <c r="AL6656">
        <v>78.348613262134407</v>
      </c>
      <c r="AM6656">
        <v>94.925867732509204</v>
      </c>
      <c r="AN6656">
        <v>1.0000000513734499</v>
      </c>
    </row>
    <row r="6657" spans="1:40" x14ac:dyDescent="0.25">
      <c r="A6657" t="str">
        <f>"20190312172537972"</f>
        <v>20190312172537972</v>
      </c>
      <c r="B6657" t="str">
        <f>"1552382737966833"</f>
        <v>1552382737966833</v>
      </c>
      <c r="C6657" t="s">
        <v>40</v>
      </c>
      <c r="D6657">
        <v>3.6812490000000002</v>
      </c>
      <c r="E6657">
        <v>0.4988379</v>
      </c>
      <c r="F6657" t="s">
        <v>50</v>
      </c>
      <c r="G6657">
        <v>-200.69829999999999</v>
      </c>
      <c r="H6657" s="1">
        <v>-5.3985040000000002E-6</v>
      </c>
      <c r="I6657">
        <v>-61.272970000000001</v>
      </c>
      <c r="J6657">
        <v>-220.95320000000001</v>
      </c>
      <c r="K6657">
        <v>1.1117429999999999</v>
      </c>
      <c r="L6657">
        <v>-63.167270000000002</v>
      </c>
      <c r="M6657">
        <v>0.99989470000000003</v>
      </c>
      <c r="N6657">
        <v>0</v>
      </c>
      <c r="O6657">
        <v>-1.50066E-4</v>
      </c>
      <c r="P6657">
        <v>0.97861419999999999</v>
      </c>
      <c r="Q6657">
        <v>0.1877296</v>
      </c>
      <c r="R6657">
        <v>8.4095509999999998E-2</v>
      </c>
      <c r="S6657">
        <v>3.0733640000000002</v>
      </c>
      <c r="T6657">
        <v>-0.1671523</v>
      </c>
      <c r="U6657">
        <v>0.28494259999999999</v>
      </c>
      <c r="V6657">
        <v>-8.4786230000000004E-2</v>
      </c>
      <c r="W6657">
        <v>0.20168369999999999</v>
      </c>
      <c r="X6657">
        <v>0.97577400000000003</v>
      </c>
      <c r="Y6657">
        <v>-9.2331579999999996E-2</v>
      </c>
      <c r="Z6657">
        <v>2.5117659999999999E-3</v>
      </c>
      <c r="AA6657">
        <v>0.99572519999999998</v>
      </c>
      <c r="AB6657">
        <v>33</v>
      </c>
      <c r="AC6657">
        <v>20.254899999999999</v>
      </c>
      <c r="AD6657">
        <v>-1.111748398504</v>
      </c>
      <c r="AE6657">
        <v>1.8943000000000001</v>
      </c>
      <c r="AF6657">
        <v>-1.8916902305923</v>
      </c>
      <c r="AG6657">
        <v>-1.111748398504</v>
      </c>
      <c r="AH6657">
        <v>20.194304039700398</v>
      </c>
      <c r="AI6657">
        <v>93.137391753089702</v>
      </c>
      <c r="AJ6657">
        <v>95.351533767447293</v>
      </c>
      <c r="AK6657">
        <v>20.313158102027199</v>
      </c>
      <c r="AL6657">
        <v>78.364565002207797</v>
      </c>
      <c r="AM6657">
        <v>94.9660294106083</v>
      </c>
      <c r="AN6657">
        <v>0.99999995935965003</v>
      </c>
    </row>
    <row r="6658" spans="1:40" x14ac:dyDescent="0.25">
      <c r="A6658" t="str">
        <f>"20190312172537983"</f>
        <v>20190312172537983</v>
      </c>
      <c r="B6658" t="str">
        <f>"1552382737976593"</f>
        <v>1552382737976593</v>
      </c>
      <c r="C6658" t="s">
        <v>40</v>
      </c>
      <c r="D6658">
        <v>3.8182870000000002</v>
      </c>
      <c r="E6658">
        <v>0.49880089999999999</v>
      </c>
      <c r="F6658" t="s">
        <v>50</v>
      </c>
      <c r="G6658">
        <v>-200.64320000000001</v>
      </c>
      <c r="H6658" s="1">
        <v>-5.4249199999999899E-6</v>
      </c>
      <c r="I6658">
        <v>-61.243989999999997</v>
      </c>
      <c r="J6658">
        <v>-220.79140000000001</v>
      </c>
      <c r="K6658">
        <v>1.1118600000000001</v>
      </c>
      <c r="L6658">
        <v>-63.166629999999998</v>
      </c>
      <c r="M6658">
        <v>0.99989439999999996</v>
      </c>
      <c r="N6658">
        <v>0</v>
      </c>
      <c r="O6658">
        <v>6.7837449999999999E-4</v>
      </c>
      <c r="P6658">
        <v>0.97849549999999996</v>
      </c>
      <c r="Q6658">
        <v>0.18779789999999999</v>
      </c>
      <c r="R6658">
        <v>8.5313529999999999E-2</v>
      </c>
      <c r="S6658">
        <v>3.0728300000000002</v>
      </c>
      <c r="T6658">
        <v>-0.16820360000000001</v>
      </c>
      <c r="U6658">
        <v>0.290985099999999</v>
      </c>
      <c r="V6658">
        <v>-8.5250740000000005E-2</v>
      </c>
      <c r="W6658">
        <v>0.20172670000000001</v>
      </c>
      <c r="X6658">
        <v>0.9757247</v>
      </c>
      <c r="Y6658">
        <v>-9.3461249999999996E-2</v>
      </c>
      <c r="Z6658">
        <v>2.5133550000000001E-3</v>
      </c>
      <c r="AA6658">
        <v>0.99561980000000005</v>
      </c>
      <c r="AB6658">
        <v>33</v>
      </c>
      <c r="AC6658">
        <v>20.148199999999999</v>
      </c>
      <c r="AD6658">
        <v>-1.11186542492</v>
      </c>
      <c r="AE6658">
        <v>1.9226399999999999</v>
      </c>
      <c r="AF6658">
        <v>-1.90322647253183</v>
      </c>
      <c r="AG6658">
        <v>-1.11186542492</v>
      </c>
      <c r="AH6658">
        <v>20.0888749020821</v>
      </c>
      <c r="AI6658">
        <v>93.153842085579697</v>
      </c>
      <c r="AJ6658">
        <v>95.412066749792203</v>
      </c>
      <c r="AK6658">
        <v>20.2094386503035</v>
      </c>
      <c r="AL6658">
        <v>78.3620503000285</v>
      </c>
      <c r="AM6658">
        <v>94.993350150859499</v>
      </c>
      <c r="AN6658">
        <v>1.00000002017676</v>
      </c>
    </row>
    <row r="6659" spans="1:40" x14ac:dyDescent="0.25">
      <c r="A6659" t="str">
        <f>"20190312172537995"</f>
        <v>20190312172537995</v>
      </c>
      <c r="B6659" t="str">
        <f>"1552382737987330"</f>
        <v>1552382737987330</v>
      </c>
      <c r="C6659" t="s">
        <v>40</v>
      </c>
      <c r="D6659">
        <v>3.8160539999999998</v>
      </c>
      <c r="E6659">
        <v>0.49876710000000002</v>
      </c>
      <c r="F6659" t="s">
        <v>50</v>
      </c>
      <c r="G6659">
        <v>-200.47290000000001</v>
      </c>
      <c r="H6659" s="1">
        <v>-5.5097699999999998E-6</v>
      </c>
      <c r="I6659">
        <v>-61.211410000000001</v>
      </c>
      <c r="J6659">
        <v>-220.61660000000001</v>
      </c>
      <c r="K6659">
        <v>1.112009</v>
      </c>
      <c r="L6659">
        <v>-63.165559999999999</v>
      </c>
      <c r="M6659">
        <v>0.99989309999999998</v>
      </c>
      <c r="N6659">
        <v>0</v>
      </c>
      <c r="O6659">
        <v>1.7215520000000001E-3</v>
      </c>
      <c r="P6659">
        <v>0.97835079999999996</v>
      </c>
      <c r="Q6659">
        <v>0.18798309999999999</v>
      </c>
      <c r="R6659">
        <v>8.6556309999999997E-2</v>
      </c>
      <c r="S6659">
        <v>3.0724179999999999</v>
      </c>
      <c r="T6659">
        <v>-0.16812859999999999</v>
      </c>
      <c r="U6659">
        <v>0.29565429999999998</v>
      </c>
      <c r="V6659">
        <v>-8.5544780000000001E-2</v>
      </c>
      <c r="W6659">
        <v>0.20188220000000001</v>
      </c>
      <c r="X6659">
        <v>0.97566679999999995</v>
      </c>
      <c r="Y6659">
        <v>-9.3935420000000006E-2</v>
      </c>
      <c r="Z6659">
        <v>2.468409E-3</v>
      </c>
      <c r="AA6659">
        <v>0.99557519999999999</v>
      </c>
      <c r="AB6659">
        <v>33</v>
      </c>
      <c r="AC6659">
        <v>20.1436999999999</v>
      </c>
      <c r="AD6659">
        <v>-1.11201450977</v>
      </c>
      <c r="AE6659">
        <v>1.9541499999999901</v>
      </c>
      <c r="AF6659">
        <v>-1.91368744827991</v>
      </c>
      <c r="AG6659">
        <v>-1.11201450977</v>
      </c>
      <c r="AH6659">
        <v>20.0863922785875</v>
      </c>
      <c r="AI6659">
        <v>93.154495338206601</v>
      </c>
      <c r="AJ6659">
        <v>95.442304323012706</v>
      </c>
      <c r="AK6659">
        <v>20.207967010289298</v>
      </c>
      <c r="AL6659">
        <v>78.352953628845299</v>
      </c>
      <c r="AM6659">
        <v>95.010781119304198</v>
      </c>
      <c r="AN6659">
        <v>1.00000001834216</v>
      </c>
    </row>
    <row r="6660" spans="1:40" x14ac:dyDescent="0.25">
      <c r="A6660" t="str">
        <f>"20190312172538004"</f>
        <v>20190312172538004</v>
      </c>
      <c r="B6660" t="str">
        <f>"1552382737997089"</f>
        <v>1552382737997089</v>
      </c>
      <c r="C6660" t="s">
        <v>40</v>
      </c>
      <c r="D6660">
        <v>3.822803</v>
      </c>
      <c r="E6660">
        <v>0.49873440000000002</v>
      </c>
      <c r="F6660" t="s">
        <v>50</v>
      </c>
      <c r="G6660">
        <v>-200.2431</v>
      </c>
      <c r="H6660" s="1">
        <v>-5.624719E-6</v>
      </c>
      <c r="I6660">
        <v>-61.174439999999997</v>
      </c>
      <c r="J6660">
        <v>-220.47450000000001</v>
      </c>
      <c r="K6660">
        <v>1.1121299999999901</v>
      </c>
      <c r="L6660">
        <v>-63.164520000000003</v>
      </c>
      <c r="M6660">
        <v>0.99989130000000004</v>
      </c>
      <c r="N6660">
        <v>0</v>
      </c>
      <c r="O6660">
        <v>2.620537E-3</v>
      </c>
      <c r="P6660">
        <v>0.97813530000000004</v>
      </c>
      <c r="Q6660">
        <v>0.18847179999999999</v>
      </c>
      <c r="R6660">
        <v>8.7918389999999999E-2</v>
      </c>
      <c r="S6660">
        <v>3.0720209999999999</v>
      </c>
      <c r="T6660">
        <v>-0.1676754</v>
      </c>
      <c r="U6660">
        <v>0.3002319</v>
      </c>
      <c r="V6660">
        <v>-8.6088620000000005E-2</v>
      </c>
      <c r="W6660">
        <v>0.20234360000000001</v>
      </c>
      <c r="X6660">
        <v>0.97552340000000004</v>
      </c>
      <c r="Y6660">
        <v>-9.4523469999999998E-2</v>
      </c>
      <c r="Z6660">
        <v>2.4289860000000002E-3</v>
      </c>
      <c r="AA6660">
        <v>0.99551970000000001</v>
      </c>
      <c r="AB6660">
        <v>33</v>
      </c>
      <c r="AC6660">
        <v>20.231400000000001</v>
      </c>
      <c r="AD6660">
        <v>-1.11213562471899</v>
      </c>
      <c r="AE6660">
        <v>1.9900799999999901</v>
      </c>
      <c r="AF6660">
        <v>-1.9312704925153801</v>
      </c>
      <c r="AG6660">
        <v>-1.11213562471899</v>
      </c>
      <c r="AH6660">
        <v>20.1761623755215</v>
      </c>
      <c r="AI6660">
        <v>93.140696750345995</v>
      </c>
      <c r="AJ6660">
        <v>95.467716862638497</v>
      </c>
      <c r="AK6660">
        <v>20.298871386519</v>
      </c>
      <c r="AL6660">
        <v>78.325960570973606</v>
      </c>
      <c r="AM6660">
        <v>95.043210211998996</v>
      </c>
      <c r="AN6660">
        <v>1.0000000434510099</v>
      </c>
    </row>
    <row r="6661" spans="1:40" x14ac:dyDescent="0.25">
      <c r="A6661" t="str">
        <f>"20190312172538015"</f>
        <v>20190312172538015</v>
      </c>
      <c r="B6661" t="str">
        <f>"1552382738006850"</f>
        <v>1552382738006850</v>
      </c>
      <c r="C6661" t="s">
        <v>40</v>
      </c>
      <c r="D6661">
        <v>3.787131</v>
      </c>
      <c r="E6661">
        <v>0.4987009</v>
      </c>
      <c r="F6661" t="s">
        <v>50</v>
      </c>
      <c r="G6661">
        <v>-199.92869999999999</v>
      </c>
      <c r="H6661" s="1">
        <v>-5.7791439999999998E-6</v>
      </c>
      <c r="I6661">
        <v>-61.125520000000002</v>
      </c>
      <c r="J6661">
        <v>-220.30869999999999</v>
      </c>
      <c r="K6661">
        <v>1.112282</v>
      </c>
      <c r="L6661">
        <v>-63.163020000000003</v>
      </c>
      <c r="M6661">
        <v>0.99988750000000004</v>
      </c>
      <c r="N6661">
        <v>0</v>
      </c>
      <c r="O6661">
        <v>3.7765329999999999E-3</v>
      </c>
      <c r="P6661">
        <v>0.97794910000000002</v>
      </c>
      <c r="Q6661">
        <v>0.1889634</v>
      </c>
      <c r="R6661">
        <v>8.8929549999999996E-2</v>
      </c>
      <c r="S6661">
        <v>3.071701</v>
      </c>
      <c r="T6661">
        <v>-0.1662698</v>
      </c>
      <c r="U6661">
        <v>0.3048401</v>
      </c>
      <c r="V6661">
        <v>-8.6044860000000001E-2</v>
      </c>
      <c r="W6661">
        <v>0.2028064</v>
      </c>
      <c r="X6661">
        <v>0.9754311</v>
      </c>
      <c r="Y6661">
        <v>-9.4865130000000006E-2</v>
      </c>
      <c r="Z6661">
        <v>2.3555690000000001E-3</v>
      </c>
      <c r="AA6661">
        <v>0.99548729999999996</v>
      </c>
      <c r="AB6661">
        <v>33</v>
      </c>
      <c r="AC6661">
        <v>20.3799999999999</v>
      </c>
      <c r="AD6661">
        <v>-1.112287779144</v>
      </c>
      <c r="AE6661">
        <v>2.0375000000000001</v>
      </c>
      <c r="AF6661">
        <v>-1.95474664238686</v>
      </c>
      <c r="AG6661">
        <v>-1.112287779144</v>
      </c>
      <c r="AH6661">
        <v>20.327599634340999</v>
      </c>
      <c r="AI6661">
        <v>93.117640367220403</v>
      </c>
      <c r="AJ6661">
        <v>95.492798646868494</v>
      </c>
      <c r="AK6661">
        <v>20.451638698002</v>
      </c>
      <c r="AL6661">
        <v>78.298882065692894</v>
      </c>
      <c r="AM6661">
        <v>95.041134404888894</v>
      </c>
      <c r="AN6661">
        <v>0.99999999233029402</v>
      </c>
    </row>
    <row r="6662" spans="1:40" x14ac:dyDescent="0.25">
      <c r="A6662" t="str">
        <f>"20190312172538026"</f>
        <v>20190312172538026</v>
      </c>
      <c r="B6662" t="str">
        <f>"1552382738016609"</f>
        <v>1552382738016609</v>
      </c>
      <c r="C6662" t="s">
        <v>40</v>
      </c>
      <c r="D6662">
        <v>3.7086160000000001</v>
      </c>
      <c r="E6662">
        <v>0.49866779999999999</v>
      </c>
      <c r="F6662" t="s">
        <v>50</v>
      </c>
      <c r="G6662">
        <v>-199.589</v>
      </c>
      <c r="H6662" s="1">
        <v>-5.9149309999999997E-6</v>
      </c>
      <c r="I6662">
        <v>-61.081699999999998</v>
      </c>
      <c r="J6662">
        <v>-220.1584</v>
      </c>
      <c r="K6662">
        <v>1.1124259999999999</v>
      </c>
      <c r="L6662">
        <v>-63.161439999999999</v>
      </c>
      <c r="M6662">
        <v>0.99988259999999995</v>
      </c>
      <c r="N6662">
        <v>0</v>
      </c>
      <c r="O6662">
        <v>4.9049849999999997E-3</v>
      </c>
      <c r="P6662">
        <v>0.9777247</v>
      </c>
      <c r="Q6662">
        <v>0.18945989999999999</v>
      </c>
      <c r="R6662">
        <v>9.033091E-2</v>
      </c>
      <c r="S6662">
        <v>3.0714570000000001</v>
      </c>
      <c r="T6662">
        <v>-0.16488410000000001</v>
      </c>
      <c r="U6662">
        <v>0.30853269999999999</v>
      </c>
      <c r="V6662">
        <v>-8.6413970000000007E-2</v>
      </c>
      <c r="W6662">
        <v>0.2032737</v>
      </c>
      <c r="X6662">
        <v>0.97530119999999998</v>
      </c>
      <c r="Y6662">
        <v>-9.4938120000000001E-2</v>
      </c>
      <c r="Z6662">
        <v>2.2775809999999999E-3</v>
      </c>
      <c r="AA6662">
        <v>0.99548060000000005</v>
      </c>
      <c r="AB6662">
        <v>33</v>
      </c>
      <c r="AC6662">
        <v>20.569399999999899</v>
      </c>
      <c r="AD6662">
        <v>-1.112431914931</v>
      </c>
      <c r="AE6662">
        <v>2.0797400000000001</v>
      </c>
      <c r="AF6662">
        <v>-1.9730991261223401</v>
      </c>
      <c r="AG6662">
        <v>-1.112431914931</v>
      </c>
      <c r="AH6662">
        <v>20.519944260575802</v>
      </c>
      <c r="AI6662">
        <v>93.088875369763599</v>
      </c>
      <c r="AJ6662">
        <v>95.492400812389803</v>
      </c>
      <c r="AK6662">
        <v>20.644581308033299</v>
      </c>
      <c r="AL6662">
        <v>78.271538289664406</v>
      </c>
      <c r="AM6662">
        <v>95.063318198685394</v>
      </c>
      <c r="AN6662">
        <v>1.0000000010221399</v>
      </c>
    </row>
    <row r="6663" spans="1:40" x14ac:dyDescent="0.25">
      <c r="A6663" t="str">
        <f>"20190312172538037"</f>
        <v>20190312172538037</v>
      </c>
      <c r="B6663" t="str">
        <f>"1552382738027346"</f>
        <v>1552382738027346</v>
      </c>
      <c r="C6663" t="s">
        <v>40</v>
      </c>
      <c r="D6663">
        <v>3.6857350000000002</v>
      </c>
      <c r="E6663">
        <v>0.49863679999999999</v>
      </c>
      <c r="F6663" t="s">
        <v>50</v>
      </c>
      <c r="G6663">
        <v>-199.25579999999999</v>
      </c>
      <c r="H6663" s="1">
        <v>-6.0474849999999999E-6</v>
      </c>
      <c r="I6663">
        <v>-61.027169999999998</v>
      </c>
      <c r="J6663">
        <v>-219.99420000000001</v>
      </c>
      <c r="K6663">
        <v>1.1125860000000001</v>
      </c>
      <c r="L6663">
        <v>-63.159480000000002</v>
      </c>
      <c r="M6663">
        <v>0.99987510000000002</v>
      </c>
      <c r="N6663">
        <v>0</v>
      </c>
      <c r="O6663">
        <v>6.2288439999999999E-3</v>
      </c>
      <c r="P6663">
        <v>0.97751940000000004</v>
      </c>
      <c r="Q6663">
        <v>0.18979979999999999</v>
      </c>
      <c r="R6663">
        <v>9.1827030000000004E-2</v>
      </c>
      <c r="S6663">
        <v>3.0710299999999999</v>
      </c>
      <c r="T6663">
        <v>-0.16343940000000001</v>
      </c>
      <c r="U6663">
        <v>0.31356810000000002</v>
      </c>
      <c r="V6663">
        <v>-8.6695250000000001E-2</v>
      </c>
      <c r="W6663">
        <v>0.20358190000000001</v>
      </c>
      <c r="X6663">
        <v>0.97521199999999997</v>
      </c>
      <c r="Y6663">
        <v>-9.5253169999999998E-2</v>
      </c>
      <c r="Z6663">
        <v>2.1959150000000001E-3</v>
      </c>
      <c r="AA6663">
        <v>0.99545070000000002</v>
      </c>
      <c r="AB6663">
        <v>33</v>
      </c>
      <c r="AC6663">
        <v>20.738399999999999</v>
      </c>
      <c r="AD6663">
        <v>-1.112592047485</v>
      </c>
      <c r="AE6663">
        <v>2.1323099999999999</v>
      </c>
      <c r="AF6663">
        <v>-1.9973899847586001</v>
      </c>
      <c r="AG6663">
        <v>-1.112592047485</v>
      </c>
      <c r="AH6663">
        <v>20.692347093223699</v>
      </c>
      <c r="AI6663">
        <v>93.063520241109003</v>
      </c>
      <c r="AJ6663">
        <v>95.513562393254006</v>
      </c>
      <c r="AK6663">
        <v>20.818276971012398</v>
      </c>
      <c r="AL6663">
        <v>78.253503194654698</v>
      </c>
      <c r="AM6663">
        <v>95.080175554462798</v>
      </c>
      <c r="AN6663">
        <v>1.0000000506620801</v>
      </c>
    </row>
    <row r="6664" spans="1:40" x14ac:dyDescent="0.25">
      <c r="A6664" t="str">
        <f>"20190312172538048"</f>
        <v>20190312172538048</v>
      </c>
      <c r="B6664" t="str">
        <f>"1552382738037105"</f>
        <v>1552382738037105</v>
      </c>
      <c r="C6664" t="s">
        <v>40</v>
      </c>
      <c r="D6664">
        <v>3.759846</v>
      </c>
      <c r="E6664">
        <v>0.49860700000000002</v>
      </c>
      <c r="F6664" t="s">
        <v>50</v>
      </c>
      <c r="G6664">
        <v>-198.97329999999999</v>
      </c>
      <c r="H6664" s="1">
        <v>-6.1596579999999998E-6</v>
      </c>
      <c r="I6664">
        <v>-60.9771199999999</v>
      </c>
      <c r="J6664">
        <v>-219.8408</v>
      </c>
      <c r="K6664">
        <v>1.1127359999999999</v>
      </c>
      <c r="L6664">
        <v>-63.157290000000003</v>
      </c>
      <c r="M6664">
        <v>0.99986569999999997</v>
      </c>
      <c r="N6664">
        <v>0</v>
      </c>
      <c r="O6664">
        <v>7.5785990000000001E-3</v>
      </c>
      <c r="P6664">
        <v>0.97729809999999995</v>
      </c>
      <c r="Q6664">
        <v>0.19016830000000001</v>
      </c>
      <c r="R6664">
        <v>9.3405409999999994E-2</v>
      </c>
      <c r="S6664">
        <v>3.0706020000000001</v>
      </c>
      <c r="T6664">
        <v>-0.16252059999999999</v>
      </c>
      <c r="U6664">
        <v>0.31878659999999998</v>
      </c>
      <c r="V6664">
        <v>-8.7030769999999993E-2</v>
      </c>
      <c r="W6664">
        <v>0.2039203</v>
      </c>
      <c r="X6664">
        <v>0.97511139999999996</v>
      </c>
      <c r="Y6664">
        <v>-9.5600199999999996E-2</v>
      </c>
      <c r="Z6664">
        <v>2.1216619999999999E-3</v>
      </c>
      <c r="AA6664">
        <v>0.99541749999999996</v>
      </c>
      <c r="AB6664">
        <v>33</v>
      </c>
      <c r="AC6664">
        <v>20.8675</v>
      </c>
      <c r="AD6664">
        <v>-1.1127421596580001</v>
      </c>
      <c r="AE6664">
        <v>2.1801700000000102</v>
      </c>
      <c r="AF6664">
        <v>-2.01627296161681</v>
      </c>
      <c r="AG6664">
        <v>-1.1127421596580001</v>
      </c>
      <c r="AH6664">
        <v>20.824849574562201</v>
      </c>
      <c r="AI6664">
        <v>93.044389510957302</v>
      </c>
      <c r="AJ6664">
        <v>95.530170359176495</v>
      </c>
      <c r="AK6664">
        <v>20.951799721569799</v>
      </c>
      <c r="AL6664">
        <v>78.2336987718854</v>
      </c>
      <c r="AM6664">
        <v>95.100256260237899</v>
      </c>
      <c r="AN6664">
        <v>1.00000004304442</v>
      </c>
    </row>
    <row r="6665" spans="1:40" x14ac:dyDescent="0.25">
      <c r="A6665" t="str">
        <f>"20190312172538058"</f>
        <v>20190312172538058</v>
      </c>
      <c r="B6665" t="str">
        <f>"1552382738046866"</f>
        <v>1552382738046866</v>
      </c>
      <c r="C6665" t="s">
        <v>40</v>
      </c>
      <c r="D6665">
        <v>3.6937440000000001</v>
      </c>
      <c r="E6665">
        <v>0.49857829999999898</v>
      </c>
      <c r="F6665" t="s">
        <v>50</v>
      </c>
      <c r="G6665">
        <v>-198.68950000000001</v>
      </c>
      <c r="H6665" s="1">
        <v>-6.2721679999999998E-6</v>
      </c>
      <c r="I6665">
        <v>-60.924050000000001</v>
      </c>
      <c r="J6665">
        <v>-219.6883</v>
      </c>
      <c r="K6665">
        <v>1.112887</v>
      </c>
      <c r="L6665">
        <v>-63.154910000000001</v>
      </c>
      <c r="M6665">
        <v>0.99985400000000002</v>
      </c>
      <c r="N6665">
        <v>0</v>
      </c>
      <c r="O6665">
        <v>8.9818850000000002E-3</v>
      </c>
      <c r="P6665">
        <v>0.97713360000000005</v>
      </c>
      <c r="Q6665">
        <v>0.19019420000000001</v>
      </c>
      <c r="R6665">
        <v>9.5057829999999996E-2</v>
      </c>
      <c r="S6665">
        <v>3.0701450000000001</v>
      </c>
      <c r="T6665">
        <v>-0.1615161</v>
      </c>
      <c r="U6665">
        <v>0.32415769999999999</v>
      </c>
      <c r="V6665">
        <v>-8.7386530000000004E-2</v>
      </c>
      <c r="W6665">
        <v>0.2039166</v>
      </c>
      <c r="X6665">
        <v>0.97508030000000001</v>
      </c>
      <c r="Y6665">
        <v>-9.5943899999999999E-2</v>
      </c>
      <c r="Z6665">
        <v>2.044138E-3</v>
      </c>
      <c r="AA6665">
        <v>0.99538459999999995</v>
      </c>
      <c r="AB6665">
        <v>33</v>
      </c>
      <c r="AC6665">
        <v>20.9987999999999</v>
      </c>
      <c r="AD6665">
        <v>-1.112893272168</v>
      </c>
      <c r="AE6665">
        <v>2.2308599999999998</v>
      </c>
      <c r="AF6665">
        <v>-2.0364850509073502</v>
      </c>
      <c r="AG6665">
        <v>-1.112893272168</v>
      </c>
      <c r="AH6665">
        <v>20.9597777966219</v>
      </c>
      <c r="AI6665">
        <v>93.025138878745906</v>
      </c>
      <c r="AJ6665">
        <v>95.5495287974462</v>
      </c>
      <c r="AK6665">
        <v>21.0878658968035</v>
      </c>
      <c r="AL6665">
        <v>78.233914664347594</v>
      </c>
      <c r="AM6665">
        <v>95.121156664587801</v>
      </c>
      <c r="AN6665">
        <v>0.99999998841454496</v>
      </c>
    </row>
    <row r="6666" spans="1:40" x14ac:dyDescent="0.25">
      <c r="A6666" t="str">
        <f>"20190312172538070"</f>
        <v>20190312172538070</v>
      </c>
      <c r="B6666" t="str">
        <f>"1552382738066385"</f>
        <v>1552382738066385</v>
      </c>
      <c r="C6666" t="s">
        <v>40</v>
      </c>
      <c r="D6666">
        <v>3.6967120000000002</v>
      </c>
      <c r="E6666">
        <v>0.49851269999999998</v>
      </c>
      <c r="F6666" t="s">
        <v>50</v>
      </c>
      <c r="G6666">
        <v>-198.5471</v>
      </c>
      <c r="H6666" s="1">
        <v>-6.3278720000000001E-6</v>
      </c>
      <c r="I6666">
        <v>-60.884929999999997</v>
      </c>
      <c r="J6666">
        <v>-219.5258</v>
      </c>
      <c r="K6666">
        <v>1.113054</v>
      </c>
      <c r="L6666">
        <v>-63.151919999999997</v>
      </c>
      <c r="M6666">
        <v>0.99983789999999995</v>
      </c>
      <c r="N6666">
        <v>0</v>
      </c>
      <c r="O6666">
        <v>1.061935E-2</v>
      </c>
      <c r="P6666">
        <v>0.97698770000000001</v>
      </c>
      <c r="Q6666">
        <v>0.1898261</v>
      </c>
      <c r="R6666">
        <v>9.7269120000000001E-2</v>
      </c>
      <c r="S6666">
        <v>3.0695950000000001</v>
      </c>
      <c r="T6666">
        <v>-0.16158689999999901</v>
      </c>
      <c r="U6666">
        <v>0.32958979999999999</v>
      </c>
      <c r="V6666">
        <v>-8.8076559999999998E-2</v>
      </c>
      <c r="W6666">
        <v>0.20351559999999999</v>
      </c>
      <c r="X6666">
        <v>0.97510200000000002</v>
      </c>
      <c r="Y6666">
        <v>-9.6076030000000007E-2</v>
      </c>
      <c r="Z6666">
        <v>1.9627960000000002E-3</v>
      </c>
      <c r="AA6666">
        <v>0.99537209999999998</v>
      </c>
      <c r="AB6666">
        <v>33</v>
      </c>
      <c r="AC6666">
        <v>20.9787</v>
      </c>
      <c r="AD6666">
        <v>-1.1130603278719999</v>
      </c>
      <c r="AE6666">
        <v>2.2669899999999901</v>
      </c>
      <c r="AF6666">
        <v>-2.03838658366799</v>
      </c>
      <c r="AG6666">
        <v>-1.1130603278719999</v>
      </c>
      <c r="AH6666">
        <v>20.9433181344797</v>
      </c>
      <c r="AI6666">
        <v>93.027916903578301</v>
      </c>
      <c r="AJ6666">
        <v>95.559016350903903</v>
      </c>
      <c r="AK6666">
        <v>21.0716989737417</v>
      </c>
      <c r="AL6666">
        <v>78.257382470524803</v>
      </c>
      <c r="AM6666">
        <v>95.161263031375299</v>
      </c>
      <c r="AN6666">
        <v>0.99999999513439597</v>
      </c>
    </row>
    <row r="6667" spans="1:40" x14ac:dyDescent="0.25">
      <c r="A6667" t="str">
        <f>"20190312172538081"</f>
        <v>20190312172538081</v>
      </c>
      <c r="B6667" t="str">
        <f>"1552382738077121"</f>
        <v>1552382738077121</v>
      </c>
      <c r="C6667" t="s">
        <v>40</v>
      </c>
      <c r="D6667">
        <v>3.7796240000000001</v>
      </c>
      <c r="E6667">
        <v>0.49847390000000003</v>
      </c>
      <c r="F6667" t="s">
        <v>50</v>
      </c>
      <c r="G6667">
        <v>-198.577</v>
      </c>
      <c r="H6667" s="1">
        <v>-6.3138149999999998E-6</v>
      </c>
      <c r="I6667">
        <v>-60.852020000000003</v>
      </c>
      <c r="J6667">
        <v>-219.36369999999999</v>
      </c>
      <c r="K6667">
        <v>1.113218</v>
      </c>
      <c r="L6667">
        <v>-63.148769999999899</v>
      </c>
      <c r="M6667">
        <v>0.9998186</v>
      </c>
      <c r="N6667">
        <v>0</v>
      </c>
      <c r="O6667">
        <v>1.2298299999999899E-2</v>
      </c>
      <c r="P6667">
        <v>0.97676379999999996</v>
      </c>
      <c r="Q6667">
        <v>0.1898986</v>
      </c>
      <c r="R6667">
        <v>9.935302E-2</v>
      </c>
      <c r="S6667">
        <v>3.0688170000000001</v>
      </c>
      <c r="T6667">
        <v>-0.16305329999999901</v>
      </c>
      <c r="U6667">
        <v>0.33691409999999899</v>
      </c>
      <c r="V6667">
        <v>-8.8602159999999999E-2</v>
      </c>
      <c r="W6667">
        <v>0.20355480000000001</v>
      </c>
      <c r="X6667">
        <v>0.97504619999999997</v>
      </c>
      <c r="Y6667">
        <v>-9.6778500000000003E-2</v>
      </c>
      <c r="Z6667">
        <v>1.910569E-3</v>
      </c>
      <c r="AA6667">
        <v>0.99530410000000002</v>
      </c>
      <c r="AB6667">
        <v>33</v>
      </c>
      <c r="AC6667">
        <v>20.7867</v>
      </c>
      <c r="AD6667">
        <v>-1.113224313815</v>
      </c>
      <c r="AE6667">
        <v>2.2967499999999901</v>
      </c>
      <c r="AF6667">
        <v>-2.0351415648667999</v>
      </c>
      <c r="AG6667">
        <v>-1.113224313815</v>
      </c>
      <c r="AH6667">
        <v>20.754568516054299</v>
      </c>
      <c r="AI6667">
        <v>93.055636141858102</v>
      </c>
      <c r="AJ6667">
        <v>95.600378240126503</v>
      </c>
      <c r="AK6667">
        <v>20.883801949106601</v>
      </c>
      <c r="AL6667">
        <v>78.255088464108795</v>
      </c>
      <c r="AM6667">
        <v>95.1921907181584</v>
      </c>
      <c r="AN6667">
        <v>0.99999999574707199</v>
      </c>
    </row>
    <row r="6668" spans="1:40" x14ac:dyDescent="0.25">
      <c r="A6668" t="str">
        <f>"20190312172538092"</f>
        <v>20190312172538092</v>
      </c>
      <c r="B6668" t="str">
        <f>"1552382738086881"</f>
        <v>1552382738086881</v>
      </c>
      <c r="C6668" t="s">
        <v>40</v>
      </c>
      <c r="D6668">
        <v>3.8182429999999998</v>
      </c>
      <c r="E6668">
        <v>0.49843189999999998</v>
      </c>
      <c r="F6668" t="s">
        <v>50</v>
      </c>
      <c r="G6668">
        <v>-198.42230000000001</v>
      </c>
      <c r="H6668" s="1">
        <v>-6.3739680000000003E-6</v>
      </c>
      <c r="I6668">
        <v>-60.80294</v>
      </c>
      <c r="J6668">
        <v>-219.20179999999999</v>
      </c>
      <c r="K6668">
        <v>1.1133759999999999</v>
      </c>
      <c r="L6668">
        <v>-63.145020000000002</v>
      </c>
      <c r="M6668">
        <v>0.99979399999999996</v>
      </c>
      <c r="N6668">
        <v>0</v>
      </c>
      <c r="O6668">
        <v>1.415018E-2</v>
      </c>
      <c r="P6668">
        <v>0.97653060000000003</v>
      </c>
      <c r="Q6668">
        <v>0.18970580000000001</v>
      </c>
      <c r="R6668">
        <v>0.1019795</v>
      </c>
      <c r="S6668">
        <v>3.06813</v>
      </c>
      <c r="T6668">
        <v>-0.16309860000000001</v>
      </c>
      <c r="U6668">
        <v>0.34368900000000002</v>
      </c>
      <c r="V6668">
        <v>-8.9500049999999998E-2</v>
      </c>
      <c r="W6668">
        <v>0.20332739999999999</v>
      </c>
      <c r="X6668">
        <v>0.97501159999999998</v>
      </c>
      <c r="Y6668">
        <v>-9.7132220000000005E-2</v>
      </c>
      <c r="Z6668">
        <v>1.822623E-3</v>
      </c>
      <c r="AA6668">
        <v>0.99526979999999998</v>
      </c>
      <c r="AB6668">
        <v>33</v>
      </c>
      <c r="AC6668">
        <v>20.779499999999899</v>
      </c>
      <c r="AD6668">
        <v>-1.113382373968</v>
      </c>
      <c r="AE6668">
        <v>2.3420799999999899</v>
      </c>
      <c r="AF6668">
        <v>-2.0419918456911099</v>
      </c>
      <c r="AG6668">
        <v>-1.113382373968</v>
      </c>
      <c r="AH6668">
        <v>20.751734638498402</v>
      </c>
      <c r="AI6668">
        <v>93.056383770451802</v>
      </c>
      <c r="AJ6668">
        <v>95.619871096424106</v>
      </c>
      <c r="AK6668">
        <v>20.881662805322399</v>
      </c>
      <c r="AL6668">
        <v>78.268395337879596</v>
      </c>
      <c r="AM6668">
        <v>95.244701248594495</v>
      </c>
      <c r="AN6668">
        <v>0.99999995533765995</v>
      </c>
    </row>
    <row r="6669" spans="1:40" x14ac:dyDescent="0.25">
      <c r="A6669" t="str">
        <f>"20190312172538103"</f>
        <v>20190312172538103</v>
      </c>
      <c r="B6669" t="str">
        <f>"1552382738096641"</f>
        <v>1552382738096641</v>
      </c>
      <c r="C6669" t="s">
        <v>40</v>
      </c>
      <c r="D6669">
        <v>3.7538819999999999</v>
      </c>
      <c r="E6669">
        <v>0.49839650000000002</v>
      </c>
      <c r="F6669" t="s">
        <v>50</v>
      </c>
      <c r="G6669">
        <v>-198.3776</v>
      </c>
      <c r="H6669" s="1">
        <v>-6.3893190000000003E-6</v>
      </c>
      <c r="I6669">
        <v>-60.753549999999997</v>
      </c>
      <c r="J6669">
        <v>-219.03970000000001</v>
      </c>
      <c r="K6669">
        <v>1.1135389999999901</v>
      </c>
      <c r="L6669">
        <v>-63.141109999999998</v>
      </c>
      <c r="M6669">
        <v>0.99976529999999997</v>
      </c>
      <c r="N6669">
        <v>0</v>
      </c>
      <c r="O6669">
        <v>1.604158E-2</v>
      </c>
      <c r="P6669">
        <v>0.97632169999999896</v>
      </c>
      <c r="Q6669">
        <v>0.1893543</v>
      </c>
      <c r="R6669">
        <v>0.1045994</v>
      </c>
      <c r="S6669">
        <v>3.0671539999999999</v>
      </c>
      <c r="T6669">
        <v>-0.1639872</v>
      </c>
      <c r="U6669">
        <v>0.35223389999999999</v>
      </c>
      <c r="V6669">
        <v>-9.0351249999999994E-2</v>
      </c>
      <c r="W6669">
        <v>0.2029408</v>
      </c>
      <c r="X6669">
        <v>0.97501369999999998</v>
      </c>
      <c r="Y6669">
        <v>-9.8022040000000005E-2</v>
      </c>
      <c r="Z6669">
        <v>1.755848E-3</v>
      </c>
      <c r="AA6669">
        <v>0.99518269999999998</v>
      </c>
      <c r="AB6669">
        <v>33</v>
      </c>
      <c r="AC6669">
        <v>20.662099999999999</v>
      </c>
      <c r="AD6669">
        <v>-1.1135453893189999</v>
      </c>
      <c r="AE6669">
        <v>2.3875600000000001</v>
      </c>
      <c r="AF6669">
        <v>-2.0498894529059202</v>
      </c>
      <c r="AG6669">
        <v>-1.1135453893189999</v>
      </c>
      <c r="AH6669">
        <v>20.638590728160501</v>
      </c>
      <c r="AI6669">
        <v>93.073279454735797</v>
      </c>
      <c r="AJ6669">
        <v>95.672192816875693</v>
      </c>
      <c r="AK6669">
        <v>20.7700134171291</v>
      </c>
      <c r="AL6669">
        <v>78.291018258940795</v>
      </c>
      <c r="AM6669">
        <v>95.294288093192705</v>
      </c>
      <c r="AN6669">
        <v>1.00000001593444</v>
      </c>
    </row>
    <row r="6670" spans="1:40" x14ac:dyDescent="0.25">
      <c r="A6670" t="str">
        <f>"20190312172538114"</f>
        <v>20190312172538114</v>
      </c>
      <c r="B6670" t="str">
        <f>"1552382738106401"</f>
        <v>1552382738106401</v>
      </c>
      <c r="C6670" t="s">
        <v>40</v>
      </c>
      <c r="D6670">
        <v>3.8024339999999999</v>
      </c>
      <c r="E6670">
        <v>0.49836019999999998</v>
      </c>
      <c r="F6670" t="s">
        <v>50</v>
      </c>
      <c r="G6670">
        <v>-198.39259999999999</v>
      </c>
      <c r="H6670" s="1">
        <v>-6.3808069999999999E-6</v>
      </c>
      <c r="I6670">
        <v>-60.712539999999997</v>
      </c>
      <c r="J6670">
        <v>-218.87960000000001</v>
      </c>
      <c r="K6670">
        <v>1.113699</v>
      </c>
      <c r="L6670">
        <v>-63.136629999999997</v>
      </c>
      <c r="M6670">
        <v>0.99973089999999998</v>
      </c>
      <c r="N6670">
        <v>0</v>
      </c>
      <c r="O6670">
        <v>1.805344E-2</v>
      </c>
      <c r="P6670">
        <v>0.97600730000000002</v>
      </c>
      <c r="Q6670">
        <v>0.18946979999999999</v>
      </c>
      <c r="R6670">
        <v>0.10728849999999999</v>
      </c>
      <c r="S6670">
        <v>3.066208</v>
      </c>
      <c r="T6670">
        <v>-0.1653676</v>
      </c>
      <c r="U6670">
        <v>0.3606567</v>
      </c>
      <c r="V6670">
        <v>-9.1156769999999998E-2</v>
      </c>
      <c r="W6670">
        <v>0.2030216</v>
      </c>
      <c r="X6670">
        <v>0.97492190000000001</v>
      </c>
      <c r="Y6670">
        <v>-9.8751350000000002E-2</v>
      </c>
      <c r="Z6670">
        <v>1.68246E-3</v>
      </c>
      <c r="AA6670">
        <v>0.99511070000000001</v>
      </c>
      <c r="AB6670">
        <v>33</v>
      </c>
      <c r="AC6670">
        <v>20.486999999999998</v>
      </c>
      <c r="AD6670">
        <v>-1.1137053808069901</v>
      </c>
      <c r="AE6670">
        <v>2.4240900000000001</v>
      </c>
      <c r="AF6670">
        <v>-2.0478266328168799</v>
      </c>
      <c r="AG6670">
        <v>-1.1137053808069901</v>
      </c>
      <c r="AH6670">
        <v>20.467777371419999</v>
      </c>
      <c r="AI6670">
        <v>93.099099720633802</v>
      </c>
      <c r="AJ6670">
        <v>95.713500242143098</v>
      </c>
      <c r="AK6670">
        <v>20.6000933036558</v>
      </c>
      <c r="AL6670">
        <v>78.286290372880501</v>
      </c>
      <c r="AM6670">
        <v>95.341717171106694</v>
      </c>
      <c r="AN6670">
        <v>1.0000000189414999</v>
      </c>
    </row>
    <row r="6671" spans="1:40" x14ac:dyDescent="0.25">
      <c r="A6671" t="str">
        <f>"20190312172538124"</f>
        <v>20190312172538124</v>
      </c>
      <c r="B6671" t="str">
        <f>"1552382738117137"</f>
        <v>1552382738117137</v>
      </c>
      <c r="C6671" t="s">
        <v>40</v>
      </c>
      <c r="D6671">
        <v>3.7138810000000002</v>
      </c>
      <c r="E6671">
        <v>0.49833620000000001</v>
      </c>
      <c r="F6671" t="s">
        <v>50</v>
      </c>
      <c r="G6671">
        <v>-198.227</v>
      </c>
      <c r="H6671" s="1">
        <v>-6.4444979999999901E-6</v>
      </c>
      <c r="I6671">
        <v>-60.647820000000003</v>
      </c>
      <c r="J6671">
        <v>-218.7252</v>
      </c>
      <c r="K6671">
        <v>1.11385499999999</v>
      </c>
      <c r="L6671">
        <v>-63.132109999999997</v>
      </c>
      <c r="M6671">
        <v>0.9996929</v>
      </c>
      <c r="N6671">
        <v>0</v>
      </c>
      <c r="O6671">
        <v>2.0044780000000002E-2</v>
      </c>
      <c r="P6671">
        <v>0.97570650000000003</v>
      </c>
      <c r="Q6671">
        <v>0.18946979999999999</v>
      </c>
      <c r="R6671">
        <v>0.1099923</v>
      </c>
      <c r="S6671">
        <v>3.0652309999999998</v>
      </c>
      <c r="T6671">
        <v>-0.16529460000000001</v>
      </c>
      <c r="U6671">
        <v>0.36938480000000001</v>
      </c>
      <c r="V6671">
        <v>-9.1992770000000001E-2</v>
      </c>
      <c r="W6671">
        <v>0.202988</v>
      </c>
      <c r="X6671">
        <v>0.97485040000000001</v>
      </c>
      <c r="Y6671">
        <v>-9.9601540000000002E-2</v>
      </c>
      <c r="Z6671">
        <v>1.5979430000000001E-3</v>
      </c>
      <c r="AA6671">
        <v>0.99502610000000002</v>
      </c>
      <c r="AB6671">
        <v>33</v>
      </c>
      <c r="AC6671">
        <v>20.498200000000001</v>
      </c>
      <c r="AD6671">
        <v>-1.11386144449799</v>
      </c>
      <c r="AE6671">
        <v>2.4842900000000001</v>
      </c>
      <c r="AF6671">
        <v>-2.06685061674398</v>
      </c>
      <c r="AG6671">
        <v>-1.11386144449799</v>
      </c>
      <c r="AH6671">
        <v>20.484273074579999</v>
      </c>
      <c r="AI6671">
        <v>93.096781236557703</v>
      </c>
      <c r="AJ6671">
        <v>95.761609508072596</v>
      </c>
      <c r="AK6671">
        <v>20.6183899027892</v>
      </c>
      <c r="AL6671">
        <v>78.288256819605706</v>
      </c>
      <c r="AM6671">
        <v>95.390811900020594</v>
      </c>
      <c r="AN6671">
        <v>1.00000005012821</v>
      </c>
    </row>
    <row r="6672" spans="1:40" x14ac:dyDescent="0.25">
      <c r="A6672" t="str">
        <f>"20190312172538136"</f>
        <v>20190312172538136</v>
      </c>
      <c r="B6672" t="str">
        <f>"1552382738126897"</f>
        <v>1552382738126897</v>
      </c>
      <c r="C6672" t="s">
        <v>40</v>
      </c>
      <c r="D6672">
        <v>3.8194300000000001</v>
      </c>
      <c r="E6672">
        <v>0.49830170000000001</v>
      </c>
      <c r="F6672" t="s">
        <v>50</v>
      </c>
      <c r="G6672">
        <v>-198.10059999999999</v>
      </c>
      <c r="H6672" s="1">
        <v>-6.4923870000000002E-6</v>
      </c>
      <c r="I6672">
        <v>-60.5858699999999</v>
      </c>
      <c r="J6672">
        <v>-218.55950000000001</v>
      </c>
      <c r="K6672">
        <v>1.1140099999999999</v>
      </c>
      <c r="L6672">
        <v>-63.126710000000003</v>
      </c>
      <c r="M6672">
        <v>0.99964549999999996</v>
      </c>
      <c r="N6672">
        <v>0</v>
      </c>
      <c r="O6672">
        <v>2.2282840000000002E-2</v>
      </c>
      <c r="P6672">
        <v>0.97533539999999996</v>
      </c>
      <c r="Q6672">
        <v>0.1896176</v>
      </c>
      <c r="R6672">
        <v>0.1129878</v>
      </c>
      <c r="S6672">
        <v>3.0641940000000001</v>
      </c>
      <c r="T6672">
        <v>-0.16548669999999999</v>
      </c>
      <c r="U6672">
        <v>0.37829590000000002</v>
      </c>
      <c r="V6672">
        <v>-9.2883980000000005E-2</v>
      </c>
      <c r="W6672">
        <v>0.20310010000000001</v>
      </c>
      <c r="X6672">
        <v>0.97474249999999996</v>
      </c>
      <c r="Y6672">
        <v>-0.1002671</v>
      </c>
      <c r="Z6672">
        <v>1.4977129999999999E-3</v>
      </c>
      <c r="AA6672">
        <v>0.99495940000000005</v>
      </c>
      <c r="AB6672">
        <v>33</v>
      </c>
      <c r="AC6672">
        <v>20.4589</v>
      </c>
      <c r="AD6672">
        <v>-1.114016492387</v>
      </c>
      <c r="AE6672">
        <v>2.5408400000000002</v>
      </c>
      <c r="AF6672">
        <v>-2.0782099736759498</v>
      </c>
      <c r="AG6672">
        <v>-1.114016492387</v>
      </c>
      <c r="AH6672">
        <v>20.4507277112472</v>
      </c>
      <c r="AI6672">
        <v>93.102058176651298</v>
      </c>
      <c r="AJ6672">
        <v>95.802497958572999</v>
      </c>
      <c r="AK6672">
        <v>20.5862151295368</v>
      </c>
      <c r="AL6672">
        <v>78.281696882981706</v>
      </c>
      <c r="AM6672">
        <v>95.443323897544502</v>
      </c>
      <c r="AN6672">
        <v>1.0000000128334501</v>
      </c>
    </row>
    <row r="6673" spans="1:40" x14ac:dyDescent="0.25">
      <c r="A6673" t="str">
        <f>"20190312172538150"</f>
        <v>20190312172538150</v>
      </c>
      <c r="B6673" t="str">
        <f>"1552382738136656"</f>
        <v>1552382738136656</v>
      </c>
      <c r="C6673" t="s">
        <v>40</v>
      </c>
      <c r="D6673">
        <v>3.7348460000000001</v>
      </c>
      <c r="E6673">
        <v>0.49826979999999998</v>
      </c>
      <c r="F6673" t="s">
        <v>50</v>
      </c>
      <c r="G6673">
        <v>-197.92019999999999</v>
      </c>
      <c r="H6673" s="1">
        <v>-6.5615849999999998E-6</v>
      </c>
      <c r="I6673">
        <v>-60.511679999999998</v>
      </c>
      <c r="J6673">
        <v>-218.37350000000001</v>
      </c>
      <c r="K6673">
        <v>1.1141760000000001</v>
      </c>
      <c r="L6673">
        <v>-63.120119999999901</v>
      </c>
      <c r="M6673">
        <v>0.99958360000000002</v>
      </c>
      <c r="N6673">
        <v>0</v>
      </c>
      <c r="O6673">
        <v>2.4898090000000001E-2</v>
      </c>
      <c r="P6673">
        <v>0.97489009999999998</v>
      </c>
      <c r="Q6673">
        <v>0.18979209999999999</v>
      </c>
      <c r="R6673">
        <v>0.11648260000000001</v>
      </c>
      <c r="S6673">
        <v>3.0630489999999999</v>
      </c>
      <c r="T6673">
        <v>-0.165329</v>
      </c>
      <c r="U6673">
        <v>0.38809199999999999</v>
      </c>
      <c r="V6673">
        <v>-9.3913990000000003E-2</v>
      </c>
      <c r="W6673">
        <v>0.203235</v>
      </c>
      <c r="X6673">
        <v>0.97461569999999997</v>
      </c>
      <c r="Y6673">
        <v>-0.1008454</v>
      </c>
      <c r="Z6673">
        <v>1.3717130000000001E-3</v>
      </c>
      <c r="AA6673">
        <v>0.99490120000000004</v>
      </c>
      <c r="AB6673">
        <v>33</v>
      </c>
      <c r="AC6673">
        <v>20.453299999999999</v>
      </c>
      <c r="AD6673">
        <v>-1.1141825615850001</v>
      </c>
      <c r="AE6673">
        <v>2.6084399999999799</v>
      </c>
      <c r="AF6673">
        <v>-2.0922196916568399</v>
      </c>
      <c r="AG6673">
        <v>-1.1141825615850001</v>
      </c>
      <c r="AH6673">
        <v>20.452190194183501</v>
      </c>
      <c r="AI6673">
        <v>93.102086540408493</v>
      </c>
      <c r="AJ6673">
        <v>95.840929606623007</v>
      </c>
      <c r="AK6673">
        <v>20.589095894617401</v>
      </c>
      <c r="AL6673">
        <v>78.2738032849456</v>
      </c>
      <c r="AM6673">
        <v>95.504029098426997</v>
      </c>
      <c r="AN6673">
        <v>1.0000000327145999</v>
      </c>
    </row>
    <row r="6674" spans="1:40" x14ac:dyDescent="0.25">
      <c r="A6674" t="str">
        <f>"20190312172538164"</f>
        <v>20190312172538164</v>
      </c>
      <c r="B6674" t="str">
        <f>"1552382738157153"</f>
        <v>1552382738157153</v>
      </c>
      <c r="C6674" t="s">
        <v>40</v>
      </c>
      <c r="D6674">
        <v>3.7798060000000002</v>
      </c>
      <c r="E6674">
        <v>0.49818879999999999</v>
      </c>
      <c r="F6674" t="s">
        <v>50</v>
      </c>
      <c r="G6674">
        <v>-197.69470000000001</v>
      </c>
      <c r="H6674" s="1">
        <v>-6.6484709999999998E-6</v>
      </c>
      <c r="I6674">
        <v>-60.426650000000002</v>
      </c>
      <c r="J6674">
        <v>-218.15100000000001</v>
      </c>
      <c r="K6674">
        <v>1.1143620000000001</v>
      </c>
      <c r="L6674">
        <v>-63.111569999999901</v>
      </c>
      <c r="M6674">
        <v>0.99949739999999998</v>
      </c>
      <c r="N6674">
        <v>0</v>
      </c>
      <c r="O6674">
        <v>2.8140510000000001E-2</v>
      </c>
      <c r="P6674">
        <v>0.97433259999999999</v>
      </c>
      <c r="Q6674">
        <v>0.1900695</v>
      </c>
      <c r="R6674">
        <v>0.1206221</v>
      </c>
      <c r="S6674">
        <v>3.0617679999999998</v>
      </c>
      <c r="T6674">
        <v>-0.16496930000000001</v>
      </c>
      <c r="U6674">
        <v>0.39880369999999998</v>
      </c>
      <c r="V6674">
        <v>-9.4991619999999999E-2</v>
      </c>
      <c r="W6674">
        <v>0.2034675</v>
      </c>
      <c r="X6674">
        <v>0.97446270000000001</v>
      </c>
      <c r="Y6674">
        <v>-0.1010988</v>
      </c>
      <c r="Z6674">
        <v>1.2021390000000001E-3</v>
      </c>
      <c r="AA6674">
        <v>0.99487570000000003</v>
      </c>
      <c r="AB6674">
        <v>33</v>
      </c>
      <c r="AC6674">
        <v>20.456299999999899</v>
      </c>
      <c r="AD6674">
        <v>-1.114368648471</v>
      </c>
      <c r="AE6674">
        <v>2.6849199999999902</v>
      </c>
      <c r="AF6674">
        <v>-2.1020121703635</v>
      </c>
      <c r="AG6674">
        <v>-1.114368648471</v>
      </c>
      <c r="AH6674">
        <v>20.4640597443308</v>
      </c>
      <c r="AI6674">
        <v>93.100675975286606</v>
      </c>
      <c r="AJ6674">
        <v>95.864697444537697</v>
      </c>
      <c r="AK6674">
        <v>20.6018934534812</v>
      </c>
      <c r="AL6674">
        <v>78.260197262233703</v>
      </c>
      <c r="AM6674">
        <v>95.567659962076306</v>
      </c>
      <c r="AN6674">
        <v>0.99999999255888194</v>
      </c>
    </row>
    <row r="6675" spans="1:40" x14ac:dyDescent="0.25">
      <c r="A6675" t="str">
        <f>"20190312172538176"</f>
        <v>20190312172538176</v>
      </c>
      <c r="B6675" t="str">
        <f>"1552382738166912"</f>
        <v>1552382738166912</v>
      </c>
      <c r="C6675" t="s">
        <v>40</v>
      </c>
      <c r="D6675">
        <v>3.7710520000000001</v>
      </c>
      <c r="E6675">
        <v>0.49818879999999999</v>
      </c>
      <c r="F6675" t="s">
        <v>50</v>
      </c>
      <c r="G6675">
        <v>-197.4349</v>
      </c>
      <c r="H6675" s="1">
        <v>-7.0248120000000004E-6</v>
      </c>
      <c r="I6675">
        <v>-60.321919999999999</v>
      </c>
      <c r="J6675">
        <v>-217.98060000000001</v>
      </c>
      <c r="K6675">
        <v>1.1144959999999999</v>
      </c>
      <c r="L6675">
        <v>-63.104399999999998</v>
      </c>
      <c r="M6675">
        <v>0.99942109999999995</v>
      </c>
      <c r="N6675">
        <v>0</v>
      </c>
      <c r="O6675">
        <v>3.0734319999999999E-2</v>
      </c>
      <c r="P6675">
        <v>0.97377860000000005</v>
      </c>
      <c r="Q6675">
        <v>0.19038269999999999</v>
      </c>
      <c r="R6675">
        <v>0.12453889999999999</v>
      </c>
      <c r="S6675">
        <v>3.06012</v>
      </c>
      <c r="T6675">
        <v>-0.16461099999999901</v>
      </c>
      <c r="U6675">
        <v>0.41207890000000003</v>
      </c>
      <c r="V6675">
        <v>-9.6457050000000003E-2</v>
      </c>
      <c r="W6675">
        <v>0.20374059999999999</v>
      </c>
      <c r="X6675">
        <v>0.97426170000000001</v>
      </c>
      <c r="Y6675">
        <v>-0.1028285</v>
      </c>
      <c r="Z6675">
        <v>1.1074990000000001E-3</v>
      </c>
      <c r="AA6675">
        <v>0.99469850000000004</v>
      </c>
      <c r="AB6675">
        <v>33</v>
      </c>
      <c r="AC6675">
        <v>20.5457</v>
      </c>
      <c r="AD6675">
        <v>-1.114503024812</v>
      </c>
      <c r="AE6675">
        <v>2.7824800000000001</v>
      </c>
      <c r="AF6675">
        <v>-2.1434463538620099</v>
      </c>
      <c r="AG6675">
        <v>-1.114503024812</v>
      </c>
      <c r="AH6675">
        <v>20.5621038139898</v>
      </c>
      <c r="AI6675">
        <v>93.085810392496697</v>
      </c>
      <c r="AJ6675">
        <v>95.951164748356206</v>
      </c>
      <c r="AK6675">
        <v>20.703540579367001</v>
      </c>
      <c r="AL6675">
        <v>78.2442154240875</v>
      </c>
      <c r="AM6675">
        <v>95.654158489683297</v>
      </c>
      <c r="AN6675">
        <v>1.0000000273349701</v>
      </c>
    </row>
    <row r="6676" spans="1:40" x14ac:dyDescent="0.25">
      <c r="A6676" t="str">
        <f>"20190312172538186"</f>
        <v>20190312172538186</v>
      </c>
      <c r="B6676" t="str">
        <f>"1552382738176673"</f>
        <v>1552382738176673</v>
      </c>
      <c r="C6676" t="s">
        <v>40</v>
      </c>
      <c r="D6676">
        <v>3.684822</v>
      </c>
      <c r="E6676">
        <v>0.46281850000000002</v>
      </c>
      <c r="F6676" t="s">
        <v>50</v>
      </c>
      <c r="G6676">
        <v>-197.15020000000001</v>
      </c>
      <c r="H6676" s="1">
        <v>-7.030108E-6</v>
      </c>
      <c r="I6676">
        <v>-60.215609999999998</v>
      </c>
      <c r="J6676">
        <v>-217.8288</v>
      </c>
      <c r="K6676">
        <v>1.114609</v>
      </c>
      <c r="L6676">
        <v>-63.097560000000001</v>
      </c>
      <c r="M6676">
        <v>0.99934520000000004</v>
      </c>
      <c r="N6676">
        <v>0</v>
      </c>
      <c r="O6676">
        <v>3.3102949999999999E-2</v>
      </c>
      <c r="P6676">
        <v>0.9732788</v>
      </c>
      <c r="Q6676">
        <v>0.19065699999999999</v>
      </c>
      <c r="R6676">
        <v>0.12797749999999999</v>
      </c>
      <c r="S6676">
        <v>3.0585330000000002</v>
      </c>
      <c r="T6676">
        <v>-0.16364339999999999</v>
      </c>
      <c r="U6676">
        <v>0.42416379999999998</v>
      </c>
      <c r="V6676">
        <v>-9.7653809999999994E-2</v>
      </c>
      <c r="W6676">
        <v>0.2039801</v>
      </c>
      <c r="X6676">
        <v>0.97409230000000002</v>
      </c>
      <c r="Y6676">
        <v>-0.1043996</v>
      </c>
      <c r="Z6676">
        <v>1.01723E-3</v>
      </c>
      <c r="AA6676">
        <v>0.9945349</v>
      </c>
      <c r="AB6676">
        <v>33</v>
      </c>
      <c r="AC6676">
        <v>20.6785999999999</v>
      </c>
      <c r="AD6676">
        <v>-1.1146160301079999</v>
      </c>
      <c r="AE6676">
        <v>2.88194999999999</v>
      </c>
      <c r="AF6676">
        <v>-2.1895342033907301</v>
      </c>
      <c r="AG6676">
        <v>-1.1146160301079999</v>
      </c>
      <c r="AH6676">
        <v>20.703669196318199</v>
      </c>
      <c r="AI6676">
        <v>93.064580327422703</v>
      </c>
      <c r="AJ6676">
        <v>96.036924530590298</v>
      </c>
      <c r="AK6676">
        <v>20.848941150882599</v>
      </c>
      <c r="AL6676">
        <v>78.230198149805602</v>
      </c>
      <c r="AM6676">
        <v>95.724836459206898</v>
      </c>
      <c r="AN6676">
        <v>0.99999997836140697</v>
      </c>
    </row>
    <row r="6677" spans="1:40" x14ac:dyDescent="0.25">
      <c r="A6677" t="str">
        <f>"20190312172538196"</f>
        <v>20190312172538196</v>
      </c>
      <c r="B6677" t="str">
        <f>"1552382738187410"</f>
        <v>1552382738187410</v>
      </c>
      <c r="C6677" t="s">
        <v>40</v>
      </c>
      <c r="D6677">
        <v>3.7018770000000001</v>
      </c>
      <c r="E6677">
        <v>0.4591635</v>
      </c>
      <c r="F6677" t="s">
        <v>50</v>
      </c>
      <c r="G6677">
        <v>-203.58260000000001</v>
      </c>
      <c r="H6677" s="1">
        <v>-4.023105E-6</v>
      </c>
      <c r="I6677">
        <v>-59.725879999999997</v>
      </c>
      <c r="J6677">
        <v>-217.68109999999999</v>
      </c>
      <c r="K6677">
        <v>1.1147180000000001</v>
      </c>
      <c r="L6677">
        <v>-63.090580000000003</v>
      </c>
      <c r="M6677">
        <v>0.99926440000000005</v>
      </c>
      <c r="N6677">
        <v>0</v>
      </c>
      <c r="O6677">
        <v>3.5456960000000003E-2</v>
      </c>
      <c r="P6677">
        <v>0.97276830000000003</v>
      </c>
      <c r="Q6677">
        <v>0.1909228</v>
      </c>
      <c r="R6677">
        <v>0.1314167</v>
      </c>
      <c r="S6677">
        <v>3.0344389999999999</v>
      </c>
      <c r="T6677">
        <v>-0.23741280000000001</v>
      </c>
      <c r="U6677">
        <v>0.71817019999999998</v>
      </c>
      <c r="V6677">
        <v>-9.8862560000000002E-2</v>
      </c>
      <c r="W6677">
        <v>0.20421210000000001</v>
      </c>
      <c r="X6677">
        <v>0.97392179999999995</v>
      </c>
      <c r="Y6677">
        <v>-0.19519700000000001</v>
      </c>
      <c r="Z6677">
        <v>4.79161E-3</v>
      </c>
      <c r="AA6677">
        <v>0.98075230000000002</v>
      </c>
      <c r="AB6677">
        <v>32</v>
      </c>
      <c r="AC6677">
        <v>14.0984999999999</v>
      </c>
      <c r="AD6677">
        <v>-1.1147220231049999</v>
      </c>
      <c r="AE6677">
        <v>3.3646999999999898</v>
      </c>
      <c r="AF6677">
        <v>-2.84580852647658</v>
      </c>
      <c r="AG6677">
        <v>-1.1147220231049999</v>
      </c>
      <c r="AH6677">
        <v>14.1254008071489</v>
      </c>
      <c r="AI6677">
        <v>94.423689493291803</v>
      </c>
      <c r="AJ6677">
        <v>101.390754685953</v>
      </c>
      <c r="AK6677">
        <v>14.452272462168899</v>
      </c>
      <c r="AL6677">
        <v>78.216620331831393</v>
      </c>
      <c r="AM6677">
        <v>95.796226208948397</v>
      </c>
      <c r="AN6677">
        <v>1.0000000300356999</v>
      </c>
    </row>
    <row r="6678" spans="1:40" x14ac:dyDescent="0.25">
      <c r="A6678" t="str">
        <f>"20190312172538206"</f>
        <v>20190312172538206</v>
      </c>
      <c r="B6678" t="str">
        <f>"1552382738197170"</f>
        <v>1552382738197170</v>
      </c>
      <c r="C6678" t="s">
        <v>40</v>
      </c>
      <c r="D6678">
        <v>3.7058620000000002</v>
      </c>
      <c r="E6678">
        <v>0.45758349999999998</v>
      </c>
      <c r="F6678" t="s">
        <v>50</v>
      </c>
      <c r="G6678">
        <v>-203.16820000000001</v>
      </c>
      <c r="H6678" s="1">
        <v>-4.2931789999999999E-6</v>
      </c>
      <c r="I6678">
        <v>-59.46011</v>
      </c>
      <c r="J6678">
        <v>-217.5471</v>
      </c>
      <c r="K6678">
        <v>1.1148100000000001</v>
      </c>
      <c r="L6678">
        <v>-63.083829999999999</v>
      </c>
      <c r="M6678">
        <v>0.99918439999999997</v>
      </c>
      <c r="N6678">
        <v>0</v>
      </c>
      <c r="O6678">
        <v>3.7642189999999999E-2</v>
      </c>
      <c r="P6678">
        <v>0.97228110000000001</v>
      </c>
      <c r="Q6678">
        <v>0.19111249999999999</v>
      </c>
      <c r="R6678">
        <v>0.13470560000000001</v>
      </c>
      <c r="S6678">
        <v>3.027298</v>
      </c>
      <c r="T6678">
        <v>-0.23252400000000001</v>
      </c>
      <c r="U6678">
        <v>0.75729369999999996</v>
      </c>
      <c r="V6678">
        <v>-0.1000795</v>
      </c>
      <c r="W6678">
        <v>0.20437079999999999</v>
      </c>
      <c r="X6678">
        <v>0.97376419999999997</v>
      </c>
      <c r="Y6678">
        <v>-0.20551990000000001</v>
      </c>
      <c r="Z6678">
        <v>4.9223119999999999E-3</v>
      </c>
      <c r="AA6678">
        <v>0.97864059999999997</v>
      </c>
      <c r="AB6678">
        <v>32</v>
      </c>
      <c r="AC6678">
        <v>14.3788999999999</v>
      </c>
      <c r="AD6678">
        <v>-1.1148142931789999</v>
      </c>
      <c r="AE6678">
        <v>3.6237200000000001</v>
      </c>
      <c r="AF6678">
        <v>-3.0625303706767002</v>
      </c>
      <c r="AG6678">
        <v>-1.1148142931789999</v>
      </c>
      <c r="AH6678">
        <v>14.4236026568455</v>
      </c>
      <c r="AI6678">
        <v>94.323650168683798</v>
      </c>
      <c r="AJ6678">
        <v>101.987453412121</v>
      </c>
      <c r="AK6678">
        <v>14.787231545565</v>
      </c>
      <c r="AL6678">
        <v>78.207331517724</v>
      </c>
      <c r="AM6678">
        <v>95.868022564563006</v>
      </c>
      <c r="AN6678">
        <v>1.0000000237072599</v>
      </c>
    </row>
    <row r="6679" spans="1:40" x14ac:dyDescent="0.25">
      <c r="A6679" t="str">
        <f>"20190312172538216"</f>
        <v>20190312172538216</v>
      </c>
      <c r="B6679" t="str">
        <f>"1552382738206929"</f>
        <v>1552382738206929</v>
      </c>
      <c r="C6679" t="s">
        <v>40</v>
      </c>
      <c r="D6679">
        <v>3.697336</v>
      </c>
      <c r="E6679">
        <v>0.45636139999999997</v>
      </c>
      <c r="F6679" t="s">
        <v>50</v>
      </c>
      <c r="G6679">
        <v>-202.9178</v>
      </c>
      <c r="H6679" s="1">
        <v>-4.4538380000000002E-6</v>
      </c>
      <c r="I6679">
        <v>-59.310960000000001</v>
      </c>
      <c r="J6679">
        <v>-217.3972</v>
      </c>
      <c r="K6679">
        <v>1.114911</v>
      </c>
      <c r="L6679">
        <v>-63.075960000000002</v>
      </c>
      <c r="M6679">
        <v>0.99908730000000001</v>
      </c>
      <c r="N6679">
        <v>0</v>
      </c>
      <c r="O6679">
        <v>4.0132609999999999E-2</v>
      </c>
      <c r="P6679">
        <v>0.97169609999999995</v>
      </c>
      <c r="Q6679">
        <v>0.19144050000000001</v>
      </c>
      <c r="R6679">
        <v>0.13841020000000001</v>
      </c>
      <c r="S6679">
        <v>3.0227970000000002</v>
      </c>
      <c r="T6679">
        <v>-0.23034940000000001</v>
      </c>
      <c r="U6679">
        <v>0.77957149999999997</v>
      </c>
      <c r="V6679">
        <v>-0.1014229</v>
      </c>
      <c r="W6679">
        <v>0.20466390000000001</v>
      </c>
      <c r="X6679">
        <v>0.97356359999999997</v>
      </c>
      <c r="Y6679">
        <v>-0.21019869999999999</v>
      </c>
      <c r="Z6679">
        <v>4.8684160000000004E-3</v>
      </c>
      <c r="AA6679">
        <v>0.97764660000000003</v>
      </c>
      <c r="AB6679">
        <v>32</v>
      </c>
      <c r="AC6679">
        <v>14.479399999999901</v>
      </c>
      <c r="AD6679">
        <v>-1.1149154538379999</v>
      </c>
      <c r="AE6679">
        <v>3.7650000000000001</v>
      </c>
      <c r="AF6679">
        <v>-3.16324069538094</v>
      </c>
      <c r="AG6679">
        <v>-1.1149154538379999</v>
      </c>
      <c r="AH6679">
        <v>14.538109992247501</v>
      </c>
      <c r="AI6679">
        <v>94.285498764074802</v>
      </c>
      <c r="AJ6679">
        <v>102.27524261894</v>
      </c>
      <c r="AK6679">
        <v>14.919978897867299</v>
      </c>
      <c r="AL6679">
        <v>78.190175212348393</v>
      </c>
      <c r="AM6679">
        <v>95.947446707630604</v>
      </c>
      <c r="AN6679">
        <v>0.99999999992628996</v>
      </c>
    </row>
    <row r="6680" spans="1:40" x14ac:dyDescent="0.25">
      <c r="A6680" t="str">
        <f>"20190312172538226"</f>
        <v>20190312172538226</v>
      </c>
      <c r="B6680" t="str">
        <f>"1552382738216689"</f>
        <v>1552382738216689</v>
      </c>
      <c r="C6680" t="s">
        <v>40</v>
      </c>
      <c r="D6680">
        <v>3.6948750000000001</v>
      </c>
      <c r="E6680">
        <v>0.45578740000000001</v>
      </c>
      <c r="F6680" t="s">
        <v>50</v>
      </c>
      <c r="G6680">
        <v>-202.90629999999999</v>
      </c>
      <c r="H6680" s="1">
        <v>-4.4771230000000003E-6</v>
      </c>
      <c r="I6680">
        <v>-59.232410000000002</v>
      </c>
      <c r="J6680">
        <v>-217.26740000000001</v>
      </c>
      <c r="K6680">
        <v>1.114995</v>
      </c>
      <c r="L6680">
        <v>-63.068759999999997</v>
      </c>
      <c r="M6680">
        <v>0.99899649999999995</v>
      </c>
      <c r="N6680">
        <v>0</v>
      </c>
      <c r="O6680">
        <v>4.2330810000000003E-2</v>
      </c>
      <c r="P6680">
        <v>0.97112960000000004</v>
      </c>
      <c r="Q6680">
        <v>0.19168089999999999</v>
      </c>
      <c r="R6680">
        <v>0.14200689999999999</v>
      </c>
      <c r="S6680">
        <v>3.019104</v>
      </c>
      <c r="T6680">
        <v>-0.2322863</v>
      </c>
      <c r="U6680">
        <v>0.80078130000000003</v>
      </c>
      <c r="V6680">
        <v>-0.10293629999999999</v>
      </c>
      <c r="W6680">
        <v>0.20486969999999999</v>
      </c>
      <c r="X6680">
        <v>0.97336140000000004</v>
      </c>
      <c r="Y6680">
        <v>-0.2147482</v>
      </c>
      <c r="Z6680">
        <v>4.917177E-3</v>
      </c>
      <c r="AA6680">
        <v>0.97665709999999994</v>
      </c>
      <c r="AB6680">
        <v>32</v>
      </c>
      <c r="AC6680">
        <v>14.3611</v>
      </c>
      <c r="AD6680">
        <v>-1.1149994771230001</v>
      </c>
      <c r="AE6680">
        <v>3.8363499999999999</v>
      </c>
      <c r="AF6680">
        <v>-3.2068849393268701</v>
      </c>
      <c r="AG6680">
        <v>-1.1149994771230001</v>
      </c>
      <c r="AH6680">
        <v>14.429450596113499</v>
      </c>
      <c r="AI6680">
        <v>94.313767073797393</v>
      </c>
      <c r="AJ6680">
        <v>102.53009559791499</v>
      </c>
      <c r="AK6680">
        <v>14.8235076602587</v>
      </c>
      <c r="AL6680">
        <v>78.178127826495</v>
      </c>
      <c r="AM6680">
        <v>96.036786829569806</v>
      </c>
      <c r="AN6680">
        <v>0.99999994542286796</v>
      </c>
    </row>
    <row r="6681" spans="1:40" x14ac:dyDescent="0.25">
      <c r="A6681" t="str">
        <f>"20190312172538236"</f>
        <v>20190312172538236</v>
      </c>
      <c r="B6681" t="str">
        <f>"1552382738227425"</f>
        <v>1552382738227425</v>
      </c>
      <c r="C6681" t="s">
        <v>40</v>
      </c>
      <c r="D6681">
        <v>3.6982650000000001</v>
      </c>
      <c r="E6681">
        <v>0.45538430000000002</v>
      </c>
      <c r="F6681" t="s">
        <v>50</v>
      </c>
      <c r="G6681">
        <v>-202.9751</v>
      </c>
      <c r="H6681" s="1">
        <v>-4.449095E-6</v>
      </c>
      <c r="I6681">
        <v>-59.200699999999998</v>
      </c>
      <c r="J6681">
        <v>-217.10839999999999</v>
      </c>
      <c r="K6681">
        <v>1.115097</v>
      </c>
      <c r="L6681">
        <v>-63.059510000000003</v>
      </c>
      <c r="M6681">
        <v>0.9988766</v>
      </c>
      <c r="N6681">
        <v>0</v>
      </c>
      <c r="O6681">
        <v>4.507075E-2</v>
      </c>
      <c r="P6681">
        <v>0.97055290000000005</v>
      </c>
      <c r="Q6681">
        <v>0.1917191</v>
      </c>
      <c r="R6681">
        <v>0.14584530000000001</v>
      </c>
      <c r="S6681">
        <v>3.016251</v>
      </c>
      <c r="T6681">
        <v>-0.23530960000000001</v>
      </c>
      <c r="U6681">
        <v>0.81631469999999995</v>
      </c>
      <c r="V6681">
        <v>-0.10416880000000001</v>
      </c>
      <c r="W6681">
        <v>0.20487440000000001</v>
      </c>
      <c r="X6681">
        <v>0.97322929999999996</v>
      </c>
      <c r="Y6681">
        <v>-0.21697949999999999</v>
      </c>
      <c r="Z6681">
        <v>4.8588030000000001E-3</v>
      </c>
      <c r="AA6681">
        <v>0.97616400000000003</v>
      </c>
      <c r="AB6681">
        <v>32</v>
      </c>
      <c r="AC6681">
        <v>14.133299999999901</v>
      </c>
      <c r="AD6681">
        <v>-1.115101449095</v>
      </c>
      <c r="AE6681">
        <v>3.8588099999999899</v>
      </c>
      <c r="AF6681">
        <v>-3.1992871315629401</v>
      </c>
      <c r="AG6681">
        <v>-1.115101449095</v>
      </c>
      <c r="AH6681">
        <v>14.210548467699301</v>
      </c>
      <c r="AI6681">
        <v>94.377675154743002</v>
      </c>
      <c r="AJ6681">
        <v>102.68772746980299</v>
      </c>
      <c r="AK6681">
        <v>14.6088526977579</v>
      </c>
      <c r="AL6681">
        <v>78.177852929626894</v>
      </c>
      <c r="AM6681">
        <v>96.109347418514602</v>
      </c>
      <c r="AN6681">
        <v>0.99999996452364404</v>
      </c>
    </row>
    <row r="6682" spans="1:40" x14ac:dyDescent="0.25">
      <c r="A6682" t="str">
        <f>"20190312172538247"</f>
        <v>20190312172538247</v>
      </c>
      <c r="B6682" t="str">
        <f>"1552382738237186"</f>
        <v>1552382738237186</v>
      </c>
      <c r="C6682" t="s">
        <v>40</v>
      </c>
      <c r="D6682">
        <v>3.6846399999999999</v>
      </c>
      <c r="E6682">
        <v>0.45514339999999998</v>
      </c>
      <c r="F6682" t="s">
        <v>50</v>
      </c>
      <c r="G6682">
        <v>-203.00989999999999</v>
      </c>
      <c r="H6682" s="1">
        <v>-4.4380550000000002E-6</v>
      </c>
      <c r="I6682">
        <v>-59.170499999999997</v>
      </c>
      <c r="J6682">
        <v>-216.96010000000001</v>
      </c>
      <c r="K6682">
        <v>1.115189</v>
      </c>
      <c r="L6682">
        <v>-63.050449999999998</v>
      </c>
      <c r="M6682">
        <v>0.99875559999999997</v>
      </c>
      <c r="N6682">
        <v>0</v>
      </c>
      <c r="O6682">
        <v>4.7674469999999997E-2</v>
      </c>
      <c r="P6682">
        <v>0.96990520000000002</v>
      </c>
      <c r="Q6682">
        <v>0.19217780000000001</v>
      </c>
      <c r="R6682">
        <v>0.1495051</v>
      </c>
      <c r="S6682">
        <v>3.0131839999999999</v>
      </c>
      <c r="T6682">
        <v>-0.23832429999999999</v>
      </c>
      <c r="U6682">
        <v>0.83117680000000005</v>
      </c>
      <c r="V6682">
        <v>-0.1053601</v>
      </c>
      <c r="W6682">
        <v>0.2053005</v>
      </c>
      <c r="X6682">
        <v>0.97301130000000002</v>
      </c>
      <c r="Y6682">
        <v>-0.21915370000000001</v>
      </c>
      <c r="Z6682">
        <v>4.8058459999999999E-3</v>
      </c>
      <c r="AA6682">
        <v>0.9756785</v>
      </c>
      <c r="AB6682">
        <v>32</v>
      </c>
      <c r="AC6682">
        <v>13.950200000000001</v>
      </c>
      <c r="AD6682">
        <v>-1.1151934380549999</v>
      </c>
      <c r="AE6682">
        <v>3.87995</v>
      </c>
      <c r="AF6682">
        <v>-3.19146668570975</v>
      </c>
      <c r="AG6682">
        <v>-1.1151934380549999</v>
      </c>
      <c r="AH6682">
        <v>14.036070566230901</v>
      </c>
      <c r="AI6682">
        <v>94.430112067379198</v>
      </c>
      <c r="AJ6682">
        <v>102.80989669528699</v>
      </c>
      <c r="AK6682">
        <v>14.437464907333601</v>
      </c>
      <c r="AL6682">
        <v>78.152909621714898</v>
      </c>
      <c r="AM6682">
        <v>96.180051627595205</v>
      </c>
      <c r="AN6682">
        <v>1.00000001794997</v>
      </c>
    </row>
    <row r="6683" spans="1:40" x14ac:dyDescent="0.25">
      <c r="A6683" t="str">
        <f>"20190312172538257"</f>
        <v>20190312172538257</v>
      </c>
      <c r="B6683" t="str">
        <f>"1552382738246945"</f>
        <v>1552382738246945</v>
      </c>
      <c r="C6683" t="s">
        <v>40</v>
      </c>
      <c r="D6683">
        <v>3.691732</v>
      </c>
      <c r="E6683">
        <v>0.45501970000000003</v>
      </c>
      <c r="F6683" t="s">
        <v>50</v>
      </c>
      <c r="G6683">
        <v>-202.95339999999999</v>
      </c>
      <c r="H6683" s="1">
        <v>-4.4778279999999996E-6</v>
      </c>
      <c r="I6683">
        <v>-59.1209699999999</v>
      </c>
      <c r="J6683">
        <v>-216.80160000000001</v>
      </c>
      <c r="K6683">
        <v>1.1152789999999999</v>
      </c>
      <c r="L6683">
        <v>-63.040370000000003</v>
      </c>
      <c r="M6683">
        <v>0.99861699999999998</v>
      </c>
      <c r="N6683">
        <v>0</v>
      </c>
      <c r="O6683">
        <v>5.0493610000000001E-2</v>
      </c>
      <c r="P6683">
        <v>0.96924880000000002</v>
      </c>
      <c r="Q6683">
        <v>0.19244800000000001</v>
      </c>
      <c r="R6683">
        <v>0.15336469999999999</v>
      </c>
      <c r="S6683">
        <v>3.0103909999999998</v>
      </c>
      <c r="T6683">
        <v>-0.2396828</v>
      </c>
      <c r="U6683">
        <v>0.8445435</v>
      </c>
      <c r="V6683">
        <v>-0.1065424</v>
      </c>
      <c r="W6683">
        <v>0.2055371</v>
      </c>
      <c r="X6683">
        <v>0.97283260000000005</v>
      </c>
      <c r="Y6683">
        <v>-0.2206504</v>
      </c>
      <c r="Z6683">
        <v>4.6741580000000003E-3</v>
      </c>
      <c r="AA6683">
        <v>0.97534169999999998</v>
      </c>
      <c r="AB6683">
        <v>32</v>
      </c>
      <c r="AC6683">
        <v>13.8482</v>
      </c>
      <c r="AD6683">
        <v>-1.1152834778280001</v>
      </c>
      <c r="AE6683">
        <v>3.9194</v>
      </c>
      <c r="AF6683">
        <v>-3.1958871258486798</v>
      </c>
      <c r="AG6683">
        <v>-1.1152834778280001</v>
      </c>
      <c r="AH6683">
        <v>13.9447180284648</v>
      </c>
      <c r="AI6683">
        <v>94.457635291997605</v>
      </c>
      <c r="AJ6683">
        <v>102.90827755904201</v>
      </c>
      <c r="AK6683">
        <v>14.3496589733161</v>
      </c>
      <c r="AL6683">
        <v>78.139058129423702</v>
      </c>
      <c r="AM6683">
        <v>96.249994326522994</v>
      </c>
      <c r="AN6683">
        <v>1.00000002504846</v>
      </c>
    </row>
    <row r="6684" spans="1:40" x14ac:dyDescent="0.25">
      <c r="A6684" t="str">
        <f>"20190312172538270"</f>
        <v>20190312172538270</v>
      </c>
      <c r="B6684" t="str">
        <f>"1552382738267441"</f>
        <v>1552382738267441</v>
      </c>
      <c r="C6684" t="s">
        <v>40</v>
      </c>
      <c r="D6684">
        <v>3.7108029999999999</v>
      </c>
      <c r="E6684">
        <v>0.45503860000000002</v>
      </c>
      <c r="F6684" t="s">
        <v>50</v>
      </c>
      <c r="G6684">
        <v>-202.89869999999999</v>
      </c>
      <c r="H6684" s="1">
        <v>-4.5153249999999998E-6</v>
      </c>
      <c r="I6684">
        <v>-59.077509999999997</v>
      </c>
      <c r="J6684">
        <v>-216.643</v>
      </c>
      <c r="K6684">
        <v>1.1153690000000001</v>
      </c>
      <c r="L6684">
        <v>-63.029629999999997</v>
      </c>
      <c r="M6684">
        <v>0.99846679999999999</v>
      </c>
      <c r="N6684">
        <v>0</v>
      </c>
      <c r="O6684">
        <v>5.3378389999999998E-2</v>
      </c>
      <c r="P6684">
        <v>0.96854589999999996</v>
      </c>
      <c r="Q6684">
        <v>0.1926551</v>
      </c>
      <c r="R6684">
        <v>0.15749060000000001</v>
      </c>
      <c r="S6684">
        <v>3.0074459999999998</v>
      </c>
      <c r="T6684">
        <v>-0.24125559999999999</v>
      </c>
      <c r="U6684">
        <v>0.85723879999999997</v>
      </c>
      <c r="V6684">
        <v>-0.1079281</v>
      </c>
      <c r="W6684">
        <v>0.2057088</v>
      </c>
      <c r="X6684">
        <v>0.97264349999999999</v>
      </c>
      <c r="Y6684">
        <v>-0.22189139999999999</v>
      </c>
      <c r="Z6684">
        <v>4.5298200000000004E-3</v>
      </c>
      <c r="AA6684">
        <v>0.97506090000000001</v>
      </c>
      <c r="AB6684">
        <v>32</v>
      </c>
      <c r="AC6684">
        <v>13.744300000000001</v>
      </c>
      <c r="AD6684">
        <v>-1.115373515325</v>
      </c>
      <c r="AE6684">
        <v>3.9521199999999999</v>
      </c>
      <c r="AF6684">
        <v>-3.1933330794520698</v>
      </c>
      <c r="AG6684">
        <v>-1.115373515325</v>
      </c>
      <c r="AH6684">
        <v>13.851428140297701</v>
      </c>
      <c r="AI6684">
        <v>94.486570102445597</v>
      </c>
      <c r="AJ6684">
        <v>102.98224383487</v>
      </c>
      <c r="AK6684">
        <v>14.2584534841912</v>
      </c>
      <c r="AL6684">
        <v>78.129005112571704</v>
      </c>
      <c r="AM6684">
        <v>96.331847323398804</v>
      </c>
      <c r="AN6684">
        <v>0.99999998162964898</v>
      </c>
    </row>
    <row r="6685" spans="1:40" x14ac:dyDescent="0.25">
      <c r="A6685" t="str">
        <f>"20190312172538281"</f>
        <v>20190312172538281</v>
      </c>
      <c r="B6685" t="str">
        <f>"1552382738277201"</f>
        <v>1552382738277201</v>
      </c>
      <c r="C6685" t="s">
        <v>40</v>
      </c>
      <c r="D6685">
        <v>3.6560260000000002</v>
      </c>
      <c r="E6685">
        <v>0.45519209999999899</v>
      </c>
      <c r="F6685" t="s">
        <v>50</v>
      </c>
      <c r="G6685">
        <v>-202.91900000000001</v>
      </c>
      <c r="H6685" s="1">
        <v>-4.5097859999999996E-6</v>
      </c>
      <c r="I6685">
        <v>-59.055959999999999</v>
      </c>
      <c r="J6685">
        <v>-216.4768</v>
      </c>
      <c r="K6685">
        <v>1.115464</v>
      </c>
      <c r="L6685">
        <v>-63.018099999999997</v>
      </c>
      <c r="M6685">
        <v>0.9982993</v>
      </c>
      <c r="N6685">
        <v>0</v>
      </c>
      <c r="O6685">
        <v>5.6422840000000002E-2</v>
      </c>
      <c r="P6685">
        <v>0.96781459999999997</v>
      </c>
      <c r="Q6685">
        <v>0.1930193</v>
      </c>
      <c r="R6685">
        <v>0.16148899999999999</v>
      </c>
      <c r="S6685">
        <v>3.0045320000000002</v>
      </c>
      <c r="T6685">
        <v>-0.2441825</v>
      </c>
      <c r="U6685">
        <v>0.86993410000000004</v>
      </c>
      <c r="V6685">
        <v>-0.1090362</v>
      </c>
      <c r="W6685">
        <v>0.2060401</v>
      </c>
      <c r="X6685">
        <v>0.97244980000000003</v>
      </c>
      <c r="Y6685">
        <v>-0.2229669</v>
      </c>
      <c r="Z6685">
        <v>4.3882460000000002E-3</v>
      </c>
      <c r="AA6685">
        <v>0.97481609999999996</v>
      </c>
      <c r="AB6685">
        <v>32</v>
      </c>
      <c r="AC6685">
        <v>13.557799999999901</v>
      </c>
      <c r="AD6685">
        <v>-1.115468509786</v>
      </c>
      <c r="AE6685">
        <v>3.96213999999999</v>
      </c>
      <c r="AF6685">
        <v>-3.1709988897267301</v>
      </c>
      <c r="AG6685">
        <v>-1.115468509786</v>
      </c>
      <c r="AH6685">
        <v>13.674494800447301</v>
      </c>
      <c r="AI6685">
        <v>94.543424850418305</v>
      </c>
      <c r="AJ6685">
        <v>103.055650982553</v>
      </c>
      <c r="AK6685">
        <v>14.0815947961313</v>
      </c>
      <c r="AL6685">
        <v>78.1096078905409</v>
      </c>
      <c r="AM6685">
        <v>96.397583950510494</v>
      </c>
      <c r="AN6685">
        <v>1.00000001461924</v>
      </c>
    </row>
    <row r="6686" spans="1:40" x14ac:dyDescent="0.25">
      <c r="A6686" t="str">
        <f>"20190312172538292"</f>
        <v>20190312172538292</v>
      </c>
      <c r="B6686" t="str">
        <f>"1552382738286961"</f>
        <v>1552382738286961</v>
      </c>
      <c r="C6686" t="s">
        <v>40</v>
      </c>
      <c r="D6686">
        <v>3.6887300000000001</v>
      </c>
      <c r="E6686">
        <v>0.45548</v>
      </c>
      <c r="F6686" t="s">
        <v>50</v>
      </c>
      <c r="G6686">
        <v>-202.6721</v>
      </c>
      <c r="H6686" s="1">
        <v>-4.655381E-6</v>
      </c>
      <c r="I6686">
        <v>-58.966500000000003</v>
      </c>
      <c r="J6686">
        <v>-216.31479999999999</v>
      </c>
      <c r="K6686">
        <v>1.1155459999999999</v>
      </c>
      <c r="L6686">
        <v>-63.005949999999999</v>
      </c>
      <c r="M6686">
        <v>0.99812210000000001</v>
      </c>
      <c r="N6686">
        <v>0</v>
      </c>
      <c r="O6686">
        <v>5.9473989999999997E-2</v>
      </c>
      <c r="P6686">
        <v>0.96712580000000004</v>
      </c>
      <c r="Q6686">
        <v>0.19316810000000001</v>
      </c>
      <c r="R6686">
        <v>0.1653897</v>
      </c>
      <c r="S6686">
        <v>3.0011749999999999</v>
      </c>
      <c r="T6686">
        <v>-0.2425059</v>
      </c>
      <c r="U6686">
        <v>0.88082890000000003</v>
      </c>
      <c r="V6686">
        <v>-0.11003350000000001</v>
      </c>
      <c r="W6686">
        <v>0.2061586</v>
      </c>
      <c r="X6686">
        <v>0.97231230000000002</v>
      </c>
      <c r="Y6686">
        <v>-0.223554</v>
      </c>
      <c r="Z6686">
        <v>4.1442220000000004E-3</v>
      </c>
      <c r="AA6686">
        <v>0.97468270000000001</v>
      </c>
      <c r="AB6686">
        <v>32</v>
      </c>
      <c r="AC6686">
        <v>13.6426999999999</v>
      </c>
      <c r="AD6686">
        <v>-1.115550655381</v>
      </c>
      <c r="AE6686">
        <v>4.0394499999999898</v>
      </c>
      <c r="AF6686">
        <v>-3.2011466897713299</v>
      </c>
      <c r="AG6686">
        <v>-1.115550655381</v>
      </c>
      <c r="AH6686">
        <v>13.774140125059001</v>
      </c>
      <c r="AI6686">
        <v>94.510517791033294</v>
      </c>
      <c r="AJ6686">
        <v>103.083441072829</v>
      </c>
      <c r="AK6686">
        <v>14.185158778770001</v>
      </c>
      <c r="AL6686">
        <v>78.102668889269694</v>
      </c>
      <c r="AM6686">
        <v>96.456512922253694</v>
      </c>
      <c r="AN6686">
        <v>0.99999997410374897</v>
      </c>
    </row>
    <row r="6687" spans="1:40" x14ac:dyDescent="0.25">
      <c r="A6687" t="str">
        <f>"20190312172538304"</f>
        <v>20190312172538304</v>
      </c>
      <c r="B6687" t="str">
        <f>"1552382738296721"</f>
        <v>1552382738296721</v>
      </c>
      <c r="C6687" t="s">
        <v>40</v>
      </c>
      <c r="D6687">
        <v>3.689972</v>
      </c>
      <c r="E6687">
        <v>0.45571810000000001</v>
      </c>
      <c r="F6687" t="s">
        <v>50</v>
      </c>
      <c r="G6687">
        <v>-202.51499999999999</v>
      </c>
      <c r="H6687" s="1">
        <v>-4.7489469999999998E-6</v>
      </c>
      <c r="I6687">
        <v>-58.90578</v>
      </c>
      <c r="J6687">
        <v>-216.1446</v>
      </c>
      <c r="K6687">
        <v>1.1156330000000001</v>
      </c>
      <c r="L6687">
        <v>-62.992890000000003</v>
      </c>
      <c r="M6687">
        <v>0.99792440000000004</v>
      </c>
      <c r="N6687">
        <v>0</v>
      </c>
      <c r="O6687">
        <v>6.2701740000000006E-2</v>
      </c>
      <c r="P6687">
        <v>0.96637709999999999</v>
      </c>
      <c r="Q6687">
        <v>0.19349959999999999</v>
      </c>
      <c r="R6687">
        <v>0.1693318</v>
      </c>
      <c r="S6687">
        <v>2.998062</v>
      </c>
      <c r="T6687">
        <v>-0.2423573</v>
      </c>
      <c r="U6687">
        <v>0.89077759999999995</v>
      </c>
      <c r="V6687">
        <v>-0.1109086</v>
      </c>
      <c r="W6687">
        <v>0.20646049999999999</v>
      </c>
      <c r="X6687">
        <v>0.97214880000000004</v>
      </c>
      <c r="Y6687">
        <v>-0.22365989999999999</v>
      </c>
      <c r="Z6687">
        <v>3.8946369999999998E-3</v>
      </c>
      <c r="AA6687">
        <v>0.97465950000000001</v>
      </c>
      <c r="AB6687">
        <v>32</v>
      </c>
      <c r="AC6687">
        <v>13.6296</v>
      </c>
      <c r="AD6687">
        <v>-1.115637748947</v>
      </c>
      <c r="AE6687">
        <v>4.0871099999999903</v>
      </c>
      <c r="AF6687">
        <v>-3.2046743078589501</v>
      </c>
      <c r="AG6687">
        <v>-1.115637748947</v>
      </c>
      <c r="AH6687">
        <v>13.774396491289201</v>
      </c>
      <c r="AI6687">
        <v>94.510535379871399</v>
      </c>
      <c r="AJ6687">
        <v>103.097126697633</v>
      </c>
      <c r="AK6687">
        <v>14.186211041203601</v>
      </c>
      <c r="AL6687">
        <v>78.0849909644881</v>
      </c>
      <c r="AM6687">
        <v>96.508508103451206</v>
      </c>
      <c r="AN6687">
        <v>0.99999997247782402</v>
      </c>
    </row>
    <row r="6688" spans="1:40" x14ac:dyDescent="0.25">
      <c r="A6688" t="str">
        <f>"20190312172538314"</f>
        <v>20190312172538314</v>
      </c>
      <c r="B6688" t="str">
        <f>"1552382738307457"</f>
        <v>1552382738307457</v>
      </c>
      <c r="C6688" t="s">
        <v>40</v>
      </c>
      <c r="D6688">
        <v>3.7547860000000002</v>
      </c>
      <c r="E6688">
        <v>0.45596330000000002</v>
      </c>
      <c r="F6688" t="s">
        <v>50</v>
      </c>
      <c r="G6688">
        <v>-202.29339999999999</v>
      </c>
      <c r="H6688" s="1">
        <v>-4.8798339999999999E-6</v>
      </c>
      <c r="I6688">
        <v>-58.824629999999999</v>
      </c>
      <c r="J6688">
        <v>-215.99799999999999</v>
      </c>
      <c r="K6688">
        <v>1.1157109999999999</v>
      </c>
      <c r="L6688">
        <v>-62.981050000000003</v>
      </c>
      <c r="M6688">
        <v>0.99774209999999997</v>
      </c>
      <c r="N6688">
        <v>0</v>
      </c>
      <c r="O6688">
        <v>6.5537940000000003E-2</v>
      </c>
      <c r="P6688">
        <v>0.96573070000000005</v>
      </c>
      <c r="Q6688">
        <v>0.19367860000000001</v>
      </c>
      <c r="R6688">
        <v>0.17278009999999999</v>
      </c>
      <c r="S6688">
        <v>2.9947509999999999</v>
      </c>
      <c r="T6688">
        <v>-0.2412107</v>
      </c>
      <c r="U6688">
        <v>0.90121459999999998</v>
      </c>
      <c r="V6688">
        <v>-0.11165949999999999</v>
      </c>
      <c r="W6688">
        <v>0.20661499999999999</v>
      </c>
      <c r="X6688">
        <v>0.97202999999999995</v>
      </c>
      <c r="Y6688">
        <v>-0.22431229999999999</v>
      </c>
      <c r="Z6688">
        <v>3.6824940000000001E-3</v>
      </c>
      <c r="AA6688">
        <v>0.9745104</v>
      </c>
      <c r="AB6688">
        <v>32</v>
      </c>
      <c r="AC6688">
        <v>13.704599999999999</v>
      </c>
      <c r="AD6688">
        <v>-1.1157158798339999</v>
      </c>
      <c r="AE6688">
        <v>4.15641999999999</v>
      </c>
      <c r="AF6688">
        <v>-3.2296116653351699</v>
      </c>
      <c r="AG6688">
        <v>-1.1157158798339999</v>
      </c>
      <c r="AH6688">
        <v>13.8634172413712</v>
      </c>
      <c r="AI6688">
        <v>94.481702470769093</v>
      </c>
      <c r="AJ6688">
        <v>103.11369540408499</v>
      </c>
      <c r="AK6688">
        <v>14.278289499857101</v>
      </c>
      <c r="AL6688">
        <v>78.075943562353999</v>
      </c>
      <c r="AM6688">
        <v>96.552985493793798</v>
      </c>
      <c r="AN6688">
        <v>0.99999996153262405</v>
      </c>
    </row>
    <row r="6689" spans="1:40" x14ac:dyDescent="0.25">
      <c r="A6689" t="str">
        <f>"20190312172538326"</f>
        <v>20190312172538326</v>
      </c>
      <c r="B6689" t="str">
        <f>"1552382738317217"</f>
        <v>1552382738317217</v>
      </c>
      <c r="C6689" t="s">
        <v>40</v>
      </c>
      <c r="D6689">
        <v>3.9360059999999999</v>
      </c>
      <c r="E6689">
        <v>0.45596779999999998</v>
      </c>
      <c r="F6689" t="s">
        <v>50</v>
      </c>
      <c r="G6689">
        <v>-202.04310000000001</v>
      </c>
      <c r="H6689" s="1">
        <v>-5.0269710000000002E-6</v>
      </c>
      <c r="I6689">
        <v>-58.736190000000001</v>
      </c>
      <c r="J6689">
        <v>-215.83690000000001</v>
      </c>
      <c r="K6689">
        <v>1.1157889999999999</v>
      </c>
      <c r="L6689">
        <v>-62.967559999999999</v>
      </c>
      <c r="M6689">
        <v>0.99753020000000003</v>
      </c>
      <c r="N6689">
        <v>0</v>
      </c>
      <c r="O6689">
        <v>6.8686540000000004E-2</v>
      </c>
      <c r="P6689">
        <v>0.96503499999999998</v>
      </c>
      <c r="Q6689">
        <v>0.19374949999999999</v>
      </c>
      <c r="R6689">
        <v>0.17654710000000001</v>
      </c>
      <c r="S6689">
        <v>2.9916079999999998</v>
      </c>
      <c r="T6689">
        <v>-0.23918449999999999</v>
      </c>
      <c r="U6689">
        <v>0.91000369999999997</v>
      </c>
      <c r="V6689">
        <v>-0.11242870000000001</v>
      </c>
      <c r="W6689">
        <v>0.20666019999999999</v>
      </c>
      <c r="X6689">
        <v>0.97193180000000001</v>
      </c>
      <c r="Y6689">
        <v>-0.22415930000000001</v>
      </c>
      <c r="Z6689">
        <v>3.4037619999999998E-3</v>
      </c>
      <c r="AA6689">
        <v>0.97454660000000004</v>
      </c>
      <c r="AB6689">
        <v>32</v>
      </c>
      <c r="AC6689">
        <v>13.793799999999999</v>
      </c>
      <c r="AD6689">
        <v>-1.1157940269709901</v>
      </c>
      <c r="AE6689">
        <v>4.2313699999999903</v>
      </c>
      <c r="AF6689">
        <v>-3.2543610568955401</v>
      </c>
      <c r="AG6689">
        <v>-1.1157940269709901</v>
      </c>
      <c r="AH6689">
        <v>13.968346809241201</v>
      </c>
      <c r="AI6689">
        <v>94.448460678817199</v>
      </c>
      <c r="AJ6689">
        <v>103.114882349151</v>
      </c>
      <c r="AK6689">
        <v>14.3857768223513</v>
      </c>
      <c r="AL6689">
        <v>78.073297584054899</v>
      </c>
      <c r="AM6689">
        <v>96.598391773885695</v>
      </c>
      <c r="AN6689">
        <v>1.00000003734948</v>
      </c>
    </row>
    <row r="6690" spans="1:40" x14ac:dyDescent="0.25">
      <c r="A6690" t="str">
        <f>"20190312172538336"</f>
        <v>20190312172538336</v>
      </c>
      <c r="B6690" t="str">
        <f>"1552382738326978"</f>
        <v>1552382738326978</v>
      </c>
      <c r="C6690" t="s">
        <v>40</v>
      </c>
      <c r="D6690">
        <v>3.787798</v>
      </c>
      <c r="E6690">
        <v>0.45602910000000002</v>
      </c>
      <c r="F6690" t="s">
        <v>50</v>
      </c>
      <c r="G6690">
        <v>-202.012</v>
      </c>
      <c r="H6690" s="1">
        <v>-5.0501189999999996E-6</v>
      </c>
      <c r="I6690">
        <v>-58.703189999999999</v>
      </c>
      <c r="J6690">
        <v>-215.6773</v>
      </c>
      <c r="K6690">
        <v>1.115864</v>
      </c>
      <c r="L6690">
        <v>-62.953670000000002</v>
      </c>
      <c r="M6690">
        <v>0.99730739999999996</v>
      </c>
      <c r="N6690">
        <v>0</v>
      </c>
      <c r="O6690">
        <v>7.1846499999999994E-2</v>
      </c>
      <c r="P6690">
        <v>0.96434549999999997</v>
      </c>
      <c r="Q6690">
        <v>0.1937564</v>
      </c>
      <c r="R6690">
        <v>0.18026729999999999</v>
      </c>
      <c r="S6690">
        <v>2.988464</v>
      </c>
      <c r="T6690">
        <v>-0.24119750000000001</v>
      </c>
      <c r="U6690">
        <v>0.92181400000000002</v>
      </c>
      <c r="V6690">
        <v>-0.11313769999999999</v>
      </c>
      <c r="W6690">
        <v>0.20664289999999999</v>
      </c>
      <c r="X6690">
        <v>0.97185310000000003</v>
      </c>
      <c r="Y6690">
        <v>-0.22487760000000001</v>
      </c>
      <c r="Z6690">
        <v>3.2151710000000002E-3</v>
      </c>
      <c r="AA6690">
        <v>0.97438170000000002</v>
      </c>
      <c r="AB6690">
        <v>32</v>
      </c>
      <c r="AC6690">
        <v>13.6653</v>
      </c>
      <c r="AD6690">
        <v>-1.1158690501189901</v>
      </c>
      <c r="AE6690">
        <v>4.2504799999999898</v>
      </c>
      <c r="AF6690">
        <v>-3.23789764443891</v>
      </c>
      <c r="AG6690">
        <v>-1.1158690501189901</v>
      </c>
      <c r="AH6690">
        <v>13.8511813077947</v>
      </c>
      <c r="AI6690">
        <v>94.485463755734301</v>
      </c>
      <c r="AJ6690">
        <v>103.157382545443</v>
      </c>
      <c r="AK6690">
        <v>14.2682994261502</v>
      </c>
      <c r="AL6690">
        <v>78.074309462145905</v>
      </c>
      <c r="AM6690">
        <v>96.640165167947103</v>
      </c>
      <c r="AN6690">
        <v>0.99999993763065298</v>
      </c>
    </row>
    <row r="6691" spans="1:40" x14ac:dyDescent="0.25">
      <c r="A6691" t="str">
        <f>"20190312172538350"</f>
        <v>20190312172538350</v>
      </c>
      <c r="B6691" t="str">
        <f>"1552382738336737"</f>
        <v>1552382738336737</v>
      </c>
      <c r="C6691" t="s">
        <v>40</v>
      </c>
      <c r="D6691">
        <v>3.713838</v>
      </c>
      <c r="E6691">
        <v>0.4562428</v>
      </c>
      <c r="F6691" t="s">
        <v>50</v>
      </c>
      <c r="G6691">
        <v>-202.0256</v>
      </c>
      <c r="H6691" s="1">
        <v>-5.0466920000000001E-6</v>
      </c>
      <c r="I6691">
        <v>-58.68741</v>
      </c>
      <c r="J6691">
        <v>-215.50960000000001</v>
      </c>
      <c r="K6691">
        <v>1.1159410000000001</v>
      </c>
      <c r="L6691">
        <v>-62.938389999999998</v>
      </c>
      <c r="M6691">
        <v>0.99705829999999995</v>
      </c>
      <c r="N6691">
        <v>0</v>
      </c>
      <c r="O6691">
        <v>7.522305E-2</v>
      </c>
      <c r="P6691">
        <v>0.96353449999999996</v>
      </c>
      <c r="Q6691">
        <v>0.193943</v>
      </c>
      <c r="R6691">
        <v>0.18435670000000001</v>
      </c>
      <c r="S6691">
        <v>2.9855649999999998</v>
      </c>
      <c r="T6691">
        <v>-0.244036</v>
      </c>
      <c r="U6691">
        <v>0.93301389999999995</v>
      </c>
      <c r="V6691">
        <v>-0.11401650000000001</v>
      </c>
      <c r="W6691">
        <v>0.20680200000000001</v>
      </c>
      <c r="X6691">
        <v>0.97171660000000004</v>
      </c>
      <c r="Y6691">
        <v>-0.22517709999999999</v>
      </c>
      <c r="Z6691">
        <v>2.9991390000000001E-3</v>
      </c>
      <c r="AA6691">
        <v>0.97431330000000005</v>
      </c>
      <c r="AB6691">
        <v>32</v>
      </c>
      <c r="AC6691">
        <v>13.484</v>
      </c>
      <c r="AD6691">
        <v>-1.1159460466919999</v>
      </c>
      <c r="AE6691">
        <v>4.2509800000000002</v>
      </c>
      <c r="AF6691">
        <v>-3.20455115843991</v>
      </c>
      <c r="AG6691">
        <v>-1.1159460466919999</v>
      </c>
      <c r="AH6691">
        <v>13.6803637246815</v>
      </c>
      <c r="AI6691">
        <v>94.541067071362704</v>
      </c>
      <c r="AJ6691">
        <v>103.183527505822</v>
      </c>
      <c r="AK6691">
        <v>14.094922324928501</v>
      </c>
      <c r="AL6691">
        <v>78.064993087511297</v>
      </c>
      <c r="AM6691">
        <v>96.692208327424197</v>
      </c>
      <c r="AN6691">
        <v>0.99999999009590501</v>
      </c>
    </row>
    <row r="6692" spans="1:40" x14ac:dyDescent="0.25">
      <c r="A6692" t="str">
        <f>"20190312172538364"</f>
        <v>20190312172538364</v>
      </c>
      <c r="B6692" t="str">
        <f>"1552382738357233"</f>
        <v>1552382738357233</v>
      </c>
      <c r="C6692" t="s">
        <v>40</v>
      </c>
      <c r="D6692">
        <v>3.7339699999999998</v>
      </c>
      <c r="E6692">
        <v>0.4567522</v>
      </c>
      <c r="F6692" t="s">
        <v>50</v>
      </c>
      <c r="G6692">
        <v>-201.8887</v>
      </c>
      <c r="H6692" s="1">
        <v>-5.1300640000000001E-6</v>
      </c>
      <c r="I6692">
        <v>-58.626139999999999</v>
      </c>
      <c r="J6692">
        <v>-215.30009999999999</v>
      </c>
      <c r="K6692">
        <v>1.1160399999999999</v>
      </c>
      <c r="L6692">
        <v>-62.918640000000003</v>
      </c>
      <c r="M6692">
        <v>0.99672709999999998</v>
      </c>
      <c r="N6692">
        <v>0</v>
      </c>
      <c r="O6692">
        <v>7.9490069999999996E-2</v>
      </c>
      <c r="P6692">
        <v>0.96264329999999998</v>
      </c>
      <c r="Q6692">
        <v>0.193719</v>
      </c>
      <c r="R6692">
        <v>0.18918509999999999</v>
      </c>
      <c r="S6692">
        <v>2.982056</v>
      </c>
      <c r="T6692">
        <v>-0.24431710000000001</v>
      </c>
      <c r="U6692">
        <v>0.94409180000000004</v>
      </c>
      <c r="V6692">
        <v>-0.1147729</v>
      </c>
      <c r="W6692">
        <v>0.2065496</v>
      </c>
      <c r="X6692">
        <v>0.97168120000000002</v>
      </c>
      <c r="Y6692">
        <v>-0.22464000000000001</v>
      </c>
      <c r="Z6692">
        <v>2.6451180000000001E-3</v>
      </c>
      <c r="AA6692">
        <v>0.97443829999999998</v>
      </c>
      <c r="AB6692">
        <v>32</v>
      </c>
      <c r="AC6692">
        <v>13.411399999999899</v>
      </c>
      <c r="AD6692">
        <v>-1.116045130064</v>
      </c>
      <c r="AE6692">
        <v>4.2925000000000004</v>
      </c>
      <c r="AF6692">
        <v>-3.19267100453047</v>
      </c>
      <c r="AG6692">
        <v>-1.116045130064</v>
      </c>
      <c r="AH6692">
        <v>13.6246182062981</v>
      </c>
      <c r="AI6692">
        <v>94.559884735058702</v>
      </c>
      <c r="AJ6692">
        <v>103.188223321419</v>
      </c>
      <c r="AK6692">
        <v>14.0381240250576</v>
      </c>
      <c r="AL6692">
        <v>78.079773239864195</v>
      </c>
      <c r="AM6692">
        <v>96.736441784955502</v>
      </c>
      <c r="AN6692">
        <v>0.99999995513400397</v>
      </c>
    </row>
    <row r="6693" spans="1:40" x14ac:dyDescent="0.25">
      <c r="A6693" t="str">
        <f>"20190312172538374"</f>
        <v>20190312172538374</v>
      </c>
      <c r="B6693" t="str">
        <f>"1552382738366993"</f>
        <v>1552382738366993</v>
      </c>
      <c r="C6693" t="s">
        <v>40</v>
      </c>
      <c r="D6693">
        <v>3.7223220000000001</v>
      </c>
      <c r="E6693">
        <v>0.45700010000000002</v>
      </c>
      <c r="F6693" t="s">
        <v>50</v>
      </c>
      <c r="G6693">
        <v>-201.8329</v>
      </c>
      <c r="H6693" s="1">
        <v>-5.1644780000000001E-6</v>
      </c>
      <c r="I6693">
        <v>-58.599200000000003</v>
      </c>
      <c r="J6693">
        <v>-215.1414</v>
      </c>
      <c r="K6693">
        <v>1.1161110000000001</v>
      </c>
      <c r="L6693">
        <v>-62.902859999999997</v>
      </c>
      <c r="M6693">
        <v>0.99645839999999997</v>
      </c>
      <c r="N6693">
        <v>0</v>
      </c>
      <c r="O6693">
        <v>8.2791009999999998E-2</v>
      </c>
      <c r="P6693">
        <v>0.96188750000000001</v>
      </c>
      <c r="Q6693">
        <v>0.19361890000000001</v>
      </c>
      <c r="R6693">
        <v>0.19309090000000001</v>
      </c>
      <c r="S6693">
        <v>2.978348</v>
      </c>
      <c r="T6693">
        <v>-0.24681790000000001</v>
      </c>
      <c r="U6693">
        <v>0.95526120000000003</v>
      </c>
      <c r="V6693">
        <v>-0.1155345</v>
      </c>
      <c r="W6693">
        <v>0.2064251</v>
      </c>
      <c r="X6693">
        <v>0.97161750000000002</v>
      </c>
      <c r="Y6693">
        <v>-0.22507840000000001</v>
      </c>
      <c r="Z6693">
        <v>2.4275960000000002E-3</v>
      </c>
      <c r="AA6693">
        <v>0.97433760000000003</v>
      </c>
      <c r="AB6693">
        <v>32</v>
      </c>
      <c r="AC6693">
        <v>13.3085</v>
      </c>
      <c r="AD6693">
        <v>-1.116116164478</v>
      </c>
      <c r="AE6693">
        <v>4.30365999999999</v>
      </c>
      <c r="AF6693">
        <v>-3.1667743821682701</v>
      </c>
      <c r="AG6693">
        <v>-1.116116164478</v>
      </c>
      <c r="AH6693">
        <v>13.532973316069601</v>
      </c>
      <c r="AI6693">
        <v>94.591255092635393</v>
      </c>
      <c r="AJ6693">
        <v>103.170477223342</v>
      </c>
      <c r="AK6693">
        <v>13.9432973881223</v>
      </c>
      <c r="AL6693">
        <v>78.087064879572196</v>
      </c>
      <c r="AM6693">
        <v>96.781168424661104</v>
      </c>
      <c r="AN6693">
        <v>1.0000000544532499</v>
      </c>
    </row>
    <row r="6694" spans="1:40" x14ac:dyDescent="0.25">
      <c r="A6694" t="str">
        <f>"20190312172538386"</f>
        <v>20190312172538386</v>
      </c>
      <c r="B6694" t="str">
        <f>"1552382738376753"</f>
        <v>1552382738376753</v>
      </c>
      <c r="C6694" t="s">
        <v>40</v>
      </c>
      <c r="D6694">
        <v>3.7202769999999998</v>
      </c>
      <c r="E6694">
        <v>0.45731539999999998</v>
      </c>
      <c r="F6694" t="s">
        <v>50</v>
      </c>
      <c r="G6694">
        <v>-201.75370000000001</v>
      </c>
      <c r="H6694" s="1">
        <v>-5.2138109999999899E-6</v>
      </c>
      <c r="I6694">
        <v>-58.558529999999998</v>
      </c>
      <c r="J6694">
        <v>-214.98410000000001</v>
      </c>
      <c r="K6694">
        <v>1.1161829999999999</v>
      </c>
      <c r="L6694">
        <v>-62.886749999999999</v>
      </c>
      <c r="M6694">
        <v>0.99617800000000001</v>
      </c>
      <c r="N6694">
        <v>0</v>
      </c>
      <c r="O6694">
        <v>8.609725E-2</v>
      </c>
      <c r="P6694">
        <v>0.96111210000000002</v>
      </c>
      <c r="Q6694">
        <v>0.19341510000000001</v>
      </c>
      <c r="R6694">
        <v>0.19711480000000001</v>
      </c>
      <c r="S6694">
        <v>2.975006</v>
      </c>
      <c r="T6694">
        <v>-0.2480223</v>
      </c>
      <c r="U6694">
        <v>0.9653931</v>
      </c>
      <c r="V6694">
        <v>-0.11640880000000001</v>
      </c>
      <c r="W6694">
        <v>0.20619599999999999</v>
      </c>
      <c r="X6694">
        <v>0.97156169999999997</v>
      </c>
      <c r="Y6694">
        <v>-0.22517419999999999</v>
      </c>
      <c r="Z6694">
        <v>2.1790500000000001E-3</v>
      </c>
      <c r="AA6694">
        <v>0.97431610000000002</v>
      </c>
      <c r="AB6694">
        <v>32</v>
      </c>
      <c r="AC6694">
        <v>13.230399999999999</v>
      </c>
      <c r="AD6694">
        <v>-1.116188213811</v>
      </c>
      <c r="AE6694">
        <v>4.3282199999999902</v>
      </c>
      <c r="AF6694">
        <v>-3.1526504652301601</v>
      </c>
      <c r="AG6694">
        <v>-1.116188213811</v>
      </c>
      <c r="AH6694">
        <v>13.467362094505599</v>
      </c>
      <c r="AI6694">
        <v>94.613730239076105</v>
      </c>
      <c r="AJ6694">
        <v>103.17543593945599</v>
      </c>
      <c r="AK6694">
        <v>13.8764160671656</v>
      </c>
      <c r="AL6694">
        <v>78.100478902554798</v>
      </c>
      <c r="AM6694">
        <v>96.832389915992295</v>
      </c>
      <c r="AN6694">
        <v>0.999999968020164</v>
      </c>
    </row>
    <row r="6695" spans="1:40" x14ac:dyDescent="0.25">
      <c r="A6695" t="str">
        <f>"20190312172538396"</f>
        <v>20190312172538396</v>
      </c>
      <c r="B6695" t="str">
        <f>"1552382738386514"</f>
        <v>1552382738386514</v>
      </c>
      <c r="C6695" t="s">
        <v>40</v>
      </c>
      <c r="D6695">
        <v>3.7353839999999998</v>
      </c>
      <c r="E6695">
        <v>0.4575748</v>
      </c>
      <c r="F6695" t="s">
        <v>50</v>
      </c>
      <c r="G6695">
        <v>-201.69479999999999</v>
      </c>
      <c r="H6695" s="1">
        <v>-5.2512279999999997E-6</v>
      </c>
      <c r="I6695">
        <v>-58.525170000000003</v>
      </c>
      <c r="J6695">
        <v>-214.83879999999999</v>
      </c>
      <c r="K6695">
        <v>1.116241</v>
      </c>
      <c r="L6695">
        <v>-62.871310000000001</v>
      </c>
      <c r="M6695">
        <v>0.99590559999999995</v>
      </c>
      <c r="N6695">
        <v>0</v>
      </c>
      <c r="O6695">
        <v>8.9190920000000007E-2</v>
      </c>
      <c r="P6695">
        <v>0.96040230000000004</v>
      </c>
      <c r="Q6695">
        <v>0.19332869999999999</v>
      </c>
      <c r="R6695">
        <v>0.2006271</v>
      </c>
      <c r="S6695">
        <v>2.9715880000000001</v>
      </c>
      <c r="T6695">
        <v>-0.2495878</v>
      </c>
      <c r="U6695">
        <v>0.97528079999999995</v>
      </c>
      <c r="V6695">
        <v>-0.1169753</v>
      </c>
      <c r="W6695">
        <v>0.2060891</v>
      </c>
      <c r="X6695">
        <v>0.97151639999999995</v>
      </c>
      <c r="Y6695">
        <v>-0.22541020000000001</v>
      </c>
      <c r="Z6695">
        <v>1.9536190000000002E-3</v>
      </c>
      <c r="AA6695">
        <v>0.97426199999999996</v>
      </c>
      <c r="AB6695">
        <v>32</v>
      </c>
      <c r="AC6695">
        <v>13.144</v>
      </c>
      <c r="AD6695">
        <v>-1.116246251228</v>
      </c>
      <c r="AE6695">
        <v>4.3461400000000001</v>
      </c>
      <c r="AF6695">
        <v>-3.1359741856347498</v>
      </c>
      <c r="AG6695">
        <v>-1.116246251228</v>
      </c>
      <c r="AH6695">
        <v>13.392214774910601</v>
      </c>
      <c r="AI6695">
        <v>94.639676513822394</v>
      </c>
      <c r="AJ6695">
        <v>103.17914867491901</v>
      </c>
      <c r="AK6695">
        <v>13.7997013142923</v>
      </c>
      <c r="AL6695">
        <v>78.106738968456497</v>
      </c>
      <c r="AM6695">
        <v>96.865640018872398</v>
      </c>
      <c r="AN6695">
        <v>1.00000002670892</v>
      </c>
    </row>
    <row r="6696" spans="1:40" x14ac:dyDescent="0.25">
      <c r="A6696" t="str">
        <f>"20190312172538406"</f>
        <v>20190312172538406</v>
      </c>
      <c r="B6696" t="str">
        <f>"1552382738397251"</f>
        <v>1552382738397251</v>
      </c>
      <c r="C6696" t="s">
        <v>40</v>
      </c>
      <c r="D6696">
        <v>3.6846860000000001</v>
      </c>
      <c r="E6696">
        <v>0.45791100000000001</v>
      </c>
      <c r="F6696" t="s">
        <v>50</v>
      </c>
      <c r="G6696">
        <v>-201.6343</v>
      </c>
      <c r="H6696" s="1">
        <v>-5.2890669999999996E-6</v>
      </c>
      <c r="I6696">
        <v>-58.493580000000001</v>
      </c>
      <c r="J6696">
        <v>-214.71080000000001</v>
      </c>
      <c r="K6696">
        <v>1.116298</v>
      </c>
      <c r="L6696">
        <v>-62.857329999999997</v>
      </c>
      <c r="M6696">
        <v>0.99565459999999995</v>
      </c>
      <c r="N6696">
        <v>0</v>
      </c>
      <c r="O6696">
        <v>9.1949520000000007E-2</v>
      </c>
      <c r="P6696">
        <v>0.95965279999999997</v>
      </c>
      <c r="Q6696">
        <v>0.19332759999999999</v>
      </c>
      <c r="R6696">
        <v>0.20418339999999999</v>
      </c>
      <c r="S6696">
        <v>2.9686129999999999</v>
      </c>
      <c r="T6696">
        <v>-0.25095190000000001</v>
      </c>
      <c r="U6696">
        <v>0.98419190000000001</v>
      </c>
      <c r="V6696">
        <v>-0.11791500000000001</v>
      </c>
      <c r="W6696">
        <v>0.20606250000000001</v>
      </c>
      <c r="X6696">
        <v>0.97140839999999995</v>
      </c>
      <c r="Y6696">
        <v>-0.22564110000000001</v>
      </c>
      <c r="Z6696">
        <v>1.7505349999999999E-3</v>
      </c>
      <c r="AA6696">
        <v>0.97420899999999999</v>
      </c>
      <c r="AB6696">
        <v>32</v>
      </c>
      <c r="AC6696">
        <v>13.076499999999999</v>
      </c>
      <c r="AD6696">
        <v>-1.1163032890669999</v>
      </c>
      <c r="AE6696">
        <v>4.3637499999999996</v>
      </c>
      <c r="AF6696">
        <v>-3.12227744090195</v>
      </c>
      <c r="AG6696">
        <v>-1.1163032890669999</v>
      </c>
      <c r="AH6696">
        <v>13.334938511095199</v>
      </c>
      <c r="AI6696">
        <v>94.659776332691905</v>
      </c>
      <c r="AJ6696">
        <v>103.17798896655501</v>
      </c>
      <c r="AK6696">
        <v>13.7410092258842</v>
      </c>
      <c r="AL6696">
        <v>78.108296027677198</v>
      </c>
      <c r="AM6696">
        <v>96.921023091758002</v>
      </c>
      <c r="AN6696">
        <v>0.99999999036090403</v>
      </c>
    </row>
    <row r="6697" spans="1:40" x14ac:dyDescent="0.25">
      <c r="A6697" t="str">
        <f>"20190312172538415"</f>
        <v>20190312172538415</v>
      </c>
      <c r="B6697" t="str">
        <f>"1552382738407009"</f>
        <v>1552382738407009</v>
      </c>
      <c r="C6697" t="s">
        <v>40</v>
      </c>
      <c r="D6697">
        <v>3.71814</v>
      </c>
      <c r="E6697">
        <v>0.45820490000000003</v>
      </c>
      <c r="F6697" t="s">
        <v>50</v>
      </c>
      <c r="G6697">
        <v>-201.56729999999999</v>
      </c>
      <c r="H6697" s="1">
        <v>-5.3307590000000002E-6</v>
      </c>
      <c r="I6697">
        <v>-58.459530000000001</v>
      </c>
      <c r="J6697">
        <v>-214.56700000000001</v>
      </c>
      <c r="K6697">
        <v>1.1163639999999999</v>
      </c>
      <c r="L6697">
        <v>-62.841160000000002</v>
      </c>
      <c r="M6697">
        <v>0.99535969999999996</v>
      </c>
      <c r="N6697">
        <v>0</v>
      </c>
      <c r="O6697">
        <v>9.5088420000000007E-2</v>
      </c>
      <c r="P6697">
        <v>0.95883929999999995</v>
      </c>
      <c r="Q6697">
        <v>0.19345760000000001</v>
      </c>
      <c r="R6697">
        <v>0.20785020000000001</v>
      </c>
      <c r="S6697">
        <v>2.9657589999999998</v>
      </c>
      <c r="T6697">
        <v>-0.25188739999999998</v>
      </c>
      <c r="U6697">
        <v>0.99234009999999995</v>
      </c>
      <c r="V6697">
        <v>-0.11860610000000001</v>
      </c>
      <c r="W6697">
        <v>0.20616889999999999</v>
      </c>
      <c r="X6697">
        <v>0.97130170000000005</v>
      </c>
      <c r="Y6697">
        <v>-0.22526650000000001</v>
      </c>
      <c r="Z6697">
        <v>1.486369E-3</v>
      </c>
      <c r="AA6697">
        <v>0.97429600000000005</v>
      </c>
      <c r="AB6697">
        <v>32</v>
      </c>
      <c r="AC6697">
        <v>12.999700000000001</v>
      </c>
      <c r="AD6697">
        <v>-1.1163693307589999</v>
      </c>
      <c r="AE6697">
        <v>4.3816299999999799</v>
      </c>
      <c r="AF6697">
        <v>-3.1049541978496902</v>
      </c>
      <c r="AG6697">
        <v>-1.1163693307589999</v>
      </c>
      <c r="AH6697">
        <v>13.2695939418977</v>
      </c>
      <c r="AI6697">
        <v>94.683054608730302</v>
      </c>
      <c r="AJ6697">
        <v>103.169706507771</v>
      </c>
      <c r="AK6697">
        <v>13.6736660934898</v>
      </c>
      <c r="AL6697">
        <v>78.102066187965704</v>
      </c>
      <c r="AM6697">
        <v>96.961947554143407</v>
      </c>
      <c r="AN6697">
        <v>1.0000000073536499</v>
      </c>
    </row>
    <row r="6698" spans="1:40" x14ac:dyDescent="0.25">
      <c r="A6698" t="str">
        <f>"20190312172538426"</f>
        <v>20190312172538426</v>
      </c>
      <c r="B6698" t="str">
        <f>"1552382738416768"</f>
        <v>1552382738416768</v>
      </c>
      <c r="C6698" t="s">
        <v>40</v>
      </c>
      <c r="D6698">
        <v>3.7377419999999999</v>
      </c>
      <c r="E6698">
        <v>0.45849689999999999</v>
      </c>
      <c r="F6698" t="s">
        <v>50</v>
      </c>
      <c r="G6698">
        <v>-201.4342</v>
      </c>
      <c r="H6698" s="1">
        <v>-5.4112799999999996E-6</v>
      </c>
      <c r="I6698">
        <v>-58.402209999999997</v>
      </c>
      <c r="J6698">
        <v>-214.4205</v>
      </c>
      <c r="K6698">
        <v>1.116431</v>
      </c>
      <c r="L6698">
        <v>-62.824159999999999</v>
      </c>
      <c r="M6698">
        <v>0.99504459999999995</v>
      </c>
      <c r="N6698">
        <v>0</v>
      </c>
      <c r="O6698">
        <v>9.8329189999999997E-2</v>
      </c>
      <c r="P6698">
        <v>0.95800810000000003</v>
      </c>
      <c r="Q6698">
        <v>0.19319549999999999</v>
      </c>
      <c r="R6698">
        <v>0.21188650000000001</v>
      </c>
      <c r="S6698">
        <v>2.9625240000000002</v>
      </c>
      <c r="T6698">
        <v>-0.251832</v>
      </c>
      <c r="U6698">
        <v>1.0013430000000001</v>
      </c>
      <c r="V6698">
        <v>-0.1195629</v>
      </c>
      <c r="W6698">
        <v>0.2058796</v>
      </c>
      <c r="X6698">
        <v>0.97124580000000005</v>
      </c>
      <c r="Y6698">
        <v>-0.2250848</v>
      </c>
      <c r="Z6698">
        <v>1.2150889999999999E-3</v>
      </c>
      <c r="AA6698">
        <v>0.97433840000000005</v>
      </c>
      <c r="AB6698">
        <v>32</v>
      </c>
      <c r="AC6698">
        <v>12.9863</v>
      </c>
      <c r="AD6698">
        <v>-1.11643641127999</v>
      </c>
      <c r="AE6698">
        <v>4.4219499999999998</v>
      </c>
      <c r="AF6698">
        <v>-3.10289455356796</v>
      </c>
      <c r="AG6698">
        <v>-1.11643641127999</v>
      </c>
      <c r="AH6698">
        <v>13.2703188633247</v>
      </c>
      <c r="AI6698">
        <v>94.683253750061496</v>
      </c>
      <c r="AJ6698">
        <v>103.160580732314</v>
      </c>
      <c r="AK6698">
        <v>13.673907547051201</v>
      </c>
      <c r="AL6698">
        <v>78.119005771314505</v>
      </c>
      <c r="AM6698">
        <v>97.017951941916394</v>
      </c>
      <c r="AN6698">
        <v>1.0000000503851001</v>
      </c>
    </row>
    <row r="6699" spans="1:40" x14ac:dyDescent="0.25">
      <c r="A6699" t="str">
        <f>"20190312172538439"</f>
        <v>20190312172538439</v>
      </c>
      <c r="B6699" t="str">
        <f>"1552382738426529"</f>
        <v>1552382738426529</v>
      </c>
      <c r="C6699" t="s">
        <v>40</v>
      </c>
      <c r="D6699">
        <v>3.6868319999999999</v>
      </c>
      <c r="E6699">
        <v>0.45877699999999999</v>
      </c>
      <c r="F6699" t="s">
        <v>50</v>
      </c>
      <c r="G6699">
        <v>-201.3588</v>
      </c>
      <c r="H6699" s="1">
        <v>-5.4591639999999899E-6</v>
      </c>
      <c r="I6699">
        <v>-58.359580000000001</v>
      </c>
      <c r="J6699">
        <v>-214.23410000000001</v>
      </c>
      <c r="K6699">
        <v>1.1165210000000001</v>
      </c>
      <c r="L6699">
        <v>-62.801909999999999</v>
      </c>
      <c r="M6699">
        <v>0.99462300000000003</v>
      </c>
      <c r="N6699">
        <v>0</v>
      </c>
      <c r="O6699">
        <v>0.1025051</v>
      </c>
      <c r="P6699">
        <v>0.95692270000000001</v>
      </c>
      <c r="Q6699">
        <v>0.19318389999999999</v>
      </c>
      <c r="R6699">
        <v>0.21674650000000001</v>
      </c>
      <c r="S6699">
        <v>2.9588320000000001</v>
      </c>
      <c r="T6699">
        <v>-0.25290380000000001</v>
      </c>
      <c r="U6699">
        <v>1.0113529999999999</v>
      </c>
      <c r="V6699">
        <v>-0.1204643</v>
      </c>
      <c r="W6699">
        <v>0.2058363</v>
      </c>
      <c r="X6699">
        <v>0.97114350000000005</v>
      </c>
      <c r="Y6699">
        <v>-0.22433059999999999</v>
      </c>
      <c r="Z6699">
        <v>8.4774479999999896E-4</v>
      </c>
      <c r="AA6699">
        <v>0.97451270000000001</v>
      </c>
      <c r="AB6699">
        <v>32</v>
      </c>
      <c r="AC6699">
        <v>12.875299999999999</v>
      </c>
      <c r="AD6699">
        <v>-1.1165264591639901</v>
      </c>
      <c r="AE6699">
        <v>4.4423299999999903</v>
      </c>
      <c r="AF6699">
        <v>-3.07831058661729</v>
      </c>
      <c r="AG6699">
        <v>-1.1165264591639901</v>
      </c>
      <c r="AH6699">
        <v>13.1743423501492</v>
      </c>
      <c r="AI6699">
        <v>94.717766379499196</v>
      </c>
      <c r="AJ6699">
        <v>103.151745481623</v>
      </c>
      <c r="AK6699">
        <v>13.575195164734399</v>
      </c>
      <c r="AL6699">
        <v>78.121539934077305</v>
      </c>
      <c r="AM6699">
        <v>97.071064908249198</v>
      </c>
      <c r="AN6699">
        <v>0.99999996378221401</v>
      </c>
    </row>
    <row r="6700" spans="1:40" x14ac:dyDescent="0.25">
      <c r="A6700" t="str">
        <f>"20190312172538448"</f>
        <v>20190312172538448</v>
      </c>
      <c r="B6700" t="str">
        <f>"1552382738437265"</f>
        <v>1552382738437265</v>
      </c>
      <c r="C6700" t="s">
        <v>40</v>
      </c>
      <c r="D6700">
        <v>3.7062330000000001</v>
      </c>
      <c r="E6700">
        <v>0.4590709</v>
      </c>
      <c r="F6700" t="s">
        <v>50</v>
      </c>
      <c r="G6700">
        <v>-201.21379999999999</v>
      </c>
      <c r="H6700" s="1">
        <v>-5.5489600000000003E-6</v>
      </c>
      <c r="I6700">
        <v>-58.287719999999901</v>
      </c>
      <c r="J6700">
        <v>-214.10159999999999</v>
      </c>
      <c r="K6700">
        <v>1.1165909999999999</v>
      </c>
      <c r="L6700">
        <v>-62.785310000000003</v>
      </c>
      <c r="M6700">
        <v>0.9943052</v>
      </c>
      <c r="N6700">
        <v>0</v>
      </c>
      <c r="O6700">
        <v>0.1055421</v>
      </c>
      <c r="P6700">
        <v>0.95602609999999999</v>
      </c>
      <c r="Q6700">
        <v>0.1931718</v>
      </c>
      <c r="R6700">
        <v>0.2206785</v>
      </c>
      <c r="S6700">
        <v>2.9541930000000001</v>
      </c>
      <c r="T6700">
        <v>-0.25333020000000001</v>
      </c>
      <c r="U6700">
        <v>1.0242309999999999</v>
      </c>
      <c r="V6700">
        <v>-0.1215286</v>
      </c>
      <c r="W6700">
        <v>0.2057947</v>
      </c>
      <c r="X6700">
        <v>0.97101970000000004</v>
      </c>
      <c r="Y6700">
        <v>-0.2256243</v>
      </c>
      <c r="Z6700">
        <v>6.5469829999999999E-4</v>
      </c>
      <c r="AA6700">
        <v>0.97421420000000003</v>
      </c>
      <c r="AB6700">
        <v>32</v>
      </c>
      <c r="AC6700">
        <v>12.8878</v>
      </c>
      <c r="AD6700">
        <v>-1.1165965489599901</v>
      </c>
      <c r="AE6700">
        <v>4.4975899999999998</v>
      </c>
      <c r="AF6700">
        <v>-3.0914246261053702</v>
      </c>
      <c r="AG6700">
        <v>-1.1165965489599901</v>
      </c>
      <c r="AH6700">
        <v>13.202197921859</v>
      </c>
      <c r="AI6700">
        <v>94.707631236741094</v>
      </c>
      <c r="AJ6700">
        <v>103.178924616697</v>
      </c>
      <c r="AK6700">
        <v>13.605209444914101</v>
      </c>
      <c r="AL6700">
        <v>78.123975519954499</v>
      </c>
      <c r="AM6700">
        <v>97.133796967637494</v>
      </c>
      <c r="AN6700">
        <v>0.99999995847706902</v>
      </c>
    </row>
    <row r="6701" spans="1:40" x14ac:dyDescent="0.25">
      <c r="A6701" t="str">
        <f>"20190312172538458"</f>
        <v>20190312172538458</v>
      </c>
      <c r="B6701" t="str">
        <f>"1552382738447025"</f>
        <v>1552382738447025</v>
      </c>
      <c r="C6701" t="s">
        <v>40</v>
      </c>
      <c r="D6701">
        <v>3.686544</v>
      </c>
      <c r="E6701">
        <v>0.4590709</v>
      </c>
      <c r="F6701" t="s">
        <v>50</v>
      </c>
      <c r="G6701">
        <v>-201.12469999999999</v>
      </c>
      <c r="H6701" s="1">
        <v>-5.6052589999999999E-6</v>
      </c>
      <c r="I6701">
        <v>-58.238610000000001</v>
      </c>
      <c r="J6701">
        <v>-213.95480000000001</v>
      </c>
      <c r="K6701">
        <v>1.116673</v>
      </c>
      <c r="L6701">
        <v>-62.766750000000002</v>
      </c>
      <c r="M6701">
        <v>0.9939405</v>
      </c>
      <c r="N6701">
        <v>0</v>
      </c>
      <c r="O6701">
        <v>0.1089218</v>
      </c>
      <c r="P6701">
        <v>0.95507830000000005</v>
      </c>
      <c r="Q6701">
        <v>0.19337470000000001</v>
      </c>
      <c r="R6701">
        <v>0.22457009999999999</v>
      </c>
      <c r="S6701">
        <v>2.9506380000000001</v>
      </c>
      <c r="T6701">
        <v>-0.25388810000000001</v>
      </c>
      <c r="U6701">
        <v>1.0338130000000001</v>
      </c>
      <c r="V6701">
        <v>-0.12223000000000001</v>
      </c>
      <c r="W6701">
        <v>0.20597109999999999</v>
      </c>
      <c r="X6701">
        <v>0.97089429999999999</v>
      </c>
      <c r="Y6701">
        <v>-0.22550600000000001</v>
      </c>
      <c r="Z6701">
        <v>3.7380870000000002E-4</v>
      </c>
      <c r="AA6701">
        <v>0.97424169999999999</v>
      </c>
      <c r="AB6701">
        <v>32</v>
      </c>
      <c r="AC6701">
        <v>12.8301</v>
      </c>
      <c r="AD6701">
        <v>-1.1166786052590001</v>
      </c>
      <c r="AE6701">
        <v>4.5281399999999996</v>
      </c>
      <c r="AF6701">
        <v>-3.0827966913118998</v>
      </c>
      <c r="AG6701">
        <v>-1.1166786052590001</v>
      </c>
      <c r="AH6701">
        <v>13.1583781383989</v>
      </c>
      <c r="AI6701">
        <v>94.723453655453397</v>
      </c>
      <c r="AJ6701">
        <v>103.18566500308999</v>
      </c>
      <c r="AK6701">
        <v>13.560734559031101</v>
      </c>
      <c r="AL6701">
        <v>78.1136478315766</v>
      </c>
      <c r="AM6701">
        <v>97.175458712053398</v>
      </c>
      <c r="AN6701">
        <v>1.0000000043538499</v>
      </c>
    </row>
    <row r="6702" spans="1:40" x14ac:dyDescent="0.25">
      <c r="A6702" t="str">
        <f>"20190312172538471"</f>
        <v>20190312172538471</v>
      </c>
      <c r="B6702" t="str">
        <f>"1552382738466548"</f>
        <v>1552382738466548</v>
      </c>
      <c r="C6702" t="s">
        <v>40</v>
      </c>
      <c r="D6702">
        <v>3.640269</v>
      </c>
      <c r="E6702">
        <v>0.46743099999999999</v>
      </c>
      <c r="F6702" t="s">
        <v>50</v>
      </c>
      <c r="G6702">
        <v>-200.96080000000001</v>
      </c>
      <c r="H6702" s="1">
        <v>-5.6929269999999998E-6</v>
      </c>
      <c r="I6702">
        <v>-58.153660000000002</v>
      </c>
      <c r="J6702">
        <v>-213.7946</v>
      </c>
      <c r="K6702">
        <v>1.116762</v>
      </c>
      <c r="L6702">
        <v>-62.745510000000003</v>
      </c>
      <c r="M6702">
        <v>0.99351900000000004</v>
      </c>
      <c r="N6702">
        <v>0</v>
      </c>
      <c r="O6702">
        <v>0.1127016</v>
      </c>
      <c r="P6702">
        <v>0.95397600000000005</v>
      </c>
      <c r="Q6702">
        <v>0.1934679</v>
      </c>
      <c r="R6702">
        <v>0.22912950000000001</v>
      </c>
      <c r="S6702">
        <v>2.9463810000000001</v>
      </c>
      <c r="T6702">
        <v>-0.25320679999999901</v>
      </c>
      <c r="U6702">
        <v>1.0460210000000001</v>
      </c>
      <c r="V6702">
        <v>-0.1232251</v>
      </c>
      <c r="W6702">
        <v>0.2060312</v>
      </c>
      <c r="X6702">
        <v>0.97075579999999995</v>
      </c>
      <c r="Y6702">
        <v>-0.22584199999999999</v>
      </c>
      <c r="Z6702" s="1">
        <v>7.7289529999999995E-5</v>
      </c>
      <c r="AA6702">
        <v>0.97416389999999997</v>
      </c>
      <c r="AB6702">
        <v>32</v>
      </c>
      <c r="AC6702">
        <v>12.833799999999901</v>
      </c>
      <c r="AD6702">
        <v>-1.1167676929269901</v>
      </c>
      <c r="AE6702">
        <v>4.59185</v>
      </c>
      <c r="AF6702">
        <v>-3.0952629370326301</v>
      </c>
      <c r="AG6702">
        <v>-1.1167676929269901</v>
      </c>
      <c r="AH6702">
        <v>13.181100444015501</v>
      </c>
      <c r="AI6702">
        <v>94.715156808698097</v>
      </c>
      <c r="AJ6702">
        <v>103.21509422937601</v>
      </c>
      <c r="AK6702">
        <v>13.5856259202349</v>
      </c>
      <c r="AL6702">
        <v>78.110129453924699</v>
      </c>
      <c r="AM6702">
        <v>97.234280424527199</v>
      </c>
      <c r="AN6702">
        <v>1.0000000519385399</v>
      </c>
    </row>
    <row r="6703" spans="1:40" x14ac:dyDescent="0.25">
      <c r="A6703" t="str">
        <f>"20190312172538483"</f>
        <v>20190312172538483</v>
      </c>
      <c r="B6703" t="str">
        <f>"1552382738477281"</f>
        <v>1552382738477281</v>
      </c>
      <c r="C6703" t="s">
        <v>40</v>
      </c>
      <c r="D6703">
        <v>3.5939770000000002</v>
      </c>
      <c r="E6703">
        <v>0.4484573</v>
      </c>
      <c r="F6703" t="s">
        <v>50</v>
      </c>
      <c r="G6703">
        <v>-201.41030000000001</v>
      </c>
      <c r="H6703" s="1">
        <v>-5.3846129999999998E-6</v>
      </c>
      <c r="I6703">
        <v>-58.577419999999996</v>
      </c>
      <c r="J6703">
        <v>-213.6293</v>
      </c>
      <c r="K6703">
        <v>1.1168530000000001</v>
      </c>
      <c r="L6703">
        <v>-62.723239999999997</v>
      </c>
      <c r="M6703">
        <v>0.99306479999999997</v>
      </c>
      <c r="N6703">
        <v>0</v>
      </c>
      <c r="O6703">
        <v>0.1166343</v>
      </c>
      <c r="P6703">
        <v>0.95280989999999999</v>
      </c>
      <c r="Q6703">
        <v>0.1938048</v>
      </c>
      <c r="R6703">
        <v>0.23365230000000001</v>
      </c>
      <c r="S6703">
        <v>2.9596100000000001</v>
      </c>
      <c r="T6703">
        <v>-0.26688600000000001</v>
      </c>
      <c r="U6703">
        <v>0.99609380000000003</v>
      </c>
      <c r="V6703">
        <v>-0.1240497</v>
      </c>
      <c r="W6703">
        <v>0.20633550000000001</v>
      </c>
      <c r="X6703">
        <v>0.97058610000000001</v>
      </c>
      <c r="Y6703">
        <v>-0.2059259</v>
      </c>
      <c r="Z6703">
        <v>-1.13287E-3</v>
      </c>
      <c r="AA6703">
        <v>0.97856690000000002</v>
      </c>
      <c r="AB6703">
        <v>32</v>
      </c>
      <c r="AC6703">
        <v>12.2189999999999</v>
      </c>
      <c r="AD6703">
        <v>-1.116858384613</v>
      </c>
      <c r="AE6703">
        <v>4.1458199999999996</v>
      </c>
      <c r="AF6703">
        <v>-2.6721875750849602</v>
      </c>
      <c r="AG6703">
        <v>-1.116858384613</v>
      </c>
      <c r="AH6703">
        <v>12.525342772837</v>
      </c>
      <c r="AI6703">
        <v>94.983892793908495</v>
      </c>
      <c r="AJ6703">
        <v>102.04307589196</v>
      </c>
      <c r="AK6703">
        <v>12.855822442176899</v>
      </c>
      <c r="AL6703">
        <v>78.092311140577195</v>
      </c>
      <c r="AM6703">
        <v>97.283432515232107</v>
      </c>
      <c r="AN6703">
        <v>1.00000002207177</v>
      </c>
    </row>
    <row r="6704" spans="1:40" x14ac:dyDescent="0.25">
      <c r="A6704" t="str">
        <f>"20190312172538493"</f>
        <v>20190312172538493</v>
      </c>
      <c r="B6704" t="str">
        <f>"1552382738487041"</f>
        <v>1552382738487041</v>
      </c>
      <c r="C6704" t="s">
        <v>40</v>
      </c>
      <c r="D6704">
        <v>3.53823</v>
      </c>
      <c r="E6704">
        <v>0.44353239999999999</v>
      </c>
      <c r="F6704" t="s">
        <v>50</v>
      </c>
      <c r="G6704">
        <v>-201.624</v>
      </c>
      <c r="H6704" s="1">
        <v>-5.4118200000000001E-6</v>
      </c>
      <c r="I6704">
        <v>-57.963639999999998</v>
      </c>
      <c r="J6704">
        <v>-213.46559999999999</v>
      </c>
      <c r="K6704">
        <v>1.116949</v>
      </c>
      <c r="L6704">
        <v>-62.700099999999999</v>
      </c>
      <c r="M6704">
        <v>0.99258670000000004</v>
      </c>
      <c r="N6704">
        <v>0</v>
      </c>
      <c r="O6704">
        <v>0.1206334</v>
      </c>
      <c r="P6704">
        <v>0.95158869999999895</v>
      </c>
      <c r="Q6704">
        <v>0.193914</v>
      </c>
      <c r="R6704">
        <v>0.23848759999999999</v>
      </c>
      <c r="S6704">
        <v>2.9199830000000002</v>
      </c>
      <c r="T6704">
        <v>-0.27164820000000001</v>
      </c>
      <c r="U6704">
        <v>1.157654</v>
      </c>
      <c r="V6704">
        <v>-0.1251256</v>
      </c>
      <c r="W6704">
        <v>0.2064078</v>
      </c>
      <c r="X6704">
        <v>0.97043259999999998</v>
      </c>
      <c r="Y6704">
        <v>-0.25321460000000001</v>
      </c>
      <c r="Z6704">
        <v>6.1443819999999999E-4</v>
      </c>
      <c r="AA6704">
        <v>0.96740990000000004</v>
      </c>
      <c r="AB6704">
        <v>32</v>
      </c>
      <c r="AC6704">
        <v>11.8415999999999</v>
      </c>
      <c r="AD6704">
        <v>-1.1169544118200001</v>
      </c>
      <c r="AE6704">
        <v>4.7364599999999903</v>
      </c>
      <c r="AF6704">
        <v>-3.2482990085050698</v>
      </c>
      <c r="AG6704">
        <v>-1.1169544118200001</v>
      </c>
      <c r="AH6704">
        <v>12.232715945575899</v>
      </c>
      <c r="AI6704">
        <v>95.043309877880503</v>
      </c>
      <c r="AJ6704">
        <v>104.871236066964</v>
      </c>
      <c r="AK6704">
        <v>12.705840114368099</v>
      </c>
      <c r="AL6704">
        <v>78.088077416877198</v>
      </c>
      <c r="AM6704">
        <v>97.347064910205802</v>
      </c>
      <c r="AN6704">
        <v>1.00000001340948</v>
      </c>
    </row>
    <row r="6705" spans="1:40" x14ac:dyDescent="0.25">
      <c r="A6705" t="str">
        <f>"20190312172538504"</f>
        <v>20190312172538504</v>
      </c>
      <c r="B6705" t="str">
        <f>"1552382738496801"</f>
        <v>1552382738496801</v>
      </c>
      <c r="C6705" t="s">
        <v>40</v>
      </c>
      <c r="D6705">
        <v>3.5544169999999999</v>
      </c>
      <c r="E6705">
        <v>0.44055270000000002</v>
      </c>
      <c r="F6705" t="s">
        <v>50</v>
      </c>
      <c r="G6705">
        <v>-201.0206</v>
      </c>
      <c r="H6705" s="1">
        <v>-5.7706619999999999E-6</v>
      </c>
      <c r="I6705">
        <v>-57.511000000000003</v>
      </c>
      <c r="J6705">
        <v>-213.32239999999999</v>
      </c>
      <c r="K6705">
        <v>1.117035</v>
      </c>
      <c r="L6705">
        <v>-62.67953</v>
      </c>
      <c r="M6705">
        <v>0.99215129999999996</v>
      </c>
      <c r="N6705">
        <v>0</v>
      </c>
      <c r="O6705">
        <v>0.12416290000000001</v>
      </c>
      <c r="P6705">
        <v>0.95054110000000003</v>
      </c>
      <c r="Q6705">
        <v>0.1938955</v>
      </c>
      <c r="R6705">
        <v>0.2426442</v>
      </c>
      <c r="S6705">
        <v>2.9024049999999999</v>
      </c>
      <c r="T6705">
        <v>-0.26049640000000002</v>
      </c>
      <c r="U6705">
        <v>1.210205</v>
      </c>
      <c r="V6705">
        <v>-0.12595970000000001</v>
      </c>
      <c r="W6705">
        <v>0.20635880000000001</v>
      </c>
      <c r="X6705">
        <v>0.97033510000000001</v>
      </c>
      <c r="Y6705">
        <v>-0.26677610000000002</v>
      </c>
      <c r="Z6705">
        <v>8.7842349999999998E-4</v>
      </c>
      <c r="AA6705">
        <v>0.96375809999999995</v>
      </c>
      <c r="AB6705">
        <v>32</v>
      </c>
      <c r="AC6705">
        <v>12.301799999999901</v>
      </c>
      <c r="AD6705">
        <v>-1.117040770662</v>
      </c>
      <c r="AE6705">
        <v>5.1685299999999996</v>
      </c>
      <c r="AF6705">
        <v>-3.5758714841011501</v>
      </c>
      <c r="AG6705">
        <v>-1.117040770662</v>
      </c>
      <c r="AH6705">
        <v>12.7589795558142</v>
      </c>
      <c r="AI6705">
        <v>94.818706227318799</v>
      </c>
      <c r="AJ6705">
        <v>105.65622543594</v>
      </c>
      <c r="AK6705">
        <v>13.297601146816399</v>
      </c>
      <c r="AL6705">
        <v>78.090946559965005</v>
      </c>
      <c r="AM6705">
        <v>97.396235662997995</v>
      </c>
      <c r="AN6705">
        <v>1.00000000332677</v>
      </c>
    </row>
    <row r="6706" spans="1:40" x14ac:dyDescent="0.25">
      <c r="A6706" t="str">
        <f>"20190312172538516"</f>
        <v>20190312172538516</v>
      </c>
      <c r="B6706" t="str">
        <f>"1552382738506561"</f>
        <v>1552382738506561</v>
      </c>
      <c r="C6706" t="s">
        <v>40</v>
      </c>
      <c r="D6706">
        <v>3.5349089999999999</v>
      </c>
      <c r="E6706">
        <v>0.43892330000000002</v>
      </c>
      <c r="F6706" t="s">
        <v>50</v>
      </c>
      <c r="G6706">
        <v>-200.4547</v>
      </c>
      <c r="H6706" s="1">
        <v>-6.043929E-6</v>
      </c>
      <c r="I6706">
        <v>-57.132759999999998</v>
      </c>
      <c r="J6706">
        <v>-213.1592</v>
      </c>
      <c r="K6706">
        <v>1.117132</v>
      </c>
      <c r="L6706">
        <v>-62.655209999999997</v>
      </c>
      <c r="M6706">
        <v>0.99162910000000004</v>
      </c>
      <c r="N6706">
        <v>0</v>
      </c>
      <c r="O6706">
        <v>0.1282652</v>
      </c>
      <c r="P6706">
        <v>0.94923900000000005</v>
      </c>
      <c r="Q6706">
        <v>0.1941715</v>
      </c>
      <c r="R6706">
        <v>0.24747330000000001</v>
      </c>
      <c r="S6706">
        <v>2.8893430000000002</v>
      </c>
      <c r="T6706">
        <v>-0.2508224</v>
      </c>
      <c r="U6706">
        <v>1.2454829999999999</v>
      </c>
      <c r="V6706">
        <v>-0.12694369999999999</v>
      </c>
      <c r="W6706">
        <v>0.20659910000000001</v>
      </c>
      <c r="X6706">
        <v>0.97015569999999896</v>
      </c>
      <c r="Y6706">
        <v>-0.2743198</v>
      </c>
      <c r="Z6706">
        <v>8.2839000000000003E-4</v>
      </c>
      <c r="AA6706">
        <v>0.9616382</v>
      </c>
      <c r="AB6706">
        <v>32</v>
      </c>
      <c r="AC6706">
        <v>12.7044999999999</v>
      </c>
      <c r="AD6706">
        <v>-1.117138043929</v>
      </c>
      <c r="AE6706">
        <v>5.5224499999999903</v>
      </c>
      <c r="AF6706">
        <v>-3.8222424041127399</v>
      </c>
      <c r="AG6706">
        <v>-1.117138043929</v>
      </c>
      <c r="AH6706">
        <v>13.2219658663165</v>
      </c>
      <c r="AI6706">
        <v>94.640386601005005</v>
      </c>
      <c r="AJ6706">
        <v>106.123670145234</v>
      </c>
      <c r="AK6706">
        <v>13.808617446183</v>
      </c>
      <c r="AL6706">
        <v>78.076874958604506</v>
      </c>
      <c r="AM6706">
        <v>97.454730821627606</v>
      </c>
      <c r="AN6706">
        <v>0.99999998666649403</v>
      </c>
    </row>
    <row r="6707" spans="1:40" x14ac:dyDescent="0.25">
      <c r="A6707" t="str">
        <f>"20190312172538527"</f>
        <v>20190312172538527</v>
      </c>
      <c r="B6707" t="str">
        <f>"1552382738517298"</f>
        <v>1552382738517298</v>
      </c>
      <c r="C6707" t="s">
        <v>40</v>
      </c>
      <c r="D6707">
        <v>3.5390570000000001</v>
      </c>
      <c r="E6707">
        <v>0.43799979999999999</v>
      </c>
      <c r="F6707" t="s">
        <v>50</v>
      </c>
      <c r="G6707">
        <v>-200.04599999999999</v>
      </c>
      <c r="H6707" s="1">
        <v>-6.2415920000000003E-6</v>
      </c>
      <c r="I6707">
        <v>-56.857460000000003</v>
      </c>
      <c r="J6707">
        <v>-213.01400000000001</v>
      </c>
      <c r="K6707">
        <v>1.117219</v>
      </c>
      <c r="L6707">
        <v>-62.632930000000002</v>
      </c>
      <c r="M6707">
        <v>0.99114219999999997</v>
      </c>
      <c r="N6707">
        <v>0</v>
      </c>
      <c r="O6707">
        <v>0.13197400000000001</v>
      </c>
      <c r="P6707">
        <v>0.94818409999999997</v>
      </c>
      <c r="Q6707">
        <v>0.1940133</v>
      </c>
      <c r="R6707">
        <v>0.25160709999999997</v>
      </c>
      <c r="S6707">
        <v>2.8787690000000001</v>
      </c>
      <c r="T6707">
        <v>-0.2452482</v>
      </c>
      <c r="U6707">
        <v>1.272797</v>
      </c>
      <c r="V6707">
        <v>-0.1275821</v>
      </c>
      <c r="W6707">
        <v>0.2064143</v>
      </c>
      <c r="X6707">
        <v>0.97011130000000001</v>
      </c>
      <c r="Y6707">
        <v>-0.27967500000000001</v>
      </c>
      <c r="Z6707">
        <v>7.3503329999999995E-4</v>
      </c>
      <c r="AA6707">
        <v>0.96009449999999996</v>
      </c>
      <c r="AB6707">
        <v>32</v>
      </c>
      <c r="AC6707">
        <v>12.968</v>
      </c>
      <c r="AD6707">
        <v>-1.1172252415920001</v>
      </c>
      <c r="AE6707">
        <v>5.7754700000000003</v>
      </c>
      <c r="AF6707">
        <v>-3.98861032239778</v>
      </c>
      <c r="AG6707">
        <v>-1.1172252415920001</v>
      </c>
      <c r="AH6707">
        <v>13.533021975042701</v>
      </c>
      <c r="AI6707">
        <v>94.527673607389204</v>
      </c>
      <c r="AJ6707">
        <v>106.42191544947801</v>
      </c>
      <c r="AK6707">
        <v>14.152734305475301</v>
      </c>
      <c r="AL6707">
        <v>78.087696574540004</v>
      </c>
      <c r="AM6707">
        <v>97.492134848814004</v>
      </c>
      <c r="AN6707">
        <v>0.99999999493629499</v>
      </c>
    </row>
    <row r="6708" spans="1:40" x14ac:dyDescent="0.25">
      <c r="A6708" t="str">
        <f>"20190312172538537"</f>
        <v>20190312172538537</v>
      </c>
      <c r="B6708" t="str">
        <f>"1552382738527058"</f>
        <v>1552382738527058</v>
      </c>
      <c r="C6708" t="s">
        <v>40</v>
      </c>
      <c r="D6708">
        <v>3.530227</v>
      </c>
      <c r="E6708">
        <v>0.43739800000000001</v>
      </c>
      <c r="F6708" t="s">
        <v>50</v>
      </c>
      <c r="G6708">
        <v>-199.89179999999999</v>
      </c>
      <c r="H6708" s="1">
        <v>-8.5640139999999996E-6</v>
      </c>
      <c r="I6708">
        <v>-56.7241199999999</v>
      </c>
      <c r="J6708">
        <v>-212.85990000000001</v>
      </c>
      <c r="K6708">
        <v>1.117313</v>
      </c>
      <c r="L6708">
        <v>-62.608759999999997</v>
      </c>
      <c r="M6708">
        <v>0.99060269999999995</v>
      </c>
      <c r="N6708">
        <v>0</v>
      </c>
      <c r="O6708">
        <v>0.13596240000000001</v>
      </c>
      <c r="P6708">
        <v>0.94702540000000002</v>
      </c>
      <c r="Q6708">
        <v>0.19383890000000001</v>
      </c>
      <c r="R6708">
        <v>0.25606570000000001</v>
      </c>
      <c r="S6708">
        <v>2.8709259999999999</v>
      </c>
      <c r="T6708">
        <v>-0.2444317</v>
      </c>
      <c r="U6708">
        <v>1.2927550000000001</v>
      </c>
      <c r="V6708">
        <v>-0.1282848</v>
      </c>
      <c r="W6708">
        <v>0.20621</v>
      </c>
      <c r="X6708">
        <v>0.97006210000000004</v>
      </c>
      <c r="Y6708">
        <v>-0.28234959999999998</v>
      </c>
      <c r="Z6708">
        <v>5.2640870000000004E-4</v>
      </c>
      <c r="AA6708">
        <v>0.95931140000000004</v>
      </c>
      <c r="AB6708">
        <v>32</v>
      </c>
      <c r="AC6708">
        <v>12.9681</v>
      </c>
      <c r="AD6708">
        <v>-1.117321564014</v>
      </c>
      <c r="AE6708">
        <v>5.8846400000000001</v>
      </c>
      <c r="AF6708">
        <v>-4.0417344173121901</v>
      </c>
      <c r="AG6708">
        <v>-1.117321564014</v>
      </c>
      <c r="AH6708">
        <v>13.5643297172687</v>
      </c>
      <c r="AI6708">
        <v>94.513689842896298</v>
      </c>
      <c r="AJ6708">
        <v>106.592365734456</v>
      </c>
      <c r="AK6708">
        <v>14.1977133812553</v>
      </c>
      <c r="AL6708">
        <v>78.099659722915405</v>
      </c>
      <c r="AM6708">
        <v>97.533305280356103</v>
      </c>
      <c r="AN6708">
        <v>1.0000000159337199</v>
      </c>
    </row>
    <row r="6709" spans="1:40" x14ac:dyDescent="0.25">
      <c r="A6709" t="str">
        <f>"20190312172538550"</f>
        <v>20190312172538550</v>
      </c>
      <c r="B6709" t="str">
        <f>"1552382738536817"</f>
        <v>1552382738536817</v>
      </c>
      <c r="C6709" t="s">
        <v>40</v>
      </c>
      <c r="D6709">
        <v>3.5136280000000002</v>
      </c>
      <c r="E6709">
        <v>0.43706139999999999</v>
      </c>
      <c r="F6709" t="s">
        <v>50</v>
      </c>
      <c r="G6709">
        <v>-199.73939999999999</v>
      </c>
      <c r="H6709" s="1">
        <v>-8.590294E-6</v>
      </c>
      <c r="I6709">
        <v>-56.600409999999997</v>
      </c>
      <c r="J6709">
        <v>-212.69800000000001</v>
      </c>
      <c r="K6709">
        <v>1.117415</v>
      </c>
      <c r="L6709">
        <v>-62.582430000000002</v>
      </c>
      <c r="M6709">
        <v>0.99000489999999997</v>
      </c>
      <c r="N6709">
        <v>0</v>
      </c>
      <c r="O6709">
        <v>0.14024800000000001</v>
      </c>
      <c r="P6709">
        <v>0.94584520000000005</v>
      </c>
      <c r="Q6709">
        <v>0.19380510000000001</v>
      </c>
      <c r="R6709">
        <v>0.26041619999999999</v>
      </c>
      <c r="S6709">
        <v>2.8631899999999999</v>
      </c>
      <c r="T6709">
        <v>-0.2438245</v>
      </c>
      <c r="U6709">
        <v>1.3111569999999999</v>
      </c>
      <c r="V6709">
        <v>-0.1285973</v>
      </c>
      <c r="W6709">
        <v>0.20615169999999999</v>
      </c>
      <c r="X6709">
        <v>0.97003309999999998</v>
      </c>
      <c r="Y6709">
        <v>-0.28428579999999998</v>
      </c>
      <c r="Z6709">
        <v>2.6586189999999998E-4</v>
      </c>
      <c r="AA6709">
        <v>0.95873960000000003</v>
      </c>
      <c r="AB6709">
        <v>32</v>
      </c>
      <c r="AC6709">
        <v>12.958599999999899</v>
      </c>
      <c r="AD6709">
        <v>-1.117423590294</v>
      </c>
      <c r="AE6709">
        <v>5.9820200000000003</v>
      </c>
      <c r="AF6709">
        <v>-4.0802547807843297</v>
      </c>
      <c r="AG6709">
        <v>-1.117423590294</v>
      </c>
      <c r="AH6709">
        <v>13.5862762168214</v>
      </c>
      <c r="AI6709">
        <v>94.503938589259505</v>
      </c>
      <c r="AJ6709">
        <v>106.71615755934</v>
      </c>
      <c r="AK6709">
        <v>14.2296878390225</v>
      </c>
      <c r="AL6709">
        <v>78.103073245964296</v>
      </c>
      <c r="AM6709">
        <v>97.551667937061794</v>
      </c>
      <c r="AN6709">
        <v>1.0000000020378901</v>
      </c>
    </row>
    <row r="6710" spans="1:40" x14ac:dyDescent="0.25">
      <c r="A6710" t="str">
        <f>"20190312172538562"</f>
        <v>20190312172538562</v>
      </c>
      <c r="B6710" t="str">
        <f>"1552382738557313"</f>
        <v>1552382738557313</v>
      </c>
      <c r="C6710" t="s">
        <v>40</v>
      </c>
      <c r="D6710">
        <v>3.5029810000000001</v>
      </c>
      <c r="E6710">
        <v>0.43664829999999999</v>
      </c>
      <c r="F6710" t="s">
        <v>50</v>
      </c>
      <c r="G6710">
        <v>-199.5361</v>
      </c>
      <c r="H6710" s="1">
        <v>-8.6146470000000007E-6</v>
      </c>
      <c r="I6710">
        <v>-56.465899999999998</v>
      </c>
      <c r="J6710">
        <v>-212.5455</v>
      </c>
      <c r="K6710">
        <v>1.1175120000000001</v>
      </c>
      <c r="L6710">
        <v>-62.557250000000003</v>
      </c>
      <c r="M6710">
        <v>0.9894193</v>
      </c>
      <c r="N6710">
        <v>0</v>
      </c>
      <c r="O6710">
        <v>0.144319899999999</v>
      </c>
      <c r="P6710">
        <v>0.94462979999999996</v>
      </c>
      <c r="Q6710">
        <v>0.19380040000000001</v>
      </c>
      <c r="R6710">
        <v>0.26479459999999999</v>
      </c>
      <c r="S6710">
        <v>2.856033</v>
      </c>
      <c r="T6710">
        <v>-0.24247279999999999</v>
      </c>
      <c r="U6710">
        <v>1.32724</v>
      </c>
      <c r="V6710">
        <v>-0.12915090000000001</v>
      </c>
      <c r="W6710">
        <v>0.2061181</v>
      </c>
      <c r="X6710">
        <v>0.96996669999999996</v>
      </c>
      <c r="Y6710">
        <v>-0.28571190000000002</v>
      </c>
      <c r="Z6710" s="1">
        <v>2.5518240000000001E-6</v>
      </c>
      <c r="AA6710">
        <v>0.95831560000000005</v>
      </c>
      <c r="AB6710">
        <v>32</v>
      </c>
      <c r="AC6710">
        <v>13.009399999999999</v>
      </c>
      <c r="AD6710">
        <v>-1.117520614647</v>
      </c>
      <c r="AE6710">
        <v>6.0913500000000003</v>
      </c>
      <c r="AF6710">
        <v>-4.1248786508445203</v>
      </c>
      <c r="AG6710">
        <v>-1.117520614647</v>
      </c>
      <c r="AH6710">
        <v>13.669645120535501</v>
      </c>
      <c r="AI6710">
        <v>94.475205835600406</v>
      </c>
      <c r="AJ6710">
        <v>106.791431436948</v>
      </c>
      <c r="AK6710">
        <v>14.322104382029</v>
      </c>
      <c r="AL6710">
        <v>78.105040764291502</v>
      </c>
      <c r="AM6710">
        <v>97.584312733635201</v>
      </c>
      <c r="AN6710">
        <v>1.0000000126136499</v>
      </c>
    </row>
    <row r="6711" spans="1:40" x14ac:dyDescent="0.25">
      <c r="A6711" t="str">
        <f>"20190312172538573"</f>
        <v>20190312172538573</v>
      </c>
      <c r="B6711" t="str">
        <f>"1552382738567072"</f>
        <v>1552382738567072</v>
      </c>
      <c r="C6711" t="s">
        <v>40</v>
      </c>
      <c r="D6711">
        <v>3.5006550000000001</v>
      </c>
      <c r="E6711">
        <v>0.43676429999999999</v>
      </c>
      <c r="F6711" t="s">
        <v>50</v>
      </c>
      <c r="G6711">
        <v>-199.21109999999999</v>
      </c>
      <c r="H6711" s="1">
        <v>-8.6476029999999999E-6</v>
      </c>
      <c r="I6711">
        <v>-56.267850000000003</v>
      </c>
      <c r="J6711">
        <v>-212.37020000000001</v>
      </c>
      <c r="K6711">
        <v>1.117629</v>
      </c>
      <c r="L6711">
        <v>-62.526859999999999</v>
      </c>
      <c r="M6711">
        <v>0.98870279999999999</v>
      </c>
      <c r="N6711">
        <v>0</v>
      </c>
      <c r="O6711">
        <v>0.14914749999999999</v>
      </c>
      <c r="P6711">
        <v>0.94328610000000002</v>
      </c>
      <c r="Q6711">
        <v>0.19342570000000001</v>
      </c>
      <c r="R6711">
        <v>0.26981060000000001</v>
      </c>
      <c r="S6711">
        <v>2.848236</v>
      </c>
      <c r="T6711">
        <v>-0.2387021</v>
      </c>
      <c r="U6711">
        <v>1.3434140000000001</v>
      </c>
      <c r="V6711">
        <v>-0.12961539999999999</v>
      </c>
      <c r="W6711">
        <v>0.20571490000000001</v>
      </c>
      <c r="X6711">
        <v>0.96999029999999997</v>
      </c>
      <c r="Y6711">
        <v>-0.28652179999999999</v>
      </c>
      <c r="Z6711">
        <v>-3.385479E-4</v>
      </c>
      <c r="AA6711">
        <v>0.95807370000000003</v>
      </c>
      <c r="AB6711">
        <v>32</v>
      </c>
      <c r="AC6711">
        <v>13.1591</v>
      </c>
      <c r="AD6711">
        <v>-1.1176376476030001</v>
      </c>
      <c r="AE6711">
        <v>6.2590099999999902</v>
      </c>
      <c r="AF6711">
        <v>-4.2014069567083796</v>
      </c>
      <c r="AG6711">
        <v>-1.1176376476030001</v>
      </c>
      <c r="AH6711">
        <v>13.863944011873</v>
      </c>
      <c r="AI6711">
        <v>94.411624995245901</v>
      </c>
      <c r="AJ6711">
        <v>106.859200462871</v>
      </c>
      <c r="AK6711">
        <v>14.5296207070786</v>
      </c>
      <c r="AL6711">
        <v>78.128647914761899</v>
      </c>
      <c r="AM6711">
        <v>97.611088001708296</v>
      </c>
      <c r="AN6711">
        <v>0.99999997704662902</v>
      </c>
    </row>
    <row r="6712" spans="1:40" x14ac:dyDescent="0.25">
      <c r="A6712" t="str">
        <f>"20190312172538586"</f>
        <v>20190312172538586</v>
      </c>
      <c r="B6712" t="str">
        <f>"1552382738576833"</f>
        <v>1552382738576833</v>
      </c>
      <c r="C6712" t="s">
        <v>40</v>
      </c>
      <c r="D6712">
        <v>3.4953850000000002</v>
      </c>
      <c r="E6712">
        <v>0.43688060000000001</v>
      </c>
      <c r="F6712" t="s">
        <v>50</v>
      </c>
      <c r="G6712">
        <v>-199.1026</v>
      </c>
      <c r="H6712" s="1">
        <v>-8.6636559999999994E-6</v>
      </c>
      <c r="I6712">
        <v>-56.187350000000002</v>
      </c>
      <c r="J6712">
        <v>-212.19569999999999</v>
      </c>
      <c r="K6712">
        <v>1.11775</v>
      </c>
      <c r="L6712">
        <v>-62.4959699999999</v>
      </c>
      <c r="M6712">
        <v>0.98795529999999998</v>
      </c>
      <c r="N6712">
        <v>0</v>
      </c>
      <c r="O6712">
        <v>0.15401970000000001</v>
      </c>
      <c r="P6712">
        <v>0.94196829999999998</v>
      </c>
      <c r="Q6712">
        <v>0.1930608</v>
      </c>
      <c r="R6712">
        <v>0.27463320000000002</v>
      </c>
      <c r="S6712">
        <v>2.8411409999999999</v>
      </c>
      <c r="T6712">
        <v>-0.2393314</v>
      </c>
      <c r="U6712">
        <v>1.3575440000000001</v>
      </c>
      <c r="V6712">
        <v>-0.1298414</v>
      </c>
      <c r="W6712">
        <v>0.20532429999999999</v>
      </c>
      <c r="X6712">
        <v>0.97004290000000004</v>
      </c>
      <c r="Y6712">
        <v>-0.28661950000000003</v>
      </c>
      <c r="Z6712">
        <v>-7.137116E-4</v>
      </c>
      <c r="AA6712">
        <v>0.95804420000000001</v>
      </c>
      <c r="AB6712">
        <v>32</v>
      </c>
      <c r="AC6712">
        <v>13.0930999999999</v>
      </c>
      <c r="AD6712">
        <v>-1.117758663656</v>
      </c>
      <c r="AE6712">
        <v>6.3086199999999897</v>
      </c>
      <c r="AF6712">
        <v>-4.1917144143832097</v>
      </c>
      <c r="AG6712">
        <v>-1.117758663656</v>
      </c>
      <c r="AH6712">
        <v>13.826811330802</v>
      </c>
      <c r="AI6712">
        <v>94.423764729151102</v>
      </c>
      <c r="AJ6712">
        <v>106.865122240152</v>
      </c>
      <c r="AK6712">
        <v>14.4913962660442</v>
      </c>
      <c r="AL6712">
        <v>78.151516595624102</v>
      </c>
      <c r="AM6712">
        <v>97.623794321230093</v>
      </c>
      <c r="AN6712">
        <v>1.00000004258242</v>
      </c>
    </row>
    <row r="6713" spans="1:40" x14ac:dyDescent="0.25">
      <c r="A6713" t="str">
        <f>"20190312172538596"</f>
        <v>20190312172538596</v>
      </c>
      <c r="B6713" t="str">
        <f>"1552382738586593"</f>
        <v>1552382738586593</v>
      </c>
      <c r="C6713" t="s">
        <v>40</v>
      </c>
      <c r="D6713">
        <v>3.570103</v>
      </c>
      <c r="E6713">
        <v>0.4371237</v>
      </c>
      <c r="F6713" t="s">
        <v>50</v>
      </c>
      <c r="G6713">
        <v>-198.98740000000001</v>
      </c>
      <c r="H6713" s="1">
        <v>-8.6793869999999997E-6</v>
      </c>
      <c r="I6713">
        <v>-56.105620000000002</v>
      </c>
      <c r="J6713">
        <v>-212.053</v>
      </c>
      <c r="K6713">
        <v>1.117848</v>
      </c>
      <c r="L6713">
        <v>-62.469940000000001</v>
      </c>
      <c r="M6713">
        <v>0.98731290000000005</v>
      </c>
      <c r="N6713">
        <v>0</v>
      </c>
      <c r="O6713">
        <v>0.15808429999999901</v>
      </c>
      <c r="P6713">
        <v>0.94081539999999997</v>
      </c>
      <c r="Q6713">
        <v>0.1926523</v>
      </c>
      <c r="R6713">
        <v>0.27883950000000002</v>
      </c>
      <c r="S6713">
        <v>2.8341829999999999</v>
      </c>
      <c r="T6713">
        <v>-0.23984430000000001</v>
      </c>
      <c r="U6713">
        <v>1.371216</v>
      </c>
      <c r="V6713">
        <v>-0.130217</v>
      </c>
      <c r="W6713">
        <v>0.20489170000000001</v>
      </c>
      <c r="X6713">
        <v>0.97008399999999995</v>
      </c>
      <c r="Y6713">
        <v>-0.28735090000000002</v>
      </c>
      <c r="Z6713">
        <v>-1.002403E-3</v>
      </c>
      <c r="AA6713">
        <v>0.95782489999999998</v>
      </c>
      <c r="AB6713">
        <v>32</v>
      </c>
      <c r="AC6713">
        <v>13.0655999999999</v>
      </c>
      <c r="AD6713">
        <v>-1.117856679387</v>
      </c>
      <c r="AE6713">
        <v>6.3643200000000002</v>
      </c>
      <c r="AF6713">
        <v>-4.1937670497105497</v>
      </c>
      <c r="AG6713">
        <v>-1.117856679387</v>
      </c>
      <c r="AH6713">
        <v>13.8256858267063</v>
      </c>
      <c r="AI6713">
        <v>94.424297936313195</v>
      </c>
      <c r="AJ6713">
        <v>106.87420725350999</v>
      </c>
      <c r="AK6713">
        <v>14.4909238560444</v>
      </c>
      <c r="AL6713">
        <v>78.176840912265504</v>
      </c>
      <c r="AM6713">
        <v>97.645267535642304</v>
      </c>
      <c r="AN6713">
        <v>1.00000002143694</v>
      </c>
    </row>
    <row r="6714" spans="1:40" x14ac:dyDescent="0.25">
      <c r="A6714" t="str">
        <f>"20190312172538606"</f>
        <v>20190312172538606</v>
      </c>
      <c r="B6714" t="str">
        <f>"1552382738597329"</f>
        <v>1552382738597329</v>
      </c>
      <c r="C6714" t="s">
        <v>40</v>
      </c>
      <c r="D6714">
        <v>3.4860380000000002</v>
      </c>
      <c r="E6714">
        <v>0.4372934</v>
      </c>
      <c r="F6714" t="s">
        <v>50</v>
      </c>
      <c r="G6714">
        <v>-198.9282</v>
      </c>
      <c r="H6714" s="1">
        <v>-8.6898740000000001E-6</v>
      </c>
      <c r="I6714">
        <v>-56.056759999999997</v>
      </c>
      <c r="J6714">
        <v>-211.923</v>
      </c>
      <c r="K6714">
        <v>1.1179410000000001</v>
      </c>
      <c r="L6714">
        <v>-62.445680000000003</v>
      </c>
      <c r="M6714">
        <v>0.98670360000000001</v>
      </c>
      <c r="N6714">
        <v>0</v>
      </c>
      <c r="O6714">
        <v>0.1618424</v>
      </c>
      <c r="P6714">
        <v>0.93969979999999997</v>
      </c>
      <c r="Q6714">
        <v>0.19253690000000001</v>
      </c>
      <c r="R6714">
        <v>0.28265499999999999</v>
      </c>
      <c r="S6714">
        <v>2.82843</v>
      </c>
      <c r="T6714">
        <v>-0.2408999</v>
      </c>
      <c r="U6714">
        <v>1.38205</v>
      </c>
      <c r="V6714">
        <v>-0.13050249999999999</v>
      </c>
      <c r="W6714">
        <v>0.2047544</v>
      </c>
      <c r="X6714">
        <v>0.97007460000000001</v>
      </c>
      <c r="Y6714">
        <v>-0.28744059999999999</v>
      </c>
      <c r="Z6714">
        <v>-1.2973710000000001E-3</v>
      </c>
      <c r="AA6714">
        <v>0.95779760000000003</v>
      </c>
      <c r="AB6714">
        <v>32</v>
      </c>
      <c r="AC6714">
        <v>12.9947999999999</v>
      </c>
      <c r="AD6714">
        <v>-1.117949689874</v>
      </c>
      <c r="AE6714">
        <v>6.3889199999999997</v>
      </c>
      <c r="AF6714">
        <v>-4.1764357594276502</v>
      </c>
      <c r="AG6714">
        <v>-1.117949689874</v>
      </c>
      <c r="AH6714">
        <v>13.775451326877601</v>
      </c>
      <c r="AI6714">
        <v>94.440922139563298</v>
      </c>
      <c r="AJ6714">
        <v>106.866232851429</v>
      </c>
      <c r="AK6714">
        <v>14.4379876167314</v>
      </c>
      <c r="AL6714">
        <v>78.184877738575807</v>
      </c>
      <c r="AM6714">
        <v>97.661904197980405</v>
      </c>
      <c r="AN6714">
        <v>0.99999999819538499</v>
      </c>
    </row>
    <row r="6715" spans="1:40" x14ac:dyDescent="0.25">
      <c r="A6715" t="str">
        <f>"20190312172538616"</f>
        <v>20190312172538616</v>
      </c>
      <c r="B6715" t="str">
        <f>"1552382738607089"</f>
        <v>1552382738607089</v>
      </c>
      <c r="C6715" t="s">
        <v>40</v>
      </c>
      <c r="D6715">
        <v>3.4540169999999999</v>
      </c>
      <c r="E6715">
        <v>0.43760139999999997</v>
      </c>
      <c r="F6715" t="s">
        <v>50</v>
      </c>
      <c r="G6715">
        <v>-198.87389999999999</v>
      </c>
      <c r="H6715" s="1">
        <v>-8.7002039999999994E-6</v>
      </c>
      <c r="I6715">
        <v>-56.00994</v>
      </c>
      <c r="J6715">
        <v>-211.77099999999999</v>
      </c>
      <c r="K6715">
        <v>1.1180540000000001</v>
      </c>
      <c r="L6715">
        <v>-62.416559999999997</v>
      </c>
      <c r="M6715">
        <v>0.98596059999999996</v>
      </c>
      <c r="N6715">
        <v>0</v>
      </c>
      <c r="O6715">
        <v>0.16630699999999901</v>
      </c>
      <c r="P6715">
        <v>0.93841490000000005</v>
      </c>
      <c r="Q6715">
        <v>0.1923472</v>
      </c>
      <c r="R6715">
        <v>0.28701929999999998</v>
      </c>
      <c r="S6715">
        <v>2.8232270000000002</v>
      </c>
      <c r="T6715">
        <v>-0.24187249999999999</v>
      </c>
      <c r="U6715">
        <v>1.392395</v>
      </c>
      <c r="V6715">
        <v>-0.13066749999999999</v>
      </c>
      <c r="W6715">
        <v>0.20454349999999999</v>
      </c>
      <c r="X6715">
        <v>0.97009690000000004</v>
      </c>
      <c r="Y6715">
        <v>-0.28664050000000002</v>
      </c>
      <c r="Z6715">
        <v>-1.6858579999999999E-3</v>
      </c>
      <c r="AA6715">
        <v>0.95803669999999996</v>
      </c>
      <c r="AB6715">
        <v>32</v>
      </c>
      <c r="AC6715">
        <v>12.897099999999901</v>
      </c>
      <c r="AD6715">
        <v>-1.118062700204</v>
      </c>
      <c r="AE6715">
        <v>6.4066199999999904</v>
      </c>
      <c r="AF6715">
        <v>-4.14726427113672</v>
      </c>
      <c r="AG6715">
        <v>-1.118062700204</v>
      </c>
      <c r="AH6715">
        <v>13.700454894917099</v>
      </c>
      <c r="AI6715">
        <v>94.466162895108994</v>
      </c>
      <c r="AJ6715">
        <v>106.841587097225</v>
      </c>
      <c r="AK6715">
        <v>14.358005762078999</v>
      </c>
      <c r="AL6715">
        <v>78.197222921313099</v>
      </c>
      <c r="AM6715">
        <v>97.671301938844294</v>
      </c>
      <c r="AN6715">
        <v>1.00000001716905</v>
      </c>
    </row>
    <row r="6716" spans="1:40" x14ac:dyDescent="0.25">
      <c r="A6716" t="str">
        <f>"20190312172538627"</f>
        <v>20190312172538627</v>
      </c>
      <c r="B6716" t="str">
        <f>"1552382738616850"</f>
        <v>1552382738616850</v>
      </c>
      <c r="C6716" t="s">
        <v>40</v>
      </c>
      <c r="D6716">
        <v>3.463241</v>
      </c>
      <c r="E6716">
        <v>0.43790410000000002</v>
      </c>
      <c r="F6716" t="s">
        <v>50</v>
      </c>
      <c r="G6716">
        <v>-198.7773</v>
      </c>
      <c r="H6716" s="1">
        <v>-8.7120749999999906E-6</v>
      </c>
      <c r="I6716">
        <v>-55.945160000000001</v>
      </c>
      <c r="J6716">
        <v>-211.63149999999999</v>
      </c>
      <c r="K6716">
        <v>1.118161</v>
      </c>
      <c r="L6716">
        <v>-62.389069999999997</v>
      </c>
      <c r="M6716">
        <v>0.98524769999999995</v>
      </c>
      <c r="N6716">
        <v>0</v>
      </c>
      <c r="O6716">
        <v>0.1704783</v>
      </c>
      <c r="P6716">
        <v>0.93716980000000005</v>
      </c>
      <c r="Q6716">
        <v>0.1923561</v>
      </c>
      <c r="R6716">
        <v>0.2910528</v>
      </c>
      <c r="S6716">
        <v>2.817383</v>
      </c>
      <c r="T6716">
        <v>-0.242425</v>
      </c>
      <c r="U6716">
        <v>1.403168</v>
      </c>
      <c r="V6716">
        <v>-0.1307876</v>
      </c>
      <c r="W6716">
        <v>0.20453270000000001</v>
      </c>
      <c r="X6716">
        <v>0.97008289999999997</v>
      </c>
      <c r="Y6716">
        <v>-0.28632479999999999</v>
      </c>
      <c r="Z6716">
        <v>-2.0315649999999999E-3</v>
      </c>
      <c r="AA6716">
        <v>0.9581305</v>
      </c>
      <c r="AB6716">
        <v>32</v>
      </c>
      <c r="AC6716">
        <v>12.854199999999899</v>
      </c>
      <c r="AD6716">
        <v>-1.118169712075</v>
      </c>
      <c r="AE6716">
        <v>6.4439099999999998</v>
      </c>
      <c r="AF6716">
        <v>-4.1329581204118497</v>
      </c>
      <c r="AG6716">
        <v>-1.118169712075</v>
      </c>
      <c r="AH6716">
        <v>13.6819218389467</v>
      </c>
      <c r="AI6716">
        <v>94.473398854125506</v>
      </c>
      <c r="AJ6716">
        <v>106.80822177908399</v>
      </c>
      <c r="AK6716">
        <v>14.336200038264201</v>
      </c>
      <c r="AL6716">
        <v>78.197854004272997</v>
      </c>
      <c r="AM6716">
        <v>97.678378249583005</v>
      </c>
      <c r="AN6716">
        <v>0.99999992727772702</v>
      </c>
    </row>
    <row r="6717" spans="1:40" x14ac:dyDescent="0.25">
      <c r="A6717" t="str">
        <f>"20190312172538638"</f>
        <v>20190312172538638</v>
      </c>
      <c r="B6717" t="str">
        <f>"1552382738626611"</f>
        <v>1552382738626611</v>
      </c>
      <c r="C6717" t="s">
        <v>40</v>
      </c>
      <c r="D6717">
        <v>3.4382980000000001</v>
      </c>
      <c r="E6717">
        <v>0.43818889999999999</v>
      </c>
      <c r="F6717" t="s">
        <v>50</v>
      </c>
      <c r="G6717">
        <v>-198.6875</v>
      </c>
      <c r="H6717" s="1">
        <v>-8.7232820000000008E-6</v>
      </c>
      <c r="I6717">
        <v>-55.884480000000003</v>
      </c>
      <c r="J6717">
        <v>-211.4778</v>
      </c>
      <c r="K6717">
        <v>1.1182749999999999</v>
      </c>
      <c r="L6717">
        <v>-62.358179999999997</v>
      </c>
      <c r="M6717">
        <v>0.9844311</v>
      </c>
      <c r="N6717">
        <v>0</v>
      </c>
      <c r="O6717">
        <v>0.17513129999999999</v>
      </c>
      <c r="P6717">
        <v>0.93576349999999997</v>
      </c>
      <c r="Q6717">
        <v>0.1924014</v>
      </c>
      <c r="R6717">
        <v>0.29551430000000001</v>
      </c>
      <c r="S6717">
        <v>2.812119</v>
      </c>
      <c r="T6717">
        <v>-0.24292659999999999</v>
      </c>
      <c r="U6717">
        <v>1.4131469999999999</v>
      </c>
      <c r="V6717">
        <v>-0.1308869</v>
      </c>
      <c r="W6717">
        <v>0.20455699999999999</v>
      </c>
      <c r="X6717">
        <v>0.9700645</v>
      </c>
      <c r="Y6717">
        <v>-0.28524699999999997</v>
      </c>
      <c r="Z6717">
        <v>-2.44735E-3</v>
      </c>
      <c r="AA6717">
        <v>0.95845089999999999</v>
      </c>
      <c r="AB6717">
        <v>32</v>
      </c>
      <c r="AC6717">
        <v>12.7903</v>
      </c>
      <c r="AD6717">
        <v>-1.118283723282</v>
      </c>
      <c r="AE6717">
        <v>6.4737</v>
      </c>
      <c r="AF6717">
        <v>-4.1083922978714096</v>
      </c>
      <c r="AG6717">
        <v>-1.118283723282</v>
      </c>
      <c r="AH6717">
        <v>13.6434309553266</v>
      </c>
      <c r="AI6717">
        <v>94.487594882490598</v>
      </c>
      <c r="AJ6717">
        <v>106.758415948999</v>
      </c>
      <c r="AK6717">
        <v>14.2923984688271</v>
      </c>
      <c r="AL6717">
        <v>78.196432999701997</v>
      </c>
      <c r="AM6717">
        <v>97.684282411905798</v>
      </c>
      <c r="AN6717">
        <v>1.0000000405004199</v>
      </c>
    </row>
    <row r="6718" spans="1:40" x14ac:dyDescent="0.25">
      <c r="A6718" t="str">
        <f>"20190312172538650"</f>
        <v>20190312172538650</v>
      </c>
      <c r="B6718" t="str">
        <f>"1552382738637345"</f>
        <v>1552382738637345</v>
      </c>
      <c r="C6718" t="s">
        <v>40</v>
      </c>
      <c r="D6718">
        <v>3.5771229999999998</v>
      </c>
      <c r="E6718">
        <v>0.43854779999999999</v>
      </c>
      <c r="F6718" t="s">
        <v>50</v>
      </c>
      <c r="G6718">
        <v>-198.5385</v>
      </c>
      <c r="H6718" s="1">
        <v>-8.7401699999999994E-6</v>
      </c>
      <c r="I6718">
        <v>-55.788600000000002</v>
      </c>
      <c r="J6718">
        <v>-211.32730000000001</v>
      </c>
      <c r="K6718">
        <v>1.1183890000000001</v>
      </c>
      <c r="L6718">
        <v>-62.326900000000002</v>
      </c>
      <c r="M6718">
        <v>0.98359050000000003</v>
      </c>
      <c r="N6718">
        <v>0</v>
      </c>
      <c r="O6718">
        <v>0.17979000000000001</v>
      </c>
      <c r="P6718">
        <v>0.93434879999999998</v>
      </c>
      <c r="Q6718">
        <v>0.1923822</v>
      </c>
      <c r="R6718">
        <v>0.29996909999999999</v>
      </c>
      <c r="S6718">
        <v>2.8058930000000002</v>
      </c>
      <c r="T6718">
        <v>-0.2425013</v>
      </c>
      <c r="U6718">
        <v>1.4246219999999901</v>
      </c>
      <c r="V6718">
        <v>-0.13097120000000001</v>
      </c>
      <c r="W6718">
        <v>0.20451829999999999</v>
      </c>
      <c r="X6718">
        <v>0.97006119999999996</v>
      </c>
      <c r="Y6718">
        <v>-0.28469949999999999</v>
      </c>
      <c r="Z6718">
        <v>-2.8333870000000001E-3</v>
      </c>
      <c r="AA6718">
        <v>0.95861260000000004</v>
      </c>
      <c r="AB6718">
        <v>32</v>
      </c>
      <c r="AC6718">
        <v>12.7888</v>
      </c>
      <c r="AD6718">
        <v>-1.1183977401699901</v>
      </c>
      <c r="AE6718">
        <v>6.5382999999999996</v>
      </c>
      <c r="AF6718">
        <v>-4.1072744962505299</v>
      </c>
      <c r="AG6718">
        <v>-1.1183977401699901</v>
      </c>
      <c r="AH6718">
        <v>13.673112668283199</v>
      </c>
      <c r="AI6718">
        <v>94.479252319440405</v>
      </c>
      <c r="AJ6718">
        <v>106.719773805101</v>
      </c>
      <c r="AK6718">
        <v>14.320423434114399</v>
      </c>
      <c r="AL6718">
        <v>78.198697284681401</v>
      </c>
      <c r="AM6718">
        <v>97.689198261996097</v>
      </c>
      <c r="AN6718">
        <v>0.99999996100488397</v>
      </c>
    </row>
    <row r="6719" spans="1:40" x14ac:dyDescent="0.25">
      <c r="A6719" t="str">
        <f>"20190312172538660"</f>
        <v>20190312172538660</v>
      </c>
      <c r="B6719" t="str">
        <f>"1552382738656865"</f>
        <v>1552382738656865</v>
      </c>
      <c r="C6719" t="s">
        <v>40</v>
      </c>
      <c r="D6719">
        <v>3.4905900000000001</v>
      </c>
      <c r="E6719">
        <v>0.43916899999999998</v>
      </c>
      <c r="F6719" t="s">
        <v>50</v>
      </c>
      <c r="G6719">
        <v>-198.33410000000001</v>
      </c>
      <c r="H6719" s="1">
        <v>-8.7606110000000005E-6</v>
      </c>
      <c r="I6719">
        <v>-55.664879999999997</v>
      </c>
      <c r="J6719">
        <v>-211.1737</v>
      </c>
      <c r="K6719">
        <v>1.1185020000000001</v>
      </c>
      <c r="L6719">
        <v>-62.294559999999997</v>
      </c>
      <c r="M6719">
        <v>0.98270219999999997</v>
      </c>
      <c r="N6719">
        <v>0</v>
      </c>
      <c r="O6719">
        <v>0.18458279999999999</v>
      </c>
      <c r="P6719">
        <v>0.93281729999999996</v>
      </c>
      <c r="Q6719">
        <v>0.19273940000000001</v>
      </c>
      <c r="R6719">
        <v>0.30447269999999999</v>
      </c>
      <c r="S6719">
        <v>2.7995610000000002</v>
      </c>
      <c r="T6719">
        <v>-0.2409742</v>
      </c>
      <c r="U6719">
        <v>1.435425</v>
      </c>
      <c r="V6719">
        <v>-0.1310007</v>
      </c>
      <c r="W6719">
        <v>0.2048548</v>
      </c>
      <c r="X6719">
        <v>0.96998629999999997</v>
      </c>
      <c r="Y6719">
        <v>-0.28385450000000001</v>
      </c>
      <c r="Z6719">
        <v>-3.2265449999999999E-3</v>
      </c>
      <c r="AA6719">
        <v>0.95886190000000004</v>
      </c>
      <c r="AB6719">
        <v>32</v>
      </c>
      <c r="AC6719">
        <v>12.8395999999999</v>
      </c>
      <c r="AD6719">
        <v>-1.1185107606110001</v>
      </c>
      <c r="AE6719">
        <v>6.6296799999999898</v>
      </c>
      <c r="AF6719">
        <v>-4.1208096928567004</v>
      </c>
      <c r="AG6719">
        <v>-1.1185107606110001</v>
      </c>
      <c r="AH6719">
        <v>13.760344790719699</v>
      </c>
      <c r="AI6719">
        <v>94.452542406950997</v>
      </c>
      <c r="AJ6719">
        <v>106.671377845713</v>
      </c>
      <c r="AK6719">
        <v>14.407610058779101</v>
      </c>
      <c r="AL6719">
        <v>78.179001254535905</v>
      </c>
      <c r="AM6719">
        <v>97.691496217574198</v>
      </c>
      <c r="AN6719">
        <v>1.0000000473356001</v>
      </c>
    </row>
    <row r="6720" spans="1:40" x14ac:dyDescent="0.25">
      <c r="A6720" t="str">
        <f>"20190312172538672"</f>
        <v>20190312172538672</v>
      </c>
      <c r="B6720" t="str">
        <f>"1552382738666625"</f>
        <v>1552382738666625</v>
      </c>
      <c r="C6720" t="s">
        <v>40</v>
      </c>
      <c r="D6720">
        <v>3.4994540000000001</v>
      </c>
      <c r="E6720">
        <v>0.4394633</v>
      </c>
      <c r="F6720" t="s">
        <v>50</v>
      </c>
      <c r="G6720">
        <v>-198.08629999999999</v>
      </c>
      <c r="H6720" s="1">
        <v>-8.7805129999999904E-6</v>
      </c>
      <c r="I6720">
        <v>-55.528759999999998</v>
      </c>
      <c r="J6720">
        <v>-211.01609999999999</v>
      </c>
      <c r="K6720">
        <v>1.1186210000000001</v>
      </c>
      <c r="L6720">
        <v>-62.259920000000001</v>
      </c>
      <c r="M6720">
        <v>0.98173860000000002</v>
      </c>
      <c r="N6720">
        <v>0</v>
      </c>
      <c r="O6720">
        <v>0.1896391</v>
      </c>
      <c r="P6720">
        <v>0.9312357</v>
      </c>
      <c r="Q6720">
        <v>0.19265699999999999</v>
      </c>
      <c r="R6720">
        <v>0.30932720000000002</v>
      </c>
      <c r="S6720">
        <v>2.7939609999999999</v>
      </c>
      <c r="T6720">
        <v>-0.23878559999999999</v>
      </c>
      <c r="U6720">
        <v>1.4443969999999999</v>
      </c>
      <c r="V6720">
        <v>-0.1311155</v>
      </c>
      <c r="W6720">
        <v>0.20475260000000001</v>
      </c>
      <c r="X6720">
        <v>0.96999230000000003</v>
      </c>
      <c r="Y6720">
        <v>-0.28215489999999999</v>
      </c>
      <c r="Z6720">
        <v>-3.6594700000000002E-3</v>
      </c>
      <c r="AA6720">
        <v>0.95936189999999999</v>
      </c>
      <c r="AB6720">
        <v>32</v>
      </c>
      <c r="AC6720">
        <v>12.9298</v>
      </c>
      <c r="AD6720">
        <v>-1.1186297805130001</v>
      </c>
      <c r="AE6720">
        <v>6.7311599999999903</v>
      </c>
      <c r="AF6720">
        <v>-4.1323790147044699</v>
      </c>
      <c r="AG6720">
        <v>-1.1186297805130001</v>
      </c>
      <c r="AH6720">
        <v>13.889958829391899</v>
      </c>
      <c r="AI6720">
        <v>94.413988830967497</v>
      </c>
      <c r="AJ6720">
        <v>106.568182229418</v>
      </c>
      <c r="AK6720">
        <v>14.5347461343232</v>
      </c>
      <c r="AL6720">
        <v>78.184982906813801</v>
      </c>
      <c r="AM6720">
        <v>97.698108678120605</v>
      </c>
      <c r="AN6720">
        <v>0.99999998180314897</v>
      </c>
    </row>
    <row r="6721" spans="1:40" x14ac:dyDescent="0.25">
      <c r="A6721" t="str">
        <f>"20190312172538684"</f>
        <v>20190312172538684</v>
      </c>
      <c r="B6721" t="str">
        <f>"1552382738677361"</f>
        <v>1552382738677361</v>
      </c>
      <c r="C6721" t="s">
        <v>40</v>
      </c>
      <c r="D6721">
        <v>3.4758969999999998</v>
      </c>
      <c r="E6721">
        <v>0.43978620000000002</v>
      </c>
      <c r="F6721" t="s">
        <v>50</v>
      </c>
      <c r="G6721">
        <v>-197.93299999999999</v>
      </c>
      <c r="H6721" s="1">
        <v>-8.8011579999999998E-6</v>
      </c>
      <c r="I6721">
        <v>-55.420810000000003</v>
      </c>
      <c r="J6721">
        <v>-210.8623</v>
      </c>
      <c r="K6721">
        <v>1.118741</v>
      </c>
      <c r="L6721">
        <v>-62.225650000000002</v>
      </c>
      <c r="M6721">
        <v>0.98076479999999999</v>
      </c>
      <c r="N6721">
        <v>0</v>
      </c>
      <c r="O6721">
        <v>0.19461139999999999</v>
      </c>
      <c r="P6721">
        <v>0.92961070000000001</v>
      </c>
      <c r="Q6721">
        <v>0.19262750000000001</v>
      </c>
      <c r="R6721">
        <v>0.31419509999999901</v>
      </c>
      <c r="S6721">
        <v>2.78688</v>
      </c>
      <c r="T6721">
        <v>-0.23828260000000001</v>
      </c>
      <c r="U6721">
        <v>1.4568179999999999</v>
      </c>
      <c r="V6721">
        <v>-0.13133249999999999</v>
      </c>
      <c r="W6721">
        <v>0.2047003</v>
      </c>
      <c r="X6721">
        <v>0.969974</v>
      </c>
      <c r="Y6721">
        <v>-0.28166760000000002</v>
      </c>
      <c r="Z6721">
        <v>-4.0585250000000003E-3</v>
      </c>
      <c r="AA6721">
        <v>0.95950349999999995</v>
      </c>
      <c r="AB6721">
        <v>31</v>
      </c>
      <c r="AC6721">
        <v>12.9293</v>
      </c>
      <c r="AD6721">
        <v>-1.1187498011579999</v>
      </c>
      <c r="AE6721">
        <v>6.8048400000000004</v>
      </c>
      <c r="AF6721">
        <v>-4.1339921496813403</v>
      </c>
      <c r="AG6721">
        <v>-1.1187498011579999</v>
      </c>
      <c r="AH6721">
        <v>13.924848162463601</v>
      </c>
      <c r="AI6721">
        <v>94.404197604951904</v>
      </c>
      <c r="AJ6721">
        <v>106.53503770816501</v>
      </c>
      <c r="AK6721">
        <v>14.568558218261799</v>
      </c>
      <c r="AL6721">
        <v>78.188044531579095</v>
      </c>
      <c r="AM6721">
        <v>97.710839848139798</v>
      </c>
      <c r="AN6721">
        <v>0.99999999952616903</v>
      </c>
    </row>
    <row r="6722" spans="1:40" x14ac:dyDescent="0.25">
      <c r="A6722" t="str">
        <f>"20190312172538694"</f>
        <v>20190312172538694</v>
      </c>
      <c r="B6722" t="str">
        <f>"1552382738687122"</f>
        <v>1552382738687122</v>
      </c>
      <c r="C6722" t="s">
        <v>40</v>
      </c>
      <c r="D6722">
        <v>3.9320789999999999</v>
      </c>
      <c r="E6722">
        <v>0.43978620000000002</v>
      </c>
      <c r="F6722" t="s">
        <v>50</v>
      </c>
      <c r="G6722">
        <v>-197.76660000000001</v>
      </c>
      <c r="H6722" s="1">
        <v>-8.8231069999999994E-6</v>
      </c>
      <c r="I6722">
        <v>-55.304949999999998</v>
      </c>
      <c r="J6722">
        <v>-210.7099</v>
      </c>
      <c r="K6722">
        <v>1.118854</v>
      </c>
      <c r="L6722">
        <v>-62.190489999999997</v>
      </c>
      <c r="M6722">
        <v>0.97975060000000003</v>
      </c>
      <c r="N6722">
        <v>0</v>
      </c>
      <c r="O6722">
        <v>0.19965279999999999</v>
      </c>
      <c r="P6722">
        <v>0.92803630000000004</v>
      </c>
      <c r="Q6722">
        <v>0.19231799999999999</v>
      </c>
      <c r="R6722">
        <v>0.31900240000000002</v>
      </c>
      <c r="S6722">
        <v>2.7798310000000002</v>
      </c>
      <c r="T6722">
        <v>-0.23747689999999999</v>
      </c>
      <c r="U6722">
        <v>1.469055</v>
      </c>
      <c r="V6722">
        <v>-0.13140450000000001</v>
      </c>
      <c r="W6722">
        <v>0.20437359999999999</v>
      </c>
      <c r="X6722">
        <v>0.97003320000000004</v>
      </c>
      <c r="Y6722">
        <v>-0.28105619999999998</v>
      </c>
      <c r="Z6722">
        <v>-4.4608290000000004E-3</v>
      </c>
      <c r="AA6722">
        <v>0.95968100000000001</v>
      </c>
      <c r="AB6722">
        <v>31</v>
      </c>
      <c r="AC6722">
        <v>12.943299999999899</v>
      </c>
      <c r="AD6722">
        <v>-1.1188628231069999</v>
      </c>
      <c r="AE6722">
        <v>6.8855399999999998</v>
      </c>
      <c r="AF6722">
        <v>-4.1383169753675002</v>
      </c>
      <c r="AG6722">
        <v>-1.1188628231069999</v>
      </c>
      <c r="AH6722">
        <v>13.9761226781281</v>
      </c>
      <c r="AI6722">
        <v>94.389473643660594</v>
      </c>
      <c r="AJ6722">
        <v>106.49397276967299</v>
      </c>
      <c r="AK6722">
        <v>14.6188072878615</v>
      </c>
      <c r="AL6722">
        <v>78.207168065154605</v>
      </c>
      <c r="AM6722">
        <v>97.714551070302704</v>
      </c>
      <c r="AN6722">
        <v>1.0000000600497201</v>
      </c>
    </row>
    <row r="6723" spans="1:40" x14ac:dyDescent="0.25">
      <c r="A6723" t="str">
        <f>"20190312172538705"</f>
        <v>20190312172538705</v>
      </c>
      <c r="B6723" t="str">
        <f>"1552382738696882"</f>
        <v>1552382738696882</v>
      </c>
      <c r="C6723" t="s">
        <v>40</v>
      </c>
      <c r="D6723">
        <v>3.4419339999999998</v>
      </c>
      <c r="E6723">
        <v>0.44836019999999999</v>
      </c>
      <c r="F6723" t="s">
        <v>50</v>
      </c>
      <c r="G6723">
        <v>-197.68610000000001</v>
      </c>
      <c r="H6723" s="1">
        <v>-8.8444059999999993E-6</v>
      </c>
      <c r="I6723">
        <v>-55.218499999999999</v>
      </c>
      <c r="J6723">
        <v>-210.56319999999999</v>
      </c>
      <c r="K6723">
        <v>1.118962</v>
      </c>
      <c r="L6723">
        <v>-62.15598</v>
      </c>
      <c r="M6723">
        <v>0.97873849999999996</v>
      </c>
      <c r="N6723">
        <v>0</v>
      </c>
      <c r="O6723">
        <v>0.2045556</v>
      </c>
      <c r="P6723">
        <v>0.9264097</v>
      </c>
      <c r="Q6723">
        <v>0.19226070000000001</v>
      </c>
      <c r="R6723">
        <v>0.32372990000000001</v>
      </c>
      <c r="S6723">
        <v>2.7719119999999999</v>
      </c>
      <c r="T6723">
        <v>-0.2381337</v>
      </c>
      <c r="U6723">
        <v>1.483887</v>
      </c>
      <c r="V6723">
        <v>-0.13154489999999999</v>
      </c>
      <c r="W6723">
        <v>0.2042979</v>
      </c>
      <c r="X6723">
        <v>0.97002999999999995</v>
      </c>
      <c r="Y6723">
        <v>-0.28139449999999999</v>
      </c>
      <c r="Z6723">
        <v>-4.8416509999999998E-3</v>
      </c>
      <c r="AA6723">
        <v>0.95957990000000004</v>
      </c>
      <c r="AB6723">
        <v>31</v>
      </c>
      <c r="AC6723">
        <v>12.877099999999899</v>
      </c>
      <c r="AD6723">
        <v>-1.118970844406</v>
      </c>
      <c r="AE6723">
        <v>6.9374799999999999</v>
      </c>
      <c r="AF6723">
        <v>-4.1321867015195997</v>
      </c>
      <c r="AG6723">
        <v>-1.118970844406</v>
      </c>
      <c r="AH6723">
        <v>13.942416844186001</v>
      </c>
      <c r="AI6723">
        <v>94.400137111487496</v>
      </c>
      <c r="AJ6723">
        <v>106.508517737665</v>
      </c>
      <c r="AK6723">
        <v>14.584856877730701</v>
      </c>
      <c r="AL6723">
        <v>78.2115974865021</v>
      </c>
      <c r="AM6723">
        <v>97.7227194841212</v>
      </c>
      <c r="AN6723">
        <v>0.99999994678020798</v>
      </c>
    </row>
    <row r="6724" spans="1:40" x14ac:dyDescent="0.25">
      <c r="A6724" t="str">
        <f>"20190312172538716"</f>
        <v>20190312172538716</v>
      </c>
      <c r="B6724" t="str">
        <f>"1552382738706642"</f>
        <v>1552382738706642</v>
      </c>
      <c r="C6724" t="s">
        <v>40</v>
      </c>
      <c r="D6724">
        <v>3.4442620000000002</v>
      </c>
      <c r="E6724">
        <v>0.44845839999999998</v>
      </c>
      <c r="F6724" t="s">
        <v>50</v>
      </c>
      <c r="G6724">
        <v>-197.024</v>
      </c>
      <c r="H6724" s="1">
        <v>-8.7798300000000006E-6</v>
      </c>
      <c r="I6724">
        <v>-55.190309999999997</v>
      </c>
      <c r="J6724">
        <v>-210.4177</v>
      </c>
      <c r="K6724">
        <v>1.1190690000000001</v>
      </c>
      <c r="L6724">
        <v>-62.120910000000002</v>
      </c>
      <c r="M6724">
        <v>0.9776939</v>
      </c>
      <c r="N6724">
        <v>0</v>
      </c>
      <c r="O6724">
        <v>0.20949010000000001</v>
      </c>
      <c r="P6724">
        <v>0.92472580000000004</v>
      </c>
      <c r="Q6724">
        <v>0.19216620000000001</v>
      </c>
      <c r="R6724">
        <v>0.32856429999999998</v>
      </c>
      <c r="S6724">
        <v>2.785339</v>
      </c>
      <c r="T6724">
        <v>-0.2302005</v>
      </c>
      <c r="U6724">
        <v>1.433014</v>
      </c>
      <c r="V6724">
        <v>-0.13176650000000001</v>
      </c>
      <c r="W6724">
        <v>0.204184</v>
      </c>
      <c r="X6724">
        <v>0.97002390000000005</v>
      </c>
      <c r="Y6724">
        <v>-0.2608896</v>
      </c>
      <c r="Z6724">
        <v>-5.8504380000000003E-3</v>
      </c>
      <c r="AA6724">
        <v>0.96535090000000001</v>
      </c>
      <c r="AB6724">
        <v>31</v>
      </c>
      <c r="AC6724">
        <v>13.3936999999999</v>
      </c>
      <c r="AD6724">
        <v>-1.11907777983</v>
      </c>
      <c r="AE6724">
        <v>6.9305999999999903</v>
      </c>
      <c r="AF6724">
        <v>-3.9488667048309201</v>
      </c>
      <c r="AG6724">
        <v>-1.11907777983</v>
      </c>
      <c r="AH6724">
        <v>14.468819409566599</v>
      </c>
      <c r="AI6724">
        <v>94.267222207532996</v>
      </c>
      <c r="AJ6724">
        <v>105.265530742542</v>
      </c>
      <c r="AK6724">
        <v>15.0397014078233</v>
      </c>
      <c r="AL6724">
        <v>78.218263938580193</v>
      </c>
      <c r="AM6724">
        <v>97.735619813575099</v>
      </c>
      <c r="AN6724">
        <v>0.99999994147472804</v>
      </c>
    </row>
    <row r="6725" spans="1:40" x14ac:dyDescent="0.25">
      <c r="A6725" t="str">
        <f>"20190312172538728"</f>
        <v>20190312172538728</v>
      </c>
      <c r="B6725" t="str">
        <f>"1552382738717378"</f>
        <v>1552382738717378</v>
      </c>
      <c r="C6725" t="s">
        <v>40</v>
      </c>
      <c r="D6725">
        <v>3.4510010000000002</v>
      </c>
      <c r="E6725">
        <v>0.4486154</v>
      </c>
      <c r="F6725" t="s">
        <v>50</v>
      </c>
      <c r="G6725">
        <v>-196.79349999999999</v>
      </c>
      <c r="H6725" s="1">
        <v>-8.8120339999999993E-6</v>
      </c>
      <c r="I6725">
        <v>-55.024679999999996</v>
      </c>
      <c r="J6725">
        <v>-210.2664</v>
      </c>
      <c r="K6725">
        <v>1.1191770000000001</v>
      </c>
      <c r="L6725">
        <v>-62.083469999999998</v>
      </c>
      <c r="M6725">
        <v>0.97656270000000001</v>
      </c>
      <c r="N6725">
        <v>0</v>
      </c>
      <c r="O6725">
        <v>0.2147</v>
      </c>
      <c r="P6725">
        <v>0.92295590000000005</v>
      </c>
      <c r="Q6725">
        <v>0.1919072</v>
      </c>
      <c r="R6725">
        <v>0.33365289999999997</v>
      </c>
      <c r="S6725">
        <v>2.7775880000000002</v>
      </c>
      <c r="T6725">
        <v>-0.2281475</v>
      </c>
      <c r="U6725">
        <v>1.4467159999999999</v>
      </c>
      <c r="V6725">
        <v>-0.13197639999999999</v>
      </c>
      <c r="W6725">
        <v>0.2039068</v>
      </c>
      <c r="X6725">
        <v>0.97005370000000002</v>
      </c>
      <c r="Y6725">
        <v>-0.26060749999999999</v>
      </c>
      <c r="Z6725">
        <v>-6.200021E-3</v>
      </c>
      <c r="AA6725">
        <v>0.96542499999999998</v>
      </c>
      <c r="AB6725">
        <v>31</v>
      </c>
      <c r="AC6725">
        <v>13.472899999999999</v>
      </c>
      <c r="AD6725">
        <v>-1.1191858120339999</v>
      </c>
      <c r="AE6725">
        <v>7.0587899999999903</v>
      </c>
      <c r="AF6725">
        <v>-3.9796309963649898</v>
      </c>
      <c r="AG6725">
        <v>-1.1191858120339999</v>
      </c>
      <c r="AH6725">
        <v>14.5953120445956</v>
      </c>
      <c r="AI6725">
        <v>94.231056999232706</v>
      </c>
      <c r="AJ6725">
        <v>105.251798567677</v>
      </c>
      <c r="AK6725">
        <v>15.1694816466551</v>
      </c>
      <c r="AL6725">
        <v>78.234487958877395</v>
      </c>
      <c r="AM6725">
        <v>97.747557745142103</v>
      </c>
      <c r="AN6725">
        <v>0.99999996706344396</v>
      </c>
    </row>
    <row r="6726" spans="1:40" x14ac:dyDescent="0.25">
      <c r="A6726" t="str">
        <f>"20190312172538738"</f>
        <v>20190312172538738</v>
      </c>
      <c r="B6726" t="str">
        <f>"1552382738727138"</f>
        <v>1552382738727138</v>
      </c>
      <c r="C6726" t="s">
        <v>40</v>
      </c>
      <c r="D6726">
        <v>3.4474649999999998</v>
      </c>
      <c r="E6726">
        <v>0.44877410000000001</v>
      </c>
      <c r="F6726" t="s">
        <v>50</v>
      </c>
      <c r="G6726">
        <v>-196.77269999999999</v>
      </c>
      <c r="H6726" s="1">
        <v>-8.8302989999999997E-6</v>
      </c>
      <c r="I6726">
        <v>-54.965980000000002</v>
      </c>
      <c r="J6726">
        <v>-210.11940000000001</v>
      </c>
      <c r="K6726">
        <v>1.1192799999999901</v>
      </c>
      <c r="L6726">
        <v>-62.046419999999998</v>
      </c>
      <c r="M6726">
        <v>0.9754237</v>
      </c>
      <c r="N6726">
        <v>0</v>
      </c>
      <c r="O6726">
        <v>0.21981519999999999</v>
      </c>
      <c r="P6726">
        <v>0.92116279999999995</v>
      </c>
      <c r="Q6726">
        <v>0.1918443</v>
      </c>
      <c r="R6726">
        <v>0.3386072</v>
      </c>
      <c r="S6726">
        <v>2.7700200000000001</v>
      </c>
      <c r="T6726">
        <v>-0.22974849999999999</v>
      </c>
      <c r="U6726">
        <v>1.46109</v>
      </c>
      <c r="V6726">
        <v>-0.13215299999999999</v>
      </c>
      <c r="W6726">
        <v>0.20382649999999999</v>
      </c>
      <c r="X6726">
        <v>0.97004659999999998</v>
      </c>
      <c r="Y6726">
        <v>-0.26056669999999998</v>
      </c>
      <c r="Z6726">
        <v>-6.6308230000000001E-3</v>
      </c>
      <c r="AA6726">
        <v>0.96543310000000004</v>
      </c>
      <c r="AB6726">
        <v>31</v>
      </c>
      <c r="AC6726">
        <v>13.3467</v>
      </c>
      <c r="AD6726">
        <v>-1.1192888302989901</v>
      </c>
      <c r="AE6726">
        <v>7.0804399999999896</v>
      </c>
      <c r="AF6726">
        <v>-3.9513915636452999</v>
      </c>
      <c r="AG6726">
        <v>-1.1192888302989901</v>
      </c>
      <c r="AH6726">
        <v>14.497185892825</v>
      </c>
      <c r="AI6726">
        <v>94.260091303514301</v>
      </c>
      <c r="AJ6726">
        <v>105.246339731861</v>
      </c>
      <c r="AK6726">
        <v>15.0676707418899</v>
      </c>
      <c r="AL6726">
        <v>78.239188279631904</v>
      </c>
      <c r="AM6726">
        <v>97.757854821283601</v>
      </c>
      <c r="AN6726">
        <v>1.0000000318414</v>
      </c>
    </row>
    <row r="6727" spans="1:40" x14ac:dyDescent="0.25">
      <c r="A6727" t="str">
        <f>"20190312172538750"</f>
        <v>20190312172538750</v>
      </c>
      <c r="B6727" t="str">
        <f>"1552382738746657"</f>
        <v>1552382738746657</v>
      </c>
      <c r="C6727" t="s">
        <v>40</v>
      </c>
      <c r="D6727">
        <v>3.628368</v>
      </c>
      <c r="E6727">
        <v>0.44857209999999997</v>
      </c>
      <c r="F6727" t="s">
        <v>50</v>
      </c>
      <c r="G6727">
        <v>-196.78219999999999</v>
      </c>
      <c r="H6727" s="1">
        <v>-8.8452320000000005E-6</v>
      </c>
      <c r="I6727">
        <v>-54.926490000000001</v>
      </c>
      <c r="J6727">
        <v>-209.96780000000001</v>
      </c>
      <c r="K6727">
        <v>1.119383</v>
      </c>
      <c r="L6727">
        <v>-62.006929999999997</v>
      </c>
      <c r="M6727">
        <v>0.97419599999999995</v>
      </c>
      <c r="N6727">
        <v>0</v>
      </c>
      <c r="O6727">
        <v>0.22519259999999999</v>
      </c>
      <c r="P6727">
        <v>0.9192285</v>
      </c>
      <c r="Q6727">
        <v>0.1919101</v>
      </c>
      <c r="R6727">
        <v>0.34378700000000001</v>
      </c>
      <c r="S6727">
        <v>2.7628940000000002</v>
      </c>
      <c r="T6727">
        <v>-0.23186899999999999</v>
      </c>
      <c r="U6727">
        <v>1.474945</v>
      </c>
      <c r="V6727">
        <v>-0.13232049999999901</v>
      </c>
      <c r="W6727">
        <v>0.203875</v>
      </c>
      <c r="X6727">
        <v>0.97001360000000003</v>
      </c>
      <c r="Y6727">
        <v>-0.26005650000000002</v>
      </c>
      <c r="Z6727">
        <v>-7.1203990000000003E-3</v>
      </c>
      <c r="AA6727">
        <v>0.96556719999999896</v>
      </c>
      <c r="AB6727">
        <v>31</v>
      </c>
      <c r="AC6727">
        <v>13.185600000000001</v>
      </c>
      <c r="AD6727">
        <v>-1.119391845232</v>
      </c>
      <c r="AE6727">
        <v>7.0804400000000003</v>
      </c>
      <c r="AF6727">
        <v>-3.9070331593912999</v>
      </c>
      <c r="AG6727">
        <v>-1.119391845232</v>
      </c>
      <c r="AH6727">
        <v>14.3611478214803</v>
      </c>
      <c r="AI6727">
        <v>94.301239874715193</v>
      </c>
      <c r="AJ6727">
        <v>105.219302047879</v>
      </c>
      <c r="AK6727">
        <v>14.925163749928</v>
      </c>
      <c r="AL6727">
        <v>78.236350135993504</v>
      </c>
      <c r="AM6727">
        <v>97.767828736475195</v>
      </c>
      <c r="AN6727">
        <v>1.0000000572651</v>
      </c>
    </row>
    <row r="6728" spans="1:40" x14ac:dyDescent="0.25">
      <c r="A6728" t="str">
        <f>"20190312172538763"</f>
        <v>20190312172538763</v>
      </c>
      <c r="B6728" t="str">
        <f>"1552382738757393"</f>
        <v>1552382738757393</v>
      </c>
      <c r="C6728" t="s">
        <v>40</v>
      </c>
      <c r="D6728">
        <v>3.4568099999999999</v>
      </c>
      <c r="E6728">
        <v>0.4487775</v>
      </c>
      <c r="F6728" t="s">
        <v>50</v>
      </c>
      <c r="G6728">
        <v>-196.5213</v>
      </c>
      <c r="H6728" s="1">
        <v>-8.8878509999999993E-6</v>
      </c>
      <c r="I6728">
        <v>-54.721449999999997</v>
      </c>
      <c r="J6728">
        <v>-209.8083</v>
      </c>
      <c r="K6728">
        <v>1.1194919999999999</v>
      </c>
      <c r="L6728">
        <v>-61.96481</v>
      </c>
      <c r="M6728">
        <v>0.97286209999999995</v>
      </c>
      <c r="N6728">
        <v>0</v>
      </c>
      <c r="O6728">
        <v>0.23088610000000001</v>
      </c>
      <c r="P6728">
        <v>0.91713080000000002</v>
      </c>
      <c r="Q6728">
        <v>0.1919865</v>
      </c>
      <c r="R6728">
        <v>0.34930299999999997</v>
      </c>
      <c r="S6728">
        <v>2.7535099999999999</v>
      </c>
      <c r="T6728">
        <v>-0.2292235</v>
      </c>
      <c r="U6728">
        <v>1.4918819999999999</v>
      </c>
      <c r="V6728">
        <v>-0.1325363</v>
      </c>
      <c r="W6728">
        <v>0.2039311</v>
      </c>
      <c r="X6728">
        <v>0.96997230000000001</v>
      </c>
      <c r="Y6728">
        <v>-0.26039449999999997</v>
      </c>
      <c r="Z6728">
        <v>-7.45633699999999E-3</v>
      </c>
      <c r="AA6728">
        <v>0.96547349999999998</v>
      </c>
      <c r="AB6728">
        <v>31</v>
      </c>
      <c r="AC6728">
        <v>13.287000000000001</v>
      </c>
      <c r="AD6728">
        <v>-1.119500887851</v>
      </c>
      <c r="AE6728">
        <v>7.24336</v>
      </c>
      <c r="AF6728">
        <v>-3.9578068812968499</v>
      </c>
      <c r="AG6728">
        <v>-1.119500887851</v>
      </c>
      <c r="AH6728">
        <v>14.521028210833</v>
      </c>
      <c r="AI6728">
        <v>94.253931265962095</v>
      </c>
      <c r="AJ6728">
        <v>105.246034120692</v>
      </c>
      <c r="AK6728">
        <v>15.092308565867199</v>
      </c>
      <c r="AL6728">
        <v>78.233066343439205</v>
      </c>
      <c r="AM6728">
        <v>97.780669380705703</v>
      </c>
      <c r="AN6728">
        <v>1.00000001356609</v>
      </c>
    </row>
    <row r="6729" spans="1:40" x14ac:dyDescent="0.25">
      <c r="A6729" t="str">
        <f>"20190312172538773"</f>
        <v>20190312172538773</v>
      </c>
      <c r="B6729" t="str">
        <f>"1552382738767153"</f>
        <v>1552382738767153</v>
      </c>
      <c r="C6729" t="s">
        <v>40</v>
      </c>
      <c r="D6729">
        <v>3.4296229999999999</v>
      </c>
      <c r="E6729">
        <v>0.44823459999999898</v>
      </c>
      <c r="F6729" t="s">
        <v>50</v>
      </c>
      <c r="G6729">
        <v>-196.43020000000001</v>
      </c>
      <c r="H6729" s="1">
        <v>-8.9129099999999997E-6</v>
      </c>
      <c r="I6729">
        <v>-54.62086</v>
      </c>
      <c r="J6729">
        <v>-209.6516</v>
      </c>
      <c r="K6729">
        <v>1.119597</v>
      </c>
      <c r="L6729">
        <v>-61.921909999999997</v>
      </c>
      <c r="M6729">
        <v>0.97148730000000005</v>
      </c>
      <c r="N6729">
        <v>0</v>
      </c>
      <c r="O6729">
        <v>0.23660300000000001</v>
      </c>
      <c r="P6729">
        <v>0.91507320000000003</v>
      </c>
      <c r="Q6729">
        <v>0.19187969999999999</v>
      </c>
      <c r="R6729">
        <v>0.35471609999999998</v>
      </c>
      <c r="S6729">
        <v>2.745209</v>
      </c>
      <c r="T6729">
        <v>-0.22972310000000001</v>
      </c>
      <c r="U6729">
        <v>1.5069889999999999</v>
      </c>
      <c r="V6729">
        <v>-0.13261039999999999</v>
      </c>
      <c r="W6729">
        <v>0.20381060000000001</v>
      </c>
      <c r="X6729">
        <v>0.9699875</v>
      </c>
      <c r="Y6729">
        <v>-0.26004569999999999</v>
      </c>
      <c r="Z6729">
        <v>-7.9178859999999903E-3</v>
      </c>
      <c r="AA6729">
        <v>0.96556379999999997</v>
      </c>
      <c r="AB6729">
        <v>31</v>
      </c>
      <c r="AC6729">
        <v>13.2213999999999</v>
      </c>
      <c r="AD6729">
        <v>-1.11960591291</v>
      </c>
      <c r="AE6729">
        <v>7.3010499999999903</v>
      </c>
      <c r="AF6729">
        <v>-3.94344326452772</v>
      </c>
      <c r="AG6729">
        <v>-1.11960591291</v>
      </c>
      <c r="AH6729">
        <v>14.4939119682158</v>
      </c>
      <c r="AI6729">
        <v>94.262776837172495</v>
      </c>
      <c r="AJ6729">
        <v>105.22037257530999</v>
      </c>
      <c r="AK6729">
        <v>15.062461496155301</v>
      </c>
      <c r="AL6729">
        <v>78.240118608928597</v>
      </c>
      <c r="AM6729">
        <v>97.7848456667639</v>
      </c>
      <c r="AN6729">
        <v>1.0000000145083801</v>
      </c>
    </row>
    <row r="6730" spans="1:40" x14ac:dyDescent="0.25">
      <c r="A6730" t="str">
        <f>"20190312172538785"</f>
        <v>20190312172538785</v>
      </c>
      <c r="B6730" t="str">
        <f>"1552382738776913"</f>
        <v>1552382738776913</v>
      </c>
      <c r="C6730" t="s">
        <v>40</v>
      </c>
      <c r="D6730">
        <v>3.4471590000000001</v>
      </c>
      <c r="E6730">
        <v>0.44823459999999898</v>
      </c>
      <c r="F6730" t="s">
        <v>50</v>
      </c>
      <c r="G6730">
        <v>-196.4786</v>
      </c>
      <c r="H6730" s="1">
        <v>-8.9380499999999999E-6</v>
      </c>
      <c r="I6730">
        <v>-54.564770000000003</v>
      </c>
      <c r="J6730">
        <v>-209.50389999999999</v>
      </c>
      <c r="K6730">
        <v>1.1196950000000001</v>
      </c>
      <c r="L6730">
        <v>-61.880800000000001</v>
      </c>
      <c r="M6730">
        <v>0.97014880000000003</v>
      </c>
      <c r="N6730">
        <v>0</v>
      </c>
      <c r="O6730">
        <v>0.24203069999999999</v>
      </c>
      <c r="P6730">
        <v>0.91301319999999997</v>
      </c>
      <c r="Q6730">
        <v>0.19195590000000001</v>
      </c>
      <c r="R6730">
        <v>0.35994429999999999</v>
      </c>
      <c r="S6730">
        <v>2.7350460000000001</v>
      </c>
      <c r="T6730">
        <v>-0.23245840000000001</v>
      </c>
      <c r="U6730">
        <v>1.5275270000000001</v>
      </c>
      <c r="V6730">
        <v>-0.13279189999999999</v>
      </c>
      <c r="W6730">
        <v>0.20387079999999999</v>
      </c>
      <c r="X6730">
        <v>0.96994999999999998</v>
      </c>
      <c r="Y6730">
        <v>-0.26171119999999998</v>
      </c>
      <c r="Z6730">
        <v>-8.3614120000000004E-3</v>
      </c>
      <c r="AA6730">
        <v>0.96511000000000002</v>
      </c>
      <c r="AB6730">
        <v>31</v>
      </c>
      <c r="AC6730">
        <v>13.0252999999999</v>
      </c>
      <c r="AD6730">
        <v>-1.11970393805</v>
      </c>
      <c r="AE6730">
        <v>7.3160299999999996</v>
      </c>
      <c r="AF6730">
        <v>-3.9235332550138899</v>
      </c>
      <c r="AG6730">
        <v>-1.11970393805</v>
      </c>
      <c r="AH6730">
        <v>14.3283676534639</v>
      </c>
      <c r="AI6730">
        <v>94.310305093968694</v>
      </c>
      <c r="AJ6730">
        <v>105.313896119185</v>
      </c>
      <c r="AK6730">
        <v>14.897985425047001</v>
      </c>
      <c r="AL6730">
        <v>78.236595223526507</v>
      </c>
      <c r="AM6730">
        <v>97.795667321711306</v>
      </c>
      <c r="AN6730">
        <v>0.99999999714912402</v>
      </c>
    </row>
    <row r="6731" spans="1:40" x14ac:dyDescent="0.25">
      <c r="A6731" t="str">
        <f>"20190312172538795"</f>
        <v>20190312172538795</v>
      </c>
      <c r="B6731" t="str">
        <f>"1552382738786674"</f>
        <v>1552382738786674</v>
      </c>
      <c r="C6731" t="s">
        <v>40</v>
      </c>
      <c r="D6731">
        <v>3.4015789999999999</v>
      </c>
      <c r="E6731">
        <v>0.43349779999999999</v>
      </c>
      <c r="F6731" t="s">
        <v>50</v>
      </c>
      <c r="G6731">
        <v>-196.36089999999999</v>
      </c>
      <c r="H6731" s="1">
        <v>-8.9680229999999906E-6</v>
      </c>
      <c r="I6731">
        <v>-54.441659999999999</v>
      </c>
      <c r="J6731">
        <v>-209.36590000000001</v>
      </c>
      <c r="K6731">
        <v>1.1197839999999999</v>
      </c>
      <c r="L6731">
        <v>-61.841369999999998</v>
      </c>
      <c r="M6731">
        <v>0.96885089999999996</v>
      </c>
      <c r="N6731">
        <v>0</v>
      </c>
      <c r="O6731">
        <v>0.2471738</v>
      </c>
      <c r="P6731">
        <v>0.91109879999999999</v>
      </c>
      <c r="Q6731">
        <v>0.19167039999999999</v>
      </c>
      <c r="R6731">
        <v>0.36491279999999998</v>
      </c>
      <c r="S6731">
        <v>2.7262879999999998</v>
      </c>
      <c r="T6731">
        <v>-0.23226340000000001</v>
      </c>
      <c r="U6731">
        <v>1.543121</v>
      </c>
      <c r="V6731">
        <v>-0.1329553</v>
      </c>
      <c r="W6731">
        <v>0.20357249999999999</v>
      </c>
      <c r="X6731">
        <v>0.96999029999999997</v>
      </c>
      <c r="Y6731">
        <v>-0.26211370000000001</v>
      </c>
      <c r="Z6731">
        <v>-8.7327580000000002E-3</v>
      </c>
      <c r="AA6731">
        <v>0.96499749999999995</v>
      </c>
      <c r="AB6731">
        <v>31</v>
      </c>
      <c r="AC6731">
        <v>13.005000000000001</v>
      </c>
      <c r="AD6731">
        <v>-1.1197929680230001</v>
      </c>
      <c r="AE6731">
        <v>7.39970999999999</v>
      </c>
      <c r="AF6731">
        <v>-3.9331525714296798</v>
      </c>
      <c r="AG6731">
        <v>-1.1197929680230001</v>
      </c>
      <c r="AH6731">
        <v>14.350229412720401</v>
      </c>
      <c r="AI6731">
        <v>94.303827575819</v>
      </c>
      <c r="AJ6731">
        <v>105.327388534452</v>
      </c>
      <c r="AK6731">
        <v>14.921551850899601</v>
      </c>
      <c r="AL6731">
        <v>78.254053028536504</v>
      </c>
      <c r="AM6731">
        <v>97.804821418969098</v>
      </c>
      <c r="AN6731">
        <v>1.0000000283242101</v>
      </c>
    </row>
    <row r="6732" spans="1:40" x14ac:dyDescent="0.25">
      <c r="A6732" t="str">
        <f>"20190312172538807"</f>
        <v>20190312172538807</v>
      </c>
      <c r="B6732" t="str">
        <f>"1552382738797410"</f>
        <v>1552382738797410</v>
      </c>
      <c r="C6732" t="s">
        <v>40</v>
      </c>
      <c r="D6732">
        <v>3.4397839999999902</v>
      </c>
      <c r="E6732">
        <v>0.43234889999999998</v>
      </c>
      <c r="F6732" t="s">
        <v>50</v>
      </c>
      <c r="G6732">
        <v>-196.26140000000001</v>
      </c>
      <c r="H6732" s="1">
        <v>-9.2324309999999997E-6</v>
      </c>
      <c r="I6732">
        <v>-53.671129999999998</v>
      </c>
      <c r="J6732">
        <v>-209.2199</v>
      </c>
      <c r="K6732">
        <v>1.119875</v>
      </c>
      <c r="L6732">
        <v>-61.798830000000002</v>
      </c>
      <c r="M6732">
        <v>0.96743310000000005</v>
      </c>
      <c r="N6732">
        <v>0</v>
      </c>
      <c r="O6732">
        <v>0.25266499999999997</v>
      </c>
      <c r="P6732">
        <v>0.90897669999999997</v>
      </c>
      <c r="Q6732">
        <v>0.1913994</v>
      </c>
      <c r="R6732">
        <v>0.37030750000000001</v>
      </c>
      <c r="S6732">
        <v>2.6732480000000001</v>
      </c>
      <c r="T6732">
        <v>-0.2284321</v>
      </c>
      <c r="U6732">
        <v>1.66668699999999</v>
      </c>
      <c r="V6732">
        <v>-0.13323119999999999</v>
      </c>
      <c r="W6732">
        <v>0.20328499999999999</v>
      </c>
      <c r="X6732">
        <v>0.97001269999999995</v>
      </c>
      <c r="Y6732">
        <v>-0.2973382</v>
      </c>
      <c r="Z6732">
        <v>-7.6412499999999996E-3</v>
      </c>
      <c r="AA6732">
        <v>0.95474170000000003</v>
      </c>
      <c r="AB6732">
        <v>31</v>
      </c>
      <c r="AC6732">
        <v>12.9584999999999</v>
      </c>
      <c r="AD6732">
        <v>-1.1198842324310001</v>
      </c>
      <c r="AE6732">
        <v>8.1276999999999902</v>
      </c>
      <c r="AF6732">
        <v>-4.5649147994500501</v>
      </c>
      <c r="AG6732">
        <v>-1.1198842324310001</v>
      </c>
      <c r="AH6732">
        <v>14.513976862987599</v>
      </c>
      <c r="AI6732">
        <v>94.209625653474006</v>
      </c>
      <c r="AJ6732">
        <v>107.45932829213901</v>
      </c>
      <c r="AK6732">
        <v>15.2560844321085</v>
      </c>
      <c r="AL6732">
        <v>78.270876922016896</v>
      </c>
      <c r="AM6732">
        <v>97.820638873847201</v>
      </c>
      <c r="AN6732">
        <v>0.99999999101986503</v>
      </c>
    </row>
    <row r="6733" spans="1:40" x14ac:dyDescent="0.25">
      <c r="A6733" t="str">
        <f>"20190312172538816"</f>
        <v>20190312172538816</v>
      </c>
      <c r="B6733" t="str">
        <f>"1552382738807170"</f>
        <v>1552382738807170</v>
      </c>
      <c r="C6733" t="s">
        <v>40</v>
      </c>
      <c r="D6733">
        <v>3.3920979999999998</v>
      </c>
      <c r="E6733">
        <v>0.43174869999999999</v>
      </c>
      <c r="F6733" t="s">
        <v>50</v>
      </c>
      <c r="G6733">
        <v>-195.9281</v>
      </c>
      <c r="H6733" s="1">
        <v>-9.3166819999999992E-6</v>
      </c>
      <c r="I6733">
        <v>-53.347830000000002</v>
      </c>
      <c r="J6733">
        <v>-209.0821</v>
      </c>
      <c r="K6733">
        <v>1.1199589999999999</v>
      </c>
      <c r="L6733">
        <v>-61.757840000000002</v>
      </c>
      <c r="M6733">
        <v>0.96604970000000001</v>
      </c>
      <c r="N6733">
        <v>0</v>
      </c>
      <c r="O6733">
        <v>0.25790299999999999</v>
      </c>
      <c r="P6733">
        <v>0.90695199999999998</v>
      </c>
      <c r="Q6733">
        <v>0.19128899999999999</v>
      </c>
      <c r="R6733">
        <v>0.3752952</v>
      </c>
      <c r="S6733">
        <v>2.6588750000000001</v>
      </c>
      <c r="T6733">
        <v>-0.2240193</v>
      </c>
      <c r="U6733">
        <v>1.6905209999999999</v>
      </c>
      <c r="V6733">
        <v>-0.13333919999999999</v>
      </c>
      <c r="W6733">
        <v>0.2031635</v>
      </c>
      <c r="X6733">
        <v>0.97002330000000003</v>
      </c>
      <c r="Y6733">
        <v>-0.30060559999999997</v>
      </c>
      <c r="Z6733">
        <v>-7.7594539999999998E-3</v>
      </c>
      <c r="AA6733">
        <v>0.95371700000000004</v>
      </c>
      <c r="AB6733">
        <v>31</v>
      </c>
      <c r="AC6733">
        <v>13.1539999999999</v>
      </c>
      <c r="AD6733">
        <v>-1.119968316682</v>
      </c>
      <c r="AE6733">
        <v>8.4100099999999998</v>
      </c>
      <c r="AF6733">
        <v>-4.7083569207618003</v>
      </c>
      <c r="AG6733">
        <v>-1.119968316682</v>
      </c>
      <c r="AH6733">
        <v>14.8019570653346</v>
      </c>
      <c r="AI6733">
        <v>94.124097009984098</v>
      </c>
      <c r="AJ6733">
        <v>107.645355365469</v>
      </c>
      <c r="AK6733">
        <v>15.5730821255032</v>
      </c>
      <c r="AL6733">
        <v>78.277986549704394</v>
      </c>
      <c r="AM6733">
        <v>97.826815435099604</v>
      </c>
      <c r="AN6733">
        <v>0.99999997626588899</v>
      </c>
    </row>
    <row r="6734" spans="1:40" x14ac:dyDescent="0.25">
      <c r="A6734" t="str">
        <f>"20190312172538828"</f>
        <v>20190312172538828</v>
      </c>
      <c r="B6734" t="str">
        <f>"1552382738816929"</f>
        <v>1552382738816929</v>
      </c>
      <c r="C6734" t="s">
        <v>40</v>
      </c>
      <c r="D6734">
        <v>3.427832</v>
      </c>
      <c r="E6734">
        <v>0.43167080000000002</v>
      </c>
      <c r="F6734" t="s">
        <v>50</v>
      </c>
      <c r="G6734">
        <v>-195.69759999999999</v>
      </c>
      <c r="H6734" s="1">
        <v>-9.3784850000000007E-6</v>
      </c>
      <c r="I6734">
        <v>-53.114519999999999</v>
      </c>
      <c r="J6734">
        <v>-208.9384</v>
      </c>
      <c r="K6734">
        <v>1.1200410000000001</v>
      </c>
      <c r="L6734">
        <v>-61.714019999999998</v>
      </c>
      <c r="M6734">
        <v>0.96455630000000003</v>
      </c>
      <c r="N6734">
        <v>0</v>
      </c>
      <c r="O6734">
        <v>0.263432</v>
      </c>
      <c r="P6734">
        <v>0.90472169999999996</v>
      </c>
      <c r="Q6734">
        <v>0.19112390000000001</v>
      </c>
      <c r="R6734">
        <v>0.38072339999999999</v>
      </c>
      <c r="S6734">
        <v>2.647141</v>
      </c>
      <c r="T6734">
        <v>-0.22150300000000001</v>
      </c>
      <c r="U6734">
        <v>1.7094419999999999</v>
      </c>
      <c r="V6734">
        <v>-0.1336292</v>
      </c>
      <c r="W6734">
        <v>0.20298240000000001</v>
      </c>
      <c r="X6734">
        <v>0.97002129999999998</v>
      </c>
      <c r="Y6734">
        <v>-0.30189270000000001</v>
      </c>
      <c r="Z6734">
        <v>-8.02924E-3</v>
      </c>
      <c r="AA6734">
        <v>0.95330809999999999</v>
      </c>
      <c r="AB6734">
        <v>31</v>
      </c>
      <c r="AC6734">
        <v>13.2408</v>
      </c>
      <c r="AD6734">
        <v>-1.120050378485</v>
      </c>
      <c r="AE6734">
        <v>8.5994999999999902</v>
      </c>
      <c r="AF6734">
        <v>-4.7831433647574899</v>
      </c>
      <c r="AG6734">
        <v>-1.120050378485</v>
      </c>
      <c r="AH6734">
        <v>14.963338977645</v>
      </c>
      <c r="AI6734">
        <v>94.078222653584206</v>
      </c>
      <c r="AJ6734">
        <v>107.726868300492</v>
      </c>
      <c r="AK6734">
        <v>15.7491106624494</v>
      </c>
      <c r="AL6734">
        <v>78.288583547433404</v>
      </c>
      <c r="AM6734">
        <v>97.843642323564893</v>
      </c>
      <c r="AN6734">
        <v>0.99999997012804398</v>
      </c>
    </row>
    <row r="6735" spans="1:40" x14ac:dyDescent="0.25">
      <c r="A6735" t="str">
        <f>"20190312172538839"</f>
        <v>20190312172538839</v>
      </c>
      <c r="B6735" t="str">
        <f>"1552382738826689"</f>
        <v>1552382738826689</v>
      </c>
      <c r="C6735" t="s">
        <v>40</v>
      </c>
      <c r="D6735">
        <v>3.3985089999999998</v>
      </c>
      <c r="E6735">
        <v>0.43187569999999997</v>
      </c>
      <c r="F6735" t="s">
        <v>50</v>
      </c>
      <c r="G6735">
        <v>-195.70779999999999</v>
      </c>
      <c r="H6735" s="1">
        <v>-9.40165E-6</v>
      </c>
      <c r="I6735">
        <v>-53.053629999999998</v>
      </c>
      <c r="J6735">
        <v>-208.79130000000001</v>
      </c>
      <c r="K6735">
        <v>1.120128</v>
      </c>
      <c r="L6735">
        <v>-61.668520000000001</v>
      </c>
      <c r="M6735">
        <v>0.96298079999999997</v>
      </c>
      <c r="N6735">
        <v>0</v>
      </c>
      <c r="O6735">
        <v>0.26913330000000002</v>
      </c>
      <c r="P6735">
        <v>0.90247480000000002</v>
      </c>
      <c r="Q6735">
        <v>0.19093109999999999</v>
      </c>
      <c r="R6735">
        <v>0.38611479999999998</v>
      </c>
      <c r="S6735">
        <v>2.636765</v>
      </c>
      <c r="T6735">
        <v>-0.22321769999999999</v>
      </c>
      <c r="U6735">
        <v>1.7259519999999999</v>
      </c>
      <c r="V6735">
        <v>-0.13370850000000001</v>
      </c>
      <c r="W6735">
        <v>0.20277880000000001</v>
      </c>
      <c r="X6735">
        <v>0.97005300000000005</v>
      </c>
      <c r="Y6735">
        <v>-0.30216229999999999</v>
      </c>
      <c r="Z6735">
        <v>-8.5011300000000008E-3</v>
      </c>
      <c r="AA6735">
        <v>0.95321860000000003</v>
      </c>
      <c r="AB6735">
        <v>31</v>
      </c>
      <c r="AC6735">
        <v>13.083500000000001</v>
      </c>
      <c r="AD6735">
        <v>-1.1201374016500001</v>
      </c>
      <c r="AE6735">
        <v>8.6148899999999795</v>
      </c>
      <c r="AF6735">
        <v>-4.75103766846863</v>
      </c>
      <c r="AG6735">
        <v>-1.1201374016500001</v>
      </c>
      <c r="AH6735">
        <v>14.8435724517332</v>
      </c>
      <c r="AI6735">
        <v>94.110839201756605</v>
      </c>
      <c r="AJ6735">
        <v>107.74850379780599</v>
      </c>
      <c r="AK6735">
        <v>15.625578704663599</v>
      </c>
      <c r="AL6735">
        <v>78.300497238672804</v>
      </c>
      <c r="AM6735">
        <v>97.847985738895602</v>
      </c>
      <c r="AN6735">
        <v>1.00000001375534</v>
      </c>
    </row>
    <row r="6736" spans="1:40" x14ac:dyDescent="0.25">
      <c r="A6736" t="str">
        <f>"20190312172538851"</f>
        <v>20190312172538851</v>
      </c>
      <c r="B6736" t="str">
        <f>"1552382738847186"</f>
        <v>1552382738847186</v>
      </c>
      <c r="C6736" t="s">
        <v>40</v>
      </c>
      <c r="D6736">
        <v>3.5095649999999998</v>
      </c>
      <c r="E6736">
        <v>0.43250880000000003</v>
      </c>
      <c r="F6736" t="s">
        <v>50</v>
      </c>
      <c r="G6736">
        <v>-195.65729999999999</v>
      </c>
      <c r="H6736" s="1">
        <v>-9.4277520000000001E-6</v>
      </c>
      <c r="I6736">
        <v>-52.967959999999998</v>
      </c>
      <c r="J6736">
        <v>-208.6437</v>
      </c>
      <c r="K6736">
        <v>1.120193</v>
      </c>
      <c r="L6736">
        <v>-61.621369999999999</v>
      </c>
      <c r="M6736">
        <v>0.96135749999999998</v>
      </c>
      <c r="N6736">
        <v>0</v>
      </c>
      <c r="O6736">
        <v>0.27487669999999997</v>
      </c>
      <c r="P6736">
        <v>0.90003159999999904</v>
      </c>
      <c r="Q6736">
        <v>0.19076019999999999</v>
      </c>
      <c r="R6736">
        <v>0.39185969999999998</v>
      </c>
      <c r="S6736">
        <v>2.6270289999999998</v>
      </c>
      <c r="T6736">
        <v>-0.2240472</v>
      </c>
      <c r="U6736">
        <v>1.740265</v>
      </c>
      <c r="V6736">
        <v>-0.1341271</v>
      </c>
      <c r="W6736">
        <v>0.20255100000000001</v>
      </c>
      <c r="X6736">
        <v>0.97004279999999998</v>
      </c>
      <c r="Y6736">
        <v>-0.30172120000000002</v>
      </c>
      <c r="Z6736">
        <v>-8.9751559999999998E-3</v>
      </c>
      <c r="AA6736">
        <v>0.95335389999999998</v>
      </c>
      <c r="AB6736">
        <v>31</v>
      </c>
      <c r="AC6736">
        <v>12.9864</v>
      </c>
      <c r="AD6736">
        <v>-1.120202427752</v>
      </c>
      <c r="AE6736">
        <v>8.6534099999999992</v>
      </c>
      <c r="AF6736">
        <v>-4.7255689737735498</v>
      </c>
      <c r="AG6736">
        <v>-1.120202427752</v>
      </c>
      <c r="AH6736">
        <v>14.788733757203101</v>
      </c>
      <c r="AI6736">
        <v>94.126907582795994</v>
      </c>
      <c r="AJ6736">
        <v>107.72067965136701</v>
      </c>
      <c r="AK6736">
        <v>15.565747709200201</v>
      </c>
      <c r="AL6736">
        <v>78.313825767393297</v>
      </c>
      <c r="AM6736">
        <v>97.872329518490602</v>
      </c>
      <c r="AN6736">
        <v>1.0000000101936199</v>
      </c>
    </row>
    <row r="6737" spans="1:40" x14ac:dyDescent="0.25">
      <c r="A6737" t="str">
        <f>"20190312172538862"</f>
        <v>20190312172538862</v>
      </c>
      <c r="B6737" t="str">
        <f>"1552382738856946"</f>
        <v>1552382738856946</v>
      </c>
      <c r="C6737" t="s">
        <v>40</v>
      </c>
      <c r="D6737">
        <v>3.4900850000000001</v>
      </c>
      <c r="E6737">
        <v>0.4329209</v>
      </c>
      <c r="F6737" t="s">
        <v>50</v>
      </c>
      <c r="G6737">
        <v>-195.56899999999999</v>
      </c>
      <c r="H6737" s="1">
        <v>-9.4551330000000006E-6</v>
      </c>
      <c r="I6737">
        <v>-52.868389999999998</v>
      </c>
      <c r="J6737">
        <v>-208.4872</v>
      </c>
      <c r="K6737">
        <v>1.1202449999999999</v>
      </c>
      <c r="L6737">
        <v>-61.570770000000003</v>
      </c>
      <c r="M6737">
        <v>0.95958690000000002</v>
      </c>
      <c r="N6737">
        <v>0</v>
      </c>
      <c r="O6737">
        <v>0.28099689999999999</v>
      </c>
      <c r="P6737">
        <v>0.89751059999999905</v>
      </c>
      <c r="Q6737">
        <v>0.19077150000000001</v>
      </c>
      <c r="R6737">
        <v>0.39759440000000001</v>
      </c>
      <c r="S6737">
        <v>2.6177519999999999</v>
      </c>
      <c r="T6737">
        <v>-0.22428049999999999</v>
      </c>
      <c r="U6737">
        <v>1.752472</v>
      </c>
      <c r="V6737">
        <v>-0.13417319999999999</v>
      </c>
      <c r="W6737">
        <v>0.20250940000000001</v>
      </c>
      <c r="X6737">
        <v>0.97004509999999999</v>
      </c>
      <c r="Y6737">
        <v>-0.3002937</v>
      </c>
      <c r="Z6737">
        <v>-9.4940660000000007E-3</v>
      </c>
      <c r="AA6737">
        <v>0.95379950000000002</v>
      </c>
      <c r="AB6737">
        <v>31</v>
      </c>
      <c r="AC6737">
        <v>12.918199999999899</v>
      </c>
      <c r="AD6737">
        <v>-1.120254455133</v>
      </c>
      <c r="AE6737">
        <v>8.7023799999999891</v>
      </c>
      <c r="AF6737">
        <v>-4.6969711572111201</v>
      </c>
      <c r="AG6737">
        <v>-1.120254455133</v>
      </c>
      <c r="AH6737">
        <v>14.766826750669299</v>
      </c>
      <c r="AI6737">
        <v>94.134943785359397</v>
      </c>
      <c r="AJ6737">
        <v>107.644611350001</v>
      </c>
      <c r="AK6737">
        <v>15.536269834815601</v>
      </c>
      <c r="AL6737">
        <v>78.3162595963298</v>
      </c>
      <c r="AM6737">
        <v>97.874982888799906</v>
      </c>
      <c r="AN6737">
        <v>1.0000000003603</v>
      </c>
    </row>
    <row r="6738" spans="1:40" x14ac:dyDescent="0.25">
      <c r="A6738" t="str">
        <f>"20190312172538874"</f>
        <v>20190312172538874</v>
      </c>
      <c r="B6738" t="str">
        <f>"1552382738866705"</f>
        <v>1552382738866705</v>
      </c>
      <c r="C6738" t="s">
        <v>40</v>
      </c>
      <c r="D6738">
        <v>3.5004879999999998</v>
      </c>
      <c r="E6738">
        <v>0.43340050000000002</v>
      </c>
      <c r="F6738" t="s">
        <v>50</v>
      </c>
      <c r="G6738">
        <v>-195.40369999999999</v>
      </c>
      <c r="H6738" s="1">
        <v>-9.496558E-6</v>
      </c>
      <c r="I6738">
        <v>-52.709049999999998</v>
      </c>
      <c r="J6738">
        <v>-208.32820000000001</v>
      </c>
      <c r="K6738">
        <v>1.120279</v>
      </c>
      <c r="L6738">
        <v>-61.51764</v>
      </c>
      <c r="M6738">
        <v>0.9576867</v>
      </c>
      <c r="N6738">
        <v>0</v>
      </c>
      <c r="O6738">
        <v>0.28740559999999998</v>
      </c>
      <c r="P6738">
        <v>0.89476639999999996</v>
      </c>
      <c r="Q6738">
        <v>0.19063759999999999</v>
      </c>
      <c r="R6738">
        <v>0.40379520000000002</v>
      </c>
      <c r="S6738">
        <v>2.6076199999999998</v>
      </c>
      <c r="T6738">
        <v>-0.22327469999999999</v>
      </c>
      <c r="U6738">
        <v>1.766205</v>
      </c>
      <c r="V6738">
        <v>-0.1344168</v>
      </c>
      <c r="W6738">
        <v>0.2023665</v>
      </c>
      <c r="X6738">
        <v>0.97004120000000005</v>
      </c>
      <c r="Y6738">
        <v>-0.29909770000000002</v>
      </c>
      <c r="Z6738">
        <v>-9.9717E-3</v>
      </c>
      <c r="AA6738">
        <v>0.95417039999999997</v>
      </c>
      <c r="AB6738">
        <v>31</v>
      </c>
      <c r="AC6738">
        <v>12.9245</v>
      </c>
      <c r="AD6738">
        <v>-1.120288496558</v>
      </c>
      <c r="AE6738">
        <v>8.8085900000000006</v>
      </c>
      <c r="AF6738">
        <v>-4.6977479159862598</v>
      </c>
      <c r="AG6738">
        <v>-1.120288496558</v>
      </c>
      <c r="AH6738">
        <v>14.834898548327599</v>
      </c>
      <c r="AI6738">
        <v>94.117824724179101</v>
      </c>
      <c r="AJ6738">
        <v>107.571364233849</v>
      </c>
      <c r="AK6738">
        <v>15.6012210014744</v>
      </c>
      <c r="AL6738">
        <v>78.324620302307807</v>
      </c>
      <c r="AM6738">
        <v>97.889131875626902</v>
      </c>
      <c r="AN6738">
        <v>1.0000000030709599</v>
      </c>
    </row>
    <row r="6739" spans="1:40" x14ac:dyDescent="0.25">
      <c r="A6739" t="str">
        <f>"20190312172538885"</f>
        <v>20190312172538885</v>
      </c>
      <c r="B6739" t="str">
        <f>"1552382738877442"</f>
        <v>1552382738877442</v>
      </c>
      <c r="C6739" t="s">
        <v>40</v>
      </c>
      <c r="D6739">
        <v>3.507091</v>
      </c>
      <c r="E6739">
        <v>0.4338844</v>
      </c>
      <c r="F6739" t="s">
        <v>50</v>
      </c>
      <c r="G6739">
        <v>-195.28790000000001</v>
      </c>
      <c r="H6739" s="1">
        <v>-9.5337660000000004E-6</v>
      </c>
      <c r="I6739">
        <v>-52.57488</v>
      </c>
      <c r="J6739">
        <v>-208.1944</v>
      </c>
      <c r="K6739">
        <v>1.120303</v>
      </c>
      <c r="L6739">
        <v>-61.472320000000003</v>
      </c>
      <c r="M6739">
        <v>0.95603139999999998</v>
      </c>
      <c r="N6739">
        <v>0</v>
      </c>
      <c r="O6739">
        <v>0.2928635</v>
      </c>
      <c r="P6739">
        <v>0.89242129999999997</v>
      </c>
      <c r="Q6739">
        <v>0.1907433</v>
      </c>
      <c r="R6739">
        <v>0.4089026</v>
      </c>
      <c r="S6739">
        <v>2.5967410000000002</v>
      </c>
      <c r="T6739">
        <v>-0.2230856</v>
      </c>
      <c r="U6739">
        <v>1.7807919999999999</v>
      </c>
      <c r="V6739">
        <v>-0.13445860000000001</v>
      </c>
      <c r="W6739">
        <v>0.20247670000000001</v>
      </c>
      <c r="X6739">
        <v>0.9700124</v>
      </c>
      <c r="Y6739">
        <v>-0.299176</v>
      </c>
      <c r="Z6739">
        <v>-1.036699E-2</v>
      </c>
      <c r="AA6739">
        <v>0.95414160000000003</v>
      </c>
      <c r="AB6739">
        <v>31</v>
      </c>
      <c r="AC6739">
        <v>12.9064999999999</v>
      </c>
      <c r="AD6739">
        <v>-1.120312533766</v>
      </c>
      <c r="AE6739">
        <v>8.89743999999998</v>
      </c>
      <c r="AF6739">
        <v>-4.7029248933755996</v>
      </c>
      <c r="AG6739">
        <v>-1.120312533766</v>
      </c>
      <c r="AH6739">
        <v>14.8705608037913</v>
      </c>
      <c r="AI6739">
        <v>94.108555526065004</v>
      </c>
      <c r="AJ6739">
        <v>107.54994413765</v>
      </c>
      <c r="AK6739">
        <v>15.6366934274897</v>
      </c>
      <c r="AL6739">
        <v>78.318172711603694</v>
      </c>
      <c r="AM6739">
        <v>97.891785628861101</v>
      </c>
      <c r="AN6739">
        <v>0.99999999265530404</v>
      </c>
    </row>
    <row r="6740" spans="1:40" x14ac:dyDescent="0.25">
      <c r="A6740" t="str">
        <f>"20190312172538895"</f>
        <v>20190312172538895</v>
      </c>
      <c r="B6740" t="str">
        <f>"1552382738887202"</f>
        <v>1552382738887202</v>
      </c>
      <c r="C6740" t="s">
        <v>40</v>
      </c>
      <c r="D6740">
        <v>3.4567070000000002</v>
      </c>
      <c r="E6740">
        <v>0.4338844</v>
      </c>
      <c r="F6740" t="s">
        <v>50</v>
      </c>
      <c r="G6740">
        <v>-195.20310000000001</v>
      </c>
      <c r="H6740" s="1">
        <v>-9.5613999999999996E-6</v>
      </c>
      <c r="I6740">
        <v>-52.475569999999998</v>
      </c>
      <c r="J6740">
        <v>-208.0556</v>
      </c>
      <c r="K6740">
        <v>1.120325</v>
      </c>
      <c r="L6740">
        <v>-61.424160000000001</v>
      </c>
      <c r="M6740">
        <v>0.95424339999999996</v>
      </c>
      <c r="N6740">
        <v>0</v>
      </c>
      <c r="O6740">
        <v>0.29863650000000003</v>
      </c>
      <c r="P6740">
        <v>0.88990970000000003</v>
      </c>
      <c r="Q6740">
        <v>0.19081210000000001</v>
      </c>
      <c r="R6740">
        <v>0.41430859999999903</v>
      </c>
      <c r="S6740">
        <v>2.5881349999999999</v>
      </c>
      <c r="T6740">
        <v>-0.223188</v>
      </c>
      <c r="U6740">
        <v>1.7923279999999999</v>
      </c>
      <c r="V6740">
        <v>-0.1345065</v>
      </c>
      <c r="W6740">
        <v>0.202565</v>
      </c>
      <c r="X6740">
        <v>0.9699873</v>
      </c>
      <c r="Y6740">
        <v>-0.29778320000000003</v>
      </c>
      <c r="Z6740">
        <v>-1.085206E-2</v>
      </c>
      <c r="AA6740">
        <v>0.95457179999999997</v>
      </c>
      <c r="AB6740">
        <v>31</v>
      </c>
      <c r="AC6740">
        <v>12.8524999999999</v>
      </c>
      <c r="AD6740">
        <v>-1.1203345614</v>
      </c>
      <c r="AE6740">
        <v>8.9485899999999994</v>
      </c>
      <c r="AF6740">
        <v>-4.67752416741539</v>
      </c>
      <c r="AG6740">
        <v>-1.1203345614</v>
      </c>
      <c r="AH6740">
        <v>14.8624906070041</v>
      </c>
      <c r="AI6740">
        <v>94.112666831081199</v>
      </c>
      <c r="AJ6740">
        <v>107.46983543064999</v>
      </c>
      <c r="AK6740">
        <v>15.621395869432</v>
      </c>
      <c r="AL6740">
        <v>78.313006169536806</v>
      </c>
      <c r="AM6740">
        <v>97.894763292946806</v>
      </c>
      <c r="AN6740">
        <v>0.99999996996426899</v>
      </c>
    </row>
    <row r="6741" spans="1:40" x14ac:dyDescent="0.25">
      <c r="A6741" t="str">
        <f>"20190312172538906"</f>
        <v>20190312172538906</v>
      </c>
      <c r="B6741" t="str">
        <f>"1552382738896962"</f>
        <v>1552382738896962</v>
      </c>
      <c r="C6741" t="s">
        <v>40</v>
      </c>
      <c r="D6741">
        <v>3.522872</v>
      </c>
      <c r="E6741">
        <v>0.44045079999999998</v>
      </c>
      <c r="F6741" t="s">
        <v>50</v>
      </c>
      <c r="G6741">
        <v>-195.09979999999999</v>
      </c>
      <c r="H6741" s="1">
        <v>-9.6026830000000006E-6</v>
      </c>
      <c r="I6741">
        <v>-52.333649999999999</v>
      </c>
      <c r="J6741">
        <v>-207.9177</v>
      </c>
      <c r="K6741">
        <v>1.1203650000000001</v>
      </c>
      <c r="L6741">
        <v>-61.375369999999997</v>
      </c>
      <c r="M6741">
        <v>0.9524106</v>
      </c>
      <c r="N6741">
        <v>0</v>
      </c>
      <c r="O6741">
        <v>0.30442970000000003</v>
      </c>
      <c r="P6741">
        <v>0.88736919999999897</v>
      </c>
      <c r="Q6741">
        <v>0.19080530000000001</v>
      </c>
      <c r="R6741">
        <v>0.41972530000000002</v>
      </c>
      <c r="S6741">
        <v>2.5770569999999999</v>
      </c>
      <c r="T6741">
        <v>-0.22284590000000001</v>
      </c>
      <c r="U6741">
        <v>1.8081970000000001</v>
      </c>
      <c r="V6741">
        <v>-0.1345507</v>
      </c>
      <c r="W6741">
        <v>0.2025701</v>
      </c>
      <c r="X6741">
        <v>0.96998010000000001</v>
      </c>
      <c r="Y6741">
        <v>-0.29786319999999999</v>
      </c>
      <c r="Z6741">
        <v>-1.126188E-2</v>
      </c>
      <c r="AA6741">
        <v>0.95454220000000001</v>
      </c>
      <c r="AB6741">
        <v>31</v>
      </c>
      <c r="AC6741">
        <v>12.8179</v>
      </c>
      <c r="AD6741">
        <v>-1.1203746026829999</v>
      </c>
      <c r="AE6741">
        <v>9.0417199999999909</v>
      </c>
      <c r="AF6741">
        <v>-4.6859322912210697</v>
      </c>
      <c r="AG6741">
        <v>-1.1203746026829999</v>
      </c>
      <c r="AH6741">
        <v>14.886299141398601</v>
      </c>
      <c r="AI6741">
        <v>94.106185928692994</v>
      </c>
      <c r="AJ6741">
        <v>107.473040075322</v>
      </c>
      <c r="AK6741">
        <v>15.646568403821</v>
      </c>
      <c r="AL6741">
        <v>78.312707720015595</v>
      </c>
      <c r="AM6741">
        <v>97.897382733216403</v>
      </c>
      <c r="AN6741">
        <v>0.99999996534025404</v>
      </c>
    </row>
    <row r="6742" spans="1:40" x14ac:dyDescent="0.25">
      <c r="A6742" t="str">
        <f>"20190312172538917"</f>
        <v>20190312172538917</v>
      </c>
      <c r="B6742" t="str">
        <f>"1552382738906722"</f>
        <v>1552382738906722</v>
      </c>
      <c r="C6742" t="s">
        <v>40</v>
      </c>
      <c r="D6742">
        <v>3.405443</v>
      </c>
      <c r="E6742">
        <v>0.44092399999999998</v>
      </c>
      <c r="F6742" t="s">
        <v>50</v>
      </c>
      <c r="G6742">
        <v>-195.29259999999999</v>
      </c>
      <c r="H6742" s="1">
        <v>-9.4852259999999997E-6</v>
      </c>
      <c r="I6742">
        <v>-52.709679999999999</v>
      </c>
      <c r="J6742">
        <v>-207.77369999999999</v>
      </c>
      <c r="K6742">
        <v>1.120417</v>
      </c>
      <c r="L6742">
        <v>-61.323549999999997</v>
      </c>
      <c r="M6742">
        <v>0.95044139999999999</v>
      </c>
      <c r="N6742">
        <v>0</v>
      </c>
      <c r="O6742">
        <v>0.31052150000000001</v>
      </c>
      <c r="P6742">
        <v>0.88469109999999995</v>
      </c>
      <c r="Q6742">
        <v>0.19088579999999999</v>
      </c>
      <c r="R6742">
        <v>0.42530499999999999</v>
      </c>
      <c r="S6742">
        <v>2.5894620000000002</v>
      </c>
      <c r="T6742">
        <v>-0.22979430000000001</v>
      </c>
      <c r="U6742">
        <v>1.777374</v>
      </c>
      <c r="V6742">
        <v>-0.13448940000000001</v>
      </c>
      <c r="W6742">
        <v>0.2026588</v>
      </c>
      <c r="X6742">
        <v>0.96997009999999995</v>
      </c>
      <c r="Y6742">
        <v>-0.28192990000000001</v>
      </c>
      <c r="Z6742">
        <v>-1.269695E-2</v>
      </c>
      <c r="AA6742">
        <v>0.95935099999999995</v>
      </c>
      <c r="AB6742">
        <v>31</v>
      </c>
      <c r="AC6742">
        <v>12.4810999999999</v>
      </c>
      <c r="AD6742">
        <v>-1.120426485226</v>
      </c>
      <c r="AE6742">
        <v>8.6138699999999897</v>
      </c>
      <c r="AF6742">
        <v>-4.2884319920370499</v>
      </c>
      <c r="AG6742">
        <v>-1.120426485226</v>
      </c>
      <c r="AH6742">
        <v>14.460140474679999</v>
      </c>
      <c r="AI6742">
        <v>94.248458702988799</v>
      </c>
      <c r="AJ6742">
        <v>106.518733508897</v>
      </c>
      <c r="AK6742">
        <v>15.1242079794812</v>
      </c>
      <c r="AL6742">
        <v>78.307518249991503</v>
      </c>
      <c r="AM6742">
        <v>97.893910485632503</v>
      </c>
      <c r="AN6742">
        <v>0.99999999141190399</v>
      </c>
    </row>
    <row r="6743" spans="1:40" x14ac:dyDescent="0.25">
      <c r="A6743" t="str">
        <f>"20190312172538929"</f>
        <v>20190312172538929</v>
      </c>
      <c r="B6743" t="str">
        <f>"1552382738917458"</f>
        <v>1552382738917458</v>
      </c>
      <c r="C6743" t="s">
        <v>40</v>
      </c>
      <c r="D6743">
        <v>3.3996300000000002</v>
      </c>
      <c r="E6743">
        <v>0.44125880000000001</v>
      </c>
      <c r="F6743" t="s">
        <v>50</v>
      </c>
      <c r="G6743">
        <v>-195.4913</v>
      </c>
      <c r="H6743" s="1">
        <v>-9.4727929999999993E-6</v>
      </c>
      <c r="I6743">
        <v>-52.798470000000002</v>
      </c>
      <c r="J6743">
        <v>-207.6396</v>
      </c>
      <c r="K6743">
        <v>1.1204829999999999</v>
      </c>
      <c r="L6743">
        <v>-61.274050000000003</v>
      </c>
      <c r="M6743">
        <v>0.94855869999999998</v>
      </c>
      <c r="N6743">
        <v>0</v>
      </c>
      <c r="O6743">
        <v>0.31622499999999998</v>
      </c>
      <c r="P6743">
        <v>0.88198069999999895</v>
      </c>
      <c r="Q6743">
        <v>0.1911091</v>
      </c>
      <c r="R6743">
        <v>0.43079879999999998</v>
      </c>
      <c r="S6743">
        <v>2.5806879999999999</v>
      </c>
      <c r="T6743">
        <v>-0.23541590000000001</v>
      </c>
      <c r="U6743">
        <v>1.791229</v>
      </c>
      <c r="V6743">
        <v>-0.13475719999999999</v>
      </c>
      <c r="W6743">
        <v>0.20286979999999999</v>
      </c>
      <c r="X6743">
        <v>0.9698888</v>
      </c>
      <c r="Y6743">
        <v>-0.2811902</v>
      </c>
      <c r="Z6743">
        <v>-1.347889E-2</v>
      </c>
      <c r="AA6743">
        <v>0.9595574</v>
      </c>
      <c r="AB6743">
        <v>31</v>
      </c>
      <c r="AC6743">
        <v>12.148300000000001</v>
      </c>
      <c r="AD6743">
        <v>-1.1204924727929999</v>
      </c>
      <c r="AE6743">
        <v>8.4755800000000008</v>
      </c>
      <c r="AF6743">
        <v>-4.1746018304615102</v>
      </c>
      <c r="AG6743">
        <v>-1.1204924727929999</v>
      </c>
      <c r="AH6743">
        <v>14.1244373606343</v>
      </c>
      <c r="AI6743">
        <v>94.350498081249498</v>
      </c>
      <c r="AJ6743">
        <v>106.465508705704</v>
      </c>
      <c r="AK6743">
        <v>14.771003167658</v>
      </c>
      <c r="AL6743">
        <v>78.295172150880305</v>
      </c>
      <c r="AM6743">
        <v>97.910084982632497</v>
      </c>
      <c r="AN6743">
        <v>0.99999997153465903</v>
      </c>
    </row>
    <row r="6744" spans="1:40" x14ac:dyDescent="0.25">
      <c r="A6744" t="str">
        <f>"20190312172538939"</f>
        <v>20190312172538939</v>
      </c>
      <c r="B6744" t="str">
        <f>"1552382738927218"</f>
        <v>1552382738927218</v>
      </c>
      <c r="C6744" t="s">
        <v>40</v>
      </c>
      <c r="D6744">
        <v>3.3961510000000001</v>
      </c>
      <c r="E6744">
        <v>0.44175059999999999</v>
      </c>
      <c r="F6744" t="s">
        <v>50</v>
      </c>
      <c r="G6744">
        <v>-195.41130000000001</v>
      </c>
      <c r="H6744" s="1">
        <v>-9.5051350000000006E-6</v>
      </c>
      <c r="I6744">
        <v>-52.687539999999998</v>
      </c>
      <c r="J6744">
        <v>-207.4992</v>
      </c>
      <c r="K6744">
        <v>1.1205579999999999</v>
      </c>
      <c r="L6744">
        <v>-61.221649999999997</v>
      </c>
      <c r="M6744">
        <v>0.94654280000000002</v>
      </c>
      <c r="N6744">
        <v>0</v>
      </c>
      <c r="O6744">
        <v>0.32220769999999999</v>
      </c>
      <c r="P6744">
        <v>0.87928399999999995</v>
      </c>
      <c r="Q6744">
        <v>0.19136149999999999</v>
      </c>
      <c r="R6744">
        <v>0.43616579999999999</v>
      </c>
      <c r="S6744">
        <v>2.57077</v>
      </c>
      <c r="T6744">
        <v>-0.23556160000000001</v>
      </c>
      <c r="U6744">
        <v>1.805145</v>
      </c>
      <c r="V6744">
        <v>-0.13461329999999999</v>
      </c>
      <c r="W6744">
        <v>0.2031155</v>
      </c>
      <c r="X6744">
        <v>0.96985739999999998</v>
      </c>
      <c r="Y6744">
        <v>-0.2803678</v>
      </c>
      <c r="Z6744">
        <v>-1.3988479999999999E-2</v>
      </c>
      <c r="AA6744">
        <v>0.9597907</v>
      </c>
      <c r="AB6744">
        <v>31</v>
      </c>
      <c r="AC6744">
        <v>12.0878999999999</v>
      </c>
      <c r="AD6744">
        <v>-1.1205675051349999</v>
      </c>
      <c r="AE6744">
        <v>8.5341099999999894</v>
      </c>
      <c r="AF6744">
        <v>-4.1597296307488101</v>
      </c>
      <c r="AG6744">
        <v>-1.1205675051349999</v>
      </c>
      <c r="AH6744">
        <v>14.112232498340999</v>
      </c>
      <c r="AI6744">
        <v>94.355476786201507</v>
      </c>
      <c r="AJ6744">
        <v>106.42343809693099</v>
      </c>
      <c r="AK6744">
        <v>14.7551390444728</v>
      </c>
      <c r="AL6744">
        <v>78.2807957304246</v>
      </c>
      <c r="AM6744">
        <v>97.901997572411105</v>
      </c>
      <c r="AN6744">
        <v>1.00000001160595</v>
      </c>
    </row>
    <row r="6745" spans="1:40" x14ac:dyDescent="0.25">
      <c r="A6745" t="str">
        <f>"20190312172538953"</f>
        <v>20190312172538953</v>
      </c>
      <c r="B6745" t="str">
        <f>"1552382738946739"</f>
        <v>1552382738946739</v>
      </c>
      <c r="C6745" t="s">
        <v>40</v>
      </c>
      <c r="D6745">
        <v>3.4811359999999998</v>
      </c>
      <c r="E6745">
        <v>0.4426928</v>
      </c>
      <c r="F6745" t="s">
        <v>50</v>
      </c>
      <c r="G6745">
        <v>-195.33779999999999</v>
      </c>
      <c r="H6745" s="1">
        <v>-9.5322709999999992E-6</v>
      </c>
      <c r="I6745">
        <v>-52.592709999999997</v>
      </c>
      <c r="J6745">
        <v>-207.32769999999999</v>
      </c>
      <c r="K6745">
        <v>1.12066</v>
      </c>
      <c r="L6745">
        <v>-61.15549</v>
      </c>
      <c r="M6745">
        <v>0.94400669999999998</v>
      </c>
      <c r="N6745">
        <v>0</v>
      </c>
      <c r="O6745">
        <v>0.3295631</v>
      </c>
      <c r="P6745">
        <v>0.87584680000000004</v>
      </c>
      <c r="Q6745">
        <v>0.19167110000000001</v>
      </c>
      <c r="R6745">
        <v>0.44289339999999999</v>
      </c>
      <c r="S6745">
        <v>2.5616300000000001</v>
      </c>
      <c r="T6745">
        <v>-0.23603189999999999</v>
      </c>
      <c r="U6745">
        <v>1.817566</v>
      </c>
      <c r="V6745">
        <v>-0.134590299999999</v>
      </c>
      <c r="W6745">
        <v>0.20340539999999999</v>
      </c>
      <c r="X6745">
        <v>0.96979979999999999</v>
      </c>
      <c r="Y6745">
        <v>-0.2776343</v>
      </c>
      <c r="Z6745">
        <v>-1.469958E-2</v>
      </c>
      <c r="AA6745">
        <v>0.96057440000000005</v>
      </c>
      <c r="AB6745">
        <v>31</v>
      </c>
      <c r="AC6745">
        <v>11.9899</v>
      </c>
      <c r="AD6745">
        <v>-1.1206695322710001</v>
      </c>
      <c r="AE6745">
        <v>8.5627800000000001</v>
      </c>
      <c r="AF6745">
        <v>-4.1086177661693899</v>
      </c>
      <c r="AG6745">
        <v>-1.1206695322710001</v>
      </c>
      <c r="AH6745">
        <v>14.0608674665135</v>
      </c>
      <c r="AI6745">
        <v>94.374733787046594</v>
      </c>
      <c r="AJ6745">
        <v>106.288483926178</v>
      </c>
      <c r="AK6745">
        <v>14.6916518492612</v>
      </c>
      <c r="AL6745">
        <v>78.263831161860395</v>
      </c>
      <c r="AM6745">
        <v>97.901127813308094</v>
      </c>
      <c r="AN6745">
        <v>0.99999997884164404</v>
      </c>
    </row>
    <row r="6746" spans="1:40" x14ac:dyDescent="0.25">
      <c r="A6746" t="str">
        <f>"20190312172538964"</f>
        <v>20190312172538964</v>
      </c>
      <c r="B6746" t="str">
        <f>"1552382738956497"</f>
        <v>1552382738956497</v>
      </c>
      <c r="C6746" t="s">
        <v>40</v>
      </c>
      <c r="D6746">
        <v>3.4944630000000001</v>
      </c>
      <c r="E6746">
        <v>0.44303999999999999</v>
      </c>
      <c r="F6746" t="s">
        <v>50</v>
      </c>
      <c r="G6746">
        <v>-195.17339999999999</v>
      </c>
      <c r="H6746" s="1">
        <v>-9.5731529999999999E-6</v>
      </c>
      <c r="I6746">
        <v>-52.435090000000002</v>
      </c>
      <c r="J6746">
        <v>-207.19749999999999</v>
      </c>
      <c r="K6746">
        <v>1.120738</v>
      </c>
      <c r="L6746">
        <v>-61.104680000000002</v>
      </c>
      <c r="M6746">
        <v>0.94203570000000003</v>
      </c>
      <c r="N6746">
        <v>0</v>
      </c>
      <c r="O6746">
        <v>0.33515499999999998</v>
      </c>
      <c r="P6746">
        <v>0.87327469999999996</v>
      </c>
      <c r="Q6746">
        <v>0.19195100000000001</v>
      </c>
      <c r="R6746">
        <v>0.4478239</v>
      </c>
      <c r="S6746">
        <v>2.5511469999999998</v>
      </c>
      <c r="T6746">
        <v>-0.23522480000000001</v>
      </c>
      <c r="U6746">
        <v>1.8303830000000001</v>
      </c>
      <c r="V6746">
        <v>-0.1343782</v>
      </c>
      <c r="W6746">
        <v>0.20367479999999999</v>
      </c>
      <c r="X6746">
        <v>0.96977270000000004</v>
      </c>
      <c r="Y6746">
        <v>-0.27700609999999998</v>
      </c>
      <c r="Z6746">
        <v>-1.5117149999999999E-2</v>
      </c>
      <c r="AA6746">
        <v>0.96074919999999997</v>
      </c>
      <c r="AB6746">
        <v>31</v>
      </c>
      <c r="AC6746">
        <v>12.024100000000001</v>
      </c>
      <c r="AD6746">
        <v>-1.1207475731530001</v>
      </c>
      <c r="AE6746">
        <v>8.6695899999999995</v>
      </c>
      <c r="AF6746">
        <v>-4.1141053990697003</v>
      </c>
      <c r="AG6746">
        <v>-1.1207475731530001</v>
      </c>
      <c r="AH6746">
        <v>14.1535908837522</v>
      </c>
      <c r="AI6746">
        <v>94.348261468546895</v>
      </c>
      <c r="AJ6746">
        <v>106.207865706986</v>
      </c>
      <c r="AK6746">
        <v>14.7819509288191</v>
      </c>
      <c r="AL6746">
        <v>78.248065991274004</v>
      </c>
      <c r="AM6746">
        <v>97.889051040969505</v>
      </c>
      <c r="AN6746">
        <v>1.0000000072277799</v>
      </c>
    </row>
    <row r="6747" spans="1:40" x14ac:dyDescent="0.25">
      <c r="A6747" t="str">
        <f>"20190312172538975"</f>
        <v>20190312172538975</v>
      </c>
      <c r="B6747" t="str">
        <f>"1552382738967234"</f>
        <v>1552382738967234</v>
      </c>
      <c r="C6747" t="s">
        <v>40</v>
      </c>
      <c r="D6747">
        <v>3.478707</v>
      </c>
      <c r="E6747">
        <v>0.4434593</v>
      </c>
      <c r="F6747" t="s">
        <v>50</v>
      </c>
      <c r="G6747">
        <v>-194.9023</v>
      </c>
      <c r="H6747" s="1">
        <v>-9.634359E-6</v>
      </c>
      <c r="I6747">
        <v>-52.192270000000001</v>
      </c>
      <c r="J6747">
        <v>-207.0514</v>
      </c>
      <c r="K6747">
        <v>1.120824</v>
      </c>
      <c r="L6747">
        <v>-61.046109999999999</v>
      </c>
      <c r="M6747">
        <v>0.93976040000000005</v>
      </c>
      <c r="N6747">
        <v>0</v>
      </c>
      <c r="O6747">
        <v>0.34148200000000001</v>
      </c>
      <c r="P6747">
        <v>0.87014599999999898</v>
      </c>
      <c r="Q6747">
        <v>0.19217980000000001</v>
      </c>
      <c r="R6747">
        <v>0.45377640000000002</v>
      </c>
      <c r="S6747">
        <v>2.54155</v>
      </c>
      <c r="T6747">
        <v>-0.23166990000000001</v>
      </c>
      <c r="U6747">
        <v>1.842285</v>
      </c>
      <c r="V6747">
        <v>-0.1345499</v>
      </c>
      <c r="W6747">
        <v>0.2038806</v>
      </c>
      <c r="X6747">
        <v>0.96970559999999995</v>
      </c>
      <c r="Y6747">
        <v>-0.27523229999999999</v>
      </c>
      <c r="Z6747">
        <v>-1.544833E-2</v>
      </c>
      <c r="AA6747">
        <v>0.96125360000000004</v>
      </c>
      <c r="AB6747">
        <v>31</v>
      </c>
      <c r="AC6747">
        <v>12.149100000000001</v>
      </c>
      <c r="AD6747">
        <v>-1.120833634359</v>
      </c>
      <c r="AE6747">
        <v>8.8538399999999893</v>
      </c>
      <c r="AF6747">
        <v>-4.1492256236203504</v>
      </c>
      <c r="AG6747">
        <v>-1.120833634359</v>
      </c>
      <c r="AH6747">
        <v>14.3625659442393</v>
      </c>
      <c r="AI6747">
        <v>94.287596407047801</v>
      </c>
      <c r="AJ6747">
        <v>106.11356516671</v>
      </c>
      <c r="AK6747">
        <v>14.991852514423901</v>
      </c>
      <c r="AL6747">
        <v>78.236021267054198</v>
      </c>
      <c r="AM6747">
        <v>97.899543694540796</v>
      </c>
      <c r="AN6747">
        <v>0.99999996265886404</v>
      </c>
    </row>
    <row r="6748" spans="1:40" x14ac:dyDescent="0.25">
      <c r="A6748" t="str">
        <f>"20190312172538986"</f>
        <v>20190312172538986</v>
      </c>
      <c r="B6748" t="str">
        <f>"1552382738976994"</f>
        <v>1552382738976994</v>
      </c>
      <c r="C6748" t="s">
        <v>40</v>
      </c>
      <c r="D6748">
        <v>3.4830809999999999</v>
      </c>
      <c r="E6748">
        <v>0.44388240000000001</v>
      </c>
      <c r="F6748" t="s">
        <v>50</v>
      </c>
      <c r="G6748">
        <v>-194.66309999999999</v>
      </c>
      <c r="H6748" s="1">
        <v>-9.6969080000000005E-6</v>
      </c>
      <c r="I6748">
        <v>-51.954529999999998</v>
      </c>
      <c r="J6748">
        <v>-206.91630000000001</v>
      </c>
      <c r="K6748">
        <v>1.1208990000000001</v>
      </c>
      <c r="L6748">
        <v>-60.991059999999997</v>
      </c>
      <c r="M6748">
        <v>0.93760140000000003</v>
      </c>
      <c r="N6748">
        <v>0</v>
      </c>
      <c r="O6748">
        <v>0.34736600000000001</v>
      </c>
      <c r="P6748">
        <v>0.86725529999999995</v>
      </c>
      <c r="Q6748">
        <v>0.19215960000000001</v>
      </c>
      <c r="R6748">
        <v>0.45928570000000002</v>
      </c>
      <c r="S6748">
        <v>2.5299839999999998</v>
      </c>
      <c r="T6748">
        <v>-0.2289013</v>
      </c>
      <c r="U6748">
        <v>1.8567199999999999</v>
      </c>
      <c r="V6748">
        <v>-0.134661</v>
      </c>
      <c r="W6748">
        <v>0.2038423</v>
      </c>
      <c r="X6748">
        <v>0.96969830000000001</v>
      </c>
      <c r="Y6748">
        <v>-0.27487650000000002</v>
      </c>
      <c r="Z6748">
        <v>-1.5731769999999999E-2</v>
      </c>
      <c r="AA6748">
        <v>0.96135079999999995</v>
      </c>
      <c r="AB6748">
        <v>31</v>
      </c>
      <c r="AC6748">
        <v>12.2532</v>
      </c>
      <c r="AD6748">
        <v>-1.12090869690799</v>
      </c>
      <c r="AE6748">
        <v>9.0365300000000008</v>
      </c>
      <c r="AF6748">
        <v>-4.1940917114275598</v>
      </c>
      <c r="AG6748">
        <v>-1.12090869690799</v>
      </c>
      <c r="AH6748">
        <v>14.550491094775801</v>
      </c>
      <c r="AI6748">
        <v>94.233433091780896</v>
      </c>
      <c r="AJ6748">
        <v>106.07930895042099</v>
      </c>
      <c r="AK6748">
        <v>15.184321937110701</v>
      </c>
      <c r="AL6748">
        <v>78.238263578169594</v>
      </c>
      <c r="AM6748">
        <v>97.906042790709805</v>
      </c>
      <c r="AN6748">
        <v>1.0000000306065799</v>
      </c>
    </row>
    <row r="6749" spans="1:40" x14ac:dyDescent="0.25">
      <c r="A6749" t="str">
        <f>"20190312172538999"</f>
        <v>20190312172538999</v>
      </c>
      <c r="B6749" t="str">
        <f>"1552382738986754"</f>
        <v>1552382738986754</v>
      </c>
      <c r="C6749" t="s">
        <v>40</v>
      </c>
      <c r="D6749">
        <v>3.458793</v>
      </c>
      <c r="E6749">
        <v>0.4442506</v>
      </c>
      <c r="F6749" t="s">
        <v>50</v>
      </c>
      <c r="G6749">
        <v>-194.5437</v>
      </c>
      <c r="H6749" s="1">
        <v>-9.7372310000000004E-6</v>
      </c>
      <c r="I6749">
        <v>-51.81082</v>
      </c>
      <c r="J6749">
        <v>-206.75569999999999</v>
      </c>
      <c r="K6749">
        <v>1.120989</v>
      </c>
      <c r="L6749">
        <v>-60.924379999999999</v>
      </c>
      <c r="M6749">
        <v>0.93496520000000005</v>
      </c>
      <c r="N6749">
        <v>0</v>
      </c>
      <c r="O6749">
        <v>0.35439939999999998</v>
      </c>
      <c r="P6749">
        <v>0.86369640000000003</v>
      </c>
      <c r="Q6749">
        <v>0.19239020000000001</v>
      </c>
      <c r="R6749">
        <v>0.46584809999999999</v>
      </c>
      <c r="S6749">
        <v>2.5196839999999998</v>
      </c>
      <c r="T6749">
        <v>-0.22827459999999999</v>
      </c>
      <c r="U6749">
        <v>1.8695679999999999</v>
      </c>
      <c r="V6749">
        <v>-0.1347978</v>
      </c>
      <c r="W6749">
        <v>0.20405380000000001</v>
      </c>
      <c r="X6749">
        <v>0.96963480000000002</v>
      </c>
      <c r="Y6749">
        <v>-0.27271440000000002</v>
      </c>
      <c r="Z6749">
        <v>-1.6307700000000001E-2</v>
      </c>
      <c r="AA6749">
        <v>0.96195679999999995</v>
      </c>
      <c r="AB6749">
        <v>31</v>
      </c>
      <c r="AC6749">
        <v>12.2119999999999</v>
      </c>
      <c r="AD6749">
        <v>-1.120998737231</v>
      </c>
      <c r="AE6749">
        <v>9.1135599999999997</v>
      </c>
      <c r="AF6749">
        <v>-4.1708683965962496</v>
      </c>
      <c r="AG6749">
        <v>-1.120998737231</v>
      </c>
      <c r="AH6749">
        <v>14.570544166771199</v>
      </c>
      <c r="AI6749">
        <v>94.230191930128001</v>
      </c>
      <c r="AJ6749">
        <v>105.973951703026</v>
      </c>
      <c r="AK6749">
        <v>15.1971556110487</v>
      </c>
      <c r="AL6749">
        <v>78.225885258515902</v>
      </c>
      <c r="AM6749">
        <v>97.914484408564405</v>
      </c>
      <c r="AN6749">
        <v>1.00000002277515</v>
      </c>
    </row>
    <row r="6750" spans="1:40" x14ac:dyDescent="0.25">
      <c r="A6750" t="str">
        <f>"20190312172539010"</f>
        <v>20190312172539010</v>
      </c>
      <c r="B6750" t="str">
        <f>"1552382739007250"</f>
        <v>1552382739007250</v>
      </c>
      <c r="C6750" t="s">
        <v>40</v>
      </c>
      <c r="D6750">
        <v>3.4906380000000001</v>
      </c>
      <c r="E6750">
        <v>0.4447062</v>
      </c>
      <c r="F6750" t="s">
        <v>50</v>
      </c>
      <c r="G6750">
        <v>-194.38210000000001</v>
      </c>
      <c r="H6750" s="1">
        <v>-9.7915639999999994E-6</v>
      </c>
      <c r="I6750">
        <v>-51.616970000000002</v>
      </c>
      <c r="J6750">
        <v>-206.62090000000001</v>
      </c>
      <c r="K6750">
        <v>1.1210560000000001</v>
      </c>
      <c r="L6750">
        <v>-60.866819999999997</v>
      </c>
      <c r="M6750">
        <v>0.93267739999999999</v>
      </c>
      <c r="N6750">
        <v>0</v>
      </c>
      <c r="O6750">
        <v>0.36037649999999999</v>
      </c>
      <c r="P6750">
        <v>0.86069619999999902</v>
      </c>
      <c r="Q6750">
        <v>0.1924903</v>
      </c>
      <c r="R6750">
        <v>0.47132760000000001</v>
      </c>
      <c r="S6750">
        <v>2.5069430000000001</v>
      </c>
      <c r="T6750">
        <v>-0.2271183</v>
      </c>
      <c r="U6750">
        <v>1.8857120000000001</v>
      </c>
      <c r="V6750">
        <v>-0.13479749999999999</v>
      </c>
      <c r="W6750">
        <v>0.2041462</v>
      </c>
      <c r="X6750">
        <v>0.96961529999999996</v>
      </c>
      <c r="Y6750">
        <v>-0.27287159999999999</v>
      </c>
      <c r="Z6750">
        <v>-1.6677569999999999E-2</v>
      </c>
      <c r="AA6750">
        <v>0.96190589999999998</v>
      </c>
      <c r="AB6750">
        <v>31</v>
      </c>
      <c r="AC6750">
        <v>12.2387999999999</v>
      </c>
      <c r="AD6750">
        <v>-1.1210657915639901</v>
      </c>
      <c r="AE6750">
        <v>9.2498499999999897</v>
      </c>
      <c r="AF6750">
        <v>-4.1946596629264503</v>
      </c>
      <c r="AG6750">
        <v>-1.1210657915639901</v>
      </c>
      <c r="AH6750">
        <v>14.6717141325773</v>
      </c>
      <c r="AI6750">
        <v>94.201767533204006</v>
      </c>
      <c r="AJ6750">
        <v>105.955292895794</v>
      </c>
      <c r="AK6750">
        <v>15.3006912845422</v>
      </c>
      <c r="AL6750">
        <v>78.2204762243</v>
      </c>
      <c r="AM6750">
        <v>97.914624168977298</v>
      </c>
      <c r="AN6750">
        <v>0.99999993348738703</v>
      </c>
    </row>
    <row r="6751" spans="1:40" x14ac:dyDescent="0.25">
      <c r="A6751" t="str">
        <f>"20190312172539020"</f>
        <v>20190312172539020</v>
      </c>
      <c r="B6751" t="str">
        <f>"1552382739017010"</f>
        <v>1552382739017010</v>
      </c>
      <c r="C6751" t="s">
        <v>40</v>
      </c>
      <c r="D6751">
        <v>3.6562009999999998</v>
      </c>
      <c r="E6751">
        <v>0.4447062</v>
      </c>
      <c r="F6751" t="s">
        <v>50</v>
      </c>
      <c r="G6751">
        <v>-194.3759</v>
      </c>
      <c r="H6751" s="1">
        <v>-9.8130090000000004E-6</v>
      </c>
      <c r="I6751">
        <v>-51.556289999999997</v>
      </c>
      <c r="J6751">
        <v>-206.4819</v>
      </c>
      <c r="K6751">
        <v>1.1211199999999999</v>
      </c>
      <c r="L6751">
        <v>-60.807070000000003</v>
      </c>
      <c r="M6751">
        <v>0.93027029999999999</v>
      </c>
      <c r="N6751">
        <v>0</v>
      </c>
      <c r="O6751">
        <v>0.3665448</v>
      </c>
      <c r="P6751">
        <v>0.85743419999999904</v>
      </c>
      <c r="Q6751">
        <v>0.192574</v>
      </c>
      <c r="R6751">
        <v>0.47720220000000002</v>
      </c>
      <c r="S6751">
        <v>2.4969790000000001</v>
      </c>
      <c r="T6751">
        <v>-0.228606</v>
      </c>
      <c r="U6751">
        <v>1.89859</v>
      </c>
      <c r="V6751">
        <v>-0.13504929999999901</v>
      </c>
      <c r="W6751">
        <v>0.2042149</v>
      </c>
      <c r="X6751">
        <v>0.96956589999999998</v>
      </c>
      <c r="Y6751">
        <v>-0.2715129</v>
      </c>
      <c r="Z6751">
        <v>-1.730932E-2</v>
      </c>
      <c r="AA6751">
        <v>0.96227910000000005</v>
      </c>
      <c r="AB6751">
        <v>31</v>
      </c>
      <c r="AC6751">
        <v>12.1059999999999</v>
      </c>
      <c r="AD6751">
        <v>-1.1211298130089999</v>
      </c>
      <c r="AE6751">
        <v>9.25077999999999</v>
      </c>
      <c r="AF6751">
        <v>-4.1463876083796096</v>
      </c>
      <c r="AG6751">
        <v>-1.1211298130089999</v>
      </c>
      <c r="AH6751">
        <v>14.575528933936299</v>
      </c>
      <c r="AI6751">
        <v>94.231220057854799</v>
      </c>
      <c r="AJ6751">
        <v>105.879778490289</v>
      </c>
      <c r="AK6751">
        <v>15.1952461632103</v>
      </c>
      <c r="AL6751">
        <v>78.216456528861499</v>
      </c>
      <c r="AM6751">
        <v>97.929619570621199</v>
      </c>
      <c r="AN6751">
        <v>1.00000003662765</v>
      </c>
    </row>
    <row r="6752" spans="1:40" x14ac:dyDescent="0.25">
      <c r="A6752" t="str">
        <f>"20190312172539033"</f>
        <v>20190312172539033</v>
      </c>
      <c r="B6752" t="str">
        <f>"1552382739026770"</f>
        <v>1552382739026770</v>
      </c>
      <c r="C6752" t="s">
        <v>40</v>
      </c>
      <c r="D6752">
        <v>3.4720230000000001</v>
      </c>
      <c r="E6752">
        <v>0.4526172</v>
      </c>
      <c r="F6752" t="s">
        <v>50</v>
      </c>
      <c r="G6752">
        <v>-194.28899999999999</v>
      </c>
      <c r="H6752" s="1">
        <v>-9.8593370000000002E-6</v>
      </c>
      <c r="I6752">
        <v>-51.405009999999997</v>
      </c>
      <c r="J6752">
        <v>-206.3365</v>
      </c>
      <c r="K6752">
        <v>1.121181</v>
      </c>
      <c r="L6752">
        <v>-60.742489999999997</v>
      </c>
      <c r="M6752">
        <v>0.92766289999999996</v>
      </c>
      <c r="N6752">
        <v>0</v>
      </c>
      <c r="O6752">
        <v>0.37309389999999998</v>
      </c>
      <c r="P6752">
        <v>0.85396369999999899</v>
      </c>
      <c r="Q6752">
        <v>0.19282189999999999</v>
      </c>
      <c r="R6752">
        <v>0.4832863</v>
      </c>
      <c r="S6752">
        <v>2.48407</v>
      </c>
      <c r="T6752">
        <v>-0.2284098</v>
      </c>
      <c r="U6752">
        <v>1.915497</v>
      </c>
      <c r="V6752">
        <v>-0.1351639</v>
      </c>
      <c r="W6752">
        <v>0.20445659999999999</v>
      </c>
      <c r="X6752">
        <v>0.96949890000000005</v>
      </c>
      <c r="Y6752">
        <v>-0.27126840000000002</v>
      </c>
      <c r="Z6752">
        <v>-1.7805390000000001E-2</v>
      </c>
      <c r="AA6752">
        <v>0.96233900000000006</v>
      </c>
      <c r="AB6752">
        <v>31</v>
      </c>
      <c r="AC6752">
        <v>12.0474999999999</v>
      </c>
      <c r="AD6752">
        <v>-1.1211908593369999</v>
      </c>
      <c r="AE6752">
        <v>9.3374799999999993</v>
      </c>
      <c r="AF6752">
        <v>-4.1452616395883402</v>
      </c>
      <c r="AG6752">
        <v>-1.1211908593369999</v>
      </c>
      <c r="AH6752">
        <v>14.582651187398501</v>
      </c>
      <c r="AI6752">
        <v>94.229630101825506</v>
      </c>
      <c r="AJ6752">
        <v>105.86832041416901</v>
      </c>
      <c r="AK6752">
        <v>15.2017755100198</v>
      </c>
      <c r="AL6752">
        <v>78.202308605391195</v>
      </c>
      <c r="AM6752">
        <v>97.936804245995106</v>
      </c>
      <c r="AN6752">
        <v>0.99999994912398804</v>
      </c>
    </row>
    <row r="6753" spans="1:40" x14ac:dyDescent="0.25">
      <c r="A6753" t="str">
        <f>"20190312172539045"</f>
        <v>20190312172539045</v>
      </c>
      <c r="B6753" t="str">
        <f>"1552382739036530"</f>
        <v>1552382739036530</v>
      </c>
      <c r="C6753" t="s">
        <v>40</v>
      </c>
      <c r="D6753">
        <v>3.4980340000000001</v>
      </c>
      <c r="E6753">
        <v>0.45283119999999999</v>
      </c>
      <c r="F6753" t="s">
        <v>50</v>
      </c>
      <c r="G6753">
        <v>-193.47040000000001</v>
      </c>
      <c r="H6753" s="1">
        <v>-9.8953339999999996E-6</v>
      </c>
      <c r="I6753">
        <v>-51.08108</v>
      </c>
      <c r="J6753">
        <v>-206.19059999999999</v>
      </c>
      <c r="K6753">
        <v>1.121238</v>
      </c>
      <c r="L6753">
        <v>-60.677030000000002</v>
      </c>
      <c r="M6753">
        <v>0.92498530000000001</v>
      </c>
      <c r="N6753">
        <v>0</v>
      </c>
      <c r="O6753">
        <v>0.37968289999999999</v>
      </c>
      <c r="P6753">
        <v>0.85050400000000004</v>
      </c>
      <c r="Q6753">
        <v>0.19326940000000001</v>
      </c>
      <c r="R6753">
        <v>0.48917280000000002</v>
      </c>
      <c r="S6753">
        <v>2.4998629999999999</v>
      </c>
      <c r="T6753">
        <v>-0.2178456</v>
      </c>
      <c r="U6753">
        <v>1.877197</v>
      </c>
      <c r="V6753">
        <v>-0.13504189999999999</v>
      </c>
      <c r="W6753">
        <v>0.20490520000000001</v>
      </c>
      <c r="X6753">
        <v>0.96942130000000004</v>
      </c>
      <c r="Y6753">
        <v>-0.25209959999999998</v>
      </c>
      <c r="Z6753">
        <v>-1.817651E-2</v>
      </c>
      <c r="AA6753">
        <v>0.96753049999999996</v>
      </c>
      <c r="AB6753">
        <v>31</v>
      </c>
      <c r="AC6753">
        <v>12.720199999999901</v>
      </c>
      <c r="AD6753">
        <v>-1.1212478953339999</v>
      </c>
      <c r="AE6753">
        <v>9.5959500000000002</v>
      </c>
      <c r="AF6753">
        <v>-4.02702109441777</v>
      </c>
      <c r="AG6753">
        <v>-1.1212478953339999</v>
      </c>
      <c r="AH6753">
        <v>15.3353514975894</v>
      </c>
      <c r="AI6753">
        <v>94.045087816801001</v>
      </c>
      <c r="AJ6753">
        <v>104.713516465903</v>
      </c>
      <c r="AK6753">
        <v>15.894876573672899</v>
      </c>
      <c r="AL6753">
        <v>78.176051070895497</v>
      </c>
      <c r="AM6753">
        <v>97.930358275944201</v>
      </c>
      <c r="AN6753">
        <v>1.0000000563181599</v>
      </c>
    </row>
    <row r="6754" spans="1:40" x14ac:dyDescent="0.25">
      <c r="A6754" t="str">
        <f>"20190312172539055"</f>
        <v>20190312172539055</v>
      </c>
      <c r="B6754" t="str">
        <f>"1552382739047265"</f>
        <v>1552382739047265</v>
      </c>
      <c r="C6754" t="s">
        <v>40</v>
      </c>
      <c r="D6754">
        <v>3.6529099999999999</v>
      </c>
      <c r="E6754">
        <v>0.4524861</v>
      </c>
      <c r="F6754" t="s">
        <v>50</v>
      </c>
      <c r="G6754">
        <v>-193.5712</v>
      </c>
      <c r="H6754" s="1">
        <v>-9.9090010000000006E-6</v>
      </c>
      <c r="I6754">
        <v>-51.071170000000002</v>
      </c>
      <c r="J6754">
        <v>-206.05619999999999</v>
      </c>
      <c r="K6754">
        <v>1.1212899999999999</v>
      </c>
      <c r="L6754">
        <v>-60.615299999999998</v>
      </c>
      <c r="M6754">
        <v>0.92244760000000003</v>
      </c>
      <c r="N6754">
        <v>0</v>
      </c>
      <c r="O6754">
        <v>0.38580680000000001</v>
      </c>
      <c r="P6754">
        <v>0.84723539999999997</v>
      </c>
      <c r="Q6754">
        <v>0.1933889</v>
      </c>
      <c r="R6754">
        <v>0.49476560000000003</v>
      </c>
      <c r="S6754">
        <v>2.4882049999999998</v>
      </c>
      <c r="T6754">
        <v>-0.22107930000000001</v>
      </c>
      <c r="U6754">
        <v>1.894012</v>
      </c>
      <c r="V6754">
        <v>-0.135039299999999</v>
      </c>
      <c r="W6754">
        <v>0.2050265</v>
      </c>
      <c r="X6754">
        <v>0.96939589999999998</v>
      </c>
      <c r="Y6754">
        <v>-0.2520308</v>
      </c>
      <c r="Z6754">
        <v>-1.8898189999999999E-2</v>
      </c>
      <c r="AA6754">
        <v>0.96753469999999997</v>
      </c>
      <c r="AB6754">
        <v>31</v>
      </c>
      <c r="AC6754">
        <v>12.4849999999999</v>
      </c>
      <c r="AD6754">
        <v>-1.1212999090010001</v>
      </c>
      <c r="AE6754">
        <v>9.5441299999999902</v>
      </c>
      <c r="AF6754">
        <v>-3.9674490504029398</v>
      </c>
      <c r="AG6754">
        <v>-1.1212999090010001</v>
      </c>
      <c r="AH6754">
        <v>15.1238036589016</v>
      </c>
      <c r="AI6754">
        <v>94.1019341127015</v>
      </c>
      <c r="AJ6754">
        <v>104.699267828247</v>
      </c>
      <c r="AK6754">
        <v>15.675694643826001</v>
      </c>
      <c r="AL6754">
        <v>78.1689489975291</v>
      </c>
      <c r="AM6754">
        <v>97.9304126757944</v>
      </c>
      <c r="AN6754">
        <v>0.99999994459177299</v>
      </c>
    </row>
    <row r="6755" spans="1:40" x14ac:dyDescent="0.25">
      <c r="A6755" t="str">
        <f>"20190312172539065"</f>
        <v>20190312172539065</v>
      </c>
      <c r="B6755" t="str">
        <f>"1552382739057027"</f>
        <v>1552382739057027</v>
      </c>
      <c r="C6755" t="s">
        <v>40</v>
      </c>
      <c r="D6755">
        <v>3.496353</v>
      </c>
      <c r="E6755">
        <v>0.45308090000000001</v>
      </c>
      <c r="F6755" t="s">
        <v>50</v>
      </c>
      <c r="G6755">
        <v>-193.8751</v>
      </c>
      <c r="H6755" s="1">
        <v>-9.8941420000000006E-6</v>
      </c>
      <c r="I6755">
        <v>-51.19556</v>
      </c>
      <c r="J6755">
        <v>-205.93520000000001</v>
      </c>
      <c r="K6755">
        <v>1.121326</v>
      </c>
      <c r="L6755">
        <v>-60.558929999999997</v>
      </c>
      <c r="M6755">
        <v>0.92011299999999996</v>
      </c>
      <c r="N6755">
        <v>0</v>
      </c>
      <c r="O6755">
        <v>0.3913413</v>
      </c>
      <c r="P6755">
        <v>0.84440360000000003</v>
      </c>
      <c r="Q6755">
        <v>0.19340830000000001</v>
      </c>
      <c r="R6755">
        <v>0.49957600000000002</v>
      </c>
      <c r="S6755">
        <v>2.4751590000000001</v>
      </c>
      <c r="T6755">
        <v>-0.22784470000000001</v>
      </c>
      <c r="U6755">
        <v>1.9140630000000001</v>
      </c>
      <c r="V6755">
        <v>-0.13475090000000001</v>
      </c>
      <c r="W6755">
        <v>0.2050564</v>
      </c>
      <c r="X6755">
        <v>0.96942969999999895</v>
      </c>
      <c r="Y6755">
        <v>-0.25361929999999999</v>
      </c>
      <c r="Z6755">
        <v>-1.9831499999999998E-2</v>
      </c>
      <c r="AA6755">
        <v>0.96710079999999998</v>
      </c>
      <c r="AB6755">
        <v>31</v>
      </c>
      <c r="AC6755">
        <v>12.0601</v>
      </c>
      <c r="AD6755">
        <v>-1.121335894142</v>
      </c>
      <c r="AE6755">
        <v>9.3633699999999997</v>
      </c>
      <c r="AF6755">
        <v>-3.8753160671436002</v>
      </c>
      <c r="AG6755">
        <v>-1.121335894142</v>
      </c>
      <c r="AH6755">
        <v>14.683529814054801</v>
      </c>
      <c r="AI6755">
        <v>94.222975599890106</v>
      </c>
      <c r="AJ6755">
        <v>104.784534342727</v>
      </c>
      <c r="AK6755">
        <v>15.2276563071271</v>
      </c>
      <c r="AL6755">
        <v>78.167198582526694</v>
      </c>
      <c r="AM6755">
        <v>97.913418281003402</v>
      </c>
      <c r="AN6755">
        <v>0.99999993773692697</v>
      </c>
    </row>
    <row r="6756" spans="1:40" x14ac:dyDescent="0.25">
      <c r="A6756" t="str">
        <f>"20190312172539076"</f>
        <v>20190312172539076</v>
      </c>
      <c r="B6756" t="str">
        <f>"1552382739066787"</f>
        <v>1552382739066787</v>
      </c>
      <c r="C6756" t="s">
        <v>40</v>
      </c>
      <c r="D6756">
        <v>3.566875</v>
      </c>
      <c r="E6756">
        <v>0.45378239999999997</v>
      </c>
      <c r="F6756" t="s">
        <v>50</v>
      </c>
      <c r="G6756">
        <v>-193.80879999999999</v>
      </c>
      <c r="H6756" s="1">
        <v>-9.9227659999999996E-6</v>
      </c>
      <c r="I6756">
        <v>-51.098599999999998</v>
      </c>
      <c r="J6756">
        <v>-205.79560000000001</v>
      </c>
      <c r="K6756">
        <v>1.121373</v>
      </c>
      <c r="L6756">
        <v>-60.492710000000002</v>
      </c>
      <c r="M6756">
        <v>0.91735540000000004</v>
      </c>
      <c r="N6756">
        <v>0</v>
      </c>
      <c r="O6756">
        <v>0.3977619</v>
      </c>
      <c r="P6756">
        <v>0.84113289999999996</v>
      </c>
      <c r="Q6756">
        <v>0.19322429999999999</v>
      </c>
      <c r="R6756">
        <v>0.50513359999999996</v>
      </c>
      <c r="S6756">
        <v>2.466583</v>
      </c>
      <c r="T6756">
        <v>-0.22808619999999999</v>
      </c>
      <c r="U6756">
        <v>1.9242859999999999</v>
      </c>
      <c r="V6756">
        <v>-0.13436789999999901</v>
      </c>
      <c r="W6756">
        <v>0.2048884</v>
      </c>
      <c r="X6756">
        <v>0.9695184</v>
      </c>
      <c r="Y6756">
        <v>-0.25100099999999997</v>
      </c>
      <c r="Z6756">
        <v>-2.0440650000000001E-2</v>
      </c>
      <c r="AA6756">
        <v>0.96777100000000005</v>
      </c>
      <c r="AB6756">
        <v>31</v>
      </c>
      <c r="AC6756">
        <v>11.986800000000001</v>
      </c>
      <c r="AD6756">
        <v>-1.1213829227659999</v>
      </c>
      <c r="AE6756">
        <v>9.3941099999999906</v>
      </c>
      <c r="AF6756">
        <v>-3.8295528163961898</v>
      </c>
      <c r="AG6756">
        <v>-1.1213829227659999</v>
      </c>
      <c r="AH6756">
        <v>14.655118894847901</v>
      </c>
      <c r="AI6756">
        <v>94.234014728987006</v>
      </c>
      <c r="AJ6756">
        <v>104.64458533058399</v>
      </c>
      <c r="AK6756">
        <v>15.188663017368199</v>
      </c>
      <c r="AL6756">
        <v>78.177033331342102</v>
      </c>
      <c r="AM6756">
        <v>97.890497008157197</v>
      </c>
      <c r="AN6756">
        <v>0.99999995847176404</v>
      </c>
    </row>
    <row r="6757" spans="1:40" x14ac:dyDescent="0.25">
      <c r="A6757" t="str">
        <f>"20190312172539088"</f>
        <v>20190312172539088</v>
      </c>
      <c r="B6757" t="str">
        <f>"1552382739076546"</f>
        <v>1552382739076546</v>
      </c>
      <c r="C6757" t="s">
        <v>40</v>
      </c>
      <c r="D6757">
        <v>3.5765820000000001</v>
      </c>
      <c r="E6757">
        <v>0.45437319999999998</v>
      </c>
      <c r="F6757" t="s">
        <v>50</v>
      </c>
      <c r="G6757">
        <v>-193.6591</v>
      </c>
      <c r="H6757" s="1">
        <v>-9.9697629999999994E-6</v>
      </c>
      <c r="I6757">
        <v>-50.928220000000003</v>
      </c>
      <c r="J6757">
        <v>-205.67240000000001</v>
      </c>
      <c r="K6757">
        <v>1.1214090000000001</v>
      </c>
      <c r="L6757">
        <v>-60.433070000000001</v>
      </c>
      <c r="M6757">
        <v>0.91486299999999998</v>
      </c>
      <c r="N6757">
        <v>0</v>
      </c>
      <c r="O6757">
        <v>0.4034605</v>
      </c>
      <c r="P6757">
        <v>0.83813879999999996</v>
      </c>
      <c r="Q6757">
        <v>0.19328229999999999</v>
      </c>
      <c r="R6757">
        <v>0.51006379999999996</v>
      </c>
      <c r="S6757">
        <v>2.4562840000000001</v>
      </c>
      <c r="T6757">
        <v>-0.2269535</v>
      </c>
      <c r="U6757">
        <v>1.93573</v>
      </c>
      <c r="V6757">
        <v>-0.13405329999999999</v>
      </c>
      <c r="W6757">
        <v>0.20496030000000001</v>
      </c>
      <c r="X6757">
        <v>0.96954680000000004</v>
      </c>
      <c r="Y6757">
        <v>-0.24974460000000001</v>
      </c>
      <c r="Z6757">
        <v>-2.0825779999999999E-2</v>
      </c>
      <c r="AA6757">
        <v>0.9680877</v>
      </c>
      <c r="AB6757">
        <v>31</v>
      </c>
      <c r="AC6757">
        <v>12.013299999999999</v>
      </c>
      <c r="AD6757">
        <v>-1.1214189697629999</v>
      </c>
      <c r="AE6757">
        <v>9.5048499999999905</v>
      </c>
      <c r="AF6757">
        <v>-3.82869726131368</v>
      </c>
      <c r="AG6757">
        <v>-1.1214189697629999</v>
      </c>
      <c r="AH6757">
        <v>14.7481368912844</v>
      </c>
      <c r="AI6757">
        <v>94.209286348884703</v>
      </c>
      <c r="AJ6757">
        <v>104.553041511164</v>
      </c>
      <c r="AK6757">
        <v>15.278221263897199</v>
      </c>
      <c r="AL6757">
        <v>78.172824996296896</v>
      </c>
      <c r="AM6757">
        <v>97.872026917169194</v>
      </c>
      <c r="AN6757">
        <v>1.0000000046036099</v>
      </c>
    </row>
    <row r="6758" spans="1:40" x14ac:dyDescent="0.25">
      <c r="A6758" t="str">
        <f>"20190312172539098"</f>
        <v>20190312172539098</v>
      </c>
      <c r="B6758" t="str">
        <f>"1552382739087283"</f>
        <v>1552382739087283</v>
      </c>
      <c r="C6758" t="s">
        <v>40</v>
      </c>
      <c r="D6758">
        <v>3.5202749999999998</v>
      </c>
      <c r="E6758">
        <v>0.4551924</v>
      </c>
      <c r="F6758" t="s">
        <v>50</v>
      </c>
      <c r="G6758">
        <v>-193.7354</v>
      </c>
      <c r="H6758" s="1">
        <v>-9.9744030000000005E-6</v>
      </c>
      <c r="I6758">
        <v>-50.936439999999997</v>
      </c>
      <c r="J6758">
        <v>-205.54060000000001</v>
      </c>
      <c r="K6758">
        <v>1.1214519999999999</v>
      </c>
      <c r="L6758">
        <v>-60.36853</v>
      </c>
      <c r="M6758">
        <v>0.91214470000000003</v>
      </c>
      <c r="N6758">
        <v>0</v>
      </c>
      <c r="O6758">
        <v>0.4095686</v>
      </c>
      <c r="P6758">
        <v>0.8350225</v>
      </c>
      <c r="Q6758">
        <v>0.19277910000000001</v>
      </c>
      <c r="R6758">
        <v>0.51533850000000003</v>
      </c>
      <c r="S6758">
        <v>2.4474490000000002</v>
      </c>
      <c r="T6758">
        <v>-0.22992660000000001</v>
      </c>
      <c r="U6758">
        <v>1.9471130000000001</v>
      </c>
      <c r="V6758">
        <v>-0.13363989999999901</v>
      </c>
      <c r="W6758">
        <v>0.2044763</v>
      </c>
      <c r="X6758">
        <v>0.96970610000000002</v>
      </c>
      <c r="Y6758">
        <v>-0.24775649999999999</v>
      </c>
      <c r="Z6758">
        <v>-2.164017E-2</v>
      </c>
      <c r="AA6758">
        <v>0.96858060000000001</v>
      </c>
      <c r="AB6758">
        <v>31</v>
      </c>
      <c r="AC6758">
        <v>11.805199999999999</v>
      </c>
      <c r="AD6758">
        <v>-1.1214619744030001</v>
      </c>
      <c r="AE6758">
        <v>9.4320900000000005</v>
      </c>
      <c r="AF6758">
        <v>-3.74820854829817</v>
      </c>
      <c r="AG6758">
        <v>-1.1214619744030001</v>
      </c>
      <c r="AH6758">
        <v>14.552775634930599</v>
      </c>
      <c r="AI6758">
        <v>94.267856856680197</v>
      </c>
      <c r="AJ6758">
        <v>104.443173011561</v>
      </c>
      <c r="AK6758">
        <v>15.0695063941125</v>
      </c>
      <c r="AL6758">
        <v>78.201156728247</v>
      </c>
      <c r="AM6758">
        <v>97.846780559755004</v>
      </c>
      <c r="AN6758">
        <v>1.00000005025545</v>
      </c>
    </row>
    <row r="6759" spans="1:40" x14ac:dyDescent="0.25">
      <c r="A6759" t="str">
        <f>"20190312172539107"</f>
        <v>20190312172539107</v>
      </c>
      <c r="B6759" t="str">
        <f>"1552382739097042"</f>
        <v>1552382739097042</v>
      </c>
      <c r="C6759" t="s">
        <v>40</v>
      </c>
      <c r="D6759">
        <v>3.5077370000000001</v>
      </c>
      <c r="E6759">
        <v>0.45464209999999999</v>
      </c>
      <c r="F6759" t="s">
        <v>50</v>
      </c>
      <c r="G6759">
        <v>-193.81880000000001</v>
      </c>
      <c r="H6759" s="1">
        <v>-9.9733410000000004E-6</v>
      </c>
      <c r="I6759">
        <v>-50.962269999999997</v>
      </c>
      <c r="J6759">
        <v>-205.42769999999999</v>
      </c>
      <c r="K6759">
        <v>1.1214820000000001</v>
      </c>
      <c r="L6759">
        <v>-60.312040000000003</v>
      </c>
      <c r="M6759">
        <v>0.9097653</v>
      </c>
      <c r="N6759">
        <v>0</v>
      </c>
      <c r="O6759">
        <v>0.41482669999999999</v>
      </c>
      <c r="P6759">
        <v>0.83223749999999996</v>
      </c>
      <c r="Q6759">
        <v>0.19245770000000001</v>
      </c>
      <c r="R6759">
        <v>0.5199433</v>
      </c>
      <c r="S6759">
        <v>2.4387819999999998</v>
      </c>
      <c r="T6759">
        <v>-0.23332720000000001</v>
      </c>
      <c r="U6759">
        <v>1.957031</v>
      </c>
      <c r="V6759">
        <v>-0.1333722</v>
      </c>
      <c r="W6759">
        <v>0.20416860000000001</v>
      </c>
      <c r="X6759">
        <v>0.96980770000000005</v>
      </c>
      <c r="Y6759">
        <v>-0.24626590000000001</v>
      </c>
      <c r="Z6759">
        <v>-2.243011E-2</v>
      </c>
      <c r="AA6759">
        <v>0.96894270000000005</v>
      </c>
      <c r="AB6759">
        <v>31</v>
      </c>
      <c r="AC6759">
        <v>11.608899999999901</v>
      </c>
      <c r="AD6759">
        <v>-1.12149197334099</v>
      </c>
      <c r="AE6759">
        <v>9.3497699999999995</v>
      </c>
      <c r="AF6759">
        <v>-3.6700927921364799</v>
      </c>
      <c r="AG6759">
        <v>-1.12149197334099</v>
      </c>
      <c r="AH6759">
        <v>14.3603930347786</v>
      </c>
      <c r="AI6759">
        <v>94.326995597947302</v>
      </c>
      <c r="AJ6759">
        <v>104.336239043017</v>
      </c>
      <c r="AK6759">
        <v>14.8643268755258</v>
      </c>
      <c r="AL6759">
        <v>78.219165597800995</v>
      </c>
      <c r="AM6759">
        <v>97.830447302766004</v>
      </c>
      <c r="AN6759">
        <v>0.999999967969044</v>
      </c>
    </row>
    <row r="6760" spans="1:40" x14ac:dyDescent="0.25">
      <c r="A6760" t="str">
        <f>"20190312172539119"</f>
        <v>20190312172539119</v>
      </c>
      <c r="B6760" t="str">
        <f>"1552382739106802"</f>
        <v>1552382739106802</v>
      </c>
      <c r="C6760" t="s">
        <v>40</v>
      </c>
      <c r="D6760">
        <v>3.4654919999999998</v>
      </c>
      <c r="E6760">
        <v>0.45464209999999999</v>
      </c>
      <c r="F6760" t="s">
        <v>50</v>
      </c>
      <c r="G6760">
        <v>-193.8623</v>
      </c>
      <c r="H6760" s="1">
        <v>-1.00012E-5</v>
      </c>
      <c r="I6760">
        <v>-50.897590000000001</v>
      </c>
      <c r="J6760">
        <v>-205.29140000000001</v>
      </c>
      <c r="K6760">
        <v>1.121515</v>
      </c>
      <c r="L6760">
        <v>-60.243130000000001</v>
      </c>
      <c r="M6760">
        <v>0.9068387</v>
      </c>
      <c r="N6760">
        <v>0</v>
      </c>
      <c r="O6760">
        <v>0.42118539999999999</v>
      </c>
      <c r="P6760">
        <v>0.82879040000000004</v>
      </c>
      <c r="Q6760">
        <v>0.1921417</v>
      </c>
      <c r="R6760">
        <v>0.52553609999999995</v>
      </c>
      <c r="S6760">
        <v>2.4255680000000002</v>
      </c>
      <c r="T6760">
        <v>-0.2352062</v>
      </c>
      <c r="U6760">
        <v>1.9744569999999999</v>
      </c>
      <c r="V6760">
        <v>-0.1330884</v>
      </c>
      <c r="W6760">
        <v>0.20386799999999999</v>
      </c>
      <c r="X6760">
        <v>0.96991000000000005</v>
      </c>
      <c r="Y6760">
        <v>-0.2462743</v>
      </c>
      <c r="Z6760">
        <v>-2.3109729999999998E-2</v>
      </c>
      <c r="AA6760">
        <v>0.96892460000000002</v>
      </c>
      <c r="AB6760">
        <v>30</v>
      </c>
      <c r="AC6760">
        <v>11.4291</v>
      </c>
      <c r="AD6760">
        <v>-1.1215250012</v>
      </c>
      <c r="AE6760">
        <v>9.3455399999999997</v>
      </c>
      <c r="AF6760">
        <v>-3.6405695669300902</v>
      </c>
      <c r="AG6760">
        <v>-1.1215250012</v>
      </c>
      <c r="AH6760">
        <v>14.220255647781601</v>
      </c>
      <c r="AI6760">
        <v>94.369138661743193</v>
      </c>
      <c r="AJ6760">
        <v>104.360032768751</v>
      </c>
      <c r="AK6760">
        <v>14.721658730871299</v>
      </c>
      <c r="AL6760">
        <v>78.236759674584306</v>
      </c>
      <c r="AM6760">
        <v>97.813177115984402</v>
      </c>
      <c r="AN6760">
        <v>1.0000000458692699</v>
      </c>
    </row>
    <row r="6761" spans="1:40" x14ac:dyDescent="0.25">
      <c r="A6761" t="str">
        <f>"20190312172539131"</f>
        <v>20190312172539131</v>
      </c>
      <c r="B6761" t="str">
        <f>"1552382739127299"</f>
        <v>1552382739127299</v>
      </c>
      <c r="C6761" t="s">
        <v>40</v>
      </c>
      <c r="D6761">
        <v>3.4621599999999999</v>
      </c>
      <c r="E6761">
        <v>0.43841849999999999</v>
      </c>
      <c r="F6761" t="s">
        <v>50</v>
      </c>
      <c r="G6761">
        <v>-193.84049999999999</v>
      </c>
      <c r="H6761" s="1">
        <v>-1.0036449999999999E-5</v>
      </c>
      <c r="I6761">
        <v>-50.794640000000001</v>
      </c>
      <c r="J6761">
        <v>-205.1557</v>
      </c>
      <c r="K6761">
        <v>1.12154</v>
      </c>
      <c r="L6761">
        <v>-60.172820000000002</v>
      </c>
      <c r="M6761">
        <v>0.90385599999999999</v>
      </c>
      <c r="N6761">
        <v>0</v>
      </c>
      <c r="O6761">
        <v>0.42754819999999999</v>
      </c>
      <c r="P6761">
        <v>0.82527320000000004</v>
      </c>
      <c r="Q6761">
        <v>0.19195780000000001</v>
      </c>
      <c r="R6761">
        <v>0.53110849999999998</v>
      </c>
      <c r="S6761">
        <v>2.4123540000000001</v>
      </c>
      <c r="T6761">
        <v>-0.23627110000000001</v>
      </c>
      <c r="U6761">
        <v>1.9905090000000001</v>
      </c>
      <c r="V6761">
        <v>-0.13279479999999999</v>
      </c>
      <c r="W6761">
        <v>0.2037004</v>
      </c>
      <c r="X6761">
        <v>0.9699854</v>
      </c>
      <c r="Y6761">
        <v>-0.24592330000000001</v>
      </c>
      <c r="Z6761">
        <v>-2.3734729999999999E-2</v>
      </c>
      <c r="AA6761">
        <v>0.96899869999999999</v>
      </c>
      <c r="AB6761">
        <v>30</v>
      </c>
      <c r="AC6761">
        <v>11.315200000000001</v>
      </c>
      <c r="AD6761">
        <v>-1.12155003645</v>
      </c>
      <c r="AE6761">
        <v>9.3781799999999897</v>
      </c>
      <c r="AF6761">
        <v>-3.6181085063468799</v>
      </c>
      <c r="AG6761">
        <v>-1.12155003645</v>
      </c>
      <c r="AH6761">
        <v>14.1562481220002</v>
      </c>
      <c r="AI6761">
        <v>94.389364713651204</v>
      </c>
      <c r="AJ6761">
        <v>104.33695759390299</v>
      </c>
      <c r="AK6761">
        <v>14.654280758181001</v>
      </c>
      <c r="AL6761">
        <v>78.246567654177696</v>
      </c>
      <c r="AM6761">
        <v>97.795554461604397</v>
      </c>
      <c r="AN6761">
        <v>0.99999999404018003</v>
      </c>
    </row>
    <row r="6762" spans="1:40" x14ac:dyDescent="0.25">
      <c r="A6762" t="str">
        <f>"20190312172539141"</f>
        <v>20190312172539141</v>
      </c>
      <c r="B6762" t="str">
        <f>"1552382739137058"</f>
        <v>1552382739137058</v>
      </c>
      <c r="C6762" t="s">
        <v>40</v>
      </c>
      <c r="D6762">
        <v>3.5508500000000001</v>
      </c>
      <c r="E6762">
        <v>0.43798870000000001</v>
      </c>
      <c r="F6762" t="s">
        <v>50</v>
      </c>
      <c r="G6762">
        <v>-194.97290000000001</v>
      </c>
      <c r="H6762" s="1">
        <v>-1.0102049999999999E-5</v>
      </c>
      <c r="I6762">
        <v>-50.925330000000002</v>
      </c>
      <c r="J6762">
        <v>-205.02760000000001</v>
      </c>
      <c r="K6762">
        <v>1.1215660000000001</v>
      </c>
      <c r="L6762">
        <v>-60.106110000000001</v>
      </c>
      <c r="M6762">
        <v>0.9009954</v>
      </c>
      <c r="N6762">
        <v>0</v>
      </c>
      <c r="O6762">
        <v>0.43354340000000002</v>
      </c>
      <c r="P6762">
        <v>0.82165719999999998</v>
      </c>
      <c r="Q6762">
        <v>0.19206229999999999</v>
      </c>
      <c r="R6762">
        <v>0.53664849999999997</v>
      </c>
      <c r="S6762">
        <v>2.332001</v>
      </c>
      <c r="T6762">
        <v>-0.25684990000000002</v>
      </c>
      <c r="U6762">
        <v>2.1177980000000001</v>
      </c>
      <c r="V6762">
        <v>-0.13290099999999999</v>
      </c>
      <c r="W6762">
        <v>0.20380780000000001</v>
      </c>
      <c r="X6762">
        <v>0.96994829999999999</v>
      </c>
      <c r="Y6762">
        <v>-0.2851958</v>
      </c>
      <c r="Z6762">
        <v>-2.460586E-2</v>
      </c>
      <c r="AA6762">
        <v>0.95815340000000004</v>
      </c>
      <c r="AB6762">
        <v>30</v>
      </c>
      <c r="AC6762">
        <v>10.054699999999899</v>
      </c>
      <c r="AD6762">
        <v>-1.1215761020499999</v>
      </c>
      <c r="AE6762">
        <v>9.1807800000000004</v>
      </c>
      <c r="AF6762">
        <v>-3.8868016932537599</v>
      </c>
      <c r="AG6762">
        <v>-1.1215761020499999</v>
      </c>
      <c r="AH6762">
        <v>12.953223452515401</v>
      </c>
      <c r="AI6762">
        <v>94.740889555977105</v>
      </c>
      <c r="AJ6762">
        <v>106.702631262674</v>
      </c>
      <c r="AK6762">
        <v>13.57023058633</v>
      </c>
      <c r="AL6762">
        <v>78.240282302431794</v>
      </c>
      <c r="AM6762">
        <v>97.802006791868095</v>
      </c>
      <c r="AN6762">
        <v>0.99999999990736499</v>
      </c>
    </row>
    <row r="6763" spans="1:40" x14ac:dyDescent="0.25">
      <c r="A6763" t="str">
        <f>"20190312172539152"</f>
        <v>20190312172539152</v>
      </c>
      <c r="B6763" t="str">
        <f>"1552382739146817"</f>
        <v>1552382739146817</v>
      </c>
      <c r="C6763" t="s">
        <v>40</v>
      </c>
      <c r="D6763">
        <v>3.544937</v>
      </c>
      <c r="E6763">
        <v>0.43776340000000002</v>
      </c>
      <c r="F6763" t="s">
        <v>50</v>
      </c>
      <c r="G6763">
        <v>-194.7962</v>
      </c>
      <c r="H6763" s="1">
        <v>-1.017837E-5</v>
      </c>
      <c r="I6763">
        <v>-50.666890000000002</v>
      </c>
      <c r="J6763">
        <v>-204.88929999999999</v>
      </c>
      <c r="K6763">
        <v>1.121588</v>
      </c>
      <c r="L6763">
        <v>-60.031799999999997</v>
      </c>
      <c r="M6763">
        <v>0.89782770000000001</v>
      </c>
      <c r="N6763">
        <v>0</v>
      </c>
      <c r="O6763">
        <v>0.44006529999999999</v>
      </c>
      <c r="P6763">
        <v>0.81782619999999995</v>
      </c>
      <c r="Q6763">
        <v>0.1922864</v>
      </c>
      <c r="R6763">
        <v>0.54238949999999997</v>
      </c>
      <c r="S6763">
        <v>2.315369</v>
      </c>
      <c r="T6763">
        <v>-0.253810799999999</v>
      </c>
      <c r="U6763">
        <v>2.1360779999999999</v>
      </c>
      <c r="V6763">
        <v>-0.132696799999999</v>
      </c>
      <c r="W6763">
        <v>0.20404449999999999</v>
      </c>
      <c r="X6763">
        <v>0.96992650000000002</v>
      </c>
      <c r="Y6763">
        <v>-0.28576940000000001</v>
      </c>
      <c r="Z6763">
        <v>-2.4854569999999999E-2</v>
      </c>
      <c r="AA6763">
        <v>0.95797600000000005</v>
      </c>
      <c r="AB6763">
        <v>30</v>
      </c>
      <c r="AC6763">
        <v>10.0930999999999</v>
      </c>
      <c r="AD6763">
        <v>-1.12159817837</v>
      </c>
      <c r="AE6763">
        <v>9.3649099999999894</v>
      </c>
      <c r="AF6763">
        <v>-3.9407936465594799</v>
      </c>
      <c r="AG6763">
        <v>-1.12159817837</v>
      </c>
      <c r="AH6763">
        <v>13.097755960101299</v>
      </c>
      <c r="AI6763">
        <v>94.687857459551495</v>
      </c>
      <c r="AJ6763">
        <v>106.745252828555</v>
      </c>
      <c r="AK6763">
        <v>13.723667448202599</v>
      </c>
      <c r="AL6763">
        <v>78.226429373310594</v>
      </c>
      <c r="AM6763">
        <v>97.790339393086896</v>
      </c>
      <c r="AN6763">
        <v>1.0000000070563699</v>
      </c>
    </row>
    <row r="6764" spans="1:40" x14ac:dyDescent="0.25">
      <c r="A6764" t="str">
        <f>"20190312172539166"</f>
        <v>20190312172539166</v>
      </c>
      <c r="B6764" t="str">
        <f>"1552382739156578"</f>
        <v>1552382739156578</v>
      </c>
      <c r="C6764" t="s">
        <v>40</v>
      </c>
      <c r="D6764">
        <v>3.485201</v>
      </c>
      <c r="E6764">
        <v>0.43767489999999998</v>
      </c>
      <c r="F6764" t="s">
        <v>50</v>
      </c>
      <c r="G6764">
        <v>-194.61410000000001</v>
      </c>
      <c r="H6764" s="1">
        <v>-1.025516E-5</v>
      </c>
      <c r="I6764">
        <v>-50.405650000000001</v>
      </c>
      <c r="J6764">
        <v>-204.74379999999999</v>
      </c>
      <c r="K6764">
        <v>1.1216079999999999</v>
      </c>
      <c r="L6764">
        <v>-59.952820000000003</v>
      </c>
      <c r="M6764">
        <v>0.89443340000000005</v>
      </c>
      <c r="N6764">
        <v>0</v>
      </c>
      <c r="O6764">
        <v>0.44692349999999997</v>
      </c>
      <c r="P6764">
        <v>0.81369480000000005</v>
      </c>
      <c r="Q6764">
        <v>0.19256200000000001</v>
      </c>
      <c r="R6764">
        <v>0.54847129999999999</v>
      </c>
      <c r="S6764">
        <v>2.2989039999999998</v>
      </c>
      <c r="T6764">
        <v>-0.25093870000000001</v>
      </c>
      <c r="U6764">
        <v>2.1536870000000001</v>
      </c>
      <c r="V6764">
        <v>-0.13254759999999999</v>
      </c>
      <c r="W6764">
        <v>0.2043316</v>
      </c>
      <c r="X6764">
        <v>0.96988649999999998</v>
      </c>
      <c r="Y6764">
        <v>-0.28577520000000001</v>
      </c>
      <c r="Z6764">
        <v>-2.515916E-2</v>
      </c>
      <c r="AA6764">
        <v>0.9579664</v>
      </c>
      <c r="AB6764">
        <v>30</v>
      </c>
      <c r="AC6764">
        <v>10.1296999999999</v>
      </c>
      <c r="AD6764">
        <v>-1.12161825516</v>
      </c>
      <c r="AE6764">
        <v>9.5471699999999906</v>
      </c>
      <c r="AF6764">
        <v>-3.9867201824390799</v>
      </c>
      <c r="AG6764">
        <v>-1.12161825516</v>
      </c>
      <c r="AH6764">
        <v>13.2428689473674</v>
      </c>
      <c r="AI6764">
        <v>94.636578653495206</v>
      </c>
      <c r="AJ6764">
        <v>106.754240898257</v>
      </c>
      <c r="AK6764">
        <v>13.875357410911</v>
      </c>
      <c r="AL6764">
        <v>78.209626195791699</v>
      </c>
      <c r="AM6764">
        <v>97.782004563868099</v>
      </c>
      <c r="AN6764">
        <v>1.0000000459532801</v>
      </c>
    </row>
    <row r="6765" spans="1:40" x14ac:dyDescent="0.25">
      <c r="A6765" t="str">
        <f>"20190312172539177"</f>
        <v>20190312172539177</v>
      </c>
      <c r="B6765" t="str">
        <f>"1552382739167313"</f>
        <v>1552382739167313</v>
      </c>
      <c r="C6765" t="s">
        <v>40</v>
      </c>
      <c r="D6765">
        <v>3.4811580000000002</v>
      </c>
      <c r="E6765">
        <v>0.43780039999999998</v>
      </c>
      <c r="F6765" t="s">
        <v>50</v>
      </c>
      <c r="G6765">
        <v>-194.5547</v>
      </c>
      <c r="H6765" s="1">
        <v>-1.9706740000000002E-6</v>
      </c>
      <c r="I6765">
        <v>-50.256360000000001</v>
      </c>
      <c r="J6765">
        <v>-204.6122</v>
      </c>
      <c r="K6765">
        <v>1.121624</v>
      </c>
      <c r="L6765">
        <v>-59.880070000000003</v>
      </c>
      <c r="M6765">
        <v>0.89130159999999903</v>
      </c>
      <c r="N6765">
        <v>0</v>
      </c>
      <c r="O6765">
        <v>0.4531367</v>
      </c>
      <c r="P6765">
        <v>0.81006849999999997</v>
      </c>
      <c r="Q6765">
        <v>0.1928522</v>
      </c>
      <c r="R6765">
        <v>0.55371230000000005</v>
      </c>
      <c r="S6765">
        <v>2.2823329999999999</v>
      </c>
      <c r="T6765">
        <v>-0.25123970000000001</v>
      </c>
      <c r="U6765">
        <v>2.1719970000000002</v>
      </c>
      <c r="V6765">
        <v>-0.13210189999999999</v>
      </c>
      <c r="W6765">
        <v>0.20464099999999999</v>
      </c>
      <c r="X6765">
        <v>0.96988200000000002</v>
      </c>
      <c r="Y6765">
        <v>-0.28662870000000001</v>
      </c>
      <c r="Z6765">
        <v>-2.5683480000000002E-2</v>
      </c>
      <c r="AA6765">
        <v>0.95769749999999998</v>
      </c>
      <c r="AB6765">
        <v>30</v>
      </c>
      <c r="AC6765">
        <v>10.057499999999999</v>
      </c>
      <c r="AD6765">
        <v>-1.1216259706739999</v>
      </c>
      <c r="AE6765">
        <v>9.6237099999999902</v>
      </c>
      <c r="AF6765">
        <v>-3.9947695240826202</v>
      </c>
      <c r="AG6765">
        <v>-1.1216259706739999</v>
      </c>
      <c r="AH6765">
        <v>13.2408126776213</v>
      </c>
      <c r="AI6765">
        <v>94.636492291224201</v>
      </c>
      <c r="AJ6765">
        <v>106.788627565052</v>
      </c>
      <c r="AK6765">
        <v>13.8757107469307</v>
      </c>
      <c r="AL6765">
        <v>78.191515326807107</v>
      </c>
      <c r="AM6765">
        <v>97.7561916512457</v>
      </c>
      <c r="AN6765">
        <v>0.99999997239430405</v>
      </c>
    </row>
    <row r="6766" spans="1:40" x14ac:dyDescent="0.25">
      <c r="A6766" t="str">
        <f>"20190312172539188"</f>
        <v>20190312172539188</v>
      </c>
      <c r="B6766" t="str">
        <f>"1552382739177073"</f>
        <v>1552382739177073</v>
      </c>
      <c r="C6766" t="s">
        <v>40</v>
      </c>
      <c r="D6766">
        <v>3.5058280000000002</v>
      </c>
      <c r="E6766">
        <v>0.4381333</v>
      </c>
      <c r="F6766" t="s">
        <v>50</v>
      </c>
      <c r="G6766">
        <v>-194.4188</v>
      </c>
      <c r="H6766" s="1">
        <v>-2.0592320000000002E-6</v>
      </c>
      <c r="I6766">
        <v>-50.055689999999998</v>
      </c>
      <c r="J6766">
        <v>-204.48400000000001</v>
      </c>
      <c r="K6766">
        <v>1.121634</v>
      </c>
      <c r="L6766">
        <v>-59.807859999999998</v>
      </c>
      <c r="M6766">
        <v>0.88819020000000004</v>
      </c>
      <c r="N6766">
        <v>0</v>
      </c>
      <c r="O6766">
        <v>0.45920519999999998</v>
      </c>
      <c r="P6766">
        <v>0.80637320000000001</v>
      </c>
      <c r="Q6766">
        <v>0.1929389</v>
      </c>
      <c r="R6766">
        <v>0.55905009999999999</v>
      </c>
      <c r="S6766">
        <v>2.268402</v>
      </c>
      <c r="T6766">
        <v>-0.24960270000000001</v>
      </c>
      <c r="U6766">
        <v>2.1862789999999999</v>
      </c>
      <c r="V6766">
        <v>-0.13190760000000001</v>
      </c>
      <c r="W6766">
        <v>0.20474039999999999</v>
      </c>
      <c r="X6766">
        <v>0.96988750000000001</v>
      </c>
      <c r="Y6766">
        <v>-0.28616989999999998</v>
      </c>
      <c r="Z6766">
        <v>-2.6051120000000001E-2</v>
      </c>
      <c r="AA6766">
        <v>0.95782469999999997</v>
      </c>
      <c r="AB6766">
        <v>30</v>
      </c>
      <c r="AC6766">
        <v>10.065200000000001</v>
      </c>
      <c r="AD6766">
        <v>-1.121636059232</v>
      </c>
      <c r="AE6766">
        <v>9.7521699999999907</v>
      </c>
      <c r="AF6766">
        <v>-4.0145779673378996</v>
      </c>
      <c r="AG6766">
        <v>-1.121636059232</v>
      </c>
      <c r="AH6766">
        <v>13.3343192306542</v>
      </c>
      <c r="AI6766">
        <v>94.604958745117699</v>
      </c>
      <c r="AJ6766">
        <v>106.755529171972</v>
      </c>
      <c r="AK6766">
        <v>13.9706468372154</v>
      </c>
      <c r="AL6766">
        <v>78.185697316246603</v>
      </c>
      <c r="AM6766">
        <v>97.744878751758193</v>
      </c>
      <c r="AN6766">
        <v>1.0000000044930799</v>
      </c>
    </row>
    <row r="6767" spans="1:40" x14ac:dyDescent="0.25">
      <c r="A6767" t="str">
        <f>"20190312172539200"</f>
        <v>20190312172539200</v>
      </c>
      <c r="B6767" t="str">
        <f>"1552382739186834"</f>
        <v>1552382739186834</v>
      </c>
      <c r="C6767" t="s">
        <v>40</v>
      </c>
      <c r="D6767">
        <v>3.489544</v>
      </c>
      <c r="E6767">
        <v>0.43839139999999999</v>
      </c>
      <c r="F6767" t="s">
        <v>50</v>
      </c>
      <c r="G6767">
        <v>-194.3682</v>
      </c>
      <c r="H6767" s="1">
        <v>-2.117321E-6</v>
      </c>
      <c r="I6767">
        <v>-49.93853</v>
      </c>
      <c r="J6767">
        <v>-204.34710000000001</v>
      </c>
      <c r="K6767">
        <v>1.121637</v>
      </c>
      <c r="L6767">
        <v>-59.729889999999997</v>
      </c>
      <c r="M6767">
        <v>0.88481049999999895</v>
      </c>
      <c r="N6767">
        <v>0</v>
      </c>
      <c r="O6767">
        <v>0.46568369999999998</v>
      </c>
      <c r="P6767">
        <v>0.80259139999999995</v>
      </c>
      <c r="Q6767">
        <v>0.19295960000000001</v>
      </c>
      <c r="R6767">
        <v>0.56445889999999999</v>
      </c>
      <c r="S6767">
        <v>2.2549589999999999</v>
      </c>
      <c r="T6767">
        <v>-0.25002859999999999</v>
      </c>
      <c r="U6767">
        <v>2.2000120000000001</v>
      </c>
      <c r="V6767">
        <v>-0.1313444</v>
      </c>
      <c r="W6767">
        <v>0.20478479999999999</v>
      </c>
      <c r="X6767">
        <v>0.9699546</v>
      </c>
      <c r="Y6767">
        <v>-0.28503020000000001</v>
      </c>
      <c r="Z6767">
        <v>-2.6690789999999999E-2</v>
      </c>
      <c r="AA6767">
        <v>0.95814690000000002</v>
      </c>
      <c r="AB6767">
        <v>30</v>
      </c>
      <c r="AC6767">
        <v>9.9789000000000101</v>
      </c>
      <c r="AD6767">
        <v>-1.1216391173209901</v>
      </c>
      <c r="AE6767">
        <v>9.7913599999999992</v>
      </c>
      <c r="AF6767">
        <v>-3.9912960329546299</v>
      </c>
      <c r="AG6767">
        <v>-1.1216391173209901</v>
      </c>
      <c r="AH6767">
        <v>13.305136994205499</v>
      </c>
      <c r="AI6767">
        <v>94.616407898334501</v>
      </c>
      <c r="AJ6767">
        <v>106.698276043487</v>
      </c>
      <c r="AK6767">
        <v>13.9361109627744</v>
      </c>
      <c r="AL6767">
        <v>78.183098811405401</v>
      </c>
      <c r="AM6767">
        <v>97.711682500202301</v>
      </c>
      <c r="AN6767">
        <v>1.0000000458917699</v>
      </c>
    </row>
    <row r="6768" spans="1:40" x14ac:dyDescent="0.25">
      <c r="A6768" t="str">
        <f>"20190312172539211"</f>
        <v>20190312172539211</v>
      </c>
      <c r="B6768" t="str">
        <f>"1552382739207330"</f>
        <v>1552382739207330</v>
      </c>
      <c r="C6768" t="s">
        <v>40</v>
      </c>
      <c r="D6768">
        <v>3.4864570000000001</v>
      </c>
      <c r="E6768">
        <v>0.43928050000000002</v>
      </c>
      <c r="F6768" t="s">
        <v>50</v>
      </c>
      <c r="G6768">
        <v>-194.2647</v>
      </c>
      <c r="H6768" s="1">
        <v>-2.1936780000000001E-6</v>
      </c>
      <c r="I6768">
        <v>-49.770670000000003</v>
      </c>
      <c r="J6768">
        <v>-204.22200000000001</v>
      </c>
      <c r="K6768">
        <v>1.1216410000000001</v>
      </c>
      <c r="L6768">
        <v>-59.656799999999997</v>
      </c>
      <c r="M6768">
        <v>0.88165519999999997</v>
      </c>
      <c r="N6768">
        <v>0</v>
      </c>
      <c r="O6768">
        <v>0.47162989999999999</v>
      </c>
      <c r="P6768">
        <v>0.79883939999999998</v>
      </c>
      <c r="Q6768">
        <v>0.19284470000000001</v>
      </c>
      <c r="R6768">
        <v>0.5697953</v>
      </c>
      <c r="S6768">
        <v>2.2409970000000001</v>
      </c>
      <c r="T6768">
        <v>-0.24930540000000001</v>
      </c>
      <c r="U6768">
        <v>2.2136230000000001</v>
      </c>
      <c r="V6768">
        <v>-0.13126360000000001</v>
      </c>
      <c r="W6768">
        <v>0.20467930000000001</v>
      </c>
      <c r="X6768">
        <v>0.96998779999999996</v>
      </c>
      <c r="Y6768">
        <v>-0.28451949999999998</v>
      </c>
      <c r="Z6768">
        <v>-2.714219E-2</v>
      </c>
      <c r="AA6768">
        <v>0.95828590000000002</v>
      </c>
      <c r="AB6768">
        <v>30</v>
      </c>
      <c r="AC6768">
        <v>9.9573</v>
      </c>
      <c r="AD6768">
        <v>-1.12164319367799</v>
      </c>
      <c r="AE6768">
        <v>9.8861299999999908</v>
      </c>
      <c r="AF6768">
        <v>-3.9949709615634301</v>
      </c>
      <c r="AG6768">
        <v>-1.12164319367799</v>
      </c>
      <c r="AH6768">
        <v>13.3578195584704</v>
      </c>
      <c r="AI6768">
        <v>94.599438747733103</v>
      </c>
      <c r="AJ6768">
        <v>106.650534796483</v>
      </c>
      <c r="AK6768">
        <v>13.9874665252259</v>
      </c>
      <c r="AL6768">
        <v>78.189274258741406</v>
      </c>
      <c r="AM6768">
        <v>97.706734869867603</v>
      </c>
      <c r="AN6768">
        <v>1.00000004034114</v>
      </c>
    </row>
    <row r="6769" spans="1:40" x14ac:dyDescent="0.25">
      <c r="A6769" t="str">
        <f>"20190312172539220"</f>
        <v>20190312172539220</v>
      </c>
      <c r="B6769" t="str">
        <f>"1552382739217091"</f>
        <v>1552382739217091</v>
      </c>
      <c r="C6769" t="s">
        <v>40</v>
      </c>
      <c r="D6769">
        <v>3.4716800000000001</v>
      </c>
      <c r="E6769">
        <v>0.4396987</v>
      </c>
      <c r="F6769" t="s">
        <v>50</v>
      </c>
      <c r="G6769">
        <v>-194.27379999999999</v>
      </c>
      <c r="H6769" s="1">
        <v>-2.214763E-6</v>
      </c>
      <c r="I6769">
        <v>-49.738439999999997</v>
      </c>
      <c r="J6769">
        <v>-204.11179999999999</v>
      </c>
      <c r="K6769">
        <v>1.1216429999999999</v>
      </c>
      <c r="L6769">
        <v>-59.592219999999998</v>
      </c>
      <c r="M6769">
        <v>0.878841599999999</v>
      </c>
      <c r="N6769">
        <v>0</v>
      </c>
      <c r="O6769">
        <v>0.476852</v>
      </c>
      <c r="P6769">
        <v>0.79583400000000004</v>
      </c>
      <c r="Q6769">
        <v>0.1924014</v>
      </c>
      <c r="R6769">
        <v>0.57413419999999904</v>
      </c>
      <c r="S6769">
        <v>2.2301639999999998</v>
      </c>
      <c r="T6769">
        <v>-0.25144820000000001</v>
      </c>
      <c r="U6769">
        <v>2.2234799999999999</v>
      </c>
      <c r="V6769">
        <v>-0.13072400000000001</v>
      </c>
      <c r="W6769">
        <v>0.20425869999999999</v>
      </c>
      <c r="X6769">
        <v>0.97014929999999999</v>
      </c>
      <c r="Y6769">
        <v>-0.28330630000000001</v>
      </c>
      <c r="Z6769">
        <v>-2.787479E-2</v>
      </c>
      <c r="AA6769">
        <v>0.95862429999999998</v>
      </c>
      <c r="AB6769">
        <v>30</v>
      </c>
      <c r="AC6769">
        <v>9.8379999999999903</v>
      </c>
      <c r="AD6769">
        <v>-1.1216452147630001</v>
      </c>
      <c r="AE6769">
        <v>9.8537799999999898</v>
      </c>
      <c r="AF6769">
        <v>-3.9435479381152101</v>
      </c>
      <c r="AG6769">
        <v>-1.1216452147630001</v>
      </c>
      <c r="AH6769">
        <v>13.2604584608344</v>
      </c>
      <c r="AI6769">
        <v>94.635196145745397</v>
      </c>
      <c r="AJ6769">
        <v>106.56203156533</v>
      </c>
      <c r="AK6769">
        <v>13.879820493058499</v>
      </c>
      <c r="AL6769">
        <v>78.213892768235894</v>
      </c>
      <c r="AM6769">
        <v>97.674169866253706</v>
      </c>
      <c r="AN6769">
        <v>1.0000000224960801</v>
      </c>
    </row>
    <row r="6770" spans="1:40" x14ac:dyDescent="0.25">
      <c r="A6770" t="str">
        <f>"20190312172539231"</f>
        <v>20190312172539231</v>
      </c>
      <c r="B6770" t="str">
        <f>"1552382739226850"</f>
        <v>1552382739226850</v>
      </c>
      <c r="C6770" t="s">
        <v>40</v>
      </c>
      <c r="D6770">
        <v>3.5438149999999999</v>
      </c>
      <c r="E6770">
        <v>0.43995859999999898</v>
      </c>
      <c r="F6770" t="s">
        <v>50</v>
      </c>
      <c r="G6770">
        <v>-194.29390000000001</v>
      </c>
      <c r="H6770" s="1">
        <v>-2.232253E-6</v>
      </c>
      <c r="I6770">
        <v>-49.716459999999998</v>
      </c>
      <c r="J6770">
        <v>-203.9845</v>
      </c>
      <c r="K6770">
        <v>1.121651</v>
      </c>
      <c r="L6770">
        <v>-59.515659999999997</v>
      </c>
      <c r="M6770">
        <v>0.87552680000000005</v>
      </c>
      <c r="N6770">
        <v>0</v>
      </c>
      <c r="O6770">
        <v>0.48291099999999998</v>
      </c>
      <c r="P6770">
        <v>0.79205800000000004</v>
      </c>
      <c r="Q6770">
        <v>0.1920589</v>
      </c>
      <c r="R6770">
        <v>0.57944589999999996</v>
      </c>
      <c r="S6770">
        <v>2.2199710000000001</v>
      </c>
      <c r="T6770">
        <v>-0.25362129999999999</v>
      </c>
      <c r="U6770">
        <v>2.233063</v>
      </c>
      <c r="V6770">
        <v>-0.130463</v>
      </c>
      <c r="W6770">
        <v>0.20393149999999999</v>
      </c>
      <c r="X6770">
        <v>0.97025320000000004</v>
      </c>
      <c r="Y6770">
        <v>-0.28096690000000002</v>
      </c>
      <c r="Z6770">
        <v>-2.8731420000000001E-2</v>
      </c>
      <c r="AA6770">
        <v>0.95928729999999995</v>
      </c>
      <c r="AB6770">
        <v>30</v>
      </c>
      <c r="AC6770">
        <v>9.6905999999999892</v>
      </c>
      <c r="AD6770">
        <v>-1.121653232253</v>
      </c>
      <c r="AE6770">
        <v>9.7992000000000008</v>
      </c>
      <c r="AF6770">
        <v>-3.8745868482213202</v>
      </c>
      <c r="AG6770">
        <v>-1.121653232253</v>
      </c>
      <c r="AH6770">
        <v>13.131191713567</v>
      </c>
      <c r="AI6770">
        <v>94.683608000122405</v>
      </c>
      <c r="AJ6770">
        <v>106.439612737598</v>
      </c>
      <c r="AK6770">
        <v>13.7367654502901</v>
      </c>
      <c r="AL6770">
        <v>78.233042312768006</v>
      </c>
      <c r="AM6770">
        <v>97.658219444295</v>
      </c>
      <c r="AN6770">
        <v>0.999999961585744</v>
      </c>
    </row>
    <row r="6771" spans="1:40" x14ac:dyDescent="0.25">
      <c r="A6771" t="str">
        <f>"20190312172539243"</f>
        <v>20190312172539243</v>
      </c>
      <c r="B6771" t="str">
        <f>"1552382739236610"</f>
        <v>1552382739236610</v>
      </c>
      <c r="C6771" t="s">
        <v>40</v>
      </c>
      <c r="D6771">
        <v>3.5282640000000001</v>
      </c>
      <c r="E6771">
        <v>0.44032349999999998</v>
      </c>
      <c r="F6771" t="s">
        <v>50</v>
      </c>
      <c r="G6771">
        <v>-194.20959999999999</v>
      </c>
      <c r="H6771" s="1">
        <v>-2.3050649999999998E-6</v>
      </c>
      <c r="I6771">
        <v>-49.561779999999999</v>
      </c>
      <c r="J6771">
        <v>-203.85900000000001</v>
      </c>
      <c r="K6771">
        <v>1.121651</v>
      </c>
      <c r="L6771">
        <v>-59.4396699999999</v>
      </c>
      <c r="M6771">
        <v>0.87221009999999999</v>
      </c>
      <c r="N6771">
        <v>0</v>
      </c>
      <c r="O6771">
        <v>0.48887580000000003</v>
      </c>
      <c r="P6771">
        <v>0.78833929999999997</v>
      </c>
      <c r="Q6771">
        <v>0.19173490000000001</v>
      </c>
      <c r="R6771">
        <v>0.58460159999999906</v>
      </c>
      <c r="S6771">
        <v>2.205765</v>
      </c>
      <c r="T6771">
        <v>-0.25310830000000001</v>
      </c>
      <c r="U6771">
        <v>2.2461549999999999</v>
      </c>
      <c r="V6771">
        <v>-0.1301226</v>
      </c>
      <c r="W6771">
        <v>0.20362479999999999</v>
      </c>
      <c r="X6771">
        <v>0.97036339999999999</v>
      </c>
      <c r="Y6771">
        <v>-0.28031319999999998</v>
      </c>
      <c r="Z6771">
        <v>-2.9220449999999999E-2</v>
      </c>
      <c r="AA6771">
        <v>0.95946370000000003</v>
      </c>
      <c r="AB6771">
        <v>30</v>
      </c>
      <c r="AC6771">
        <v>9.6494000000000106</v>
      </c>
      <c r="AD6771">
        <v>-1.1216533050649999</v>
      </c>
      <c r="AE6771">
        <v>9.8778899999999901</v>
      </c>
      <c r="AF6771">
        <v>-3.8731699602712899</v>
      </c>
      <c r="AG6771">
        <v>-1.1216533050649999</v>
      </c>
      <c r="AH6771">
        <v>13.160192194174201</v>
      </c>
      <c r="AI6771">
        <v>94.674289221298196</v>
      </c>
      <c r="AJ6771">
        <v>106.39965848944399</v>
      </c>
      <c r="AK6771">
        <v>13.764091334538399</v>
      </c>
      <c r="AL6771">
        <v>78.250992480555496</v>
      </c>
      <c r="AM6771">
        <v>97.637616849764598</v>
      </c>
      <c r="AN6771">
        <v>1.00000003913267</v>
      </c>
    </row>
    <row r="6772" spans="1:40" x14ac:dyDescent="0.25">
      <c r="A6772" t="str">
        <f>"20190312172539254"</f>
        <v>20190312172539254</v>
      </c>
      <c r="B6772" t="str">
        <f>"1552382739247346"</f>
        <v>1552382739247346</v>
      </c>
      <c r="C6772" t="s">
        <v>40</v>
      </c>
      <c r="D6772">
        <v>3.5120339999999901</v>
      </c>
      <c r="E6772">
        <v>0.44067859999999998</v>
      </c>
      <c r="F6772" t="s">
        <v>50</v>
      </c>
      <c r="G6772">
        <v>-194.12430000000001</v>
      </c>
      <c r="H6772" s="1">
        <v>-2.3729030000000001E-6</v>
      </c>
      <c r="I6772">
        <v>-49.415120000000002</v>
      </c>
      <c r="J6772">
        <v>-203.73070000000001</v>
      </c>
      <c r="K6772">
        <v>1.1216489999999999</v>
      </c>
      <c r="L6772">
        <v>-59.360169999999997</v>
      </c>
      <c r="M6772">
        <v>0.86875440000000004</v>
      </c>
      <c r="N6772">
        <v>0</v>
      </c>
      <c r="O6772">
        <v>0.4949906</v>
      </c>
      <c r="P6772">
        <v>0.78462339999999997</v>
      </c>
      <c r="Q6772">
        <v>0.19146469999999999</v>
      </c>
      <c r="R6772">
        <v>0.589667099999999</v>
      </c>
      <c r="S6772">
        <v>2.1925810000000001</v>
      </c>
      <c r="T6772">
        <v>-0.252635</v>
      </c>
      <c r="U6772">
        <v>2.2578740000000002</v>
      </c>
      <c r="V6772">
        <v>-0.12951299999999999</v>
      </c>
      <c r="W6772">
        <v>0.2033797</v>
      </c>
      <c r="X6772">
        <v>0.97049629999999998</v>
      </c>
      <c r="Y6772">
        <v>-0.27895720000000002</v>
      </c>
      <c r="Z6772">
        <v>-2.9752979999999998E-2</v>
      </c>
      <c r="AA6772">
        <v>0.95984250000000004</v>
      </c>
      <c r="AB6772">
        <v>30</v>
      </c>
      <c r="AC6772">
        <v>9.6064000000000007</v>
      </c>
      <c r="AD6772">
        <v>-1.121651372903</v>
      </c>
      <c r="AE6772">
        <v>9.9450499999999895</v>
      </c>
      <c r="AF6772">
        <v>-3.8598146865344201</v>
      </c>
      <c r="AG6772">
        <v>-1.121651372903</v>
      </c>
      <c r="AH6772">
        <v>13.183216149541799</v>
      </c>
      <c r="AI6772">
        <v>94.668071438200798</v>
      </c>
      <c r="AJ6772">
        <v>106.319106066061</v>
      </c>
      <c r="AK6772">
        <v>13.782360438700699</v>
      </c>
      <c r="AL6772">
        <v>78.265335279374398</v>
      </c>
      <c r="AM6772">
        <v>97.6012266054435</v>
      </c>
      <c r="AN6772">
        <v>0.99999999392739003</v>
      </c>
    </row>
    <row r="6773" spans="1:40" x14ac:dyDescent="0.25">
      <c r="A6773" t="str">
        <f>"20190312172539264"</f>
        <v>20190312172539264</v>
      </c>
      <c r="B6773" t="str">
        <f>"1552382739257106"</f>
        <v>1552382739257106</v>
      </c>
      <c r="C6773" t="s">
        <v>40</v>
      </c>
      <c r="D6773">
        <v>3.5074920000000001</v>
      </c>
      <c r="E6773">
        <v>0.4409941</v>
      </c>
      <c r="F6773" t="s">
        <v>50</v>
      </c>
      <c r="G6773">
        <v>-194.0461</v>
      </c>
      <c r="H6773" s="1">
        <v>-2.4386069999999998E-6</v>
      </c>
      <c r="I6773">
        <v>-49.274749999999997</v>
      </c>
      <c r="J6773">
        <v>-203.6088</v>
      </c>
      <c r="K6773">
        <v>1.121651</v>
      </c>
      <c r="L6773">
        <v>-59.283869999999901</v>
      </c>
      <c r="M6773">
        <v>0.86542180000000002</v>
      </c>
      <c r="N6773">
        <v>0</v>
      </c>
      <c r="O6773">
        <v>0.50079430000000003</v>
      </c>
      <c r="P6773">
        <v>0.78100360000000002</v>
      </c>
      <c r="Q6773">
        <v>0.19097249999999999</v>
      </c>
      <c r="R6773">
        <v>0.59461160000000002</v>
      </c>
      <c r="S6773">
        <v>2.1794129999999998</v>
      </c>
      <c r="T6773">
        <v>-0.25241639999999999</v>
      </c>
      <c r="U6773">
        <v>2.2696230000000002</v>
      </c>
      <c r="V6773">
        <v>-0.12907099999999999</v>
      </c>
      <c r="W6773">
        <v>0.20290720000000001</v>
      </c>
      <c r="X6773">
        <v>0.97065409999999996</v>
      </c>
      <c r="Y6773">
        <v>-0.27792410000000001</v>
      </c>
      <c r="Z6773">
        <v>-3.0274240000000001E-2</v>
      </c>
      <c r="AA6773">
        <v>0.96012589999999998</v>
      </c>
      <c r="AB6773">
        <v>30</v>
      </c>
      <c r="AC6773">
        <v>9.5626999999999995</v>
      </c>
      <c r="AD6773">
        <v>-1.1216534386070001</v>
      </c>
      <c r="AE6773">
        <v>10.0091199999999</v>
      </c>
      <c r="AF6773">
        <v>-3.84838352041201</v>
      </c>
      <c r="AG6773">
        <v>-1.1216534386070001</v>
      </c>
      <c r="AH6773">
        <v>13.2032575720732</v>
      </c>
      <c r="AI6773">
        <v>94.662662251390302</v>
      </c>
      <c r="AJ6773">
        <v>106.249939549095</v>
      </c>
      <c r="AK6773">
        <v>13.798339489628001</v>
      </c>
      <c r="AL6773">
        <v>78.292984330297301</v>
      </c>
      <c r="AM6773">
        <v>97.574369771525198</v>
      </c>
      <c r="AN6773">
        <v>1.0000000183498201</v>
      </c>
    </row>
    <row r="6774" spans="1:40" x14ac:dyDescent="0.25">
      <c r="A6774" t="str">
        <f>"20190312172539275"</f>
        <v>20190312172539275</v>
      </c>
      <c r="B6774" t="str">
        <f>"1552382739266867"</f>
        <v>1552382739266867</v>
      </c>
      <c r="C6774" t="s">
        <v>40</v>
      </c>
      <c r="D6774">
        <v>3.6850619999999998</v>
      </c>
      <c r="E6774">
        <v>0.44110559999999899</v>
      </c>
      <c r="F6774" t="s">
        <v>50</v>
      </c>
      <c r="G6774">
        <v>-193.99289999999999</v>
      </c>
      <c r="H6774" s="1">
        <v>-2.495052E-6</v>
      </c>
      <c r="I6774">
        <v>-49.159399999999998</v>
      </c>
      <c r="J6774">
        <v>-203.48609999999999</v>
      </c>
      <c r="K6774">
        <v>1.1216469999999901</v>
      </c>
      <c r="L6774">
        <v>-59.205629999999999</v>
      </c>
      <c r="M6774">
        <v>0.86200689999999902</v>
      </c>
      <c r="N6774">
        <v>0</v>
      </c>
      <c r="O6774">
        <v>0.50664940000000003</v>
      </c>
      <c r="P6774">
        <v>0.77721700000000005</v>
      </c>
      <c r="Q6774">
        <v>0.19090380000000001</v>
      </c>
      <c r="R6774">
        <v>0.59957450000000001</v>
      </c>
      <c r="S6774">
        <v>2.1663969999999999</v>
      </c>
      <c r="T6774">
        <v>-0.2527008</v>
      </c>
      <c r="U6774">
        <v>2.2809750000000002</v>
      </c>
      <c r="V6774">
        <v>-0.12866040000000001</v>
      </c>
      <c r="W6774">
        <v>0.20285629999999999</v>
      </c>
      <c r="X6774">
        <v>0.9707192</v>
      </c>
      <c r="Y6774">
        <v>-0.27669569999999999</v>
      </c>
      <c r="Z6774">
        <v>-3.0868659999999999E-2</v>
      </c>
      <c r="AA6774">
        <v>0.96046169999999997</v>
      </c>
      <c r="AB6774">
        <v>30</v>
      </c>
      <c r="AC6774">
        <v>9.4931999999999999</v>
      </c>
      <c r="AD6774">
        <v>-1.12164949505199</v>
      </c>
      <c r="AE6774">
        <v>10.04623</v>
      </c>
      <c r="AF6774">
        <v>-3.8254859914532902</v>
      </c>
      <c r="AG6774">
        <v>-1.12164949505199</v>
      </c>
      <c r="AH6774">
        <v>13.1879370427328</v>
      </c>
      <c r="AI6774">
        <v>94.669780415650905</v>
      </c>
      <c r="AJ6774">
        <v>106.176103341404</v>
      </c>
      <c r="AK6774">
        <v>13.7773046748499</v>
      </c>
      <c r="AL6774">
        <v>78.295962063589201</v>
      </c>
      <c r="AM6774">
        <v>97.550052137472207</v>
      </c>
      <c r="AN6774">
        <v>0.99999997111324401</v>
      </c>
    </row>
    <row r="6775" spans="1:40" x14ac:dyDescent="0.25">
      <c r="A6775" t="str">
        <f>"20190312172539287"</f>
        <v>20190312172539287</v>
      </c>
      <c r="B6775" t="str">
        <f>"1552382739276626"</f>
        <v>1552382739276626</v>
      </c>
      <c r="C6775" t="s">
        <v>40</v>
      </c>
      <c r="D6775">
        <v>3.4638200000000001</v>
      </c>
      <c r="E6775">
        <v>0.44110559999999899</v>
      </c>
      <c r="F6775" t="s">
        <v>50</v>
      </c>
      <c r="G6775">
        <v>-193.96709999999999</v>
      </c>
      <c r="H6775" s="1">
        <v>-2.5485330000000001E-6</v>
      </c>
      <c r="I6775">
        <v>-49.059350000000002</v>
      </c>
      <c r="J6775">
        <v>-203.3631</v>
      </c>
      <c r="K6775">
        <v>1.1216429999999999</v>
      </c>
      <c r="L6775">
        <v>-59.126159999999999</v>
      </c>
      <c r="M6775">
        <v>0.85853199999999996</v>
      </c>
      <c r="N6775">
        <v>0</v>
      </c>
      <c r="O6775">
        <v>0.51251579999999997</v>
      </c>
      <c r="P6775">
        <v>0.77343879999999998</v>
      </c>
      <c r="Q6775">
        <v>0.19066540000000001</v>
      </c>
      <c r="R6775">
        <v>0.60451569999999899</v>
      </c>
      <c r="S6775">
        <v>2.152374</v>
      </c>
      <c r="T6775">
        <v>-0.25362129999999999</v>
      </c>
      <c r="U6775">
        <v>2.2942200000000001</v>
      </c>
      <c r="V6775">
        <v>-0.1281863</v>
      </c>
      <c r="W6775">
        <v>0.20263780000000001</v>
      </c>
      <c r="X6775">
        <v>0.97082760000000001</v>
      </c>
      <c r="Y6775">
        <v>-0.2760514</v>
      </c>
      <c r="Z6775">
        <v>-3.1515340000000003E-2</v>
      </c>
      <c r="AA6775">
        <v>0.96062610000000004</v>
      </c>
      <c r="AB6775">
        <v>30</v>
      </c>
      <c r="AC6775">
        <v>9.3960000000000097</v>
      </c>
      <c r="AD6775">
        <v>-1.1216455485329999</v>
      </c>
      <c r="AE6775">
        <v>10.066809999999901</v>
      </c>
      <c r="AF6775">
        <v>-3.8023322851039598</v>
      </c>
      <c r="AG6775">
        <v>-1.1216455485329999</v>
      </c>
      <c r="AH6775">
        <v>13.1406389625025</v>
      </c>
      <c r="AI6775">
        <v>94.687392888489796</v>
      </c>
      <c r="AJ6775">
        <v>106.13815555804101</v>
      </c>
      <c r="AK6775">
        <v>13.7256042448311</v>
      </c>
      <c r="AL6775">
        <v>78.308747260913705</v>
      </c>
      <c r="AM6775">
        <v>97.521719859108401</v>
      </c>
      <c r="AN6775">
        <v>1.0000000172091399</v>
      </c>
    </row>
    <row r="6776" spans="1:40" x14ac:dyDescent="0.25">
      <c r="A6776" t="str">
        <f>"20190312172539298"</f>
        <v>20190312172539298</v>
      </c>
      <c r="B6776" t="str">
        <f>"1552382739287363"</f>
        <v>1552382739287363</v>
      </c>
      <c r="C6776" t="s">
        <v>40</v>
      </c>
      <c r="D6776">
        <v>3.6956449999999998</v>
      </c>
      <c r="E6776">
        <v>0.44731090000000001</v>
      </c>
      <c r="F6776" t="s">
        <v>50</v>
      </c>
      <c r="G6776">
        <v>-193.93469999999999</v>
      </c>
      <c r="H6776" s="1">
        <v>-2.6078670000000002E-6</v>
      </c>
      <c r="I6776">
        <v>-48.946939999999998</v>
      </c>
      <c r="J6776">
        <v>-203.23910000000001</v>
      </c>
      <c r="K6776">
        <v>1.1216360000000001</v>
      </c>
      <c r="L6776">
        <v>-59.044919999999998</v>
      </c>
      <c r="M6776">
        <v>0.85497029999999996</v>
      </c>
      <c r="N6776">
        <v>0</v>
      </c>
      <c r="O6776">
        <v>0.51843509999999904</v>
      </c>
      <c r="P6776">
        <v>0.7694145</v>
      </c>
      <c r="Q6776">
        <v>0.19055469999999999</v>
      </c>
      <c r="R6776">
        <v>0.60966409999999904</v>
      </c>
      <c r="S6776">
        <v>2.1376650000000001</v>
      </c>
      <c r="T6776">
        <v>-0.25430619999999998</v>
      </c>
      <c r="U6776">
        <v>2.3078919999999998</v>
      </c>
      <c r="V6776">
        <v>-0.12793759999999901</v>
      </c>
      <c r="W6776">
        <v>0.20253969999999999</v>
      </c>
      <c r="X6776">
        <v>0.97088090000000005</v>
      </c>
      <c r="Y6776">
        <v>-0.27556170000000002</v>
      </c>
      <c r="Z6776">
        <v>-3.2135980000000001E-2</v>
      </c>
      <c r="AA6776">
        <v>0.96074610000000005</v>
      </c>
      <c r="AB6776">
        <v>30</v>
      </c>
      <c r="AC6776">
        <v>9.30440000000001</v>
      </c>
      <c r="AD6776">
        <v>-1.121638607867</v>
      </c>
      <c r="AE6776">
        <v>10.0979799999999</v>
      </c>
      <c r="AF6776">
        <v>-3.7849674838329701</v>
      </c>
      <c r="AG6776">
        <v>-1.121638607867</v>
      </c>
      <c r="AH6776">
        <v>13.104346461606401</v>
      </c>
      <c r="AI6776">
        <v>94.700941476336297</v>
      </c>
      <c r="AJ6776">
        <v>106.110461772687</v>
      </c>
      <c r="AK6776">
        <v>13.686049400983</v>
      </c>
      <c r="AL6776">
        <v>78.314487275769196</v>
      </c>
      <c r="AM6776">
        <v>97.506885804439705</v>
      </c>
      <c r="AN6776">
        <v>1.00000004077732</v>
      </c>
    </row>
    <row r="6777" spans="1:40" x14ac:dyDescent="0.25">
      <c r="A6777" t="str">
        <f>"20190312172539310"</f>
        <v>20190312172539310</v>
      </c>
      <c r="B6777" t="str">
        <f>"1552382739306881"</f>
        <v>1552382739306881</v>
      </c>
      <c r="C6777" t="s">
        <v>40</v>
      </c>
      <c r="D6777">
        <v>3.4819429999999998</v>
      </c>
      <c r="E6777">
        <v>0.44830769999999998</v>
      </c>
      <c r="F6777" t="s">
        <v>50</v>
      </c>
      <c r="G6777">
        <v>-193.9419</v>
      </c>
      <c r="H6777" s="1">
        <v>-2.4691359999999999E-6</v>
      </c>
      <c r="I6777">
        <v>-49.18403</v>
      </c>
      <c r="J6777">
        <v>-203.10740000000001</v>
      </c>
      <c r="K6777">
        <v>1.121629</v>
      </c>
      <c r="L6777">
        <v>-58.956879999999998</v>
      </c>
      <c r="M6777">
        <v>0.85111890000000001</v>
      </c>
      <c r="N6777">
        <v>0</v>
      </c>
      <c r="O6777">
        <v>0.52473409999999998</v>
      </c>
      <c r="P6777">
        <v>0.76503900000000002</v>
      </c>
      <c r="Q6777">
        <v>0.19038679999999999</v>
      </c>
      <c r="R6777">
        <v>0.61519780000000002</v>
      </c>
      <c r="S6777">
        <v>2.1535340000000001</v>
      </c>
      <c r="T6777">
        <v>-0.25980989999999998</v>
      </c>
      <c r="U6777">
        <v>2.284119</v>
      </c>
      <c r="V6777">
        <v>-0.1277404</v>
      </c>
      <c r="W6777">
        <v>0.20238329999999999</v>
      </c>
      <c r="X6777">
        <v>0.97093949999999996</v>
      </c>
      <c r="Y6777">
        <v>-0.26000240000000002</v>
      </c>
      <c r="Z6777">
        <v>-3.4039090000000001E-2</v>
      </c>
      <c r="AA6777">
        <v>0.96500779999999997</v>
      </c>
      <c r="AB6777">
        <v>30</v>
      </c>
      <c r="AC6777">
        <v>9.1654999999999998</v>
      </c>
      <c r="AD6777">
        <v>-1.1216314691359901</v>
      </c>
      <c r="AE6777">
        <v>9.77285</v>
      </c>
      <c r="AF6777">
        <v>-3.4844277019202501</v>
      </c>
      <c r="AG6777">
        <v>-1.1216314691359901</v>
      </c>
      <c r="AH6777">
        <v>12.840710314757301</v>
      </c>
      <c r="AI6777">
        <v>94.818698801470404</v>
      </c>
      <c r="AJ6777">
        <v>105.18206385718899</v>
      </c>
      <c r="AK6777">
        <v>13.352270778784399</v>
      </c>
      <c r="AL6777">
        <v>78.323638084323093</v>
      </c>
      <c r="AM6777">
        <v>97.494999296070603</v>
      </c>
      <c r="AN6777">
        <v>1.0000000612856399</v>
      </c>
    </row>
    <row r="6778" spans="1:40" x14ac:dyDescent="0.25">
      <c r="A6778" t="str">
        <f>"20190312172539320"</f>
        <v>20190312172539320</v>
      </c>
      <c r="B6778" t="str">
        <f>"1552382739316642"</f>
        <v>1552382739316642</v>
      </c>
      <c r="C6778" t="s">
        <v>40</v>
      </c>
      <c r="D6778">
        <v>3.4671660000000002</v>
      </c>
      <c r="E6778">
        <v>0.44934990000000002</v>
      </c>
      <c r="F6778" t="s">
        <v>50</v>
      </c>
      <c r="G6778">
        <v>-193.9298</v>
      </c>
      <c r="H6778" s="1">
        <v>-2.497216E-6</v>
      </c>
      <c r="I6778">
        <v>-49.13203</v>
      </c>
      <c r="J6778">
        <v>-202.9948</v>
      </c>
      <c r="K6778">
        <v>1.1216219999999999</v>
      </c>
      <c r="L6778">
        <v>-58.881160000000001</v>
      </c>
      <c r="M6778">
        <v>0.84778369999999903</v>
      </c>
      <c r="N6778">
        <v>0</v>
      </c>
      <c r="O6778">
        <v>0.53010570000000001</v>
      </c>
      <c r="P6778">
        <v>0.76120019999999999</v>
      </c>
      <c r="Q6778">
        <v>0.19042690000000001</v>
      </c>
      <c r="R6778">
        <v>0.61992899999999995</v>
      </c>
      <c r="S6778">
        <v>2.1423030000000001</v>
      </c>
      <c r="T6778">
        <v>-0.26182030000000001</v>
      </c>
      <c r="U6778">
        <v>2.293396</v>
      </c>
      <c r="V6778">
        <v>-0.12762290000000001</v>
      </c>
      <c r="W6778">
        <v>0.2024318</v>
      </c>
      <c r="X6778">
        <v>0.97094480000000005</v>
      </c>
      <c r="Y6778">
        <v>-0.25839390000000001</v>
      </c>
      <c r="Z6778">
        <v>-3.4854629999999998E-2</v>
      </c>
      <c r="AA6778">
        <v>0.96541060000000001</v>
      </c>
      <c r="AB6778">
        <v>30</v>
      </c>
      <c r="AC6778">
        <v>9.0649999999999906</v>
      </c>
      <c r="AD6778">
        <v>-1.1216244972160001</v>
      </c>
      <c r="AE6778">
        <v>9.7491299999999903</v>
      </c>
      <c r="AF6778">
        <v>-3.4357893085190798</v>
      </c>
      <c r="AG6778">
        <v>-1.1216244972160001</v>
      </c>
      <c r="AH6778">
        <v>12.7642300916098</v>
      </c>
      <c r="AI6778">
        <v>94.850059352336999</v>
      </c>
      <c r="AJ6778">
        <v>105.065415289776</v>
      </c>
      <c r="AK6778">
        <v>13.2660566679344</v>
      </c>
      <c r="AL6778">
        <v>78.320800033423595</v>
      </c>
      <c r="AM6778">
        <v>97.488143000246296</v>
      </c>
      <c r="AN6778">
        <v>1.00000002145134</v>
      </c>
    </row>
    <row r="6779" spans="1:40" x14ac:dyDescent="0.25">
      <c r="A6779" t="str">
        <f>"20190312172539334"</f>
        <v>20190312172539334</v>
      </c>
      <c r="B6779" t="str">
        <f>"1552382739327380"</f>
        <v>1552382739327380</v>
      </c>
      <c r="C6779" t="s">
        <v>40</v>
      </c>
      <c r="D6779">
        <v>3.4773689999999999</v>
      </c>
      <c r="E6779">
        <v>0.45030009999999998</v>
      </c>
      <c r="F6779" t="s">
        <v>50</v>
      </c>
      <c r="G6779">
        <v>-193.73699999999999</v>
      </c>
      <c r="H6779" s="1">
        <v>-2.5914560000000001E-6</v>
      </c>
      <c r="I6779">
        <v>-48.900399999999998</v>
      </c>
      <c r="J6779">
        <v>-202.85669999999999</v>
      </c>
      <c r="K6779">
        <v>1.1216079999999999</v>
      </c>
      <c r="L6779">
        <v>-58.785890000000002</v>
      </c>
      <c r="M6779">
        <v>0.84361249999999999</v>
      </c>
      <c r="N6779">
        <v>0</v>
      </c>
      <c r="O6779">
        <v>0.53671880000000005</v>
      </c>
      <c r="P6779">
        <v>0.75640879999999999</v>
      </c>
      <c r="Q6779">
        <v>0.19018389999999999</v>
      </c>
      <c r="R6779">
        <v>0.62584019999999996</v>
      </c>
      <c r="S6779">
        <v>2.1329799999999999</v>
      </c>
      <c r="T6779">
        <v>-0.25842150000000003</v>
      </c>
      <c r="U6779">
        <v>2.2995610000000002</v>
      </c>
      <c r="V6779">
        <v>-0.12754869999999999</v>
      </c>
      <c r="W6779">
        <v>0.20219699999999999</v>
      </c>
      <c r="X6779">
        <v>0.97100350000000002</v>
      </c>
      <c r="Y6779">
        <v>-0.25423879999999999</v>
      </c>
      <c r="Z6779">
        <v>-3.5164210000000001E-2</v>
      </c>
      <c r="AA6779">
        <v>0.96650199999999997</v>
      </c>
      <c r="AB6779">
        <v>30</v>
      </c>
      <c r="AC6779">
        <v>9.1196999999999893</v>
      </c>
      <c r="AD6779">
        <v>-1.121610591456</v>
      </c>
      <c r="AE6779">
        <v>9.8854900000000008</v>
      </c>
      <c r="AF6779">
        <v>-3.42144627905718</v>
      </c>
      <c r="AG6779">
        <v>-1.121610591456</v>
      </c>
      <c r="AH6779">
        <v>12.9110623316841</v>
      </c>
      <c r="AI6779">
        <v>94.800067849590803</v>
      </c>
      <c r="AJ6779">
        <v>104.842288265596</v>
      </c>
      <c r="AK6779">
        <v>13.4037246872641</v>
      </c>
      <c r="AL6779">
        <v>78.334537463669804</v>
      </c>
      <c r="AM6779">
        <v>97.483391462356195</v>
      </c>
      <c r="AN6779">
        <v>1.0000000473464601</v>
      </c>
    </row>
    <row r="6780" spans="1:40" x14ac:dyDescent="0.25">
      <c r="A6780" t="str">
        <f>"20190312172539344"</f>
        <v>20190312172539344</v>
      </c>
      <c r="B6780" t="str">
        <f>"1552382739337137"</f>
        <v>1552382739337137</v>
      </c>
      <c r="C6780" t="s">
        <v>40</v>
      </c>
      <c r="D6780">
        <v>3.5065339999999998</v>
      </c>
      <c r="E6780">
        <v>0.45099</v>
      </c>
      <c r="F6780" t="s">
        <v>50</v>
      </c>
      <c r="G6780">
        <v>-193.65799999999999</v>
      </c>
      <c r="H6780" s="1">
        <v>-2.6571820000000001E-6</v>
      </c>
      <c r="I6780">
        <v>-48.75967</v>
      </c>
      <c r="J6780">
        <v>-202.7441</v>
      </c>
      <c r="K6780">
        <v>1.121599</v>
      </c>
      <c r="L6780">
        <v>-58.707610000000003</v>
      </c>
      <c r="M6780">
        <v>0.84016449999999998</v>
      </c>
      <c r="N6780">
        <v>0</v>
      </c>
      <c r="O6780">
        <v>0.54210029999999998</v>
      </c>
      <c r="P6780">
        <v>0.75238439999999995</v>
      </c>
      <c r="Q6780">
        <v>0.1902654</v>
      </c>
      <c r="R6780">
        <v>0.63064790000000004</v>
      </c>
      <c r="S6780">
        <v>2.1195979999999999</v>
      </c>
      <c r="T6780">
        <v>-0.25844509999999998</v>
      </c>
      <c r="U6780">
        <v>2.3102719999999999</v>
      </c>
      <c r="V6780">
        <v>-0.12753900000000001</v>
      </c>
      <c r="W6780">
        <v>0.2022834</v>
      </c>
      <c r="X6780">
        <v>0.97098669999999998</v>
      </c>
      <c r="Y6780">
        <v>-0.25334279999999998</v>
      </c>
      <c r="Z6780">
        <v>-3.5692300000000003E-2</v>
      </c>
      <c r="AA6780">
        <v>0.96671790000000002</v>
      </c>
      <c r="AB6780">
        <v>30</v>
      </c>
      <c r="AC6780">
        <v>9.0861000000000107</v>
      </c>
      <c r="AD6780">
        <v>-1.121601657182</v>
      </c>
      <c r="AE6780">
        <v>9.9479399999999902</v>
      </c>
      <c r="AF6780">
        <v>-3.4091326090380698</v>
      </c>
      <c r="AG6780">
        <v>-1.121601657182</v>
      </c>
      <c r="AH6780">
        <v>12.938565342603001</v>
      </c>
      <c r="AI6780">
        <v>94.791658446529993</v>
      </c>
      <c r="AJ6780">
        <v>104.76115028380499</v>
      </c>
      <c r="AK6780">
        <v>13.427086375986701</v>
      </c>
      <c r="AL6780">
        <v>78.329481752301604</v>
      </c>
      <c r="AM6780">
        <v>97.482956805138798</v>
      </c>
      <c r="AN6780">
        <v>0.999999971006724</v>
      </c>
    </row>
    <row r="6781" spans="1:40" x14ac:dyDescent="0.25">
      <c r="A6781" t="str">
        <f>"20190312172539354"</f>
        <v>20190312172539354</v>
      </c>
      <c r="B6781" t="str">
        <f>"1552382739347059"</f>
        <v>1552382739347059</v>
      </c>
      <c r="C6781" t="s">
        <v>40</v>
      </c>
      <c r="D6781">
        <v>3.5577230000000002</v>
      </c>
      <c r="E6781">
        <v>0.45170919999999998</v>
      </c>
      <c r="F6781" t="s">
        <v>50</v>
      </c>
      <c r="G6781">
        <v>-193.5564</v>
      </c>
      <c r="H6781" s="1">
        <v>-2.7287729999999999E-6</v>
      </c>
      <c r="I6781">
        <v>-48.600560000000002</v>
      </c>
      <c r="J6781">
        <v>-202.62379999999999</v>
      </c>
      <c r="K6781">
        <v>1.1215869999999999</v>
      </c>
      <c r="L6781">
        <v>-58.622219999999999</v>
      </c>
      <c r="M6781">
        <v>0.83641669999999901</v>
      </c>
      <c r="N6781">
        <v>0</v>
      </c>
      <c r="O6781">
        <v>0.54786519999999905</v>
      </c>
      <c r="P6781">
        <v>0.74796989999999997</v>
      </c>
      <c r="Q6781">
        <v>0.19031490000000001</v>
      </c>
      <c r="R6781">
        <v>0.63586259999999994</v>
      </c>
      <c r="S6781">
        <v>2.108368</v>
      </c>
      <c r="T6781">
        <v>-0.2573819</v>
      </c>
      <c r="U6781">
        <v>2.3193359999999998</v>
      </c>
      <c r="V6781">
        <v>-0.127613</v>
      </c>
      <c r="W6781">
        <v>0.20233470000000001</v>
      </c>
      <c r="X6781">
        <v>0.97096629999999995</v>
      </c>
      <c r="Y6781">
        <v>-0.25114530000000002</v>
      </c>
      <c r="Z6781">
        <v>-3.6146669999999999E-2</v>
      </c>
      <c r="AA6781">
        <v>0.96727419999999997</v>
      </c>
      <c r="AB6781">
        <v>30</v>
      </c>
      <c r="AC6781">
        <v>9.0673999999999904</v>
      </c>
      <c r="AD6781">
        <v>-1.1215897287729999</v>
      </c>
      <c r="AE6781">
        <v>10.021660000000001</v>
      </c>
      <c r="AF6781">
        <v>-3.3916401556218001</v>
      </c>
      <c r="AG6781">
        <v>-1.1215897287729999</v>
      </c>
      <c r="AH6781">
        <v>12.986840145534201</v>
      </c>
      <c r="AI6781">
        <v>94.776592690993496</v>
      </c>
      <c r="AJ6781">
        <v>104.636440819025</v>
      </c>
      <c r="AK6781">
        <v>13.469194609573901</v>
      </c>
      <c r="AL6781">
        <v>78.3264805483647</v>
      </c>
      <c r="AM6781">
        <v>97.487404803731906</v>
      </c>
      <c r="AN6781">
        <v>0.99999998216438901</v>
      </c>
    </row>
    <row r="6782" spans="1:40" x14ac:dyDescent="0.25">
      <c r="A6782" t="str">
        <f>"20190312172539367"</f>
        <v>20190312172539367</v>
      </c>
      <c r="B6782" t="str">
        <f>"1552382739356819"</f>
        <v>1552382739356819</v>
      </c>
      <c r="C6782" t="s">
        <v>40</v>
      </c>
      <c r="D6782">
        <v>3.566541</v>
      </c>
      <c r="E6782">
        <v>0.45170919999999998</v>
      </c>
      <c r="F6782" t="s">
        <v>50</v>
      </c>
      <c r="G6782">
        <v>-193.3843</v>
      </c>
      <c r="H6782" s="1">
        <v>-2.8368780000000001E-6</v>
      </c>
      <c r="I6782">
        <v>-48.353259999999999</v>
      </c>
      <c r="J6782">
        <v>-202.4931</v>
      </c>
      <c r="K6782">
        <v>1.1215759999999999</v>
      </c>
      <c r="L6782">
        <v>-58.528350000000003</v>
      </c>
      <c r="M6782">
        <v>0.83228780000000002</v>
      </c>
      <c r="N6782">
        <v>0</v>
      </c>
      <c r="O6782">
        <v>0.55411730000000003</v>
      </c>
      <c r="P6782">
        <v>0.74308999999999903</v>
      </c>
      <c r="Q6782">
        <v>0.19031819999999999</v>
      </c>
      <c r="R6782">
        <v>0.64155779999999996</v>
      </c>
      <c r="S6782">
        <v>2.0955810000000001</v>
      </c>
      <c r="T6782">
        <v>-0.254384</v>
      </c>
      <c r="U6782">
        <v>2.3290709999999999</v>
      </c>
      <c r="V6782">
        <v>-0.12774769999999999</v>
      </c>
      <c r="W6782">
        <v>0.2023394</v>
      </c>
      <c r="X6782">
        <v>0.97094760000000002</v>
      </c>
      <c r="Y6782">
        <v>-0.24883810000000001</v>
      </c>
      <c r="Z6782">
        <v>-3.6373370000000002E-2</v>
      </c>
      <c r="AA6782">
        <v>0.96786190000000005</v>
      </c>
      <c r="AB6782">
        <v>30</v>
      </c>
      <c r="AC6782">
        <v>9.1088000000000005</v>
      </c>
      <c r="AD6782">
        <v>-1.121578836878</v>
      </c>
      <c r="AE6782">
        <v>10.175090000000001</v>
      </c>
      <c r="AF6782">
        <v>-3.3987648433319402</v>
      </c>
      <c r="AG6782">
        <v>-1.121578836878</v>
      </c>
      <c r="AH6782">
        <v>13.132419437267499</v>
      </c>
      <c r="AI6782">
        <v>94.726531933435197</v>
      </c>
      <c r="AJ6782">
        <v>104.51018320181799</v>
      </c>
      <c r="AK6782">
        <v>13.611391619666399</v>
      </c>
      <c r="AL6782">
        <v>78.326205483320194</v>
      </c>
      <c r="AM6782">
        <v>97.495360925405294</v>
      </c>
      <c r="AN6782">
        <v>0.99999997479670399</v>
      </c>
    </row>
    <row r="6783" spans="1:40" x14ac:dyDescent="0.25">
      <c r="A6783" t="str">
        <f>"20190312172539379"</f>
        <v>20190312172539379</v>
      </c>
      <c r="B6783" t="str">
        <f>"1552382739366579"</f>
        <v>1552382739366579</v>
      </c>
      <c r="C6783" t="s">
        <v>40</v>
      </c>
      <c r="D6783">
        <v>3.5640079999999998</v>
      </c>
      <c r="E6783">
        <v>0.46035710000000002</v>
      </c>
      <c r="F6783" t="s">
        <v>50</v>
      </c>
      <c r="G6783">
        <v>-193.3338</v>
      </c>
      <c r="H6783" s="1">
        <v>-2.9211139999999998E-6</v>
      </c>
      <c r="I6783">
        <v>-48.192</v>
      </c>
      <c r="J6783">
        <v>-202.364</v>
      </c>
      <c r="K6783">
        <v>1.1215599999999999</v>
      </c>
      <c r="L6783">
        <v>-58.434330000000003</v>
      </c>
      <c r="M6783">
        <v>0.82814120000000002</v>
      </c>
      <c r="N6783">
        <v>0</v>
      </c>
      <c r="O6783">
        <v>0.5602956</v>
      </c>
      <c r="P6783">
        <v>0.73817929999999998</v>
      </c>
      <c r="Q6783">
        <v>0.19060150000000001</v>
      </c>
      <c r="R6783">
        <v>0.64711869999999905</v>
      </c>
      <c r="S6783">
        <v>2.0778810000000001</v>
      </c>
      <c r="T6783">
        <v>-0.2544421</v>
      </c>
      <c r="U6783">
        <v>2.34491</v>
      </c>
      <c r="V6783">
        <v>-0.12785199999999999</v>
      </c>
      <c r="W6783">
        <v>0.2026242</v>
      </c>
      <c r="X6783">
        <v>0.97087449999999997</v>
      </c>
      <c r="Y6783">
        <v>-0.24898229999999999</v>
      </c>
      <c r="Z6783">
        <v>-3.6919E-2</v>
      </c>
      <c r="AA6783">
        <v>0.96780409999999994</v>
      </c>
      <c r="AB6783">
        <v>30</v>
      </c>
      <c r="AC6783">
        <v>9.0302000000000007</v>
      </c>
      <c r="AD6783">
        <v>-1.1215629211139999</v>
      </c>
      <c r="AE6783">
        <v>10.242330000000001</v>
      </c>
      <c r="AF6783">
        <v>-3.4000052329758299</v>
      </c>
      <c r="AG6783">
        <v>-1.1215629211139999</v>
      </c>
      <c r="AH6783">
        <v>13.1300885807292</v>
      </c>
      <c r="AI6783">
        <v>94.727140095766998</v>
      </c>
      <c r="AJ6783">
        <v>104.517722964792</v>
      </c>
      <c r="AK6783">
        <v>13.6094513154674</v>
      </c>
      <c r="AL6783">
        <v>78.309542757599203</v>
      </c>
      <c r="AM6783">
        <v>97.501969241872402</v>
      </c>
      <c r="AN6783">
        <v>0.99999999753994495</v>
      </c>
    </row>
    <row r="6784" spans="1:40" x14ac:dyDescent="0.25">
      <c r="A6784" t="str">
        <f>"20190312172539399"</f>
        <v>20190312172539399</v>
      </c>
      <c r="B6784" t="str">
        <f>"1552382739387075"</f>
        <v>1552382739387075</v>
      </c>
      <c r="C6784" t="s">
        <v>40</v>
      </c>
      <c r="D6784">
        <v>3.561426</v>
      </c>
      <c r="E6784">
        <v>0.459976</v>
      </c>
      <c r="F6784" t="s">
        <v>50</v>
      </c>
      <c r="G6784">
        <v>-192.5052</v>
      </c>
      <c r="H6784" s="1">
        <v>-3.072913E-6</v>
      </c>
      <c r="I6784">
        <v>-47.624270000000003</v>
      </c>
      <c r="J6784">
        <v>-202.1499</v>
      </c>
      <c r="K6784">
        <v>1.1215269999999999</v>
      </c>
      <c r="L6784">
        <v>-58.274810000000002</v>
      </c>
      <c r="M6784">
        <v>0.82112109999999905</v>
      </c>
      <c r="N6784">
        <v>0</v>
      </c>
      <c r="O6784">
        <v>0.57053409999999904</v>
      </c>
      <c r="P6784">
        <v>0.72987340000000001</v>
      </c>
      <c r="Q6784">
        <v>0.19059280000000001</v>
      </c>
      <c r="R6784">
        <v>0.65647480000000002</v>
      </c>
      <c r="S6784">
        <v>2.1036990000000002</v>
      </c>
      <c r="T6784">
        <v>-0.2393245</v>
      </c>
      <c r="U6784">
        <v>2.306702</v>
      </c>
      <c r="V6784">
        <v>-0.12815399999999999</v>
      </c>
      <c r="W6784">
        <v>0.2026163</v>
      </c>
      <c r="X6784">
        <v>0.97083629999999999</v>
      </c>
      <c r="Y6784">
        <v>-0.2230163</v>
      </c>
      <c r="Z6784">
        <v>-3.656011E-2</v>
      </c>
      <c r="AA6784">
        <v>0.97412889999999996</v>
      </c>
      <c r="AB6784">
        <v>30</v>
      </c>
      <c r="AC6784">
        <v>9.6447000000000003</v>
      </c>
      <c r="AD6784">
        <v>-1.121530072913</v>
      </c>
      <c r="AE6784">
        <v>10.6505399999999</v>
      </c>
      <c r="AF6784">
        <v>-3.2235204839225302</v>
      </c>
      <c r="AG6784">
        <v>-1.121530072913</v>
      </c>
      <c r="AH6784">
        <v>13.9129544465506</v>
      </c>
      <c r="AI6784">
        <v>94.490236243292301</v>
      </c>
      <c r="AJ6784">
        <v>103.04480511975</v>
      </c>
      <c r="AK6784">
        <v>14.325474353280899</v>
      </c>
      <c r="AL6784">
        <v>78.310004620775999</v>
      </c>
      <c r="AM6784">
        <v>97.519779634772604</v>
      </c>
      <c r="AN6784">
        <v>0.99999996706968897</v>
      </c>
    </row>
    <row r="6785" spans="1:40" x14ac:dyDescent="0.25">
      <c r="A6785" t="str">
        <f>"20190312172539412"</f>
        <v>20190312172539412</v>
      </c>
      <c r="B6785" t="str">
        <f>"1552382739406596"</f>
        <v>1552382739406596</v>
      </c>
      <c r="C6785" t="s">
        <v>40</v>
      </c>
      <c r="D6785">
        <v>3.4416509999999998</v>
      </c>
      <c r="E6785">
        <v>0.44012699999999999</v>
      </c>
      <c r="F6785" t="s">
        <v>50</v>
      </c>
      <c r="G6785">
        <v>-192.44900000000001</v>
      </c>
      <c r="H6785" s="1">
        <v>-3.2289009999999999E-6</v>
      </c>
      <c r="I6785">
        <v>-47.339599999999997</v>
      </c>
      <c r="J6785">
        <v>-202.01900000000001</v>
      </c>
      <c r="K6785">
        <v>1.1215010000000001</v>
      </c>
      <c r="L6785">
        <v>-58.174900000000001</v>
      </c>
      <c r="M6785">
        <v>0.81674029999999997</v>
      </c>
      <c r="N6785">
        <v>0</v>
      </c>
      <c r="O6785">
        <v>0.57678809999999903</v>
      </c>
      <c r="P6785">
        <v>0.72468559999999904</v>
      </c>
      <c r="Q6785">
        <v>0.19045010000000001</v>
      </c>
      <c r="R6785">
        <v>0.6622384</v>
      </c>
      <c r="S6785">
        <v>2.0720519999999998</v>
      </c>
      <c r="T6785">
        <v>-0.23955190000000001</v>
      </c>
      <c r="U6785">
        <v>2.335693</v>
      </c>
      <c r="V6785">
        <v>-0.12839449999999999</v>
      </c>
      <c r="W6785">
        <v>0.2024734</v>
      </c>
      <c r="X6785">
        <v>0.97083439999999999</v>
      </c>
      <c r="Y6785">
        <v>-0.22896140000000001</v>
      </c>
      <c r="Z6785">
        <v>-3.6913189999999999E-2</v>
      </c>
      <c r="AA6785">
        <v>0.97273529999999997</v>
      </c>
      <c r="AB6785">
        <v>30</v>
      </c>
      <c r="AC6785">
        <v>9.5699999999999896</v>
      </c>
      <c r="AD6785">
        <v>-1.121504228901</v>
      </c>
      <c r="AE6785">
        <v>10.8353</v>
      </c>
      <c r="AF6785">
        <v>-3.3102592580869801</v>
      </c>
      <c r="AG6785">
        <v>-1.121504228901</v>
      </c>
      <c r="AH6785">
        <v>13.9834829215342</v>
      </c>
      <c r="AI6785">
        <v>94.462607454910994</v>
      </c>
      <c r="AJ6785">
        <v>103.31825258002701</v>
      </c>
      <c r="AK6785">
        <v>14.413652649763501</v>
      </c>
      <c r="AL6785">
        <v>78.318366214710395</v>
      </c>
      <c r="AM6785">
        <v>97.533744245994995</v>
      </c>
      <c r="AN6785">
        <v>1.0000000287805799</v>
      </c>
    </row>
    <row r="6786" spans="1:40" x14ac:dyDescent="0.25">
      <c r="A6786" t="str">
        <f>"20190312172539423"</f>
        <v>20190312172539423</v>
      </c>
      <c r="B6786" t="str">
        <f>"1552382739417331"</f>
        <v>1552382739417331</v>
      </c>
      <c r="C6786" t="s">
        <v>40</v>
      </c>
      <c r="D6786">
        <v>3.454272</v>
      </c>
      <c r="E6786">
        <v>0.43654939999999998</v>
      </c>
      <c r="F6786" t="s">
        <v>50</v>
      </c>
      <c r="G6786">
        <v>-192.07749999999999</v>
      </c>
      <c r="H6786" s="1">
        <v>-4.1171900000000003E-6</v>
      </c>
      <c r="I6786">
        <v>-45.568179999999998</v>
      </c>
      <c r="J6786">
        <v>-201.9068</v>
      </c>
      <c r="K6786">
        <v>1.121475</v>
      </c>
      <c r="L6786">
        <v>-58.088560000000001</v>
      </c>
      <c r="M6786">
        <v>0.81293970000000004</v>
      </c>
      <c r="N6786">
        <v>0</v>
      </c>
      <c r="O6786">
        <v>0.5821326</v>
      </c>
      <c r="P6786">
        <v>0.72013689999999997</v>
      </c>
      <c r="Q6786">
        <v>0.19057189999999999</v>
      </c>
      <c r="R6786">
        <v>0.66714709999999999</v>
      </c>
      <c r="S6786">
        <v>1.9442900000000001</v>
      </c>
      <c r="T6786">
        <v>-0.21933449999999999</v>
      </c>
      <c r="U6786">
        <v>2.4655149999999999</v>
      </c>
      <c r="V6786">
        <v>-0.12863289999999999</v>
      </c>
      <c r="W6786">
        <v>0.20259389999999999</v>
      </c>
      <c r="X6786">
        <v>0.97077769999999997</v>
      </c>
      <c r="Y6786">
        <v>-0.27840110000000001</v>
      </c>
      <c r="Z6786">
        <v>-3.2549759999999997E-2</v>
      </c>
      <c r="AA6786">
        <v>0.95991320000000002</v>
      </c>
      <c r="AB6786">
        <v>30</v>
      </c>
      <c r="AC6786">
        <v>9.8293000000000106</v>
      </c>
      <c r="AD6786">
        <v>-1.12147911719</v>
      </c>
      <c r="AE6786">
        <v>12.520379999999999</v>
      </c>
      <c r="AF6786">
        <v>-4.4349024767367302</v>
      </c>
      <c r="AG6786">
        <v>-1.12147911719</v>
      </c>
      <c r="AH6786">
        <v>15.2055867748516</v>
      </c>
      <c r="AI6786">
        <v>94.050029300531193</v>
      </c>
      <c r="AJ6786">
        <v>106.259995193668</v>
      </c>
      <c r="AK6786">
        <v>15.878789140107701</v>
      </c>
      <c r="AL6786">
        <v>78.311315938543203</v>
      </c>
      <c r="AM6786">
        <v>97.548007359806604</v>
      </c>
      <c r="AN6786">
        <v>1.0000000270484499</v>
      </c>
    </row>
    <row r="6787" spans="1:40" x14ac:dyDescent="0.25">
      <c r="A6787" t="str">
        <f>"20190312172539433"</f>
        <v>20190312172539433</v>
      </c>
      <c r="B6787" t="str">
        <f>"1552382739427091"</f>
        <v>1552382739427091</v>
      </c>
      <c r="C6787" t="s">
        <v>40</v>
      </c>
      <c r="D6787">
        <v>3.5909759999999999</v>
      </c>
      <c r="E6787">
        <v>0.43402109999999999</v>
      </c>
      <c r="F6787" t="s">
        <v>50</v>
      </c>
      <c r="G6787">
        <v>-192.16239999999999</v>
      </c>
      <c r="H6787" s="1">
        <v>-4.2536409999999999E-6</v>
      </c>
      <c r="I6787">
        <v>-45.32255</v>
      </c>
      <c r="J6787">
        <v>-201.79409999999999</v>
      </c>
      <c r="K6787">
        <v>1.121445</v>
      </c>
      <c r="L6787">
        <v>-58.000059999999998</v>
      </c>
      <c r="M6787">
        <v>0.80907119999999999</v>
      </c>
      <c r="N6787">
        <v>0</v>
      </c>
      <c r="O6787">
        <v>0.58749739999999995</v>
      </c>
      <c r="P6787">
        <v>0.71555230000000003</v>
      </c>
      <c r="Q6787">
        <v>0.1906735</v>
      </c>
      <c r="R6787">
        <v>0.67203310000000005</v>
      </c>
      <c r="S6787">
        <v>1.9081269999999999</v>
      </c>
      <c r="T6787">
        <v>-0.219606</v>
      </c>
      <c r="U6787">
        <v>2.4998170000000002</v>
      </c>
      <c r="V6787">
        <v>-0.1288213</v>
      </c>
      <c r="W6787">
        <v>0.20269570000000001</v>
      </c>
      <c r="X6787">
        <v>0.97073140000000002</v>
      </c>
      <c r="Y6787">
        <v>-0.2871823</v>
      </c>
      <c r="Z6787">
        <v>-3.2687460000000002E-2</v>
      </c>
      <c r="AA6787">
        <v>0.95731809999999995</v>
      </c>
      <c r="AB6787">
        <v>30</v>
      </c>
      <c r="AC6787">
        <v>9.6316999999999897</v>
      </c>
      <c r="AD6787">
        <v>-1.1214492536409999</v>
      </c>
      <c r="AE6787">
        <v>12.6775099999999</v>
      </c>
      <c r="AF6787">
        <v>-4.57628125073379</v>
      </c>
      <c r="AG6787">
        <v>-1.1214492536409999</v>
      </c>
      <c r="AH6787">
        <v>15.167394423668499</v>
      </c>
      <c r="AI6787">
        <v>94.049005240428698</v>
      </c>
      <c r="AJ6787">
        <v>106.789526526584</v>
      </c>
      <c r="AK6787">
        <v>15.8823755187139</v>
      </c>
      <c r="AL6787">
        <v>78.305358884030298</v>
      </c>
      <c r="AM6787">
        <v>97.559291044245697</v>
      </c>
      <c r="AN6787">
        <v>0.99999996253906898</v>
      </c>
    </row>
    <row r="6788" spans="1:40" x14ac:dyDescent="0.25">
      <c r="A6788" t="str">
        <f>"20190312172539444"</f>
        <v>20190312172539444</v>
      </c>
      <c r="B6788" t="str">
        <f>"1552382739436851"</f>
        <v>1552382739436851</v>
      </c>
      <c r="C6788" t="s">
        <v>40</v>
      </c>
      <c r="D6788">
        <v>3.4646430000000001</v>
      </c>
      <c r="E6788">
        <v>0.43312580000000001</v>
      </c>
      <c r="F6788" t="s">
        <v>50</v>
      </c>
      <c r="G6788">
        <v>-191.6036</v>
      </c>
      <c r="H6788" s="1">
        <v>-4.6397629999999996E-6</v>
      </c>
      <c r="I6788">
        <v>-44.280059999999999</v>
      </c>
      <c r="J6788">
        <v>-201.68369999999999</v>
      </c>
      <c r="K6788">
        <v>1.1214150000000001</v>
      </c>
      <c r="L6788">
        <v>-57.912570000000002</v>
      </c>
      <c r="M6788">
        <v>0.80523750000000005</v>
      </c>
      <c r="N6788">
        <v>0</v>
      </c>
      <c r="O6788">
        <v>0.59274119999999997</v>
      </c>
      <c r="P6788">
        <v>0.71125919999999998</v>
      </c>
      <c r="Q6788">
        <v>0.19067629999999999</v>
      </c>
      <c r="R6788">
        <v>0.67657449999999997</v>
      </c>
      <c r="S6788">
        <v>1.8757630000000001</v>
      </c>
      <c r="T6788">
        <v>-0.20642360000000001</v>
      </c>
      <c r="U6788">
        <v>2.5254210000000001</v>
      </c>
      <c r="V6788">
        <v>-0.12867700000000001</v>
      </c>
      <c r="W6788">
        <v>0.20270930000000001</v>
      </c>
      <c r="X6788">
        <v>0.97074780000000005</v>
      </c>
      <c r="Y6788">
        <v>-0.29345349999999998</v>
      </c>
      <c r="Z6788">
        <v>-3.0925230000000001E-2</v>
      </c>
      <c r="AA6788">
        <v>0.95547300000000002</v>
      </c>
      <c r="AB6788">
        <v>30</v>
      </c>
      <c r="AC6788">
        <v>10.0800999999999</v>
      </c>
      <c r="AD6788">
        <v>-1.1214196397630001</v>
      </c>
      <c r="AE6788">
        <v>13.6325099999999</v>
      </c>
      <c r="AF6788">
        <v>-4.9813513054255196</v>
      </c>
      <c r="AG6788">
        <v>-1.1214196397630001</v>
      </c>
      <c r="AH6788">
        <v>16.128891149248702</v>
      </c>
      <c r="AI6788">
        <v>93.800712239263206</v>
      </c>
      <c r="AJ6788">
        <v>107.16311942943901</v>
      </c>
      <c r="AK6788">
        <v>16.917818196824999</v>
      </c>
      <c r="AL6788">
        <v>78.304564308949196</v>
      </c>
      <c r="AM6788">
        <v>97.550795119641194</v>
      </c>
      <c r="AN6788">
        <v>1.00000006092016</v>
      </c>
    </row>
    <row r="6789" spans="1:40" x14ac:dyDescent="0.25">
      <c r="A6789" t="str">
        <f>"20190312172539455"</f>
        <v>20190312172539455</v>
      </c>
      <c r="B6789" t="str">
        <f>"1552382739446583"</f>
        <v>1552382739446583</v>
      </c>
      <c r="C6789" t="s">
        <v>40</v>
      </c>
      <c r="D6789">
        <v>3.466523</v>
      </c>
      <c r="E6789">
        <v>0.43285590000000002</v>
      </c>
      <c r="F6789" t="s">
        <v>50</v>
      </c>
      <c r="G6789">
        <v>-191.60659999999999</v>
      </c>
      <c r="H6789" s="1">
        <v>-4.7244159999999996E-6</v>
      </c>
      <c r="I6789">
        <v>-44.099499999999999</v>
      </c>
      <c r="J6789">
        <v>-201.57320000000001</v>
      </c>
      <c r="K6789">
        <v>1.1213770000000001</v>
      </c>
      <c r="L6789">
        <v>-57.8236699999999</v>
      </c>
      <c r="M6789">
        <v>0.80136099999999999</v>
      </c>
      <c r="N6789">
        <v>0</v>
      </c>
      <c r="O6789">
        <v>0.59797180000000005</v>
      </c>
      <c r="P6789">
        <v>0.706762</v>
      </c>
      <c r="Q6789">
        <v>0.19070280000000001</v>
      </c>
      <c r="R6789">
        <v>0.68126359999999997</v>
      </c>
      <c r="S6789">
        <v>1.8547670000000001</v>
      </c>
      <c r="T6789">
        <v>-0.20640739999999999</v>
      </c>
      <c r="U6789">
        <v>2.5424190000000002</v>
      </c>
      <c r="V6789">
        <v>-0.1287613</v>
      </c>
      <c r="W6789">
        <v>0.20273959999999999</v>
      </c>
      <c r="X6789">
        <v>0.97073019999999999</v>
      </c>
      <c r="Y6789">
        <v>-0.295427299999999</v>
      </c>
      <c r="Z6789">
        <v>-3.123565E-2</v>
      </c>
      <c r="AA6789">
        <v>0.95485450000000005</v>
      </c>
      <c r="AB6789">
        <v>30</v>
      </c>
      <c r="AC6789">
        <v>9.9666000000000192</v>
      </c>
      <c r="AD6789">
        <v>-1.121381724416</v>
      </c>
      <c r="AE6789">
        <v>13.7241699999999</v>
      </c>
      <c r="AF6789">
        <v>-5.0169698929518303</v>
      </c>
      <c r="AG6789">
        <v>-1.121381724416</v>
      </c>
      <c r="AH6789">
        <v>16.125054144343601</v>
      </c>
      <c r="AI6789">
        <v>93.799039996626206</v>
      </c>
      <c r="AJ6789">
        <v>107.282426142204</v>
      </c>
      <c r="AK6789">
        <v>16.924681829702202</v>
      </c>
      <c r="AL6789">
        <v>78.302790350064498</v>
      </c>
      <c r="AM6789">
        <v>97.555820137376799</v>
      </c>
      <c r="AN6789">
        <v>0.99999996948894398</v>
      </c>
    </row>
    <row r="6790" spans="1:40" x14ac:dyDescent="0.25">
      <c r="A6790" t="str">
        <f>"20190312172539467"</f>
        <v>20190312172539467</v>
      </c>
      <c r="B6790" t="str">
        <f>"1552382739457320"</f>
        <v>1552382739457320</v>
      </c>
      <c r="C6790" t="s">
        <v>40</v>
      </c>
      <c r="D6790">
        <v>3.4440680000000001</v>
      </c>
      <c r="E6790">
        <v>0.4328436</v>
      </c>
      <c r="F6790" t="s">
        <v>50</v>
      </c>
      <c r="G6790">
        <v>-191.61109999999999</v>
      </c>
      <c r="H6790" s="1">
        <v>-4.7916559999999999E-6</v>
      </c>
      <c r="I6790">
        <v>-43.956870000000002</v>
      </c>
      <c r="J6790">
        <v>-201.46190000000001</v>
      </c>
      <c r="K6790">
        <v>1.1213329999999999</v>
      </c>
      <c r="L6790">
        <v>-57.732999999999997</v>
      </c>
      <c r="M6790">
        <v>0.79741470000000003</v>
      </c>
      <c r="N6790">
        <v>0</v>
      </c>
      <c r="O6790">
        <v>0.60322439999999999</v>
      </c>
      <c r="P6790">
        <v>0.70234529999999995</v>
      </c>
      <c r="Q6790">
        <v>0.19073200000000001</v>
      </c>
      <c r="R6790">
        <v>0.68580790000000003</v>
      </c>
      <c r="S6790">
        <v>1.8364560000000001</v>
      </c>
      <c r="T6790">
        <v>-0.20672109999999999</v>
      </c>
      <c r="U6790">
        <v>2.5562740000000002</v>
      </c>
      <c r="V6790">
        <v>-0.1286265</v>
      </c>
      <c r="W6790">
        <v>0.20277970000000001</v>
      </c>
      <c r="X6790">
        <v>0.97073969999999998</v>
      </c>
      <c r="Y6790">
        <v>-0.2961222</v>
      </c>
      <c r="Z6790">
        <v>-3.1642070000000001E-2</v>
      </c>
      <c r="AA6790">
        <v>0.95462579999999997</v>
      </c>
      <c r="AB6790">
        <v>30</v>
      </c>
      <c r="AC6790">
        <v>9.8508000000000102</v>
      </c>
      <c r="AD6790">
        <v>-1.1213377916559999</v>
      </c>
      <c r="AE6790">
        <v>13.77613</v>
      </c>
      <c r="AF6790">
        <v>-5.0216618455690396</v>
      </c>
      <c r="AG6790">
        <v>-1.1213377916559999</v>
      </c>
      <c r="AH6790">
        <v>16.096725590571801</v>
      </c>
      <c r="AI6790">
        <v>93.804653626281294</v>
      </c>
      <c r="AJ6790">
        <v>107.326246259166</v>
      </c>
      <c r="AK6790">
        <v>16.899084616404799</v>
      </c>
      <c r="AL6790">
        <v>78.300444109050005</v>
      </c>
      <c r="AM6790">
        <v>97.547928194825204</v>
      </c>
      <c r="AN6790">
        <v>0.99999997419521403</v>
      </c>
    </row>
    <row r="6791" spans="1:40" x14ac:dyDescent="0.25">
      <c r="A6791" t="str">
        <f>"20190312172539476"</f>
        <v>20190312172539476</v>
      </c>
      <c r="B6791" t="str">
        <f>"1552382739467079"</f>
        <v>1552382739467079</v>
      </c>
      <c r="C6791" t="s">
        <v>40</v>
      </c>
      <c r="D6791">
        <v>3.4878830000000001</v>
      </c>
      <c r="E6791">
        <v>0.4331776</v>
      </c>
      <c r="F6791" t="s">
        <v>50</v>
      </c>
      <c r="G6791">
        <v>-191.63409999999999</v>
      </c>
      <c r="H6791" s="1">
        <v>-4.8383090000000004E-6</v>
      </c>
      <c r="I6791">
        <v>-43.865490000000001</v>
      </c>
      <c r="J6791">
        <v>-201.35169999999999</v>
      </c>
      <c r="K6791">
        <v>1.1212869999999999</v>
      </c>
      <c r="L6791">
        <v>-57.642180000000003</v>
      </c>
      <c r="M6791">
        <v>0.79347140000000005</v>
      </c>
      <c r="N6791">
        <v>0</v>
      </c>
      <c r="O6791">
        <v>0.60840229999999995</v>
      </c>
      <c r="P6791">
        <v>0.69797290000000001</v>
      </c>
      <c r="Q6791">
        <v>0.19081870000000001</v>
      </c>
      <c r="R6791">
        <v>0.69023330000000005</v>
      </c>
      <c r="S6791">
        <v>1.820068</v>
      </c>
      <c r="T6791">
        <v>-0.2076672</v>
      </c>
      <c r="U6791">
        <v>2.5682070000000001</v>
      </c>
      <c r="V6791">
        <v>-0.12843489999999999</v>
      </c>
      <c r="W6791">
        <v>0.20287920000000001</v>
      </c>
      <c r="X6791">
        <v>0.9707443</v>
      </c>
      <c r="Y6791">
        <v>-0.29606369999999999</v>
      </c>
      <c r="Z6791">
        <v>-3.2166359999999998E-2</v>
      </c>
      <c r="AA6791">
        <v>0.95462639999999999</v>
      </c>
      <c r="AB6791">
        <v>30</v>
      </c>
      <c r="AC6791">
        <v>9.7175999999999991</v>
      </c>
      <c r="AD6791">
        <v>-1.121291838309</v>
      </c>
      <c r="AE6791">
        <v>13.77669</v>
      </c>
      <c r="AF6791">
        <v>-4.9977187118669502</v>
      </c>
      <c r="AG6791">
        <v>-1.121291838309</v>
      </c>
      <c r="AH6791">
        <v>16.023537100329701</v>
      </c>
      <c r="AI6791">
        <v>93.821899147171393</v>
      </c>
      <c r="AJ6791">
        <v>107.322626961697</v>
      </c>
      <c r="AK6791">
        <v>16.8222539784432</v>
      </c>
      <c r="AL6791">
        <v>78.294622407251396</v>
      </c>
      <c r="AM6791">
        <v>97.536778960862407</v>
      </c>
      <c r="AN6791">
        <v>0.99999999465656997</v>
      </c>
    </row>
    <row r="6792" spans="1:40" x14ac:dyDescent="0.25">
      <c r="A6792" t="str">
        <f>"20190312172539488"</f>
        <v>20190312172539488</v>
      </c>
      <c r="B6792" t="str">
        <f>"1552382739476839"</f>
        <v>1552382739476839</v>
      </c>
      <c r="C6792" t="s">
        <v>40</v>
      </c>
      <c r="D6792">
        <v>3.5316139999999998</v>
      </c>
      <c r="E6792">
        <v>0.43355490000000002</v>
      </c>
      <c r="F6792" t="s">
        <v>50</v>
      </c>
      <c r="G6792">
        <v>-191.71209999999999</v>
      </c>
      <c r="H6792" s="1">
        <v>-4.8444270000000003E-6</v>
      </c>
      <c r="I6792">
        <v>-43.882170000000002</v>
      </c>
      <c r="J6792">
        <v>-201.24289999999999</v>
      </c>
      <c r="K6792">
        <v>1.121232</v>
      </c>
      <c r="L6792">
        <v>-57.551029999999997</v>
      </c>
      <c r="M6792">
        <v>0.78954089999999999</v>
      </c>
      <c r="N6792">
        <v>0</v>
      </c>
      <c r="O6792">
        <v>0.61349449999999905</v>
      </c>
      <c r="P6792">
        <v>0.69348599999999905</v>
      </c>
      <c r="Q6792">
        <v>0.19089439999999999</v>
      </c>
      <c r="R6792">
        <v>0.69472040000000002</v>
      </c>
      <c r="S6792">
        <v>1.806076</v>
      </c>
      <c r="T6792">
        <v>-0.2100843</v>
      </c>
      <c r="U6792">
        <v>2.5780639999999999</v>
      </c>
      <c r="V6792">
        <v>-0.1284372</v>
      </c>
      <c r="W6792">
        <v>0.20296230000000001</v>
      </c>
      <c r="X6792">
        <v>0.9707266</v>
      </c>
      <c r="Y6792">
        <v>-0.2951278</v>
      </c>
      <c r="Z6792">
        <v>-3.2944750000000002E-2</v>
      </c>
      <c r="AA6792">
        <v>0.95488969999999995</v>
      </c>
      <c r="AB6792">
        <v>30</v>
      </c>
      <c r="AC6792">
        <v>9.5307999999999993</v>
      </c>
      <c r="AD6792">
        <v>-1.121236844427</v>
      </c>
      <c r="AE6792">
        <v>13.66886</v>
      </c>
      <c r="AF6792">
        <v>-4.92335749946613</v>
      </c>
      <c r="AG6792">
        <v>-1.121236844427</v>
      </c>
      <c r="AH6792">
        <v>15.840993095055699</v>
      </c>
      <c r="AI6792">
        <v>93.866822575473606</v>
      </c>
      <c r="AJ6792">
        <v>107.265168274632</v>
      </c>
      <c r="AK6792">
        <v>16.6262949380328</v>
      </c>
      <c r="AL6792">
        <v>78.289759681804995</v>
      </c>
      <c r="AM6792">
        <v>97.537048223591697</v>
      </c>
      <c r="AN6792">
        <v>0.99999997075634395</v>
      </c>
    </row>
    <row r="6793" spans="1:40" x14ac:dyDescent="0.25">
      <c r="A6793" t="str">
        <f>"20190312172539499"</f>
        <v>20190312172539499</v>
      </c>
      <c r="B6793" t="str">
        <f>"1552382739486599"</f>
        <v>1552382739486599</v>
      </c>
      <c r="C6793" t="s">
        <v>40</v>
      </c>
      <c r="D6793">
        <v>3.534141</v>
      </c>
      <c r="E6793">
        <v>0.43404160000000003</v>
      </c>
      <c r="F6793" t="s">
        <v>50</v>
      </c>
      <c r="G6793">
        <v>-191.61279999999999</v>
      </c>
      <c r="H6793" s="1">
        <v>-4.93714099999999E-6</v>
      </c>
      <c r="I6793">
        <v>-43.645200000000003</v>
      </c>
      <c r="J6793">
        <v>-201.13210000000001</v>
      </c>
      <c r="K6793">
        <v>1.1211679999999999</v>
      </c>
      <c r="L6793">
        <v>-57.45758</v>
      </c>
      <c r="M6793">
        <v>0.78550959999999903</v>
      </c>
      <c r="N6793">
        <v>0</v>
      </c>
      <c r="O6793">
        <v>0.61864799999999998</v>
      </c>
      <c r="P6793">
        <v>0.68884880000000004</v>
      </c>
      <c r="Q6793">
        <v>0.19061819999999999</v>
      </c>
      <c r="R6793">
        <v>0.69939410000000002</v>
      </c>
      <c r="S6793">
        <v>1.7916559999999999</v>
      </c>
      <c r="T6793">
        <v>-0.2086045</v>
      </c>
      <c r="U6793">
        <v>2.5871580000000001</v>
      </c>
      <c r="V6793">
        <v>-0.12856489999999901</v>
      </c>
      <c r="W6793">
        <v>0.20269200000000001</v>
      </c>
      <c r="X6793">
        <v>0.97076620000000002</v>
      </c>
      <c r="Y6793">
        <v>-0.29404469999999999</v>
      </c>
      <c r="Z6793">
        <v>-3.3132750000000002E-2</v>
      </c>
      <c r="AA6793">
        <v>0.95521719999999999</v>
      </c>
      <c r="AB6793">
        <v>30</v>
      </c>
      <c r="AC6793">
        <v>9.5193000000000101</v>
      </c>
      <c r="AD6793">
        <v>-1.121172937141</v>
      </c>
      <c r="AE6793">
        <v>13.812379999999999</v>
      </c>
      <c r="AF6793">
        <v>-4.9392158701750501</v>
      </c>
      <c r="AG6793">
        <v>-1.121172937141</v>
      </c>
      <c r="AH6793">
        <v>15.9532363099996</v>
      </c>
      <c r="AI6793">
        <v>93.840772114335394</v>
      </c>
      <c r="AJ6793">
        <v>107.202832635869</v>
      </c>
      <c r="AK6793">
        <v>16.7379398651643</v>
      </c>
      <c r="AL6793">
        <v>78.305575789472698</v>
      </c>
      <c r="AM6793">
        <v>97.544151519821597</v>
      </c>
      <c r="AN6793">
        <v>0.99999999771922499</v>
      </c>
    </row>
    <row r="6794" spans="1:40" x14ac:dyDescent="0.25">
      <c r="A6794" t="str">
        <f>"20190312172539511"</f>
        <v>20190312172539511</v>
      </c>
      <c r="B6794" t="str">
        <f>"1552382739507095"</f>
        <v>1552382739507095</v>
      </c>
      <c r="C6794" t="s">
        <v>40</v>
      </c>
      <c r="D6794">
        <v>3.442577</v>
      </c>
      <c r="E6794">
        <v>0.43497970000000002</v>
      </c>
      <c r="F6794" t="s">
        <v>50</v>
      </c>
      <c r="G6794">
        <v>-191.65199999999999</v>
      </c>
      <c r="H6794" s="1">
        <v>-4.9625740000000003E-6</v>
      </c>
      <c r="I6794">
        <v>-43.60557</v>
      </c>
      <c r="J6794">
        <v>-201.01769999999999</v>
      </c>
      <c r="K6794">
        <v>1.121095</v>
      </c>
      <c r="L6794">
        <v>-57.358980000000003</v>
      </c>
      <c r="M6794">
        <v>0.78131419999999996</v>
      </c>
      <c r="N6794">
        <v>0</v>
      </c>
      <c r="O6794">
        <v>0.6239384</v>
      </c>
      <c r="P6794">
        <v>0.68410269999999995</v>
      </c>
      <c r="Q6794">
        <v>0.1905135</v>
      </c>
      <c r="R6794">
        <v>0.70406550000000001</v>
      </c>
      <c r="S6794">
        <v>1.776993</v>
      </c>
      <c r="T6794">
        <v>-0.21015619999999999</v>
      </c>
      <c r="U6794">
        <v>2.5964659999999999</v>
      </c>
      <c r="V6794">
        <v>-0.12855819999999901</v>
      </c>
      <c r="W6794">
        <v>0.20259759999999999</v>
      </c>
      <c r="X6794">
        <v>0.97078679999999995</v>
      </c>
      <c r="Y6794">
        <v>-0.29287459999999998</v>
      </c>
      <c r="Z6794">
        <v>-3.3812559999999998E-2</v>
      </c>
      <c r="AA6794">
        <v>0.95555279999999998</v>
      </c>
      <c r="AB6794">
        <v>30</v>
      </c>
      <c r="AC6794">
        <v>9.3656999999999702</v>
      </c>
      <c r="AD6794">
        <v>-1.1210999625739999</v>
      </c>
      <c r="AE6794">
        <v>13.753410000000001</v>
      </c>
      <c r="AF6794">
        <v>-4.8805696920314503</v>
      </c>
      <c r="AG6794">
        <v>-1.1210999625739999</v>
      </c>
      <c r="AH6794">
        <v>15.8289590931722</v>
      </c>
      <c r="AI6794">
        <v>93.871971536820794</v>
      </c>
      <c r="AJ6794">
        <v>107.136188468474</v>
      </c>
      <c r="AK6794">
        <v>16.6021917715155</v>
      </c>
      <c r="AL6794">
        <v>78.311099189716302</v>
      </c>
      <c r="AM6794">
        <v>97.543604659384002</v>
      </c>
      <c r="AN6794">
        <v>1.0000000046836199</v>
      </c>
    </row>
    <row r="6795" spans="1:40" x14ac:dyDescent="0.25">
      <c r="A6795" t="str">
        <f>"20190312172539522"</f>
        <v>20190312172539522</v>
      </c>
      <c r="B6795" t="str">
        <f>"1552382739516855"</f>
        <v>1552382739516855</v>
      </c>
      <c r="C6795" t="s">
        <v>40</v>
      </c>
      <c r="D6795">
        <v>3.436642</v>
      </c>
      <c r="E6795">
        <v>0.43556400000000001</v>
      </c>
      <c r="F6795" t="s">
        <v>50</v>
      </c>
      <c r="G6795">
        <v>-191.64779999999999</v>
      </c>
      <c r="H6795" s="1">
        <v>-4.9930469999999997E-6</v>
      </c>
      <c r="I6795">
        <v>-43.538559999999997</v>
      </c>
      <c r="J6795">
        <v>-200.90620000000001</v>
      </c>
      <c r="K6795">
        <v>1.121019</v>
      </c>
      <c r="L6795">
        <v>-57.262450000000001</v>
      </c>
      <c r="M6795">
        <v>0.77719919999999998</v>
      </c>
      <c r="N6795">
        <v>0</v>
      </c>
      <c r="O6795">
        <v>0.62905719999999898</v>
      </c>
      <c r="P6795">
        <v>0.6793903</v>
      </c>
      <c r="Q6795">
        <v>0.19034309999999999</v>
      </c>
      <c r="R6795">
        <v>0.70865959999999995</v>
      </c>
      <c r="S6795">
        <v>1.764923</v>
      </c>
      <c r="T6795">
        <v>-0.21117250000000001</v>
      </c>
      <c r="U6795">
        <v>2.6032410000000001</v>
      </c>
      <c r="V6795">
        <v>-0.1286515</v>
      </c>
      <c r="W6795">
        <v>0.20243610000000001</v>
      </c>
      <c r="X6795">
        <v>0.97080809999999995</v>
      </c>
      <c r="Y6795">
        <v>-0.29079680000000002</v>
      </c>
      <c r="Z6795">
        <v>-3.4430490000000001E-2</v>
      </c>
      <c r="AA6795">
        <v>0.95616509999999999</v>
      </c>
      <c r="AB6795">
        <v>30</v>
      </c>
      <c r="AC6795">
        <v>9.2584000000000195</v>
      </c>
      <c r="AD6795">
        <v>-1.1210239930470001</v>
      </c>
      <c r="AE6795">
        <v>13.723890000000001</v>
      </c>
      <c r="AF6795">
        <v>-4.8206301384896904</v>
      </c>
      <c r="AG6795">
        <v>-1.1210239930470001</v>
      </c>
      <c r="AH6795">
        <v>15.7584404401813</v>
      </c>
      <c r="AI6795">
        <v>93.891620989380002</v>
      </c>
      <c r="AJ6795">
        <v>107.00928118033301</v>
      </c>
      <c r="AK6795">
        <v>16.517373121409001</v>
      </c>
      <c r="AL6795">
        <v>78.320547903025997</v>
      </c>
      <c r="AM6795">
        <v>97.5488525297271</v>
      </c>
      <c r="AN6795">
        <v>0.99999997503053395</v>
      </c>
    </row>
    <row r="6796" spans="1:40" x14ac:dyDescent="0.25">
      <c r="A6796" t="str">
        <f>"20190312172539534"</f>
        <v>20190312172539534</v>
      </c>
      <c r="B6796" t="str">
        <f>"1552382739526615"</f>
        <v>1552382739526615</v>
      </c>
      <c r="C6796" t="s">
        <v>40</v>
      </c>
      <c r="D6796">
        <v>3.4401920000000001</v>
      </c>
      <c r="E6796">
        <v>0.43606440000000002</v>
      </c>
      <c r="F6796" t="s">
        <v>50</v>
      </c>
      <c r="G6796">
        <v>-191.71440000000001</v>
      </c>
      <c r="H6796" s="1">
        <v>-4.9989240000000004E-6</v>
      </c>
      <c r="I6796">
        <v>-43.551369999999999</v>
      </c>
      <c r="J6796">
        <v>-200.78989999999999</v>
      </c>
      <c r="K6796">
        <v>1.1209340000000001</v>
      </c>
      <c r="L6796">
        <v>-57.159730000000003</v>
      </c>
      <c r="M6796">
        <v>0.77288900000000005</v>
      </c>
      <c r="N6796">
        <v>0</v>
      </c>
      <c r="O6796">
        <v>0.63434579999999996</v>
      </c>
      <c r="P6796">
        <v>0.67440440000000001</v>
      </c>
      <c r="Q6796">
        <v>0.1902286</v>
      </c>
      <c r="R6796">
        <v>0.71343650000000003</v>
      </c>
      <c r="S6796">
        <v>1.7510680000000001</v>
      </c>
      <c r="T6796">
        <v>-0.2135582</v>
      </c>
      <c r="U6796">
        <v>2.6120000000000001</v>
      </c>
      <c r="V6796">
        <v>-0.12881090000000001</v>
      </c>
      <c r="W6796">
        <v>0.2023287</v>
      </c>
      <c r="X6796">
        <v>0.97080940000000004</v>
      </c>
      <c r="Y6796">
        <v>-0.28926960000000002</v>
      </c>
      <c r="Z6796">
        <v>-3.5267989999999999E-2</v>
      </c>
      <c r="AA6796">
        <v>0.9565977</v>
      </c>
      <c r="AB6796">
        <v>30</v>
      </c>
      <c r="AC6796">
        <v>9.0754999999999697</v>
      </c>
      <c r="AD6796">
        <v>-1.120938998924</v>
      </c>
      <c r="AE6796">
        <v>13.608359999999999</v>
      </c>
      <c r="AF6796">
        <v>-4.7390807582017596</v>
      </c>
      <c r="AG6796">
        <v>-1.120938998924</v>
      </c>
      <c r="AH6796">
        <v>15.575553273456199</v>
      </c>
      <c r="AI6796">
        <v>93.938676635824706</v>
      </c>
      <c r="AJ6796">
        <v>106.92311932255799</v>
      </c>
      <c r="AK6796">
        <v>16.319106913257801</v>
      </c>
      <c r="AL6796">
        <v>78.326832042794095</v>
      </c>
      <c r="AM6796">
        <v>97.558087539875999</v>
      </c>
      <c r="AN6796">
        <v>1.0000000209654201</v>
      </c>
    </row>
    <row r="6797" spans="1:40" x14ac:dyDescent="0.25">
      <c r="A6797" t="str">
        <f>"20190312172539546"</f>
        <v>20190312172539546</v>
      </c>
      <c r="B6797" t="str">
        <f>"1552382739537351"</f>
        <v>1552382739537351</v>
      </c>
      <c r="C6797" t="s">
        <v>40</v>
      </c>
      <c r="D6797">
        <v>3.4556309999999999</v>
      </c>
      <c r="E6797">
        <v>0.43667640000000002</v>
      </c>
      <c r="F6797" t="s">
        <v>50</v>
      </c>
      <c r="G6797">
        <v>-191.77539999999999</v>
      </c>
      <c r="H6797" s="1">
        <v>-5.0124499999999998E-6</v>
      </c>
      <c r="I6797">
        <v>-43.545679999999997</v>
      </c>
      <c r="J6797">
        <v>-200.68289999999999</v>
      </c>
      <c r="K6797">
        <v>1.120849</v>
      </c>
      <c r="L6797">
        <v>-57.064419999999998</v>
      </c>
      <c r="M6797">
        <v>0.76890219999999998</v>
      </c>
      <c r="N6797">
        <v>0</v>
      </c>
      <c r="O6797">
        <v>0.63917290000000004</v>
      </c>
      <c r="P6797">
        <v>0.66990950000000005</v>
      </c>
      <c r="Q6797">
        <v>0.19021389999999999</v>
      </c>
      <c r="R6797">
        <v>0.71766280000000005</v>
      </c>
      <c r="S6797">
        <v>1.7359009999999999</v>
      </c>
      <c r="T6797">
        <v>-0.21585789999999999</v>
      </c>
      <c r="U6797">
        <v>2.6216430000000002</v>
      </c>
      <c r="V6797">
        <v>-0.12878970000000001</v>
      </c>
      <c r="W6797">
        <v>0.20232539999999999</v>
      </c>
      <c r="X6797">
        <v>0.97081289999999998</v>
      </c>
      <c r="Y6797">
        <v>-0.28876069999999998</v>
      </c>
      <c r="Z6797">
        <v>-3.6036110000000003E-2</v>
      </c>
      <c r="AA6797">
        <v>0.95672290000000004</v>
      </c>
      <c r="AB6797">
        <v>30</v>
      </c>
      <c r="AC6797">
        <v>8.90749999999999</v>
      </c>
      <c r="AD6797">
        <v>-1.1208540124499999</v>
      </c>
      <c r="AE6797">
        <v>13.518739999999999</v>
      </c>
      <c r="AF6797">
        <v>-4.6793088283874003</v>
      </c>
      <c r="AG6797">
        <v>-1.1208540124499999</v>
      </c>
      <c r="AH6797">
        <v>15.417823440711899</v>
      </c>
      <c r="AI6797">
        <v>93.979384293557004</v>
      </c>
      <c r="AJ6797">
        <v>106.883041828351</v>
      </c>
      <c r="AK6797">
        <v>16.151208142972301</v>
      </c>
      <c r="AL6797">
        <v>78.327025107102898</v>
      </c>
      <c r="AM6797">
        <v>97.556831059671396</v>
      </c>
      <c r="AN6797">
        <v>1.00000002055883</v>
      </c>
    </row>
    <row r="6798" spans="1:40" x14ac:dyDescent="0.25">
      <c r="A6798" t="str">
        <f>"20190312172539556"</f>
        <v>20190312172539556</v>
      </c>
      <c r="B6798" t="str">
        <f>"1552382739547112"</f>
        <v>1552382739547112</v>
      </c>
      <c r="C6798" t="s">
        <v>40</v>
      </c>
      <c r="D6798">
        <v>3.4132820000000001</v>
      </c>
      <c r="E6798">
        <v>0.43724269999999998</v>
      </c>
      <c r="F6798" t="s">
        <v>50</v>
      </c>
      <c r="G6798">
        <v>-191.79230000000001</v>
      </c>
      <c r="H6798" s="1">
        <v>-5.0374859999999997E-6</v>
      </c>
      <c r="I6798">
        <v>-43.498390000000001</v>
      </c>
      <c r="J6798">
        <v>-200.5761</v>
      </c>
      <c r="K6798">
        <v>1.1207590000000001</v>
      </c>
      <c r="L6798">
        <v>-56.968020000000003</v>
      </c>
      <c r="M6798">
        <v>0.76490590000000003</v>
      </c>
      <c r="N6798">
        <v>0</v>
      </c>
      <c r="O6798">
        <v>0.64395029999999998</v>
      </c>
      <c r="P6798">
        <v>0.66539169999999903</v>
      </c>
      <c r="Q6798">
        <v>0.19036020000000001</v>
      </c>
      <c r="R6798">
        <v>0.72181509999999904</v>
      </c>
      <c r="S6798">
        <v>1.7231449999999999</v>
      </c>
      <c r="T6798">
        <v>-0.21724099999999999</v>
      </c>
      <c r="U6798">
        <v>2.6293329999999999</v>
      </c>
      <c r="V6798">
        <v>-0.12876409999999999</v>
      </c>
      <c r="W6798">
        <v>0.20248279999999999</v>
      </c>
      <c r="X6798">
        <v>0.97078350000000002</v>
      </c>
      <c r="Y6798">
        <v>-0.28734110000000002</v>
      </c>
      <c r="Z6798">
        <v>-3.6683029999999998E-2</v>
      </c>
      <c r="AA6798">
        <v>0.95712569999999997</v>
      </c>
      <c r="AB6798">
        <v>30</v>
      </c>
      <c r="AC6798">
        <v>8.7837999999999798</v>
      </c>
      <c r="AD6798">
        <v>-1.120764037486</v>
      </c>
      <c r="AE6798">
        <v>13.469629999999899</v>
      </c>
      <c r="AF6798">
        <v>-4.6247773296836998</v>
      </c>
      <c r="AG6798">
        <v>-1.120764037486</v>
      </c>
      <c r="AH6798">
        <v>15.3200350084819</v>
      </c>
      <c r="AI6798">
        <v>94.006177850845205</v>
      </c>
      <c r="AJ6798">
        <v>106.797895695474</v>
      </c>
      <c r="AK6798">
        <v>16.042074368297499</v>
      </c>
      <c r="AL6798">
        <v>78.317816385206001</v>
      </c>
      <c r="AM6798">
        <v>97.555572483718905</v>
      </c>
      <c r="AN6798">
        <v>1.00000004080844</v>
      </c>
    </row>
    <row r="6799" spans="1:40" x14ac:dyDescent="0.25">
      <c r="A6799" t="str">
        <f>"20190312172539568"</f>
        <v>20190312172539568</v>
      </c>
      <c r="B6799" t="str">
        <f>"1552382739556872"</f>
        <v>1552382739556872</v>
      </c>
      <c r="C6799" t="s">
        <v>40</v>
      </c>
      <c r="D6799">
        <v>3.4514610000000001</v>
      </c>
      <c r="E6799">
        <v>0.43771280000000001</v>
      </c>
      <c r="F6799" t="s">
        <v>50</v>
      </c>
      <c r="G6799">
        <v>-191.79599999999999</v>
      </c>
      <c r="H6799" s="1">
        <v>-5.0696669999999997E-6</v>
      </c>
      <c r="I6799">
        <v>-43.430709999999998</v>
      </c>
      <c r="J6799">
        <v>-200.47</v>
      </c>
      <c r="K6799">
        <v>1.1206640000000001</v>
      </c>
      <c r="L6799">
        <v>-56.871090000000002</v>
      </c>
      <c r="M6799">
        <v>0.7609262</v>
      </c>
      <c r="N6799">
        <v>0</v>
      </c>
      <c r="O6799">
        <v>0.64864860000000002</v>
      </c>
      <c r="P6799">
        <v>0.66090669999999996</v>
      </c>
      <c r="Q6799">
        <v>0.19048329999999999</v>
      </c>
      <c r="R6799">
        <v>0.72589150000000002</v>
      </c>
      <c r="S6799">
        <v>1.7103729999999999</v>
      </c>
      <c r="T6799">
        <v>-0.2183263</v>
      </c>
      <c r="U6799">
        <v>2.6370849999999999</v>
      </c>
      <c r="V6799">
        <v>-0.12873080000000001</v>
      </c>
      <c r="W6799">
        <v>0.20261770000000001</v>
      </c>
      <c r="X6799">
        <v>0.9707597</v>
      </c>
      <c r="Y6799">
        <v>-0.2860029</v>
      </c>
      <c r="Z6799">
        <v>-3.7274929999999998E-2</v>
      </c>
      <c r="AA6799">
        <v>0.95750349999999995</v>
      </c>
      <c r="AB6799">
        <v>30</v>
      </c>
      <c r="AC6799">
        <v>8.6739999999999995</v>
      </c>
      <c r="AD6799">
        <v>-1.1206690696670001</v>
      </c>
      <c r="AE6799">
        <v>13.440379999999999</v>
      </c>
      <c r="AF6799">
        <v>-4.5788524966304696</v>
      </c>
      <c r="AG6799">
        <v>-1.1206690696670001</v>
      </c>
      <c r="AH6799">
        <v>15.2454181330559</v>
      </c>
      <c r="AI6799">
        <v>94.027081778186798</v>
      </c>
      <c r="AJ6799">
        <v>106.717264990217</v>
      </c>
      <c r="AK6799">
        <v>15.9575863902195</v>
      </c>
      <c r="AL6799">
        <v>78.309922780118399</v>
      </c>
      <c r="AM6799">
        <v>97.553824136972494</v>
      </c>
      <c r="AN6799">
        <v>0.99999997318300904</v>
      </c>
    </row>
    <row r="6800" spans="1:40" x14ac:dyDescent="0.25">
      <c r="A6800" t="str">
        <f>"20190312172539580"</f>
        <v>20190312172539580</v>
      </c>
      <c r="B6800" t="str">
        <f>"1552382739577368"</f>
        <v>1552382739577368</v>
      </c>
      <c r="C6800" t="s">
        <v>40</v>
      </c>
      <c r="D6800">
        <v>3.4458310000000001</v>
      </c>
      <c r="E6800">
        <v>0.43879679999999999</v>
      </c>
      <c r="F6800" t="s">
        <v>50</v>
      </c>
      <c r="G6800">
        <v>-191.74160000000001</v>
      </c>
      <c r="H6800" s="1">
        <v>-5.1359169999999899E-6</v>
      </c>
      <c r="I6800">
        <v>-43.267679999999999</v>
      </c>
      <c r="J6800">
        <v>-200.3459</v>
      </c>
      <c r="K6800">
        <v>1.1205499999999999</v>
      </c>
      <c r="L6800">
        <v>-56.75665</v>
      </c>
      <c r="M6800">
        <v>0.75624740000000001</v>
      </c>
      <c r="N6800">
        <v>0</v>
      </c>
      <c r="O6800">
        <v>0.65409799999999996</v>
      </c>
      <c r="P6800">
        <v>0.65567619999999904</v>
      </c>
      <c r="Q6800">
        <v>0.19095329999999999</v>
      </c>
      <c r="R6800">
        <v>0.73049679999999995</v>
      </c>
      <c r="S6800">
        <v>1.6970670000000001</v>
      </c>
      <c r="T6800">
        <v>-0.21789059999999999</v>
      </c>
      <c r="U6800">
        <v>2.6448969999999998</v>
      </c>
      <c r="V6800">
        <v>-0.1285907</v>
      </c>
      <c r="W6800">
        <v>0.2031038</v>
      </c>
      <c r="X6800">
        <v>0.97067669999999995</v>
      </c>
      <c r="Y6800">
        <v>-0.28382439999999998</v>
      </c>
      <c r="Z6800">
        <v>-3.7693379999999999E-2</v>
      </c>
      <c r="AA6800">
        <v>0.95813510000000002</v>
      </c>
      <c r="AB6800">
        <v>30</v>
      </c>
      <c r="AC6800">
        <v>8.6042999999999896</v>
      </c>
      <c r="AD6800">
        <v>-1.1205551359169901</v>
      </c>
      <c r="AE6800">
        <v>13.48897</v>
      </c>
      <c r="AF6800">
        <v>-4.5511808112879999</v>
      </c>
      <c r="AG6800">
        <v>-1.1205551359169901</v>
      </c>
      <c r="AH6800">
        <v>15.2571331808018</v>
      </c>
      <c r="AI6800">
        <v>94.025844827883205</v>
      </c>
      <c r="AJ6800">
        <v>106.609766162279</v>
      </c>
      <c r="AK6800">
        <v>15.960858482123999</v>
      </c>
      <c r="AL6800">
        <v>78.281480090587195</v>
      </c>
      <c r="AM6800">
        <v>97.546335732702602</v>
      </c>
      <c r="AN6800">
        <v>0.99999998881190899</v>
      </c>
    </row>
    <row r="6801" spans="1:40" x14ac:dyDescent="0.25">
      <c r="A6801" t="str">
        <f>"20190312172539602"</f>
        <v>20190312172539602</v>
      </c>
      <c r="B6801" t="str">
        <f>"1552382739596888"</f>
        <v>1552382739596888</v>
      </c>
      <c r="C6801" t="s">
        <v>40</v>
      </c>
      <c r="D6801">
        <v>3.4540150000000001</v>
      </c>
      <c r="E6801">
        <v>0.44993179999999999</v>
      </c>
      <c r="F6801" t="s">
        <v>50</v>
      </c>
      <c r="G6801">
        <v>-191.58510000000001</v>
      </c>
      <c r="H6801" s="1">
        <v>-5.2466230000000003E-6</v>
      </c>
      <c r="I6801">
        <v>-42.970239999999997</v>
      </c>
      <c r="J6801">
        <v>-200.15010000000001</v>
      </c>
      <c r="K6801">
        <v>1.1203609999999999</v>
      </c>
      <c r="L6801">
        <v>-56.572299999999998</v>
      </c>
      <c r="M6801">
        <v>0.74885729999999995</v>
      </c>
      <c r="N6801">
        <v>0</v>
      </c>
      <c r="O6801">
        <v>0.66254679999999999</v>
      </c>
      <c r="P6801">
        <v>0.64750790000000003</v>
      </c>
      <c r="Q6801">
        <v>0.1912943</v>
      </c>
      <c r="R6801">
        <v>0.73765849999999999</v>
      </c>
      <c r="S6801">
        <v>1.684647</v>
      </c>
      <c r="T6801">
        <v>-0.215475</v>
      </c>
      <c r="U6801">
        <v>2.6510310000000001</v>
      </c>
      <c r="V6801">
        <v>-0.12833720000000001</v>
      </c>
      <c r="W6801">
        <v>0.2034736</v>
      </c>
      <c r="X6801">
        <v>0.97063279999999996</v>
      </c>
      <c r="Y6801">
        <v>-0.27726139999999999</v>
      </c>
      <c r="Z6801">
        <v>-3.8125239999999998E-2</v>
      </c>
      <c r="AA6801">
        <v>0.96003780000000005</v>
      </c>
      <c r="AB6801">
        <v>30</v>
      </c>
      <c r="AC6801">
        <v>8.5649999999999906</v>
      </c>
      <c r="AD6801">
        <v>-1.120366246623</v>
      </c>
      <c r="AE6801">
        <v>13.6020599999999</v>
      </c>
      <c r="AF6801">
        <v>-4.4900270161739204</v>
      </c>
      <c r="AG6801">
        <v>-1.120366246623</v>
      </c>
      <c r="AH6801">
        <v>15.3532619945163</v>
      </c>
      <c r="AI6801">
        <v>94.006390741910593</v>
      </c>
      <c r="AJ6801">
        <v>106.30144051607</v>
      </c>
      <c r="AK6801">
        <v>16.0355298323692</v>
      </c>
      <c r="AL6801">
        <v>78.259840231679703</v>
      </c>
      <c r="AM6801">
        <v>97.531966784071997</v>
      </c>
      <c r="AN6801">
        <v>0.99999998761831999</v>
      </c>
    </row>
    <row r="6802" spans="1:40" x14ac:dyDescent="0.25">
      <c r="A6802" t="str">
        <f>"20190312172539615"</f>
        <v>20190312172539615</v>
      </c>
      <c r="B6802" t="str">
        <f>"1552382739606647"</f>
        <v>1552382739606647</v>
      </c>
      <c r="C6802" t="s">
        <v>40</v>
      </c>
      <c r="D6802">
        <v>3.4556309999999999</v>
      </c>
      <c r="E6802">
        <v>0.45070900000000003</v>
      </c>
      <c r="F6802" t="s">
        <v>50</v>
      </c>
      <c r="G6802">
        <v>-191.0556</v>
      </c>
      <c r="H6802" s="1">
        <v>-5.2363879999999899E-6</v>
      </c>
      <c r="I6802">
        <v>-42.789859999999997</v>
      </c>
      <c r="J6802">
        <v>-200.01939999999999</v>
      </c>
      <c r="K6802">
        <v>1.1202190000000001</v>
      </c>
      <c r="L6802">
        <v>-56.4467199999999</v>
      </c>
      <c r="M6802">
        <v>0.74393450000000005</v>
      </c>
      <c r="N6802">
        <v>0</v>
      </c>
      <c r="O6802">
        <v>0.66807030000000001</v>
      </c>
      <c r="P6802">
        <v>0.64211260000000003</v>
      </c>
      <c r="Q6802">
        <v>0.19158449999999999</v>
      </c>
      <c r="R6802">
        <v>0.74228499999999997</v>
      </c>
      <c r="S6802">
        <v>1.722305</v>
      </c>
      <c r="T6802">
        <v>-0.21217420000000001</v>
      </c>
      <c r="U6802">
        <v>2.6101070000000002</v>
      </c>
      <c r="V6802">
        <v>-0.12811030000000001</v>
      </c>
      <c r="W6802">
        <v>0.20378399999999999</v>
      </c>
      <c r="X6802">
        <v>0.97059770000000001</v>
      </c>
      <c r="Y6802">
        <v>-0.25359730000000003</v>
      </c>
      <c r="Z6802">
        <v>-3.8760089999999997E-2</v>
      </c>
      <c r="AA6802">
        <v>0.96653299999999998</v>
      </c>
      <c r="AB6802">
        <v>29</v>
      </c>
      <c r="AC6802">
        <v>8.9637999999999902</v>
      </c>
      <c r="AD6802">
        <v>-1.1202242363879999</v>
      </c>
      <c r="AE6802">
        <v>13.656859999999901</v>
      </c>
      <c r="AF6802">
        <v>-4.15234246886076</v>
      </c>
      <c r="AG6802">
        <v>-1.1202242363879999</v>
      </c>
      <c r="AH6802">
        <v>15.7202218800905</v>
      </c>
      <c r="AI6802">
        <v>93.941285969126</v>
      </c>
      <c r="AJ6802">
        <v>104.796186559982</v>
      </c>
      <c r="AK6802">
        <v>16.297920918870901</v>
      </c>
      <c r="AL6802">
        <v>78.241675549609297</v>
      </c>
      <c r="AM6802">
        <v>97.519071557271104</v>
      </c>
      <c r="AN6802">
        <v>1.0000000314336801</v>
      </c>
    </row>
    <row r="6803" spans="1:40" x14ac:dyDescent="0.25">
      <c r="A6803" t="str">
        <f>"20190312172539627"</f>
        <v>20190312172539627</v>
      </c>
      <c r="B6803" t="str">
        <f>"1552382739617384"</f>
        <v>1552382739617384</v>
      </c>
      <c r="C6803" t="s">
        <v>40</v>
      </c>
      <c r="D6803">
        <v>3.5102250000000002</v>
      </c>
      <c r="E6803">
        <v>0.4513894</v>
      </c>
      <c r="F6803" t="s">
        <v>50</v>
      </c>
      <c r="G6803">
        <v>-191.02109999999999</v>
      </c>
      <c r="H6803" s="1">
        <v>-5.2934689999999996E-6</v>
      </c>
      <c r="I6803">
        <v>-42.654119999999999</v>
      </c>
      <c r="J6803">
        <v>-199.9126</v>
      </c>
      <c r="K6803">
        <v>1.120107</v>
      </c>
      <c r="L6803">
        <v>-56.343110000000003</v>
      </c>
      <c r="M6803">
        <v>0.73990269999999903</v>
      </c>
      <c r="N6803">
        <v>0</v>
      </c>
      <c r="O6803">
        <v>0.67253339999999995</v>
      </c>
      <c r="P6803">
        <v>0.63783780000000001</v>
      </c>
      <c r="Q6803">
        <v>0.1916378</v>
      </c>
      <c r="R6803">
        <v>0.74594769999999999</v>
      </c>
      <c r="S6803">
        <v>1.7083889999999999</v>
      </c>
      <c r="T6803">
        <v>-0.2126825</v>
      </c>
      <c r="U6803">
        <v>2.6186219999999998</v>
      </c>
      <c r="V6803">
        <v>-0.1277797</v>
      </c>
      <c r="W6803">
        <v>0.20385780000000001</v>
      </c>
      <c r="X6803">
        <v>0.97062579999999998</v>
      </c>
      <c r="Y6803">
        <v>-0.25282880000000002</v>
      </c>
      <c r="Z6803">
        <v>-3.9217399999999999E-2</v>
      </c>
      <c r="AA6803">
        <v>0.96671589999999996</v>
      </c>
      <c r="AB6803">
        <v>29</v>
      </c>
      <c r="AC6803">
        <v>8.8915000000000006</v>
      </c>
      <c r="AD6803">
        <v>-1.120112293469</v>
      </c>
      <c r="AE6803">
        <v>13.688989999999899</v>
      </c>
      <c r="AF6803">
        <v>-4.1297474895710797</v>
      </c>
      <c r="AG6803">
        <v>-1.120112293469</v>
      </c>
      <c r="AH6803">
        <v>15.713074657591701</v>
      </c>
      <c r="AI6803">
        <v>93.943956543924003</v>
      </c>
      <c r="AJ6803">
        <v>104.72558217956799</v>
      </c>
      <c r="AK6803">
        <v>16.285274976881698</v>
      </c>
      <c r="AL6803">
        <v>78.237356665079901</v>
      </c>
      <c r="AM6803">
        <v>97.499674438915207</v>
      </c>
      <c r="AN6803">
        <v>1.00000004898928</v>
      </c>
    </row>
    <row r="6804" spans="1:40" x14ac:dyDescent="0.25">
      <c r="A6804" t="str">
        <f>"20190312172539638"</f>
        <v>20190312172539638</v>
      </c>
      <c r="B6804" t="str">
        <f>"1552382739627144"</f>
        <v>1552382739627144</v>
      </c>
      <c r="C6804" t="s">
        <v>40</v>
      </c>
      <c r="D6804">
        <v>3.5166629999999999</v>
      </c>
      <c r="E6804">
        <v>0.45226810000000001</v>
      </c>
      <c r="F6804" t="s">
        <v>50</v>
      </c>
      <c r="G6804">
        <v>-190.92519999999999</v>
      </c>
      <c r="H6804" s="1">
        <v>-5.3726519999999998E-6</v>
      </c>
      <c r="I6804">
        <v>-42.447479999999999</v>
      </c>
      <c r="J6804">
        <v>-199.80109999999999</v>
      </c>
      <c r="K6804">
        <v>1.119996</v>
      </c>
      <c r="L6804">
        <v>-56.233919999999998</v>
      </c>
      <c r="M6804">
        <v>0.73568639999999996</v>
      </c>
      <c r="N6804">
        <v>0</v>
      </c>
      <c r="O6804">
        <v>0.67714359999999996</v>
      </c>
      <c r="P6804">
        <v>0.63322080000000003</v>
      </c>
      <c r="Q6804">
        <v>0.1918088</v>
      </c>
      <c r="R6804">
        <v>0.74982729999999997</v>
      </c>
      <c r="S6804">
        <v>1.69754</v>
      </c>
      <c r="T6804">
        <v>-0.21156659999999999</v>
      </c>
      <c r="U6804">
        <v>2.624603</v>
      </c>
      <c r="V6804">
        <v>-0.12761919999999999</v>
      </c>
      <c r="W6804">
        <v>0.20404310000000001</v>
      </c>
      <c r="X6804">
        <v>0.97060789999999997</v>
      </c>
      <c r="Y6804">
        <v>-0.25060700000000002</v>
      </c>
      <c r="Z6804">
        <v>-3.9429310000000002E-2</v>
      </c>
      <c r="AA6804">
        <v>0.96728559999999997</v>
      </c>
      <c r="AB6804">
        <v>29</v>
      </c>
      <c r="AC6804">
        <v>8.8758999999999997</v>
      </c>
      <c r="AD6804">
        <v>-1.1200013726519999</v>
      </c>
      <c r="AE6804">
        <v>13.786440000000001</v>
      </c>
      <c r="AF6804">
        <v>-4.1135445660966798</v>
      </c>
      <c r="AG6804">
        <v>-1.1200013726519999</v>
      </c>
      <c r="AH6804">
        <v>15.793508907695699</v>
      </c>
      <c r="AI6804">
        <v>93.925811317388593</v>
      </c>
      <c r="AJ6804">
        <v>104.59878932453501</v>
      </c>
      <c r="AK6804">
        <v>16.358807278939</v>
      </c>
      <c r="AL6804">
        <v>78.226510883084202</v>
      </c>
      <c r="AM6804">
        <v>97.490497937047294</v>
      </c>
      <c r="AN6804">
        <v>0.99999997120432904</v>
      </c>
    </row>
    <row r="6805" spans="1:40" x14ac:dyDescent="0.25">
      <c r="A6805" t="str">
        <f>"20190312172539651"</f>
        <v>20190312172539651</v>
      </c>
      <c r="B6805" t="str">
        <f>"1552382739647172"</f>
        <v>1552382739647172</v>
      </c>
      <c r="C6805" t="s">
        <v>40</v>
      </c>
      <c r="D6805">
        <v>3.7101950000000001</v>
      </c>
      <c r="E6805">
        <v>0.45327889999999998</v>
      </c>
      <c r="F6805" t="s">
        <v>50</v>
      </c>
      <c r="G6805">
        <v>-190.8913</v>
      </c>
      <c r="H6805" s="1">
        <v>-5.4153929999999999E-6</v>
      </c>
      <c r="I6805">
        <v>-42.342779999999998</v>
      </c>
      <c r="J6805">
        <v>-199.69810000000001</v>
      </c>
      <c r="K6805">
        <v>1.1198859999999999</v>
      </c>
      <c r="L6805">
        <v>-56.131439999999998</v>
      </c>
      <c r="M6805">
        <v>0.73180529999999999</v>
      </c>
      <c r="N6805">
        <v>0</v>
      </c>
      <c r="O6805">
        <v>0.68133669999999902</v>
      </c>
      <c r="P6805">
        <v>0.62900979999999995</v>
      </c>
      <c r="Q6805">
        <v>0.19212009999999999</v>
      </c>
      <c r="R6805">
        <v>0.75328390000000001</v>
      </c>
      <c r="S6805">
        <v>1.687149</v>
      </c>
      <c r="T6805">
        <v>-0.21208160000000001</v>
      </c>
      <c r="U6805">
        <v>2.6304020000000001</v>
      </c>
      <c r="V6805">
        <v>-0.12740199999999999</v>
      </c>
      <c r="W6805">
        <v>0.20436979999999999</v>
      </c>
      <c r="X6805">
        <v>0.97056770000000003</v>
      </c>
      <c r="Y6805">
        <v>-0.24876100000000001</v>
      </c>
      <c r="Z6805">
        <v>-3.9899789999999997E-2</v>
      </c>
      <c r="AA6805">
        <v>0.96774269999999996</v>
      </c>
      <c r="AB6805">
        <v>29</v>
      </c>
      <c r="AC6805">
        <v>8.8068000000000097</v>
      </c>
      <c r="AD6805">
        <v>-1.119891415393</v>
      </c>
      <c r="AE6805">
        <v>13.78866</v>
      </c>
      <c r="AF6805">
        <v>-4.0716357214986303</v>
      </c>
      <c r="AG6805">
        <v>-1.119891415393</v>
      </c>
      <c r="AH6805">
        <v>15.7676205603161</v>
      </c>
      <c r="AI6805">
        <v>93.933976698466694</v>
      </c>
      <c r="AJ6805">
        <v>104.479057428587</v>
      </c>
      <c r="AK6805">
        <v>16.323303353333799</v>
      </c>
      <c r="AL6805">
        <v>78.207389436575099</v>
      </c>
      <c r="AM6805">
        <v>97.478200191507199</v>
      </c>
      <c r="AN6805">
        <v>0.99999997251966399</v>
      </c>
    </row>
    <row r="6806" spans="1:40" x14ac:dyDescent="0.25">
      <c r="A6806" t="str">
        <f>"20190312172539668"</f>
        <v>20190312172539668</v>
      </c>
      <c r="B6806" t="str">
        <f>"1552382739656931"</f>
        <v>1552382739656931</v>
      </c>
      <c r="C6806" t="s">
        <v>40</v>
      </c>
      <c r="D6806">
        <v>3.511997</v>
      </c>
      <c r="E6806">
        <v>0.4537757</v>
      </c>
      <c r="F6806" t="s">
        <v>50</v>
      </c>
      <c r="G6806">
        <v>-191.1977</v>
      </c>
      <c r="H6806" s="1">
        <v>-5.2596389999999996E-6</v>
      </c>
      <c r="I6806">
        <v>-42.794229999999999</v>
      </c>
      <c r="J6806">
        <v>-199.5361</v>
      </c>
      <c r="K6806">
        <v>1.1197010000000001</v>
      </c>
      <c r="L6806">
        <v>-55.968409999999999</v>
      </c>
      <c r="M6806">
        <v>0.72570249999999903</v>
      </c>
      <c r="N6806">
        <v>0</v>
      </c>
      <c r="O6806">
        <v>0.687834099999999</v>
      </c>
      <c r="P6806">
        <v>0.622614</v>
      </c>
      <c r="Q6806">
        <v>0.19206280000000001</v>
      </c>
      <c r="R6806">
        <v>0.75859319999999997</v>
      </c>
      <c r="S6806">
        <v>1.680099</v>
      </c>
      <c r="T6806">
        <v>-0.22134480000000001</v>
      </c>
      <c r="U6806">
        <v>2.6360779999999999</v>
      </c>
      <c r="V6806">
        <v>-0.12687789999999999</v>
      </c>
      <c r="W6806">
        <v>0.20434369999999999</v>
      </c>
      <c r="X6806">
        <v>0.97064189999999995</v>
      </c>
      <c r="Y6806">
        <v>-0.2429762</v>
      </c>
      <c r="Z6806">
        <v>-4.2291769999999999E-2</v>
      </c>
      <c r="AA6806">
        <v>0.96910989999999997</v>
      </c>
      <c r="AB6806">
        <v>29</v>
      </c>
      <c r="AC6806">
        <v>8.3384</v>
      </c>
      <c r="AD6806">
        <v>-1.1197062596389999</v>
      </c>
      <c r="AE6806">
        <v>13.1741799999999</v>
      </c>
      <c r="AF6806">
        <v>-3.8059295164156701</v>
      </c>
      <c r="AG6806">
        <v>-1.1197062596389999</v>
      </c>
      <c r="AH6806">
        <v>15.037107958666899</v>
      </c>
      <c r="AI6806">
        <v>94.128825480883194</v>
      </c>
      <c r="AJ6806">
        <v>104.20342426648401</v>
      </c>
      <c r="AK6806">
        <v>15.551638413762101</v>
      </c>
      <c r="AL6806">
        <v>78.208917706824906</v>
      </c>
      <c r="AM6806">
        <v>97.447219865542394</v>
      </c>
      <c r="AN6806">
        <v>1.00000002363685</v>
      </c>
    </row>
    <row r="6807" spans="1:40" x14ac:dyDescent="0.25">
      <c r="A6807" t="str">
        <f>"20190312172539680"</f>
        <v>20190312172539680</v>
      </c>
      <c r="B6807" t="str">
        <f>"1552382739677428"</f>
        <v>1552382739677428</v>
      </c>
      <c r="C6807" t="s">
        <v>40</v>
      </c>
      <c r="D6807">
        <v>3.5361359999999999</v>
      </c>
      <c r="E6807">
        <v>0.45483469999999998</v>
      </c>
      <c r="F6807" t="s">
        <v>50</v>
      </c>
      <c r="G6807">
        <v>-191.1491</v>
      </c>
      <c r="H6807" s="1">
        <v>-5.3410320000000002E-6</v>
      </c>
      <c r="I6807">
        <v>-42.600929999999998</v>
      </c>
      <c r="J6807">
        <v>-199.42689999999999</v>
      </c>
      <c r="K6807">
        <v>1.119577</v>
      </c>
      <c r="L6807">
        <v>-55.8572699999999</v>
      </c>
      <c r="M6807">
        <v>0.72159479999999998</v>
      </c>
      <c r="N6807">
        <v>0</v>
      </c>
      <c r="O6807">
        <v>0.69214279999999995</v>
      </c>
      <c r="P6807">
        <v>0.61805059999999901</v>
      </c>
      <c r="Q6807">
        <v>0.19223960000000001</v>
      </c>
      <c r="R6807">
        <v>0.76227119999999904</v>
      </c>
      <c r="S6807">
        <v>1.661087</v>
      </c>
      <c r="T6807">
        <v>-0.22176290000000001</v>
      </c>
      <c r="U6807">
        <v>2.647491</v>
      </c>
      <c r="V6807">
        <v>-0.1268311</v>
      </c>
      <c r="W6807">
        <v>0.20453460000000001</v>
      </c>
      <c r="X6807">
        <v>0.97060780000000002</v>
      </c>
      <c r="Y6807">
        <v>-0.24408179999999999</v>
      </c>
      <c r="Z6807">
        <v>-4.268943E-2</v>
      </c>
      <c r="AA6807">
        <v>0.96881459999999997</v>
      </c>
      <c r="AB6807">
        <v>29</v>
      </c>
      <c r="AC6807">
        <v>8.2777999999999796</v>
      </c>
      <c r="AD6807">
        <v>-1.1195823410320001</v>
      </c>
      <c r="AE6807">
        <v>13.2563399999999</v>
      </c>
      <c r="AF6807">
        <v>-3.81715638227345</v>
      </c>
      <c r="AG6807">
        <v>-1.1195823410320001</v>
      </c>
      <c r="AH6807">
        <v>15.072958484847801</v>
      </c>
      <c r="AI6807">
        <v>94.118445275830794</v>
      </c>
      <c r="AJ6807">
        <v>104.21111536901201</v>
      </c>
      <c r="AK6807">
        <v>15.589041822736499</v>
      </c>
      <c r="AL6807">
        <v>78.197743853048195</v>
      </c>
      <c r="AM6807">
        <v>97.444762323599903</v>
      </c>
      <c r="AN6807">
        <v>1.0000000159725999</v>
      </c>
    </row>
    <row r="6808" spans="1:40" x14ac:dyDescent="0.25">
      <c r="A6808" t="str">
        <f>"20190312172539692"</f>
        <v>20190312172539692</v>
      </c>
      <c r="B6808" t="str">
        <f>"1552382739687187"</f>
        <v>1552382739687187</v>
      </c>
      <c r="C6808" t="s">
        <v>40</v>
      </c>
      <c r="D6808">
        <v>3.5174289999999999</v>
      </c>
      <c r="E6808">
        <v>0.45559660000000002</v>
      </c>
      <c r="F6808" t="s">
        <v>50</v>
      </c>
      <c r="G6808">
        <v>-191.1557</v>
      </c>
      <c r="H6808" s="1">
        <v>-5.3521259999999901E-6</v>
      </c>
      <c r="I6808">
        <v>-42.579650000000001</v>
      </c>
      <c r="J6808">
        <v>-199.32640000000001</v>
      </c>
      <c r="K6808">
        <v>1.119464</v>
      </c>
      <c r="L6808">
        <v>-55.753329999999998</v>
      </c>
      <c r="M6808">
        <v>0.71783830000000004</v>
      </c>
      <c r="N6808">
        <v>0</v>
      </c>
      <c r="O6808">
        <v>0.6960385</v>
      </c>
      <c r="P6808">
        <v>0.61398409999999903</v>
      </c>
      <c r="Q6808">
        <v>0.1921225</v>
      </c>
      <c r="R6808">
        <v>0.76557980000000003</v>
      </c>
      <c r="S6808">
        <v>1.6522520000000001</v>
      </c>
      <c r="T6808">
        <v>-0.2236484</v>
      </c>
      <c r="U6808">
        <v>2.6523439999999998</v>
      </c>
      <c r="V6808">
        <v>-0.12670429999999999</v>
      </c>
      <c r="W6808">
        <v>0.20443049999999999</v>
      </c>
      <c r="X6808">
        <v>0.97064629999999996</v>
      </c>
      <c r="Y6808">
        <v>-0.24197199999999999</v>
      </c>
      <c r="Z6808">
        <v>-4.3426670000000001E-2</v>
      </c>
      <c r="AA6808">
        <v>0.96931089999999998</v>
      </c>
      <c r="AB6808">
        <v>29</v>
      </c>
      <c r="AC6808">
        <v>8.1707000000000001</v>
      </c>
      <c r="AD6808">
        <v>-1.119469352126</v>
      </c>
      <c r="AE6808">
        <v>13.173679999999999</v>
      </c>
      <c r="AF6808">
        <v>-3.75034176057446</v>
      </c>
      <c r="AG6808">
        <v>-1.119469352126</v>
      </c>
      <c r="AH6808">
        <v>14.958414619500701</v>
      </c>
      <c r="AI6808">
        <v>94.151932068941093</v>
      </c>
      <c r="AJ6808">
        <v>104.074948050251</v>
      </c>
      <c r="AK6808">
        <v>15.461967626416399</v>
      </c>
      <c r="AL6808">
        <v>78.203837192549202</v>
      </c>
      <c r="AM6808">
        <v>97.437111058064403</v>
      </c>
      <c r="AN6808">
        <v>1.0000000243362099</v>
      </c>
    </row>
    <row r="6809" spans="1:40" x14ac:dyDescent="0.25">
      <c r="A6809" t="str">
        <f>"20190312172539703"</f>
        <v>20190312172539703</v>
      </c>
      <c r="B6809" t="str">
        <f>"1552382739696949"</f>
        <v>1552382739696949</v>
      </c>
      <c r="C6809" t="s">
        <v>40</v>
      </c>
      <c r="D6809">
        <v>3.6808900000000002</v>
      </c>
      <c r="E6809">
        <v>0.45602169999999997</v>
      </c>
      <c r="F6809" t="s">
        <v>50</v>
      </c>
      <c r="G6809">
        <v>-191.11410000000001</v>
      </c>
      <c r="H6809" s="1">
        <v>-5.3953130000000004E-6</v>
      </c>
      <c r="I6809">
        <v>-42.471020000000003</v>
      </c>
      <c r="J6809">
        <v>-199.2175</v>
      </c>
      <c r="K6809">
        <v>1.1193390000000001</v>
      </c>
      <c r="L6809">
        <v>-55.640079999999998</v>
      </c>
      <c r="M6809">
        <v>0.71375900000000003</v>
      </c>
      <c r="N6809">
        <v>0</v>
      </c>
      <c r="O6809">
        <v>0.700221599999999</v>
      </c>
      <c r="P6809">
        <v>0.60976580000000002</v>
      </c>
      <c r="Q6809">
        <v>0.19226009999999999</v>
      </c>
      <c r="R6809">
        <v>0.76890950000000002</v>
      </c>
      <c r="S6809">
        <v>1.6429290000000001</v>
      </c>
      <c r="T6809">
        <v>-0.22395580000000001</v>
      </c>
      <c r="U6809">
        <v>2.6571959999999999</v>
      </c>
      <c r="V6809">
        <v>-0.12628200000000001</v>
      </c>
      <c r="W6809">
        <v>0.20458970000000001</v>
      </c>
      <c r="X6809">
        <v>0.97066779999999997</v>
      </c>
      <c r="Y6809">
        <v>-0.2395639</v>
      </c>
      <c r="Z6809">
        <v>-4.3896230000000001E-2</v>
      </c>
      <c r="AA6809">
        <v>0.96988770000000002</v>
      </c>
      <c r="AB6809">
        <v>29</v>
      </c>
      <c r="AC6809">
        <v>8.1033999999999899</v>
      </c>
      <c r="AD6809">
        <v>-1.11934439531299</v>
      </c>
      <c r="AE6809">
        <v>13.16906</v>
      </c>
      <c r="AF6809">
        <v>-3.70637936419869</v>
      </c>
      <c r="AG6809">
        <v>-1.11934439531299</v>
      </c>
      <c r="AH6809">
        <v>14.9286865495044</v>
      </c>
      <c r="AI6809">
        <v>94.162089863407502</v>
      </c>
      <c r="AJ6809">
        <v>103.943038745967</v>
      </c>
      <c r="AK6809">
        <v>15.4225763723196</v>
      </c>
      <c r="AL6809">
        <v>78.194518863095297</v>
      </c>
      <c r="AM6809">
        <v>97.412437244402497</v>
      </c>
      <c r="AN6809">
        <v>1.00000003341346</v>
      </c>
    </row>
    <row r="6810" spans="1:40" x14ac:dyDescent="0.25">
      <c r="A6810" t="str">
        <f>"20190312172539715"</f>
        <v>20190312172539715</v>
      </c>
      <c r="B6810" t="str">
        <f>"1552382739706708"</f>
        <v>1552382739706708</v>
      </c>
      <c r="C6810" t="s">
        <v>40</v>
      </c>
      <c r="D6810">
        <v>3.5179520000000002</v>
      </c>
      <c r="E6810">
        <v>0.45602169999999997</v>
      </c>
      <c r="F6810" t="s">
        <v>50</v>
      </c>
      <c r="G6810">
        <v>-191.17920000000001</v>
      </c>
      <c r="H6810" s="1">
        <v>-5.3886530000000004E-6</v>
      </c>
      <c r="I6810">
        <v>-42.510210000000001</v>
      </c>
      <c r="J6810">
        <v>-199.1105</v>
      </c>
      <c r="K6810">
        <v>1.1192169999999999</v>
      </c>
      <c r="L6810">
        <v>-55.5272199999999</v>
      </c>
      <c r="M6810">
        <v>0.70977309999999905</v>
      </c>
      <c r="N6810">
        <v>0</v>
      </c>
      <c r="O6810">
        <v>0.7042621</v>
      </c>
      <c r="P6810">
        <v>0.60557069999999902</v>
      </c>
      <c r="Q6810">
        <v>0.19237219999999999</v>
      </c>
      <c r="R6810">
        <v>0.77218989999999998</v>
      </c>
      <c r="S6810">
        <v>1.631378</v>
      </c>
      <c r="T6810">
        <v>-0.22717080000000001</v>
      </c>
      <c r="U6810">
        <v>2.6647029999999998</v>
      </c>
      <c r="V6810">
        <v>-0.1259758</v>
      </c>
      <c r="W6810">
        <v>0.2047194</v>
      </c>
      <c r="X6810">
        <v>0.97068019999999999</v>
      </c>
      <c r="Y6810">
        <v>-0.23835509999999999</v>
      </c>
      <c r="Z6810">
        <v>-4.4879589999999997E-2</v>
      </c>
      <c r="AA6810">
        <v>0.97014060000000002</v>
      </c>
      <c r="AB6810">
        <v>29</v>
      </c>
      <c r="AC6810">
        <v>7.9312999999999896</v>
      </c>
      <c r="AD6810">
        <v>-1.1192223886529999</v>
      </c>
      <c r="AE6810">
        <v>13.0170099999999</v>
      </c>
      <c r="AF6810">
        <v>-3.6342492899097598</v>
      </c>
      <c r="AG6810">
        <v>-1.1192223886529999</v>
      </c>
      <c r="AH6810">
        <v>14.71920851612</v>
      </c>
      <c r="AI6810">
        <v>94.221993489605396</v>
      </c>
      <c r="AJ6810">
        <v>103.869234490026</v>
      </c>
      <c r="AK6810">
        <v>15.202484204809799</v>
      </c>
      <c r="AL6810">
        <v>78.186926424776104</v>
      </c>
      <c r="AM6810">
        <v>97.394569810311097</v>
      </c>
      <c r="AN6810">
        <v>0.99999999279701901</v>
      </c>
    </row>
    <row r="6811" spans="1:40" x14ac:dyDescent="0.25">
      <c r="A6811" t="str">
        <f>"20190312172539726"</f>
        <v>20190312172539726</v>
      </c>
      <c r="B6811" t="str">
        <f>"1552382739717443"</f>
        <v>1552382739717443</v>
      </c>
      <c r="C6811" t="s">
        <v>40</v>
      </c>
      <c r="D6811">
        <v>3.5100600000000002</v>
      </c>
      <c r="E6811">
        <v>0.46665499999999999</v>
      </c>
      <c r="F6811" t="s">
        <v>50</v>
      </c>
      <c r="G6811">
        <v>-191.13149999999999</v>
      </c>
      <c r="H6811" s="1">
        <v>-5.4626689999999996E-6</v>
      </c>
      <c r="I6811">
        <v>-42.333100000000002</v>
      </c>
      <c r="J6811">
        <v>-199.01320000000001</v>
      </c>
      <c r="K6811">
        <v>1.1191070000000001</v>
      </c>
      <c r="L6811">
        <v>-55.423609999999996</v>
      </c>
      <c r="M6811">
        <v>0.70614929999999998</v>
      </c>
      <c r="N6811">
        <v>0</v>
      </c>
      <c r="O6811">
        <v>0.70789609999999903</v>
      </c>
      <c r="P6811">
        <v>0.6018268</v>
      </c>
      <c r="Q6811">
        <v>0.19210260000000001</v>
      </c>
      <c r="R6811">
        <v>0.77517809999999998</v>
      </c>
      <c r="S6811">
        <v>1.6168209999999901</v>
      </c>
      <c r="T6811">
        <v>-0.2267932</v>
      </c>
      <c r="U6811">
        <v>2.673584</v>
      </c>
      <c r="V6811">
        <v>-0.12567429999999999</v>
      </c>
      <c r="W6811">
        <v>0.20446790000000001</v>
      </c>
      <c r="X6811">
        <v>0.97077230000000003</v>
      </c>
      <c r="Y6811">
        <v>-0.2386675</v>
      </c>
      <c r="Z6811">
        <v>-4.5091329999999999E-2</v>
      </c>
      <c r="AA6811">
        <v>0.97005390000000002</v>
      </c>
      <c r="AB6811">
        <v>29</v>
      </c>
      <c r="AC6811">
        <v>7.8817000000000199</v>
      </c>
      <c r="AD6811">
        <v>-1.1191124626690001</v>
      </c>
      <c r="AE6811">
        <v>13.090509999999901</v>
      </c>
      <c r="AF6811">
        <v>-3.6453091477716302</v>
      </c>
      <c r="AG6811">
        <v>-1.1191124626690001</v>
      </c>
      <c r="AH6811">
        <v>14.754984025453799</v>
      </c>
      <c r="AI6811">
        <v>94.211233974754606</v>
      </c>
      <c r="AJ6811">
        <v>103.877383973459</v>
      </c>
      <c r="AK6811">
        <v>15.239758694885101</v>
      </c>
      <c r="AL6811">
        <v>78.201647860559106</v>
      </c>
      <c r="AM6811">
        <v>97.376375257524401</v>
      </c>
      <c r="AN6811">
        <v>1.00000000512909</v>
      </c>
    </row>
    <row r="6812" spans="1:40" x14ac:dyDescent="0.25">
      <c r="A6812" t="str">
        <f>"20190312172539737"</f>
        <v>20190312172539737</v>
      </c>
      <c r="B6812" t="str">
        <f>"1552382739727204"</f>
        <v>1552382739727204</v>
      </c>
      <c r="C6812" t="s">
        <v>40</v>
      </c>
      <c r="D6812">
        <v>3.533836</v>
      </c>
      <c r="E6812">
        <v>0.46753479999999997</v>
      </c>
      <c r="F6812" t="s">
        <v>50</v>
      </c>
      <c r="G6812">
        <v>-190.77160000000001</v>
      </c>
      <c r="H6812" s="1">
        <v>-5.3419940000000001E-6</v>
      </c>
      <c r="I6812">
        <v>-42.454590000000003</v>
      </c>
      <c r="J6812">
        <v>-198.91</v>
      </c>
      <c r="K6812">
        <v>1.118995</v>
      </c>
      <c r="L6812">
        <v>-55.312769999999901</v>
      </c>
      <c r="M6812">
        <v>0.70231129999999997</v>
      </c>
      <c r="N6812">
        <v>0</v>
      </c>
      <c r="O6812">
        <v>0.71170459999999902</v>
      </c>
      <c r="P6812">
        <v>0.597777</v>
      </c>
      <c r="Q6812">
        <v>0.19212779999999999</v>
      </c>
      <c r="R6812">
        <v>0.77829919999999997</v>
      </c>
      <c r="S6812">
        <v>1.6707919999999901</v>
      </c>
      <c r="T6812">
        <v>-0.22687260000000001</v>
      </c>
      <c r="U6812">
        <v>2.6291500000000001</v>
      </c>
      <c r="V6812">
        <v>-0.1254219</v>
      </c>
      <c r="W6812">
        <v>0.20450850000000001</v>
      </c>
      <c r="X6812">
        <v>0.9707964</v>
      </c>
      <c r="Y6812">
        <v>-0.2118292</v>
      </c>
      <c r="Z6812">
        <v>-4.6264300000000001E-2</v>
      </c>
      <c r="AA6812">
        <v>0.9762111</v>
      </c>
      <c r="AB6812">
        <v>29</v>
      </c>
      <c r="AC6812">
        <v>8.1383999999999901</v>
      </c>
      <c r="AD6812">
        <v>-1.119000341994</v>
      </c>
      <c r="AE6812">
        <v>12.8581799999999</v>
      </c>
      <c r="AF6812">
        <v>-3.2212710508172901</v>
      </c>
      <c r="AG6812">
        <v>-1.119000341994</v>
      </c>
      <c r="AH6812">
        <v>14.788698521055499</v>
      </c>
      <c r="AI6812">
        <v>94.228319264690597</v>
      </c>
      <c r="AJ6812">
        <v>102.28821361535699</v>
      </c>
      <c r="AK6812">
        <v>15.1767701733565</v>
      </c>
      <c r="AL6812">
        <v>78.199271552870599</v>
      </c>
      <c r="AM6812">
        <v>97.361542714254995</v>
      </c>
      <c r="AN6812">
        <v>1.0000000149124</v>
      </c>
    </row>
    <row r="6813" spans="1:40" x14ac:dyDescent="0.25">
      <c r="A6813" t="str">
        <f>"20190312172539750"</f>
        <v>20190312172539750</v>
      </c>
      <c r="B6813" t="str">
        <f>"1552382739746724"</f>
        <v>1552382739746724</v>
      </c>
      <c r="C6813" t="s">
        <v>40</v>
      </c>
      <c r="D6813">
        <v>3.5278719999999999</v>
      </c>
      <c r="E6813">
        <v>0.46942319999999998</v>
      </c>
      <c r="F6813" t="s">
        <v>50</v>
      </c>
      <c r="G6813">
        <v>-190.6206</v>
      </c>
      <c r="H6813" s="1">
        <v>-5.4400329999999999E-6</v>
      </c>
      <c r="I6813">
        <v>-42.186430000000001</v>
      </c>
      <c r="J6813">
        <v>-198.80760000000001</v>
      </c>
      <c r="K6813">
        <v>1.1188819999999999</v>
      </c>
      <c r="L6813">
        <v>-55.201349999999998</v>
      </c>
      <c r="M6813">
        <v>0.69851799999999997</v>
      </c>
      <c r="N6813">
        <v>0</v>
      </c>
      <c r="O6813">
        <v>0.71542839999999996</v>
      </c>
      <c r="P6813">
        <v>0.59369989999999995</v>
      </c>
      <c r="Q6813">
        <v>0.1921592</v>
      </c>
      <c r="R6813">
        <v>0.78140600000000004</v>
      </c>
      <c r="S6813">
        <v>1.662704</v>
      </c>
      <c r="T6813">
        <v>-0.22445109999999999</v>
      </c>
      <c r="U6813">
        <v>2.6329039999999999</v>
      </c>
      <c r="V6813">
        <v>-0.12527349999999901</v>
      </c>
      <c r="W6813">
        <v>0.20455280000000001</v>
      </c>
      <c r="X6813">
        <v>0.97080619999999995</v>
      </c>
      <c r="Y6813">
        <v>-0.20939640000000001</v>
      </c>
      <c r="Z6813">
        <v>-4.6149469999999998E-2</v>
      </c>
      <c r="AA6813">
        <v>0.97674119999999998</v>
      </c>
      <c r="AB6813">
        <v>29</v>
      </c>
      <c r="AC6813">
        <v>8.18700000000001</v>
      </c>
      <c r="AD6813">
        <v>-1.118887440033</v>
      </c>
      <c r="AE6813">
        <v>13.014919999999901</v>
      </c>
      <c r="AF6813">
        <v>-3.2172865509265098</v>
      </c>
      <c r="AG6813">
        <v>-1.118887440033</v>
      </c>
      <c r="AH6813">
        <v>14.952595399320399</v>
      </c>
      <c r="AI6813">
        <v>94.184004746574999</v>
      </c>
      <c r="AJ6813">
        <v>102.142957583833</v>
      </c>
      <c r="AK6813">
        <v>15.335675760461699</v>
      </c>
      <c r="AL6813">
        <v>78.1966782101387</v>
      </c>
      <c r="AM6813">
        <v>97.3528544513523</v>
      </c>
      <c r="AN6813">
        <v>0.99999998787426403</v>
      </c>
    </row>
    <row r="6814" spans="1:40" x14ac:dyDescent="0.25">
      <c r="A6814" t="str">
        <f>"20190312172539762"</f>
        <v>20190312172539762</v>
      </c>
      <c r="B6814" t="str">
        <f>"1552382739757459"</f>
        <v>1552382739757459</v>
      </c>
      <c r="C6814" t="s">
        <v>40</v>
      </c>
      <c r="D6814">
        <v>3.5402689999999999</v>
      </c>
      <c r="E6814">
        <v>0.47032620000000003</v>
      </c>
      <c r="F6814" t="s">
        <v>50</v>
      </c>
      <c r="G6814">
        <v>-190.66839999999999</v>
      </c>
      <c r="H6814" s="1">
        <v>-5.3944560000000002E-6</v>
      </c>
      <c r="I6814">
        <v>-42.302529999999997</v>
      </c>
      <c r="J6814">
        <v>-198.7029</v>
      </c>
      <c r="K6814">
        <v>1.118768</v>
      </c>
      <c r="L6814">
        <v>-55.086849999999998</v>
      </c>
      <c r="M6814">
        <v>0.69463619999999904</v>
      </c>
      <c r="N6814">
        <v>0</v>
      </c>
      <c r="O6814">
        <v>0.71919860000000002</v>
      </c>
      <c r="P6814">
        <v>0.58965599999999996</v>
      </c>
      <c r="Q6814">
        <v>0.19204109999999999</v>
      </c>
      <c r="R6814">
        <v>0.78449089999999999</v>
      </c>
      <c r="S6814">
        <v>1.6614690000000001</v>
      </c>
      <c r="T6814">
        <v>-0.2284002</v>
      </c>
      <c r="U6814">
        <v>2.633057</v>
      </c>
      <c r="V6814">
        <v>-0.124991</v>
      </c>
      <c r="W6814">
        <v>0.20445099999999999</v>
      </c>
      <c r="X6814">
        <v>0.97086410000000001</v>
      </c>
      <c r="Y6814">
        <v>-0.20449419999999999</v>
      </c>
      <c r="Z6814">
        <v>-4.7400690000000002E-2</v>
      </c>
      <c r="AA6814">
        <v>0.97771940000000002</v>
      </c>
      <c r="AB6814">
        <v>29</v>
      </c>
      <c r="AC6814">
        <v>8.0344999999999995</v>
      </c>
      <c r="AD6814">
        <v>-1.1187733944560001</v>
      </c>
      <c r="AE6814">
        <v>12.784319999999999</v>
      </c>
      <c r="AF6814">
        <v>-3.0854742459761799</v>
      </c>
      <c r="AG6814">
        <v>-1.1187733944560001</v>
      </c>
      <c r="AH6814">
        <v>14.6965653633731</v>
      </c>
      <c r="AI6814">
        <v>94.260701174680193</v>
      </c>
      <c r="AJ6814">
        <v>101.856775224909</v>
      </c>
      <c r="AK6814">
        <v>15.0585802355541</v>
      </c>
      <c r="AL6814">
        <v>78.202637366444506</v>
      </c>
      <c r="AM6814">
        <v>97.336021363674902</v>
      </c>
      <c r="AN6814">
        <v>1.0000000310754</v>
      </c>
    </row>
    <row r="6815" spans="1:40" x14ac:dyDescent="0.25">
      <c r="A6815" t="str">
        <f>"20190312172539780"</f>
        <v>20190312172539780</v>
      </c>
      <c r="B6815" t="str">
        <f>"1552382739776979"</f>
        <v>1552382739776979</v>
      </c>
      <c r="C6815" t="s">
        <v>40</v>
      </c>
      <c r="D6815">
        <v>3.5526740000000001</v>
      </c>
      <c r="E6815">
        <v>0.47195520000000002</v>
      </c>
      <c r="F6815" t="s">
        <v>50</v>
      </c>
      <c r="G6815">
        <v>-190.63560000000001</v>
      </c>
      <c r="H6815" s="1">
        <v>-5.4263159999999996E-6</v>
      </c>
      <c r="I6815">
        <v>-42.221620000000001</v>
      </c>
      <c r="J6815">
        <v>-198.54519999999999</v>
      </c>
      <c r="K6815">
        <v>1.118601</v>
      </c>
      <c r="L6815">
        <v>-54.911769999999997</v>
      </c>
      <c r="M6815">
        <v>0.68882279999999996</v>
      </c>
      <c r="N6815">
        <v>0</v>
      </c>
      <c r="O6815">
        <v>0.724769199999999</v>
      </c>
      <c r="P6815">
        <v>0.58386349999999998</v>
      </c>
      <c r="Q6815">
        <v>0.1920152</v>
      </c>
      <c r="R6815">
        <v>0.78881780000000001</v>
      </c>
      <c r="S6815">
        <v>1.6537170000000001</v>
      </c>
      <c r="T6815">
        <v>-0.2293395</v>
      </c>
      <c r="U6815">
        <v>2.6372680000000002</v>
      </c>
      <c r="V6815">
        <v>-0.12423720000000001</v>
      </c>
      <c r="W6815">
        <v>0.20445569999999999</v>
      </c>
      <c r="X6815">
        <v>0.97095980000000004</v>
      </c>
      <c r="Y6815">
        <v>-0.1993954</v>
      </c>
      <c r="Z6815">
        <v>-4.8189820000000001E-2</v>
      </c>
      <c r="AA6815">
        <v>0.97873350000000003</v>
      </c>
      <c r="AB6815">
        <v>29</v>
      </c>
      <c r="AC6815">
        <v>7.9095999999999798</v>
      </c>
      <c r="AD6815">
        <v>-1.118606426316</v>
      </c>
      <c r="AE6815">
        <v>12.6901499999999</v>
      </c>
      <c r="AF6815">
        <v>-2.99223576917263</v>
      </c>
      <c r="AG6815">
        <v>-1.118606426316</v>
      </c>
      <c r="AH6815">
        <v>14.565936102613501</v>
      </c>
      <c r="AI6815">
        <v>94.301983713204905</v>
      </c>
      <c r="AJ6815">
        <v>101.608599891927</v>
      </c>
      <c r="AK6815">
        <v>14.912117548515001</v>
      </c>
      <c r="AL6815">
        <v>78.202361584147496</v>
      </c>
      <c r="AM6815">
        <v>97.291545680584704</v>
      </c>
      <c r="AN6815">
        <v>0.99999997417118403</v>
      </c>
    </row>
    <row r="6816" spans="1:40" x14ac:dyDescent="0.25">
      <c r="A6816" t="str">
        <f>"20190312172539794"</f>
        <v>20190312172539794</v>
      </c>
      <c r="B6816" t="str">
        <f>"1552382739786739"</f>
        <v>1552382739786739</v>
      </c>
      <c r="C6816" t="s">
        <v>40</v>
      </c>
      <c r="D6816">
        <v>3.5621079999999998</v>
      </c>
      <c r="E6816">
        <v>0.4725972</v>
      </c>
      <c r="F6816" t="s">
        <v>50</v>
      </c>
      <c r="G6816">
        <v>-190.5847</v>
      </c>
      <c r="H6816" s="1">
        <v>-5.4650659999999999E-6</v>
      </c>
      <c r="I6816">
        <v>-42.118969999999997</v>
      </c>
      <c r="J6816">
        <v>-198.43180000000001</v>
      </c>
      <c r="K6816">
        <v>1.1184860000000001</v>
      </c>
      <c r="L6816">
        <v>-54.78378</v>
      </c>
      <c r="M6816">
        <v>0.68465319999999996</v>
      </c>
      <c r="N6816">
        <v>0</v>
      </c>
      <c r="O6816">
        <v>0.72870990000000002</v>
      </c>
      <c r="P6816">
        <v>0.57973560000000002</v>
      </c>
      <c r="Q6816">
        <v>0.1920953</v>
      </c>
      <c r="R6816">
        <v>0.79183719999999902</v>
      </c>
      <c r="S6816">
        <v>1.6442570000000001</v>
      </c>
      <c r="T6816">
        <v>-0.23104930000000001</v>
      </c>
      <c r="U6816">
        <v>2.6423649999999999</v>
      </c>
      <c r="V6816">
        <v>-0.1236636</v>
      </c>
      <c r="W6816">
        <v>0.2045565</v>
      </c>
      <c r="X6816">
        <v>0.97101179999999998</v>
      </c>
      <c r="Y6816">
        <v>-0.1971658</v>
      </c>
      <c r="Z6816">
        <v>-4.8939240000000002E-2</v>
      </c>
      <c r="AA6816">
        <v>0.97914789999999996</v>
      </c>
      <c r="AB6816">
        <v>29</v>
      </c>
      <c r="AC6816">
        <v>7.84710000000001</v>
      </c>
      <c r="AD6816">
        <v>-1.1184914650660001</v>
      </c>
      <c r="AE6816">
        <v>12.664809999999999</v>
      </c>
      <c r="AF6816">
        <v>-2.9365356436628902</v>
      </c>
      <c r="AG6816">
        <v>-1.1184914650660001</v>
      </c>
      <c r="AH6816">
        <v>14.5213669086585</v>
      </c>
      <c r="AI6816">
        <v>94.317392817098593</v>
      </c>
      <c r="AJ6816">
        <v>101.432278659536</v>
      </c>
      <c r="AK6816">
        <v>14.8574682109642</v>
      </c>
      <c r="AL6816">
        <v>78.196461562381799</v>
      </c>
      <c r="AM6816">
        <v>97.257856078570796</v>
      </c>
      <c r="AN6816">
        <v>0.99999998169822402</v>
      </c>
    </row>
    <row r="6817" spans="1:40" x14ac:dyDescent="0.25">
      <c r="A6817" t="str">
        <f>"20190312172539810"</f>
        <v>20190312172539810</v>
      </c>
      <c r="B6817" t="str">
        <f>"1552382739797475"</f>
        <v>1552382739797475</v>
      </c>
      <c r="C6817" t="s">
        <v>40</v>
      </c>
      <c r="D6817">
        <v>3.575501</v>
      </c>
      <c r="E6817">
        <v>0.4725972</v>
      </c>
      <c r="F6817" t="s">
        <v>50</v>
      </c>
      <c r="G6817">
        <v>-190.54509999999999</v>
      </c>
      <c r="H6817" s="1">
        <v>-5.5103490000000003E-6</v>
      </c>
      <c r="I6817">
        <v>-42.006610000000002</v>
      </c>
      <c r="J6817">
        <v>-198.30269999999999</v>
      </c>
      <c r="K6817">
        <v>1.1183510000000001</v>
      </c>
      <c r="L6817">
        <v>-54.636780000000002</v>
      </c>
      <c r="M6817">
        <v>0.67991040000000003</v>
      </c>
      <c r="N6817">
        <v>0</v>
      </c>
      <c r="O6817">
        <v>0.7331377</v>
      </c>
      <c r="P6817">
        <v>0.57486159999999997</v>
      </c>
      <c r="Q6817">
        <v>0.19182360000000001</v>
      </c>
      <c r="R6817">
        <v>0.79544820000000005</v>
      </c>
      <c r="S6817">
        <v>1.6345670000000001</v>
      </c>
      <c r="T6817">
        <v>-0.23181299999999999</v>
      </c>
      <c r="U6817">
        <v>2.6481319999999999</v>
      </c>
      <c r="V6817">
        <v>-0.12329619999999999</v>
      </c>
      <c r="W6817">
        <v>0.20430309999999999</v>
      </c>
      <c r="X6817">
        <v>0.97111190000000003</v>
      </c>
      <c r="Y6817">
        <v>-0.19436619999999999</v>
      </c>
      <c r="Z6817">
        <v>-4.9540109999999998E-2</v>
      </c>
      <c r="AA6817">
        <v>0.97967729999999997</v>
      </c>
      <c r="AB6817">
        <v>29</v>
      </c>
      <c r="AC6817">
        <v>7.7575999999999903</v>
      </c>
      <c r="AD6817">
        <v>-1.1183565103489901</v>
      </c>
      <c r="AE6817">
        <v>12.63017</v>
      </c>
      <c r="AF6817">
        <v>-2.8839122737649099</v>
      </c>
      <c r="AG6817">
        <v>-1.1183565103489901</v>
      </c>
      <c r="AH6817">
        <v>14.4535240969367</v>
      </c>
      <c r="AI6817">
        <v>94.339305553065103</v>
      </c>
      <c r="AJ6817">
        <v>101.28403917846499</v>
      </c>
      <c r="AK6817">
        <v>14.780799373096899</v>
      </c>
      <c r="AL6817">
        <v>78.211293956271405</v>
      </c>
      <c r="AM6817">
        <v>97.2357841549087</v>
      </c>
      <c r="AN6817">
        <v>1.00000001596282</v>
      </c>
    </row>
    <row r="6818" spans="1:40" x14ac:dyDescent="0.25">
      <c r="A6818" t="str">
        <f>"20190312172539827"</f>
        <v>20190312172539827</v>
      </c>
      <c r="B6818" t="str">
        <f>"1552382739816995"</f>
        <v>1552382739816995</v>
      </c>
      <c r="C6818" t="s">
        <v>40</v>
      </c>
      <c r="D6818">
        <v>3.6937570000000002</v>
      </c>
      <c r="E6818">
        <v>0.47948560000000001</v>
      </c>
      <c r="F6818" t="s">
        <v>50</v>
      </c>
      <c r="G6818">
        <v>-190.52449999999999</v>
      </c>
      <c r="H6818" s="1">
        <v>-5.5753699999999996E-6</v>
      </c>
      <c r="I6818">
        <v>-41.859180000000002</v>
      </c>
      <c r="J6818">
        <v>-198.1491</v>
      </c>
      <c r="K6818">
        <v>1.118196</v>
      </c>
      <c r="L6818">
        <v>-54.459589999999999</v>
      </c>
      <c r="M6818">
        <v>0.6742821</v>
      </c>
      <c r="N6818">
        <v>0</v>
      </c>
      <c r="O6818">
        <v>0.73831809999999998</v>
      </c>
      <c r="P6818">
        <v>0.56930990000000004</v>
      </c>
      <c r="Q6818">
        <v>0.1920945</v>
      </c>
      <c r="R6818">
        <v>0.79936589999999996</v>
      </c>
      <c r="S6818">
        <v>1.6181179999999999</v>
      </c>
      <c r="T6818">
        <v>-0.2326561</v>
      </c>
      <c r="U6818">
        <v>2.6581730000000001</v>
      </c>
      <c r="V6818">
        <v>-0.1225067</v>
      </c>
      <c r="W6818">
        <v>0.20460139999999999</v>
      </c>
      <c r="X6818">
        <v>0.97114900000000004</v>
      </c>
      <c r="Y6818">
        <v>-0.192944</v>
      </c>
      <c r="Z6818">
        <v>-5.0184029999999998E-2</v>
      </c>
      <c r="AA6818">
        <v>0.97992559999999995</v>
      </c>
      <c r="AB6818">
        <v>29</v>
      </c>
      <c r="AC6818">
        <v>7.6246000000000098</v>
      </c>
      <c r="AD6818">
        <v>-1.1182015753700001</v>
      </c>
      <c r="AE6818">
        <v>12.60041</v>
      </c>
      <c r="AF6818">
        <v>-2.85074703979851</v>
      </c>
      <c r="AG6818">
        <v>-1.1182015753700001</v>
      </c>
      <c r="AH6818">
        <v>14.3631057894866</v>
      </c>
      <c r="AI6818">
        <v>94.3667910426676</v>
      </c>
      <c r="AJ6818">
        <v>101.226006114047</v>
      </c>
      <c r="AK6818">
        <v>14.6859096200428</v>
      </c>
      <c r="AL6818">
        <v>78.193833643191695</v>
      </c>
      <c r="AM6818">
        <v>97.189666027142707</v>
      </c>
      <c r="AN6818">
        <v>1.0000000023139199</v>
      </c>
    </row>
    <row r="6819" spans="1:40" x14ac:dyDescent="0.25">
      <c r="A6819" t="str">
        <f>"20190312172539848"</f>
        <v>20190312172539848</v>
      </c>
      <c r="B6819" t="str">
        <f>"1552382739837495"</f>
        <v>1552382739837495</v>
      </c>
      <c r="C6819" t="s">
        <v>40</v>
      </c>
      <c r="D6819">
        <v>3.6040380000000001</v>
      </c>
      <c r="E6819">
        <v>0.46823350000000002</v>
      </c>
      <c r="F6819" t="s">
        <v>50</v>
      </c>
      <c r="G6819">
        <v>-190.6986</v>
      </c>
      <c r="H6819" s="1">
        <v>-5.3043080000000004E-6</v>
      </c>
      <c r="I6819">
        <v>-42.50761</v>
      </c>
      <c r="J6819">
        <v>-197.9769</v>
      </c>
      <c r="K6819">
        <v>1.1180319999999999</v>
      </c>
      <c r="L6819">
        <v>-54.257779999999997</v>
      </c>
      <c r="M6819">
        <v>0.66798690000000005</v>
      </c>
      <c r="N6819">
        <v>0</v>
      </c>
      <c r="O6819">
        <v>0.74401930000000005</v>
      </c>
      <c r="P6819">
        <v>0.56287189999999998</v>
      </c>
      <c r="Q6819">
        <v>0.19238440000000001</v>
      </c>
      <c r="R6819">
        <v>0.80384290000000003</v>
      </c>
      <c r="S6819">
        <v>1.645813</v>
      </c>
      <c r="T6819">
        <v>-0.24701090000000001</v>
      </c>
      <c r="U6819">
        <v>2.6401979999999998</v>
      </c>
      <c r="V6819">
        <v>-0.1219276</v>
      </c>
      <c r="W6819">
        <v>0.2049136</v>
      </c>
      <c r="X6819">
        <v>0.97115609999999997</v>
      </c>
      <c r="Y6819">
        <v>-0.17432690000000001</v>
      </c>
      <c r="Z6819">
        <v>-5.4283680000000001E-2</v>
      </c>
      <c r="AA6819">
        <v>0.98319040000000002</v>
      </c>
      <c r="AB6819">
        <v>29</v>
      </c>
      <c r="AC6819">
        <v>7.2782999999999998</v>
      </c>
      <c r="AD6819">
        <v>-1.1180373043080001</v>
      </c>
      <c r="AE6819">
        <v>11.750170000000001</v>
      </c>
      <c r="AF6819">
        <v>-2.4182195982634398</v>
      </c>
      <c r="AG6819">
        <v>-1.1180373043080001</v>
      </c>
      <c r="AH6819">
        <v>13.5172730147462</v>
      </c>
      <c r="AI6819">
        <v>94.654704333748001</v>
      </c>
      <c r="AJ6819">
        <v>100.142830233754</v>
      </c>
      <c r="AK6819">
        <v>13.777316980981301</v>
      </c>
      <c r="AL6819">
        <v>78.175559238848606</v>
      </c>
      <c r="AM6819">
        <v>97.155981223429194</v>
      </c>
      <c r="AN6819">
        <v>1.0000000468369601</v>
      </c>
    </row>
    <row r="6820" spans="1:40" x14ac:dyDescent="0.25">
      <c r="A6820" t="str">
        <f>"20190312172539859"</f>
        <v>20190312172539859</v>
      </c>
      <c r="B6820" t="str">
        <f>"1552382739857011"</f>
        <v>1552382739857011</v>
      </c>
      <c r="C6820" t="s">
        <v>40</v>
      </c>
      <c r="D6820">
        <v>3.5396350000000001</v>
      </c>
      <c r="E6820">
        <v>0.44432830000000001</v>
      </c>
      <c r="F6820" t="s">
        <v>50</v>
      </c>
      <c r="G6820">
        <v>-190.59950000000001</v>
      </c>
      <c r="H6820" s="1">
        <v>-5.8043219999999998E-6</v>
      </c>
      <c r="I6820">
        <v>-41.396340000000002</v>
      </c>
      <c r="J6820">
        <v>-197.87710000000001</v>
      </c>
      <c r="K6820">
        <v>1.1179399999999999</v>
      </c>
      <c r="L6820">
        <v>-54.139530000000001</v>
      </c>
      <c r="M6820">
        <v>0.66433529999999996</v>
      </c>
      <c r="N6820">
        <v>0</v>
      </c>
      <c r="O6820">
        <v>0.74728209999999995</v>
      </c>
      <c r="P6820">
        <v>0.55920930000000002</v>
      </c>
      <c r="Q6820">
        <v>0.1924872</v>
      </c>
      <c r="R6820">
        <v>0.8063707</v>
      </c>
      <c r="S6820">
        <v>1.550308</v>
      </c>
      <c r="T6820">
        <v>-0.23494660000000001</v>
      </c>
      <c r="U6820">
        <v>2.702728</v>
      </c>
      <c r="V6820">
        <v>-0.12152490000000001</v>
      </c>
      <c r="W6820">
        <v>0.20503080000000001</v>
      </c>
      <c r="X6820">
        <v>0.97118179999999998</v>
      </c>
      <c r="Y6820">
        <v>-0.2053073</v>
      </c>
      <c r="Z6820">
        <v>-5.1041200000000002E-2</v>
      </c>
      <c r="AA6820">
        <v>0.9773657</v>
      </c>
      <c r="AB6820">
        <v>29</v>
      </c>
      <c r="AC6820">
        <v>7.2775999999999996</v>
      </c>
      <c r="AD6820">
        <v>-1.1179458043220001</v>
      </c>
      <c r="AE6820">
        <v>12.74319</v>
      </c>
      <c r="AF6820">
        <v>-3.0102062168717398</v>
      </c>
      <c r="AG6820">
        <v>-1.1179458043220001</v>
      </c>
      <c r="AH6820">
        <v>14.276308999423099</v>
      </c>
      <c r="AI6820">
        <v>94.381612367446706</v>
      </c>
      <c r="AJ6820">
        <v>101.906594072357</v>
      </c>
      <c r="AK6820">
        <v>14.632981341357</v>
      </c>
      <c r="AL6820">
        <v>78.1686980567017</v>
      </c>
      <c r="AM6820">
        <v>97.1324036101703</v>
      </c>
      <c r="AN6820">
        <v>1.0000000094599399</v>
      </c>
    </row>
    <row r="6821" spans="1:40" x14ac:dyDescent="0.25">
      <c r="A6821" t="str">
        <f>"20190312172539872"</f>
        <v>20190312172539872</v>
      </c>
      <c r="B6821" t="str">
        <f>"1552382739866772"</f>
        <v>1552382739866772</v>
      </c>
      <c r="C6821" t="s">
        <v>40</v>
      </c>
      <c r="D6821">
        <v>3.5435789999999998</v>
      </c>
      <c r="E6821">
        <v>0.44476670000000001</v>
      </c>
      <c r="F6821" t="s">
        <v>43</v>
      </c>
      <c r="G6821">
        <v>-190.6867</v>
      </c>
      <c r="H6821" s="1">
        <v>-5.8696089999999999E-7</v>
      </c>
      <c r="I6821">
        <v>-39.468539999999997</v>
      </c>
      <c r="J6821">
        <v>-197.7807</v>
      </c>
      <c r="K6821">
        <v>1.1178509999999999</v>
      </c>
      <c r="L6821">
        <v>-54.023769999999899</v>
      </c>
      <c r="M6821">
        <v>0.66082069999999904</v>
      </c>
      <c r="N6821">
        <v>0</v>
      </c>
      <c r="O6821">
        <v>0.75039230000000001</v>
      </c>
      <c r="P6821">
        <v>0.55551980000000001</v>
      </c>
      <c r="Q6821">
        <v>0.1927392</v>
      </c>
      <c r="R6821">
        <v>0.80885680000000004</v>
      </c>
      <c r="S6821">
        <v>1.3795930000000001</v>
      </c>
      <c r="T6821">
        <v>-0.21449380000000001</v>
      </c>
      <c r="U6821">
        <v>2.8148499999999999</v>
      </c>
      <c r="V6821">
        <v>-0.12132179999999999</v>
      </c>
      <c r="W6821">
        <v>0.20529120000000001</v>
      </c>
      <c r="X6821">
        <v>0.97115220000000002</v>
      </c>
      <c r="Y6821">
        <v>-0.26373279999999999</v>
      </c>
      <c r="Z6821">
        <v>-4.5195390000000002E-2</v>
      </c>
      <c r="AA6821">
        <v>0.96353639999999996</v>
      </c>
      <c r="AB6821">
        <v>29</v>
      </c>
      <c r="AC6821">
        <v>7.0939999999999896</v>
      </c>
      <c r="AD6821">
        <v>-1.11785158696089</v>
      </c>
      <c r="AE6821">
        <v>14.5552299999999</v>
      </c>
      <c r="AF6821">
        <v>-4.2752262831980898</v>
      </c>
      <c r="AG6821">
        <v>-1.11785158696089</v>
      </c>
      <c r="AH6821">
        <v>15.537714332263</v>
      </c>
      <c r="AI6821">
        <v>93.968051075030004</v>
      </c>
      <c r="AJ6821">
        <v>105.384323962011</v>
      </c>
      <c r="AK6821">
        <v>16.1538762720911</v>
      </c>
      <c r="AL6821">
        <v>78.1534541630554</v>
      </c>
      <c r="AM6821">
        <v>97.120820754701498</v>
      </c>
      <c r="AN6821">
        <v>1.00000002575875</v>
      </c>
    </row>
    <row r="6822" spans="1:40" x14ac:dyDescent="0.25">
      <c r="A6822" t="str">
        <f>"20190312172539885"</f>
        <v>20190312172539885</v>
      </c>
      <c r="B6822" t="str">
        <f>"1552382739877508"</f>
        <v>1552382739877508</v>
      </c>
      <c r="C6822" t="s">
        <v>40</v>
      </c>
      <c r="D6822">
        <v>3.5215869999999998</v>
      </c>
      <c r="E6822">
        <v>0.44476520000000003</v>
      </c>
      <c r="F6822" t="s">
        <v>43</v>
      </c>
      <c r="G6822">
        <v>-190.61</v>
      </c>
      <c r="H6822" s="1">
        <v>-6.5320169999999902E-7</v>
      </c>
      <c r="I6822">
        <v>-39.266570000000002</v>
      </c>
      <c r="J6822">
        <v>-197.67410000000001</v>
      </c>
      <c r="K6822">
        <v>1.1177589999999999</v>
      </c>
      <c r="L6822">
        <v>-53.894930000000002</v>
      </c>
      <c r="M6822">
        <v>0.65692790000000001</v>
      </c>
      <c r="N6822">
        <v>0</v>
      </c>
      <c r="O6822">
        <v>0.75380309999999995</v>
      </c>
      <c r="P6822">
        <v>0.55161780000000005</v>
      </c>
      <c r="Q6822">
        <v>0.19285179999999999</v>
      </c>
      <c r="R6822">
        <v>0.8114962</v>
      </c>
      <c r="S6822">
        <v>1.369812</v>
      </c>
      <c r="T6822">
        <v>-0.21354039999999999</v>
      </c>
      <c r="U6822">
        <v>2.8190309999999998</v>
      </c>
      <c r="V6822">
        <v>-0.12090579999999999</v>
      </c>
      <c r="W6822">
        <v>0.20541760000000001</v>
      </c>
      <c r="X6822">
        <v>0.97117730000000002</v>
      </c>
      <c r="Y6822">
        <v>-0.26200580000000001</v>
      </c>
      <c r="Z6822">
        <v>-4.531081E-2</v>
      </c>
      <c r="AA6822">
        <v>0.96400200000000003</v>
      </c>
      <c r="AB6822">
        <v>29</v>
      </c>
      <c r="AC6822">
        <v>7.0640999999999901</v>
      </c>
      <c r="AD6822">
        <v>-1.1177596532017</v>
      </c>
      <c r="AE6822">
        <v>14.628360000000001</v>
      </c>
      <c r="AF6822">
        <v>-4.2651297203057998</v>
      </c>
      <c r="AG6822">
        <v>-1.1177596532017</v>
      </c>
      <c r="AH6822">
        <v>15.595446596610399</v>
      </c>
      <c r="AI6822">
        <v>93.954759627259506</v>
      </c>
      <c r="AJ6822">
        <v>105.295550666408</v>
      </c>
      <c r="AK6822">
        <v>16.206747752744398</v>
      </c>
      <c r="AL6822">
        <v>78.146053662737998</v>
      </c>
      <c r="AM6822">
        <v>97.096472026089899</v>
      </c>
      <c r="AN6822">
        <v>0.99999997544934405</v>
      </c>
    </row>
    <row r="6823" spans="1:40" x14ac:dyDescent="0.25">
      <c r="A6823" t="str">
        <f>"20190312172539897"</f>
        <v>20190312172539897</v>
      </c>
      <c r="B6823" t="str">
        <f>"1552382739887267"</f>
        <v>1552382739887267</v>
      </c>
      <c r="C6823" t="s">
        <v>40</v>
      </c>
      <c r="D6823">
        <v>3.5226700000000002</v>
      </c>
      <c r="E6823">
        <v>0.44529859999999999</v>
      </c>
      <c r="F6823" t="s">
        <v>43</v>
      </c>
      <c r="G6823">
        <v>-190.60390000000001</v>
      </c>
      <c r="H6823" s="1">
        <v>-6.9492419999999896E-7</v>
      </c>
      <c r="I6823">
        <v>-39.165550000000003</v>
      </c>
      <c r="J6823">
        <v>-197.56989999999999</v>
      </c>
      <c r="K6823">
        <v>1.1176649999999999</v>
      </c>
      <c r="L6823">
        <v>-53.76764</v>
      </c>
      <c r="M6823">
        <v>0.65313390000000004</v>
      </c>
      <c r="N6823">
        <v>0</v>
      </c>
      <c r="O6823">
        <v>0.75709320000000002</v>
      </c>
      <c r="P6823">
        <v>0.54772829999999995</v>
      </c>
      <c r="Q6823">
        <v>0.1931195</v>
      </c>
      <c r="R6823">
        <v>0.81406309999999904</v>
      </c>
      <c r="S6823">
        <v>1.3564149999999999</v>
      </c>
      <c r="T6823">
        <v>-0.21444260000000001</v>
      </c>
      <c r="U6823">
        <v>2.8258359999999998</v>
      </c>
      <c r="V6823">
        <v>-0.1205888</v>
      </c>
      <c r="W6823">
        <v>0.2056972</v>
      </c>
      <c r="X6823">
        <v>0.97115759999999995</v>
      </c>
      <c r="Y6823">
        <v>-0.26178780000000001</v>
      </c>
      <c r="Z6823">
        <v>-4.5761240000000002E-2</v>
      </c>
      <c r="AA6823">
        <v>0.96404000000000001</v>
      </c>
      <c r="AB6823">
        <v>29</v>
      </c>
      <c r="AC6823">
        <v>6.9659999999999798</v>
      </c>
      <c r="AD6823">
        <v>-1.1176656949242001</v>
      </c>
      <c r="AE6823">
        <v>14.602089999999899</v>
      </c>
      <c r="AF6823">
        <v>-4.2434388753655901</v>
      </c>
      <c r="AG6823">
        <v>-1.1176656949242001</v>
      </c>
      <c r="AH6823">
        <v>15.532508925483</v>
      </c>
      <c r="AI6823">
        <v>93.970690662228293</v>
      </c>
      <c r="AJ6823">
        <v>105.28017971894801</v>
      </c>
      <c r="AK6823">
        <v>16.140470365351302</v>
      </c>
      <c r="AL6823">
        <v>78.129684975565993</v>
      </c>
      <c r="AM6823">
        <v>97.078197044835804</v>
      </c>
      <c r="AN6823">
        <v>1.00000004040551</v>
      </c>
    </row>
    <row r="6824" spans="1:40" x14ac:dyDescent="0.25">
      <c r="A6824" t="str">
        <f>"20190312172539915"</f>
        <v>20190312172539915</v>
      </c>
      <c r="B6824" t="str">
        <f>"1552382739906791"</f>
        <v>1552382739906791</v>
      </c>
      <c r="C6824" t="s">
        <v>40</v>
      </c>
      <c r="D6824">
        <v>3.78986</v>
      </c>
      <c r="E6824">
        <v>0.4461907</v>
      </c>
      <c r="F6824" t="s">
        <v>43</v>
      </c>
      <c r="G6824">
        <v>-190.7432</v>
      </c>
      <c r="H6824" s="1">
        <v>-6.2418229999999995E-7</v>
      </c>
      <c r="I6824">
        <v>-39.416849999999997</v>
      </c>
      <c r="J6824">
        <v>-197.42750000000001</v>
      </c>
      <c r="K6824">
        <v>1.1175379999999999</v>
      </c>
      <c r="L6824">
        <v>-53.591669999999901</v>
      </c>
      <c r="M6824">
        <v>0.64796069999999995</v>
      </c>
      <c r="N6824">
        <v>0</v>
      </c>
      <c r="O6824">
        <v>0.76152589999999998</v>
      </c>
      <c r="P6824">
        <v>0.54249409999999998</v>
      </c>
      <c r="Q6824">
        <v>0.19311729999999999</v>
      </c>
      <c r="R6824">
        <v>0.81756090000000003</v>
      </c>
      <c r="S6824">
        <v>1.3468629999999999</v>
      </c>
      <c r="T6824">
        <v>-0.22050910000000001</v>
      </c>
      <c r="U6824">
        <v>2.8313290000000002</v>
      </c>
      <c r="V6824">
        <v>-0.12013500000000001</v>
      </c>
      <c r="W6824">
        <v>0.20571210000000001</v>
      </c>
      <c r="X6824">
        <v>0.97121069999999998</v>
      </c>
      <c r="Y6824">
        <v>-0.25862940000000001</v>
      </c>
      <c r="Z6824">
        <v>-4.7473019999999998E-2</v>
      </c>
      <c r="AA6824">
        <v>0.96480940000000004</v>
      </c>
      <c r="AB6824">
        <v>29</v>
      </c>
      <c r="AC6824">
        <v>6.6843000000000004</v>
      </c>
      <c r="AD6824">
        <v>-1.1175386241823</v>
      </c>
      <c r="AE6824">
        <v>14.174819999999899</v>
      </c>
      <c r="AF6824">
        <v>-4.0742027600995998</v>
      </c>
      <c r="AG6824">
        <v>-1.1175386241823</v>
      </c>
      <c r="AH6824">
        <v>15.0508271725095</v>
      </c>
      <c r="AI6824">
        <v>94.099463495994598</v>
      </c>
      <c r="AJ6824">
        <v>105.146751259338</v>
      </c>
      <c r="AK6824">
        <v>15.6325116115003</v>
      </c>
      <c r="AL6824">
        <v>78.128812788644098</v>
      </c>
      <c r="AM6824">
        <v>97.051447371361604</v>
      </c>
      <c r="AN6824">
        <v>1.00000005505294</v>
      </c>
    </row>
    <row r="6825" spans="1:40" x14ac:dyDescent="0.25">
      <c r="A6825" t="str">
        <f>"20190312172539928"</f>
        <v>20190312172539928</v>
      </c>
      <c r="B6825" t="str">
        <f>"1552382739916548"</f>
        <v>1552382739916548</v>
      </c>
      <c r="C6825" t="s">
        <v>40</v>
      </c>
      <c r="D6825">
        <v>3.7777949999999998</v>
      </c>
      <c r="E6825">
        <v>0.44673469999999998</v>
      </c>
      <c r="F6825" t="s">
        <v>43</v>
      </c>
      <c r="G6825">
        <v>-190.79900000000001</v>
      </c>
      <c r="H6825" s="1">
        <v>-5.981093E-7</v>
      </c>
      <c r="I6825">
        <v>-39.512259999999998</v>
      </c>
      <c r="J6825">
        <v>-197.3278</v>
      </c>
      <c r="K6825">
        <v>1.1174489999999999</v>
      </c>
      <c r="L6825">
        <v>-53.4670699999999</v>
      </c>
      <c r="M6825">
        <v>0.64434480000000005</v>
      </c>
      <c r="N6825">
        <v>0</v>
      </c>
      <c r="O6825">
        <v>0.7645883</v>
      </c>
      <c r="P6825">
        <v>0.53881509999999999</v>
      </c>
      <c r="Q6825">
        <v>0.1928581</v>
      </c>
      <c r="R6825">
        <v>0.82005130000000004</v>
      </c>
      <c r="S6825">
        <v>1.3354189999999999</v>
      </c>
      <c r="T6825">
        <v>-0.22514799999999999</v>
      </c>
      <c r="U6825">
        <v>2.8365480000000001</v>
      </c>
      <c r="V6825">
        <v>-0.1198839</v>
      </c>
      <c r="W6825">
        <v>0.2054638</v>
      </c>
      <c r="X6825">
        <v>0.9712942</v>
      </c>
      <c r="Y6825">
        <v>-0.2579514</v>
      </c>
      <c r="Z6825">
        <v>-4.874009E-2</v>
      </c>
      <c r="AA6825">
        <v>0.96492770000000005</v>
      </c>
      <c r="AB6825">
        <v>29</v>
      </c>
      <c r="AC6825">
        <v>6.5287999999999897</v>
      </c>
      <c r="AD6825">
        <v>-1.1174495981093</v>
      </c>
      <c r="AE6825">
        <v>13.954809999999901</v>
      </c>
      <c r="AF6825">
        <v>-3.9793798626062502</v>
      </c>
      <c r="AG6825">
        <v>-1.1174495981093</v>
      </c>
      <c r="AH6825">
        <v>14.800292902938301</v>
      </c>
      <c r="AI6825">
        <v>94.1701905691706</v>
      </c>
      <c r="AJ6825">
        <v>105.049303557687</v>
      </c>
      <c r="AK6825">
        <v>15.3666140612692</v>
      </c>
      <c r="AL6825">
        <v>78.1433488717676</v>
      </c>
      <c r="AM6825">
        <v>97.036257835260798</v>
      </c>
      <c r="AN6825">
        <v>0.99999997277164399</v>
      </c>
    </row>
    <row r="6826" spans="1:40" x14ac:dyDescent="0.25">
      <c r="A6826" t="str">
        <f>"20190312172539939"</f>
        <v>20190312172539939</v>
      </c>
      <c r="B6826" t="str">
        <f>"1552382739937046"</f>
        <v>1552382739937046</v>
      </c>
      <c r="C6826" t="s">
        <v>40</v>
      </c>
      <c r="D6826">
        <v>3.5250970000000001</v>
      </c>
      <c r="E6826">
        <v>0.44779930000000001</v>
      </c>
      <c r="F6826" t="s">
        <v>43</v>
      </c>
      <c r="G6826">
        <v>-190.80779999999999</v>
      </c>
      <c r="H6826" s="1">
        <v>-6.021889E-7</v>
      </c>
      <c r="I6826">
        <v>-39.508220000000001</v>
      </c>
      <c r="J6826">
        <v>-197.22970000000001</v>
      </c>
      <c r="K6826">
        <v>1.117364</v>
      </c>
      <c r="L6826">
        <v>-53.343719999999998</v>
      </c>
      <c r="M6826">
        <v>0.64078919999999995</v>
      </c>
      <c r="N6826">
        <v>0</v>
      </c>
      <c r="O6826">
        <v>0.767571</v>
      </c>
      <c r="P6826">
        <v>0.53514989999999996</v>
      </c>
      <c r="Q6826">
        <v>0.1929003</v>
      </c>
      <c r="R6826">
        <v>0.82243790000000006</v>
      </c>
      <c r="S6826">
        <v>1.326584</v>
      </c>
      <c r="T6826">
        <v>-0.2273626</v>
      </c>
      <c r="U6826">
        <v>2.8401489999999998</v>
      </c>
      <c r="V6826">
        <v>-0.119658</v>
      </c>
      <c r="W6826">
        <v>0.20551659999999999</v>
      </c>
      <c r="X6826">
        <v>0.97131089999999998</v>
      </c>
      <c r="Y6826">
        <v>-0.25641700000000001</v>
      </c>
      <c r="Z6826">
        <v>-4.9511970000000002E-2</v>
      </c>
      <c r="AA6826">
        <v>0.96529730000000002</v>
      </c>
      <c r="AB6826">
        <v>29</v>
      </c>
      <c r="AC6826">
        <v>6.4219000000000204</v>
      </c>
      <c r="AD6826">
        <v>-1.1173646021888901</v>
      </c>
      <c r="AE6826">
        <v>13.8354999999999</v>
      </c>
      <c r="AF6826">
        <v>-3.9158027704047398</v>
      </c>
      <c r="AG6826">
        <v>-1.1173646021888901</v>
      </c>
      <c r="AH6826">
        <v>14.6578067057868</v>
      </c>
      <c r="AI6826">
        <v>94.212072702862898</v>
      </c>
      <c r="AJ6826">
        <v>104.95715797199099</v>
      </c>
      <c r="AK6826">
        <v>15.212932406842</v>
      </c>
      <c r="AL6826">
        <v>78.140257859056504</v>
      </c>
      <c r="AM6826">
        <v>97.023012239402902</v>
      </c>
      <c r="AN6826">
        <v>0.99999998714918403</v>
      </c>
    </row>
    <row r="6827" spans="1:40" x14ac:dyDescent="0.25">
      <c r="A6827" t="str">
        <f>"20190312172539958"</f>
        <v>20190312172539958</v>
      </c>
      <c r="B6827" t="str">
        <f>"1552382739946804"</f>
        <v>1552382739946804</v>
      </c>
      <c r="C6827" t="s">
        <v>40</v>
      </c>
      <c r="D6827">
        <v>3.603961</v>
      </c>
      <c r="E6827">
        <v>0.44779930000000001</v>
      </c>
      <c r="F6827" t="s">
        <v>43</v>
      </c>
      <c r="G6827">
        <v>-190.76140000000001</v>
      </c>
      <c r="H6827" s="1">
        <v>-6.2093619999999998E-7</v>
      </c>
      <c r="I6827">
        <v>-39.435699999999997</v>
      </c>
      <c r="J6827">
        <v>-197.08670000000001</v>
      </c>
      <c r="K6827">
        <v>1.117238</v>
      </c>
      <c r="L6827">
        <v>-53.161380000000001</v>
      </c>
      <c r="M6827">
        <v>0.63563239999999999</v>
      </c>
      <c r="N6827">
        <v>0</v>
      </c>
      <c r="O6827">
        <v>0.77184739999999996</v>
      </c>
      <c r="P6827">
        <v>0.52978809999999998</v>
      </c>
      <c r="Q6827">
        <v>0.19253590000000001</v>
      </c>
      <c r="R6827">
        <v>0.82598700000000003</v>
      </c>
      <c r="S6827">
        <v>1.3214570000000001</v>
      </c>
      <c r="T6827">
        <v>-0.22827459999999999</v>
      </c>
      <c r="U6827">
        <v>2.84137</v>
      </c>
      <c r="V6827">
        <v>-0.11944920000000001</v>
      </c>
      <c r="W6827">
        <v>0.20516699999999999</v>
      </c>
      <c r="X6827">
        <v>0.97141049999999995</v>
      </c>
      <c r="Y6827">
        <v>-0.25154330000000003</v>
      </c>
      <c r="Z6827">
        <v>-5.0204140000000001E-2</v>
      </c>
      <c r="AA6827">
        <v>0.96654309999999999</v>
      </c>
      <c r="AB6827">
        <v>29</v>
      </c>
      <c r="AC6827">
        <v>6.3252999999999897</v>
      </c>
      <c r="AD6827">
        <v>-1.1172386209362</v>
      </c>
      <c r="AE6827">
        <v>13.725680000000001</v>
      </c>
      <c r="AF6827">
        <v>-3.8218627238255198</v>
      </c>
      <c r="AG6827">
        <v>-1.1172386209362</v>
      </c>
      <c r="AH6827">
        <v>14.5368823696351</v>
      </c>
      <c r="AI6827">
        <v>94.250950463869998</v>
      </c>
      <c r="AJ6827">
        <v>104.73017162368301</v>
      </c>
      <c r="AK6827">
        <v>15.0723523659875</v>
      </c>
      <c r="AL6827">
        <v>78.160724570574104</v>
      </c>
      <c r="AM6827">
        <v>97.010167655090996</v>
      </c>
      <c r="AN6827">
        <v>0.99999998438994397</v>
      </c>
    </row>
    <row r="6828" spans="1:40" x14ac:dyDescent="0.25">
      <c r="A6828" t="str">
        <f>"20190312172539971"</f>
        <v>20190312172539971</v>
      </c>
      <c r="B6828" t="str">
        <f>"1552382739967299"</f>
        <v>1552382739967299</v>
      </c>
      <c r="C6828" t="s">
        <v>40</v>
      </c>
      <c r="D6828">
        <v>3.9025270000000001</v>
      </c>
      <c r="E6828">
        <v>0.45516610000000002</v>
      </c>
      <c r="F6828" t="s">
        <v>43</v>
      </c>
      <c r="G6828">
        <v>-190.75229999999999</v>
      </c>
      <c r="H6828" s="1">
        <v>-6.7051330000000005E-7</v>
      </c>
      <c r="I6828">
        <v>-39.314459999999997</v>
      </c>
      <c r="J6828">
        <v>-196.9933</v>
      </c>
      <c r="K6828">
        <v>1.1171530000000001</v>
      </c>
      <c r="L6828">
        <v>-53.040770000000002</v>
      </c>
      <c r="M6828">
        <v>0.63227639999999996</v>
      </c>
      <c r="N6828">
        <v>0</v>
      </c>
      <c r="O6828">
        <v>0.77459929999999999</v>
      </c>
      <c r="P6828">
        <v>0.52625759999999999</v>
      </c>
      <c r="Q6828">
        <v>0.1925017</v>
      </c>
      <c r="R6828">
        <v>0.82824880000000001</v>
      </c>
      <c r="S6828">
        <v>1.303558</v>
      </c>
      <c r="T6828">
        <v>-0.22991349999999999</v>
      </c>
      <c r="U6828">
        <v>2.8495180000000002</v>
      </c>
      <c r="V6828">
        <v>-0.11933820000000001</v>
      </c>
      <c r="W6828">
        <v>0.2051413</v>
      </c>
      <c r="X6828">
        <v>0.9714296</v>
      </c>
      <c r="Y6828">
        <v>-0.2534188</v>
      </c>
      <c r="Z6828">
        <v>-5.0751530000000003E-2</v>
      </c>
      <c r="AA6828">
        <v>0.96602449999999995</v>
      </c>
      <c r="AB6828">
        <v>29</v>
      </c>
      <c r="AC6828">
        <v>6.2410000000000103</v>
      </c>
      <c r="AD6828">
        <v>-1.1171536705133001</v>
      </c>
      <c r="AE6828">
        <v>13.7263099999999</v>
      </c>
      <c r="AF6828">
        <v>-3.8239847819174</v>
      </c>
      <c r="AG6828">
        <v>-1.1171536705133001</v>
      </c>
      <c r="AH6828">
        <v>14.5004532907748</v>
      </c>
      <c r="AI6828">
        <v>94.260424462105405</v>
      </c>
      <c r="AJ6828">
        <v>104.773402837605</v>
      </c>
      <c r="AK6828">
        <v>15.037753740962099</v>
      </c>
      <c r="AL6828">
        <v>78.162229421188997</v>
      </c>
      <c r="AM6828">
        <v>97.003581739270899</v>
      </c>
      <c r="AN6828">
        <v>1.00000001335054</v>
      </c>
    </row>
    <row r="6829" spans="1:40" x14ac:dyDescent="0.25">
      <c r="A6829" t="str">
        <f>"20190312172539987"</f>
        <v>20190312172539987</v>
      </c>
      <c r="B6829" t="str">
        <f>"1552382739977060"</f>
        <v>1552382739977060</v>
      </c>
      <c r="C6829" t="s">
        <v>40</v>
      </c>
      <c r="D6829">
        <v>3.7238639999999998</v>
      </c>
      <c r="E6829">
        <v>0.457737</v>
      </c>
      <c r="F6829" t="s">
        <v>50</v>
      </c>
      <c r="G6829">
        <v>-191.16749999999999</v>
      </c>
      <c r="H6829" s="1">
        <v>-6.1655870000000002E-6</v>
      </c>
      <c r="I6829">
        <v>-40.778880000000001</v>
      </c>
      <c r="J6829">
        <v>-196.86850000000001</v>
      </c>
      <c r="K6829">
        <v>1.1170370000000001</v>
      </c>
      <c r="L6829">
        <v>-52.878570000000003</v>
      </c>
      <c r="M6829">
        <v>0.62780999999999998</v>
      </c>
      <c r="N6829">
        <v>0</v>
      </c>
      <c r="O6829">
        <v>0.77822419999999903</v>
      </c>
      <c r="P6829">
        <v>0.52143339999999905</v>
      </c>
      <c r="Q6829">
        <v>0.19242119999999999</v>
      </c>
      <c r="R6829">
        <v>0.83131299999999997</v>
      </c>
      <c r="S6829">
        <v>1.3437190000000001</v>
      </c>
      <c r="T6829">
        <v>-0.25767370000000001</v>
      </c>
      <c r="U6829">
        <v>2.828217</v>
      </c>
      <c r="V6829">
        <v>-0.11934649999999999</v>
      </c>
      <c r="W6829">
        <v>0.20507040000000001</v>
      </c>
      <c r="X6829">
        <v>0.97144350000000002</v>
      </c>
      <c r="Y6829">
        <v>-0.2340052</v>
      </c>
      <c r="Z6829">
        <v>-5.775748E-2</v>
      </c>
      <c r="AA6829">
        <v>0.9705182</v>
      </c>
      <c r="AB6829">
        <v>29</v>
      </c>
      <c r="AC6829">
        <v>5.7010000000000201</v>
      </c>
      <c r="AD6829">
        <v>-1.1170431655869999</v>
      </c>
      <c r="AE6829">
        <v>12.099689999999899</v>
      </c>
      <c r="AF6829">
        <v>-3.1381133917094601</v>
      </c>
      <c r="AG6829">
        <v>-1.1170431655869999</v>
      </c>
      <c r="AH6829">
        <v>12.9068369608607</v>
      </c>
      <c r="AI6829">
        <v>94.807070803486894</v>
      </c>
      <c r="AJ6829">
        <v>103.66549173953899</v>
      </c>
      <c r="AK6829">
        <v>13.329740486117901</v>
      </c>
      <c r="AL6829">
        <v>78.166379350440593</v>
      </c>
      <c r="AM6829">
        <v>97.003964779032501</v>
      </c>
      <c r="AN6829">
        <v>0.99999996485532905</v>
      </c>
    </row>
    <row r="6830" spans="1:40" x14ac:dyDescent="0.25">
      <c r="A6830" t="str">
        <f>"20190312172540002"</f>
        <v>20190312172540002</v>
      </c>
      <c r="B6830" t="str">
        <f>"1552382739996580"</f>
        <v>1552382739996580</v>
      </c>
      <c r="C6830" t="s">
        <v>40</v>
      </c>
      <c r="D6830">
        <v>3.5100199999999999</v>
      </c>
      <c r="E6830">
        <v>0.45725890000000002</v>
      </c>
      <c r="F6830" t="s">
        <v>43</v>
      </c>
      <c r="G6830">
        <v>-190.19300000000001</v>
      </c>
      <c r="H6830" s="1">
        <v>-7.1732500000000005E-7</v>
      </c>
      <c r="I6830">
        <v>-38.85848</v>
      </c>
      <c r="J6830">
        <v>-196.75149999999999</v>
      </c>
      <c r="K6830">
        <v>1.116927</v>
      </c>
      <c r="L6830">
        <v>-52.724910000000001</v>
      </c>
      <c r="M6830">
        <v>0.62363679999999999</v>
      </c>
      <c r="N6830">
        <v>0</v>
      </c>
      <c r="O6830">
        <v>0.78157290000000001</v>
      </c>
      <c r="P6830">
        <v>0.51694739999999995</v>
      </c>
      <c r="Q6830">
        <v>0.1925084</v>
      </c>
      <c r="R6830">
        <v>0.83408979999999999</v>
      </c>
      <c r="S6830">
        <v>1.3421780000000001</v>
      </c>
      <c r="T6830">
        <v>-0.2245915</v>
      </c>
      <c r="U6830">
        <v>2.8188780000000002</v>
      </c>
      <c r="V6830">
        <v>-0.1193125</v>
      </c>
      <c r="W6830">
        <v>0.20516799999999999</v>
      </c>
      <c r="X6830">
        <v>0.97142709999999999</v>
      </c>
      <c r="Y6830">
        <v>-0.22778619999999999</v>
      </c>
      <c r="Z6830">
        <v>-5.094253E-2</v>
      </c>
      <c r="AA6830">
        <v>0.97237770000000001</v>
      </c>
      <c r="AB6830">
        <v>29</v>
      </c>
      <c r="AC6830">
        <v>6.5585000000000004</v>
      </c>
      <c r="AD6830">
        <v>-1.1169277173250001</v>
      </c>
      <c r="AE6830">
        <v>13.8664299999999</v>
      </c>
      <c r="AF6830">
        <v>-3.50348365285936</v>
      </c>
      <c r="AG6830">
        <v>-1.1169277173250001</v>
      </c>
      <c r="AH6830">
        <v>14.850658383354499</v>
      </c>
      <c r="AI6830">
        <v>94.186652859861695</v>
      </c>
      <c r="AJ6830">
        <v>103.274188584265</v>
      </c>
      <c r="AK6830">
        <v>15.299149638155701</v>
      </c>
      <c r="AL6830">
        <v>78.160666165851794</v>
      </c>
      <c r="AM6830">
        <v>97.002106302842705</v>
      </c>
      <c r="AN6830">
        <v>0.99999999574732901</v>
      </c>
    </row>
    <row r="6831" spans="1:40" x14ac:dyDescent="0.25">
      <c r="A6831" t="str">
        <f>"20190312172540017"</f>
        <v>20190312172540017</v>
      </c>
      <c r="B6831" t="str">
        <f>"1552382740007315"</f>
        <v>1552382740007315</v>
      </c>
      <c r="C6831" t="s">
        <v>40</v>
      </c>
      <c r="D6831">
        <v>3.5064269999999902</v>
      </c>
      <c r="E6831">
        <v>0.45773649999999999</v>
      </c>
      <c r="F6831" t="s">
        <v>43</v>
      </c>
      <c r="G6831">
        <v>-190.54409999999999</v>
      </c>
      <c r="H6831" s="1">
        <v>-5.4644769999999904E-7</v>
      </c>
      <c r="I6831">
        <v>-39.47457</v>
      </c>
      <c r="J6831">
        <v>-196.63200000000001</v>
      </c>
      <c r="K6831">
        <v>1.1168119999999999</v>
      </c>
      <c r="L6831">
        <v>-52.566040000000001</v>
      </c>
      <c r="M6831">
        <v>0.61940390000000001</v>
      </c>
      <c r="N6831">
        <v>0</v>
      </c>
      <c r="O6831">
        <v>0.78493210000000002</v>
      </c>
      <c r="P6831">
        <v>0.5123434</v>
      </c>
      <c r="Q6831">
        <v>0.19258149999999999</v>
      </c>
      <c r="R6831">
        <v>0.83690900000000001</v>
      </c>
      <c r="S6831">
        <v>1.325806</v>
      </c>
      <c r="T6831">
        <v>-0.2385591</v>
      </c>
      <c r="U6831">
        <v>2.8300779999999999</v>
      </c>
      <c r="V6831">
        <v>-0.11934939999999999</v>
      </c>
      <c r="W6831">
        <v>0.20524870000000001</v>
      </c>
      <c r="X6831">
        <v>0.97140550000000003</v>
      </c>
      <c r="Y6831">
        <v>-0.2287101</v>
      </c>
      <c r="Z6831">
        <v>-5.431184E-2</v>
      </c>
      <c r="AA6831">
        <v>0.97197840000000002</v>
      </c>
      <c r="AB6831">
        <v>29</v>
      </c>
      <c r="AC6831">
        <v>6.0879000000000101</v>
      </c>
      <c r="AD6831">
        <v>-1.1168125464476999</v>
      </c>
      <c r="AE6831">
        <v>13.091469999999999</v>
      </c>
      <c r="AF6831">
        <v>-3.31087565412107</v>
      </c>
      <c r="AG6831">
        <v>-1.1168125464476999</v>
      </c>
      <c r="AH6831">
        <v>13.964773078781</v>
      </c>
      <c r="AI6831">
        <v>94.449584546693501</v>
      </c>
      <c r="AJ6831">
        <v>103.33785359052401</v>
      </c>
      <c r="AK6831">
        <v>14.395278913685599</v>
      </c>
      <c r="AL6831">
        <v>78.155941627221196</v>
      </c>
      <c r="AM6831">
        <v>97.004404547933902</v>
      </c>
      <c r="AN6831">
        <v>0.99999997678114905</v>
      </c>
    </row>
    <row r="6832" spans="1:40" x14ac:dyDescent="0.25">
      <c r="A6832" t="str">
        <f>"20190312172540039"</f>
        <v>20190312172540039</v>
      </c>
      <c r="B6832" t="str">
        <f>"1552382740026835"</f>
        <v>1552382740026835</v>
      </c>
      <c r="C6832" t="s">
        <v>40</v>
      </c>
      <c r="D6832">
        <v>3.6014179999999998</v>
      </c>
      <c r="E6832">
        <v>0.45863150000000003</v>
      </c>
      <c r="F6832" t="s">
        <v>43</v>
      </c>
      <c r="G6832">
        <v>-190.59399999999999</v>
      </c>
      <c r="H6832" s="1">
        <v>-5.3135780000000003E-7</v>
      </c>
      <c r="I6832">
        <v>-39.540709999999997</v>
      </c>
      <c r="J6832">
        <v>-196.46879999999999</v>
      </c>
      <c r="K6832">
        <v>1.116662</v>
      </c>
      <c r="L6832">
        <v>-52.346710000000002</v>
      </c>
      <c r="M6832">
        <v>0.61364819999999998</v>
      </c>
      <c r="N6832">
        <v>0</v>
      </c>
      <c r="O6832">
        <v>0.78944060000000005</v>
      </c>
      <c r="P6832">
        <v>0.50605509999999998</v>
      </c>
      <c r="Q6832">
        <v>0.19262580000000001</v>
      </c>
      <c r="R6832">
        <v>0.84071609999999997</v>
      </c>
      <c r="S6832">
        <v>1.31456</v>
      </c>
      <c r="T6832">
        <v>-0.24314730000000001</v>
      </c>
      <c r="U6832">
        <v>2.8358150000000002</v>
      </c>
      <c r="V6832">
        <v>-0.119448</v>
      </c>
      <c r="W6832">
        <v>0.20530329999999999</v>
      </c>
      <c r="X6832">
        <v>0.97138179999999996</v>
      </c>
      <c r="Y6832">
        <v>-0.225553</v>
      </c>
      <c r="Z6832">
        <v>-5.582256E-2</v>
      </c>
      <c r="AA6832">
        <v>0.97263029999999995</v>
      </c>
      <c r="AB6832">
        <v>29</v>
      </c>
      <c r="AC6832">
        <v>5.8747999999999596</v>
      </c>
      <c r="AD6832">
        <v>-1.1166625313578</v>
      </c>
      <c r="AE6832">
        <v>12.8059999999999</v>
      </c>
      <c r="AF6832">
        <v>-3.2008204287310602</v>
      </c>
      <c r="AG6832">
        <v>-1.1166625313578</v>
      </c>
      <c r="AH6832">
        <v>13.6305206088111</v>
      </c>
      <c r="AI6832">
        <v>94.559928125162202</v>
      </c>
      <c r="AJ6832">
        <v>103.215181975126</v>
      </c>
      <c r="AK6832">
        <v>14.0457566080701</v>
      </c>
      <c r="AL6832">
        <v>78.152744711255195</v>
      </c>
      <c r="AM6832">
        <v>97.010302987156706</v>
      </c>
      <c r="AN6832">
        <v>0.99999993553306199</v>
      </c>
    </row>
    <row r="6833" spans="1:40" x14ac:dyDescent="0.25">
      <c r="A6833" t="str">
        <f>"20190312172540055"</f>
        <v>20190312172540055</v>
      </c>
      <c r="B6833" t="str">
        <f>"1552382740047331"</f>
        <v>1552382740047331</v>
      </c>
      <c r="C6833" t="s">
        <v>40</v>
      </c>
      <c r="D6833">
        <v>3.586646</v>
      </c>
      <c r="E6833">
        <v>0.45950259999999998</v>
      </c>
      <c r="F6833" t="s">
        <v>43</v>
      </c>
      <c r="G6833">
        <v>-190.54509999999999</v>
      </c>
      <c r="H6833" s="1">
        <v>-5.7974749999999997E-7</v>
      </c>
      <c r="I6833">
        <v>-39.397570000000002</v>
      </c>
      <c r="J6833">
        <v>-196.35249999999999</v>
      </c>
      <c r="K6833">
        <v>1.1165560000000001</v>
      </c>
      <c r="L6833">
        <v>-52.188139999999997</v>
      </c>
      <c r="M6833">
        <v>0.60958219999999996</v>
      </c>
      <c r="N6833">
        <v>0</v>
      </c>
      <c r="O6833">
        <v>0.79258479999999998</v>
      </c>
      <c r="P6833">
        <v>0.50159220000000004</v>
      </c>
      <c r="Q6833">
        <v>0.19264809999999999</v>
      </c>
      <c r="R6833">
        <v>0.8433813</v>
      </c>
      <c r="S6833">
        <v>1.300095</v>
      </c>
      <c r="T6833">
        <v>-0.24507670000000001</v>
      </c>
      <c r="U6833">
        <v>2.84198</v>
      </c>
      <c r="V6833">
        <v>-0.119545899999999</v>
      </c>
      <c r="W6833">
        <v>0.20533309999999999</v>
      </c>
      <c r="X6833">
        <v>0.97136350000000005</v>
      </c>
      <c r="Y6833">
        <v>-0.2254536</v>
      </c>
      <c r="Z6833">
        <v>-5.6555670000000002E-2</v>
      </c>
      <c r="AA6833">
        <v>0.972611</v>
      </c>
      <c r="AB6833">
        <v>29</v>
      </c>
      <c r="AC6833">
        <v>5.8074000000000003</v>
      </c>
      <c r="AD6833">
        <v>-1.1165565797475001</v>
      </c>
      <c r="AE6833">
        <v>12.790570000000001</v>
      </c>
      <c r="AF6833">
        <v>-3.1743409232792601</v>
      </c>
      <c r="AG6833">
        <v>-1.1165565797475001</v>
      </c>
      <c r="AH6833">
        <v>13.5933134540102</v>
      </c>
      <c r="AI6833">
        <v>94.5732438872339</v>
      </c>
      <c r="AJ6833">
        <v>103.144286242264</v>
      </c>
      <c r="AK6833">
        <v>14.003617730856501</v>
      </c>
      <c r="AL6833">
        <v>78.151000623291694</v>
      </c>
      <c r="AM6833">
        <v>97.016122275803099</v>
      </c>
      <c r="AN6833">
        <v>0.99999997664733398</v>
      </c>
    </row>
    <row r="6834" spans="1:40" x14ac:dyDescent="0.25">
      <c r="A6834" t="str">
        <f>"20190312172540072"</f>
        <v>20190312172540072</v>
      </c>
      <c r="B6834" t="str">
        <f>"1552382740066852"</f>
        <v>1552382740066852</v>
      </c>
      <c r="C6834" t="s">
        <v>40</v>
      </c>
      <c r="D6834">
        <v>3.7942049999999998</v>
      </c>
      <c r="E6834">
        <v>0.46039989999999997</v>
      </c>
      <c r="F6834" t="s">
        <v>43</v>
      </c>
      <c r="G6834">
        <v>-190.52269999999999</v>
      </c>
      <c r="H6834" s="1">
        <v>-5.9540840000000003E-7</v>
      </c>
      <c r="I6834">
        <v>-39.347180000000002</v>
      </c>
      <c r="J6834">
        <v>-196.22110000000001</v>
      </c>
      <c r="K6834">
        <v>1.1164339999999999</v>
      </c>
      <c r="L6834">
        <v>-52.007390000000001</v>
      </c>
      <c r="M6834">
        <v>0.6050278</v>
      </c>
      <c r="N6834">
        <v>0</v>
      </c>
      <c r="O6834">
        <v>0.79606739999999998</v>
      </c>
      <c r="P6834">
        <v>0.49678220000000001</v>
      </c>
      <c r="Q6834">
        <v>0.1923125</v>
      </c>
      <c r="R6834">
        <v>0.84629979999999905</v>
      </c>
      <c r="S6834">
        <v>1.2917940000000001</v>
      </c>
      <c r="T6834">
        <v>-0.2474124</v>
      </c>
      <c r="U6834">
        <v>2.845367</v>
      </c>
      <c r="V6834">
        <v>-0.119484199999999</v>
      </c>
      <c r="W6834">
        <v>0.2050111</v>
      </c>
      <c r="X6834">
        <v>0.9714391</v>
      </c>
      <c r="Y6834">
        <v>-0.22267770000000001</v>
      </c>
      <c r="Z6834">
        <v>-5.7482999999999999E-2</v>
      </c>
      <c r="AA6834">
        <v>0.97319599999999995</v>
      </c>
      <c r="AB6834">
        <v>29</v>
      </c>
      <c r="AC6834">
        <v>5.6984000000000199</v>
      </c>
      <c r="AD6834">
        <v>-1.1164345954083901</v>
      </c>
      <c r="AE6834">
        <v>12.660209999999999</v>
      </c>
      <c r="AF6834">
        <v>-3.1037389496993502</v>
      </c>
      <c r="AG6834">
        <v>-1.1164345954083901</v>
      </c>
      <c r="AH6834">
        <v>13.4406326112281</v>
      </c>
      <c r="AI6834">
        <v>94.627105798428602</v>
      </c>
      <c r="AJ6834">
        <v>103.002931776034</v>
      </c>
      <c r="AK6834">
        <v>13.8394445937586</v>
      </c>
      <c r="AL6834">
        <v>78.169850868342294</v>
      </c>
      <c r="AM6834">
        <v>97.011996878827503</v>
      </c>
      <c r="AN6834">
        <v>0.99999997509082905</v>
      </c>
    </row>
    <row r="6835" spans="1:40" x14ac:dyDescent="0.25">
      <c r="A6835" t="str">
        <f>"20190312172540095"</f>
        <v>20190312172540095</v>
      </c>
      <c r="B6835" t="str">
        <f>"1552382740087348"</f>
        <v>1552382740087348</v>
      </c>
      <c r="C6835" t="s">
        <v>40</v>
      </c>
      <c r="D6835">
        <v>3.610233</v>
      </c>
      <c r="E6835">
        <v>0.46140730000000002</v>
      </c>
      <c r="F6835" t="s">
        <v>43</v>
      </c>
      <c r="G6835">
        <v>-190.48500000000001</v>
      </c>
      <c r="H6835" s="1">
        <v>-6.229974E-7</v>
      </c>
      <c r="I6835">
        <v>-39.259459999999997</v>
      </c>
      <c r="J6835">
        <v>-196.0558</v>
      </c>
      <c r="K6835">
        <v>1.116271</v>
      </c>
      <c r="L6835">
        <v>-51.777070000000002</v>
      </c>
      <c r="M6835">
        <v>0.59935399999999905</v>
      </c>
      <c r="N6835">
        <v>0</v>
      </c>
      <c r="O6835">
        <v>0.80034850000000002</v>
      </c>
      <c r="P6835">
        <v>0.49068279999999997</v>
      </c>
      <c r="Q6835">
        <v>0.19210070000000001</v>
      </c>
      <c r="R6835">
        <v>0.84989859999999995</v>
      </c>
      <c r="S6835">
        <v>1.281952</v>
      </c>
      <c r="T6835">
        <v>-0.24950890000000001</v>
      </c>
      <c r="U6835">
        <v>2.8489990000000001</v>
      </c>
      <c r="V6835">
        <v>-0.119509199999999</v>
      </c>
      <c r="W6835">
        <v>0.20481559999999999</v>
      </c>
      <c r="X6835">
        <v>0.97147729999999999</v>
      </c>
      <c r="Y6835">
        <v>-0.21902949999999999</v>
      </c>
      <c r="Z6835">
        <v>-5.8463040000000001E-2</v>
      </c>
      <c r="AA6835">
        <v>0.97396519999999998</v>
      </c>
      <c r="AB6835">
        <v>29</v>
      </c>
      <c r="AC6835">
        <v>5.5707999999999904</v>
      </c>
      <c r="AD6835">
        <v>-1.1162716229973999</v>
      </c>
      <c r="AE6835">
        <v>12.517609999999999</v>
      </c>
      <c r="AF6835">
        <v>-3.0241551069789301</v>
      </c>
      <c r="AG6835">
        <v>-1.1162716229973999</v>
      </c>
      <c r="AH6835">
        <v>13.2706943760349</v>
      </c>
      <c r="AI6835">
        <v>94.688506321748505</v>
      </c>
      <c r="AJ6835">
        <v>102.83746708154</v>
      </c>
      <c r="AK6835">
        <v>13.6566066674522</v>
      </c>
      <c r="AL6835">
        <v>78.181295475806394</v>
      </c>
      <c r="AM6835">
        <v>97.013176374349996</v>
      </c>
      <c r="AN6835">
        <v>1.0000000116516401</v>
      </c>
    </row>
    <row r="6836" spans="1:40" x14ac:dyDescent="0.25">
      <c r="A6836" t="str">
        <f>"20190312172540116"</f>
        <v>20190312172540116</v>
      </c>
      <c r="B6836" t="str">
        <f>"1552382740106871"</f>
        <v>1552382740106871</v>
      </c>
      <c r="C6836" t="s">
        <v>40</v>
      </c>
      <c r="D6836">
        <v>3.596498</v>
      </c>
      <c r="E6836">
        <v>0.46808319999999998</v>
      </c>
      <c r="F6836" t="s">
        <v>43</v>
      </c>
      <c r="G6836">
        <v>-190.36439999999999</v>
      </c>
      <c r="H6836" s="1">
        <v>-7.139109E-7</v>
      </c>
      <c r="I6836">
        <v>-38.972729999999999</v>
      </c>
      <c r="J6836">
        <v>-195.8931</v>
      </c>
      <c r="K6836">
        <v>1.1161179999999999</v>
      </c>
      <c r="L6836">
        <v>-51.547490000000003</v>
      </c>
      <c r="M6836">
        <v>0.59383350000000001</v>
      </c>
      <c r="N6836">
        <v>0</v>
      </c>
      <c r="O6836">
        <v>0.80445359999999999</v>
      </c>
      <c r="P6836">
        <v>0.48502590000000001</v>
      </c>
      <c r="Q6836">
        <v>0.1919806</v>
      </c>
      <c r="R6836">
        <v>0.853166599999999</v>
      </c>
      <c r="S6836">
        <v>1.2684629999999999</v>
      </c>
      <c r="T6836">
        <v>-0.2487885</v>
      </c>
      <c r="U6836">
        <v>2.8537599999999999</v>
      </c>
      <c r="V6836">
        <v>-0.1192125</v>
      </c>
      <c r="W6836">
        <v>0.2047157</v>
      </c>
      <c r="X6836">
        <v>0.97153480000000003</v>
      </c>
      <c r="Y6836">
        <v>-0.21676500000000001</v>
      </c>
      <c r="Z6836">
        <v>-5.8746329999999999E-2</v>
      </c>
      <c r="AA6836">
        <v>0.97445459999999995</v>
      </c>
      <c r="AB6836">
        <v>29</v>
      </c>
      <c r="AC6836">
        <v>5.5287000000000104</v>
      </c>
      <c r="AD6836">
        <v>-1.1161187139108999</v>
      </c>
      <c r="AE6836">
        <v>12.574759999999999</v>
      </c>
      <c r="AF6836">
        <v>-3.0002502096250101</v>
      </c>
      <c r="AG6836">
        <v>-1.1161187139108999</v>
      </c>
      <c r="AH6836">
        <v>13.3124988810105</v>
      </c>
      <c r="AI6836">
        <v>94.675730367085393</v>
      </c>
      <c r="AJ6836">
        <v>102.70061035291999</v>
      </c>
      <c r="AK6836">
        <v>13.691962925775201</v>
      </c>
      <c r="AL6836">
        <v>78.187143125948595</v>
      </c>
      <c r="AM6836">
        <v>96.995527885738099</v>
      </c>
      <c r="AN6836">
        <v>1.0000000027968901</v>
      </c>
    </row>
    <row r="6837" spans="1:40" x14ac:dyDescent="0.25">
      <c r="A6837" t="str">
        <f>"20190312172540130"</f>
        <v>20190312172540130</v>
      </c>
      <c r="B6837" t="str">
        <f>"1552382740127363"</f>
        <v>1552382740127363</v>
      </c>
      <c r="C6837" t="s">
        <v>40</v>
      </c>
      <c r="D6837">
        <v>3.609378</v>
      </c>
      <c r="E6837">
        <v>0.46887489999999998</v>
      </c>
      <c r="F6837" t="s">
        <v>43</v>
      </c>
      <c r="G6837">
        <v>-190.3963</v>
      </c>
      <c r="H6837" s="1">
        <v>-4.8898360000000001E-7</v>
      </c>
      <c r="I6837">
        <v>-39.516820000000003</v>
      </c>
      <c r="J6837">
        <v>-195.7954</v>
      </c>
      <c r="K6837">
        <v>1.116026</v>
      </c>
      <c r="L6837">
        <v>-51.407870000000003</v>
      </c>
      <c r="M6837">
        <v>0.59054859999999998</v>
      </c>
      <c r="N6837">
        <v>0</v>
      </c>
      <c r="O6837">
        <v>0.80686840000000004</v>
      </c>
      <c r="P6837">
        <v>0.48163840000000002</v>
      </c>
      <c r="Q6837">
        <v>0.19221630000000001</v>
      </c>
      <c r="R6837">
        <v>0.85503059999999997</v>
      </c>
      <c r="S6837">
        <v>1.296829</v>
      </c>
      <c r="T6837">
        <v>-0.26331599999999999</v>
      </c>
      <c r="U6837">
        <v>2.8382869999999998</v>
      </c>
      <c r="V6837">
        <v>-0.1190278</v>
      </c>
      <c r="W6837">
        <v>0.20496259999999999</v>
      </c>
      <c r="X6837">
        <v>0.97150539999999996</v>
      </c>
      <c r="Y6837">
        <v>-0.20283000000000001</v>
      </c>
      <c r="Z6837">
        <v>-6.2796699999999997E-2</v>
      </c>
      <c r="AA6837">
        <v>0.97719829999999996</v>
      </c>
      <c r="AB6837">
        <v>29</v>
      </c>
      <c r="AC6837">
        <v>5.3990999999999998</v>
      </c>
      <c r="AD6837">
        <v>-1.1160264889836</v>
      </c>
      <c r="AE6837">
        <v>11.89105</v>
      </c>
      <c r="AF6837">
        <v>-2.64683738659871</v>
      </c>
      <c r="AG6837">
        <v>-1.1160264889836</v>
      </c>
      <c r="AH6837">
        <v>12.691634936617</v>
      </c>
      <c r="AI6837">
        <v>94.9200044984849</v>
      </c>
      <c r="AJ6837">
        <v>101.780172787298</v>
      </c>
      <c r="AK6837">
        <v>13.0126423388782</v>
      </c>
      <c r="AL6837">
        <v>78.172690463177602</v>
      </c>
      <c r="AM6837">
        <v>96.985005909606897</v>
      </c>
      <c r="AN6837">
        <v>1.0000000134003799</v>
      </c>
    </row>
    <row r="6838" spans="1:40" x14ac:dyDescent="0.25">
      <c r="A6838" t="str">
        <f>"20190312172540142"</f>
        <v>20190312172540142</v>
      </c>
      <c r="B6838" t="str">
        <f>"1552382740137124"</f>
        <v>1552382740137124</v>
      </c>
      <c r="C6838" t="s">
        <v>40</v>
      </c>
      <c r="D6838">
        <v>3.605915</v>
      </c>
      <c r="E6838">
        <v>0.46953</v>
      </c>
      <c r="F6838" t="s">
        <v>43</v>
      </c>
      <c r="G6838">
        <v>-190.37430000000001</v>
      </c>
      <c r="H6838" s="1">
        <v>-4.9639370000000004E-7</v>
      </c>
      <c r="I6838">
        <v>-39.485909999999997</v>
      </c>
      <c r="J6838">
        <v>-195.703</v>
      </c>
      <c r="K6838">
        <v>1.115944</v>
      </c>
      <c r="L6838">
        <v>-51.275300000000001</v>
      </c>
      <c r="M6838">
        <v>0.58746119999999902</v>
      </c>
      <c r="N6838">
        <v>0</v>
      </c>
      <c r="O6838">
        <v>0.80911929999999999</v>
      </c>
      <c r="P6838">
        <v>0.47853699999999999</v>
      </c>
      <c r="Q6838">
        <v>0.1921494</v>
      </c>
      <c r="R6838">
        <v>0.85678529999999997</v>
      </c>
      <c r="S6838">
        <v>1.2917479999999999</v>
      </c>
      <c r="T6838">
        <v>-0.26592919999999998</v>
      </c>
      <c r="U6838">
        <v>2.8407900000000001</v>
      </c>
      <c r="V6838">
        <v>-0.1187989</v>
      </c>
      <c r="W6838">
        <v>0.20490849999999999</v>
      </c>
      <c r="X6838">
        <v>0.97154479999999999</v>
      </c>
      <c r="Y6838">
        <v>-0.20088590000000001</v>
      </c>
      <c r="Z6838">
        <v>-6.3680490000000006E-2</v>
      </c>
      <c r="AA6838">
        <v>0.97754260000000004</v>
      </c>
      <c r="AB6838">
        <v>29</v>
      </c>
      <c r="AC6838">
        <v>5.3286999999999898</v>
      </c>
      <c r="AD6838">
        <v>-1.1159444963937</v>
      </c>
      <c r="AE6838">
        <v>11.789389999999999</v>
      </c>
      <c r="AF6838">
        <v>-2.5952283127858702</v>
      </c>
      <c r="AG6838">
        <v>-1.1159444963937</v>
      </c>
      <c r="AH6838">
        <v>12.577217833006801</v>
      </c>
      <c r="AI6838">
        <v>94.966344779664396</v>
      </c>
      <c r="AJ6838">
        <v>101.658984146226</v>
      </c>
      <c r="AK6838">
        <v>12.890576035748699</v>
      </c>
      <c r="AL6838">
        <v>78.175857043014403</v>
      </c>
      <c r="AM6838">
        <v>96.971425557048207</v>
      </c>
      <c r="AN6838">
        <v>0.99999998521024902</v>
      </c>
    </row>
    <row r="6839" spans="1:40" x14ac:dyDescent="0.25">
      <c r="A6839" t="str">
        <f>"20190312172540161"</f>
        <v>20190312172540161</v>
      </c>
      <c r="B6839" t="str">
        <f>"1552382740156644"</f>
        <v>1552382740156644</v>
      </c>
      <c r="C6839" t="s">
        <v>40</v>
      </c>
      <c r="D6839">
        <v>3.6033979999999999</v>
      </c>
      <c r="E6839">
        <v>0.4708714</v>
      </c>
      <c r="F6839" t="s">
        <v>43</v>
      </c>
      <c r="G6839">
        <v>-190.3484</v>
      </c>
      <c r="H6839" s="1">
        <v>-5.1021270000000001E-7</v>
      </c>
      <c r="I6839">
        <v>-39.437669999999997</v>
      </c>
      <c r="J6839">
        <v>-195.57380000000001</v>
      </c>
      <c r="K6839">
        <v>1.1158220000000001</v>
      </c>
      <c r="L6839">
        <v>-51.087769999999999</v>
      </c>
      <c r="M6839">
        <v>0.58318179999999997</v>
      </c>
      <c r="N6839">
        <v>0</v>
      </c>
      <c r="O6839">
        <v>0.81220969999999904</v>
      </c>
      <c r="P6839">
        <v>0.47426869999999999</v>
      </c>
      <c r="Q6839">
        <v>0.1924747</v>
      </c>
      <c r="R6839">
        <v>0.85908249999999997</v>
      </c>
      <c r="S6839">
        <v>1.2861180000000001</v>
      </c>
      <c r="T6839">
        <v>-0.26803680000000002</v>
      </c>
      <c r="U6839">
        <v>2.8432620000000002</v>
      </c>
      <c r="V6839">
        <v>-0.11840340000000001</v>
      </c>
      <c r="W6839">
        <v>0.2052505</v>
      </c>
      <c r="X6839">
        <v>0.97152090000000002</v>
      </c>
      <c r="Y6839">
        <v>-0.19766410000000001</v>
      </c>
      <c r="Z6839">
        <v>-6.4567799999999995E-2</v>
      </c>
      <c r="AA6839">
        <v>0.97814109999999999</v>
      </c>
      <c r="AB6839">
        <v>29</v>
      </c>
      <c r="AC6839">
        <v>5.2253999999999996</v>
      </c>
      <c r="AD6839">
        <v>-1.1158225102127</v>
      </c>
      <c r="AE6839">
        <v>11.650099999999901</v>
      </c>
      <c r="AF6839">
        <v>-2.5309502090351002</v>
      </c>
      <c r="AG6839">
        <v>-1.1158225102127</v>
      </c>
      <c r="AH6839">
        <v>12.4162008829662</v>
      </c>
      <c r="AI6839">
        <v>95.032338163981507</v>
      </c>
      <c r="AJ6839">
        <v>101.52147003658899</v>
      </c>
      <c r="AK6839">
        <v>12.7205665440295</v>
      </c>
      <c r="AL6839">
        <v>78.155836482368997</v>
      </c>
      <c r="AM6839">
        <v>96.948613126468501</v>
      </c>
      <c r="AN6839">
        <v>0.99999999600931</v>
      </c>
    </row>
    <row r="6840" spans="1:40" x14ac:dyDescent="0.25">
      <c r="A6840" t="str">
        <f>"20190312172540175"</f>
        <v>20190312172540175</v>
      </c>
      <c r="B6840" t="str">
        <f>"1552382740167380"</f>
        <v>1552382740167380</v>
      </c>
      <c r="C6840" t="s">
        <v>40</v>
      </c>
      <c r="D6840">
        <v>3.6218240000000002</v>
      </c>
      <c r="E6840">
        <v>0.47128019999999998</v>
      </c>
      <c r="F6840" t="s">
        <v>43</v>
      </c>
      <c r="G6840">
        <v>-190.1771</v>
      </c>
      <c r="H6840" s="1">
        <v>-6.049896E-7</v>
      </c>
      <c r="I6840">
        <v>-39.110469999999999</v>
      </c>
      <c r="J6840">
        <v>-195.47630000000001</v>
      </c>
      <c r="K6840">
        <v>1.1157379999999999</v>
      </c>
      <c r="L6840">
        <v>-50.94473</v>
      </c>
      <c r="M6840">
        <v>0.57999049999999996</v>
      </c>
      <c r="N6840">
        <v>0</v>
      </c>
      <c r="O6840">
        <v>0.81449189999999905</v>
      </c>
      <c r="P6840">
        <v>0.4712345</v>
      </c>
      <c r="Q6840">
        <v>0.19255240000000001</v>
      </c>
      <c r="R6840">
        <v>0.86073319999999998</v>
      </c>
      <c r="S6840">
        <v>1.281433</v>
      </c>
      <c r="T6840">
        <v>-0.26495059999999998</v>
      </c>
      <c r="U6840">
        <v>2.8439939999999999</v>
      </c>
      <c r="V6840">
        <v>-0.1179656</v>
      </c>
      <c r="W6840">
        <v>0.205342</v>
      </c>
      <c r="X6840">
        <v>0.97155480000000005</v>
      </c>
      <c r="Y6840">
        <v>-0.1952335</v>
      </c>
      <c r="Z6840">
        <v>-6.413584E-2</v>
      </c>
      <c r="AA6840">
        <v>0.97865749999999996</v>
      </c>
      <c r="AB6840">
        <v>29</v>
      </c>
      <c r="AC6840">
        <v>5.2992000000000097</v>
      </c>
      <c r="AD6840">
        <v>-1.1157386049896001</v>
      </c>
      <c r="AE6840">
        <v>11.83426</v>
      </c>
      <c r="AF6840">
        <v>-2.52914923316153</v>
      </c>
      <c r="AG6840">
        <v>-1.1157386049896001</v>
      </c>
      <c r="AH6840">
        <v>12.6203118245821</v>
      </c>
      <c r="AI6840">
        <v>94.954278005062605</v>
      </c>
      <c r="AJ6840">
        <v>101.332136719113</v>
      </c>
      <c r="AK6840">
        <v>12.919510015010401</v>
      </c>
      <c r="AL6840">
        <v>78.150479563306305</v>
      </c>
      <c r="AM6840">
        <v>96.922931014392802</v>
      </c>
      <c r="AN6840">
        <v>0.99999997457519896</v>
      </c>
    </row>
    <row r="6841" spans="1:40" x14ac:dyDescent="0.25">
      <c r="A6841" t="str">
        <f>"20190312172540188"</f>
        <v>20190312172540188</v>
      </c>
      <c r="B6841" t="str">
        <f>"1552382740177139"</f>
        <v>1552382740177139</v>
      </c>
      <c r="C6841" t="s">
        <v>40</v>
      </c>
      <c r="D6841">
        <v>3.7889219999999999</v>
      </c>
      <c r="E6841">
        <v>0.47182380000000002</v>
      </c>
      <c r="F6841" t="s">
        <v>43</v>
      </c>
      <c r="G6841">
        <v>-190.12190000000001</v>
      </c>
      <c r="H6841" s="1">
        <v>-6.4533010000000001E-7</v>
      </c>
      <c r="I6841">
        <v>-38.982210000000002</v>
      </c>
      <c r="J6841">
        <v>-195.3784</v>
      </c>
      <c r="K6841">
        <v>1.1156539999999999</v>
      </c>
      <c r="L6841">
        <v>-50.800260000000002</v>
      </c>
      <c r="M6841">
        <v>0.57680480000000001</v>
      </c>
      <c r="N6841">
        <v>0</v>
      </c>
      <c r="O6841">
        <v>0.81675140000000002</v>
      </c>
      <c r="P6841">
        <v>0.46801019999999999</v>
      </c>
      <c r="Q6841">
        <v>0.19278410000000001</v>
      </c>
      <c r="R6841">
        <v>0.86243890000000001</v>
      </c>
      <c r="S6841">
        <v>1.2743679999999999</v>
      </c>
      <c r="T6841">
        <v>-0.26555109999999998</v>
      </c>
      <c r="U6841">
        <v>2.847137</v>
      </c>
      <c r="V6841">
        <v>-0.1177353</v>
      </c>
      <c r="W6841">
        <v>0.20558419999999999</v>
      </c>
      <c r="X6841">
        <v>0.97153149999999999</v>
      </c>
      <c r="Y6841">
        <v>-0.19383810000000001</v>
      </c>
      <c r="Z6841">
        <v>-6.4534049999999996E-2</v>
      </c>
      <c r="AA6841">
        <v>0.97890869999999996</v>
      </c>
      <c r="AB6841">
        <v>28</v>
      </c>
      <c r="AC6841">
        <v>5.2564999999999804</v>
      </c>
      <c r="AD6841">
        <v>-1.1156546453300999</v>
      </c>
      <c r="AE6841">
        <v>11.818049999999999</v>
      </c>
      <c r="AF6841">
        <v>-2.5050857333410401</v>
      </c>
      <c r="AG6841">
        <v>-1.1156546453300999</v>
      </c>
      <c r="AH6841">
        <v>12.5920523012899</v>
      </c>
      <c r="AI6841">
        <v>94.966355596734999</v>
      </c>
      <c r="AJ6841">
        <v>101.251622972571</v>
      </c>
      <c r="AK6841">
        <v>12.8871998889385</v>
      </c>
      <c r="AL6841">
        <v>78.1362998246762</v>
      </c>
      <c r="AM6841">
        <v>96.9097105143493</v>
      </c>
      <c r="AN6841">
        <v>0.99999995982398904</v>
      </c>
    </row>
    <row r="6842" spans="1:40" x14ac:dyDescent="0.25">
      <c r="A6842" t="str">
        <f>"20190312172540207"</f>
        <v>20190312172540207</v>
      </c>
      <c r="B6842" t="str">
        <f>"1552382740196660"</f>
        <v>1552382740196660</v>
      </c>
      <c r="C6842" t="s">
        <v>40</v>
      </c>
      <c r="D6842">
        <v>3.6593960000000001</v>
      </c>
      <c r="E6842">
        <v>0.4725066</v>
      </c>
      <c r="F6842" t="s">
        <v>43</v>
      </c>
      <c r="G6842">
        <v>-190.04069999999999</v>
      </c>
      <c r="H6842" s="1">
        <v>-7.0068089999999998E-7</v>
      </c>
      <c r="I6842">
        <v>-38.802840000000003</v>
      </c>
      <c r="J6842">
        <v>-195.24780000000001</v>
      </c>
      <c r="K6842">
        <v>1.1155440000000001</v>
      </c>
      <c r="L6842">
        <v>-50.60577</v>
      </c>
      <c r="M6842">
        <v>0.57259259999999901</v>
      </c>
      <c r="N6842">
        <v>0</v>
      </c>
      <c r="O6842">
        <v>0.8197103</v>
      </c>
      <c r="P6842">
        <v>0.46373029999999998</v>
      </c>
      <c r="Q6842">
        <v>0.1924051</v>
      </c>
      <c r="R6842">
        <v>0.86483199999999905</v>
      </c>
      <c r="S6842">
        <v>1.267838</v>
      </c>
      <c r="T6842">
        <v>-0.26500000000000001</v>
      </c>
      <c r="U6842">
        <v>2.8497309999999998</v>
      </c>
      <c r="V6842">
        <v>-0.1175341</v>
      </c>
      <c r="W6842">
        <v>0.20522070000000001</v>
      </c>
      <c r="X6842">
        <v>0.97163270000000002</v>
      </c>
      <c r="Y6842">
        <v>-0.19099379999999999</v>
      </c>
      <c r="Z6842">
        <v>-6.4762940000000005E-2</v>
      </c>
      <c r="AA6842">
        <v>0.97945249999999995</v>
      </c>
      <c r="AB6842">
        <v>28</v>
      </c>
      <c r="AC6842">
        <v>5.20710000000002</v>
      </c>
      <c r="AD6842">
        <v>-1.1155447006808901</v>
      </c>
      <c r="AE6842">
        <v>11.8029299999999</v>
      </c>
      <c r="AF6842">
        <v>-2.4717391677137099</v>
      </c>
      <c r="AG6842">
        <v>-1.1155447006808901</v>
      </c>
      <c r="AH6842">
        <v>12.5639290405494</v>
      </c>
      <c r="AI6842">
        <v>94.979011390396806</v>
      </c>
      <c r="AJ6842">
        <v>101.129832792042</v>
      </c>
      <c r="AK6842">
        <v>12.8532582417218</v>
      </c>
      <c r="AL6842">
        <v>78.157580505325996</v>
      </c>
      <c r="AM6842">
        <v>96.897304712919393</v>
      </c>
      <c r="AN6842">
        <v>0.99999995204029302</v>
      </c>
    </row>
    <row r="6843" spans="1:40" x14ac:dyDescent="0.25">
      <c r="A6843" t="str">
        <f>"20190312172540229"</f>
        <v>20190312172540229</v>
      </c>
      <c r="B6843" t="str">
        <f>"1552382740226916"</f>
        <v>1552382740226916</v>
      </c>
      <c r="C6843" t="s">
        <v>40</v>
      </c>
      <c r="D6843">
        <v>3.6475659999999999</v>
      </c>
      <c r="E6843">
        <v>0.47336430000000002</v>
      </c>
      <c r="F6843" t="s">
        <v>43</v>
      </c>
      <c r="G6843">
        <v>-190.0592</v>
      </c>
      <c r="H6843" s="1">
        <v>-6.893833E-7</v>
      </c>
      <c r="I6843">
        <v>-38.84066</v>
      </c>
      <c r="J6843">
        <v>-195.09460000000001</v>
      </c>
      <c r="K6843">
        <v>1.1154269999999999</v>
      </c>
      <c r="L6843">
        <v>-50.375030000000002</v>
      </c>
      <c r="M6843">
        <v>0.567698699999999</v>
      </c>
      <c r="N6843">
        <v>0</v>
      </c>
      <c r="O6843">
        <v>0.82310749999999999</v>
      </c>
      <c r="P6843">
        <v>0.45869989999999999</v>
      </c>
      <c r="Q6843">
        <v>0.19224289999999999</v>
      </c>
      <c r="R6843">
        <v>0.86754659999999995</v>
      </c>
      <c r="S6843">
        <v>1.258713</v>
      </c>
      <c r="T6843">
        <v>-0.27062540000000002</v>
      </c>
      <c r="U6843">
        <v>2.8541560000000001</v>
      </c>
      <c r="V6843">
        <v>-0.1173419</v>
      </c>
      <c r="W6843">
        <v>0.20507320000000001</v>
      </c>
      <c r="X6843">
        <v>0.97168710000000003</v>
      </c>
      <c r="Y6843">
        <v>-0.1883784</v>
      </c>
      <c r="Z6843">
        <v>-6.6521579999999997E-2</v>
      </c>
      <c r="AA6843">
        <v>0.97984110000000002</v>
      </c>
      <c r="AB6843">
        <v>28</v>
      </c>
      <c r="AC6843">
        <v>5.0354000000000099</v>
      </c>
      <c r="AD6843">
        <v>-1.1154276893832999</v>
      </c>
      <c r="AE6843">
        <v>11.5343699999999</v>
      </c>
      <c r="AF6843">
        <v>-2.38489352158006</v>
      </c>
      <c r="AG6843">
        <v>-1.1154276893832999</v>
      </c>
      <c r="AH6843">
        <v>12.25764593269</v>
      </c>
      <c r="AI6843">
        <v>95.104316184636403</v>
      </c>
      <c r="AJ6843">
        <v>101.01012720838899</v>
      </c>
      <c r="AK6843">
        <v>12.5372157934172</v>
      </c>
      <c r="AL6843">
        <v>78.166215615393995</v>
      </c>
      <c r="AM6843">
        <v>96.8857523246281</v>
      </c>
      <c r="AN6843">
        <v>0.99999997958012898</v>
      </c>
    </row>
    <row r="6844" spans="1:40" x14ac:dyDescent="0.25">
      <c r="A6844" t="str">
        <f>"20190312172540250"</f>
        <v>20190312172540250</v>
      </c>
      <c r="B6844" t="str">
        <f>"1552382740247412"</f>
        <v>1552382740247412</v>
      </c>
      <c r="C6844" t="s">
        <v>40</v>
      </c>
      <c r="D6844">
        <v>3.670696</v>
      </c>
      <c r="E6844">
        <v>0.47389360000000003</v>
      </c>
      <c r="F6844" t="s">
        <v>43</v>
      </c>
      <c r="G6844">
        <v>-190.03829999999999</v>
      </c>
      <c r="H6844" s="1">
        <v>-7.0238640000000005E-7</v>
      </c>
      <c r="I6844">
        <v>-38.797359999999998</v>
      </c>
      <c r="J6844">
        <v>-194.95249999999999</v>
      </c>
      <c r="K6844">
        <v>1.1153219999999999</v>
      </c>
      <c r="L6844">
        <v>-50.1586</v>
      </c>
      <c r="M6844">
        <v>0.56319149999999996</v>
      </c>
      <c r="N6844">
        <v>0</v>
      </c>
      <c r="O6844">
        <v>0.82619849999999995</v>
      </c>
      <c r="P6844">
        <v>0.45414330000000003</v>
      </c>
      <c r="Q6844">
        <v>0.1925877</v>
      </c>
      <c r="R6844">
        <v>0.86986430000000003</v>
      </c>
      <c r="S6844">
        <v>1.2485660000000001</v>
      </c>
      <c r="T6844">
        <v>-0.27543679999999998</v>
      </c>
      <c r="U6844">
        <v>2.8589169999999999</v>
      </c>
      <c r="V6844">
        <v>-0.1170336</v>
      </c>
      <c r="W6844">
        <v>0.20543020000000001</v>
      </c>
      <c r="X6844">
        <v>0.97164890000000004</v>
      </c>
      <c r="Y6844">
        <v>-0.18657409999999999</v>
      </c>
      <c r="Z6844">
        <v>-6.8045410000000001E-2</v>
      </c>
      <c r="AA6844">
        <v>0.9800816</v>
      </c>
      <c r="AB6844">
        <v>28</v>
      </c>
      <c r="AC6844">
        <v>4.9141999999999904</v>
      </c>
      <c r="AD6844">
        <v>-1.1153227023864001</v>
      </c>
      <c r="AE6844">
        <v>11.36124</v>
      </c>
      <c r="AF6844">
        <v>-2.3198629537367901</v>
      </c>
      <c r="AG6844">
        <v>-1.1153227023864001</v>
      </c>
      <c r="AH6844">
        <v>12.057671994252701</v>
      </c>
      <c r="AI6844">
        <v>95.190111379095597</v>
      </c>
      <c r="AJ6844">
        <v>100.89047534634101</v>
      </c>
      <c r="AK6844">
        <v>12.329361815421199</v>
      </c>
      <c r="AL6844">
        <v>78.145316392222099</v>
      </c>
      <c r="AM6844">
        <v>96.868101384621099</v>
      </c>
      <c r="AN6844">
        <v>1.0000000077361</v>
      </c>
    </row>
    <row r="6845" spans="1:40" x14ac:dyDescent="0.25">
      <c r="A6845" t="str">
        <f>"20190312172540263"</f>
        <v>20190312172540263</v>
      </c>
      <c r="B6845" t="str">
        <f>"1552382740257172"</f>
        <v>1552382740257172</v>
      </c>
      <c r="C6845" t="s">
        <v>40</v>
      </c>
      <c r="D6845">
        <v>3.6882429999999999</v>
      </c>
      <c r="E6845">
        <v>0.47413870000000002</v>
      </c>
      <c r="F6845" t="s">
        <v>43</v>
      </c>
      <c r="G6845">
        <v>-189.95849999999999</v>
      </c>
      <c r="H6845" s="1">
        <v>-7.6674969999999998E-7</v>
      </c>
      <c r="I6845">
        <v>-38.597799999999999</v>
      </c>
      <c r="J6845">
        <v>-194.86529999999999</v>
      </c>
      <c r="K6845">
        <v>1.1152610000000001</v>
      </c>
      <c r="L6845">
        <v>-50.024749999999997</v>
      </c>
      <c r="M6845">
        <v>0.56043359999999998</v>
      </c>
      <c r="N6845">
        <v>0</v>
      </c>
      <c r="O6845">
        <v>0.82807189999999997</v>
      </c>
      <c r="P6845">
        <v>0.45152140000000002</v>
      </c>
      <c r="Q6845">
        <v>0.19239909999999999</v>
      </c>
      <c r="R6845">
        <v>0.87126979999999998</v>
      </c>
      <c r="S6845">
        <v>1.2372129999999999</v>
      </c>
      <c r="T6845">
        <v>-0.27630719999999998</v>
      </c>
      <c r="U6845">
        <v>2.8640439999999998</v>
      </c>
      <c r="V6845">
        <v>-0.1167096</v>
      </c>
      <c r="W6845">
        <v>0.20525060000000001</v>
      </c>
      <c r="X6845">
        <v>0.97172579999999997</v>
      </c>
      <c r="Y6845">
        <v>-0.1872202</v>
      </c>
      <c r="Z6845">
        <v>-6.8426570000000006E-2</v>
      </c>
      <c r="AA6845">
        <v>0.97993180000000002</v>
      </c>
      <c r="AB6845">
        <v>28</v>
      </c>
      <c r="AC6845">
        <v>4.9067999999999996</v>
      </c>
      <c r="AD6845">
        <v>-1.1152617667497</v>
      </c>
      <c r="AE6845">
        <v>11.4269499999999</v>
      </c>
      <c r="AF6845">
        <v>-2.3224321757428998</v>
      </c>
      <c r="AG6845">
        <v>-1.1152617667497</v>
      </c>
      <c r="AH6845">
        <v>12.1161155329495</v>
      </c>
      <c r="AI6845">
        <v>95.165612584597994</v>
      </c>
      <c r="AJ6845">
        <v>100.85091060730799</v>
      </c>
      <c r="AK6845">
        <v>12.3869994602034</v>
      </c>
      <c r="AL6845">
        <v>78.155830495374104</v>
      </c>
      <c r="AM6845">
        <v>96.848731475071901</v>
      </c>
      <c r="AN6845">
        <v>0.99999998495907905</v>
      </c>
    </row>
    <row r="6846" spans="1:40" x14ac:dyDescent="0.25">
      <c r="A6846" t="str">
        <f>"20190312172540284"</f>
        <v>20190312172540284</v>
      </c>
      <c r="B6846" t="str">
        <f>"1552382740276692"</f>
        <v>1552382740276692</v>
      </c>
      <c r="C6846" t="s">
        <v>40</v>
      </c>
      <c r="D6846">
        <v>3.6851229999999999</v>
      </c>
      <c r="E6846">
        <v>0.47454049999999998</v>
      </c>
      <c r="F6846" t="s">
        <v>43</v>
      </c>
      <c r="G6846">
        <v>-189.92259999999999</v>
      </c>
      <c r="H6846" s="1">
        <v>-8.1263510000000002E-7</v>
      </c>
      <c r="I6846">
        <v>-38.504939999999998</v>
      </c>
      <c r="J6846">
        <v>-194.71799999999999</v>
      </c>
      <c r="K6846">
        <v>1.115175</v>
      </c>
      <c r="L6846">
        <v>-49.796080000000003</v>
      </c>
      <c r="M6846">
        <v>0.55579750000000006</v>
      </c>
      <c r="N6846">
        <v>0</v>
      </c>
      <c r="O6846">
        <v>0.83119109999999996</v>
      </c>
      <c r="P6846">
        <v>0.4471444</v>
      </c>
      <c r="Q6846">
        <v>0.1928327</v>
      </c>
      <c r="R6846">
        <v>0.8734286</v>
      </c>
      <c r="S6846">
        <v>1.2301329999999999</v>
      </c>
      <c r="T6846">
        <v>-0.27756769999999997</v>
      </c>
      <c r="U6846">
        <v>2.8670650000000002</v>
      </c>
      <c r="V6846">
        <v>-0.1160581</v>
      </c>
      <c r="W6846">
        <v>0.20569760000000001</v>
      </c>
      <c r="X6846">
        <v>0.9717093</v>
      </c>
      <c r="Y6846">
        <v>-0.184166</v>
      </c>
      <c r="Z6846">
        <v>-6.9129209999999996E-2</v>
      </c>
      <c r="AA6846">
        <v>0.98046109999999997</v>
      </c>
      <c r="AB6846">
        <v>28</v>
      </c>
      <c r="AC6846">
        <v>4.7953999999999999</v>
      </c>
      <c r="AD6846">
        <v>-1.1151758126350999</v>
      </c>
      <c r="AE6846">
        <v>11.291139999999899</v>
      </c>
      <c r="AF6846">
        <v>-2.2711656432109799</v>
      </c>
      <c r="AG6846">
        <v>-1.1151758126350999</v>
      </c>
      <c r="AH6846">
        <v>11.9528562142313</v>
      </c>
      <c r="AI6846">
        <v>95.236979003942693</v>
      </c>
      <c r="AJ6846">
        <v>100.758535969028</v>
      </c>
      <c r="AK6846">
        <v>12.21771591379</v>
      </c>
      <c r="AL6846">
        <v>78.129660762308703</v>
      </c>
      <c r="AM6846">
        <v>96.810974963447705</v>
      </c>
      <c r="AN6846">
        <v>0.99999997446392896</v>
      </c>
    </row>
    <row r="6847" spans="1:40" x14ac:dyDescent="0.25">
      <c r="A6847" t="str">
        <f>"20190312172540297"</f>
        <v>20190312172540297</v>
      </c>
      <c r="B6847" t="str">
        <f>"1552382740287428"</f>
        <v>1552382740287428</v>
      </c>
      <c r="C6847" t="s">
        <v>40</v>
      </c>
      <c r="D6847">
        <v>3.6622819999999998</v>
      </c>
      <c r="E6847">
        <v>0.47432960000000002</v>
      </c>
      <c r="F6847" t="s">
        <v>43</v>
      </c>
      <c r="G6847">
        <v>-189.85079999999999</v>
      </c>
      <c r="H6847" s="1">
        <v>-9.00991E-7</v>
      </c>
      <c r="I6847">
        <v>-38.328690000000002</v>
      </c>
      <c r="J6847">
        <v>-194.62549999999999</v>
      </c>
      <c r="K6847">
        <v>1.1151260000000001</v>
      </c>
      <c r="L6847">
        <v>-49.651339999999998</v>
      </c>
      <c r="M6847">
        <v>0.55289540000000004</v>
      </c>
      <c r="N6847">
        <v>0</v>
      </c>
      <c r="O6847">
        <v>0.83312450000000005</v>
      </c>
      <c r="P6847">
        <v>0.44425740000000002</v>
      </c>
      <c r="Q6847">
        <v>0.1929322</v>
      </c>
      <c r="R6847">
        <v>0.87487859999999995</v>
      </c>
      <c r="S6847">
        <v>1.219101</v>
      </c>
      <c r="T6847">
        <v>-0.27932240000000003</v>
      </c>
      <c r="U6847">
        <v>2.8722840000000001</v>
      </c>
      <c r="V6847">
        <v>-0.115841</v>
      </c>
      <c r="W6847">
        <v>0.2058017</v>
      </c>
      <c r="X6847">
        <v>0.97171320000000005</v>
      </c>
      <c r="Y6847">
        <v>-0.18458669999999999</v>
      </c>
      <c r="Z6847">
        <v>-6.9738250000000002E-2</v>
      </c>
      <c r="AA6847">
        <v>0.98033890000000001</v>
      </c>
      <c r="AB6847">
        <v>28</v>
      </c>
      <c r="AC6847">
        <v>4.7746999999999904</v>
      </c>
      <c r="AD6847">
        <v>-1.1151269009909901</v>
      </c>
      <c r="AE6847">
        <v>11.322649999999999</v>
      </c>
      <c r="AF6847">
        <v>-2.2639178228386498</v>
      </c>
      <c r="AG6847">
        <v>-1.1151269009909901</v>
      </c>
      <c r="AH6847">
        <v>11.9757342449356</v>
      </c>
      <c r="AI6847">
        <v>95.227722749016294</v>
      </c>
      <c r="AJ6847">
        <v>100.704985845217</v>
      </c>
      <c r="AK6847">
        <v>12.2387516773241</v>
      </c>
      <c r="AL6847">
        <v>78.123566297733902</v>
      </c>
      <c r="AM6847">
        <v>96.798326578310196</v>
      </c>
      <c r="AN6847">
        <v>1.00000001002906</v>
      </c>
    </row>
    <row r="6848" spans="1:40" x14ac:dyDescent="0.25">
      <c r="A6848" t="str">
        <f>"20190312172540309"</f>
        <v>20190312172540309</v>
      </c>
      <c r="B6848" t="str">
        <f>"1552382740306949"</f>
        <v>1552382740306949</v>
      </c>
      <c r="C6848" t="s">
        <v>40</v>
      </c>
      <c r="D6848">
        <v>3.6628560000000001</v>
      </c>
      <c r="E6848">
        <v>0.46265610000000001</v>
      </c>
      <c r="F6848" t="s">
        <v>43</v>
      </c>
      <c r="G6848">
        <v>-189.79179999999999</v>
      </c>
      <c r="H6848" s="1">
        <v>-9.9283870000000004E-7</v>
      </c>
      <c r="I6848">
        <v>-38.13899</v>
      </c>
      <c r="J6848">
        <v>-194.54689999999999</v>
      </c>
      <c r="K6848">
        <v>1.1150880000000001</v>
      </c>
      <c r="L6848">
        <v>-49.52713</v>
      </c>
      <c r="M6848">
        <v>0.55042329999999995</v>
      </c>
      <c r="N6848">
        <v>0</v>
      </c>
      <c r="O6848">
        <v>0.83475999999999995</v>
      </c>
      <c r="P6848">
        <v>0.44197959999999897</v>
      </c>
      <c r="Q6848">
        <v>0.19311619999999999</v>
      </c>
      <c r="R6848">
        <v>0.87599099999999996</v>
      </c>
      <c r="S6848">
        <v>1.2080229999999901</v>
      </c>
      <c r="T6848">
        <v>-0.27868389999999998</v>
      </c>
      <c r="U6848">
        <v>2.877075</v>
      </c>
      <c r="V6848">
        <v>-0.11544749999999999</v>
      </c>
      <c r="W6848">
        <v>0.2059916</v>
      </c>
      <c r="X6848">
        <v>0.97171980000000002</v>
      </c>
      <c r="Y6848">
        <v>-0.1854616</v>
      </c>
      <c r="Z6848">
        <v>-6.9721240000000004E-2</v>
      </c>
      <c r="AA6848">
        <v>0.98017500000000002</v>
      </c>
      <c r="AB6848">
        <v>28</v>
      </c>
      <c r="AC6848">
        <v>4.7550999999999899</v>
      </c>
      <c r="AD6848">
        <v>-1.11508899283869</v>
      </c>
      <c r="AE6848">
        <v>11.38814</v>
      </c>
      <c r="AF6848">
        <v>-2.28055263477841</v>
      </c>
      <c r="AG6848">
        <v>-1.11508899283869</v>
      </c>
      <c r="AH6848">
        <v>12.026764659385501</v>
      </c>
      <c r="AI6848">
        <v>95.204937523089797</v>
      </c>
      <c r="AJ6848">
        <v>100.737124369242</v>
      </c>
      <c r="AK6848">
        <v>12.291761954829299</v>
      </c>
      <c r="AL6848">
        <v>78.112447682675096</v>
      </c>
      <c r="AM6848">
        <v>96.775402817563005</v>
      </c>
      <c r="AN6848">
        <v>1.0000000171194201</v>
      </c>
    </row>
    <row r="6849" spans="1:40" x14ac:dyDescent="0.25">
      <c r="A6849" t="str">
        <f>"20190312172540328"</f>
        <v>20190312172540328</v>
      </c>
      <c r="B6849" t="str">
        <f>"1552382740316710"</f>
        <v>1552382740316710</v>
      </c>
      <c r="C6849" t="s">
        <v>40</v>
      </c>
      <c r="D6849">
        <v>3.6859799999999998</v>
      </c>
      <c r="E6849">
        <v>0.46304060000000002</v>
      </c>
      <c r="F6849" t="s">
        <v>43</v>
      </c>
      <c r="G6849">
        <v>-188.29480000000001</v>
      </c>
      <c r="H6849" s="1">
        <v>-3.3843010000000002E-6</v>
      </c>
      <c r="I6849">
        <v>-33.183409999999903</v>
      </c>
      <c r="J6849">
        <v>-194.4255</v>
      </c>
      <c r="K6849">
        <v>1.1150310000000001</v>
      </c>
      <c r="L6849">
        <v>-49.33417</v>
      </c>
      <c r="M6849">
        <v>0.54660069999999905</v>
      </c>
      <c r="N6849">
        <v>0</v>
      </c>
      <c r="O6849">
        <v>0.83726819999999902</v>
      </c>
      <c r="P6849">
        <v>0.43856499999999998</v>
      </c>
      <c r="Q6849">
        <v>0.19306760000000001</v>
      </c>
      <c r="R6849">
        <v>0.8777161</v>
      </c>
      <c r="S6849">
        <v>1.112152</v>
      </c>
      <c r="T6849">
        <v>-0.19835710000000001</v>
      </c>
      <c r="U6849">
        <v>2.9072879999999999</v>
      </c>
      <c r="V6849">
        <v>-0.11476450000000001</v>
      </c>
      <c r="W6849">
        <v>0.20595240000000001</v>
      </c>
      <c r="X6849">
        <v>0.97180900000000003</v>
      </c>
      <c r="Y6849">
        <v>-0.21190590000000001</v>
      </c>
      <c r="Z6849">
        <v>-4.9538980000000003E-2</v>
      </c>
      <c r="AA6849">
        <v>0.9760337</v>
      </c>
      <c r="AB6849">
        <v>28</v>
      </c>
      <c r="AC6849">
        <v>6.1306999999999903</v>
      </c>
      <c r="AD6849">
        <v>-1.115034384301</v>
      </c>
      <c r="AE6849">
        <v>16.150759999999998</v>
      </c>
      <c r="AF6849">
        <v>-3.6800325217552401</v>
      </c>
      <c r="AG6849">
        <v>-1.115034384301</v>
      </c>
      <c r="AH6849">
        <v>16.805318850334601</v>
      </c>
      <c r="AI6849">
        <v>93.7083979524336</v>
      </c>
      <c r="AJ6849">
        <v>102.351675273552</v>
      </c>
      <c r="AK6849">
        <v>17.239625364281</v>
      </c>
      <c r="AL6849">
        <v>78.114742769333603</v>
      </c>
      <c r="AM6849">
        <v>96.735075599664597</v>
      </c>
      <c r="AN6849">
        <v>1.0000000070035</v>
      </c>
    </row>
    <row r="6850" spans="1:40" x14ac:dyDescent="0.25">
      <c r="A6850" t="str">
        <f>"20190312172540340"</f>
        <v>20190312172540340</v>
      </c>
      <c r="B6850" t="str">
        <f>"1552382740337204"</f>
        <v>1552382740337204</v>
      </c>
      <c r="C6850" t="s">
        <v>40</v>
      </c>
      <c r="D6850">
        <v>3.680301</v>
      </c>
      <c r="E6850">
        <v>0.4632289</v>
      </c>
      <c r="F6850" t="s">
        <v>43</v>
      </c>
      <c r="G6850">
        <v>-187.9873</v>
      </c>
      <c r="H6850" s="1">
        <v>-3.795258E-6</v>
      </c>
      <c r="I6850">
        <v>-32.352620000000002</v>
      </c>
      <c r="J6850">
        <v>-194.34209999999999</v>
      </c>
      <c r="K6850">
        <v>1.115</v>
      </c>
      <c r="L6850">
        <v>-49.200740000000003</v>
      </c>
      <c r="M6850">
        <v>0.54396739999999999</v>
      </c>
      <c r="N6850">
        <v>0</v>
      </c>
      <c r="O6850">
        <v>0.83898159999999899</v>
      </c>
      <c r="P6850">
        <v>0.43607190000000001</v>
      </c>
      <c r="Q6850">
        <v>0.19263459999999999</v>
      </c>
      <c r="R6850">
        <v>0.87905239999999996</v>
      </c>
      <c r="S6850">
        <v>1.102859</v>
      </c>
      <c r="T6850">
        <v>-0.19100320000000001</v>
      </c>
      <c r="U6850">
        <v>2.9089049999999999</v>
      </c>
      <c r="V6850">
        <v>-0.1144998</v>
      </c>
      <c r="W6850">
        <v>0.2055236</v>
      </c>
      <c r="X6850">
        <v>0.97193099999999999</v>
      </c>
      <c r="Y6850">
        <v>-0.2117049</v>
      </c>
      <c r="Z6850">
        <v>-4.7861609999999999E-2</v>
      </c>
      <c r="AA6850">
        <v>0.97616099999999995</v>
      </c>
      <c r="AB6850">
        <v>28</v>
      </c>
      <c r="AC6850">
        <v>6.3547999999999796</v>
      </c>
      <c r="AD6850">
        <v>-1.1150037952580001</v>
      </c>
      <c r="AE6850">
        <v>16.848120000000002</v>
      </c>
      <c r="AF6850">
        <v>-3.8190258832189201</v>
      </c>
      <c r="AG6850">
        <v>-1.1150037952580001</v>
      </c>
      <c r="AH6850">
        <v>17.5267062753956</v>
      </c>
      <c r="AI6850">
        <v>93.556866301099802</v>
      </c>
      <c r="AJ6850">
        <v>102.29246615293199</v>
      </c>
      <c r="AK6850">
        <v>17.972579809925101</v>
      </c>
      <c r="AL6850">
        <v>78.139848333858296</v>
      </c>
      <c r="AM6850">
        <v>96.718847852526196</v>
      </c>
      <c r="AN6850">
        <v>1.000000011559</v>
      </c>
    </row>
    <row r="6851" spans="1:40" x14ac:dyDescent="0.25">
      <c r="A6851" t="str">
        <f>"20190312172540362"</f>
        <v>20190312172540362</v>
      </c>
      <c r="B6851" t="str">
        <f>"1552382740356724"</f>
        <v>1552382740356724</v>
      </c>
      <c r="C6851" t="s">
        <v>40</v>
      </c>
      <c r="D6851">
        <v>3.683497</v>
      </c>
      <c r="E6851">
        <v>0.46358949999999999</v>
      </c>
      <c r="F6851" t="s">
        <v>43</v>
      </c>
      <c r="G6851">
        <v>-188.125</v>
      </c>
      <c r="H6851" s="1">
        <v>-3.628995E-6</v>
      </c>
      <c r="I6851">
        <v>-32.683199999999999</v>
      </c>
      <c r="J6851">
        <v>-194.2022</v>
      </c>
      <c r="K6851">
        <v>1.11496</v>
      </c>
      <c r="L6851">
        <v>-48.974269999999997</v>
      </c>
      <c r="M6851">
        <v>0.53951749999999998</v>
      </c>
      <c r="N6851">
        <v>0</v>
      </c>
      <c r="O6851">
        <v>0.84185030000000005</v>
      </c>
      <c r="P6851">
        <v>0.43179089999999998</v>
      </c>
      <c r="Q6851">
        <v>0.1920838</v>
      </c>
      <c r="R6851">
        <v>0.881283499999999</v>
      </c>
      <c r="S6851">
        <v>1.0961000000000001</v>
      </c>
      <c r="T6851">
        <v>-0.1965797</v>
      </c>
      <c r="U6851">
        <v>2.9121090000000001</v>
      </c>
      <c r="V6851">
        <v>-0.11411830000000001</v>
      </c>
      <c r="W6851">
        <v>0.20497660000000001</v>
      </c>
      <c r="X6851">
        <v>0.97209140000000005</v>
      </c>
      <c r="Y6851">
        <v>-0.20889930000000001</v>
      </c>
      <c r="Z6851">
        <v>-4.9504729999999997E-2</v>
      </c>
      <c r="AA6851">
        <v>0.97668330000000003</v>
      </c>
      <c r="AB6851">
        <v>28</v>
      </c>
      <c r="AC6851">
        <v>6.0772000000000004</v>
      </c>
      <c r="AD6851">
        <v>-1.114963628995</v>
      </c>
      <c r="AE6851">
        <v>16.291070000000001</v>
      </c>
      <c r="AF6851">
        <v>-3.6585650117073101</v>
      </c>
      <c r="AG6851">
        <v>-1.114963628995</v>
      </c>
      <c r="AH6851">
        <v>16.925577895823601</v>
      </c>
      <c r="AI6851">
        <v>93.684043722635906</v>
      </c>
      <c r="AJ6851">
        <v>102.19717198015501</v>
      </c>
      <c r="AK6851">
        <v>17.352332089562498</v>
      </c>
      <c r="AL6851">
        <v>78.171871258604895</v>
      </c>
      <c r="AM6851">
        <v>96.695570137782596</v>
      </c>
      <c r="AN6851">
        <v>1.0000000414482</v>
      </c>
    </row>
    <row r="6852" spans="1:40" x14ac:dyDescent="0.25">
      <c r="A6852" t="str">
        <f>"20190312172540374"</f>
        <v>20190312172540374</v>
      </c>
      <c r="B6852" t="str">
        <f>"1552382740367460"</f>
        <v>1552382740367460</v>
      </c>
      <c r="C6852" t="s">
        <v>40</v>
      </c>
      <c r="D6852">
        <v>3.6349480000000001</v>
      </c>
      <c r="E6852">
        <v>0.4637001</v>
      </c>
      <c r="F6852" t="s">
        <v>43</v>
      </c>
      <c r="G6852">
        <v>-187.91800000000001</v>
      </c>
      <c r="H6852" s="1">
        <v>-3.9239139999999998E-6</v>
      </c>
      <c r="I6852">
        <v>-32.081330000000001</v>
      </c>
      <c r="J6852">
        <v>-194.1172</v>
      </c>
      <c r="K6852">
        <v>1.1149439999999999</v>
      </c>
      <c r="L6852">
        <v>-48.835209999999996</v>
      </c>
      <c r="M6852">
        <v>0.53679200000000005</v>
      </c>
      <c r="N6852">
        <v>0</v>
      </c>
      <c r="O6852">
        <v>0.84359099999999998</v>
      </c>
      <c r="P6852">
        <v>0.42896210000000001</v>
      </c>
      <c r="Q6852">
        <v>0.19189000000000001</v>
      </c>
      <c r="R6852">
        <v>0.88270590000000004</v>
      </c>
      <c r="S6852">
        <v>1.0843050000000001</v>
      </c>
      <c r="T6852">
        <v>-0.19238359999999999</v>
      </c>
      <c r="U6852">
        <v>2.914825</v>
      </c>
      <c r="V6852">
        <v>-0.1141031</v>
      </c>
      <c r="W6852">
        <v>0.20478109999999999</v>
      </c>
      <c r="X6852">
        <v>0.97213439999999995</v>
      </c>
      <c r="Y6852">
        <v>-0.20948420000000001</v>
      </c>
      <c r="Z6852">
        <v>-4.85914E-2</v>
      </c>
      <c r="AA6852">
        <v>0.97660389999999997</v>
      </c>
      <c r="AB6852">
        <v>28</v>
      </c>
      <c r="AC6852">
        <v>6.1991999999999896</v>
      </c>
      <c r="AD6852">
        <v>-1.1149479239139899</v>
      </c>
      <c r="AE6852">
        <v>16.753879999999899</v>
      </c>
      <c r="AF6852">
        <v>-3.7495460299169601</v>
      </c>
      <c r="AG6852">
        <v>-1.1149479239139899</v>
      </c>
      <c r="AH6852">
        <v>17.395163541514599</v>
      </c>
      <c r="AI6852">
        <v>93.585250954644593</v>
      </c>
      <c r="AJ6852">
        <v>102.16405544799299</v>
      </c>
      <c r="AK6852">
        <v>17.829579886793301</v>
      </c>
      <c r="AL6852">
        <v>78.183315493018497</v>
      </c>
      <c r="AM6852">
        <v>96.694392980570996</v>
      </c>
      <c r="AN6852">
        <v>1.00000005400508</v>
      </c>
    </row>
    <row r="6853" spans="1:40" x14ac:dyDescent="0.25">
      <c r="A6853" t="str">
        <f>"20190312172540387"</f>
        <v>20190312172540387</v>
      </c>
      <c r="B6853" t="str">
        <f>"1552382740377220"</f>
        <v>1552382740377220</v>
      </c>
      <c r="C6853" t="s">
        <v>40</v>
      </c>
      <c r="D6853">
        <v>3.841151</v>
      </c>
      <c r="E6853">
        <v>0.46359430000000001</v>
      </c>
      <c r="F6853" t="s">
        <v>43</v>
      </c>
      <c r="G6853">
        <v>-188.10480000000001</v>
      </c>
      <c r="H6853" s="1">
        <v>-3.6990500000000002E-6</v>
      </c>
      <c r="I6853">
        <v>-32.528260000000003</v>
      </c>
      <c r="J6853">
        <v>-194.03450000000001</v>
      </c>
      <c r="K6853">
        <v>1.114932</v>
      </c>
      <c r="L6853">
        <v>-48.699159999999999</v>
      </c>
      <c r="M6853">
        <v>0.53412559999999998</v>
      </c>
      <c r="N6853">
        <v>0</v>
      </c>
      <c r="O6853">
        <v>0.84528179999999997</v>
      </c>
      <c r="P6853">
        <v>0.4265448</v>
      </c>
      <c r="Q6853">
        <v>0.19186900000000001</v>
      </c>
      <c r="R6853">
        <v>0.88388109999999998</v>
      </c>
      <c r="S6853">
        <v>1.076233</v>
      </c>
      <c r="T6853">
        <v>-0.19958010000000001</v>
      </c>
      <c r="U6853">
        <v>2.919006</v>
      </c>
      <c r="V6853">
        <v>-0.11368689999999999</v>
      </c>
      <c r="W6853">
        <v>0.20476240000000001</v>
      </c>
      <c r="X6853">
        <v>0.97218700000000002</v>
      </c>
      <c r="Y6853">
        <v>-0.20926600000000001</v>
      </c>
      <c r="Z6853">
        <v>-5.0514679999999999E-2</v>
      </c>
      <c r="AA6853">
        <v>0.97655309999999995</v>
      </c>
      <c r="AB6853">
        <v>28</v>
      </c>
      <c r="AC6853">
        <v>5.9296999999999898</v>
      </c>
      <c r="AD6853">
        <v>-1.1149356990499999</v>
      </c>
      <c r="AE6853">
        <v>16.1709</v>
      </c>
      <c r="AF6853">
        <v>-3.61027417388468</v>
      </c>
      <c r="AG6853">
        <v>-1.1149356990499999</v>
      </c>
      <c r="AH6853">
        <v>16.767666675504699</v>
      </c>
      <c r="AI6853">
        <v>93.719194244837595</v>
      </c>
      <c r="AJ6853">
        <v>102.150947009039</v>
      </c>
      <c r="AK6853">
        <v>17.188129827426401</v>
      </c>
      <c r="AL6853">
        <v>78.184408960660704</v>
      </c>
      <c r="AM6853">
        <v>96.669837444995295</v>
      </c>
      <c r="AN6853">
        <v>0.99999995732718405</v>
      </c>
    </row>
    <row r="6854" spans="1:40" x14ac:dyDescent="0.25">
      <c r="A6854" t="str">
        <f>"20190312172540408"</f>
        <v>20190312172540408</v>
      </c>
      <c r="B6854" t="str">
        <f>"1552382740396740"</f>
        <v>1552382740396740</v>
      </c>
      <c r="C6854" t="s">
        <v>40</v>
      </c>
      <c r="D6854">
        <v>3.7136749999999998</v>
      </c>
      <c r="E6854">
        <v>0.46385120000000002</v>
      </c>
      <c r="F6854" t="s">
        <v>43</v>
      </c>
      <c r="G6854">
        <v>-188.31039999999999</v>
      </c>
      <c r="H6854" s="1">
        <v>-3.4464230000000002E-6</v>
      </c>
      <c r="I6854">
        <v>-33.032139999999998</v>
      </c>
      <c r="J6854">
        <v>-193.9034</v>
      </c>
      <c r="K6854">
        <v>1.1149150000000001</v>
      </c>
      <c r="L6854">
        <v>-48.481409999999997</v>
      </c>
      <c r="M6854">
        <v>0.52985780000000005</v>
      </c>
      <c r="N6854">
        <v>0</v>
      </c>
      <c r="O6854">
        <v>0.84796380000000005</v>
      </c>
      <c r="P6854">
        <v>0.42215649999999899</v>
      </c>
      <c r="Q6854">
        <v>0.19245860000000001</v>
      </c>
      <c r="R6854">
        <v>0.88585759999999902</v>
      </c>
      <c r="S6854">
        <v>1.068222</v>
      </c>
      <c r="T6854">
        <v>-0.20806839999999999</v>
      </c>
      <c r="U6854">
        <v>2.9237669999999998</v>
      </c>
      <c r="V6854">
        <v>-0.11353539999999999</v>
      </c>
      <c r="W6854">
        <v>0.20534720000000001</v>
      </c>
      <c r="X6854">
        <v>0.97208139999999998</v>
      </c>
      <c r="Y6854">
        <v>-0.20725730000000001</v>
      </c>
      <c r="Z6854">
        <v>-5.2871590000000003E-2</v>
      </c>
      <c r="AA6854">
        <v>0.97685670000000002</v>
      </c>
      <c r="AB6854">
        <v>28</v>
      </c>
      <c r="AC6854">
        <v>5.5930000000000097</v>
      </c>
      <c r="AD6854">
        <v>-1.114918446423</v>
      </c>
      <c r="AE6854">
        <v>15.449269999999901</v>
      </c>
      <c r="AF6854">
        <v>-3.4278295124026599</v>
      </c>
      <c r="AG6854">
        <v>-1.114918446423</v>
      </c>
      <c r="AH6854">
        <v>15.991952886163199</v>
      </c>
      <c r="AI6854">
        <v>93.899765525392596</v>
      </c>
      <c r="AJ6854">
        <v>102.098122464878</v>
      </c>
      <c r="AK6854">
        <v>16.393157579354199</v>
      </c>
      <c r="AL6854">
        <v>78.150175490554204</v>
      </c>
      <c r="AM6854">
        <v>96.661746197408604</v>
      </c>
      <c r="AN6854">
        <v>1.00000000391348</v>
      </c>
    </row>
    <row r="6855" spans="1:40" x14ac:dyDescent="0.25">
      <c r="A6855" t="str">
        <f>"20190312172540431"</f>
        <v>20190312172540431</v>
      </c>
      <c r="B6855" t="str">
        <f>"1552382740426995"</f>
        <v>1552382740426995</v>
      </c>
      <c r="C6855" t="s">
        <v>40</v>
      </c>
      <c r="D6855">
        <v>3.6745220000000001</v>
      </c>
      <c r="E6855">
        <v>0.4646692</v>
      </c>
      <c r="F6855" t="s">
        <v>43</v>
      </c>
      <c r="G6855">
        <v>-188.15190000000001</v>
      </c>
      <c r="H6855" s="1">
        <v>-3.6892269999999999E-6</v>
      </c>
      <c r="I6855">
        <v>-32.531680000000001</v>
      </c>
      <c r="J6855">
        <v>-193.75839999999999</v>
      </c>
      <c r="K6855">
        <v>1.114906</v>
      </c>
      <c r="L6855">
        <v>-48.237789999999997</v>
      </c>
      <c r="M6855">
        <v>0.52508009999999905</v>
      </c>
      <c r="N6855">
        <v>0</v>
      </c>
      <c r="O6855">
        <v>0.85093069999999904</v>
      </c>
      <c r="P6855">
        <v>0.41737380000000002</v>
      </c>
      <c r="Q6855">
        <v>0.19342490000000001</v>
      </c>
      <c r="R6855">
        <v>0.88791100000000001</v>
      </c>
      <c r="S6855">
        <v>1.0557859999999999</v>
      </c>
      <c r="T6855">
        <v>-0.20466519999999999</v>
      </c>
      <c r="U6855">
        <v>2.9278870000000001</v>
      </c>
      <c r="V6855">
        <v>-0.1131996</v>
      </c>
      <c r="W6855">
        <v>0.20630889999999999</v>
      </c>
      <c r="X6855">
        <v>0.97191689999999997</v>
      </c>
      <c r="Y6855">
        <v>-0.20585010000000001</v>
      </c>
      <c r="Z6855">
        <v>-5.226869E-2</v>
      </c>
      <c r="AA6855">
        <v>0.97718660000000002</v>
      </c>
      <c r="AB6855">
        <v>28</v>
      </c>
      <c r="AC6855">
        <v>5.6064999999999801</v>
      </c>
      <c r="AD6855">
        <v>-1.1149096892269901</v>
      </c>
      <c r="AE6855">
        <v>15.706110000000001</v>
      </c>
      <c r="AF6855">
        <v>-3.46111480615928</v>
      </c>
      <c r="AG6855">
        <v>-1.1149096892269901</v>
      </c>
      <c r="AH6855">
        <v>16.237793533138898</v>
      </c>
      <c r="AI6855">
        <v>93.841806761676395</v>
      </c>
      <c r="AJ6855">
        <v>102.032626057427</v>
      </c>
      <c r="AK6855">
        <v>16.6399602806435</v>
      </c>
      <c r="AL6855">
        <v>78.093868286240195</v>
      </c>
      <c r="AM6855">
        <v>96.643333450613994</v>
      </c>
      <c r="AN6855">
        <v>0.99999998608248897</v>
      </c>
    </row>
    <row r="6856" spans="1:40" x14ac:dyDescent="0.25">
      <c r="A6856" t="str">
        <f>"20190312172540452"</f>
        <v>20190312172540452</v>
      </c>
      <c r="B6856" t="str">
        <f>"1552382740446516"</f>
        <v>1552382740446516</v>
      </c>
      <c r="C6856" t="s">
        <v>40</v>
      </c>
      <c r="D6856">
        <v>3.7589090000000001</v>
      </c>
      <c r="E6856">
        <v>0.46521249999999997</v>
      </c>
      <c r="F6856" t="s">
        <v>43</v>
      </c>
      <c r="G6856">
        <v>-188.0138</v>
      </c>
      <c r="H6856" s="1">
        <v>-3.8784859999999901E-6</v>
      </c>
      <c r="I6856">
        <v>-32.147629999999999</v>
      </c>
      <c r="J6856">
        <v>-193.62799999999999</v>
      </c>
      <c r="K6856">
        <v>1.1149</v>
      </c>
      <c r="L6856">
        <v>-48.015900000000002</v>
      </c>
      <c r="M6856">
        <v>0.52072229999999997</v>
      </c>
      <c r="N6856">
        <v>0</v>
      </c>
      <c r="O6856">
        <v>0.85360460000000005</v>
      </c>
      <c r="P6856">
        <v>0.4130645</v>
      </c>
      <c r="Q6856">
        <v>0.19441420000000001</v>
      </c>
      <c r="R6856">
        <v>0.88970830000000001</v>
      </c>
      <c r="S6856">
        <v>1.0464629999999999</v>
      </c>
      <c r="T6856">
        <v>-0.20309730000000001</v>
      </c>
      <c r="U6856">
        <v>2.9310610000000001</v>
      </c>
      <c r="V6856">
        <v>-0.11283260000000001</v>
      </c>
      <c r="W6856">
        <v>0.2072947</v>
      </c>
      <c r="X6856">
        <v>0.9717498</v>
      </c>
      <c r="Y6856">
        <v>-0.20393269999999999</v>
      </c>
      <c r="Z6856">
        <v>-5.2109509999999998E-2</v>
      </c>
      <c r="AA6856">
        <v>0.9775971</v>
      </c>
      <c r="AB6856">
        <v>28</v>
      </c>
      <c r="AC6856">
        <v>5.6141999999999799</v>
      </c>
      <c r="AD6856">
        <v>-1.1149038784859999</v>
      </c>
      <c r="AE6856">
        <v>15.868270000000001</v>
      </c>
      <c r="AF6856">
        <v>-3.4558533864610399</v>
      </c>
      <c r="AG6856">
        <v>-1.1149038784859999</v>
      </c>
      <c r="AH6856">
        <v>16.3984314990219</v>
      </c>
      <c r="AI6856">
        <v>93.806117729032394</v>
      </c>
      <c r="AJ6856">
        <v>101.900541485498</v>
      </c>
      <c r="AK6856">
        <v>16.795668754625101</v>
      </c>
      <c r="AL6856">
        <v>78.0361380812368</v>
      </c>
      <c r="AM6856">
        <v>96.623115539956601</v>
      </c>
      <c r="AN6856">
        <v>0.99999998103544396</v>
      </c>
    </row>
    <row r="6857" spans="1:40" x14ac:dyDescent="0.25">
      <c r="A6857" t="str">
        <f>"20190312172540474"</f>
        <v>20190312172540474</v>
      </c>
      <c r="B6857" t="str">
        <f>"1552382740467012"</f>
        <v>1552382740467012</v>
      </c>
      <c r="C6857" t="s">
        <v>40</v>
      </c>
      <c r="D6857">
        <v>3.7174320000000001</v>
      </c>
      <c r="E6857">
        <v>0.4657906</v>
      </c>
      <c r="F6857" t="s">
        <v>43</v>
      </c>
      <c r="G6857">
        <v>-187.8544</v>
      </c>
      <c r="H6857" s="1">
        <v>-4.1127240000000003E-6</v>
      </c>
      <c r="I6857">
        <v>-31.667539999999999</v>
      </c>
      <c r="J6857">
        <v>-193.4879</v>
      </c>
      <c r="K6857">
        <v>1.1148929999999999</v>
      </c>
      <c r="L6857">
        <v>-47.774540000000002</v>
      </c>
      <c r="M6857">
        <v>0.51597519999999997</v>
      </c>
      <c r="N6857">
        <v>0</v>
      </c>
      <c r="O6857">
        <v>0.85648250000000004</v>
      </c>
      <c r="P6857">
        <v>0.40822839999999999</v>
      </c>
      <c r="Q6857">
        <v>0.19462740000000001</v>
      </c>
      <c r="R6857">
        <v>0.89189110000000005</v>
      </c>
      <c r="S6857">
        <v>1.036346</v>
      </c>
      <c r="T6857">
        <v>-0.20012160000000001</v>
      </c>
      <c r="U6857">
        <v>2.9344790000000001</v>
      </c>
      <c r="V6857">
        <v>-0.1126839</v>
      </c>
      <c r="W6857">
        <v>0.2075041</v>
      </c>
      <c r="X6857">
        <v>0.97172239999999999</v>
      </c>
      <c r="Y6857">
        <v>-0.20183899999999999</v>
      </c>
      <c r="Z6857">
        <v>-5.1603219999999998E-2</v>
      </c>
      <c r="AA6857">
        <v>0.97805830000000005</v>
      </c>
      <c r="AB6857">
        <v>28</v>
      </c>
      <c r="AC6857">
        <v>5.63349999999999</v>
      </c>
      <c r="AD6857">
        <v>-1.1148971127239999</v>
      </c>
      <c r="AE6857">
        <v>16.106999999999999</v>
      </c>
      <c r="AF6857">
        <v>-3.47136073942354</v>
      </c>
      <c r="AG6857">
        <v>-1.1148971127239999</v>
      </c>
      <c r="AH6857">
        <v>16.632836902504302</v>
      </c>
      <c r="AI6857">
        <v>93.754142042084695</v>
      </c>
      <c r="AJ6857">
        <v>101.78871143513</v>
      </c>
      <c r="AK6857">
        <v>17.027759816854399</v>
      </c>
      <c r="AL6857">
        <v>78.023874117933502</v>
      </c>
      <c r="AM6857">
        <v>96.614649311496507</v>
      </c>
      <c r="AN6857">
        <v>1.0000000177488899</v>
      </c>
    </row>
    <row r="6858" spans="1:40" x14ac:dyDescent="0.25">
      <c r="A6858" t="str">
        <f>"20190312172540487"</f>
        <v>20190312172540487</v>
      </c>
      <c r="B6858" t="str">
        <f>"1552382740476772"</f>
        <v>1552382740476772</v>
      </c>
      <c r="C6858" t="s">
        <v>40</v>
      </c>
      <c r="D6858">
        <v>3.7273710000000002</v>
      </c>
      <c r="E6858">
        <v>0.46604839999999997</v>
      </c>
      <c r="F6858" t="s">
        <v>43</v>
      </c>
      <c r="G6858">
        <v>-187.78059999999999</v>
      </c>
      <c r="H6858" s="1">
        <v>-4.2389319999999901E-6</v>
      </c>
      <c r="I6858">
        <v>-31.403849999999998</v>
      </c>
      <c r="J6858">
        <v>-193.4076</v>
      </c>
      <c r="K6858">
        <v>1.1148880000000001</v>
      </c>
      <c r="L6858">
        <v>-47.634979999999999</v>
      </c>
      <c r="M6858">
        <v>0.51322539999999905</v>
      </c>
      <c r="N6858">
        <v>0</v>
      </c>
      <c r="O6858">
        <v>0.85813309999999998</v>
      </c>
      <c r="P6858">
        <v>0.4056092</v>
      </c>
      <c r="Q6858">
        <v>0.1948965</v>
      </c>
      <c r="R6858">
        <v>0.8930266</v>
      </c>
      <c r="S6858">
        <v>1.0244139999999999</v>
      </c>
      <c r="T6858">
        <v>-0.20011570000000001</v>
      </c>
      <c r="U6858">
        <v>2.9384160000000001</v>
      </c>
      <c r="V6858">
        <v>-0.11238769999999999</v>
      </c>
      <c r="W6858">
        <v>0.20777319999999999</v>
      </c>
      <c r="X6858">
        <v>0.97169919999999999</v>
      </c>
      <c r="Y6858">
        <v>-0.20264670000000001</v>
      </c>
      <c r="Z6858">
        <v>-5.1715659999999997E-2</v>
      </c>
      <c r="AA6858">
        <v>0.97788540000000002</v>
      </c>
      <c r="AB6858">
        <v>28</v>
      </c>
      <c r="AC6858">
        <v>5.6269999999999998</v>
      </c>
      <c r="AD6858">
        <v>-1.114892238932</v>
      </c>
      <c r="AE6858">
        <v>16.23113</v>
      </c>
      <c r="AF6858">
        <v>-3.4871884882773601</v>
      </c>
      <c r="AG6858">
        <v>-1.114892238932</v>
      </c>
      <c r="AH6858">
        <v>16.747593121100898</v>
      </c>
      <c r="AI6858">
        <v>93.728835092820205</v>
      </c>
      <c r="AJ6858">
        <v>101.762080625389</v>
      </c>
      <c r="AK6858">
        <v>17.1430844251305</v>
      </c>
      <c r="AL6858">
        <v>78.008112289578094</v>
      </c>
      <c r="AM6858">
        <v>96.597571706893405</v>
      </c>
      <c r="AN6858">
        <v>1.00000001651508</v>
      </c>
    </row>
    <row r="6859" spans="1:40" x14ac:dyDescent="0.25">
      <c r="A6859" t="str">
        <f>"20190312172540500"</f>
        <v>20190312172540500</v>
      </c>
      <c r="B6859" t="str">
        <f>"1552382740497268"</f>
        <v>1552382740497268</v>
      </c>
      <c r="C6859" t="s">
        <v>40</v>
      </c>
      <c r="D6859">
        <v>3.7483219999999999</v>
      </c>
      <c r="E6859">
        <v>0.46655679999999999</v>
      </c>
      <c r="F6859" t="s">
        <v>43</v>
      </c>
      <c r="G6859">
        <v>-187.73220000000001</v>
      </c>
      <c r="H6859" s="1">
        <v>-4.3176479999999996E-6</v>
      </c>
      <c r="I6859">
        <v>-31.240349999999999</v>
      </c>
      <c r="J6859">
        <v>-193.32730000000001</v>
      </c>
      <c r="K6859">
        <v>1.114879</v>
      </c>
      <c r="L6859">
        <v>-47.49438</v>
      </c>
      <c r="M6859">
        <v>0.51045280000000004</v>
      </c>
      <c r="N6859">
        <v>0</v>
      </c>
      <c r="O6859">
        <v>0.85978539999999903</v>
      </c>
      <c r="P6859">
        <v>0.40281420000000001</v>
      </c>
      <c r="Q6859">
        <v>0.19492429999999999</v>
      </c>
      <c r="R6859">
        <v>0.89428479999999999</v>
      </c>
      <c r="S6859">
        <v>1.0179750000000001</v>
      </c>
      <c r="T6859">
        <v>-0.19997419999999999</v>
      </c>
      <c r="U6859">
        <v>2.9406430000000001</v>
      </c>
      <c r="V6859">
        <v>-0.1122842</v>
      </c>
      <c r="W6859">
        <v>0.2077994</v>
      </c>
      <c r="X6859">
        <v>0.97170559999999995</v>
      </c>
      <c r="Y6859">
        <v>-0.2016278</v>
      </c>
      <c r="Z6859">
        <v>-5.1820650000000003E-2</v>
      </c>
      <c r="AA6859">
        <v>0.97809040000000003</v>
      </c>
      <c r="AB6859">
        <v>28</v>
      </c>
      <c r="AC6859">
        <v>5.5951000000000004</v>
      </c>
      <c r="AD6859">
        <v>-1.114883317648</v>
      </c>
      <c r="AE6859">
        <v>16.25403</v>
      </c>
      <c r="AF6859">
        <v>-3.4720859930718402</v>
      </c>
      <c r="AG6859">
        <v>-1.114883317648</v>
      </c>
      <c r="AH6859">
        <v>16.762246923867899</v>
      </c>
      <c r="AI6859">
        <v>93.726355870102495</v>
      </c>
      <c r="AJ6859">
        <v>101.70259428890201</v>
      </c>
      <c r="AK6859">
        <v>17.154336708015698</v>
      </c>
      <c r="AL6859">
        <v>78.006578085123607</v>
      </c>
      <c r="AM6859">
        <v>96.591506336010497</v>
      </c>
      <c r="AN6859">
        <v>1.00000005264067</v>
      </c>
    </row>
    <row r="6860" spans="1:40" x14ac:dyDescent="0.25">
      <c r="A6860" t="str">
        <f>"20190312172540518"</f>
        <v>20190312172540518</v>
      </c>
      <c r="B6860" t="str">
        <f>"1552382740507031"</f>
        <v>1552382740507031</v>
      </c>
      <c r="C6860" t="s">
        <v>40</v>
      </c>
      <c r="D6860">
        <v>3.870965</v>
      </c>
      <c r="E6860">
        <v>0.46655679999999999</v>
      </c>
      <c r="F6860" t="s">
        <v>43</v>
      </c>
      <c r="G6860">
        <v>-187.7501</v>
      </c>
      <c r="H6860" s="1">
        <v>-4.2941470000000003E-6</v>
      </c>
      <c r="I6860">
        <v>-31.28773</v>
      </c>
      <c r="J6860">
        <v>-193.21629999999999</v>
      </c>
      <c r="K6860">
        <v>1.1148709999999999</v>
      </c>
      <c r="L6860">
        <v>-47.297820000000002</v>
      </c>
      <c r="M6860">
        <v>0.50657419999999997</v>
      </c>
      <c r="N6860">
        <v>0</v>
      </c>
      <c r="O6860">
        <v>0.86207630000000002</v>
      </c>
      <c r="P6860">
        <v>0.39905099999999999</v>
      </c>
      <c r="Q6860">
        <v>0.1951099</v>
      </c>
      <c r="R6860">
        <v>0.89592989999999995</v>
      </c>
      <c r="S6860">
        <v>1.0126500000000001</v>
      </c>
      <c r="T6860">
        <v>-0.20242850000000001</v>
      </c>
      <c r="U6860">
        <v>2.9426269999999999</v>
      </c>
      <c r="V6860">
        <v>-0.11196830000000001</v>
      </c>
      <c r="W6860">
        <v>0.20798449999999999</v>
      </c>
      <c r="X6860">
        <v>0.97170239999999997</v>
      </c>
      <c r="Y6860">
        <v>-0.1990152</v>
      </c>
      <c r="Z6860">
        <v>-5.267049E-2</v>
      </c>
      <c r="AA6860">
        <v>0.97858000000000001</v>
      </c>
      <c r="AB6860">
        <v>28</v>
      </c>
      <c r="AC6860">
        <v>5.4661999999999802</v>
      </c>
      <c r="AD6860">
        <v>-1.1148752941469999</v>
      </c>
      <c r="AE6860">
        <v>16.010089999999899</v>
      </c>
      <c r="AF6860">
        <v>-3.3836739240031202</v>
      </c>
      <c r="AG6860">
        <v>-1.1148752941469999</v>
      </c>
      <c r="AH6860">
        <v>16.501008511101698</v>
      </c>
      <c r="AI6860">
        <v>93.786704251103203</v>
      </c>
      <c r="AJ6860">
        <v>101.588349044168</v>
      </c>
      <c r="AK6860">
        <v>16.881216722408599</v>
      </c>
      <c r="AL6860">
        <v>77.995735150334596</v>
      </c>
      <c r="AM6860">
        <v>96.573145781984394</v>
      </c>
      <c r="AN6860">
        <v>1.0000000033054499</v>
      </c>
    </row>
    <row r="6861" spans="1:40" x14ac:dyDescent="0.25">
      <c r="A6861" t="str">
        <f>"20190312172540531"</f>
        <v>20190312172540531</v>
      </c>
      <c r="B6861" t="str">
        <f>"1552382740527524"</f>
        <v>1552382740527524</v>
      </c>
      <c r="C6861" t="s">
        <v>40</v>
      </c>
      <c r="D6861">
        <v>3.711138</v>
      </c>
      <c r="E6861">
        <v>0.47621859999999999</v>
      </c>
      <c r="F6861" t="s">
        <v>43</v>
      </c>
      <c r="G6861">
        <v>-187.69059999999999</v>
      </c>
      <c r="H6861" s="1">
        <v>-4.4192370000000004E-6</v>
      </c>
      <c r="I6861">
        <v>-31.020790000000002</v>
      </c>
      <c r="J6861">
        <v>-193.14</v>
      </c>
      <c r="K6861">
        <v>1.1148640000000001</v>
      </c>
      <c r="L6861">
        <v>-47.161439999999999</v>
      </c>
      <c r="M6861">
        <v>0.50387939999999998</v>
      </c>
      <c r="N6861">
        <v>0</v>
      </c>
      <c r="O6861">
        <v>0.86365429999999999</v>
      </c>
      <c r="P6861">
        <v>0.39623849999999999</v>
      </c>
      <c r="Q6861">
        <v>0.1948405</v>
      </c>
      <c r="R6861">
        <v>0.89723589999999998</v>
      </c>
      <c r="S6861">
        <v>1.000397</v>
      </c>
      <c r="T6861">
        <v>-0.20183999999999999</v>
      </c>
      <c r="U6861">
        <v>2.9468380000000001</v>
      </c>
      <c r="V6861">
        <v>-0.11200599999999999</v>
      </c>
      <c r="W6861">
        <v>0.2077126</v>
      </c>
      <c r="X6861">
        <v>0.97175619999999996</v>
      </c>
      <c r="Y6861">
        <v>-0.20002629999999999</v>
      </c>
      <c r="Z6861">
        <v>-5.2620109999999998E-2</v>
      </c>
      <c r="AA6861">
        <v>0.97837649999999998</v>
      </c>
      <c r="AB6861">
        <v>28</v>
      </c>
      <c r="AC6861">
        <v>5.44939999999999</v>
      </c>
      <c r="AD6861">
        <v>-1.11486841923699</v>
      </c>
      <c r="AE6861">
        <v>16.140649999999901</v>
      </c>
      <c r="AF6861">
        <v>-3.4122836189531398</v>
      </c>
      <c r="AG6861">
        <v>-1.11486841923699</v>
      </c>
      <c r="AH6861">
        <v>16.616343730715901</v>
      </c>
      <c r="AI6861">
        <v>93.760252661374494</v>
      </c>
      <c r="AJ6861">
        <v>101.604758206304</v>
      </c>
      <c r="AK6861">
        <v>16.9996908814745</v>
      </c>
      <c r="AL6861">
        <v>78.011661533222494</v>
      </c>
      <c r="AM6861">
        <v>96.574978751065203</v>
      </c>
      <c r="AN6861">
        <v>0.99999999023660002</v>
      </c>
    </row>
    <row r="6862" spans="1:40" x14ac:dyDescent="0.25">
      <c r="A6862" t="str">
        <f>"20190312172540545"</f>
        <v>20190312172540545</v>
      </c>
      <c r="B6862" t="str">
        <f>"1552382740537284"</f>
        <v>1552382740537284</v>
      </c>
      <c r="C6862" t="s">
        <v>40</v>
      </c>
      <c r="D6862">
        <v>3.7038579999999999</v>
      </c>
      <c r="E6862">
        <v>0.47636329999999999</v>
      </c>
      <c r="F6862" t="s">
        <v>43</v>
      </c>
      <c r="G6862">
        <v>-187.6617</v>
      </c>
      <c r="H6862" s="1">
        <v>-3.9628359999999997E-6</v>
      </c>
      <c r="I6862">
        <v>-32.096600000000002</v>
      </c>
      <c r="J6862">
        <v>-193.06049999999999</v>
      </c>
      <c r="K6862">
        <v>1.1148579999999999</v>
      </c>
      <c r="L6862">
        <v>-47.018549999999998</v>
      </c>
      <c r="M6862">
        <v>0.50105299999999997</v>
      </c>
      <c r="N6862">
        <v>0</v>
      </c>
      <c r="O6862">
        <v>0.86529719999999999</v>
      </c>
      <c r="P6862">
        <v>0.39339020000000002</v>
      </c>
      <c r="Q6862">
        <v>0.19502079999999999</v>
      </c>
      <c r="R6862">
        <v>0.89844919999999995</v>
      </c>
      <c r="S6862">
        <v>1.0623469999999999</v>
      </c>
      <c r="T6862">
        <v>-0.21619620000000001</v>
      </c>
      <c r="U6862">
        <v>2.9213870000000002</v>
      </c>
      <c r="V6862">
        <v>-0.1118923</v>
      </c>
      <c r="W6862">
        <v>0.2078912</v>
      </c>
      <c r="X6862">
        <v>0.97173109999999996</v>
      </c>
      <c r="Y6862">
        <v>-0.17581869999999999</v>
      </c>
      <c r="Z6862">
        <v>-5.6976239999999997E-2</v>
      </c>
      <c r="AA6862">
        <v>0.98277239999999999</v>
      </c>
      <c r="AB6862">
        <v>28</v>
      </c>
      <c r="AC6862">
        <v>5.3987999999999898</v>
      </c>
      <c r="AD6862">
        <v>-1.1148619628359999</v>
      </c>
      <c r="AE6862">
        <v>14.921949999999899</v>
      </c>
      <c r="AF6862">
        <v>-2.7916319517989701</v>
      </c>
      <c r="AG6862">
        <v>-1.1148619628359999</v>
      </c>
      <c r="AH6862">
        <v>15.541907034231601</v>
      </c>
      <c r="AI6862">
        <v>94.038537641506693</v>
      </c>
      <c r="AJ6862">
        <v>100.18286396802</v>
      </c>
      <c r="AK6862">
        <v>15.8299400002394</v>
      </c>
      <c r="AL6862">
        <v>78.001200071872006</v>
      </c>
      <c r="AM6862">
        <v>96.568530864041904</v>
      </c>
      <c r="AN6862">
        <v>0.99999998427196901</v>
      </c>
    </row>
    <row r="6863" spans="1:40" x14ac:dyDescent="0.25">
      <c r="A6863" t="str">
        <f>"20190312172540563"</f>
        <v>20190312172540563</v>
      </c>
      <c r="B6863" t="str">
        <f>"1552382740556805"</f>
        <v>1552382740556805</v>
      </c>
      <c r="C6863" t="s">
        <v>40</v>
      </c>
      <c r="D6863">
        <v>3.744561</v>
      </c>
      <c r="E6863">
        <v>0.4760858</v>
      </c>
      <c r="F6863" t="s">
        <v>43</v>
      </c>
      <c r="G6863">
        <v>-187.70230000000001</v>
      </c>
      <c r="H6863" s="1">
        <v>-3.9304410000000002E-6</v>
      </c>
      <c r="I6863">
        <v>-32.155320000000003</v>
      </c>
      <c r="J6863">
        <v>-192.9462</v>
      </c>
      <c r="K6863">
        <v>1.114859</v>
      </c>
      <c r="L6863">
        <v>-46.811039999999998</v>
      </c>
      <c r="M6863">
        <v>0.4969403</v>
      </c>
      <c r="N6863">
        <v>0</v>
      </c>
      <c r="O6863">
        <v>0.86766580000000004</v>
      </c>
      <c r="P6863">
        <v>0.3890382</v>
      </c>
      <c r="Q6863">
        <v>0.19436999999999999</v>
      </c>
      <c r="R6863">
        <v>0.90048300000000003</v>
      </c>
      <c r="S6863">
        <v>1.054459</v>
      </c>
      <c r="T6863">
        <v>-0.21939980000000001</v>
      </c>
      <c r="U6863">
        <v>2.9250180000000001</v>
      </c>
      <c r="V6863">
        <v>-0.1120435</v>
      </c>
      <c r="W6863">
        <v>0.20723630000000001</v>
      </c>
      <c r="X6863">
        <v>0.97185359999999998</v>
      </c>
      <c r="Y6863">
        <v>-0.1739029</v>
      </c>
      <c r="Z6863">
        <v>-5.8029799999999999E-2</v>
      </c>
      <c r="AA6863">
        <v>0.98305149999999997</v>
      </c>
      <c r="AB6863">
        <v>28</v>
      </c>
      <c r="AC6863">
        <v>5.2438999999999902</v>
      </c>
      <c r="AD6863">
        <v>-1.114862930441</v>
      </c>
      <c r="AE6863">
        <v>14.655720000000001</v>
      </c>
      <c r="AF6863">
        <v>-2.7193970295133498</v>
      </c>
      <c r="AG6863">
        <v>-1.114862930441</v>
      </c>
      <c r="AH6863">
        <v>15.245545422121699</v>
      </c>
      <c r="AI6863">
        <v>94.117666894731798</v>
      </c>
      <c r="AJ6863">
        <v>100.11366571335699</v>
      </c>
      <c r="AK6863">
        <v>15.526258234867001</v>
      </c>
      <c r="AL6863">
        <v>78.039558960764495</v>
      </c>
      <c r="AM6863">
        <v>96.576507398404502</v>
      </c>
      <c r="AN6863">
        <v>1.00000002488144</v>
      </c>
    </row>
    <row r="6864" spans="1:40" x14ac:dyDescent="0.25">
      <c r="A6864" t="str">
        <f>"20190312172540586"</f>
        <v>20190312172540586</v>
      </c>
      <c r="B6864" t="str">
        <f>"1552382740577300"</f>
        <v>1552382740577300</v>
      </c>
      <c r="C6864" t="s">
        <v>40</v>
      </c>
      <c r="D6864">
        <v>3.7782339999999999</v>
      </c>
      <c r="E6864">
        <v>0.47624290000000002</v>
      </c>
      <c r="F6864" t="s">
        <v>43</v>
      </c>
      <c r="G6864">
        <v>-187.83340000000001</v>
      </c>
      <c r="H6864" s="1">
        <v>-3.8105019999999998E-6</v>
      </c>
      <c r="I6864">
        <v>-32.380699999999997</v>
      </c>
      <c r="J6864">
        <v>-192.81309999999999</v>
      </c>
      <c r="K6864">
        <v>1.11486</v>
      </c>
      <c r="L6864">
        <v>-46.56635</v>
      </c>
      <c r="M6864">
        <v>0.49207679999999998</v>
      </c>
      <c r="N6864">
        <v>0</v>
      </c>
      <c r="O6864">
        <v>0.87043329999999997</v>
      </c>
      <c r="P6864">
        <v>0.38425559999999997</v>
      </c>
      <c r="Q6864">
        <v>0.19416910000000001</v>
      </c>
      <c r="R6864">
        <v>0.90257739999999997</v>
      </c>
      <c r="S6864">
        <v>1.0387120000000001</v>
      </c>
      <c r="T6864">
        <v>-0.22649569999999999</v>
      </c>
      <c r="U6864">
        <v>2.9316710000000001</v>
      </c>
      <c r="V6864">
        <v>-0.11177869999999999</v>
      </c>
      <c r="W6864">
        <v>0.20703440000000001</v>
      </c>
      <c r="X6864">
        <v>0.97192710000000004</v>
      </c>
      <c r="Y6864">
        <v>-0.17383109999999999</v>
      </c>
      <c r="Z6864">
        <v>-6.0112390000000002E-2</v>
      </c>
      <c r="AA6864">
        <v>0.98293909999999995</v>
      </c>
      <c r="AB6864">
        <v>28</v>
      </c>
      <c r="AC6864">
        <v>4.9796999999999798</v>
      </c>
      <c r="AD6864">
        <v>-1.1148638105019999</v>
      </c>
      <c r="AE6864">
        <v>14.185650000000001</v>
      </c>
      <c r="AF6864">
        <v>-2.6317338212902799</v>
      </c>
      <c r="AG6864">
        <v>-1.1148638105019999</v>
      </c>
      <c r="AH6864">
        <v>14.718646926305</v>
      </c>
      <c r="AI6864">
        <v>94.264224339921199</v>
      </c>
      <c r="AJ6864">
        <v>100.13751257451101</v>
      </c>
      <c r="AK6864">
        <v>14.993582345901199</v>
      </c>
      <c r="AL6864">
        <v>78.051383172296497</v>
      </c>
      <c r="AM6864">
        <v>96.560608527111199</v>
      </c>
      <c r="AN6864">
        <v>1.00000000413573</v>
      </c>
    </row>
    <row r="6865" spans="1:40" x14ac:dyDescent="0.25">
      <c r="A6865" t="str">
        <f>"20190312172540600"</f>
        <v>20190312172540600</v>
      </c>
      <c r="B6865" t="str">
        <f>"1552382740596820"</f>
        <v>1552382740596820</v>
      </c>
      <c r="C6865" t="s">
        <v>40</v>
      </c>
      <c r="D6865">
        <v>3.7609189999999999</v>
      </c>
      <c r="E6865">
        <v>0.47647919999999999</v>
      </c>
      <c r="F6865" t="s">
        <v>43</v>
      </c>
      <c r="G6865">
        <v>-187.79069999999999</v>
      </c>
      <c r="H6865" s="1">
        <v>-3.9083679999999997E-6</v>
      </c>
      <c r="I6865">
        <v>-32.170209999999997</v>
      </c>
      <c r="J6865">
        <v>-192.7313</v>
      </c>
      <c r="K6865">
        <v>1.1148659999999999</v>
      </c>
      <c r="L6865">
        <v>-46.414520000000003</v>
      </c>
      <c r="M6865">
        <v>0.48905120000000002</v>
      </c>
      <c r="N6865">
        <v>0</v>
      </c>
      <c r="O6865">
        <v>0.87213680000000005</v>
      </c>
      <c r="P6865">
        <v>0.38117450000000003</v>
      </c>
      <c r="Q6865">
        <v>0.19403139999999999</v>
      </c>
      <c r="R6865">
        <v>0.90391250000000001</v>
      </c>
      <c r="S6865">
        <v>1.0244899999999999</v>
      </c>
      <c r="T6865">
        <v>-0.2274147</v>
      </c>
      <c r="U6865">
        <v>2.9365839999999999</v>
      </c>
      <c r="V6865">
        <v>-0.1117325</v>
      </c>
      <c r="W6865">
        <v>0.20689399999999999</v>
      </c>
      <c r="X6865">
        <v>0.97196229999999995</v>
      </c>
      <c r="Y6865">
        <v>-0.17517269999999999</v>
      </c>
      <c r="Z6865">
        <v>-6.0475580000000001E-2</v>
      </c>
      <c r="AA6865">
        <v>0.98267859999999996</v>
      </c>
      <c r="AB6865">
        <v>28</v>
      </c>
      <c r="AC6865">
        <v>4.9406000000000097</v>
      </c>
      <c r="AD6865">
        <v>-1.11486990836799</v>
      </c>
      <c r="AE6865">
        <v>14.24431</v>
      </c>
      <c r="AF6865">
        <v>-2.6431392670126401</v>
      </c>
      <c r="AG6865">
        <v>-1.11486990836799</v>
      </c>
      <c r="AH6865">
        <v>14.7600163367399</v>
      </c>
      <c r="AI6865">
        <v>94.252140140977502</v>
      </c>
      <c r="AJ6865">
        <v>100.152590034917</v>
      </c>
      <c r="AK6865">
        <v>15.0361964059478</v>
      </c>
      <c r="AL6865">
        <v>78.059605423737096</v>
      </c>
      <c r="AM6865">
        <v>96.557685114321004</v>
      </c>
      <c r="AN6865">
        <v>0.99999999570677001</v>
      </c>
    </row>
    <row r="6866" spans="1:40" x14ac:dyDescent="0.25">
      <c r="A6866" t="str">
        <f>"20190312172540621"</f>
        <v>20190312172540621</v>
      </c>
      <c r="B6866" t="str">
        <f>"1552382740617316"</f>
        <v>1552382740617316</v>
      </c>
      <c r="C6866" t="s">
        <v>40</v>
      </c>
      <c r="D6866">
        <v>3.7588460000000001</v>
      </c>
      <c r="E6866">
        <v>0.47677530000000001</v>
      </c>
      <c r="F6866" t="s">
        <v>43</v>
      </c>
      <c r="G6866">
        <v>-187.7961</v>
      </c>
      <c r="H6866" s="1">
        <v>-3.9195560000000002E-6</v>
      </c>
      <c r="I6866">
        <v>-32.1419</v>
      </c>
      <c r="J6866">
        <v>-192.61269999999999</v>
      </c>
      <c r="K6866">
        <v>1.1148720000000001</v>
      </c>
      <c r="L6866">
        <v>-46.191769999999998</v>
      </c>
      <c r="M6866">
        <v>0.48459649999999999</v>
      </c>
      <c r="N6866">
        <v>0</v>
      </c>
      <c r="O6866">
        <v>0.87461999999999995</v>
      </c>
      <c r="P6866">
        <v>0.37644620000000001</v>
      </c>
      <c r="Q6866">
        <v>0.1939854</v>
      </c>
      <c r="R6866">
        <v>0.90590170000000003</v>
      </c>
      <c r="S6866">
        <v>1.0164489999999999</v>
      </c>
      <c r="T6866">
        <v>-0.2296175</v>
      </c>
      <c r="U6866">
        <v>2.939575</v>
      </c>
      <c r="V6866">
        <v>-0.11186069999999999</v>
      </c>
      <c r="W6866">
        <v>0.20684169999999999</v>
      </c>
      <c r="X6866">
        <v>0.97195869999999995</v>
      </c>
      <c r="Y6866">
        <v>-0.17287720000000001</v>
      </c>
      <c r="Z6866">
        <v>-6.1308319999999999E-2</v>
      </c>
      <c r="AA6866">
        <v>0.9830335</v>
      </c>
      <c r="AB6866">
        <v>28</v>
      </c>
      <c r="AC6866">
        <v>4.8165999999999896</v>
      </c>
      <c r="AD6866">
        <v>-1.1148759195560001</v>
      </c>
      <c r="AE6866">
        <v>14.04987</v>
      </c>
      <c r="AF6866">
        <v>-2.58154510651966</v>
      </c>
      <c r="AG6866">
        <v>-1.1148759195560001</v>
      </c>
      <c r="AH6866">
        <v>14.541975932319801</v>
      </c>
      <c r="AI6866">
        <v>94.316832404391405</v>
      </c>
      <c r="AJ6866">
        <v>100.066484764303</v>
      </c>
      <c r="AK6866">
        <v>14.811360081679499</v>
      </c>
      <c r="AL6866">
        <v>78.062668415761706</v>
      </c>
      <c r="AM6866">
        <v>96.5651677479987</v>
      </c>
      <c r="AN6866">
        <v>1.0000000097845301</v>
      </c>
    </row>
    <row r="6867" spans="1:40" x14ac:dyDescent="0.25">
      <c r="A6867" t="str">
        <f>"20190312172540642"</f>
        <v>20190312172540642</v>
      </c>
      <c r="B6867" t="str">
        <f>"1552382740636836"</f>
        <v>1552382740636836</v>
      </c>
      <c r="C6867" t="s">
        <v>40</v>
      </c>
      <c r="D6867">
        <v>3.7568039999999998</v>
      </c>
      <c r="E6867">
        <v>0.47703689999999999</v>
      </c>
      <c r="F6867" t="s">
        <v>43</v>
      </c>
      <c r="G6867">
        <v>-187.7919</v>
      </c>
      <c r="H6867" s="1">
        <v>-3.960024E-6</v>
      </c>
      <c r="I6867">
        <v>-32.049329999999998</v>
      </c>
      <c r="J6867">
        <v>-192.49160000000001</v>
      </c>
      <c r="K6867">
        <v>1.114881</v>
      </c>
      <c r="L6867">
        <v>-45.961179999999999</v>
      </c>
      <c r="M6867">
        <v>0.47995280000000001</v>
      </c>
      <c r="N6867">
        <v>0</v>
      </c>
      <c r="O6867">
        <v>0.87717679999999998</v>
      </c>
      <c r="P6867">
        <v>0.37164530000000001</v>
      </c>
      <c r="Q6867">
        <v>0.1941484</v>
      </c>
      <c r="R6867">
        <v>0.90784699999999996</v>
      </c>
      <c r="S6867">
        <v>1.003647</v>
      </c>
      <c r="T6867">
        <v>-0.2321029</v>
      </c>
      <c r="U6867">
        <v>2.9442750000000002</v>
      </c>
      <c r="V6867">
        <v>-0.1118444</v>
      </c>
      <c r="W6867">
        <v>0.20699799999999999</v>
      </c>
      <c r="X6867">
        <v>0.97192730000000005</v>
      </c>
      <c r="Y6867">
        <v>-0.171982</v>
      </c>
      <c r="Z6867">
        <v>-6.2199360000000002E-2</v>
      </c>
      <c r="AA6867">
        <v>0.98313450000000002</v>
      </c>
      <c r="AB6867">
        <v>28</v>
      </c>
      <c r="AC6867">
        <v>4.6997</v>
      </c>
      <c r="AD6867">
        <v>-1.1148849600240001</v>
      </c>
      <c r="AE6867">
        <v>13.911849999999999</v>
      </c>
      <c r="AF6867">
        <v>-2.54018418212307</v>
      </c>
      <c r="AG6867">
        <v>-1.1148849600240001</v>
      </c>
      <c r="AH6867">
        <v>14.377399240716599</v>
      </c>
      <c r="AI6867">
        <v>94.366722931270601</v>
      </c>
      <c r="AJ6867">
        <v>100.019558557614</v>
      </c>
      <c r="AK6867">
        <v>14.642578771519499</v>
      </c>
      <c r="AL6867">
        <v>78.053514978352297</v>
      </c>
      <c r="AM6867">
        <v>96.564429660527395</v>
      </c>
      <c r="AN6867">
        <v>1.0000000091503201</v>
      </c>
    </row>
    <row r="6868" spans="1:40" x14ac:dyDescent="0.25">
      <c r="A6868" t="str">
        <f>"20190312172540664"</f>
        <v>20190312172540664</v>
      </c>
      <c r="B6868" t="str">
        <f>"1552382740657332"</f>
        <v>1552382740657332</v>
      </c>
      <c r="C6868" t="s">
        <v>40</v>
      </c>
      <c r="D6868">
        <v>3.7466699999999999</v>
      </c>
      <c r="E6868">
        <v>0.48095379999999899</v>
      </c>
      <c r="F6868" t="s">
        <v>43</v>
      </c>
      <c r="G6868">
        <v>-187.74680000000001</v>
      </c>
      <c r="H6868" s="1">
        <v>-4.0610669999999997E-6</v>
      </c>
      <c r="I6868">
        <v>-31.832439999999998</v>
      </c>
      <c r="J6868">
        <v>-192.36699999999999</v>
      </c>
      <c r="K6868">
        <v>1.1149150000000001</v>
      </c>
      <c r="L6868">
        <v>-45.720700000000001</v>
      </c>
      <c r="M6868">
        <v>0.47505979999999998</v>
      </c>
      <c r="N6868">
        <v>0</v>
      </c>
      <c r="O6868">
        <v>0.87983639999999996</v>
      </c>
      <c r="P6868">
        <v>0.36649809999999999</v>
      </c>
      <c r="Q6868">
        <v>0.19481999999999999</v>
      </c>
      <c r="R6868">
        <v>0.90979359999999998</v>
      </c>
      <c r="S6868">
        <v>0.99031069999999999</v>
      </c>
      <c r="T6868">
        <v>-0.2326936</v>
      </c>
      <c r="U6868">
        <v>2.9488829999999999</v>
      </c>
      <c r="V6868">
        <v>-0.11188629999999999</v>
      </c>
      <c r="W6868">
        <v>0.20765800000000001</v>
      </c>
      <c r="X6868">
        <v>0.97178169999999997</v>
      </c>
      <c r="Y6868">
        <v>-0.1709611</v>
      </c>
      <c r="Z6868">
        <v>-6.2603290000000006E-2</v>
      </c>
      <c r="AA6868">
        <v>0.98328689999999996</v>
      </c>
      <c r="AB6868">
        <v>28</v>
      </c>
      <c r="AC6868">
        <v>4.6202000000000103</v>
      </c>
      <c r="AD6868">
        <v>-1.1149190610669999</v>
      </c>
      <c r="AE6868">
        <v>13.888260000000001</v>
      </c>
      <c r="AF6868">
        <v>-2.5183822980276198</v>
      </c>
      <c r="AG6868">
        <v>-1.1149190610669999</v>
      </c>
      <c r="AH6868">
        <v>14.332590383704201</v>
      </c>
      <c r="AI6868">
        <v>94.381177732245604</v>
      </c>
      <c r="AJ6868">
        <v>99.965722960180301</v>
      </c>
      <c r="AK6868">
        <v>14.594808701000501</v>
      </c>
      <c r="AL6868">
        <v>78.014860107814499</v>
      </c>
      <c r="AM6868">
        <v>96.567842705077297</v>
      </c>
      <c r="AN6868">
        <v>1.0000000307732799</v>
      </c>
    </row>
    <row r="6869" spans="1:40" x14ac:dyDescent="0.25">
      <c r="A6869" t="str">
        <f>"20190312172540687"</f>
        <v>20190312172540687</v>
      </c>
      <c r="B6869" t="str">
        <f>"1552382740676857"</f>
        <v>1552382740676857</v>
      </c>
      <c r="C6869" t="s">
        <v>40</v>
      </c>
      <c r="D6869">
        <v>3.7120220000000002</v>
      </c>
      <c r="E6869">
        <v>0.48124</v>
      </c>
      <c r="F6869" t="s">
        <v>43</v>
      </c>
      <c r="G6869">
        <v>-187.821</v>
      </c>
      <c r="H6869" s="1">
        <v>-3.8139859999999999E-6</v>
      </c>
      <c r="I6869">
        <v>-32.37771</v>
      </c>
      <c r="J6869">
        <v>-192.2396</v>
      </c>
      <c r="K6869">
        <v>1.114951</v>
      </c>
      <c r="L6869">
        <v>-45.471220000000002</v>
      </c>
      <c r="M6869">
        <v>0.46993410000000002</v>
      </c>
      <c r="N6869">
        <v>0</v>
      </c>
      <c r="O6869">
        <v>0.88258479999999995</v>
      </c>
      <c r="P6869">
        <v>0.36132180000000003</v>
      </c>
      <c r="Q6869">
        <v>0.19561200000000001</v>
      </c>
      <c r="R6869">
        <v>0.91169210000000001</v>
      </c>
      <c r="S6869">
        <v>1.0036620000000001</v>
      </c>
      <c r="T6869">
        <v>-0.2461516</v>
      </c>
      <c r="U6869">
        <v>2.945862</v>
      </c>
      <c r="V6869">
        <v>-0.11170049999999999</v>
      </c>
      <c r="W6869">
        <v>0.20844070000000001</v>
      </c>
      <c r="X6869">
        <v>0.97163549999999999</v>
      </c>
      <c r="Y6869">
        <v>-0.16101070000000001</v>
      </c>
      <c r="Z6869">
        <v>-6.6613850000000002E-2</v>
      </c>
      <c r="AA6869">
        <v>0.98470210000000002</v>
      </c>
      <c r="AB6869">
        <v>28</v>
      </c>
      <c r="AC6869">
        <v>4.4185999999999899</v>
      </c>
      <c r="AD6869">
        <v>-1.1149548139859999</v>
      </c>
      <c r="AE6869">
        <v>13.09351</v>
      </c>
      <c r="AF6869">
        <v>-2.2389547892700099</v>
      </c>
      <c r="AG6869">
        <v>-1.1149548139859999</v>
      </c>
      <c r="AH6869">
        <v>13.545808622959401</v>
      </c>
      <c r="AI6869">
        <v>94.642694631892994</v>
      </c>
      <c r="AJ6869">
        <v>99.385428327546194</v>
      </c>
      <c r="AK6869">
        <v>13.774794881792801</v>
      </c>
      <c r="AL6869">
        <v>77.969011519903205</v>
      </c>
      <c r="AM6869">
        <v>96.558009137935699</v>
      </c>
      <c r="AN6869">
        <v>1.00000003598849</v>
      </c>
    </row>
    <row r="6870" spans="1:40" x14ac:dyDescent="0.25">
      <c r="A6870" t="str">
        <f>"20190312172540700"</f>
        <v>20190312172540700</v>
      </c>
      <c r="B6870" t="str">
        <f>"1552382740697349"</f>
        <v>1552382740697349</v>
      </c>
      <c r="C6870" t="s">
        <v>40</v>
      </c>
      <c r="D6870">
        <v>3.7592859999999999</v>
      </c>
      <c r="E6870">
        <v>0.482213</v>
      </c>
      <c r="F6870" t="s">
        <v>43</v>
      </c>
      <c r="G6870">
        <v>-187.709</v>
      </c>
      <c r="H6870" s="1">
        <v>-4.0128190000000002E-6</v>
      </c>
      <c r="I6870">
        <v>-31.960519999999999</v>
      </c>
      <c r="J6870">
        <v>-192.16849999999999</v>
      </c>
      <c r="K6870">
        <v>1.114973</v>
      </c>
      <c r="L6870">
        <v>-45.330750000000002</v>
      </c>
      <c r="M6870">
        <v>0.46702450000000001</v>
      </c>
      <c r="N6870">
        <v>0</v>
      </c>
      <c r="O6870">
        <v>0.88412789999999997</v>
      </c>
      <c r="P6870">
        <v>0.35821439999999999</v>
      </c>
      <c r="Q6870">
        <v>0.1959243</v>
      </c>
      <c r="R6870">
        <v>0.91285059999999996</v>
      </c>
      <c r="S6870">
        <v>0.98945620000000001</v>
      </c>
      <c r="T6870">
        <v>-0.24350179999999999</v>
      </c>
      <c r="U6870">
        <v>2.9506839999999999</v>
      </c>
      <c r="V6870">
        <v>-0.11179269999999999</v>
      </c>
      <c r="W6870">
        <v>0.20874470000000001</v>
      </c>
      <c r="X6870">
        <v>0.97155959999999997</v>
      </c>
      <c r="Y6870">
        <v>-0.162490299999999</v>
      </c>
      <c r="Z6870">
        <v>-6.6011349999999996E-2</v>
      </c>
      <c r="AA6870">
        <v>0.98449960000000003</v>
      </c>
      <c r="AB6870">
        <v>28</v>
      </c>
      <c r="AC6870">
        <v>4.4594999999999896</v>
      </c>
      <c r="AD6870">
        <v>-1.114977012819</v>
      </c>
      <c r="AE6870">
        <v>13.370229999999999</v>
      </c>
      <c r="AF6870">
        <v>-2.28737900810735</v>
      </c>
      <c r="AG6870">
        <v>-1.114977012819</v>
      </c>
      <c r="AH6870">
        <v>13.8186427262299</v>
      </c>
      <c r="AI6870">
        <v>94.551333143970496</v>
      </c>
      <c r="AJ6870">
        <v>99.398860080583006</v>
      </c>
      <c r="AK6870">
        <v>14.0509844232008</v>
      </c>
      <c r="AL6870">
        <v>77.951201481674801</v>
      </c>
      <c r="AM6870">
        <v>96.563883316800798</v>
      </c>
      <c r="AN6870">
        <v>1.0000000069517601</v>
      </c>
    </row>
    <row r="6871" spans="1:40" x14ac:dyDescent="0.25">
      <c r="A6871" t="str">
        <f>"20190312172540713"</f>
        <v>20190312172540713</v>
      </c>
      <c r="B6871" t="str">
        <f>"1552382740707108"</f>
        <v>1552382740707108</v>
      </c>
      <c r="C6871" t="s">
        <v>40</v>
      </c>
      <c r="D6871">
        <v>3.7780589999999998</v>
      </c>
      <c r="E6871">
        <v>0.482213</v>
      </c>
      <c r="F6871" t="s">
        <v>43</v>
      </c>
      <c r="G6871">
        <v>-187.62180000000001</v>
      </c>
      <c r="H6871" s="1">
        <v>-4.1264629999999998E-6</v>
      </c>
      <c r="I6871">
        <v>-31.73169</v>
      </c>
      <c r="J6871">
        <v>-192.09460000000001</v>
      </c>
      <c r="K6871">
        <v>1.115</v>
      </c>
      <c r="L6871">
        <v>-45.1828</v>
      </c>
      <c r="M6871">
        <v>0.46392470000000002</v>
      </c>
      <c r="N6871">
        <v>0</v>
      </c>
      <c r="O6871">
        <v>0.88575839999999995</v>
      </c>
      <c r="P6871">
        <v>0.35511229999999999</v>
      </c>
      <c r="Q6871">
        <v>0.19600390000000001</v>
      </c>
      <c r="R6871">
        <v>0.91404470000000004</v>
      </c>
      <c r="S6871">
        <v>0.98669430000000002</v>
      </c>
      <c r="T6871">
        <v>-0.24196200000000001</v>
      </c>
      <c r="U6871">
        <v>2.9511409999999998</v>
      </c>
      <c r="V6871">
        <v>-0.111695</v>
      </c>
      <c r="W6871">
        <v>0.20881839999999999</v>
      </c>
      <c r="X6871">
        <v>0.97155499999999995</v>
      </c>
      <c r="Y6871">
        <v>-0.1599016</v>
      </c>
      <c r="Z6871">
        <v>-6.5798860000000001E-2</v>
      </c>
      <c r="AA6871">
        <v>0.98493750000000002</v>
      </c>
      <c r="AB6871">
        <v>28</v>
      </c>
      <c r="AC6871">
        <v>4.4728000000000003</v>
      </c>
      <c r="AD6871">
        <v>-1.115004126463</v>
      </c>
      <c r="AE6871">
        <v>13.4511099999999</v>
      </c>
      <c r="AF6871">
        <v>-2.2647045860933002</v>
      </c>
      <c r="AG6871">
        <v>-1.115004126463</v>
      </c>
      <c r="AH6871">
        <v>13.904885188545499</v>
      </c>
      <c r="AI6871">
        <v>94.525245682207299</v>
      </c>
      <c r="AJ6871">
        <v>99.250603041583602</v>
      </c>
      <c r="AK6871">
        <v>14.132160244312701</v>
      </c>
      <c r="AL6871">
        <v>77.946883635286696</v>
      </c>
      <c r="AM6871">
        <v>96.558227658302997</v>
      </c>
      <c r="AN6871">
        <v>1.0000000076142701</v>
      </c>
    </row>
    <row r="6872" spans="1:40" x14ac:dyDescent="0.25">
      <c r="A6872" t="str">
        <f>"20190312172540731"</f>
        <v>20190312172540731</v>
      </c>
      <c r="B6872" t="str">
        <f>"1552382740727605"</f>
        <v>1552382740727605</v>
      </c>
      <c r="C6872" t="s">
        <v>40</v>
      </c>
      <c r="D6872">
        <v>3.7922609999999999</v>
      </c>
      <c r="E6872">
        <v>0.48765829999999999</v>
      </c>
      <c r="F6872" t="s">
        <v>43</v>
      </c>
      <c r="G6872">
        <v>-187.58920000000001</v>
      </c>
      <c r="H6872" s="1">
        <v>-4.2084560000000001E-6</v>
      </c>
      <c r="I6872">
        <v>-31.554040000000001</v>
      </c>
      <c r="J6872">
        <v>-192.00069999999999</v>
      </c>
      <c r="K6872">
        <v>1.1150420000000001</v>
      </c>
      <c r="L6872">
        <v>-44.992980000000003</v>
      </c>
      <c r="M6872">
        <v>0.45989449999999998</v>
      </c>
      <c r="N6872">
        <v>0</v>
      </c>
      <c r="O6872">
        <v>0.88785759999999903</v>
      </c>
      <c r="P6872">
        <v>0.35095369999999998</v>
      </c>
      <c r="Q6872">
        <v>0.1958801</v>
      </c>
      <c r="R6872">
        <v>0.91567600000000005</v>
      </c>
      <c r="S6872">
        <v>0.97671509999999995</v>
      </c>
      <c r="T6872">
        <v>-0.24171519999999999</v>
      </c>
      <c r="U6872">
        <v>2.9544980000000001</v>
      </c>
      <c r="V6872">
        <v>-0.11172940000000001</v>
      </c>
      <c r="W6872">
        <v>0.20868320000000001</v>
      </c>
      <c r="X6872">
        <v>0.97158009999999995</v>
      </c>
      <c r="Y6872">
        <v>-0.1587491</v>
      </c>
      <c r="Z6872">
        <v>-6.5939689999999995E-2</v>
      </c>
      <c r="AA6872">
        <v>0.9851145</v>
      </c>
      <c r="AB6872">
        <v>28</v>
      </c>
      <c r="AC6872">
        <v>4.4114999999999798</v>
      </c>
      <c r="AD6872">
        <v>-1.115046208456</v>
      </c>
      <c r="AE6872">
        <v>13.438939999999899</v>
      </c>
      <c r="AF6872">
        <v>-2.2499613543025201</v>
      </c>
      <c r="AG6872">
        <v>-1.115046208456</v>
      </c>
      <c r="AH6872">
        <v>13.875894495839599</v>
      </c>
      <c r="AI6872">
        <v>94.5353476659877</v>
      </c>
      <c r="AJ6872">
        <v>99.210287451968199</v>
      </c>
      <c r="AK6872">
        <v>14.1012801618335</v>
      </c>
      <c r="AL6872">
        <v>77.954804605963304</v>
      </c>
      <c r="AM6872">
        <v>96.560061866544999</v>
      </c>
      <c r="AN6872">
        <v>1.0000000137513001</v>
      </c>
    </row>
    <row r="6873" spans="1:40" x14ac:dyDescent="0.25">
      <c r="A6873" t="str">
        <f>"20190312172540745"</f>
        <v>20190312172540745</v>
      </c>
      <c r="B6873" t="str">
        <f>"1552382740737366"</f>
        <v>1552382740737366</v>
      </c>
      <c r="C6873" t="s">
        <v>40</v>
      </c>
      <c r="D6873">
        <v>3.7966890000000002</v>
      </c>
      <c r="E6873">
        <v>0.48786170000000001</v>
      </c>
      <c r="F6873" t="s">
        <v>43</v>
      </c>
      <c r="G6873">
        <v>-187.46770000000001</v>
      </c>
      <c r="H6873" s="1">
        <v>-4.1666829999999996E-6</v>
      </c>
      <c r="I6873">
        <v>-31.701640000000001</v>
      </c>
      <c r="J6873">
        <v>-191.9256</v>
      </c>
      <c r="K6873">
        <v>1.1150880000000001</v>
      </c>
      <c r="L6873">
        <v>-44.83981</v>
      </c>
      <c r="M6873">
        <v>0.45659260000000002</v>
      </c>
      <c r="N6873">
        <v>0</v>
      </c>
      <c r="O6873">
        <v>0.88956009999999996</v>
      </c>
      <c r="P6873">
        <v>0.3475163</v>
      </c>
      <c r="Q6873">
        <v>0.19553290000000001</v>
      </c>
      <c r="R6873">
        <v>0.91706010000000004</v>
      </c>
      <c r="S6873">
        <v>1.0041199999999999</v>
      </c>
      <c r="T6873">
        <v>-0.24700059999999999</v>
      </c>
      <c r="U6873">
        <v>2.9442439999999999</v>
      </c>
      <c r="V6873">
        <v>-0.11181779999999999</v>
      </c>
      <c r="W6873">
        <v>0.20832500000000001</v>
      </c>
      <c r="X6873">
        <v>0.97164680000000003</v>
      </c>
      <c r="Y6873">
        <v>-0.1458526</v>
      </c>
      <c r="Z6873">
        <v>-6.7787780000000006E-2</v>
      </c>
      <c r="AA6873">
        <v>0.9869812</v>
      </c>
      <c r="AB6873">
        <v>28</v>
      </c>
      <c r="AC6873">
        <v>4.4578999999999898</v>
      </c>
      <c r="AD6873">
        <v>-1.11509216668299</v>
      </c>
      <c r="AE6873">
        <v>13.138170000000001</v>
      </c>
      <c r="AF6873">
        <v>-2.0203792554478301</v>
      </c>
      <c r="AG6873">
        <v>-1.11509216668299</v>
      </c>
      <c r="AH6873">
        <v>13.6359627960196</v>
      </c>
      <c r="AI6873">
        <v>94.624742027180403</v>
      </c>
      <c r="AJ6873">
        <v>98.427941895494598</v>
      </c>
      <c r="AK6873">
        <v>13.829853370534099</v>
      </c>
      <c r="AL6873">
        <v>77.9757891783335</v>
      </c>
      <c r="AM6873">
        <v>96.564760132155001</v>
      </c>
      <c r="AN6873">
        <v>1.00000001498603</v>
      </c>
    </row>
    <row r="6874" spans="1:40" x14ac:dyDescent="0.25">
      <c r="A6874" t="str">
        <f>"20190312172540758"</f>
        <v>20190312172540758</v>
      </c>
      <c r="B6874" t="str">
        <f>"1552382740747124"</f>
        <v>1552382740747124</v>
      </c>
      <c r="C6874" t="s">
        <v>40</v>
      </c>
      <c r="D6874">
        <v>3.7541880000000001</v>
      </c>
      <c r="E6874">
        <v>0.48813430000000002</v>
      </c>
      <c r="F6874" t="s">
        <v>43</v>
      </c>
      <c r="G6874">
        <v>-187.49289999999999</v>
      </c>
      <c r="H6874" s="1">
        <v>-4.1610520000000002E-6</v>
      </c>
      <c r="I6874">
        <v>-31.704360000000001</v>
      </c>
      <c r="J6874">
        <v>-191.85140000000001</v>
      </c>
      <c r="K6874">
        <v>1.1151420000000001</v>
      </c>
      <c r="L6874">
        <v>-44.686920000000001</v>
      </c>
      <c r="M6874">
        <v>0.45324370000000003</v>
      </c>
      <c r="N6874">
        <v>0</v>
      </c>
      <c r="O6874">
        <v>0.89127099999999904</v>
      </c>
      <c r="P6874">
        <v>0.34419300000000003</v>
      </c>
      <c r="Q6874">
        <v>0.19530420000000001</v>
      </c>
      <c r="R6874">
        <v>0.91836130000000005</v>
      </c>
      <c r="S6874">
        <v>0.9947357</v>
      </c>
      <c r="T6874">
        <v>-0.2502373</v>
      </c>
      <c r="U6874">
        <v>2.9477229999999999</v>
      </c>
      <c r="V6874">
        <v>-0.1117295</v>
      </c>
      <c r="W6874">
        <v>0.2080862</v>
      </c>
      <c r="X6874">
        <v>0.97170809999999996</v>
      </c>
      <c r="Y6874">
        <v>-0.14532929999999999</v>
      </c>
      <c r="Z6874">
        <v>-6.8831080000000003E-2</v>
      </c>
      <c r="AA6874">
        <v>0.98698620000000004</v>
      </c>
      <c r="AB6874">
        <v>27</v>
      </c>
      <c r="AC6874">
        <v>4.3585000000000198</v>
      </c>
      <c r="AD6874">
        <v>-1.1151461610519999</v>
      </c>
      <c r="AE6874">
        <v>12.982559999999999</v>
      </c>
      <c r="AF6874">
        <v>-1.9866917943209099</v>
      </c>
      <c r="AG6874">
        <v>-1.1151461610519999</v>
      </c>
      <c r="AH6874">
        <v>13.4585980055859</v>
      </c>
      <c r="AI6874">
        <v>94.686017300142396</v>
      </c>
      <c r="AJ6874">
        <v>98.397079161263505</v>
      </c>
      <c r="AK6874">
        <v>13.650067967672999</v>
      </c>
      <c r="AL6874">
        <v>77.989777665423006</v>
      </c>
      <c r="AM6874">
        <v>96.559211080779605</v>
      </c>
      <c r="AN6874">
        <v>0.99999998970314996</v>
      </c>
    </row>
    <row r="6875" spans="1:40" x14ac:dyDescent="0.25">
      <c r="A6875" t="str">
        <f>"20190312172540777"</f>
        <v>20190312172540777</v>
      </c>
      <c r="B6875" t="str">
        <f>"1552382740767629"</f>
        <v>1552382740767629</v>
      </c>
      <c r="C6875" t="s">
        <v>40</v>
      </c>
      <c r="D6875">
        <v>3.7841840000000002</v>
      </c>
      <c r="E6875">
        <v>0.48858560000000001</v>
      </c>
      <c r="F6875" t="s">
        <v>43</v>
      </c>
      <c r="G6875">
        <v>-187.48759999999999</v>
      </c>
      <c r="H6875" s="1">
        <v>-4.1939889999999999E-6</v>
      </c>
      <c r="I6875">
        <v>-31.629760000000001</v>
      </c>
      <c r="J6875">
        <v>-191.75569999999999</v>
      </c>
      <c r="K6875">
        <v>1.1152230000000001</v>
      </c>
      <c r="L6875">
        <v>-44.486939999999997</v>
      </c>
      <c r="M6875">
        <v>0.4487757</v>
      </c>
      <c r="N6875">
        <v>0</v>
      </c>
      <c r="O6875">
        <v>0.89352909999999997</v>
      </c>
      <c r="P6875">
        <v>0.33935779999999999</v>
      </c>
      <c r="Q6875">
        <v>0.1951986</v>
      </c>
      <c r="R6875">
        <v>0.92018140000000004</v>
      </c>
      <c r="S6875">
        <v>0.98614500000000005</v>
      </c>
      <c r="T6875">
        <v>-0.25200299999999998</v>
      </c>
      <c r="U6875">
        <v>2.9506839999999999</v>
      </c>
      <c r="V6875">
        <v>-0.1120263</v>
      </c>
      <c r="W6875">
        <v>0.2079608</v>
      </c>
      <c r="X6875">
        <v>0.97170080000000003</v>
      </c>
      <c r="Y6875">
        <v>-0.1432734</v>
      </c>
      <c r="Z6875">
        <v>-6.9558469999999997E-2</v>
      </c>
      <c r="AA6875">
        <v>0.98723570000000005</v>
      </c>
      <c r="AB6875">
        <v>27</v>
      </c>
      <c r="AC6875">
        <v>4.2680999999999996</v>
      </c>
      <c r="AD6875">
        <v>-1.1152271939889999</v>
      </c>
      <c r="AE6875">
        <v>12.85718</v>
      </c>
      <c r="AF6875">
        <v>-1.94335006050417</v>
      </c>
      <c r="AG6875">
        <v>-1.1152271939889999</v>
      </c>
      <c r="AH6875">
        <v>13.314831650555799</v>
      </c>
      <c r="AI6875">
        <v>94.737853694339904</v>
      </c>
      <c r="AJ6875">
        <v>98.3039024427854</v>
      </c>
      <c r="AK6875">
        <v>13.5020399582625</v>
      </c>
      <c r="AL6875">
        <v>77.997123563452007</v>
      </c>
      <c r="AM6875">
        <v>96.576531610270607</v>
      </c>
      <c r="AN6875">
        <v>1.0000000154744799</v>
      </c>
    </row>
    <row r="6876" spans="1:40" x14ac:dyDescent="0.25">
      <c r="A6876" t="str">
        <f>"20190312172540799"</f>
        <v>20190312172540799</v>
      </c>
      <c r="B6876" t="str">
        <f>"1552382740787140"</f>
        <v>1552382740787140</v>
      </c>
      <c r="C6876" t="s">
        <v>40</v>
      </c>
      <c r="D6876">
        <v>3.7797540000000001</v>
      </c>
      <c r="E6876">
        <v>0.4895312</v>
      </c>
      <c r="F6876" t="s">
        <v>43</v>
      </c>
      <c r="G6876">
        <v>-187.46680000000001</v>
      </c>
      <c r="H6876" s="1">
        <v>-4.2628710000000001E-6</v>
      </c>
      <c r="I6876">
        <v>-31.477799999999998</v>
      </c>
      <c r="J6876">
        <v>-191.6412</v>
      </c>
      <c r="K6876">
        <v>1.1153409999999999</v>
      </c>
      <c r="L6876">
        <v>-44.244079999999997</v>
      </c>
      <c r="M6876">
        <v>0.44321440000000001</v>
      </c>
      <c r="N6876">
        <v>0</v>
      </c>
      <c r="O6876">
        <v>0.8963004</v>
      </c>
      <c r="P6876">
        <v>0.33325139999999998</v>
      </c>
      <c r="Q6876">
        <v>0.19528029999999999</v>
      </c>
      <c r="R6876">
        <v>0.92239309999999997</v>
      </c>
      <c r="S6876">
        <v>0.97412109999999996</v>
      </c>
      <c r="T6876">
        <v>-0.25329449999999998</v>
      </c>
      <c r="U6876">
        <v>2.9546809999999999</v>
      </c>
      <c r="V6876">
        <v>-0.1124805</v>
      </c>
      <c r="W6876">
        <v>0.20801339999999999</v>
      </c>
      <c r="X6876">
        <v>0.97163710000000003</v>
      </c>
      <c r="Y6876">
        <v>-0.14115659999999999</v>
      </c>
      <c r="Z6876">
        <v>-7.0208339999999994E-2</v>
      </c>
      <c r="AA6876">
        <v>0.9874946</v>
      </c>
      <c r="AB6876">
        <v>27</v>
      </c>
      <c r="AC6876">
        <v>4.1743999999999897</v>
      </c>
      <c r="AD6876">
        <v>-1.1153452628710001</v>
      </c>
      <c r="AE6876">
        <v>12.766279999999901</v>
      </c>
      <c r="AF6876">
        <v>-1.9037531853716601</v>
      </c>
      <c r="AG6876">
        <v>-1.1153452628710001</v>
      </c>
      <c r="AH6876">
        <v>13.2029070239926</v>
      </c>
      <c r="AI6876">
        <v>94.779526828671095</v>
      </c>
      <c r="AJ6876">
        <v>98.205038720467897</v>
      </c>
      <c r="AK6876">
        <v>13.3860010880926</v>
      </c>
      <c r="AL6876">
        <v>77.994042795097101</v>
      </c>
      <c r="AM6876">
        <v>96.603389608854201</v>
      </c>
      <c r="AN6876">
        <v>1.0000000457781</v>
      </c>
    </row>
    <row r="6877" spans="1:40" x14ac:dyDescent="0.25">
      <c r="A6877" t="str">
        <f>"20190312172540823"</f>
        <v>20190312172540823</v>
      </c>
      <c r="B6877" t="str">
        <f>"1552382740817396"</f>
        <v>1552382740817396</v>
      </c>
      <c r="C6877" t="s">
        <v>40</v>
      </c>
      <c r="D6877">
        <v>3.8394499999999998</v>
      </c>
      <c r="E6877">
        <v>0.48927969999999998</v>
      </c>
      <c r="F6877" t="s">
        <v>43</v>
      </c>
      <c r="G6877">
        <v>-187.4058</v>
      </c>
      <c r="H6877" s="1">
        <v>-4.3849589999999999E-6</v>
      </c>
      <c r="I6877">
        <v>-31.218419999999998</v>
      </c>
      <c r="J6877">
        <v>-191.52539999999999</v>
      </c>
      <c r="K6877">
        <v>1.115469</v>
      </c>
      <c r="L6877">
        <v>-43.9938</v>
      </c>
      <c r="M6877">
        <v>0.43730239999999998</v>
      </c>
      <c r="N6877">
        <v>0</v>
      </c>
      <c r="O6877">
        <v>0.89919950000000004</v>
      </c>
      <c r="P6877">
        <v>0.32674819999999999</v>
      </c>
      <c r="Q6877">
        <v>0.19585520000000001</v>
      </c>
      <c r="R6877">
        <v>0.92459519999999995</v>
      </c>
      <c r="S6877">
        <v>0.96197509999999997</v>
      </c>
      <c r="T6877">
        <v>-0.25332640000000001</v>
      </c>
      <c r="U6877">
        <v>2.9584959999999998</v>
      </c>
      <c r="V6877">
        <v>-0.1129444</v>
      </c>
      <c r="W6877">
        <v>0.20855589999999999</v>
      </c>
      <c r="X6877">
        <v>0.97146699999999997</v>
      </c>
      <c r="Y6877">
        <v>-0.13868229999999901</v>
      </c>
      <c r="Z6877">
        <v>-7.0534100000000002E-2</v>
      </c>
      <c r="AA6877">
        <v>0.98782190000000003</v>
      </c>
      <c r="AB6877">
        <v>27</v>
      </c>
      <c r="AC6877">
        <v>4.1195999999999904</v>
      </c>
      <c r="AD6877">
        <v>-1.1154733849589999</v>
      </c>
      <c r="AE6877">
        <v>12.775379999999901</v>
      </c>
      <c r="AF6877">
        <v>-1.8696455758774699</v>
      </c>
      <c r="AG6877">
        <v>-1.1154733849589999</v>
      </c>
      <c r="AH6877">
        <v>13.199350157852299</v>
      </c>
      <c r="AI6877">
        <v>94.783052272290902</v>
      </c>
      <c r="AJ6877">
        <v>98.062129702577593</v>
      </c>
      <c r="AK6877">
        <v>13.377694122738299</v>
      </c>
      <c r="AL6877">
        <v>77.962263099104902</v>
      </c>
      <c r="AM6877">
        <v>96.631532389472</v>
      </c>
      <c r="AN6877">
        <v>1.0000000665025801</v>
      </c>
    </row>
    <row r="6878" spans="1:40" x14ac:dyDescent="0.25">
      <c r="A6878" t="str">
        <f>"20190312172540842"</f>
        <v>20190312172540842</v>
      </c>
      <c r="B6878" t="str">
        <f>"1552382740836916"</f>
        <v>1552382740836916</v>
      </c>
      <c r="C6878" t="s">
        <v>40</v>
      </c>
      <c r="D6878">
        <v>3.7538610000000001</v>
      </c>
      <c r="E6878">
        <v>0.45736300000000002</v>
      </c>
      <c r="F6878" t="s">
        <v>43</v>
      </c>
      <c r="G6878">
        <v>-187.3355</v>
      </c>
      <c r="H6878" s="1">
        <v>-4.5903580000000002E-6</v>
      </c>
      <c r="I6878">
        <v>-30.768709999999999</v>
      </c>
      <c r="J6878">
        <v>-191.4212</v>
      </c>
      <c r="K6878">
        <v>1.1155949999999999</v>
      </c>
      <c r="L6878">
        <v>-43.764339999999997</v>
      </c>
      <c r="M6878">
        <v>0.43170770000000003</v>
      </c>
      <c r="N6878">
        <v>0</v>
      </c>
      <c r="O6878">
        <v>0.90189870000000005</v>
      </c>
      <c r="P6878">
        <v>0.32051059999999998</v>
      </c>
      <c r="Q6878">
        <v>0.19633059999999999</v>
      </c>
      <c r="R6878">
        <v>0.92667540000000004</v>
      </c>
      <c r="S6878">
        <v>0.93954470000000001</v>
      </c>
      <c r="T6878">
        <v>-0.25013469999999999</v>
      </c>
      <c r="U6878">
        <v>2.9656069999999999</v>
      </c>
      <c r="V6878">
        <v>-0.11348129999999999</v>
      </c>
      <c r="W6878">
        <v>0.20899980000000001</v>
      </c>
      <c r="X6878">
        <v>0.97130890000000003</v>
      </c>
      <c r="Y6878">
        <v>-0.13998279999999999</v>
      </c>
      <c r="Z6878">
        <v>-6.9876859999999999E-2</v>
      </c>
      <c r="AA6878">
        <v>0.98768520000000004</v>
      </c>
      <c r="AB6878">
        <v>27</v>
      </c>
      <c r="AC6878">
        <v>4.0857000000000001</v>
      </c>
      <c r="AD6878">
        <v>-1.115599590358</v>
      </c>
      <c r="AE6878">
        <v>12.99563</v>
      </c>
      <c r="AF6878">
        <v>-1.9127976056056499</v>
      </c>
      <c r="AG6878">
        <v>-1.115599590358</v>
      </c>
      <c r="AH6878">
        <v>13.396127852524501</v>
      </c>
      <c r="AI6878">
        <v>94.712897017574093</v>
      </c>
      <c r="AJ6878">
        <v>98.126183495347405</v>
      </c>
      <c r="AK6878">
        <v>13.5779084754318</v>
      </c>
      <c r="AL6878">
        <v>77.936254976736905</v>
      </c>
      <c r="AM6878">
        <v>96.663848463018098</v>
      </c>
      <c r="AN6878">
        <v>0.999999950534468</v>
      </c>
    </row>
    <row r="6879" spans="1:40" x14ac:dyDescent="0.25">
      <c r="A6879" t="str">
        <f>"20190312172540856"</f>
        <v>20190312172540856</v>
      </c>
      <c r="B6879" t="str">
        <f>"1552382740846676"</f>
        <v>1552382740846676</v>
      </c>
      <c r="C6879" t="s">
        <v>40</v>
      </c>
      <c r="D6879">
        <v>3.7796690000000002</v>
      </c>
      <c r="E6879">
        <v>0.45523360000000002</v>
      </c>
      <c r="F6879" t="s">
        <v>43</v>
      </c>
      <c r="G6879">
        <v>-188.28649999999999</v>
      </c>
      <c r="H6879" s="1">
        <v>-6.8887290000000004E-7</v>
      </c>
      <c r="I6879">
        <v>-29.667349999999999</v>
      </c>
      <c r="J6879">
        <v>-191.3501</v>
      </c>
      <c r="K6879">
        <v>1.11568</v>
      </c>
      <c r="L6879">
        <v>-43.60501</v>
      </c>
      <c r="M6879">
        <v>0.4277377</v>
      </c>
      <c r="N6879">
        <v>0</v>
      </c>
      <c r="O6879">
        <v>0.90378829999999999</v>
      </c>
      <c r="P6879">
        <v>0.31627139999999998</v>
      </c>
      <c r="Q6879">
        <v>0.1965481</v>
      </c>
      <c r="R6879">
        <v>0.92808469999999998</v>
      </c>
      <c r="S6879">
        <v>0.67904659999999994</v>
      </c>
      <c r="T6879">
        <v>-0.24166199999999999</v>
      </c>
      <c r="U6879">
        <v>3.0537109999999998</v>
      </c>
      <c r="V6879">
        <v>-0.1136746</v>
      </c>
      <c r="W6879">
        <v>0.20920030000000001</v>
      </c>
      <c r="X6879">
        <v>0.97124319999999997</v>
      </c>
      <c r="Y6879">
        <v>-0.2218859</v>
      </c>
      <c r="Z6879">
        <v>-6.5930450000000002E-2</v>
      </c>
      <c r="AA6879">
        <v>0.97284110000000001</v>
      </c>
      <c r="AB6879">
        <v>27</v>
      </c>
      <c r="AC6879">
        <v>3.0636000000000001</v>
      </c>
      <c r="AD6879">
        <v>-1.1156806888728901</v>
      </c>
      <c r="AE6879">
        <v>13.937659999999999</v>
      </c>
      <c r="AF6879">
        <v>-3.1737485126901901</v>
      </c>
      <c r="AG6879">
        <v>-1.1156806888728901</v>
      </c>
      <c r="AH6879">
        <v>13.824054583506101</v>
      </c>
      <c r="AI6879">
        <v>94.497590344480201</v>
      </c>
      <c r="AJ6879">
        <v>102.92999408814801</v>
      </c>
      <c r="AK6879">
        <v>14.227505338220199</v>
      </c>
      <c r="AL6879">
        <v>77.924508298426403</v>
      </c>
      <c r="AM6879">
        <v>96.675544543087298</v>
      </c>
      <c r="AN6879">
        <v>1.0000000168757399</v>
      </c>
    </row>
    <row r="6880" spans="1:40" x14ac:dyDescent="0.25">
      <c r="A6880" t="str">
        <f>"20190312172540888"</f>
        <v>20190312172540888</v>
      </c>
      <c r="B6880" t="str">
        <f>"1552382740876932"</f>
        <v>1552382740876932</v>
      </c>
      <c r="C6880" t="s">
        <v>40</v>
      </c>
      <c r="D6880">
        <v>3.7597580000000002</v>
      </c>
      <c r="E6880">
        <v>0.45283190000000001</v>
      </c>
      <c r="F6880" t="s">
        <v>43</v>
      </c>
      <c r="G6880">
        <v>-188.2997</v>
      </c>
      <c r="H6880" s="1">
        <v>-8.4049999999999898E-7</v>
      </c>
      <c r="I6880">
        <v>-29.21152</v>
      </c>
      <c r="J6880">
        <v>-191.20179999999999</v>
      </c>
      <c r="K6880">
        <v>1.1158459999999999</v>
      </c>
      <c r="L6880">
        <v>-43.266080000000002</v>
      </c>
      <c r="M6880">
        <v>0.41906860000000001</v>
      </c>
      <c r="N6880">
        <v>0</v>
      </c>
      <c r="O6880">
        <v>0.90784010000000004</v>
      </c>
      <c r="P6880">
        <v>0.30671789999999999</v>
      </c>
      <c r="Q6880">
        <v>0.19817699999999999</v>
      </c>
      <c r="R6880">
        <v>0.9309404</v>
      </c>
      <c r="S6880">
        <v>0.64884949999999997</v>
      </c>
      <c r="T6880">
        <v>-0.2373123</v>
      </c>
      <c r="U6880">
        <v>3.0615839999999999</v>
      </c>
      <c r="V6880">
        <v>-0.1143178</v>
      </c>
      <c r="W6880">
        <v>0.21078910000000001</v>
      </c>
      <c r="X6880">
        <v>0.97082409999999997</v>
      </c>
      <c r="Y6880">
        <v>-0.22223380000000001</v>
      </c>
      <c r="Z6880">
        <v>-6.5097409999999994E-2</v>
      </c>
      <c r="AA6880">
        <v>0.97281779999999995</v>
      </c>
      <c r="AB6880">
        <v>27</v>
      </c>
      <c r="AC6880">
        <v>2.9020999999999901</v>
      </c>
      <c r="AD6880">
        <v>-1.1158468404999999</v>
      </c>
      <c r="AE6880">
        <v>14.05456</v>
      </c>
      <c r="AF6880">
        <v>-3.2359570037601699</v>
      </c>
      <c r="AG6880">
        <v>-1.1158468404999999</v>
      </c>
      <c r="AH6880">
        <v>13.892933345845099</v>
      </c>
      <c r="AI6880">
        <v>94.472779987880102</v>
      </c>
      <c r="AJ6880">
        <v>103.111619346699</v>
      </c>
      <c r="AK6880">
        <v>14.3083936503625</v>
      </c>
      <c r="AL6880">
        <v>77.831400710895196</v>
      </c>
      <c r="AM6880">
        <v>96.7158442090618</v>
      </c>
      <c r="AN6880">
        <v>1.0000000186082201</v>
      </c>
    </row>
    <row r="6881" spans="1:40" x14ac:dyDescent="0.25">
      <c r="A6881" t="str">
        <f>"20190312172540909"</f>
        <v>20190312172540909</v>
      </c>
      <c r="B6881" t="str">
        <f>"1552382740897431"</f>
        <v>1552382740897431</v>
      </c>
      <c r="C6881" t="s">
        <v>40</v>
      </c>
      <c r="D6881">
        <v>3.797199</v>
      </c>
      <c r="E6881">
        <v>0.45276539999999998</v>
      </c>
      <c r="F6881" t="s">
        <v>43</v>
      </c>
      <c r="G6881">
        <v>-188.23990000000001</v>
      </c>
      <c r="H6881" s="1">
        <v>-1.2896699999999999E-6</v>
      </c>
      <c r="I6881">
        <v>-28.088719999999999</v>
      </c>
      <c r="J6881">
        <v>-191.1011</v>
      </c>
      <c r="K6881">
        <v>1.1159559999999999</v>
      </c>
      <c r="L6881">
        <v>-43.030459999999998</v>
      </c>
      <c r="M6881">
        <v>0.41284650000000001</v>
      </c>
      <c r="N6881">
        <v>0</v>
      </c>
      <c r="O6881">
        <v>0.91068640000000001</v>
      </c>
      <c r="P6881">
        <v>0.30014730000000001</v>
      </c>
      <c r="Q6881">
        <v>0.1985914</v>
      </c>
      <c r="R6881">
        <v>0.93299149999999997</v>
      </c>
      <c r="S6881">
        <v>0.59970089999999998</v>
      </c>
      <c r="T6881">
        <v>-0.22593269999999999</v>
      </c>
      <c r="U6881">
        <v>3.0730590000000002</v>
      </c>
      <c r="V6881">
        <v>-0.1145453</v>
      </c>
      <c r="W6881">
        <v>0.2111806</v>
      </c>
      <c r="X6881">
        <v>0.97071220000000003</v>
      </c>
      <c r="Y6881">
        <v>-0.2311888</v>
      </c>
      <c r="Z6881">
        <v>-6.2079250000000002E-2</v>
      </c>
      <c r="AA6881">
        <v>0.97092630000000002</v>
      </c>
      <c r="AB6881">
        <v>27</v>
      </c>
      <c r="AC6881">
        <v>2.86119999999999</v>
      </c>
      <c r="AD6881">
        <v>-1.1159572896700001</v>
      </c>
      <c r="AE6881">
        <v>14.9417399999999</v>
      </c>
      <c r="AF6881">
        <v>-3.54428845866072</v>
      </c>
      <c r="AG6881">
        <v>-1.1159572896700001</v>
      </c>
      <c r="AH6881">
        <v>14.7108571390382</v>
      </c>
      <c r="AI6881">
        <v>94.217879468505501</v>
      </c>
      <c r="AJ6881">
        <v>103.54611171745201</v>
      </c>
      <c r="AK6881">
        <v>15.1728922462316</v>
      </c>
      <c r="AL6881">
        <v>77.808452900902097</v>
      </c>
      <c r="AM6881">
        <v>96.729855333906102</v>
      </c>
      <c r="AN6881">
        <v>1.0000000233986399</v>
      </c>
    </row>
    <row r="6882" spans="1:40" x14ac:dyDescent="0.25">
      <c r="A6882" t="str">
        <f>"20190312172540932"</f>
        <v>20190312172540932</v>
      </c>
      <c r="B6882" t="str">
        <f>"1552382740926708"</f>
        <v>1552382740926708</v>
      </c>
      <c r="C6882" t="s">
        <v>40</v>
      </c>
      <c r="D6882">
        <v>3.7773349999999999</v>
      </c>
      <c r="E6882">
        <v>0.45328649999999998</v>
      </c>
      <c r="F6882" t="s">
        <v>43</v>
      </c>
      <c r="G6882">
        <v>-188.2518</v>
      </c>
      <c r="H6882" s="1">
        <v>-1.388243E-6</v>
      </c>
      <c r="I6882">
        <v>-27.854040000000001</v>
      </c>
      <c r="J6882">
        <v>-190.9924</v>
      </c>
      <c r="K6882">
        <v>1.11607099999999</v>
      </c>
      <c r="L6882">
        <v>-42.770389999999999</v>
      </c>
      <c r="M6882">
        <v>0.40580949999999999</v>
      </c>
      <c r="N6882">
        <v>0</v>
      </c>
      <c r="O6882">
        <v>0.91384359999999998</v>
      </c>
      <c r="P6882">
        <v>0.29262690000000002</v>
      </c>
      <c r="Q6882">
        <v>0.19867499999999999</v>
      </c>
      <c r="R6882">
        <v>0.93535970000000002</v>
      </c>
      <c r="S6882">
        <v>0.57783509999999905</v>
      </c>
      <c r="T6882">
        <v>-0.22631479999999901</v>
      </c>
      <c r="U6882">
        <v>3.0777589999999999</v>
      </c>
      <c r="V6882">
        <v>-0.1149285</v>
      </c>
      <c r="W6882">
        <v>0.21124080000000001</v>
      </c>
      <c r="X6882">
        <v>0.97065380000000001</v>
      </c>
      <c r="Y6882">
        <v>-0.2306204</v>
      </c>
      <c r="Z6882">
        <v>-6.2469110000000001E-2</v>
      </c>
      <c r="AA6882">
        <v>0.97103649999999997</v>
      </c>
      <c r="AB6882">
        <v>27</v>
      </c>
      <c r="AC6882">
        <v>2.7406000000000001</v>
      </c>
      <c r="AD6882">
        <v>-1.1160723882429899</v>
      </c>
      <c r="AE6882">
        <v>14.9163499999999</v>
      </c>
      <c r="AF6882">
        <v>-3.5299701568259199</v>
      </c>
      <c r="AG6882">
        <v>-1.1160723882429899</v>
      </c>
      <c r="AH6882">
        <v>14.6654885060867</v>
      </c>
      <c r="AI6882">
        <v>94.231536895150398</v>
      </c>
      <c r="AJ6882">
        <v>103.53360221393299</v>
      </c>
      <c r="AK6882">
        <v>15.1255697415351</v>
      </c>
      <c r="AL6882">
        <v>77.8049240148748</v>
      </c>
      <c r="AM6882">
        <v>96.752564366919501</v>
      </c>
      <c r="AN6882">
        <v>1.00000001757566</v>
      </c>
    </row>
    <row r="6883" spans="1:40" x14ac:dyDescent="0.25">
      <c r="A6883" t="str">
        <f>"20190312172540955"</f>
        <v>20190312172540955</v>
      </c>
      <c r="B6883" t="str">
        <f>"1552382740947204"</f>
        <v>1552382740947204</v>
      </c>
      <c r="C6883" t="s">
        <v>40</v>
      </c>
      <c r="D6883">
        <v>3.7646950000000001</v>
      </c>
      <c r="E6883">
        <v>0.4538894</v>
      </c>
      <c r="F6883" t="s">
        <v>43</v>
      </c>
      <c r="G6883">
        <v>-188.19460000000001</v>
      </c>
      <c r="H6883" s="1">
        <v>-1.63322E-6</v>
      </c>
      <c r="I6883">
        <v>-27.306650000000001</v>
      </c>
      <c r="J6883">
        <v>-190.88890000000001</v>
      </c>
      <c r="K6883">
        <v>1.1161920000000001</v>
      </c>
      <c r="L6883">
        <v>-42.516750000000002</v>
      </c>
      <c r="M6883">
        <v>0.39877859999999998</v>
      </c>
      <c r="N6883">
        <v>0</v>
      </c>
      <c r="O6883">
        <v>0.91693329999999995</v>
      </c>
      <c r="P6883">
        <v>0.28509980000000001</v>
      </c>
      <c r="Q6883">
        <v>0.19858999999999999</v>
      </c>
      <c r="R6883">
        <v>0.93769939999999996</v>
      </c>
      <c r="S6883">
        <v>0.55729680000000004</v>
      </c>
      <c r="T6883">
        <v>-0.22230910000000001</v>
      </c>
      <c r="U6883">
        <v>3.0802</v>
      </c>
      <c r="V6883">
        <v>-0.11534220000000001</v>
      </c>
      <c r="W6883">
        <v>0.2111326</v>
      </c>
      <c r="X6883">
        <v>0.9706283</v>
      </c>
      <c r="Y6883">
        <v>-0.22953779999999999</v>
      </c>
      <c r="Z6883">
        <v>-6.1687199999999998E-2</v>
      </c>
      <c r="AA6883">
        <v>0.97134290000000001</v>
      </c>
      <c r="AB6883">
        <v>27</v>
      </c>
      <c r="AC6883">
        <v>2.6942999999999899</v>
      </c>
      <c r="AD6883">
        <v>-1.11619363322</v>
      </c>
      <c r="AE6883">
        <v>15.210100000000001</v>
      </c>
      <c r="AF6883">
        <v>-3.5766689885384899</v>
      </c>
      <c r="AG6883">
        <v>-1.11619363322</v>
      </c>
      <c r="AH6883">
        <v>14.944612350093101</v>
      </c>
      <c r="AI6883">
        <v>94.154519920899503</v>
      </c>
      <c r="AJ6883">
        <v>103.459339362996</v>
      </c>
      <c r="AK6883">
        <v>15.407137552932101</v>
      </c>
      <c r="AL6883">
        <v>77.811266835564794</v>
      </c>
      <c r="AM6883">
        <v>96.776821823013407</v>
      </c>
      <c r="AN6883">
        <v>1.0000000473222399</v>
      </c>
    </row>
    <row r="6884" spans="1:40" x14ac:dyDescent="0.25">
      <c r="A6884" t="str">
        <f>"20190312172540978"</f>
        <v>20190312172540978</v>
      </c>
      <c r="B6884" t="str">
        <f>"1552382740967264"</f>
        <v>1552382740967264</v>
      </c>
      <c r="C6884" t="s">
        <v>40</v>
      </c>
      <c r="D6884">
        <v>3.8776700000000002</v>
      </c>
      <c r="E6884">
        <v>0.45426240000000001</v>
      </c>
      <c r="F6884" t="s">
        <v>43</v>
      </c>
      <c r="G6884">
        <v>-188.21369999999999</v>
      </c>
      <c r="H6884" s="1">
        <v>-1.6846609999999999E-6</v>
      </c>
      <c r="I6884">
        <v>-27.178850000000001</v>
      </c>
      <c r="J6884">
        <v>-190.7929</v>
      </c>
      <c r="K6884">
        <v>1.1163069999999999</v>
      </c>
      <c r="L6884">
        <v>-42.276150000000001</v>
      </c>
      <c r="M6884">
        <v>0.39195469999999999</v>
      </c>
      <c r="N6884">
        <v>0</v>
      </c>
      <c r="O6884">
        <v>0.91987070000000004</v>
      </c>
      <c r="P6884">
        <v>0.27764260000000002</v>
      </c>
      <c r="Q6884">
        <v>0.19805529999999999</v>
      </c>
      <c r="R6884">
        <v>0.94004719999999997</v>
      </c>
      <c r="S6884">
        <v>0.53778079999999995</v>
      </c>
      <c r="T6884">
        <v>-0.22438350000000001</v>
      </c>
      <c r="U6884">
        <v>3.083313</v>
      </c>
      <c r="V6884">
        <v>-0.11593729999999999</v>
      </c>
      <c r="W6884">
        <v>0.21057380000000001</v>
      </c>
      <c r="X6884">
        <v>0.97067870000000001</v>
      </c>
      <c r="Y6884">
        <v>-0.22844639999999999</v>
      </c>
      <c r="Z6884">
        <v>-6.2549389999999996E-2</v>
      </c>
      <c r="AA6884">
        <v>0.97154499999999999</v>
      </c>
      <c r="AB6884">
        <v>27</v>
      </c>
      <c r="AC6884">
        <v>2.5792000000000099</v>
      </c>
      <c r="AD6884">
        <v>-1.116308684661</v>
      </c>
      <c r="AE6884">
        <v>15.097300000000001</v>
      </c>
      <c r="AF6884">
        <v>-3.52656451470799</v>
      </c>
      <c r="AG6884">
        <v>-1.116308684661</v>
      </c>
      <c r="AH6884">
        <v>14.8213195147778</v>
      </c>
      <c r="AI6884">
        <v>94.190697469276003</v>
      </c>
      <c r="AJ6884">
        <v>103.38400605411501</v>
      </c>
      <c r="AK6884">
        <v>15.2759390714607</v>
      </c>
      <c r="AL6884">
        <v>77.844019014165994</v>
      </c>
      <c r="AM6884">
        <v>96.811108339620702</v>
      </c>
      <c r="AN6884">
        <v>0.99999996070570896</v>
      </c>
    </row>
    <row r="6885" spans="1:40" x14ac:dyDescent="0.25">
      <c r="A6885" t="str">
        <f>"20190312172541000"</f>
        <v>20190312172541000</v>
      </c>
      <c r="B6885" t="str">
        <f>"1552382740997520"</f>
        <v>1552382740997520</v>
      </c>
      <c r="C6885" t="s">
        <v>40</v>
      </c>
      <c r="D6885">
        <v>4.104349</v>
      </c>
      <c r="E6885">
        <v>0.45498339999999998</v>
      </c>
      <c r="F6885" t="s">
        <v>43</v>
      </c>
      <c r="G6885">
        <v>-188.23830000000001</v>
      </c>
      <c r="H6885" s="1">
        <v>-1.752809E-6</v>
      </c>
      <c r="I6885">
        <v>-27.009799999999998</v>
      </c>
      <c r="J6885">
        <v>-190.69499999999999</v>
      </c>
      <c r="K6885">
        <v>1.1164179999999999</v>
      </c>
      <c r="L6885">
        <v>-42.0246</v>
      </c>
      <c r="M6885">
        <v>0.38466220000000001</v>
      </c>
      <c r="N6885">
        <v>0</v>
      </c>
      <c r="O6885">
        <v>0.92294370000000003</v>
      </c>
      <c r="P6885">
        <v>0.27028170000000001</v>
      </c>
      <c r="Q6885">
        <v>0.19822770000000001</v>
      </c>
      <c r="R6885">
        <v>0.94215369999999998</v>
      </c>
      <c r="S6885">
        <v>0.51644899999999905</v>
      </c>
      <c r="T6885">
        <v>-0.22567950000000001</v>
      </c>
      <c r="U6885">
        <v>3.0863339999999999</v>
      </c>
      <c r="V6885">
        <v>-0.1158945</v>
      </c>
      <c r="W6885">
        <v>0.2107299</v>
      </c>
      <c r="X6885">
        <v>0.97065000000000001</v>
      </c>
      <c r="Y6885">
        <v>-0.22743279999999999</v>
      </c>
      <c r="Z6885">
        <v>-6.3217259999999997E-2</v>
      </c>
      <c r="AA6885">
        <v>0.97173960000000004</v>
      </c>
      <c r="AB6885">
        <v>27</v>
      </c>
      <c r="AC6885">
        <v>2.4566999999999801</v>
      </c>
      <c r="AD6885">
        <v>-1.1164197528090001</v>
      </c>
      <c r="AE6885">
        <v>15.014799999999999</v>
      </c>
      <c r="AF6885">
        <v>-3.4898077549516899</v>
      </c>
      <c r="AG6885">
        <v>-1.1164197528090001</v>
      </c>
      <c r="AH6885">
        <v>14.725081987051301</v>
      </c>
      <c r="AI6885">
        <v>94.2192952035616</v>
      </c>
      <c r="AJ6885">
        <v>103.33296202910699</v>
      </c>
      <c r="AK6885">
        <v>15.1740960441262</v>
      </c>
      <c r="AL6885">
        <v>77.834870629909105</v>
      </c>
      <c r="AM6885">
        <v>96.808816951109094</v>
      </c>
      <c r="AN6885">
        <v>1.0000000241921201</v>
      </c>
    </row>
    <row r="6886" spans="1:40" x14ac:dyDescent="0.25">
      <c r="A6886" t="str">
        <f>"20190312172541025"</f>
        <v>20190312172541025</v>
      </c>
      <c r="B6886" t="str">
        <f>"1552382741017039"</f>
        <v>1552382741017039</v>
      </c>
      <c r="C6886" t="s">
        <v>40</v>
      </c>
      <c r="D6886">
        <v>4.0654130000000004</v>
      </c>
      <c r="E6886">
        <v>0.45501799999999998</v>
      </c>
      <c r="F6886" t="s">
        <v>43</v>
      </c>
      <c r="G6886">
        <v>-188.2141</v>
      </c>
      <c r="H6886" s="1">
        <v>-1.922897E-6</v>
      </c>
      <c r="I6886">
        <v>-26.623339999999999</v>
      </c>
      <c r="J6886">
        <v>-190.5917</v>
      </c>
      <c r="K6886">
        <v>1.116536</v>
      </c>
      <c r="L6886">
        <v>-41.75177</v>
      </c>
      <c r="M6886">
        <v>0.37656450000000002</v>
      </c>
      <c r="N6886">
        <v>0</v>
      </c>
      <c r="O6886">
        <v>0.92627689999999996</v>
      </c>
      <c r="P6886">
        <v>0.2621481</v>
      </c>
      <c r="Q6886">
        <v>0.19846369999999999</v>
      </c>
      <c r="R6886">
        <v>0.94439960000000001</v>
      </c>
      <c r="S6886">
        <v>0.49751279999999998</v>
      </c>
      <c r="T6886">
        <v>-0.22388649999999999</v>
      </c>
      <c r="U6886">
        <v>3.088562</v>
      </c>
      <c r="V6886">
        <v>-0.1158087</v>
      </c>
      <c r="W6886">
        <v>0.21095130000000001</v>
      </c>
      <c r="X6886">
        <v>0.97061209999999998</v>
      </c>
      <c r="Y6886">
        <v>-0.22481660000000001</v>
      </c>
      <c r="Z6886">
        <v>-6.3075569999999997E-2</v>
      </c>
      <c r="AA6886">
        <v>0.97235749999999999</v>
      </c>
      <c r="AB6886">
        <v>27</v>
      </c>
      <c r="AC6886">
        <v>2.3776000000000002</v>
      </c>
      <c r="AD6886">
        <v>-1.116537922897</v>
      </c>
      <c r="AE6886">
        <v>15.1284299999999</v>
      </c>
      <c r="AF6886">
        <v>-3.4764015937666799</v>
      </c>
      <c r="AG6886">
        <v>-1.116537922897</v>
      </c>
      <c r="AH6886">
        <v>14.831164310482301</v>
      </c>
      <c r="AI6886">
        <v>94.192089209279501</v>
      </c>
      <c r="AJ6886">
        <v>103.191883112452</v>
      </c>
      <c r="AK6886">
        <v>15.2740125631392</v>
      </c>
      <c r="AL6886">
        <v>77.821893047909299</v>
      </c>
      <c r="AM6886">
        <v>96.804086643222206</v>
      </c>
      <c r="AN6886">
        <v>0.99999997731689405</v>
      </c>
    </row>
    <row r="6887" spans="1:40" x14ac:dyDescent="0.25">
      <c r="A6887" t="str">
        <f>"20190312172541048"</f>
        <v>20190312172541048</v>
      </c>
      <c r="B6887" t="str">
        <f>"1552382741037537"</f>
        <v>1552382741037537</v>
      </c>
      <c r="C6887" t="s">
        <v>40</v>
      </c>
      <c r="D6887">
        <v>3.828751</v>
      </c>
      <c r="E6887">
        <v>0.4556365</v>
      </c>
      <c r="F6887" t="s">
        <v>43</v>
      </c>
      <c r="G6887">
        <v>-188.28469999999999</v>
      </c>
      <c r="H6887" s="1">
        <v>-1.9192319999999998E-6</v>
      </c>
      <c r="I6887">
        <v>-26.602699999999999</v>
      </c>
      <c r="J6887">
        <v>-190.49719999999999</v>
      </c>
      <c r="K6887">
        <v>1.116638</v>
      </c>
      <c r="L6887">
        <v>-41.494840000000003</v>
      </c>
      <c r="M6887">
        <v>0.36878230000000001</v>
      </c>
      <c r="N6887">
        <v>0</v>
      </c>
      <c r="O6887">
        <v>0.92940239999999996</v>
      </c>
      <c r="P6887">
        <v>0.25409009999999999</v>
      </c>
      <c r="Q6887">
        <v>0.1982314</v>
      </c>
      <c r="R6887">
        <v>0.94664809999999999</v>
      </c>
      <c r="S6887">
        <v>0.4711456</v>
      </c>
      <c r="T6887">
        <v>-0.22801979999999999</v>
      </c>
      <c r="U6887">
        <v>3.09375</v>
      </c>
      <c r="V6887">
        <v>-0.1160071</v>
      </c>
      <c r="W6887">
        <v>0.21070469999999999</v>
      </c>
      <c r="X6887">
        <v>0.970642</v>
      </c>
      <c r="Y6887">
        <v>-0.2250017</v>
      </c>
      <c r="Z6887">
        <v>-6.4501539999999996E-2</v>
      </c>
      <c r="AA6887">
        <v>0.97222109999999995</v>
      </c>
      <c r="AB6887">
        <v>27</v>
      </c>
      <c r="AC6887">
        <v>2.2124999999999999</v>
      </c>
      <c r="AD6887">
        <v>-1.116639919232</v>
      </c>
      <c r="AE6887">
        <v>14.892139999999999</v>
      </c>
      <c r="AF6887">
        <v>-3.4172193610821902</v>
      </c>
      <c r="AG6887">
        <v>-1.116639919232</v>
      </c>
      <c r="AH6887">
        <v>14.5780746109977</v>
      </c>
      <c r="AI6887">
        <v>94.264980740557704</v>
      </c>
      <c r="AJ6887">
        <v>103.19241063417</v>
      </c>
      <c r="AK6887">
        <v>15.0148104295323</v>
      </c>
      <c r="AL6887">
        <v>77.836347410001096</v>
      </c>
      <c r="AM6887">
        <v>96.815425664820907</v>
      </c>
      <c r="AN6887">
        <v>1.00000000500825</v>
      </c>
    </row>
    <row r="6888" spans="1:40" x14ac:dyDescent="0.25">
      <c r="A6888" t="str">
        <f>"20190312172541068"</f>
        <v>20190312172541068</v>
      </c>
      <c r="B6888" t="str">
        <f>"1552382741057062"</f>
        <v>1552382741057062</v>
      </c>
      <c r="C6888" t="s">
        <v>40</v>
      </c>
      <c r="D6888">
        <v>3.8250929999999999</v>
      </c>
      <c r="E6888">
        <v>0.456312</v>
      </c>
      <c r="F6888" t="s">
        <v>43</v>
      </c>
      <c r="G6888">
        <v>-188.3151</v>
      </c>
      <c r="H6888" s="1">
        <v>-1.9764479999999999E-6</v>
      </c>
      <c r="I6888">
        <v>-26.45674</v>
      </c>
      <c r="J6888">
        <v>-190.41249999999999</v>
      </c>
      <c r="K6888">
        <v>1.116711</v>
      </c>
      <c r="L6888">
        <v>-41.258540000000004</v>
      </c>
      <c r="M6888">
        <v>0.36151749999999999</v>
      </c>
      <c r="N6888">
        <v>0</v>
      </c>
      <c r="O6888">
        <v>0.93225199999999997</v>
      </c>
      <c r="P6888">
        <v>0.246782</v>
      </c>
      <c r="Q6888">
        <v>0.19797110000000001</v>
      </c>
      <c r="R6888">
        <v>0.94863379999999997</v>
      </c>
      <c r="S6888">
        <v>0.44932559999999999</v>
      </c>
      <c r="T6888">
        <v>-0.22993649999999999</v>
      </c>
      <c r="U6888">
        <v>3.096619</v>
      </c>
      <c r="V6888">
        <v>-0.115972699999999</v>
      </c>
      <c r="W6888">
        <v>0.2104386</v>
      </c>
      <c r="X6888">
        <v>0.97070380000000001</v>
      </c>
      <c r="Y6888">
        <v>-0.22424079999999999</v>
      </c>
      <c r="Z6888">
        <v>-6.5328310000000001E-2</v>
      </c>
      <c r="AA6888">
        <v>0.97234169999999998</v>
      </c>
      <c r="AB6888">
        <v>27</v>
      </c>
      <c r="AC6888">
        <v>2.0973999999999902</v>
      </c>
      <c r="AD6888">
        <v>-1.1167129764479999</v>
      </c>
      <c r="AE6888">
        <v>14.8018</v>
      </c>
      <c r="AF6888">
        <v>-3.37731838110119</v>
      </c>
      <c r="AG6888">
        <v>-1.1167129764479999</v>
      </c>
      <c r="AH6888">
        <v>14.478007994884999</v>
      </c>
      <c r="AI6888">
        <v>94.295706331422494</v>
      </c>
      <c r="AJ6888">
        <v>103.130706456572</v>
      </c>
      <c r="AK6888">
        <v>14.908589565047601</v>
      </c>
      <c r="AL6888">
        <v>77.851943067046705</v>
      </c>
      <c r="AM6888">
        <v>96.812993964015405</v>
      </c>
      <c r="AN6888">
        <v>0.99999996942484404</v>
      </c>
    </row>
    <row r="6889" spans="1:40" x14ac:dyDescent="0.25">
      <c r="A6889" t="str">
        <f>"20190312172541091"</f>
        <v>20190312172541091</v>
      </c>
      <c r="B6889" t="str">
        <f>"1552382741087319"</f>
        <v>1552382741087319</v>
      </c>
      <c r="C6889" t="s">
        <v>40</v>
      </c>
      <c r="D6889">
        <v>3.836627</v>
      </c>
      <c r="E6889">
        <v>0.46621210000000002</v>
      </c>
      <c r="F6889" t="s">
        <v>43</v>
      </c>
      <c r="G6889">
        <v>-188.33510000000001</v>
      </c>
      <c r="H6889" s="1">
        <v>-2.0285020000000002E-6</v>
      </c>
      <c r="I6889">
        <v>-26.32713</v>
      </c>
      <c r="J6889">
        <v>-190.32650000000001</v>
      </c>
      <c r="K6889">
        <v>1.116779</v>
      </c>
      <c r="L6889">
        <v>-41.011989999999997</v>
      </c>
      <c r="M6889">
        <v>0.35383490000000001</v>
      </c>
      <c r="N6889">
        <v>0</v>
      </c>
      <c r="O6889">
        <v>0.93519470000000005</v>
      </c>
      <c r="P6889">
        <v>0.2387619</v>
      </c>
      <c r="Q6889">
        <v>0.19795199999999999</v>
      </c>
      <c r="R6889">
        <v>0.95068810000000004</v>
      </c>
      <c r="S6889">
        <v>0.43110660000000001</v>
      </c>
      <c r="T6889">
        <v>-0.2317475</v>
      </c>
      <c r="U6889">
        <v>3.0986630000000002</v>
      </c>
      <c r="V6889">
        <v>-0.1162197</v>
      </c>
      <c r="W6889">
        <v>0.21040970000000001</v>
      </c>
      <c r="X6889">
        <v>0.97068049999999995</v>
      </c>
      <c r="Y6889">
        <v>-0.2219238</v>
      </c>
      <c r="Z6889">
        <v>-6.616445E-2</v>
      </c>
      <c r="AA6889">
        <v>0.97281660000000003</v>
      </c>
      <c r="AB6889">
        <v>27</v>
      </c>
      <c r="AC6889">
        <v>1.9913999999999901</v>
      </c>
      <c r="AD6889">
        <v>-1.1167810285019999</v>
      </c>
      <c r="AE6889">
        <v>14.68486</v>
      </c>
      <c r="AF6889">
        <v>-3.31519478289878</v>
      </c>
      <c r="AG6889">
        <v>-1.1167810285019999</v>
      </c>
      <c r="AH6889">
        <v>14.3578187859874</v>
      </c>
      <c r="AI6889">
        <v>94.334049080137603</v>
      </c>
      <c r="AJ6889">
        <v>103.001633385494</v>
      </c>
      <c r="AK6889">
        <v>14.777844112232099</v>
      </c>
      <c r="AL6889">
        <v>77.853636559364205</v>
      </c>
      <c r="AM6889">
        <v>96.827529869522493</v>
      </c>
      <c r="AN6889">
        <v>0.99999994680121296</v>
      </c>
    </row>
    <row r="6890" spans="1:40" x14ac:dyDescent="0.25">
      <c r="A6890" t="str">
        <f>"20190312172541111"</f>
        <v>20190312172541111</v>
      </c>
      <c r="B6890" t="str">
        <f>"1552382741106838"</f>
        <v>1552382741106838</v>
      </c>
      <c r="C6890" t="s">
        <v>40</v>
      </c>
      <c r="D6890">
        <v>3.858206</v>
      </c>
      <c r="E6890">
        <v>0.46735260000000001</v>
      </c>
      <c r="F6890" t="s">
        <v>43</v>
      </c>
      <c r="G6890">
        <v>-187.62219999999999</v>
      </c>
      <c r="H6890" s="1">
        <v>-3.2771150000000001E-6</v>
      </c>
      <c r="I6890">
        <v>-23.711349999999999</v>
      </c>
      <c r="J6890">
        <v>-190.24600000000001</v>
      </c>
      <c r="K6890">
        <v>1.1168340000000001</v>
      </c>
      <c r="L6890">
        <v>-40.774929999999998</v>
      </c>
      <c r="M6890">
        <v>0.34635389999999999</v>
      </c>
      <c r="N6890">
        <v>0</v>
      </c>
      <c r="O6890">
        <v>0.93799100000000002</v>
      </c>
      <c r="P6890">
        <v>0.2309136</v>
      </c>
      <c r="Q6890">
        <v>0.1977111</v>
      </c>
      <c r="R6890">
        <v>0.95267480000000004</v>
      </c>
      <c r="S6890">
        <v>0.48083500000000001</v>
      </c>
      <c r="T6890">
        <v>-0.19857340000000001</v>
      </c>
      <c r="U6890">
        <v>3.0762019999999999</v>
      </c>
      <c r="V6890">
        <v>-0.1165144</v>
      </c>
      <c r="W6890">
        <v>0.21016029999999999</v>
      </c>
      <c r="X6890">
        <v>0.97069930000000004</v>
      </c>
      <c r="Y6890">
        <v>-0.19762830000000001</v>
      </c>
      <c r="Z6890">
        <v>-5.7512349999999997E-2</v>
      </c>
      <c r="AA6890">
        <v>0.97858849999999997</v>
      </c>
      <c r="AB6890">
        <v>27</v>
      </c>
      <c r="AC6890">
        <v>2.6237999999999801</v>
      </c>
      <c r="AD6890">
        <v>-1.1168372771149999</v>
      </c>
      <c r="AE6890">
        <v>17.063579999999899</v>
      </c>
      <c r="AF6890">
        <v>-3.4349270917003101</v>
      </c>
      <c r="AG6890">
        <v>-1.1168372771149999</v>
      </c>
      <c r="AH6890">
        <v>16.845542045048099</v>
      </c>
      <c r="AI6890">
        <v>93.716822436105105</v>
      </c>
      <c r="AJ6890">
        <v>101.525024965593</v>
      </c>
      <c r="AK6890">
        <v>17.228416538391901</v>
      </c>
      <c r="AL6890">
        <v>77.868254146104604</v>
      </c>
      <c r="AM6890">
        <v>96.844547189612896</v>
      </c>
      <c r="AN6890">
        <v>1.0000000440619601</v>
      </c>
    </row>
    <row r="6891" spans="1:40" x14ac:dyDescent="0.25">
      <c r="A6891" t="str">
        <f>"20190312172541135"</f>
        <v>20190312172541135</v>
      </c>
      <c r="B6891" t="str">
        <f>"1552382741127334"</f>
        <v>1552382741127334</v>
      </c>
      <c r="C6891" t="s">
        <v>40</v>
      </c>
      <c r="D6891">
        <v>3.8991159999999998</v>
      </c>
      <c r="E6891">
        <v>0.46805740000000001</v>
      </c>
      <c r="F6891" t="s">
        <v>43</v>
      </c>
      <c r="G6891">
        <v>-187.69669999999999</v>
      </c>
      <c r="H6891" s="1">
        <v>-3.2090850000000001E-6</v>
      </c>
      <c r="I6891">
        <v>-23.83915</v>
      </c>
      <c r="J6891">
        <v>-190.15960000000001</v>
      </c>
      <c r="K6891">
        <v>1.116881</v>
      </c>
      <c r="L6891">
        <v>-40.512909999999998</v>
      </c>
      <c r="M6891">
        <v>0.33798790000000001</v>
      </c>
      <c r="N6891">
        <v>0</v>
      </c>
      <c r="O6891">
        <v>0.94103769999999998</v>
      </c>
      <c r="P6891">
        <v>0.22263630000000001</v>
      </c>
      <c r="Q6891">
        <v>0.19728299999999999</v>
      </c>
      <c r="R6891">
        <v>0.95473160000000001</v>
      </c>
      <c r="S6891">
        <v>0.46345520000000001</v>
      </c>
      <c r="T6891">
        <v>-0.20303450000000001</v>
      </c>
      <c r="U6891">
        <v>3.078827</v>
      </c>
      <c r="V6891">
        <v>-0.1163476</v>
      </c>
      <c r="W6891">
        <v>0.2097328</v>
      </c>
      <c r="X6891">
        <v>0.97081170000000006</v>
      </c>
      <c r="Y6891">
        <v>-0.1944362</v>
      </c>
      <c r="Z6891">
        <v>-5.9088540000000002E-2</v>
      </c>
      <c r="AA6891">
        <v>0.97913380000000005</v>
      </c>
      <c r="AB6891">
        <v>27</v>
      </c>
      <c r="AC6891">
        <v>2.4629000000000101</v>
      </c>
      <c r="AD6891">
        <v>-1.116884209085</v>
      </c>
      <c r="AE6891">
        <v>16.673759999999898</v>
      </c>
      <c r="AF6891">
        <v>-3.3036925857844399</v>
      </c>
      <c r="AG6891">
        <v>-1.116884209085</v>
      </c>
      <c r="AH6891">
        <v>16.452575504766401</v>
      </c>
      <c r="AI6891">
        <v>93.807791476017798</v>
      </c>
      <c r="AJ6891">
        <v>101.354050995729</v>
      </c>
      <c r="AK6891">
        <v>16.818116891552101</v>
      </c>
      <c r="AL6891">
        <v>77.8933056982208</v>
      </c>
      <c r="AM6891">
        <v>96.834057563092898</v>
      </c>
      <c r="AN6891">
        <v>0.99999998413924496</v>
      </c>
    </row>
    <row r="6892" spans="1:40" x14ac:dyDescent="0.25">
      <c r="A6892" t="str">
        <f>"20190312172541157"</f>
        <v>20190312172541157</v>
      </c>
      <c r="B6892" t="str">
        <f>"1552382741146857"</f>
        <v>1552382741146857</v>
      </c>
      <c r="C6892" t="s">
        <v>40</v>
      </c>
      <c r="D6892">
        <v>3.8329900000000001</v>
      </c>
      <c r="E6892">
        <v>0.46855740000000001</v>
      </c>
      <c r="F6892" t="s">
        <v>43</v>
      </c>
      <c r="G6892">
        <v>-187.8569</v>
      </c>
      <c r="H6892" s="1">
        <v>-2.9184089999999999E-6</v>
      </c>
      <c r="I6892">
        <v>-24.450489999999999</v>
      </c>
      <c r="J6892">
        <v>-190.0789</v>
      </c>
      <c r="K6892">
        <v>1.116927</v>
      </c>
      <c r="L6892">
        <v>-40.260680000000001</v>
      </c>
      <c r="M6892">
        <v>0.32984429999999998</v>
      </c>
      <c r="N6892">
        <v>0</v>
      </c>
      <c r="O6892">
        <v>0.9439227</v>
      </c>
      <c r="P6892">
        <v>0.21450279999999999</v>
      </c>
      <c r="Q6892">
        <v>0.19740659999999999</v>
      </c>
      <c r="R6892">
        <v>0.95656629999999998</v>
      </c>
      <c r="S6892">
        <v>0.44204710000000003</v>
      </c>
      <c r="T6892">
        <v>-0.2144057</v>
      </c>
      <c r="U6892">
        <v>3.083466</v>
      </c>
      <c r="V6892">
        <v>-0.11624080000000001</v>
      </c>
      <c r="W6892">
        <v>0.2098544</v>
      </c>
      <c r="X6892">
        <v>0.97079819999999994</v>
      </c>
      <c r="Y6892">
        <v>-0.19286239999999999</v>
      </c>
      <c r="Z6892">
        <v>-6.2624899999999997E-2</v>
      </c>
      <c r="AA6892">
        <v>0.97922529999999997</v>
      </c>
      <c r="AB6892">
        <v>27</v>
      </c>
      <c r="AC6892">
        <v>2.222</v>
      </c>
      <c r="AD6892">
        <v>-1.116929918409</v>
      </c>
      <c r="AE6892">
        <v>15.81019</v>
      </c>
      <c r="AF6892">
        <v>-3.1026513304256498</v>
      </c>
      <c r="AG6892">
        <v>-1.116929918409</v>
      </c>
      <c r="AH6892">
        <v>15.5819151565381</v>
      </c>
      <c r="AI6892">
        <v>94.021337912655795</v>
      </c>
      <c r="AJ6892">
        <v>101.26137385850301</v>
      </c>
      <c r="AK6892">
        <v>15.927022875176</v>
      </c>
      <c r="AL6892">
        <v>77.886179766057296</v>
      </c>
      <c r="AM6892">
        <v>96.827937616946699</v>
      </c>
      <c r="AN6892">
        <v>0.99999996895361898</v>
      </c>
    </row>
    <row r="6893" spans="1:40" x14ac:dyDescent="0.25">
      <c r="A6893" t="str">
        <f>"20190312172541178"</f>
        <v>20190312172541178</v>
      </c>
      <c r="B6893" t="str">
        <f>"1552382741167015"</f>
        <v>1552382741167015</v>
      </c>
      <c r="C6893" t="s">
        <v>40</v>
      </c>
      <c r="D6893">
        <v>3.8370000000000002</v>
      </c>
      <c r="E6893">
        <v>0.46948469999999998</v>
      </c>
      <c r="F6893" t="s">
        <v>43</v>
      </c>
      <c r="G6893">
        <v>-187.94290000000001</v>
      </c>
      <c r="H6893" s="1">
        <v>-2.86248E-6</v>
      </c>
      <c r="I6893">
        <v>-24.545280000000002</v>
      </c>
      <c r="J6893">
        <v>-190.0069</v>
      </c>
      <c r="K6893">
        <v>1.116976</v>
      </c>
      <c r="L6893">
        <v>-40.028500000000001</v>
      </c>
      <c r="M6893">
        <v>0.32227159999999999</v>
      </c>
      <c r="N6893">
        <v>0</v>
      </c>
      <c r="O6893">
        <v>0.94653480000000001</v>
      </c>
      <c r="P6893">
        <v>0.20729710000000001</v>
      </c>
      <c r="Q6893">
        <v>0.1975787</v>
      </c>
      <c r="R6893">
        <v>0.95811829999999998</v>
      </c>
      <c r="S6893">
        <v>0.41963200000000001</v>
      </c>
      <c r="T6893">
        <v>-0.21942880000000001</v>
      </c>
      <c r="U6893">
        <v>3.087402</v>
      </c>
      <c r="V6893">
        <v>-0.1157836</v>
      </c>
      <c r="W6893">
        <v>0.2100311</v>
      </c>
      <c r="X6893">
        <v>0.97081459999999997</v>
      </c>
      <c r="Y6893">
        <v>-0.19216420000000001</v>
      </c>
      <c r="Z6893">
        <v>-6.4311999999999994E-2</v>
      </c>
      <c r="AA6893">
        <v>0.97925320000000005</v>
      </c>
      <c r="AB6893">
        <v>27</v>
      </c>
      <c r="AC6893">
        <v>2.0639999999999898</v>
      </c>
      <c r="AD6893">
        <v>-1.1169788624799999</v>
      </c>
      <c r="AE6893">
        <v>15.483219999999999</v>
      </c>
      <c r="AF6893">
        <v>-3.0210294794130501</v>
      </c>
      <c r="AG6893">
        <v>-1.1169788624799999</v>
      </c>
      <c r="AH6893">
        <v>15.2442548078842</v>
      </c>
      <c r="AI6893">
        <v>94.111026964953297</v>
      </c>
      <c r="AJ6893">
        <v>101.20935161004</v>
      </c>
      <c r="AK6893">
        <v>15.580807602380901</v>
      </c>
      <c r="AL6893">
        <v>77.875824548999503</v>
      </c>
      <c r="AM6893">
        <v>96.801220117547302</v>
      </c>
      <c r="AN6893">
        <v>0.99999994628466304</v>
      </c>
    </row>
    <row r="6894" spans="1:40" x14ac:dyDescent="0.25">
      <c r="A6894" t="str">
        <f>"20190312172541202"</f>
        <v>20190312172541202</v>
      </c>
      <c r="B6894" t="str">
        <f>"1552382741197267"</f>
        <v>1552382741197267</v>
      </c>
      <c r="C6894" t="s">
        <v>40</v>
      </c>
      <c r="D6894">
        <v>4.0371040000000002</v>
      </c>
      <c r="E6894">
        <v>0.4701476</v>
      </c>
      <c r="F6894" t="s">
        <v>43</v>
      </c>
      <c r="G6894">
        <v>-187.97890000000001</v>
      </c>
      <c r="H6894" s="1">
        <v>-2.877785E-6</v>
      </c>
      <c r="I6894">
        <v>-24.49474</v>
      </c>
      <c r="J6894">
        <v>-189.92769999999999</v>
      </c>
      <c r="K6894">
        <v>1.117029</v>
      </c>
      <c r="L6894">
        <v>-39.765230000000003</v>
      </c>
      <c r="M6894">
        <v>0.31360460000000001</v>
      </c>
      <c r="N6894">
        <v>0</v>
      </c>
      <c r="O6894">
        <v>0.94944130000000004</v>
      </c>
      <c r="P6894">
        <v>0.19895289999999999</v>
      </c>
      <c r="Q6894">
        <v>0.19725129999999999</v>
      </c>
      <c r="R6894">
        <v>0.95995299999999995</v>
      </c>
      <c r="S6894">
        <v>0.4033813</v>
      </c>
      <c r="T6894">
        <v>-0.2221669</v>
      </c>
      <c r="U6894">
        <v>3.089661</v>
      </c>
      <c r="V6894">
        <v>-0.115396</v>
      </c>
      <c r="W6894">
        <v>0.20970759999999999</v>
      </c>
      <c r="X6894">
        <v>0.97093079999999998</v>
      </c>
      <c r="Y6894">
        <v>-0.18835579999999999</v>
      </c>
      <c r="Z6894">
        <v>-6.5418569999999995E-2</v>
      </c>
      <c r="AA6894">
        <v>0.97991969999999995</v>
      </c>
      <c r="AB6894">
        <v>27</v>
      </c>
      <c r="AC6894">
        <v>1.9487999999999699</v>
      </c>
      <c r="AD6894">
        <v>-1.1170318777849999</v>
      </c>
      <c r="AE6894">
        <v>15.270489999999899</v>
      </c>
      <c r="AF6894">
        <v>-2.92354542030058</v>
      </c>
      <c r="AG6894">
        <v>-1.1170318777849999</v>
      </c>
      <c r="AH6894">
        <v>15.032053067511701</v>
      </c>
      <c r="AI6894">
        <v>94.171951748264206</v>
      </c>
      <c r="AJ6894">
        <v>101.005914186834</v>
      </c>
      <c r="AK6894">
        <v>15.3543966818965</v>
      </c>
      <c r="AL6894">
        <v>77.894783401685999</v>
      </c>
      <c r="AM6894">
        <v>96.777860687227502</v>
      </c>
      <c r="AN6894">
        <v>1.0000000663511901</v>
      </c>
    </row>
    <row r="6895" spans="1:40" x14ac:dyDescent="0.25">
      <c r="A6895" t="str">
        <f>"20190312172541225"</f>
        <v>20190312172541225</v>
      </c>
      <c r="B6895" t="str">
        <f>"1552382741216787"</f>
        <v>1552382741216787</v>
      </c>
      <c r="C6895" t="s">
        <v>40</v>
      </c>
      <c r="D6895">
        <v>3.8661539999999999</v>
      </c>
      <c r="E6895">
        <v>0.47099180000000002</v>
      </c>
      <c r="F6895" t="s">
        <v>43</v>
      </c>
      <c r="G6895">
        <v>-188.08019999999999</v>
      </c>
      <c r="H6895" s="1">
        <v>-2.7367329999999998E-6</v>
      </c>
      <c r="I6895">
        <v>-24.78163</v>
      </c>
      <c r="J6895">
        <v>-189.85059999999999</v>
      </c>
      <c r="K6895">
        <v>1.117075</v>
      </c>
      <c r="L6895">
        <v>-39.498629999999999</v>
      </c>
      <c r="M6895">
        <v>0.30473489999999998</v>
      </c>
      <c r="N6895">
        <v>0</v>
      </c>
      <c r="O6895">
        <v>0.95232499999999998</v>
      </c>
      <c r="P6895">
        <v>0.19049930000000001</v>
      </c>
      <c r="Q6895">
        <v>0.19699829999999999</v>
      </c>
      <c r="R6895">
        <v>0.96171810000000002</v>
      </c>
      <c r="S6895">
        <v>0.38143919999999998</v>
      </c>
      <c r="T6895">
        <v>-0.23062189999999999</v>
      </c>
      <c r="U6895">
        <v>3.0935060000000001</v>
      </c>
      <c r="V6895">
        <v>-0.114916</v>
      </c>
      <c r="W6895">
        <v>0.20946139999999999</v>
      </c>
      <c r="X6895">
        <v>0.97104080000000004</v>
      </c>
      <c r="Y6895">
        <v>-0.1862135</v>
      </c>
      <c r="Z6895">
        <v>-6.8171960000000004E-2</v>
      </c>
      <c r="AA6895">
        <v>0.98014129999999999</v>
      </c>
      <c r="AB6895">
        <v>27</v>
      </c>
      <c r="AC6895">
        <v>1.77039999999999</v>
      </c>
      <c r="AD6895">
        <v>-1.117077736733</v>
      </c>
      <c r="AE6895">
        <v>14.717000000000001</v>
      </c>
      <c r="AF6895">
        <v>-2.7832796405706701</v>
      </c>
      <c r="AG6895">
        <v>-1.117077736733</v>
      </c>
      <c r="AH6895">
        <v>14.474223124443</v>
      </c>
      <c r="AI6895">
        <v>94.334079788128307</v>
      </c>
      <c r="AJ6895">
        <v>100.884668899057</v>
      </c>
      <c r="AK6895">
        <v>14.7816657817609</v>
      </c>
      <c r="AL6895">
        <v>77.909209217451803</v>
      </c>
      <c r="AM6895">
        <v>96.749170657767095</v>
      </c>
      <c r="AN6895">
        <v>1.0000000002053</v>
      </c>
    </row>
    <row r="6896" spans="1:40" x14ac:dyDescent="0.25">
      <c r="A6896" t="str">
        <f>"20190312172541247"</f>
        <v>20190312172541247</v>
      </c>
      <c r="B6896" t="str">
        <f>"1552382741237283"</f>
        <v>1552382741237283</v>
      </c>
      <c r="C6896" t="s">
        <v>40</v>
      </c>
      <c r="D6896">
        <v>3.8381660000000002</v>
      </c>
      <c r="E6896">
        <v>0.47144940000000002</v>
      </c>
      <c r="F6896" t="s">
        <v>43</v>
      </c>
      <c r="G6896">
        <v>-188.11680000000001</v>
      </c>
      <c r="H6896" s="1">
        <v>-2.803297E-6</v>
      </c>
      <c r="I6896">
        <v>-24.611350000000002</v>
      </c>
      <c r="J6896">
        <v>-189.78039999999999</v>
      </c>
      <c r="K6896">
        <v>1.1171040000000001</v>
      </c>
      <c r="L6896">
        <v>-39.247590000000002</v>
      </c>
      <c r="M6896">
        <v>0.296317</v>
      </c>
      <c r="N6896">
        <v>0</v>
      </c>
      <c r="O6896">
        <v>0.95497770000000004</v>
      </c>
      <c r="P6896">
        <v>0.18266270000000001</v>
      </c>
      <c r="Q6896">
        <v>0.19690260000000001</v>
      </c>
      <c r="R6896">
        <v>0.96325680000000002</v>
      </c>
      <c r="S6896">
        <v>0.36051939999999999</v>
      </c>
      <c r="T6896">
        <v>-0.23227919999999999</v>
      </c>
      <c r="U6896">
        <v>3.0955810000000001</v>
      </c>
      <c r="V6896">
        <v>-0.11427080000000001</v>
      </c>
      <c r="W6896">
        <v>0.2093766</v>
      </c>
      <c r="X6896">
        <v>0.97113530000000003</v>
      </c>
      <c r="Y6896">
        <v>-0.18415580000000001</v>
      </c>
      <c r="Z6896">
        <v>-6.8947480000000005E-2</v>
      </c>
      <c r="AA6896">
        <v>0.98047580000000001</v>
      </c>
      <c r="AB6896">
        <v>27</v>
      </c>
      <c r="AC6896">
        <v>1.66359999999997</v>
      </c>
      <c r="AD6896">
        <v>-1.117106803297</v>
      </c>
      <c r="AE6896">
        <v>14.6362399999999</v>
      </c>
      <c r="AF6896">
        <v>-2.7328426840711399</v>
      </c>
      <c r="AG6896">
        <v>-1.117106803297</v>
      </c>
      <c r="AH6896">
        <v>14.389029470826101</v>
      </c>
      <c r="AI6896">
        <v>94.361650607681</v>
      </c>
      <c r="AJ6896">
        <v>100.75384363710999</v>
      </c>
      <c r="AK6896">
        <v>14.6887891215769</v>
      </c>
      <c r="AL6896">
        <v>77.914178979939507</v>
      </c>
      <c r="AM6896">
        <v>96.7109767094788</v>
      </c>
      <c r="AN6896">
        <v>1.00000007363314</v>
      </c>
    </row>
    <row r="6897" spans="1:40" x14ac:dyDescent="0.25">
      <c r="A6897" t="str">
        <f>"20190312172541268"</f>
        <v>20190312172541268</v>
      </c>
      <c r="B6897" t="str">
        <f>"1552382741256807"</f>
        <v>1552382741256807</v>
      </c>
      <c r="C6897" t="s">
        <v>40</v>
      </c>
      <c r="D6897">
        <v>3.7674270000000001</v>
      </c>
      <c r="E6897">
        <v>0.47995139999999997</v>
      </c>
      <c r="F6897" t="s">
        <v>43</v>
      </c>
      <c r="G6897">
        <v>-188.1645</v>
      </c>
      <c r="H6897" s="1">
        <v>-2.8668339999999999E-6</v>
      </c>
      <c r="I6897">
        <v>-24.4435</v>
      </c>
      <c r="J6897">
        <v>-189.71469999999999</v>
      </c>
      <c r="K6897">
        <v>1.117127</v>
      </c>
      <c r="L6897">
        <v>-39.004240000000003</v>
      </c>
      <c r="M6897">
        <v>0.28809849999999998</v>
      </c>
      <c r="N6897">
        <v>0</v>
      </c>
      <c r="O6897">
        <v>0.95748900000000003</v>
      </c>
      <c r="P6897">
        <v>0.1749185</v>
      </c>
      <c r="Q6897">
        <v>0.19771179999999999</v>
      </c>
      <c r="R6897">
        <v>0.96452769999999999</v>
      </c>
      <c r="S6897">
        <v>0.3381653</v>
      </c>
      <c r="T6897">
        <v>-0.2337794</v>
      </c>
      <c r="U6897">
        <v>3.0980829999999999</v>
      </c>
      <c r="V6897">
        <v>-0.1137031</v>
      </c>
      <c r="W6897">
        <v>0.21019289999999999</v>
      </c>
      <c r="X6897">
        <v>0.97102549999999999</v>
      </c>
      <c r="Y6897">
        <v>-0.18278929999999999</v>
      </c>
      <c r="Z6897">
        <v>-6.9650539999999997E-2</v>
      </c>
      <c r="AA6897">
        <v>0.98068180000000005</v>
      </c>
      <c r="AB6897">
        <v>27</v>
      </c>
      <c r="AC6897">
        <v>1.55019999999998</v>
      </c>
      <c r="AD6897">
        <v>-1.117129866834</v>
      </c>
      <c r="AE6897">
        <v>14.560739999999999</v>
      </c>
      <c r="AF6897">
        <v>-2.6952310233863201</v>
      </c>
      <c r="AG6897">
        <v>-1.117129866834</v>
      </c>
      <c r="AH6897">
        <v>14.306630064515099</v>
      </c>
      <c r="AI6897">
        <v>94.387989252502194</v>
      </c>
      <c r="AJ6897">
        <v>100.668928003677</v>
      </c>
      <c r="AK6897">
        <v>14.6010928773049</v>
      </c>
      <c r="AL6897">
        <v>77.866342913005795</v>
      </c>
      <c r="AM6897">
        <v>96.678686575742304</v>
      </c>
      <c r="AN6897">
        <v>0.99999998590513395</v>
      </c>
    </row>
    <row r="6898" spans="1:40" x14ac:dyDescent="0.25">
      <c r="A6898" t="str">
        <f>"20190312172541290"</f>
        <v>20190312172541290</v>
      </c>
      <c r="B6898" t="str">
        <f>"1552382741287060"</f>
        <v>1552382741287060</v>
      </c>
      <c r="C6898" t="s">
        <v>40</v>
      </c>
      <c r="D6898">
        <v>3.8811740000000001</v>
      </c>
      <c r="E6898">
        <v>0.48123260000000001</v>
      </c>
      <c r="F6898" t="s">
        <v>43</v>
      </c>
      <c r="G6898">
        <v>-187.94810000000001</v>
      </c>
      <c r="H6898" s="1">
        <v>-2.8266059999999999E-6</v>
      </c>
      <c r="I6898">
        <v>-24.626740000000002</v>
      </c>
      <c r="J6898">
        <v>-189.65010000000001</v>
      </c>
      <c r="K6898">
        <v>1.117148</v>
      </c>
      <c r="L6898">
        <v>-38.755859999999998</v>
      </c>
      <c r="M6898">
        <v>0.27964640000000002</v>
      </c>
      <c r="N6898">
        <v>0</v>
      </c>
      <c r="O6898">
        <v>0.9599915</v>
      </c>
      <c r="P6898">
        <v>0.1671078</v>
      </c>
      <c r="Q6898">
        <v>0.1979515</v>
      </c>
      <c r="R6898">
        <v>0.96586240000000001</v>
      </c>
      <c r="S6898">
        <v>0.37976070000000001</v>
      </c>
      <c r="T6898">
        <v>-0.24014679999999999</v>
      </c>
      <c r="U6898">
        <v>3.0906980000000002</v>
      </c>
      <c r="V6898">
        <v>-0.1130004</v>
      </c>
      <c r="W6898">
        <v>0.21044460000000001</v>
      </c>
      <c r="X6898">
        <v>0.97105300000000006</v>
      </c>
      <c r="Y6898">
        <v>-0.16082539999999901</v>
      </c>
      <c r="Z6898">
        <v>-7.2088699999999895E-2</v>
      </c>
      <c r="AA6898">
        <v>0.98434670000000002</v>
      </c>
      <c r="AB6898">
        <v>27</v>
      </c>
      <c r="AC6898">
        <v>1.70199999999999</v>
      </c>
      <c r="AD6898">
        <v>-1.117150826606</v>
      </c>
      <c r="AE6898">
        <v>14.12912</v>
      </c>
      <c r="AF6898">
        <v>-2.3033067717983799</v>
      </c>
      <c r="AG6898">
        <v>-1.117150826606</v>
      </c>
      <c r="AH6898">
        <v>13.9553017037872</v>
      </c>
      <c r="AI6898">
        <v>94.516045884263903</v>
      </c>
      <c r="AJ6898">
        <v>99.372110889337407</v>
      </c>
      <c r="AK6898">
        <v>14.1881532870957</v>
      </c>
      <c r="AL6898">
        <v>77.851591479519499</v>
      </c>
      <c r="AM6898">
        <v>96.637594572507496</v>
      </c>
      <c r="AN6898">
        <v>0.999999974439159</v>
      </c>
    </row>
    <row r="6899" spans="1:40" x14ac:dyDescent="0.25">
      <c r="A6899" t="str">
        <f>"20190312172541312"</f>
        <v>20190312172541312</v>
      </c>
      <c r="B6899" t="str">
        <f>"1552382741307556"</f>
        <v>1552382741307556</v>
      </c>
      <c r="C6899" t="s">
        <v>40</v>
      </c>
      <c r="D6899">
        <v>3.8798029999999999</v>
      </c>
      <c r="E6899">
        <v>0.48195860000000001</v>
      </c>
      <c r="F6899" t="s">
        <v>43</v>
      </c>
      <c r="G6899">
        <v>-187.97329999999999</v>
      </c>
      <c r="H6899" s="1">
        <v>-2.8611020000000001E-6</v>
      </c>
      <c r="I6899">
        <v>-24.53593</v>
      </c>
      <c r="J6899">
        <v>-189.58799999999999</v>
      </c>
      <c r="K6899">
        <v>1.117173</v>
      </c>
      <c r="L6899">
        <v>-38.508580000000002</v>
      </c>
      <c r="M6899">
        <v>0.27117520000000001</v>
      </c>
      <c r="N6899">
        <v>0</v>
      </c>
      <c r="O6899">
        <v>0.96241860000000001</v>
      </c>
      <c r="P6899">
        <v>0.15938379999999999</v>
      </c>
      <c r="Q6899">
        <v>0.19760730000000001</v>
      </c>
      <c r="R6899">
        <v>0.96723740000000002</v>
      </c>
      <c r="S6899">
        <v>0.36468509999999998</v>
      </c>
      <c r="T6899">
        <v>-0.2429731</v>
      </c>
      <c r="U6899">
        <v>3.092743</v>
      </c>
      <c r="V6899">
        <v>-0.11222600000000001</v>
      </c>
      <c r="W6899">
        <v>0.21011550000000001</v>
      </c>
      <c r="X6899">
        <v>0.97121409999999997</v>
      </c>
      <c r="Y6899">
        <v>-0.15694340000000001</v>
      </c>
      <c r="Z6899">
        <v>-7.3210369999999997E-2</v>
      </c>
      <c r="AA6899">
        <v>0.9848903</v>
      </c>
      <c r="AB6899">
        <v>27</v>
      </c>
      <c r="AC6899">
        <v>1.61469999999999</v>
      </c>
      <c r="AD6899">
        <v>-1.117175861102</v>
      </c>
      <c r="AE6899">
        <v>13.97265</v>
      </c>
      <c r="AF6899">
        <v>-2.2212458662763099</v>
      </c>
      <c r="AG6899">
        <v>-1.117175861102</v>
      </c>
      <c r="AH6899">
        <v>13.799838058772099</v>
      </c>
      <c r="AI6899">
        <v>94.569761981884596</v>
      </c>
      <c r="AJ6899">
        <v>99.143996724827105</v>
      </c>
      <c r="AK6899">
        <v>14.022037853016</v>
      </c>
      <c r="AL6899">
        <v>77.8708792394265</v>
      </c>
      <c r="AM6899">
        <v>96.591424521550294</v>
      </c>
      <c r="AN6899">
        <v>1.00000001322753</v>
      </c>
    </row>
    <row r="6900" spans="1:40" x14ac:dyDescent="0.25">
      <c r="A6900" t="str">
        <f>"20190312172541336"</f>
        <v>20190312172541336</v>
      </c>
      <c r="B6900" t="str">
        <f>"1552382741327076"</f>
        <v>1552382741327076</v>
      </c>
      <c r="C6900" t="s">
        <v>40</v>
      </c>
      <c r="D6900">
        <v>3.866282</v>
      </c>
      <c r="E6900">
        <v>0.48344169999999997</v>
      </c>
      <c r="F6900" t="s">
        <v>43</v>
      </c>
      <c r="G6900">
        <v>-188.01</v>
      </c>
      <c r="H6900" s="1">
        <v>-2.9331899999999999E-6</v>
      </c>
      <c r="I6900">
        <v>-24.352699999999999</v>
      </c>
      <c r="J6900">
        <v>-189.52180000000001</v>
      </c>
      <c r="K6900">
        <v>1.1171979999999999</v>
      </c>
      <c r="L6900">
        <v>-38.233730000000001</v>
      </c>
      <c r="M6900">
        <v>0.2617005</v>
      </c>
      <c r="N6900">
        <v>0</v>
      </c>
      <c r="O6900">
        <v>0.9650379</v>
      </c>
      <c r="P6900">
        <v>0.15072820000000001</v>
      </c>
      <c r="Q6900">
        <v>0.1975074</v>
      </c>
      <c r="R6900">
        <v>0.96864430000000001</v>
      </c>
      <c r="S6900">
        <v>0.34497070000000002</v>
      </c>
      <c r="T6900">
        <v>-0.24422969999999999</v>
      </c>
      <c r="U6900">
        <v>3.0946660000000001</v>
      </c>
      <c r="V6900">
        <v>-0.1113759</v>
      </c>
      <c r="W6900">
        <v>0.21003160000000001</v>
      </c>
      <c r="X6900">
        <v>0.97133009999999997</v>
      </c>
      <c r="Y6900">
        <v>-0.15350169999999999</v>
      </c>
      <c r="Z6900">
        <v>-7.3893440000000005E-2</v>
      </c>
      <c r="AA6900">
        <v>0.98538170000000003</v>
      </c>
      <c r="AB6900">
        <v>26</v>
      </c>
      <c r="AC6900">
        <v>1.51180000000002</v>
      </c>
      <c r="AD6900">
        <v>-1.1172009331899999</v>
      </c>
      <c r="AE6900">
        <v>13.881030000000001</v>
      </c>
      <c r="AF6900">
        <v>-2.16013297105013</v>
      </c>
      <c r="AG6900">
        <v>-1.1172009331899999</v>
      </c>
      <c r="AH6900">
        <v>13.7051030854003</v>
      </c>
      <c r="AI6900">
        <v>94.603700006942802</v>
      </c>
      <c r="AJ6900">
        <v>98.957000907439294</v>
      </c>
      <c r="AK6900">
        <v>13.9192012328002</v>
      </c>
      <c r="AL6900">
        <v>77.875796076479801</v>
      </c>
      <c r="AM6900">
        <v>96.541155131311996</v>
      </c>
      <c r="AN6900">
        <v>1.0000000136326901</v>
      </c>
    </row>
    <row r="6901" spans="1:40" x14ac:dyDescent="0.25">
      <c r="A6901" t="str">
        <f>"20190312172541358"</f>
        <v>20190312172541358</v>
      </c>
      <c r="B6901" t="str">
        <f>"1552382741346595"</f>
        <v>1552382741346595</v>
      </c>
      <c r="C6901" t="s">
        <v>40</v>
      </c>
      <c r="D6901">
        <v>3.855416</v>
      </c>
      <c r="E6901">
        <v>0.48418909999999998</v>
      </c>
      <c r="F6901" t="s">
        <v>43</v>
      </c>
      <c r="G6901">
        <v>-188.02350000000001</v>
      </c>
      <c r="H6901" s="1">
        <v>-3.028612E-6</v>
      </c>
      <c r="I6901">
        <v>-24.124690000000001</v>
      </c>
      <c r="J6901">
        <v>-189.4666</v>
      </c>
      <c r="K6901">
        <v>1.117213</v>
      </c>
      <c r="L6901">
        <v>-37.994810000000001</v>
      </c>
      <c r="M6901">
        <v>0.2534266</v>
      </c>
      <c r="N6901">
        <v>0</v>
      </c>
      <c r="O6901">
        <v>0.96724359999999998</v>
      </c>
      <c r="P6901">
        <v>0.14249010000000001</v>
      </c>
      <c r="Q6901">
        <v>0.19755429999999999</v>
      </c>
      <c r="R6901">
        <v>0.96988090000000005</v>
      </c>
      <c r="S6901">
        <v>0.3287659</v>
      </c>
      <c r="T6901">
        <v>-0.24514730000000001</v>
      </c>
      <c r="U6901">
        <v>3.0959469999999998</v>
      </c>
      <c r="V6901">
        <v>-0.1113181</v>
      </c>
      <c r="W6901">
        <v>0.21008099999999999</v>
      </c>
      <c r="X6901">
        <v>0.97132600000000002</v>
      </c>
      <c r="Y6901">
        <v>-0.1501845</v>
      </c>
      <c r="Z6901">
        <v>-7.4437299999999998E-2</v>
      </c>
      <c r="AA6901">
        <v>0.98585179999999994</v>
      </c>
      <c r="AB6901">
        <v>26</v>
      </c>
      <c r="AC6901">
        <v>1.4430999999999801</v>
      </c>
      <c r="AD6901">
        <v>-1.1172160286120001</v>
      </c>
      <c r="AE6901">
        <v>13.87012</v>
      </c>
      <c r="AF6901">
        <v>-2.1059386298232101</v>
      </c>
      <c r="AG6901">
        <v>-1.1172160286120001</v>
      </c>
      <c r="AH6901">
        <v>13.6950821815586</v>
      </c>
      <c r="AI6901">
        <v>94.609795839302706</v>
      </c>
      <c r="AJ6901">
        <v>98.742087166175693</v>
      </c>
      <c r="AK6901">
        <v>13.901022448971601</v>
      </c>
      <c r="AL6901">
        <v>77.872900564310697</v>
      </c>
      <c r="AM6901">
        <v>96.537817266014898</v>
      </c>
      <c r="AN6901">
        <v>0.99999997211230396</v>
      </c>
    </row>
    <row r="6902" spans="1:40" x14ac:dyDescent="0.25">
      <c r="A6902" t="str">
        <f>"20190312172541379"</f>
        <v>20190312172541379</v>
      </c>
      <c r="B6902" t="str">
        <f>"1552382741376851"</f>
        <v>1552382741376851</v>
      </c>
      <c r="C6902" t="s">
        <v>40</v>
      </c>
      <c r="D6902">
        <v>3.8996759999999999</v>
      </c>
      <c r="E6902">
        <v>0.4918226</v>
      </c>
      <c r="F6902" t="s">
        <v>43</v>
      </c>
      <c r="G6902">
        <v>-188.06299999999999</v>
      </c>
      <c r="H6902" s="1">
        <v>-3.1052430000000001E-6</v>
      </c>
      <c r="I6902">
        <v>-23.929739999999999</v>
      </c>
      <c r="J6902">
        <v>-189.4126</v>
      </c>
      <c r="K6902">
        <v>1.117224</v>
      </c>
      <c r="L6902">
        <v>-37.750950000000003</v>
      </c>
      <c r="M6902">
        <v>0.24495210000000001</v>
      </c>
      <c r="N6902">
        <v>0</v>
      </c>
      <c r="O6902">
        <v>0.96942430000000002</v>
      </c>
      <c r="P6902">
        <v>0.13413800000000001</v>
      </c>
      <c r="Q6902">
        <v>0.1978714</v>
      </c>
      <c r="R6902">
        <v>0.97100660000000005</v>
      </c>
      <c r="S6902">
        <v>0.3091583</v>
      </c>
      <c r="T6902">
        <v>-0.24607000000000001</v>
      </c>
      <c r="U6902">
        <v>3.0978699999999999</v>
      </c>
      <c r="V6902">
        <v>-0.11116860000000001</v>
      </c>
      <c r="W6902">
        <v>0.2104018</v>
      </c>
      <c r="X6902">
        <v>0.97127370000000002</v>
      </c>
      <c r="Y6902">
        <v>-0.1477736</v>
      </c>
      <c r="Z6902">
        <v>-7.4963619999999995E-2</v>
      </c>
      <c r="AA6902">
        <v>0.9861761</v>
      </c>
      <c r="AB6902">
        <v>26</v>
      </c>
      <c r="AC6902">
        <v>1.3495999999999999</v>
      </c>
      <c r="AD6902">
        <v>-1.1172271052429901</v>
      </c>
      <c r="AE6902">
        <v>13.821210000000001</v>
      </c>
      <c r="AF6902">
        <v>-2.06406314065792</v>
      </c>
      <c r="AG6902">
        <v>-1.1172271052429901</v>
      </c>
      <c r="AH6902">
        <v>13.6423805030993</v>
      </c>
      <c r="AI6902">
        <v>94.6292728821509</v>
      </c>
      <c r="AJ6902">
        <v>98.603477980340998</v>
      </c>
      <c r="AK6902">
        <v>13.8427995306099</v>
      </c>
      <c r="AL6902">
        <v>77.854100064940098</v>
      </c>
      <c r="AM6902">
        <v>96.529461390417495</v>
      </c>
      <c r="AN6902">
        <v>0.99999998769044496</v>
      </c>
    </row>
    <row r="6903" spans="1:40" x14ac:dyDescent="0.25">
      <c r="A6903" t="str">
        <f>"20190312172541404"</f>
        <v>20190312172541404</v>
      </c>
      <c r="B6903" t="str">
        <f>"1552382741397348"</f>
        <v>1552382741397348</v>
      </c>
      <c r="C6903" t="s">
        <v>40</v>
      </c>
      <c r="D6903">
        <v>3.8260339999999999</v>
      </c>
      <c r="E6903">
        <v>0.46374589999999999</v>
      </c>
      <c r="F6903" t="s">
        <v>43</v>
      </c>
      <c r="G6903">
        <v>-187.90979999999999</v>
      </c>
      <c r="H6903" s="1">
        <v>-3.0355430000000001E-6</v>
      </c>
      <c r="I6903">
        <v>-24.155560000000001</v>
      </c>
      <c r="J6903">
        <v>-189.3554</v>
      </c>
      <c r="K6903">
        <v>1.117216</v>
      </c>
      <c r="L6903">
        <v>-37.481020000000001</v>
      </c>
      <c r="M6903">
        <v>0.23554849999999999</v>
      </c>
      <c r="N6903">
        <v>0</v>
      </c>
      <c r="O6903">
        <v>0.97175199999999995</v>
      </c>
      <c r="P6903">
        <v>0.1252769</v>
      </c>
      <c r="Q6903">
        <v>0.1975797</v>
      </c>
      <c r="R6903">
        <v>0.97224889999999997</v>
      </c>
      <c r="S6903">
        <v>0.3420105</v>
      </c>
      <c r="T6903">
        <v>-0.25426759999999998</v>
      </c>
      <c r="U6903">
        <v>3.094147</v>
      </c>
      <c r="V6903">
        <v>-0.1106219</v>
      </c>
      <c r="W6903">
        <v>0.21012439999999999</v>
      </c>
      <c r="X6903">
        <v>0.97139620000000004</v>
      </c>
      <c r="Y6903">
        <v>-0.12771440000000001</v>
      </c>
      <c r="Z6903">
        <v>-7.7892959999999997E-2</v>
      </c>
      <c r="AA6903">
        <v>0.9887475</v>
      </c>
      <c r="AB6903">
        <v>26</v>
      </c>
      <c r="AC6903">
        <v>1.44560000000001</v>
      </c>
      <c r="AD6903">
        <v>-1.1172190355430001</v>
      </c>
      <c r="AE6903">
        <v>13.32546</v>
      </c>
      <c r="AF6903">
        <v>-1.7222484351868601</v>
      </c>
      <c r="AG6903">
        <v>-1.1172190355430001</v>
      </c>
      <c r="AH6903">
        <v>13.199277387023701</v>
      </c>
      <c r="AI6903">
        <v>94.797646784673205</v>
      </c>
      <c r="AJ6903">
        <v>97.433984071551905</v>
      </c>
      <c r="AK6903">
        <v>13.3579654732851</v>
      </c>
      <c r="AL6903">
        <v>77.870357781060207</v>
      </c>
      <c r="AM6903">
        <v>96.496813973250497</v>
      </c>
      <c r="AN6903">
        <v>1.0000000228046999</v>
      </c>
    </row>
    <row r="6904" spans="1:40" x14ac:dyDescent="0.25">
      <c r="A6904" t="str">
        <f>"20190312172541427"</f>
        <v>20190312172541427</v>
      </c>
      <c r="B6904" t="str">
        <f>"1552382741416868"</f>
        <v>1552382741416868</v>
      </c>
      <c r="C6904" t="s">
        <v>40</v>
      </c>
      <c r="D6904">
        <v>3.7905630000000001</v>
      </c>
      <c r="E6904">
        <v>0.4590187</v>
      </c>
      <c r="F6904" t="s">
        <v>43</v>
      </c>
      <c r="G6904">
        <v>-188.94630000000001</v>
      </c>
      <c r="H6904" s="1">
        <v>-3.1874679999999999E-6</v>
      </c>
      <c r="I6904">
        <v>-23.37285</v>
      </c>
      <c r="J6904">
        <v>-189.30179999999999</v>
      </c>
      <c r="K6904">
        <v>1.1171979999999999</v>
      </c>
      <c r="L6904">
        <v>-37.214689999999997</v>
      </c>
      <c r="M6904">
        <v>0.2262546</v>
      </c>
      <c r="N6904">
        <v>0</v>
      </c>
      <c r="O6904">
        <v>0.97395779999999998</v>
      </c>
      <c r="P6904">
        <v>0.1168175</v>
      </c>
      <c r="Q6904">
        <v>0.19673579999999999</v>
      </c>
      <c r="R6904">
        <v>0.97347249999999996</v>
      </c>
      <c r="S6904">
        <v>9.0606690000000004E-2</v>
      </c>
      <c r="T6904">
        <v>-0.24740699999999999</v>
      </c>
      <c r="U6904">
        <v>3.1242369999999999</v>
      </c>
      <c r="V6904">
        <v>-0.109806</v>
      </c>
      <c r="W6904">
        <v>0.2093015</v>
      </c>
      <c r="X6904">
        <v>0.97166629999999998</v>
      </c>
      <c r="Y6904">
        <v>-0.19802359999999999</v>
      </c>
      <c r="Z6904">
        <v>-7.5080679999999997E-2</v>
      </c>
      <c r="AA6904">
        <v>0.97731749999999995</v>
      </c>
      <c r="AB6904">
        <v>26</v>
      </c>
      <c r="AC6904">
        <v>0.355499999999977</v>
      </c>
      <c r="AD6904">
        <v>-1.1172011874679999</v>
      </c>
      <c r="AE6904">
        <v>13.841839999999999</v>
      </c>
      <c r="AF6904">
        <v>-2.7678187293831402</v>
      </c>
      <c r="AG6904">
        <v>-1.1172011874679999</v>
      </c>
      <c r="AH6904">
        <v>13.475532791952</v>
      </c>
      <c r="AI6904">
        <v>94.642833665285494</v>
      </c>
      <c r="AJ6904">
        <v>101.60689124123699</v>
      </c>
      <c r="AK6904">
        <v>13.8021354521312</v>
      </c>
      <c r="AL6904">
        <v>77.918577717011402</v>
      </c>
      <c r="AM6904">
        <v>96.447523791839501</v>
      </c>
      <c r="AN6904">
        <v>0.99999993704696799</v>
      </c>
    </row>
    <row r="6905" spans="1:40" x14ac:dyDescent="0.25">
      <c r="A6905" t="str">
        <f>"20190312172541448"</f>
        <v>20190312172541448</v>
      </c>
      <c r="B6905" t="str">
        <f>"1552382741437363"</f>
        <v>1552382741437363</v>
      </c>
      <c r="C6905" t="s">
        <v>40</v>
      </c>
      <c r="D6905">
        <v>3.8851819999999999</v>
      </c>
      <c r="E6905">
        <v>0.45741029999999999</v>
      </c>
      <c r="F6905" t="s">
        <v>43</v>
      </c>
      <c r="G6905">
        <v>-189.18510000000001</v>
      </c>
      <c r="H6905" s="1">
        <v>-3.5000989999999999E-6</v>
      </c>
      <c r="I6905">
        <v>-22.545349999999999</v>
      </c>
      <c r="J6905">
        <v>-189.2559</v>
      </c>
      <c r="K6905">
        <v>1.1171770000000001</v>
      </c>
      <c r="L6905">
        <v>-36.975560000000002</v>
      </c>
      <c r="M6905">
        <v>0.2179016</v>
      </c>
      <c r="N6905">
        <v>0</v>
      </c>
      <c r="O6905">
        <v>0.97586050000000002</v>
      </c>
      <c r="P6905">
        <v>0.1098171</v>
      </c>
      <c r="Q6905">
        <v>0.19498009999999999</v>
      </c>
      <c r="R6905">
        <v>0.9746399</v>
      </c>
      <c r="S6905">
        <v>2.4887079999999999E-2</v>
      </c>
      <c r="T6905">
        <v>-0.23814080000000001</v>
      </c>
      <c r="U6905">
        <v>3.1268919999999998</v>
      </c>
      <c r="V6905">
        <v>-0.108503</v>
      </c>
      <c r="W6905">
        <v>0.20757780000000001</v>
      </c>
      <c r="X6905">
        <v>0.9721824</v>
      </c>
      <c r="Y6905">
        <v>-0.21016489999999999</v>
      </c>
      <c r="Z6905">
        <v>-7.2355660000000002E-2</v>
      </c>
      <c r="AA6905">
        <v>0.97498479999999998</v>
      </c>
      <c r="AB6905">
        <v>26</v>
      </c>
      <c r="AC6905">
        <v>7.07999999999913E-2</v>
      </c>
      <c r="AD6905">
        <v>-1.1171805000990001</v>
      </c>
      <c r="AE6905">
        <v>14.430209999999899</v>
      </c>
      <c r="AF6905">
        <v>-3.0572815848495898</v>
      </c>
      <c r="AG6905">
        <v>-1.1171805000990001</v>
      </c>
      <c r="AH6905">
        <v>14.014816513484201</v>
      </c>
      <c r="AI6905">
        <v>94.453357250155094</v>
      </c>
      <c r="AJ6905">
        <v>102.306077984214</v>
      </c>
      <c r="AK6905">
        <v>14.3878471240659</v>
      </c>
      <c r="AL6905">
        <v>78.019557595673405</v>
      </c>
      <c r="AM6905">
        <v>96.368293254177402</v>
      </c>
      <c r="AN6905">
        <v>1.00000003146579</v>
      </c>
    </row>
    <row r="6906" spans="1:40" x14ac:dyDescent="0.25">
      <c r="A6906" t="str">
        <f>"20190312172541469"</f>
        <v>20190312172541469</v>
      </c>
      <c r="B6906" t="str">
        <f>"1552382741456887"</f>
        <v>1552382741456887</v>
      </c>
      <c r="C6906" t="s">
        <v>40</v>
      </c>
      <c r="D6906">
        <v>3.8913199999999999</v>
      </c>
      <c r="E6906">
        <v>0.45687650000000002</v>
      </c>
      <c r="F6906" t="s">
        <v>43</v>
      </c>
      <c r="G6906">
        <v>-189.30889999999999</v>
      </c>
      <c r="H6906" s="1">
        <v>-3.4566160000000001E-6</v>
      </c>
      <c r="I6906">
        <v>-22.59552</v>
      </c>
      <c r="J6906">
        <v>-189.21109999999999</v>
      </c>
      <c r="K6906">
        <v>1.117157</v>
      </c>
      <c r="L6906">
        <v>-36.730739999999997</v>
      </c>
      <c r="M6906">
        <v>0.20934849999999999</v>
      </c>
      <c r="N6906">
        <v>0</v>
      </c>
      <c r="O6906">
        <v>0.97773109999999996</v>
      </c>
      <c r="P6906">
        <v>0.10253809999999999</v>
      </c>
      <c r="Q6906">
        <v>0.1939738</v>
      </c>
      <c r="R6906">
        <v>0.97563310000000003</v>
      </c>
      <c r="S6906">
        <v>-1.152039E-2</v>
      </c>
      <c r="T6906">
        <v>-0.24301030000000001</v>
      </c>
      <c r="U6906">
        <v>3.1279599999999999</v>
      </c>
      <c r="V6906">
        <v>-0.1072615</v>
      </c>
      <c r="W6906">
        <v>0.20659949999999999</v>
      </c>
      <c r="X6906">
        <v>0.97252850000000002</v>
      </c>
      <c r="Y6906">
        <v>-0.21295330000000001</v>
      </c>
      <c r="Z6906">
        <v>-7.3994820000000003E-2</v>
      </c>
      <c r="AA6906">
        <v>0.97425649999999997</v>
      </c>
      <c r="AB6906">
        <v>26</v>
      </c>
      <c r="AC6906">
        <v>-9.7800000000006507E-2</v>
      </c>
      <c r="AD6906">
        <v>-1.1171604566159901</v>
      </c>
      <c r="AE6906">
        <v>14.13522</v>
      </c>
      <c r="AF6906">
        <v>-3.03617372536202</v>
      </c>
      <c r="AG6906">
        <v>-1.1171604566159901</v>
      </c>
      <c r="AH6906">
        <v>13.7157849305309</v>
      </c>
      <c r="AI6906">
        <v>94.546910104231699</v>
      </c>
      <c r="AJ6906">
        <v>102.481911660832</v>
      </c>
      <c r="AK6906">
        <v>14.0921664280899</v>
      </c>
      <c r="AL6906">
        <v>78.076852096071207</v>
      </c>
      <c r="AM6906">
        <v>96.293792615779495</v>
      </c>
      <c r="AN6906">
        <v>1.00000003304737</v>
      </c>
    </row>
    <row r="6907" spans="1:40" x14ac:dyDescent="0.25">
      <c r="A6907" t="str">
        <f>"20190312172541492"</f>
        <v>20190312172541492</v>
      </c>
      <c r="B6907" t="str">
        <f>"1552382741487140"</f>
        <v>1552382741487140</v>
      </c>
      <c r="C6907" t="s">
        <v>40</v>
      </c>
      <c r="D6907">
        <v>3.8289569999999999</v>
      </c>
      <c r="E6907">
        <v>0.45672639999999998</v>
      </c>
      <c r="F6907" t="s">
        <v>43</v>
      </c>
      <c r="G6907">
        <v>-189.39449999999999</v>
      </c>
      <c r="H6907" s="1">
        <v>-3.528593E-6</v>
      </c>
      <c r="I6907">
        <v>-22.39235</v>
      </c>
      <c r="J6907">
        <v>-189.16679999999999</v>
      </c>
      <c r="K6907">
        <v>1.1171409999999999</v>
      </c>
      <c r="L6907">
        <v>-36.476010000000002</v>
      </c>
      <c r="M6907">
        <v>0.2004503</v>
      </c>
      <c r="N6907">
        <v>0</v>
      </c>
      <c r="O6907">
        <v>0.97959410000000002</v>
      </c>
      <c r="P6907">
        <v>9.5129469999999994E-2</v>
      </c>
      <c r="Q6907">
        <v>0.19286739999999999</v>
      </c>
      <c r="R6907">
        <v>0.97660259999999999</v>
      </c>
      <c r="S6907">
        <v>-3.9993290000000001E-2</v>
      </c>
      <c r="T6907">
        <v>-0.2436808</v>
      </c>
      <c r="U6907">
        <v>3.1275629999999999</v>
      </c>
      <c r="V6907">
        <v>-0.1058144</v>
      </c>
      <c r="W6907">
        <v>0.20552500000000001</v>
      </c>
      <c r="X6907">
        <v>0.97291459999999996</v>
      </c>
      <c r="Y6907">
        <v>-0.21293899999999999</v>
      </c>
      <c r="Z6907">
        <v>-7.4420570000000005E-2</v>
      </c>
      <c r="AA6907">
        <v>0.97422710000000001</v>
      </c>
      <c r="AB6907">
        <v>26</v>
      </c>
      <c r="AC6907">
        <v>-0.22769999999999799</v>
      </c>
      <c r="AD6907">
        <v>-1.117144528593</v>
      </c>
      <c r="AE6907">
        <v>14.083659999999901</v>
      </c>
      <c r="AF6907">
        <v>-3.0274116267325302</v>
      </c>
      <c r="AG6907">
        <v>-1.117144528593</v>
      </c>
      <c r="AH6907">
        <v>13.666141979578301</v>
      </c>
      <c r="AI6907">
        <v>94.563136251231398</v>
      </c>
      <c r="AJ6907">
        <v>102.49081213217799</v>
      </c>
      <c r="AK6907">
        <v>14.041961033325601</v>
      </c>
      <c r="AL6907">
        <v>78.139766422030704</v>
      </c>
      <c r="AM6907">
        <v>96.207103796842603</v>
      </c>
      <c r="AN6907">
        <v>1.00000001588275</v>
      </c>
    </row>
    <row r="6908" spans="1:40" x14ac:dyDescent="0.25">
      <c r="A6908" t="str">
        <f>"20190312172541514"</f>
        <v>20190312172541514</v>
      </c>
      <c r="B6908" t="str">
        <f>"1552382741506660"</f>
        <v>1552382741506660</v>
      </c>
      <c r="C6908" t="s">
        <v>40</v>
      </c>
      <c r="D6908">
        <v>3.887737</v>
      </c>
      <c r="E6908">
        <v>0.4571114</v>
      </c>
      <c r="F6908" t="s">
        <v>43</v>
      </c>
      <c r="G6908">
        <v>-189.4639</v>
      </c>
      <c r="H6908" s="1">
        <v>-3.5482600000000001E-6</v>
      </c>
      <c r="I6908">
        <v>-22.317820000000001</v>
      </c>
      <c r="J6908">
        <v>-189.12430000000001</v>
      </c>
      <c r="K6908">
        <v>1.11711</v>
      </c>
      <c r="L6908">
        <v>-36.217680000000001</v>
      </c>
      <c r="M6908">
        <v>0.1914438</v>
      </c>
      <c r="N6908">
        <v>0</v>
      </c>
      <c r="O6908">
        <v>0.98139410000000005</v>
      </c>
      <c r="P6908">
        <v>8.7614029999999996E-2</v>
      </c>
      <c r="Q6908">
        <v>0.19179019999999999</v>
      </c>
      <c r="R6908">
        <v>0.97751739999999998</v>
      </c>
      <c r="S6908">
        <v>-6.5597530000000001E-2</v>
      </c>
      <c r="T6908">
        <v>-0.24673300000000001</v>
      </c>
      <c r="U6908">
        <v>3.1269840000000002</v>
      </c>
      <c r="V6908">
        <v>-0.1043679</v>
      </c>
      <c r="W6908">
        <v>0.20448040000000001</v>
      </c>
      <c r="X6908">
        <v>0.97329089999999996</v>
      </c>
      <c r="Y6908">
        <v>-0.21193960000000001</v>
      </c>
      <c r="Z6908">
        <v>-7.5575920000000005E-2</v>
      </c>
      <c r="AA6908">
        <v>0.97435609999999995</v>
      </c>
      <c r="AB6908">
        <v>26</v>
      </c>
      <c r="AC6908">
        <v>-0.33959999999999002</v>
      </c>
      <c r="AD6908">
        <v>-1.1171135482600001</v>
      </c>
      <c r="AE6908">
        <v>13.89986</v>
      </c>
      <c r="AF6908">
        <v>-2.9754379691735502</v>
      </c>
      <c r="AG6908">
        <v>-1.1171135482600001</v>
      </c>
      <c r="AH6908">
        <v>13.490599719811501</v>
      </c>
      <c r="AI6908">
        <v>94.623070281099103</v>
      </c>
      <c r="AJ6908">
        <v>102.43782205408201</v>
      </c>
      <c r="AK6908">
        <v>13.8599226039789</v>
      </c>
      <c r="AL6908">
        <v>78.200916553755704</v>
      </c>
      <c r="AM6908">
        <v>96.120551327714693</v>
      </c>
      <c r="AN6908">
        <v>1.0000000342786799</v>
      </c>
    </row>
    <row r="6909" spans="1:40" x14ac:dyDescent="0.25">
      <c r="A6909" t="str">
        <f>"20190312172541536"</f>
        <v>20190312172541536</v>
      </c>
      <c r="B6909" t="str">
        <f>"1552382741527157"</f>
        <v>1552382741527157</v>
      </c>
      <c r="C6909" t="s">
        <v>40</v>
      </c>
      <c r="D6909">
        <v>3.8326750000000001</v>
      </c>
      <c r="E6909">
        <v>0.45750780000000002</v>
      </c>
      <c r="F6909" t="s">
        <v>43</v>
      </c>
      <c r="G6909">
        <v>-189.5061</v>
      </c>
      <c r="H6909" s="1">
        <v>-3.552674E-6</v>
      </c>
      <c r="I6909">
        <v>-22.290050000000001</v>
      </c>
      <c r="J6909">
        <v>-189.084</v>
      </c>
      <c r="K6909">
        <v>1.1170709999999999</v>
      </c>
      <c r="L6909">
        <v>-35.958190000000002</v>
      </c>
      <c r="M6909">
        <v>0.18243799999999999</v>
      </c>
      <c r="N6909">
        <v>0</v>
      </c>
      <c r="O6909">
        <v>0.98310810000000004</v>
      </c>
      <c r="P6909">
        <v>8.0338779999999999E-2</v>
      </c>
      <c r="Q6909">
        <v>0.19123499999999999</v>
      </c>
      <c r="R6909">
        <v>0.97825090000000003</v>
      </c>
      <c r="S6909">
        <v>-8.5693359999999996E-2</v>
      </c>
      <c r="T6909">
        <v>-0.25072220000000001</v>
      </c>
      <c r="U6909">
        <v>3.1258849999999998</v>
      </c>
      <c r="V6909">
        <v>-0.1026707</v>
      </c>
      <c r="W6909">
        <v>0.20396139999999999</v>
      </c>
      <c r="X6909">
        <v>0.97358020000000001</v>
      </c>
      <c r="Y6909">
        <v>-0.2092436</v>
      </c>
      <c r="Z6909">
        <v>-7.703931E-2</v>
      </c>
      <c r="AA6909">
        <v>0.97482409999999997</v>
      </c>
      <c r="AB6909">
        <v>26</v>
      </c>
      <c r="AC6909">
        <v>-0.42209999999999998</v>
      </c>
      <c r="AD6909">
        <v>-1.117074552674</v>
      </c>
      <c r="AE6909">
        <v>13.668139999999999</v>
      </c>
      <c r="AF6909">
        <v>-2.88958786176077</v>
      </c>
      <c r="AG6909">
        <v>-1.117074552674</v>
      </c>
      <c r="AH6909">
        <v>13.2731138520314</v>
      </c>
      <c r="AI6909">
        <v>94.7011136361143</v>
      </c>
      <c r="AJ6909">
        <v>102.281789119091</v>
      </c>
      <c r="AK6909">
        <v>13.6298615141921</v>
      </c>
      <c r="AL6909">
        <v>78.231292436757997</v>
      </c>
      <c r="AM6909">
        <v>96.019981792255294</v>
      </c>
      <c r="AN6909">
        <v>0.99999996558024395</v>
      </c>
    </row>
    <row r="6910" spans="1:40" x14ac:dyDescent="0.25">
      <c r="A6910" t="str">
        <f>"20190312172541560"</f>
        <v>20190312172541560</v>
      </c>
      <c r="B6910" t="str">
        <f>"1552382741557411"</f>
        <v>1552382741557411</v>
      </c>
      <c r="C6910" t="s">
        <v>40</v>
      </c>
      <c r="D6910">
        <v>4.1008719999999999</v>
      </c>
      <c r="E6910">
        <v>0.45846530000000002</v>
      </c>
      <c r="F6910" t="s">
        <v>43</v>
      </c>
      <c r="G6910">
        <v>-189.54650000000001</v>
      </c>
      <c r="H6910" s="1">
        <v>-3.6055730000000001E-6</v>
      </c>
      <c r="I6910">
        <v>-22.150040000000001</v>
      </c>
      <c r="J6910">
        <v>-189.04660000000001</v>
      </c>
      <c r="K6910">
        <v>1.1170059999999999</v>
      </c>
      <c r="L6910">
        <v>-35.702550000000002</v>
      </c>
      <c r="M6910">
        <v>0.17364489999999999</v>
      </c>
      <c r="N6910">
        <v>0</v>
      </c>
      <c r="O6910">
        <v>0.9846994</v>
      </c>
      <c r="P6910">
        <v>7.3313970000000006E-2</v>
      </c>
      <c r="Q6910">
        <v>0.1916582</v>
      </c>
      <c r="R6910">
        <v>0.97871969999999997</v>
      </c>
      <c r="S6910">
        <v>-0.10466</v>
      </c>
      <c r="T6910">
        <v>-0.25278659999999997</v>
      </c>
      <c r="U6910">
        <v>3.124695</v>
      </c>
      <c r="V6910">
        <v>-0.1009128</v>
      </c>
      <c r="W6910">
        <v>0.20442160000000001</v>
      </c>
      <c r="X6910">
        <v>0.97366750000000002</v>
      </c>
      <c r="Y6910">
        <v>-0.20642379999999999</v>
      </c>
      <c r="Z6910">
        <v>-7.7908069999999996E-2</v>
      </c>
      <c r="AA6910">
        <v>0.97535609999999995</v>
      </c>
      <c r="AB6910">
        <v>26</v>
      </c>
      <c r="AC6910">
        <v>-0.49989999999999601</v>
      </c>
      <c r="AD6910">
        <v>-1.1170096055730001</v>
      </c>
      <c r="AE6910">
        <v>13.55251</v>
      </c>
      <c r="AF6910">
        <v>-2.8267044928841898</v>
      </c>
      <c r="AG6910">
        <v>-1.1170096055730001</v>
      </c>
      <c r="AH6910">
        <v>13.170418126669601</v>
      </c>
      <c r="AI6910">
        <v>94.740327549893806</v>
      </c>
      <c r="AJ6910">
        <v>102.113356542246</v>
      </c>
      <c r="AK6910">
        <v>13.516578057346599</v>
      </c>
      <c r="AL6910">
        <v>78.204357740968504</v>
      </c>
      <c r="AM6910">
        <v>95.9171202080868</v>
      </c>
      <c r="AN6910">
        <v>0.99999999215332502</v>
      </c>
    </row>
    <row r="6911" spans="1:40" x14ac:dyDescent="0.25">
      <c r="A6911" t="str">
        <f>"20190312172541580"</f>
        <v>20190312172541580</v>
      </c>
      <c r="B6911" t="str">
        <f>"1552382741576932"</f>
        <v>1552382741576932</v>
      </c>
      <c r="C6911" t="s">
        <v>40</v>
      </c>
      <c r="D6911">
        <v>4.0937769999999896</v>
      </c>
      <c r="E6911">
        <v>0.45935720000000002</v>
      </c>
      <c r="F6911" t="s">
        <v>43</v>
      </c>
      <c r="G6911">
        <v>-189.5686</v>
      </c>
      <c r="H6911" s="1">
        <v>-3.7305149999999999E-6</v>
      </c>
      <c r="I6911">
        <v>-21.84967</v>
      </c>
      <c r="J6911">
        <v>-189.0136</v>
      </c>
      <c r="K6911">
        <v>1.116903</v>
      </c>
      <c r="L6911">
        <v>-35.462859999999999</v>
      </c>
      <c r="M6911">
        <v>0.16552130000000001</v>
      </c>
      <c r="N6911">
        <v>0</v>
      </c>
      <c r="O6911">
        <v>0.98609760000000002</v>
      </c>
      <c r="P6911">
        <v>6.6880129999999996E-2</v>
      </c>
      <c r="Q6911">
        <v>0.1917933</v>
      </c>
      <c r="R6911">
        <v>0.97915390000000002</v>
      </c>
      <c r="S6911">
        <v>-0.117691</v>
      </c>
      <c r="T6911">
        <v>-0.2518476</v>
      </c>
      <c r="U6911">
        <v>3.1233520000000001</v>
      </c>
      <c r="V6911">
        <v>-9.9228709999999998E-2</v>
      </c>
      <c r="W6911">
        <v>0.20459669999999999</v>
      </c>
      <c r="X6911">
        <v>0.9738038</v>
      </c>
      <c r="Y6911">
        <v>-0.202435</v>
      </c>
      <c r="Z6911">
        <v>-7.7849749999999995E-2</v>
      </c>
      <c r="AA6911">
        <v>0.97619639999999996</v>
      </c>
      <c r="AB6911">
        <v>26</v>
      </c>
      <c r="AC6911">
        <v>-0.55500000000000604</v>
      </c>
      <c r="AD6911">
        <v>-1.116906730515</v>
      </c>
      <c r="AE6911">
        <v>13.613189999999999</v>
      </c>
      <c r="AF6911">
        <v>-2.7821599677816602</v>
      </c>
      <c r="AG6911">
        <v>-1.116906730515</v>
      </c>
      <c r="AH6911">
        <v>13.2444901255703</v>
      </c>
      <c r="AI6911">
        <v>94.717856913281693</v>
      </c>
      <c r="AJ6911">
        <v>101.863164318149</v>
      </c>
      <c r="AK6911">
        <v>13.579558660624</v>
      </c>
      <c r="AL6911">
        <v>78.194108650108006</v>
      </c>
      <c r="AM6911">
        <v>95.818246397951597</v>
      </c>
      <c r="AN6911">
        <v>0.99999999371679604</v>
      </c>
    </row>
    <row r="6912" spans="1:40" x14ac:dyDescent="0.25">
      <c r="A6912" t="str">
        <f>"20190312172541604"</f>
        <v>20190312172541604</v>
      </c>
      <c r="B6912" t="str">
        <f>"1552382741597428"</f>
        <v>1552382741597428</v>
      </c>
      <c r="C6912" t="s">
        <v>40</v>
      </c>
      <c r="D6912">
        <v>3.8862559999999999</v>
      </c>
      <c r="E6912">
        <v>0.46012160000000002</v>
      </c>
      <c r="F6912" t="s">
        <v>43</v>
      </c>
      <c r="G6912">
        <v>-189.59379999999999</v>
      </c>
      <c r="H6912" s="1">
        <v>-3.8814900000000002E-6</v>
      </c>
      <c r="I6912">
        <v>-21.487310000000001</v>
      </c>
      <c r="J6912">
        <v>-188.9796</v>
      </c>
      <c r="K6912">
        <v>1.116741</v>
      </c>
      <c r="L6912">
        <v>-35.200530000000001</v>
      </c>
      <c r="M6912">
        <v>0.1568341</v>
      </c>
      <c r="N6912">
        <v>0</v>
      </c>
      <c r="O6912">
        <v>0.98751679999999997</v>
      </c>
      <c r="P6912">
        <v>5.9238140000000002E-2</v>
      </c>
      <c r="Q6912">
        <v>0.19154840000000001</v>
      </c>
      <c r="R6912">
        <v>0.97969379999999995</v>
      </c>
      <c r="S6912">
        <v>-0.12960819999999901</v>
      </c>
      <c r="T6912">
        <v>-0.24947250000000001</v>
      </c>
      <c r="U6912">
        <v>3.1215820000000001</v>
      </c>
      <c r="V6912">
        <v>-9.8178039999999994E-2</v>
      </c>
      <c r="W6912">
        <v>0.20438709999999999</v>
      </c>
      <c r="X6912">
        <v>0.97395430000000005</v>
      </c>
      <c r="Y6912">
        <v>-0.19755590000000001</v>
      </c>
      <c r="Z6912">
        <v>-7.736693E-2</v>
      </c>
      <c r="AA6912">
        <v>0.97723389999999999</v>
      </c>
      <c r="AB6912">
        <v>26</v>
      </c>
      <c r="AC6912">
        <v>-0.61419999999998198</v>
      </c>
      <c r="AD6912">
        <v>-1.1167448814899901</v>
      </c>
      <c r="AE6912">
        <v>13.71322</v>
      </c>
      <c r="AF6912">
        <v>-2.7393972383534702</v>
      </c>
      <c r="AG6912">
        <v>-1.1167448814899901</v>
      </c>
      <c r="AH6912">
        <v>13.358729517419</v>
      </c>
      <c r="AI6912">
        <v>94.6816490210593</v>
      </c>
      <c r="AJ6912">
        <v>101.588656453396</v>
      </c>
      <c r="AK6912">
        <v>13.6823634902525</v>
      </c>
      <c r="AL6912">
        <v>78.2063771306658</v>
      </c>
      <c r="AM6912">
        <v>95.756173044028102</v>
      </c>
      <c r="AN6912">
        <v>0.99999999633657</v>
      </c>
    </row>
    <row r="6913" spans="1:40" x14ac:dyDescent="0.25">
      <c r="A6913" t="str">
        <f>"20190312172541628"</f>
        <v>20190312172541628</v>
      </c>
      <c r="B6913" t="str">
        <f>"1552382741616947"</f>
        <v>1552382741616947</v>
      </c>
      <c r="C6913" t="s">
        <v>40</v>
      </c>
      <c r="D6913">
        <v>3.863108</v>
      </c>
      <c r="E6913">
        <v>0.46083760000000001</v>
      </c>
      <c r="F6913" t="s">
        <v>43</v>
      </c>
      <c r="G6913">
        <v>-189.6379</v>
      </c>
      <c r="H6913" s="1">
        <v>-3.9996910000000004E-6</v>
      </c>
      <c r="I6913">
        <v>-21.193539999999999</v>
      </c>
      <c r="J6913">
        <v>-188.94579999999999</v>
      </c>
      <c r="K6913">
        <v>1.1165350000000001</v>
      </c>
      <c r="L6913">
        <v>-34.92136</v>
      </c>
      <c r="M6913">
        <v>0.14784900000000001</v>
      </c>
      <c r="N6913">
        <v>0</v>
      </c>
      <c r="O6913">
        <v>0.98890230000000001</v>
      </c>
      <c r="P6913">
        <v>5.1683060000000003E-2</v>
      </c>
      <c r="Q6913">
        <v>0.1905521</v>
      </c>
      <c r="R6913">
        <v>0.98031559999999995</v>
      </c>
      <c r="S6913">
        <v>-0.14662169999999999</v>
      </c>
      <c r="T6913">
        <v>-0.24872569999999999</v>
      </c>
      <c r="U6913">
        <v>3.1196899999999999</v>
      </c>
      <c r="V6913">
        <v>-9.6742439999999999E-2</v>
      </c>
      <c r="W6913">
        <v>0.20343810000000001</v>
      </c>
      <c r="X6913">
        <v>0.97429659999999996</v>
      </c>
      <c r="Y6913">
        <v>-0.19398580000000001</v>
      </c>
      <c r="Z6913">
        <v>-7.7367190000000002E-2</v>
      </c>
      <c r="AA6913">
        <v>0.97794879999999995</v>
      </c>
      <c r="AB6913">
        <v>26</v>
      </c>
      <c r="AC6913">
        <v>-0.69210000000001004</v>
      </c>
      <c r="AD6913">
        <v>-1.116538999691</v>
      </c>
      <c r="AE6913">
        <v>13.727819999999999</v>
      </c>
      <c r="AF6913">
        <v>-2.6965595950802701</v>
      </c>
      <c r="AG6913">
        <v>-1.116538999691</v>
      </c>
      <c r="AH6913">
        <v>13.3862524542555</v>
      </c>
      <c r="AI6913">
        <v>94.674497131284198</v>
      </c>
      <c r="AJ6913">
        <v>101.38937840811801</v>
      </c>
      <c r="AK6913">
        <v>13.7007243515338</v>
      </c>
      <c r="AL6913">
        <v>78.261917979831793</v>
      </c>
      <c r="AM6913">
        <v>95.670576911983403</v>
      </c>
      <c r="AN6913">
        <v>1.00000001250016</v>
      </c>
    </row>
    <row r="6914" spans="1:40" x14ac:dyDescent="0.25">
      <c r="A6914" t="str">
        <f>"20190312172541649"</f>
        <v>20190312172541649</v>
      </c>
      <c r="B6914" t="str">
        <f>"1552382741637444"</f>
        <v>1552382741637444</v>
      </c>
      <c r="C6914" t="s">
        <v>40</v>
      </c>
      <c r="D6914">
        <v>3.8803380000000001</v>
      </c>
      <c r="E6914">
        <v>0.47140860000000001</v>
      </c>
      <c r="F6914" t="s">
        <v>43</v>
      </c>
      <c r="G6914">
        <v>-189.67259999999999</v>
      </c>
      <c r="H6914" s="1">
        <v>-4.024188E-6</v>
      </c>
      <c r="I6914">
        <v>-21.1221</v>
      </c>
      <c r="J6914">
        <v>-188.91909999999999</v>
      </c>
      <c r="K6914">
        <v>1.116357</v>
      </c>
      <c r="L6914">
        <v>-34.687010000000001</v>
      </c>
      <c r="M6914">
        <v>0.14050409999999999</v>
      </c>
      <c r="N6914">
        <v>0</v>
      </c>
      <c r="O6914">
        <v>0.98997279999999999</v>
      </c>
      <c r="P6914">
        <v>4.6274469999999998E-2</v>
      </c>
      <c r="Q6914">
        <v>0.18988379999999999</v>
      </c>
      <c r="R6914">
        <v>0.98071549999999996</v>
      </c>
      <c r="S6914">
        <v>-0.1642151</v>
      </c>
      <c r="T6914">
        <v>-0.25228289999999998</v>
      </c>
      <c r="U6914">
        <v>3.11795</v>
      </c>
      <c r="V6914">
        <v>-9.4802049999999999E-2</v>
      </c>
      <c r="W6914">
        <v>0.20281850000000001</v>
      </c>
      <c r="X6914">
        <v>0.9746165</v>
      </c>
      <c r="Y6914">
        <v>-0.1922287</v>
      </c>
      <c r="Z6914">
        <v>-7.8642310000000007E-2</v>
      </c>
      <c r="AA6914">
        <v>0.97819400000000001</v>
      </c>
      <c r="AB6914">
        <v>26</v>
      </c>
      <c r="AC6914">
        <v>-0.75350000000000195</v>
      </c>
      <c r="AD6914">
        <v>-1.116361024188</v>
      </c>
      <c r="AE6914">
        <v>13.564909999999999</v>
      </c>
      <c r="AF6914">
        <v>-2.63436428378902</v>
      </c>
      <c r="AG6914">
        <v>-1.116361024188</v>
      </c>
      <c r="AH6914">
        <v>13.2350733173244</v>
      </c>
      <c r="AI6914">
        <v>94.729074403250493</v>
      </c>
      <c r="AJ6914">
        <v>101.25726454818</v>
      </c>
      <c r="AK6914">
        <v>13.5408014102187</v>
      </c>
      <c r="AL6914">
        <v>78.298174725894995</v>
      </c>
      <c r="AM6914">
        <v>95.555747090947804</v>
      </c>
      <c r="AN6914">
        <v>1.00000004734935</v>
      </c>
    </row>
    <row r="6915" spans="1:40" x14ac:dyDescent="0.25">
      <c r="A6915" t="str">
        <f>"20190312172541671"</f>
        <v>20190312172541671</v>
      </c>
      <c r="B6915" t="str">
        <f>"1552382741666723"</f>
        <v>1552382741666723</v>
      </c>
      <c r="C6915" t="s">
        <v>40</v>
      </c>
      <c r="D6915">
        <v>6.3895989999999996</v>
      </c>
      <c r="E6915">
        <v>0.4734701</v>
      </c>
      <c r="F6915" t="s">
        <v>43</v>
      </c>
      <c r="G6915">
        <v>-189.3329</v>
      </c>
      <c r="H6915" s="1">
        <v>-4.0070199999999996E-6</v>
      </c>
      <c r="I6915">
        <v>-21.302579999999999</v>
      </c>
      <c r="J6915">
        <v>-188.89169999999999</v>
      </c>
      <c r="K6915">
        <v>1.116161</v>
      </c>
      <c r="L6915">
        <v>-34.431059999999903</v>
      </c>
      <c r="M6915">
        <v>0.132738299999999</v>
      </c>
      <c r="N6915">
        <v>0</v>
      </c>
      <c r="O6915">
        <v>0.99104429999999999</v>
      </c>
      <c r="P6915">
        <v>4.022622E-2</v>
      </c>
      <c r="Q6915">
        <v>0.1888869</v>
      </c>
      <c r="R6915">
        <v>0.98117460000000001</v>
      </c>
      <c r="S6915">
        <v>-9.6267699999999998E-2</v>
      </c>
      <c r="T6915">
        <v>-0.25971660000000002</v>
      </c>
      <c r="U6915">
        <v>3.1138309999999998</v>
      </c>
      <c r="V6915">
        <v>-9.3081529999999996E-2</v>
      </c>
      <c r="W6915">
        <v>0.20186870000000001</v>
      </c>
      <c r="X6915">
        <v>0.97497940000000005</v>
      </c>
      <c r="Y6915">
        <v>-0.1632102</v>
      </c>
      <c r="Z6915">
        <v>-8.1438960000000005E-2</v>
      </c>
      <c r="AA6915">
        <v>0.98322430000000005</v>
      </c>
      <c r="AB6915">
        <v>26</v>
      </c>
      <c r="AC6915">
        <v>-0.44120000000000897</v>
      </c>
      <c r="AD6915">
        <v>-1.11616500702</v>
      </c>
      <c r="AE6915">
        <v>13.1284799999999</v>
      </c>
      <c r="AF6915">
        <v>-2.16450394710114</v>
      </c>
      <c r="AG6915">
        <v>-1.11616500702</v>
      </c>
      <c r="AH6915">
        <v>12.860857113979501</v>
      </c>
      <c r="AI6915">
        <v>94.891688890201607</v>
      </c>
      <c r="AJ6915">
        <v>99.553445843515505</v>
      </c>
      <c r="AK6915">
        <v>13.089405921053499</v>
      </c>
      <c r="AL6915">
        <v>78.353743009966493</v>
      </c>
      <c r="AM6915">
        <v>95.453513837106399</v>
      </c>
      <c r="AN6915">
        <v>0.99999998684559499</v>
      </c>
    </row>
    <row r="6916" spans="1:40" x14ac:dyDescent="0.25">
      <c r="A6916" t="str">
        <f>"20190312172541693"</f>
        <v>20190312172541693</v>
      </c>
      <c r="B6916" t="str">
        <f>"1552382741687219"</f>
        <v>1552382741687219</v>
      </c>
      <c r="C6916" t="s">
        <v>40</v>
      </c>
      <c r="D6916">
        <v>3.7598449999999999</v>
      </c>
      <c r="E6916">
        <v>0.47998089999999999</v>
      </c>
      <c r="F6916" t="s">
        <v>43</v>
      </c>
      <c r="G6916">
        <v>-189.29130000000001</v>
      </c>
      <c r="H6916" s="1">
        <v>-3.8141449999999998E-6</v>
      </c>
      <c r="I6916">
        <v>-21.769400000000001</v>
      </c>
      <c r="J6916">
        <v>-188.8673</v>
      </c>
      <c r="K6916">
        <v>1.1159520000000001</v>
      </c>
      <c r="L6916">
        <v>-34.188780000000001</v>
      </c>
      <c r="M6916">
        <v>0.12568109999999999</v>
      </c>
      <c r="N6916">
        <v>0</v>
      </c>
      <c r="O6916">
        <v>0.99196450000000003</v>
      </c>
      <c r="P6916">
        <v>3.49707E-2</v>
      </c>
      <c r="Q6916">
        <v>0.18704809999999999</v>
      </c>
      <c r="R6916">
        <v>0.98172809999999999</v>
      </c>
      <c r="S6916">
        <v>-9.8281859999999999E-2</v>
      </c>
      <c r="T6916">
        <v>-0.27454770000000001</v>
      </c>
      <c r="U6916">
        <v>3.1144409999999998</v>
      </c>
      <c r="V6916">
        <v>-9.1280139999999996E-2</v>
      </c>
      <c r="W6916">
        <v>0.20007820000000001</v>
      </c>
      <c r="X6916">
        <v>0.97551860000000001</v>
      </c>
      <c r="Y6916">
        <v>-0.15680139999999901</v>
      </c>
      <c r="Z6916">
        <v>-8.6203859999999993E-2</v>
      </c>
      <c r="AA6916">
        <v>0.98386090000000004</v>
      </c>
      <c r="AB6916">
        <v>26</v>
      </c>
      <c r="AC6916">
        <v>-0.42400000000000598</v>
      </c>
      <c r="AD6916">
        <v>-1.1159558141449999</v>
      </c>
      <c r="AE6916">
        <v>12.41938</v>
      </c>
      <c r="AF6916">
        <v>-1.96582923599054</v>
      </c>
      <c r="AG6916">
        <v>-1.1159558141449999</v>
      </c>
      <c r="AH6916">
        <v>12.169444761009601</v>
      </c>
      <c r="AI6916">
        <v>95.172767692271293</v>
      </c>
      <c r="AJ6916">
        <v>99.176184305349693</v>
      </c>
      <c r="AK6916">
        <v>12.3776099371188</v>
      </c>
      <c r="AL6916">
        <v>78.458467358942301</v>
      </c>
      <c r="AM6916">
        <v>95.345651825869297</v>
      </c>
      <c r="AN6916">
        <v>0.999999944509808</v>
      </c>
    </row>
    <row r="6917" spans="1:40" x14ac:dyDescent="0.25">
      <c r="A6917" t="str">
        <f>"20190312172541829"</f>
        <v>20190312172541829</v>
      </c>
      <c r="B6917" t="str">
        <f>"1552382741817027"</f>
        <v>1552382741817027</v>
      </c>
      <c r="C6917" t="s">
        <v>40</v>
      </c>
      <c r="D6917">
        <v>4.0447309999999996</v>
      </c>
      <c r="E6917">
        <v>0.48566989999999999</v>
      </c>
      <c r="F6917" t="s">
        <v>43</v>
      </c>
      <c r="G6917">
        <v>-188.9939</v>
      </c>
      <c r="H6917" s="1">
        <v>-1.199918E-6</v>
      </c>
      <c r="I6917">
        <v>-27.9862</v>
      </c>
      <c r="J6917">
        <v>-188.7407</v>
      </c>
      <c r="K6917">
        <v>1.1142510000000001</v>
      </c>
      <c r="L6917">
        <v>-32.638820000000003</v>
      </c>
      <c r="M6917">
        <v>8.8512309999999997E-2</v>
      </c>
      <c r="N6917">
        <v>0</v>
      </c>
      <c r="O6917">
        <v>0.99597239999999998</v>
      </c>
      <c r="P6917">
        <v>1.1699569999999999E-2</v>
      </c>
      <c r="Q6917">
        <v>0.18096709999999999</v>
      </c>
      <c r="R6917">
        <v>0.9834195</v>
      </c>
      <c r="S6917">
        <v>-6.4605709999999997E-2</v>
      </c>
      <c r="T6917">
        <v>-0.56974269999999905</v>
      </c>
      <c r="U6917">
        <v>3.166687</v>
      </c>
      <c r="V6917">
        <v>-7.7098319999999998E-2</v>
      </c>
      <c r="W6917">
        <v>0.1943087</v>
      </c>
      <c r="X6917">
        <v>0.97790589999999999</v>
      </c>
      <c r="Y6917">
        <v>-0.10849830000000001</v>
      </c>
      <c r="Z6917">
        <v>-0.17549529999999999</v>
      </c>
      <c r="AA6917">
        <v>0.97848329999999994</v>
      </c>
      <c r="AB6917">
        <v>26</v>
      </c>
      <c r="AC6917">
        <v>-0.25319999999999199</v>
      </c>
      <c r="AD6917">
        <v>-1.114252199918</v>
      </c>
      <c r="AE6917">
        <v>4.6526199999999998</v>
      </c>
      <c r="AF6917">
        <v>-0.628141555393677</v>
      </c>
      <c r="AG6917">
        <v>-1.114252199918</v>
      </c>
      <c r="AH6917">
        <v>4.3624705290696699</v>
      </c>
      <c r="AI6917">
        <v>104.18769826476399</v>
      </c>
      <c r="AJ6917">
        <v>98.193565932786697</v>
      </c>
      <c r="AK6917">
        <v>4.5461268015351202</v>
      </c>
      <c r="AL6917">
        <v>78.795657228423096</v>
      </c>
      <c r="AM6917">
        <v>94.507887496552399</v>
      </c>
      <c r="AN6917">
        <v>0.99999998554866099</v>
      </c>
    </row>
    <row r="6918" spans="1:40" x14ac:dyDescent="0.25">
      <c r="A6918" t="str">
        <f>"20190312172541851"</f>
        <v>20190312172541851</v>
      </c>
      <c r="B6918" t="str">
        <f>"1552382741847283"</f>
        <v>1552382741847283</v>
      </c>
      <c r="C6918" t="s">
        <v>40</v>
      </c>
      <c r="D6918">
        <v>4.1343239999999897</v>
      </c>
      <c r="E6918">
        <v>0.48786400000000002</v>
      </c>
      <c r="F6918" t="s">
        <v>41</v>
      </c>
      <c r="G6918">
        <v>-188.76249999999999</v>
      </c>
      <c r="H6918">
        <v>0.95189400000000002</v>
      </c>
      <c r="I6918">
        <v>-31.808119999999999</v>
      </c>
      <c r="J6918">
        <v>-188.7244</v>
      </c>
      <c r="K6918">
        <v>1.1140209999999999</v>
      </c>
      <c r="L6918">
        <v>-32.395200000000003</v>
      </c>
      <c r="M6918">
        <v>8.3937349999999994E-2</v>
      </c>
      <c r="N6918">
        <v>0</v>
      </c>
      <c r="O6918">
        <v>0.99636880000000005</v>
      </c>
      <c r="P6918">
        <v>9.4888360000000005E-3</v>
      </c>
      <c r="Q6918">
        <v>0.17976449999999999</v>
      </c>
      <c r="R6918">
        <v>0.98366390000000004</v>
      </c>
      <c r="S6918">
        <v>-8.3541870000000004E-2</v>
      </c>
      <c r="T6918">
        <v>-0.61884519999999998</v>
      </c>
      <c r="U6918">
        <v>3.1654659999999999</v>
      </c>
      <c r="V6918">
        <v>-7.4696449999999998E-2</v>
      </c>
      <c r="W6918">
        <v>0.19314290000000001</v>
      </c>
      <c r="X6918">
        <v>0.97832319999999995</v>
      </c>
      <c r="Y6918">
        <v>-0.1097177</v>
      </c>
      <c r="Z6918">
        <v>-0.19024379999999999</v>
      </c>
      <c r="AA6918">
        <v>0.97558670000000003</v>
      </c>
      <c r="AB6918">
        <v>26</v>
      </c>
      <c r="AC6918">
        <v>-3.8099999999985798E-2</v>
      </c>
      <c r="AD6918">
        <v>-0.16212699999999899</v>
      </c>
      <c r="AE6918">
        <v>0.58708000000000005</v>
      </c>
      <c r="AF6918">
        <v>-8.10902017704654E-2</v>
      </c>
      <c r="AG6918">
        <v>-0.16212699999999899</v>
      </c>
      <c r="AH6918">
        <v>0.54074347731040595</v>
      </c>
      <c r="AI6918">
        <v>106.515457405707</v>
      </c>
      <c r="AJ6918">
        <v>98.528556312475203</v>
      </c>
      <c r="AK6918">
        <v>0.57031946591881699</v>
      </c>
      <c r="AL6918">
        <v>78.863742773415396</v>
      </c>
      <c r="AM6918">
        <v>94.366147991656305</v>
      </c>
      <c r="AN6918">
        <v>1.00000001156062</v>
      </c>
    </row>
    <row r="6919" spans="1:40" x14ac:dyDescent="0.25">
      <c r="A6919" t="str">
        <f>"20190312172541871"</f>
        <v>20190312172541871</v>
      </c>
      <c r="B6919" t="str">
        <f>"1552382741866803"</f>
        <v>1552382741866803</v>
      </c>
      <c r="C6919" t="s">
        <v>40</v>
      </c>
      <c r="D6919">
        <v>4.3104319999999996</v>
      </c>
      <c r="E6919">
        <v>0.49798009999999898</v>
      </c>
      <c r="F6919" t="s">
        <v>41</v>
      </c>
      <c r="G6919">
        <v>-188.7431</v>
      </c>
      <c r="H6919">
        <v>0.96543279999999998</v>
      </c>
      <c r="I6919">
        <v>-31.575980000000001</v>
      </c>
      <c r="J6919">
        <v>-188.70949999999999</v>
      </c>
      <c r="K6919">
        <v>1.1137809999999999</v>
      </c>
      <c r="L6919">
        <v>-32.160609999999998</v>
      </c>
      <c r="M6919">
        <v>7.9855540000000003E-2</v>
      </c>
      <c r="N6919">
        <v>0</v>
      </c>
      <c r="O6919">
        <v>0.99670479999999995</v>
      </c>
      <c r="P6919">
        <v>7.8646480000000001E-3</v>
      </c>
      <c r="Q6919">
        <v>0.1779693</v>
      </c>
      <c r="R6919">
        <v>0.98400460000000001</v>
      </c>
      <c r="S6919">
        <v>-7.2402949999999994E-2</v>
      </c>
      <c r="T6919">
        <v>-0.57240930000000001</v>
      </c>
      <c r="U6919">
        <v>3.1551209999999998</v>
      </c>
      <c r="V6919">
        <v>-7.2204779999999996E-2</v>
      </c>
      <c r="W6919">
        <v>0.1913839</v>
      </c>
      <c r="X6919">
        <v>0.97885580000000005</v>
      </c>
      <c r="Y6919">
        <v>-0.10234360000000001</v>
      </c>
      <c r="Z6919">
        <v>-0.17716489999999999</v>
      </c>
      <c r="AA6919">
        <v>0.97884539999999998</v>
      </c>
      <c r="AB6919">
        <v>26</v>
      </c>
      <c r="AC6919">
        <v>-3.3600000000006902E-2</v>
      </c>
      <c r="AD6919">
        <v>-0.14834819999999899</v>
      </c>
      <c r="AE6919">
        <v>0.58462999999999998</v>
      </c>
      <c r="AF6919">
        <v>-7.53478530464953E-2</v>
      </c>
      <c r="AG6919">
        <v>-0.14834819999999899</v>
      </c>
      <c r="AH6919">
        <v>0.54509719298030102</v>
      </c>
      <c r="AI6919">
        <v>105.08750041473</v>
      </c>
      <c r="AJ6919">
        <v>97.870026159813506</v>
      </c>
      <c r="AK6919">
        <v>0.56992581727533598</v>
      </c>
      <c r="AL6919">
        <v>78.966441984518397</v>
      </c>
      <c r="AM6919">
        <v>94.218752233804807</v>
      </c>
      <c r="AN6919">
        <v>1.00000000231384</v>
      </c>
    </row>
    <row r="6920" spans="1:40" x14ac:dyDescent="0.25">
      <c r="A6920" t="str">
        <f>"20190312172541894"</f>
        <v>20190312172541894</v>
      </c>
      <c r="B6920" t="str">
        <f>"1552382741887301"</f>
        <v>1552382741887301</v>
      </c>
      <c r="C6920" t="s">
        <v>40</v>
      </c>
      <c r="D6920">
        <v>3.854841</v>
      </c>
      <c r="E6920">
        <v>0.49737550000000003</v>
      </c>
      <c r="F6920" t="s">
        <v>43</v>
      </c>
      <c r="G6920">
        <v>-188.68270000000001</v>
      </c>
      <c r="H6920" s="1">
        <v>-2.7476289999999999E-6</v>
      </c>
      <c r="I6920">
        <v>-14.507110000000001</v>
      </c>
      <c r="J6920">
        <v>-188.69399999999999</v>
      </c>
      <c r="K6920">
        <v>1.1135109999999999</v>
      </c>
      <c r="L6920">
        <v>-31.905360000000002</v>
      </c>
      <c r="M6920">
        <v>7.5772809999999996E-2</v>
      </c>
      <c r="N6920">
        <v>0</v>
      </c>
      <c r="O6920">
        <v>0.99702389999999996</v>
      </c>
      <c r="P6920">
        <v>7.4745979999999998E-3</v>
      </c>
      <c r="Q6920">
        <v>0.17601789999999901</v>
      </c>
      <c r="R6920">
        <v>0.98435859999999997</v>
      </c>
      <c r="S6920">
        <v>4.6844479999999999E-3</v>
      </c>
      <c r="T6920">
        <v>-0.19456889999999999</v>
      </c>
      <c r="U6920">
        <v>3.083923</v>
      </c>
      <c r="V6920">
        <v>-6.8466109999999997E-2</v>
      </c>
      <c r="W6920">
        <v>0.18947919999999999</v>
      </c>
      <c r="X6920">
        <v>0.9794948</v>
      </c>
      <c r="Y6920">
        <v>-7.4268529999999999E-2</v>
      </c>
      <c r="Z6920">
        <v>-6.2607780000000002E-2</v>
      </c>
      <c r="AA6920">
        <v>0.99527100000000002</v>
      </c>
      <c r="AB6920">
        <v>26</v>
      </c>
      <c r="AC6920">
        <v>1.1300000000005601E-2</v>
      </c>
      <c r="AD6920">
        <v>-1.113513747629</v>
      </c>
      <c r="AE6920">
        <v>17.398249999999901</v>
      </c>
      <c r="AF6920">
        <v>-1.3018472277586499</v>
      </c>
      <c r="AG6920">
        <v>-1.113513747629</v>
      </c>
      <c r="AH6920">
        <v>17.278302948220698</v>
      </c>
      <c r="AI6920">
        <v>93.676978501253899</v>
      </c>
      <c r="AJ6920">
        <v>94.308853786602299</v>
      </c>
      <c r="AK6920">
        <v>17.363020239609</v>
      </c>
      <c r="AL6920">
        <v>79.077607739737203</v>
      </c>
      <c r="AM6920">
        <v>93.998437701393499</v>
      </c>
      <c r="AN6920">
        <v>1.0000000193391001</v>
      </c>
    </row>
    <row r="6921" spans="1:40" x14ac:dyDescent="0.25">
      <c r="A6921" t="str">
        <f>"20190312172541917"</f>
        <v>20190312172541917</v>
      </c>
      <c r="B6921" t="str">
        <f>"1552382741906823"</f>
        <v>1552382741906823</v>
      </c>
      <c r="C6921" t="s">
        <v>40</v>
      </c>
      <c r="D6921">
        <v>3.8522120000000002</v>
      </c>
      <c r="E6921">
        <v>0.49781340000000002</v>
      </c>
      <c r="F6921" t="s">
        <v>43</v>
      </c>
      <c r="G6921">
        <v>-188.70339999999999</v>
      </c>
      <c r="H6921" s="1">
        <v>-2.2397950000000002E-6</v>
      </c>
      <c r="I6921">
        <v>-15.68233</v>
      </c>
      <c r="J6921">
        <v>-188.6789</v>
      </c>
      <c r="K6921">
        <v>1.113218</v>
      </c>
      <c r="L6921">
        <v>-31.646909999999998</v>
      </c>
      <c r="M6921">
        <v>7.2002620000000003E-2</v>
      </c>
      <c r="N6921">
        <v>0</v>
      </c>
      <c r="O6921">
        <v>0.99730370000000002</v>
      </c>
      <c r="P6921">
        <v>9.2093629999999999E-3</v>
      </c>
      <c r="Q6921">
        <v>0.17280200000000001</v>
      </c>
      <c r="R6921">
        <v>0.9849135</v>
      </c>
      <c r="S6921">
        <v>-1.785278E-3</v>
      </c>
      <c r="T6921">
        <v>-0.2117848</v>
      </c>
      <c r="U6921">
        <v>3.0855410000000001</v>
      </c>
      <c r="V6921">
        <v>-6.2914360000000003E-2</v>
      </c>
      <c r="W6921">
        <v>0.18632489999999999</v>
      </c>
      <c r="X6921">
        <v>0.98047169999999895</v>
      </c>
      <c r="Y6921">
        <v>-7.2585360000000002E-2</v>
      </c>
      <c r="Z6921">
        <v>-6.8119959999999993E-2</v>
      </c>
      <c r="AA6921">
        <v>0.99503319999999995</v>
      </c>
      <c r="AB6921">
        <v>26</v>
      </c>
      <c r="AC6921">
        <v>-2.4499999999988999E-2</v>
      </c>
      <c r="AD6921">
        <v>-1.113220239795</v>
      </c>
      <c r="AE6921">
        <v>15.9645799999999</v>
      </c>
      <c r="AF6921">
        <v>-1.1683625105334201</v>
      </c>
      <c r="AG6921">
        <v>-1.113220239795</v>
      </c>
      <c r="AH6921">
        <v>15.844329771655101</v>
      </c>
      <c r="AI6921">
        <v>94.008141454287895</v>
      </c>
      <c r="AJ6921">
        <v>94.217363623752206</v>
      </c>
      <c r="AK6921">
        <v>15.9263026522563</v>
      </c>
      <c r="AL6921">
        <v>79.261612912769195</v>
      </c>
      <c r="AM6921">
        <v>93.671490002951401</v>
      </c>
      <c r="AN6921">
        <v>0.99999996977755401</v>
      </c>
    </row>
    <row r="6922" spans="1:40" x14ac:dyDescent="0.25">
      <c r="A6922" t="str">
        <f>"20190312172541950"</f>
        <v>20190312172541950</v>
      </c>
      <c r="B6922" t="str">
        <f>"1552382741946837"</f>
        <v>1552382741946837</v>
      </c>
      <c r="C6922" t="s">
        <v>40</v>
      </c>
      <c r="D6922">
        <v>3.9338709999999999</v>
      </c>
      <c r="E6922">
        <v>0.49788329999999997</v>
      </c>
      <c r="F6922" t="s">
        <v>43</v>
      </c>
      <c r="G6922">
        <v>-188.6454</v>
      </c>
      <c r="H6922" s="1">
        <v>-1.9148459999999999E-6</v>
      </c>
      <c r="I6922">
        <v>-16.46377</v>
      </c>
      <c r="J6922">
        <v>-188.65780000000001</v>
      </c>
      <c r="K6922">
        <v>1.112795</v>
      </c>
      <c r="L6922">
        <v>-31.268460000000001</v>
      </c>
      <c r="M6922">
        <v>6.7177899999999999E-2</v>
      </c>
      <c r="N6922">
        <v>0</v>
      </c>
      <c r="O6922">
        <v>0.997641</v>
      </c>
      <c r="P6922">
        <v>9.5228629999999995E-3</v>
      </c>
      <c r="Q6922">
        <v>0.16975750000000001</v>
      </c>
      <c r="R6922">
        <v>0.98543979999999998</v>
      </c>
      <c r="S6922">
        <v>6.8054200000000004E-3</v>
      </c>
      <c r="T6922">
        <v>-0.2262324</v>
      </c>
      <c r="U6922">
        <v>3.0855709999999998</v>
      </c>
      <c r="V6922">
        <v>-5.7675539999999997E-2</v>
      </c>
      <c r="W6922">
        <v>0.18333930000000001</v>
      </c>
      <c r="X6922">
        <v>0.98135629999999996</v>
      </c>
      <c r="Y6922">
        <v>-6.4989539999999998E-2</v>
      </c>
      <c r="Z6922">
        <v>-7.2798199999999993E-2</v>
      </c>
      <c r="AA6922">
        <v>0.99522699999999997</v>
      </c>
      <c r="AB6922">
        <v>26</v>
      </c>
      <c r="AC6922">
        <v>1.24000000000137E-2</v>
      </c>
      <c r="AD6922">
        <v>-1.112796914846</v>
      </c>
      <c r="AE6922">
        <v>14.8046899999999</v>
      </c>
      <c r="AF6922">
        <v>-0.97675677662457105</v>
      </c>
      <c r="AG6922">
        <v>-1.112796914846</v>
      </c>
      <c r="AH6922">
        <v>14.6890824672045</v>
      </c>
      <c r="AI6922">
        <v>94.322756042065194</v>
      </c>
      <c r="AJ6922">
        <v>93.8043066929731</v>
      </c>
      <c r="AK6922">
        <v>14.7635197193185</v>
      </c>
      <c r="AL6922">
        <v>79.435674407996004</v>
      </c>
      <c r="AM6922">
        <v>93.363475800326199</v>
      </c>
      <c r="AN6922">
        <v>0.99999997719423495</v>
      </c>
    </row>
    <row r="6923" spans="1:40" x14ac:dyDescent="0.25">
      <c r="A6923" t="str">
        <f>"20190312172541972"</f>
        <v>20190312172541972</v>
      </c>
      <c r="B6923" t="str">
        <f>"1552382741967332"</f>
        <v>1552382741967332</v>
      </c>
      <c r="C6923" t="s">
        <v>40</v>
      </c>
      <c r="D6923">
        <v>3.9003939999999999</v>
      </c>
      <c r="E6923">
        <v>0.49814140000000001</v>
      </c>
      <c r="F6923" t="s">
        <v>43</v>
      </c>
      <c r="G6923">
        <v>-188.61500000000001</v>
      </c>
      <c r="H6923" s="1">
        <v>-1.5511099999999999E-6</v>
      </c>
      <c r="I6923">
        <v>-17.32423</v>
      </c>
      <c r="J6923">
        <v>-188.6447</v>
      </c>
      <c r="K6923">
        <v>1.1125309999999999</v>
      </c>
      <c r="L6923">
        <v>-31.026789999999998</v>
      </c>
      <c r="M6923">
        <v>6.4496490000000004E-2</v>
      </c>
      <c r="N6923">
        <v>0</v>
      </c>
      <c r="O6923">
        <v>0.99781830000000005</v>
      </c>
      <c r="P6923">
        <v>9.6710530000000006E-3</v>
      </c>
      <c r="Q6923">
        <v>0.16792290000000001</v>
      </c>
      <c r="R6923">
        <v>0.98575270000000004</v>
      </c>
      <c r="S6923">
        <v>9.4757079999999994E-3</v>
      </c>
      <c r="T6923">
        <v>-0.24632670000000001</v>
      </c>
      <c r="U6923">
        <v>3.0866699999999998</v>
      </c>
      <c r="V6923">
        <v>-5.4782850000000001E-2</v>
      </c>
      <c r="W6923">
        <v>0.18153430000000001</v>
      </c>
      <c r="X6923">
        <v>0.98185750000000005</v>
      </c>
      <c r="Y6923">
        <v>-6.1448589999999997E-2</v>
      </c>
      <c r="Z6923">
        <v>-7.9226899999999906E-2</v>
      </c>
      <c r="AA6923">
        <v>0.99496090000000004</v>
      </c>
      <c r="AB6923">
        <v>25</v>
      </c>
      <c r="AC6923">
        <v>2.9699999999991102E-2</v>
      </c>
      <c r="AD6923">
        <v>-1.1125325511099999</v>
      </c>
      <c r="AE6923">
        <v>13.70256</v>
      </c>
      <c r="AF6923">
        <v>-0.848622596135854</v>
      </c>
      <c r="AG6923">
        <v>-1.1125325511099999</v>
      </c>
      <c r="AH6923">
        <v>13.5863784385195</v>
      </c>
      <c r="AI6923">
        <v>94.672206051578399</v>
      </c>
      <c r="AJ6923">
        <v>93.574124544228198</v>
      </c>
      <c r="AK6923">
        <v>13.658241763222</v>
      </c>
      <c r="AL6923">
        <v>79.540858862898105</v>
      </c>
      <c r="AM6923">
        <v>93.193513326418994</v>
      </c>
      <c r="AN6923">
        <v>1.00000000651843</v>
      </c>
    </row>
    <row r="6924" spans="1:40" x14ac:dyDescent="0.25">
      <c r="A6924" t="str">
        <f>"20190312172541995"</f>
        <v>20190312172541995</v>
      </c>
      <c r="B6924" t="str">
        <f>"1552382741986852"</f>
        <v>1552382741986852</v>
      </c>
      <c r="C6924" t="s">
        <v>40</v>
      </c>
      <c r="D6924">
        <v>3.945894</v>
      </c>
      <c r="E6924">
        <v>0.49845270000000003</v>
      </c>
      <c r="F6924" t="s">
        <v>43</v>
      </c>
      <c r="G6924">
        <v>-188.5882</v>
      </c>
      <c r="H6924" s="1">
        <v>-1.4030120000000001E-6</v>
      </c>
      <c r="I6924">
        <v>-17.680540000000001</v>
      </c>
      <c r="J6924">
        <v>-188.63050000000001</v>
      </c>
      <c r="K6924">
        <v>1.1122810000000001</v>
      </c>
      <c r="L6924">
        <v>-30.755579999999998</v>
      </c>
      <c r="M6924">
        <v>6.1829870000000002E-2</v>
      </c>
      <c r="N6924">
        <v>0</v>
      </c>
      <c r="O6924">
        <v>0.99798739999999997</v>
      </c>
      <c r="P6924">
        <v>1.016799E-2</v>
      </c>
      <c r="Q6924">
        <v>0.16668859999999999</v>
      </c>
      <c r="R6924">
        <v>0.98595710000000003</v>
      </c>
      <c r="S6924">
        <v>1.3092039999999999E-2</v>
      </c>
      <c r="T6924">
        <v>-0.25733529999999999</v>
      </c>
      <c r="U6924">
        <v>3.0870669999999998</v>
      </c>
      <c r="V6924">
        <v>-5.1553910000000001E-2</v>
      </c>
      <c r="W6924">
        <v>0.18032480000000001</v>
      </c>
      <c r="X6924">
        <v>0.98225519999999999</v>
      </c>
      <c r="Y6924">
        <v>-5.7617069999999999E-2</v>
      </c>
      <c r="Z6924">
        <v>-8.2763530000000002E-2</v>
      </c>
      <c r="AA6924">
        <v>0.99490230000000002</v>
      </c>
      <c r="AB6924">
        <v>25</v>
      </c>
      <c r="AC6924">
        <v>4.2300000000011502E-2</v>
      </c>
      <c r="AD6924">
        <v>-1.11228240301199</v>
      </c>
      <c r="AE6924">
        <v>13.0750399999999</v>
      </c>
      <c r="AF6924">
        <v>-0.76078355654998298</v>
      </c>
      <c r="AG6924">
        <v>-1.11228240301199</v>
      </c>
      <c r="AH6924">
        <v>12.9588551428747</v>
      </c>
      <c r="AI6924">
        <v>94.897387469600403</v>
      </c>
      <c r="AJ6924">
        <v>93.359842456908794</v>
      </c>
      <c r="AK6924">
        <v>13.028733260681101</v>
      </c>
      <c r="AL6924">
        <v>79.611321562104195</v>
      </c>
      <c r="AM6924">
        <v>93.0044265845994</v>
      </c>
      <c r="AN6924">
        <v>1.0000000585291799</v>
      </c>
    </row>
    <row r="6925" spans="1:40" x14ac:dyDescent="0.25">
      <c r="A6925" t="str">
        <f>"20190312172542020"</f>
        <v>20190312172542020</v>
      </c>
      <c r="B6925" t="str">
        <f>"1552382742017109"</f>
        <v>1552382742017109</v>
      </c>
      <c r="C6925" t="s">
        <v>40</v>
      </c>
      <c r="D6925">
        <v>3.87765</v>
      </c>
      <c r="E6925">
        <v>0.49891000000000002</v>
      </c>
      <c r="F6925" t="s">
        <v>43</v>
      </c>
      <c r="G6925">
        <v>-188.55539999999999</v>
      </c>
      <c r="H6925" s="1">
        <v>-1.4239119999999999E-6</v>
      </c>
      <c r="I6925">
        <v>-17.645379999999999</v>
      </c>
      <c r="J6925">
        <v>-188.61680000000001</v>
      </c>
      <c r="K6925">
        <v>1.1120509999999999</v>
      </c>
      <c r="L6925">
        <v>-30.488980000000002</v>
      </c>
      <c r="M6925">
        <v>5.9581380000000003E-2</v>
      </c>
      <c r="N6925">
        <v>0</v>
      </c>
      <c r="O6925">
        <v>0.99812449999999997</v>
      </c>
      <c r="P6925">
        <v>1.141554E-2</v>
      </c>
      <c r="Q6925">
        <v>0.16633399999999901</v>
      </c>
      <c r="R6925">
        <v>0.98600339999999997</v>
      </c>
      <c r="S6925">
        <v>1.7700199999999999E-2</v>
      </c>
      <c r="T6925">
        <v>-0.26188889999999998</v>
      </c>
      <c r="U6925">
        <v>3.0868229999999999</v>
      </c>
      <c r="V6925">
        <v>-4.798989E-2</v>
      </c>
      <c r="W6925">
        <v>0.17998989999999901</v>
      </c>
      <c r="X6925">
        <v>0.98249710000000001</v>
      </c>
      <c r="Y6925">
        <v>-5.3882720000000002E-2</v>
      </c>
      <c r="Z6925">
        <v>-8.4250110000000003E-2</v>
      </c>
      <c r="AA6925">
        <v>0.9949867</v>
      </c>
      <c r="AB6925">
        <v>25</v>
      </c>
      <c r="AC6925">
        <v>6.1400000000020299E-2</v>
      </c>
      <c r="AD6925">
        <v>-1.112052423912</v>
      </c>
      <c r="AE6925">
        <v>12.8436</v>
      </c>
      <c r="AF6925">
        <v>-0.698785559767094</v>
      </c>
      <c r="AG6925">
        <v>-1.112052423912</v>
      </c>
      <c r="AH6925">
        <v>12.729011960072601</v>
      </c>
      <c r="AI6925">
        <v>94.985420567442205</v>
      </c>
      <c r="AJ6925">
        <v>93.142216842826201</v>
      </c>
      <c r="AK6925">
        <v>12.796589675837</v>
      </c>
      <c r="AL6925">
        <v>79.630828202708202</v>
      </c>
      <c r="AM6925">
        <v>92.796379334690101</v>
      </c>
      <c r="AN6925">
        <v>0.99999997257631501</v>
      </c>
    </row>
    <row r="6926" spans="1:40" x14ac:dyDescent="0.25">
      <c r="A6926" t="str">
        <f>"20190312172542043"</f>
        <v>20190312172542043</v>
      </c>
      <c r="B6926" t="str">
        <f>"1552382742037604"</f>
        <v>1552382742037604</v>
      </c>
      <c r="C6926" t="s">
        <v>40</v>
      </c>
      <c r="D6926">
        <v>3.8374990000000002</v>
      </c>
      <c r="E6926">
        <v>0.49923669999999998</v>
      </c>
      <c r="F6926" t="s">
        <v>43</v>
      </c>
      <c r="G6926">
        <v>-188.50919999999999</v>
      </c>
      <c r="H6926" s="1">
        <v>-1.485876E-6</v>
      </c>
      <c r="I6926">
        <v>-17.52</v>
      </c>
      <c r="J6926">
        <v>-188.60390000000001</v>
      </c>
      <c r="K6926">
        <v>1.1118250000000001</v>
      </c>
      <c r="L6926">
        <v>-30.233339999999998</v>
      </c>
      <c r="M6926">
        <v>5.7793879999999999E-2</v>
      </c>
      <c r="N6926">
        <v>0</v>
      </c>
      <c r="O6926">
        <v>0.99822999999999995</v>
      </c>
      <c r="P6926">
        <v>1.3222930000000001E-2</v>
      </c>
      <c r="Q6926">
        <v>0.1663779</v>
      </c>
      <c r="R6926">
        <v>0.9859734</v>
      </c>
      <c r="S6926">
        <v>2.5604249999999999E-2</v>
      </c>
      <c r="T6926">
        <v>-0.2646965</v>
      </c>
      <c r="U6926">
        <v>3.0869450000000001</v>
      </c>
      <c r="V6926">
        <v>-4.4320770000000002E-2</v>
      </c>
      <c r="W6926">
        <v>0.18005090000000001</v>
      </c>
      <c r="X6926">
        <v>0.98265829999999998</v>
      </c>
      <c r="Y6926">
        <v>-4.9547420000000002E-2</v>
      </c>
      <c r="Z6926">
        <v>-8.516572E-2</v>
      </c>
      <c r="AA6926">
        <v>0.99513410000000002</v>
      </c>
      <c r="AB6926">
        <v>25</v>
      </c>
      <c r="AC6926">
        <v>9.4700000000017298E-2</v>
      </c>
      <c r="AD6926">
        <v>-1.1118264858759901</v>
      </c>
      <c r="AE6926">
        <v>12.713340000000001</v>
      </c>
      <c r="AF6926">
        <v>-0.63542431945893796</v>
      </c>
      <c r="AG6926">
        <v>-1.1118264858759901</v>
      </c>
      <c r="AH6926">
        <v>12.6011894889528</v>
      </c>
      <c r="AI6926">
        <v>95.035890785456601</v>
      </c>
      <c r="AJ6926">
        <v>92.886737048682093</v>
      </c>
      <c r="AK6926">
        <v>12.6660924809884</v>
      </c>
      <c r="AL6926">
        <v>79.627275357415797</v>
      </c>
      <c r="AM6926">
        <v>92.582457425604304</v>
      </c>
      <c r="AN6926">
        <v>0.99999999590154598</v>
      </c>
    </row>
    <row r="6927" spans="1:40" x14ac:dyDescent="0.25">
      <c r="A6927" t="str">
        <f>"20190312172542064"</f>
        <v>20190312172542064</v>
      </c>
      <c r="B6927" t="str">
        <f>"1552382742057199"</f>
        <v>1552382742057199</v>
      </c>
      <c r="C6927" t="s">
        <v>40</v>
      </c>
      <c r="D6927">
        <v>3.8388080000000002</v>
      </c>
      <c r="E6927">
        <v>0.49944309999999997</v>
      </c>
      <c r="F6927" t="s">
        <v>43</v>
      </c>
      <c r="G6927">
        <v>-188.45570000000001</v>
      </c>
      <c r="H6927" s="1">
        <v>-1.6321180000000001E-6</v>
      </c>
      <c r="I6927">
        <v>-17.201260000000001</v>
      </c>
      <c r="J6927">
        <v>-188.59110000000001</v>
      </c>
      <c r="K6927">
        <v>1.1115980000000001</v>
      </c>
      <c r="L6927">
        <v>-29.97888</v>
      </c>
      <c r="M6927">
        <v>5.6360210000000001E-2</v>
      </c>
      <c r="N6927">
        <v>0</v>
      </c>
      <c r="O6927">
        <v>0.99831219999999998</v>
      </c>
      <c r="P6927">
        <v>1.5300609999999999E-2</v>
      </c>
      <c r="Q6927">
        <v>0.16608239999999999</v>
      </c>
      <c r="R6927">
        <v>0.98599309999999996</v>
      </c>
      <c r="S6927">
        <v>3.5095210000000002E-2</v>
      </c>
      <c r="T6927">
        <v>-0.2633355</v>
      </c>
      <c r="U6927">
        <v>3.0866389999999999</v>
      </c>
      <c r="V6927">
        <v>-4.0728680000000003E-2</v>
      </c>
      <c r="W6927">
        <v>0.17977190000000001</v>
      </c>
      <c r="X6927">
        <v>0.98286479999999998</v>
      </c>
      <c r="Y6927">
        <v>-4.5051729999999998E-2</v>
      </c>
      <c r="Z6927">
        <v>-8.4757540000000006E-2</v>
      </c>
      <c r="AA6927">
        <v>0.99538260000000001</v>
      </c>
      <c r="AB6927">
        <v>25</v>
      </c>
      <c r="AC6927">
        <v>0.13540000000000399</v>
      </c>
      <c r="AD6927">
        <v>-1.1115996321179999</v>
      </c>
      <c r="AE6927">
        <v>12.777620000000001</v>
      </c>
      <c r="AF6927">
        <v>-0.58064133286981101</v>
      </c>
      <c r="AG6927">
        <v>-1.1115996321179999</v>
      </c>
      <c r="AH6927">
        <v>12.669065709092999</v>
      </c>
      <c r="AI6927">
        <v>95.009130424483203</v>
      </c>
      <c r="AJ6927">
        <v>92.624110908523406</v>
      </c>
      <c r="AK6927">
        <v>12.7309867661889</v>
      </c>
      <c r="AL6927">
        <v>79.643525965241196</v>
      </c>
      <c r="AM6927">
        <v>92.372907367849507</v>
      </c>
      <c r="AN6927">
        <v>0.99999998824159597</v>
      </c>
    </row>
    <row r="6928" spans="1:40" x14ac:dyDescent="0.25">
      <c r="A6928" t="str">
        <f>"20190312172542086"</f>
        <v>20190312172542086</v>
      </c>
      <c r="B6928" t="str">
        <f>"1552382742076705"</f>
        <v>1552382742076705</v>
      </c>
      <c r="C6928" t="s">
        <v>40</v>
      </c>
      <c r="D6928">
        <v>3.8690000000000002</v>
      </c>
      <c r="E6928">
        <v>0.49961509999999998</v>
      </c>
      <c r="F6928" t="s">
        <v>43</v>
      </c>
      <c r="G6928">
        <v>-188.40260000000001</v>
      </c>
      <c r="H6928" s="1">
        <v>-1.725313E-6</v>
      </c>
      <c r="I6928">
        <v>-17.005970000000001</v>
      </c>
      <c r="J6928">
        <v>-188.57929999999999</v>
      </c>
      <c r="K6928">
        <v>1.111394</v>
      </c>
      <c r="L6928">
        <v>-29.744289999999999</v>
      </c>
      <c r="M6928">
        <v>5.5261890000000001E-2</v>
      </c>
      <c r="N6928">
        <v>0</v>
      </c>
      <c r="O6928">
        <v>0.99837390000000004</v>
      </c>
      <c r="P6928">
        <v>1.7602840000000002E-2</v>
      </c>
      <c r="Q6928">
        <v>0.165493899999999</v>
      </c>
      <c r="R6928">
        <v>0.98605370000000003</v>
      </c>
      <c r="S6928">
        <v>4.4845580000000003E-2</v>
      </c>
      <c r="T6928">
        <v>-0.2644666</v>
      </c>
      <c r="U6928">
        <v>3.0864560000000001</v>
      </c>
      <c r="V6928">
        <v>-3.7260990000000001E-2</v>
      </c>
      <c r="W6928">
        <v>0.17919669999999999</v>
      </c>
      <c r="X6928">
        <v>0.98310739999999996</v>
      </c>
      <c r="Y6928">
        <v>-4.0808160000000003E-2</v>
      </c>
      <c r="Z6928">
        <v>-8.5137930000000001E-2</v>
      </c>
      <c r="AA6928">
        <v>0.99553309999999995</v>
      </c>
      <c r="AB6928">
        <v>25</v>
      </c>
      <c r="AC6928">
        <v>0.17669999999998201</v>
      </c>
      <c r="AD6928">
        <v>-1.111395725313</v>
      </c>
      <c r="AE6928">
        <v>12.73832</v>
      </c>
      <c r="AF6928">
        <v>-0.52359760162152902</v>
      </c>
      <c r="AG6928">
        <v>-1.111395725313</v>
      </c>
      <c r="AH6928">
        <v>12.6324733523343</v>
      </c>
      <c r="AI6928">
        <v>95.023603424902703</v>
      </c>
      <c r="AJ6928">
        <v>92.373467951135197</v>
      </c>
      <c r="AK6928">
        <v>12.692073822039699</v>
      </c>
      <c r="AL6928">
        <v>79.677026634881102</v>
      </c>
      <c r="AM6928">
        <v>92.170542185653005</v>
      </c>
      <c r="AN6928">
        <v>0.99999999930071504</v>
      </c>
    </row>
    <row r="6929" spans="1:40" x14ac:dyDescent="0.25">
      <c r="A6929" t="str">
        <f>"20190312172542107"</f>
        <v>20190312172542107</v>
      </c>
      <c r="B6929" t="str">
        <f>"1552382742097200"</f>
        <v>1552382742097200</v>
      </c>
      <c r="C6929" t="s">
        <v>40</v>
      </c>
      <c r="D6929">
        <v>3.876261</v>
      </c>
      <c r="E6929">
        <v>0.49982900000000002</v>
      </c>
      <c r="F6929" t="s">
        <v>43</v>
      </c>
      <c r="G6929">
        <v>-188.35300000000001</v>
      </c>
      <c r="H6929" s="1">
        <v>-1.797312E-6</v>
      </c>
      <c r="I6929">
        <v>-16.858629999999899</v>
      </c>
      <c r="J6929">
        <v>-188.5669</v>
      </c>
      <c r="K6929">
        <v>1.111199</v>
      </c>
      <c r="L6929">
        <v>-29.49811</v>
      </c>
      <c r="M6929">
        <v>5.4347329999999999E-2</v>
      </c>
      <c r="N6929">
        <v>0</v>
      </c>
      <c r="O6929">
        <v>0.99842430000000004</v>
      </c>
      <c r="P6929">
        <v>2.037978E-2</v>
      </c>
      <c r="Q6929">
        <v>0.1630926</v>
      </c>
      <c r="R6929">
        <v>0.98640019999999995</v>
      </c>
      <c r="S6929">
        <v>5.4183960000000003E-2</v>
      </c>
      <c r="T6929">
        <v>-0.26618229999999998</v>
      </c>
      <c r="U6929">
        <v>3.0861510000000001</v>
      </c>
      <c r="V6929">
        <v>-3.3519090000000001E-2</v>
      </c>
      <c r="W6929">
        <v>0.176809299999999</v>
      </c>
      <c r="X6929">
        <v>0.98367420000000005</v>
      </c>
      <c r="Y6929">
        <v>-3.6880400000000001E-2</v>
      </c>
      <c r="Z6929">
        <v>-8.5705580000000003E-2</v>
      </c>
      <c r="AA6929">
        <v>0.99563769999999996</v>
      </c>
      <c r="AB6929">
        <v>25</v>
      </c>
      <c r="AC6929">
        <v>0.21390000000002299</v>
      </c>
      <c r="AD6929">
        <v>-1.1112007973119999</v>
      </c>
      <c r="AE6929">
        <v>12.639480000000001</v>
      </c>
      <c r="AF6929">
        <v>-0.46977537705570099</v>
      </c>
      <c r="AG6929">
        <v>-1.1112007973119999</v>
      </c>
      <c r="AH6929">
        <v>12.535562016225001</v>
      </c>
      <c r="AI6929">
        <v>95.062144444503303</v>
      </c>
      <c r="AJ6929">
        <v>92.146178734671807</v>
      </c>
      <c r="AK6929">
        <v>12.593481297062301</v>
      </c>
      <c r="AL6929">
        <v>79.816034534638106</v>
      </c>
      <c r="AM6929">
        <v>91.951621368267197</v>
      </c>
      <c r="AN6929">
        <v>0.99999999485327895</v>
      </c>
    </row>
    <row r="6930" spans="1:40" x14ac:dyDescent="0.25">
      <c r="A6930" t="str">
        <f>"20190312172542129"</f>
        <v>20190312172542129</v>
      </c>
      <c r="B6930" t="str">
        <f>"1552382742117696"</f>
        <v>1552382742117696</v>
      </c>
      <c r="C6930" t="s">
        <v>40</v>
      </c>
      <c r="D6930">
        <v>3.8672119999999999</v>
      </c>
      <c r="E6930">
        <v>0.49993880000000002</v>
      </c>
      <c r="F6930" t="s">
        <v>43</v>
      </c>
      <c r="G6930">
        <v>-188.30359999999999</v>
      </c>
      <c r="H6930" s="1">
        <v>-1.7521130000000001E-6</v>
      </c>
      <c r="I6930">
        <v>-16.984449999999999</v>
      </c>
      <c r="J6930">
        <v>-188.55439999999999</v>
      </c>
      <c r="K6930">
        <v>1.111022</v>
      </c>
      <c r="L6930">
        <v>-29.252230000000001</v>
      </c>
      <c r="M6930">
        <v>5.3692330000000003E-2</v>
      </c>
      <c r="N6930">
        <v>0</v>
      </c>
      <c r="O6930">
        <v>0.99845989999999996</v>
      </c>
      <c r="P6930">
        <v>2.2647980000000002E-2</v>
      </c>
      <c r="Q6930">
        <v>0.16145279999999901</v>
      </c>
      <c r="R6930">
        <v>0.98662050000000001</v>
      </c>
      <c r="S6930">
        <v>6.4926150000000002E-2</v>
      </c>
      <c r="T6930">
        <v>-0.2739741</v>
      </c>
      <c r="U6930">
        <v>3.0853269999999999</v>
      </c>
      <c r="V6930">
        <v>-3.054341E-2</v>
      </c>
      <c r="W6930">
        <v>0.17517769999999999</v>
      </c>
      <c r="X6930">
        <v>0.98406289999999996</v>
      </c>
      <c r="Y6930">
        <v>-3.2759280000000002E-2</v>
      </c>
      <c r="Z6930">
        <v>-8.8226529999999997E-2</v>
      </c>
      <c r="AA6930">
        <v>0.99556160000000005</v>
      </c>
      <c r="AB6930">
        <v>25</v>
      </c>
      <c r="AC6930">
        <v>0.25079999999999802</v>
      </c>
      <c r="AD6930">
        <v>-1.111023752113</v>
      </c>
      <c r="AE6930">
        <v>12.267779999999901</v>
      </c>
      <c r="AF6930">
        <v>-0.404991440188959</v>
      </c>
      <c r="AG6930">
        <v>-1.111023752113</v>
      </c>
      <c r="AH6930">
        <v>12.163823107900599</v>
      </c>
      <c r="AI6930">
        <v>95.215947838483601</v>
      </c>
      <c r="AJ6930">
        <v>91.906944178124604</v>
      </c>
      <c r="AK6930">
        <v>12.2211695203316</v>
      </c>
      <c r="AL6930">
        <v>79.911000267964198</v>
      </c>
      <c r="AM6930">
        <v>91.777779495484694</v>
      </c>
      <c r="AN6930">
        <v>0.99999995881406301</v>
      </c>
    </row>
    <row r="6931" spans="1:40" x14ac:dyDescent="0.25">
      <c r="A6931" t="str">
        <f>"20190312172542150"</f>
        <v>20190312172542150</v>
      </c>
      <c r="B6931" t="str">
        <f>"1552382742146977"</f>
        <v>1552382742146977</v>
      </c>
      <c r="C6931" t="s">
        <v>40</v>
      </c>
      <c r="D6931">
        <v>3.8843999999999999</v>
      </c>
      <c r="E6931">
        <v>0.49983680000000003</v>
      </c>
      <c r="F6931" t="s">
        <v>43</v>
      </c>
      <c r="G6931">
        <v>-188.26300000000001</v>
      </c>
      <c r="H6931" s="1">
        <v>-1.7652310000000001E-6</v>
      </c>
      <c r="I6931">
        <v>-16.970659999999999</v>
      </c>
      <c r="J6931">
        <v>-188.54220000000001</v>
      </c>
      <c r="K6931">
        <v>1.1108480000000001</v>
      </c>
      <c r="L6931">
        <v>-29.011569999999999</v>
      </c>
      <c r="M6931">
        <v>5.330178E-2</v>
      </c>
      <c r="N6931">
        <v>0</v>
      </c>
      <c r="O6931">
        <v>0.99848099999999995</v>
      </c>
      <c r="P6931">
        <v>2.5416649999999999E-2</v>
      </c>
      <c r="Q6931">
        <v>0.15988289999999999</v>
      </c>
      <c r="R6931">
        <v>0.98680869999999998</v>
      </c>
      <c r="S6931">
        <v>7.3211670000000006E-2</v>
      </c>
      <c r="T6931">
        <v>-0.27904640000000003</v>
      </c>
      <c r="U6931">
        <v>3.0846559999999998</v>
      </c>
      <c r="V6931">
        <v>-2.733149E-2</v>
      </c>
      <c r="W6931">
        <v>0.1736142</v>
      </c>
      <c r="X6931">
        <v>0.98443440000000004</v>
      </c>
      <c r="Y6931">
        <v>-2.9694330000000001E-2</v>
      </c>
      <c r="Z6931">
        <v>-8.9870710000000006E-2</v>
      </c>
      <c r="AA6931">
        <v>0.99551069999999997</v>
      </c>
      <c r="AB6931">
        <v>25</v>
      </c>
      <c r="AC6931">
        <v>0.279200000000003</v>
      </c>
      <c r="AD6931">
        <v>-1.1108497652310001</v>
      </c>
      <c r="AE6931">
        <v>12.04091</v>
      </c>
      <c r="AF6931">
        <v>-0.35999898498826899</v>
      </c>
      <c r="AG6931">
        <v>-1.1108497652310001</v>
      </c>
      <c r="AH6931">
        <v>11.9371282337843</v>
      </c>
      <c r="AI6931">
        <v>95.314138413312804</v>
      </c>
      <c r="AJ6931">
        <v>91.727398100241402</v>
      </c>
      <c r="AK6931">
        <v>11.9941075924771</v>
      </c>
      <c r="AL6931">
        <v>80.001976745955403</v>
      </c>
      <c r="AM6931">
        <v>91.590331309091596</v>
      </c>
      <c r="AN6931">
        <v>0.99999999434530995</v>
      </c>
    </row>
    <row r="6932" spans="1:40" x14ac:dyDescent="0.25">
      <c r="A6932" t="str">
        <f>"20190312172542174"</f>
        <v>20190312172542174</v>
      </c>
      <c r="B6932" t="str">
        <f>"1552382742167472"</f>
        <v>1552382742167472</v>
      </c>
      <c r="C6932" t="s">
        <v>40</v>
      </c>
      <c r="D6932">
        <v>3.894342</v>
      </c>
      <c r="E6932">
        <v>0.49980819999999998</v>
      </c>
      <c r="F6932" t="s">
        <v>43</v>
      </c>
      <c r="G6932">
        <v>-188.22120000000001</v>
      </c>
      <c r="H6932" s="1">
        <v>-1.81688E-6</v>
      </c>
      <c r="I6932">
        <v>-16.867539999999899</v>
      </c>
      <c r="J6932">
        <v>-188.529</v>
      </c>
      <c r="K6932">
        <v>1.1106689999999999</v>
      </c>
      <c r="L6932">
        <v>-28.756679999999999</v>
      </c>
      <c r="M6932">
        <v>5.3138459999999998E-2</v>
      </c>
      <c r="N6932">
        <v>0</v>
      </c>
      <c r="O6932">
        <v>0.99848990000000004</v>
      </c>
      <c r="P6932">
        <v>2.8274210000000001E-2</v>
      </c>
      <c r="Q6932">
        <v>0.15834790000000001</v>
      </c>
      <c r="R6932">
        <v>0.98697849999999998</v>
      </c>
      <c r="S6932">
        <v>8.151245E-2</v>
      </c>
      <c r="T6932">
        <v>-0.2820761</v>
      </c>
      <c r="U6932">
        <v>3.08371</v>
      </c>
      <c r="V6932">
        <v>-2.4250620000000001E-2</v>
      </c>
      <c r="W6932">
        <v>0.17208499999999999</v>
      </c>
      <c r="X6932">
        <v>0.98478359999999998</v>
      </c>
      <c r="Y6932">
        <v>-2.6847820000000001E-2</v>
      </c>
      <c r="Z6932">
        <v>-9.0867890000000007E-2</v>
      </c>
      <c r="AA6932">
        <v>0.99550099999999997</v>
      </c>
      <c r="AB6932">
        <v>25</v>
      </c>
      <c r="AC6932">
        <v>0.30780000000001401</v>
      </c>
      <c r="AD6932">
        <v>-1.1106708168799999</v>
      </c>
      <c r="AE6932">
        <v>11.889139999999999</v>
      </c>
      <c r="AF6932">
        <v>-0.321661618078739</v>
      </c>
      <c r="AG6932">
        <v>-1.1106708168799999</v>
      </c>
      <c r="AH6932">
        <v>11.7859089312959</v>
      </c>
      <c r="AI6932">
        <v>95.381501851175102</v>
      </c>
      <c r="AJ6932">
        <v>91.563331214956904</v>
      </c>
      <c r="AK6932">
        <v>11.8424957334514</v>
      </c>
      <c r="AL6932">
        <v>80.090932852264203</v>
      </c>
      <c r="AM6932">
        <v>91.410642317508305</v>
      </c>
      <c r="AN6932">
        <v>1.00000003931217</v>
      </c>
    </row>
    <row r="6933" spans="1:40" x14ac:dyDescent="0.25">
      <c r="A6933" t="str">
        <f>"20190312172542197"</f>
        <v>20190312172542197</v>
      </c>
      <c r="B6933" t="str">
        <f>"1552382742186993"</f>
        <v>1552382742186993</v>
      </c>
      <c r="C6933" t="s">
        <v>40</v>
      </c>
      <c r="D6933">
        <v>3.9433590000000001</v>
      </c>
      <c r="E6933">
        <v>0.49970959999999998</v>
      </c>
      <c r="F6933" t="s">
        <v>43</v>
      </c>
      <c r="G6933">
        <v>-188.1771</v>
      </c>
      <c r="H6933" s="1">
        <v>-1.8757610000000001E-6</v>
      </c>
      <c r="I6933">
        <v>-16.7485</v>
      </c>
      <c r="J6933">
        <v>-188.51509999999999</v>
      </c>
      <c r="K6933">
        <v>1.110479</v>
      </c>
      <c r="L6933">
        <v>-28.494019999999999</v>
      </c>
      <c r="M6933">
        <v>5.3228900000000003E-2</v>
      </c>
      <c r="N6933">
        <v>0</v>
      </c>
      <c r="O6933">
        <v>0.99848519999999996</v>
      </c>
      <c r="P6933">
        <v>3.1569060000000003E-2</v>
      </c>
      <c r="Q6933">
        <v>0.15695490000000001</v>
      </c>
      <c r="R6933">
        <v>0.98710109999999995</v>
      </c>
      <c r="S6933">
        <v>9.0332029999999994E-2</v>
      </c>
      <c r="T6933">
        <v>-0.28513070000000001</v>
      </c>
      <c r="U6933">
        <v>3.0827330000000002</v>
      </c>
      <c r="V6933">
        <v>-2.0978429999999999E-2</v>
      </c>
      <c r="W6933">
        <v>0.17069579999999901</v>
      </c>
      <c r="X6933">
        <v>0.98510039999999999</v>
      </c>
      <c r="Y6933">
        <v>-2.408677E-2</v>
      </c>
      <c r="Z6933">
        <v>-9.1871410000000001E-2</v>
      </c>
      <c r="AA6933">
        <v>0.99547949999999996</v>
      </c>
      <c r="AB6933">
        <v>25</v>
      </c>
      <c r="AC6933">
        <v>0.33799999999999297</v>
      </c>
      <c r="AD6933">
        <v>-1.1104808757610001</v>
      </c>
      <c r="AE6933">
        <v>11.745520000000001</v>
      </c>
      <c r="AF6933">
        <v>-0.285193850316807</v>
      </c>
      <c r="AG6933">
        <v>-1.1104808757610001</v>
      </c>
      <c r="AH6933">
        <v>11.6428718749893</v>
      </c>
      <c r="AI6933">
        <v>95.446686202819905</v>
      </c>
      <c r="AJ6933">
        <v>91.403187905054196</v>
      </c>
      <c r="AK6933">
        <v>11.6991866728037</v>
      </c>
      <c r="AL6933">
        <v>80.1717229536481</v>
      </c>
      <c r="AM6933">
        <v>91.219970926204098</v>
      </c>
      <c r="AN6933">
        <v>0.99999997437153199</v>
      </c>
    </row>
    <row r="6934" spans="1:40" x14ac:dyDescent="0.25">
      <c r="A6934" t="str">
        <f>"20190312172542220"</f>
        <v>20190312172542220</v>
      </c>
      <c r="B6934" t="str">
        <f>"1552382742217250"</f>
        <v>1552382742217250</v>
      </c>
      <c r="C6934" t="s">
        <v>40</v>
      </c>
      <c r="D6934">
        <v>3.925948</v>
      </c>
      <c r="E6934">
        <v>0.4995869</v>
      </c>
      <c r="F6934" t="s">
        <v>43</v>
      </c>
      <c r="G6934">
        <v>-188.1266</v>
      </c>
      <c r="H6934" s="1">
        <v>-1.953838E-6</v>
      </c>
      <c r="I6934">
        <v>-16.587389999999999</v>
      </c>
      <c r="J6934">
        <v>-188.50139999999999</v>
      </c>
      <c r="K6934">
        <v>1.1102959999999999</v>
      </c>
      <c r="L6934">
        <v>-28.241060000000001</v>
      </c>
      <c r="M6934">
        <v>5.3574120000000003E-2</v>
      </c>
      <c r="N6934">
        <v>0</v>
      </c>
      <c r="O6934">
        <v>0.99846690000000005</v>
      </c>
      <c r="P6934">
        <v>3.4689520000000001E-2</v>
      </c>
      <c r="Q6934">
        <v>0.15571279999999901</v>
      </c>
      <c r="R6934">
        <v>0.98719299999999999</v>
      </c>
      <c r="S6934">
        <v>0.1005554</v>
      </c>
      <c r="T6934">
        <v>-0.28741670000000002</v>
      </c>
      <c r="U6934">
        <v>3.081696</v>
      </c>
      <c r="V6934">
        <v>-1.8134299999999999E-2</v>
      </c>
      <c r="W6934">
        <v>0.1694562</v>
      </c>
      <c r="X6934">
        <v>0.98537090000000005</v>
      </c>
      <c r="Y6934">
        <v>-2.112549E-2</v>
      </c>
      <c r="Z6934">
        <v>-9.26284E-2</v>
      </c>
      <c r="AA6934">
        <v>0.99547660000000004</v>
      </c>
      <c r="AB6934">
        <v>25</v>
      </c>
      <c r="AC6934">
        <v>0.37479999999999303</v>
      </c>
      <c r="AD6934">
        <v>-1.110297953838</v>
      </c>
      <c r="AE6934">
        <v>11.6536699999999</v>
      </c>
      <c r="AF6934">
        <v>-0.24788614683224</v>
      </c>
      <c r="AG6934">
        <v>-1.110297953838</v>
      </c>
      <c r="AH6934">
        <v>11.552257938453799</v>
      </c>
      <c r="AI6934">
        <v>95.488630960385294</v>
      </c>
      <c r="AJ6934">
        <v>91.229253263910607</v>
      </c>
      <c r="AK6934">
        <v>11.6081382040643</v>
      </c>
      <c r="AL6934">
        <v>80.243797440433895</v>
      </c>
      <c r="AM6934">
        <v>91.054325408388905</v>
      </c>
      <c r="AN6934">
        <v>1.0000000335608601</v>
      </c>
    </row>
    <row r="6935" spans="1:40" x14ac:dyDescent="0.25">
      <c r="A6935" t="str">
        <f>"20190312172542243"</f>
        <v>20190312172542243</v>
      </c>
      <c r="B6935" t="str">
        <f>"1552382742236768"</f>
        <v>1552382742236768</v>
      </c>
      <c r="C6935" t="s">
        <v>40</v>
      </c>
      <c r="D6935">
        <v>3.912693</v>
      </c>
      <c r="E6935">
        <v>0.49950719999999998</v>
      </c>
      <c r="F6935" t="s">
        <v>43</v>
      </c>
      <c r="G6935">
        <v>-188.07830000000001</v>
      </c>
      <c r="H6935" s="1">
        <v>-2.0521070000000002E-6</v>
      </c>
      <c r="I6935">
        <v>-16.37829</v>
      </c>
      <c r="J6935">
        <v>-188.48769999999999</v>
      </c>
      <c r="K6935">
        <v>1.1101160000000001</v>
      </c>
      <c r="L6935">
        <v>-27.994289999999999</v>
      </c>
      <c r="M6935">
        <v>5.4173010000000001E-2</v>
      </c>
      <c r="N6935">
        <v>0</v>
      </c>
      <c r="O6935">
        <v>0.99843470000000001</v>
      </c>
      <c r="P6935">
        <v>3.8192950000000003E-2</v>
      </c>
      <c r="Q6935">
        <v>0.15533640000000001</v>
      </c>
      <c r="R6935">
        <v>0.98712310000000003</v>
      </c>
      <c r="S6935">
        <v>0.1098785</v>
      </c>
      <c r="T6935">
        <v>-0.28832340000000001</v>
      </c>
      <c r="U6935">
        <v>3.0805359999999999</v>
      </c>
      <c r="V6935">
        <v>-1.5151120000000001E-2</v>
      </c>
      <c r="W6935">
        <v>0.16907929999999999</v>
      </c>
      <c r="X6935">
        <v>0.98548599999999997</v>
      </c>
      <c r="Y6935">
        <v>-1.8704709999999999E-2</v>
      </c>
      <c r="Z6935">
        <v>-9.2945739999999999E-2</v>
      </c>
      <c r="AA6935">
        <v>0.99549540000000003</v>
      </c>
      <c r="AB6935">
        <v>25</v>
      </c>
      <c r="AC6935">
        <v>0.40939999999997601</v>
      </c>
      <c r="AD6935">
        <v>-1.110118052107</v>
      </c>
      <c r="AE6935">
        <v>11.616</v>
      </c>
      <c r="AF6935">
        <v>-0.21854232431072501</v>
      </c>
      <c r="AG6935">
        <v>-1.110118052107</v>
      </c>
      <c r="AH6935">
        <v>11.516071308728099</v>
      </c>
      <c r="AI6935">
        <v>95.505159582600101</v>
      </c>
      <c r="AJ6935">
        <v>91.087180660600595</v>
      </c>
      <c r="AK6935">
        <v>11.571517671629801</v>
      </c>
      <c r="AL6935">
        <v>80.265708171721798</v>
      </c>
      <c r="AM6935">
        <v>90.880810933863501</v>
      </c>
      <c r="AN6935">
        <v>1.00000001116087</v>
      </c>
    </row>
    <row r="6936" spans="1:40" x14ac:dyDescent="0.25">
      <c r="A6936" t="str">
        <f>"20190312172542263"</f>
        <v>20190312172542263</v>
      </c>
      <c r="B6936" t="str">
        <f>"1552382742257265"</f>
        <v>1552382742257265</v>
      </c>
      <c r="C6936" t="s">
        <v>40</v>
      </c>
      <c r="D6936">
        <v>3.9146529999999999</v>
      </c>
      <c r="E6936">
        <v>0.49937700000000002</v>
      </c>
      <c r="F6936" t="s">
        <v>41</v>
      </c>
      <c r="G6936">
        <v>-188.45089999999999</v>
      </c>
      <c r="H6936">
        <v>1.022456</v>
      </c>
      <c r="I6936">
        <v>-27.05575</v>
      </c>
      <c r="J6936">
        <v>-188.47399999999999</v>
      </c>
      <c r="K6936">
        <v>1.1099490000000001</v>
      </c>
      <c r="L6936">
        <v>-27.756679999999999</v>
      </c>
      <c r="M6936">
        <v>5.4991329999999998E-2</v>
      </c>
      <c r="N6936">
        <v>0</v>
      </c>
      <c r="O6936">
        <v>0.99839</v>
      </c>
      <c r="P6936">
        <v>4.1808209999999998E-2</v>
      </c>
      <c r="Q6936">
        <v>0.15571279999999901</v>
      </c>
      <c r="R6936">
        <v>0.98691719999999905</v>
      </c>
      <c r="S6936">
        <v>0.1202698</v>
      </c>
      <c r="T6936">
        <v>-0.28759099999999999</v>
      </c>
      <c r="U6936">
        <v>3.079742</v>
      </c>
      <c r="V6936">
        <v>-1.2269209999999999E-2</v>
      </c>
      <c r="W6936">
        <v>0.16945199999999999</v>
      </c>
      <c r="X6936">
        <v>0.98546210000000001</v>
      </c>
      <c r="Y6936">
        <v>-1.6160020000000001E-2</v>
      </c>
      <c r="Z6936">
        <v>-9.2725420000000003E-2</v>
      </c>
      <c r="AA6936">
        <v>0.99556060000000002</v>
      </c>
      <c r="AB6936">
        <v>25</v>
      </c>
      <c r="AC6936">
        <v>2.31000000000278E-2</v>
      </c>
      <c r="AD6936">
        <v>-8.7493000000000001E-2</v>
      </c>
      <c r="AE6936">
        <v>0.70092999999999905</v>
      </c>
      <c r="AF6936">
        <v>-1.5246462501995199E-2</v>
      </c>
      <c r="AG6936">
        <v>-8.7493000000000001E-2</v>
      </c>
      <c r="AH6936">
        <v>0.69039418204156999</v>
      </c>
      <c r="AI6936">
        <v>97.220796801980399</v>
      </c>
      <c r="AJ6936">
        <v>91.265097548048601</v>
      </c>
      <c r="AK6936">
        <v>0.69608304552306999</v>
      </c>
      <c r="AL6936">
        <v>80.244041600285897</v>
      </c>
      <c r="AM6936">
        <v>90.713307627158898</v>
      </c>
      <c r="AN6936">
        <v>1.00000003217721</v>
      </c>
    </row>
    <row r="6937" spans="1:40" x14ac:dyDescent="0.25">
      <c r="A6937" t="str">
        <f>"20190312172542286"</f>
        <v>20190312172542286</v>
      </c>
      <c r="B6937" t="str">
        <f>"1552382742276786"</f>
        <v>1552382742276786</v>
      </c>
      <c r="C6937" t="s">
        <v>40</v>
      </c>
      <c r="D6937">
        <v>3.947784</v>
      </c>
      <c r="E6937">
        <v>0.49921969999999999</v>
      </c>
      <c r="F6937" t="s">
        <v>41</v>
      </c>
      <c r="G6937">
        <v>-188.4348</v>
      </c>
      <c r="H6937">
        <v>1.0245359999999999</v>
      </c>
      <c r="I6937">
        <v>-26.831910000000001</v>
      </c>
      <c r="J6937">
        <v>-188.45840000000001</v>
      </c>
      <c r="K6937">
        <v>1.1097900000000001</v>
      </c>
      <c r="L6937">
        <v>-27.493929999999999</v>
      </c>
      <c r="M6937">
        <v>5.6105629999999997E-2</v>
      </c>
      <c r="N6937">
        <v>0</v>
      </c>
      <c r="O6937">
        <v>0.99832810000000005</v>
      </c>
      <c r="P6937">
        <v>4.5070840000000001E-2</v>
      </c>
      <c r="Q6937">
        <v>0.15641579999999999</v>
      </c>
      <c r="R6937">
        <v>0.98666240000000005</v>
      </c>
      <c r="S6937">
        <v>0.13044739999999999</v>
      </c>
      <c r="T6937">
        <v>-0.284331</v>
      </c>
      <c r="U6937">
        <v>3.0791019999999998</v>
      </c>
      <c r="V6937">
        <v>-1.003309E-2</v>
      </c>
      <c r="W6937">
        <v>0.17014939999999901</v>
      </c>
      <c r="X6937">
        <v>0.9853672</v>
      </c>
      <c r="Y6937">
        <v>-1.3978580000000001E-2</v>
      </c>
      <c r="Z6937">
        <v>-9.1689039999999999E-2</v>
      </c>
      <c r="AA6937">
        <v>0.99568959999999995</v>
      </c>
      <c r="AB6937">
        <v>25</v>
      </c>
      <c r="AC6937">
        <v>2.3600000000016001E-2</v>
      </c>
      <c r="AD6937">
        <v>-8.5253999999999899E-2</v>
      </c>
      <c r="AE6937">
        <v>0.66202000000000105</v>
      </c>
      <c r="AF6937">
        <v>-1.3362496645621899E-2</v>
      </c>
      <c r="AG6937">
        <v>-8.5253999999999899E-2</v>
      </c>
      <c r="AH6937">
        <v>0.65151034565624999</v>
      </c>
      <c r="AI6937">
        <v>97.453583749698495</v>
      </c>
      <c r="AJ6937">
        <v>91.1749734120379</v>
      </c>
      <c r="AK6937">
        <v>0.65720052596580503</v>
      </c>
      <c r="AL6937">
        <v>80.203494401338901</v>
      </c>
      <c r="AM6937">
        <v>90.5833701870352</v>
      </c>
      <c r="AN6937">
        <v>1.00000000002557</v>
      </c>
    </row>
    <row r="6938" spans="1:40" x14ac:dyDescent="0.25">
      <c r="A6938" t="str">
        <f>"20190312172542308"</f>
        <v>20190312172542308</v>
      </c>
      <c r="B6938" t="str">
        <f>"1552382742297281"</f>
        <v>1552382742297281</v>
      </c>
      <c r="C6938" t="s">
        <v>40</v>
      </c>
      <c r="D6938">
        <v>3.9587089999999998</v>
      </c>
      <c r="E6938">
        <v>0.49900470000000002</v>
      </c>
      <c r="F6938" t="s">
        <v>41</v>
      </c>
      <c r="G6938">
        <v>-188.41810000000001</v>
      </c>
      <c r="H6938">
        <v>1.02894</v>
      </c>
      <c r="I6938">
        <v>-26.60613</v>
      </c>
      <c r="J6938">
        <v>-188.44380000000001</v>
      </c>
      <c r="K6938">
        <v>1.1096680000000001</v>
      </c>
      <c r="L6938">
        <v>-27.257079999999998</v>
      </c>
      <c r="M6938">
        <v>5.7276979999999998E-2</v>
      </c>
      <c r="N6938">
        <v>0</v>
      </c>
      <c r="O6938">
        <v>0.99826159999999997</v>
      </c>
      <c r="P6938">
        <v>4.7974530000000001E-2</v>
      </c>
      <c r="Q6938">
        <v>0.1560684</v>
      </c>
      <c r="R6938">
        <v>0.98658049999999997</v>
      </c>
      <c r="S6938">
        <v>0.13954159999999999</v>
      </c>
      <c r="T6938">
        <v>-0.28034710000000002</v>
      </c>
      <c r="U6938">
        <v>3.0786129999999998</v>
      </c>
      <c r="V6938">
        <v>-8.2396569999999992E-3</v>
      </c>
      <c r="W6938">
        <v>0.16979839999999999</v>
      </c>
      <c r="X6938">
        <v>0.9854444</v>
      </c>
      <c r="Y6938">
        <v>-1.220423E-2</v>
      </c>
      <c r="Z6938">
        <v>-9.041544E-2</v>
      </c>
      <c r="AA6938">
        <v>0.99582930000000003</v>
      </c>
      <c r="AB6938">
        <v>25</v>
      </c>
      <c r="AC6938">
        <v>2.57000000000005E-2</v>
      </c>
      <c r="AD6938">
        <v>-8.0728000000000105E-2</v>
      </c>
      <c r="AE6938">
        <v>0.65094999999999803</v>
      </c>
      <c r="AF6938">
        <v>-1.1454357566829E-2</v>
      </c>
      <c r="AG6938">
        <v>-8.0728000000000105E-2</v>
      </c>
      <c r="AH6938">
        <v>0.64150242692256598</v>
      </c>
      <c r="AI6938">
        <v>97.171385604049206</v>
      </c>
      <c r="AJ6938">
        <v>91.022937070516505</v>
      </c>
      <c r="AK6938">
        <v>0.64666341789126303</v>
      </c>
      <c r="AL6938">
        <v>80.223902449270796</v>
      </c>
      <c r="AM6938">
        <v>90.4790595688373</v>
      </c>
      <c r="AN6938">
        <v>1.0000000270406899</v>
      </c>
    </row>
    <row r="6939" spans="1:40" x14ac:dyDescent="0.25">
      <c r="A6939" t="str">
        <f>"20190312172542329"</f>
        <v>20190312172542329</v>
      </c>
      <c r="B6939" t="str">
        <f>"1552382742316804"</f>
        <v>1552382742316804</v>
      </c>
      <c r="C6939" t="s">
        <v>40</v>
      </c>
      <c r="D6939">
        <v>4.0050610000000004</v>
      </c>
      <c r="E6939">
        <v>0.4989094</v>
      </c>
      <c r="F6939" t="s">
        <v>41</v>
      </c>
      <c r="G6939">
        <v>-188.40199999999999</v>
      </c>
      <c r="H6939">
        <v>1.030189</v>
      </c>
      <c r="I6939">
        <v>-26.382919999999999</v>
      </c>
      <c r="J6939">
        <v>-188.4288</v>
      </c>
      <c r="K6939">
        <v>1.1095710000000001</v>
      </c>
      <c r="L6939">
        <v>-27.02036</v>
      </c>
      <c r="M6939">
        <v>5.8608779999999999E-2</v>
      </c>
      <c r="N6939">
        <v>0</v>
      </c>
      <c r="O6939">
        <v>0.99818430000000002</v>
      </c>
      <c r="P6939">
        <v>5.1445619999999997E-2</v>
      </c>
      <c r="Q6939">
        <v>0.1556168</v>
      </c>
      <c r="R6939">
        <v>0.98647700000000005</v>
      </c>
      <c r="S6939">
        <v>0.14701839999999999</v>
      </c>
      <c r="T6939">
        <v>-0.27978930000000002</v>
      </c>
      <c r="U6939">
        <v>3.0779109999999998</v>
      </c>
      <c r="V6939">
        <v>-6.0461730000000002E-3</v>
      </c>
      <c r="W6939">
        <v>0.16934109999999999</v>
      </c>
      <c r="X6939">
        <v>0.98553900000000005</v>
      </c>
      <c r="Y6939">
        <v>-1.111347E-2</v>
      </c>
      <c r="Z6939">
        <v>-9.0242489999999995E-2</v>
      </c>
      <c r="AA6939">
        <v>0.99585780000000002</v>
      </c>
      <c r="AB6939">
        <v>25</v>
      </c>
      <c r="AC6939">
        <v>2.67999999999801E-2</v>
      </c>
      <c r="AD6939">
        <v>-7.93819999999998E-2</v>
      </c>
      <c r="AE6939">
        <v>0.63743999999999401</v>
      </c>
      <c r="AF6939">
        <v>-1.04475279589821E-2</v>
      </c>
      <c r="AG6939">
        <v>-7.93819999999998E-2</v>
      </c>
      <c r="AH6939">
        <v>0.62818991799114199</v>
      </c>
      <c r="AI6939">
        <v>97.201093639866002</v>
      </c>
      <c r="AJ6939">
        <v>90.952807519588902</v>
      </c>
      <c r="AK6939">
        <v>0.63327184196849595</v>
      </c>
      <c r="AL6939">
        <v>80.250488979281698</v>
      </c>
      <c r="AM6939">
        <v>90.3514988743689</v>
      </c>
      <c r="AN6939">
        <v>1.00000004243907</v>
      </c>
    </row>
    <row r="6940" spans="1:40" x14ac:dyDescent="0.25">
      <c r="A6940" t="str">
        <f>"20190312172542351"</f>
        <v>20190312172542351</v>
      </c>
      <c r="B6940" t="str">
        <f>"1552382742347057"</f>
        <v>1552382742347057</v>
      </c>
      <c r="C6940" t="s">
        <v>40</v>
      </c>
      <c r="D6940">
        <v>3.9254660000000001</v>
      </c>
      <c r="E6940">
        <v>0.49149789999999999</v>
      </c>
      <c r="F6940" t="s">
        <v>41</v>
      </c>
      <c r="G6940">
        <v>-188.38509999999999</v>
      </c>
      <c r="H6940">
        <v>1.031239</v>
      </c>
      <c r="I6940">
        <v>-26.160129999999999</v>
      </c>
      <c r="J6940">
        <v>-188.41229999999999</v>
      </c>
      <c r="K6940">
        <v>1.1094790000000001</v>
      </c>
      <c r="L6940">
        <v>-26.768619999999999</v>
      </c>
      <c r="M6940">
        <v>6.0183670000000002E-2</v>
      </c>
      <c r="N6940">
        <v>0</v>
      </c>
      <c r="O6940">
        <v>0.9980907</v>
      </c>
      <c r="P6940">
        <v>5.4498079999999997E-2</v>
      </c>
      <c r="Q6940">
        <v>0.1545338</v>
      </c>
      <c r="R6940">
        <v>0.98648329999999995</v>
      </c>
      <c r="S6940">
        <v>0.1563263</v>
      </c>
      <c r="T6940">
        <v>-0.28019579999999999</v>
      </c>
      <c r="U6940">
        <v>3.0771790000000001</v>
      </c>
      <c r="V6940">
        <v>-4.522529E-3</v>
      </c>
      <c r="W6940">
        <v>0.16825499999999999</v>
      </c>
      <c r="X6940">
        <v>0.98573319999999998</v>
      </c>
      <c r="Y6940">
        <v>-9.6755520000000005E-3</v>
      </c>
      <c r="Z6940">
        <v>-9.0375159999999996E-2</v>
      </c>
      <c r="AA6940">
        <v>0.99586079999999999</v>
      </c>
      <c r="AB6940">
        <v>25</v>
      </c>
      <c r="AC6940">
        <v>2.71999999999934E-2</v>
      </c>
      <c r="AD6940">
        <v>-7.8240000000000004E-2</v>
      </c>
      <c r="AE6940">
        <v>0.60849000000000297</v>
      </c>
      <c r="AF6940">
        <v>-9.3202243629666292E-3</v>
      </c>
      <c r="AG6940">
        <v>-7.8240000000000004E-2</v>
      </c>
      <c r="AH6940">
        <v>0.59913816512439499</v>
      </c>
      <c r="AI6940">
        <v>97.439125743822899</v>
      </c>
      <c r="AJ6940">
        <v>90.891224232283705</v>
      </c>
      <c r="AK6940">
        <v>0.60429703382591804</v>
      </c>
      <c r="AL6940">
        <v>80.313624139233596</v>
      </c>
      <c r="AM6940">
        <v>90.262870324658905</v>
      </c>
      <c r="AN6940">
        <v>1.0000000699378899</v>
      </c>
    </row>
    <row r="6941" spans="1:40" x14ac:dyDescent="0.25">
      <c r="A6941" t="str">
        <f>"20190312172542374"</f>
        <v>20190312172542374</v>
      </c>
      <c r="B6941" t="str">
        <f>"1552382742367554"</f>
        <v>1552382742367554</v>
      </c>
      <c r="C6941" t="s">
        <v>40</v>
      </c>
      <c r="D6941">
        <v>3.9151120000000001</v>
      </c>
      <c r="E6941">
        <v>0.49186730000000001</v>
      </c>
      <c r="F6941" t="s">
        <v>43</v>
      </c>
      <c r="G6941">
        <v>-187.93270000000001</v>
      </c>
      <c r="H6941" s="1">
        <v>-3.6163629999999998E-6</v>
      </c>
      <c r="I6941">
        <v>-12.79217</v>
      </c>
      <c r="J6941">
        <v>-188.3954</v>
      </c>
      <c r="K6941">
        <v>1.109402</v>
      </c>
      <c r="L6941">
        <v>-26.5184</v>
      </c>
      <c r="M6941">
        <v>6.1877830000000002E-2</v>
      </c>
      <c r="N6941">
        <v>0</v>
      </c>
      <c r="O6941">
        <v>0.99798710000000002</v>
      </c>
      <c r="P6941">
        <v>5.7036429999999999E-2</v>
      </c>
      <c r="Q6941">
        <v>0.15372939999999999</v>
      </c>
      <c r="R6941">
        <v>0.9864655</v>
      </c>
      <c r="S6941">
        <v>0.1054688</v>
      </c>
      <c r="T6941">
        <v>-0.24398059999999999</v>
      </c>
      <c r="U6941">
        <v>3.0734859999999999</v>
      </c>
      <c r="V6941">
        <v>-3.6341979999999999E-3</v>
      </c>
      <c r="W6941">
        <v>0.16744829999999999</v>
      </c>
      <c r="X6941">
        <v>0.98587420000000003</v>
      </c>
      <c r="Y6941">
        <v>-2.7724639999999998E-2</v>
      </c>
      <c r="Z6941">
        <v>-7.8868099999999997E-2</v>
      </c>
      <c r="AA6941">
        <v>0.99649949999999998</v>
      </c>
      <c r="AB6941">
        <v>25</v>
      </c>
      <c r="AC6941">
        <v>0.46269999999998301</v>
      </c>
      <c r="AD6941">
        <v>-1.1094056163629999</v>
      </c>
      <c r="AE6941">
        <v>13.726229999999999</v>
      </c>
      <c r="AF6941">
        <v>-0.38510524202248902</v>
      </c>
      <c r="AG6941">
        <v>-1.1094056163629999</v>
      </c>
      <c r="AH6941">
        <v>13.6395563887025</v>
      </c>
      <c r="AI6941">
        <v>94.648207128401296</v>
      </c>
      <c r="AJ6941">
        <v>91.617284605902398</v>
      </c>
      <c r="AK6941">
        <v>13.690017726418199</v>
      </c>
      <c r="AL6941">
        <v>80.360509547352905</v>
      </c>
      <c r="AM6941">
        <v>90.211206728166005</v>
      </c>
      <c r="AN6941">
        <v>1.00000003939681</v>
      </c>
    </row>
    <row r="6942" spans="1:40" x14ac:dyDescent="0.25">
      <c r="A6942" t="str">
        <f>"20190312172542396"</f>
        <v>20190312172542396</v>
      </c>
      <c r="B6942" t="str">
        <f>"1552382742387075"</f>
        <v>1552382742387075</v>
      </c>
      <c r="C6942" t="s">
        <v>40</v>
      </c>
      <c r="D6942">
        <v>3.9119519999999999</v>
      </c>
      <c r="E6942">
        <v>0.49205009999999999</v>
      </c>
      <c r="F6942" t="s">
        <v>43</v>
      </c>
      <c r="G6942">
        <v>-187.86359999999999</v>
      </c>
      <c r="H6942" s="1">
        <v>-3.761189E-6</v>
      </c>
      <c r="I6942">
        <v>-12.48316</v>
      </c>
      <c r="J6942">
        <v>-188.37780000000001</v>
      </c>
      <c r="K6942">
        <v>1.1093390000000001</v>
      </c>
      <c r="L6942">
        <v>-26.267029999999998</v>
      </c>
      <c r="M6942">
        <v>6.3673389999999996E-2</v>
      </c>
      <c r="N6942">
        <v>0</v>
      </c>
      <c r="O6942">
        <v>0.99787420000000004</v>
      </c>
      <c r="P6942">
        <v>5.9631139999999999E-2</v>
      </c>
      <c r="Q6942">
        <v>0.1534759</v>
      </c>
      <c r="R6942">
        <v>0.98635150000000005</v>
      </c>
      <c r="S6942">
        <v>0.11640929999999999</v>
      </c>
      <c r="T6942">
        <v>-0.24284520000000001</v>
      </c>
      <c r="U6942">
        <v>3.0722659999999999</v>
      </c>
      <c r="V6942">
        <v>-2.789078E-3</v>
      </c>
      <c r="W6942">
        <v>0.1671916</v>
      </c>
      <c r="X6942">
        <v>0.98592049999999998</v>
      </c>
      <c r="Y6942">
        <v>-2.5964600000000001E-2</v>
      </c>
      <c r="Z6942">
        <v>-7.8517859999999995E-2</v>
      </c>
      <c r="AA6942">
        <v>0.99657450000000003</v>
      </c>
      <c r="AB6942">
        <v>25</v>
      </c>
      <c r="AC6942">
        <v>0.51420000000001598</v>
      </c>
      <c r="AD6942">
        <v>-1.1093427611890001</v>
      </c>
      <c r="AE6942">
        <v>13.78387</v>
      </c>
      <c r="AF6942">
        <v>-0.36225084108093403</v>
      </c>
      <c r="AG6942">
        <v>-1.1093427611890001</v>
      </c>
      <c r="AH6942">
        <v>13.7000234059924</v>
      </c>
      <c r="AI6942">
        <v>94.627745506262997</v>
      </c>
      <c r="AJ6942">
        <v>91.514640421482</v>
      </c>
      <c r="AK6942">
        <v>13.749636662777901</v>
      </c>
      <c r="AL6942">
        <v>80.375427502674498</v>
      </c>
      <c r="AM6942">
        <v>90.162084034007094</v>
      </c>
      <c r="AN6942">
        <v>1.0000000211934399</v>
      </c>
    </row>
    <row r="6943" spans="1:40" x14ac:dyDescent="0.25">
      <c r="A6943" t="str">
        <f>"20190312172542420"</f>
        <v>20190312172542420</v>
      </c>
      <c r="B6943" t="str">
        <f>"1552382742417329"</f>
        <v>1552382742417329</v>
      </c>
      <c r="C6943" t="s">
        <v>40</v>
      </c>
      <c r="D6943">
        <v>3.8899460000000001</v>
      </c>
      <c r="E6943">
        <v>0.49234899999999998</v>
      </c>
      <c r="F6943" t="s">
        <v>43</v>
      </c>
      <c r="G6943">
        <v>-187.80240000000001</v>
      </c>
      <c r="H6943" s="1">
        <v>-3.9310109999999901E-6</v>
      </c>
      <c r="I6943">
        <v>-12.11262</v>
      </c>
      <c r="J6943">
        <v>-188.3597</v>
      </c>
      <c r="K6943">
        <v>1.1092930000000001</v>
      </c>
      <c r="L6943">
        <v>-26.015840000000001</v>
      </c>
      <c r="M6943">
        <v>6.5531969999999995E-2</v>
      </c>
      <c r="N6943">
        <v>0</v>
      </c>
      <c r="O6943">
        <v>0.99775389999999997</v>
      </c>
      <c r="P6943">
        <v>6.2508229999999998E-2</v>
      </c>
      <c r="Q6943">
        <v>0.1537404</v>
      </c>
      <c r="R6943">
        <v>0.98613209999999996</v>
      </c>
      <c r="S6943">
        <v>0.12486269999999999</v>
      </c>
      <c r="T6943">
        <v>-0.24071980000000001</v>
      </c>
      <c r="U6943">
        <v>3.0714109999999999</v>
      </c>
      <c r="V6943">
        <v>-1.7246399999999999E-3</v>
      </c>
      <c r="W6943">
        <v>0.16745070000000001</v>
      </c>
      <c r="X6943">
        <v>0.9858789</v>
      </c>
      <c r="Y6943">
        <v>-2.5075360000000001E-2</v>
      </c>
      <c r="Z6943">
        <v>-7.7839039999999998E-2</v>
      </c>
      <c r="AA6943">
        <v>0.99665049999999999</v>
      </c>
      <c r="AB6943">
        <v>25</v>
      </c>
      <c r="AC6943">
        <v>0.55729999999999702</v>
      </c>
      <c r="AD6943">
        <v>-1.1092969310109999</v>
      </c>
      <c r="AE6943">
        <v>13.903219999999999</v>
      </c>
      <c r="AF6943">
        <v>-0.35284874255207399</v>
      </c>
      <c r="AG6943">
        <v>-1.1092969310109999</v>
      </c>
      <c r="AH6943">
        <v>13.822003973549499</v>
      </c>
      <c r="AI6943">
        <v>94.586999903621503</v>
      </c>
      <c r="AJ6943">
        <v>91.462331647896505</v>
      </c>
      <c r="AK6943">
        <v>13.8709349274334</v>
      </c>
      <c r="AL6943">
        <v>80.360369279798704</v>
      </c>
      <c r="AM6943">
        <v>90.100229848089995</v>
      </c>
      <c r="AN6943">
        <v>0.99999995838941302</v>
      </c>
    </row>
    <row r="6944" spans="1:40" x14ac:dyDescent="0.25">
      <c r="A6944" t="str">
        <f>"20190312172542443"</f>
        <v>20190312172542443</v>
      </c>
      <c r="B6944" t="str">
        <f>"1552382742436850"</f>
        <v>1552382742436850</v>
      </c>
      <c r="C6944" t="s">
        <v>40</v>
      </c>
      <c r="D6944">
        <v>3.9104969999999999</v>
      </c>
      <c r="E6944">
        <v>0.4921893</v>
      </c>
      <c r="F6944" t="s">
        <v>43</v>
      </c>
      <c r="G6944">
        <v>-187.73240000000001</v>
      </c>
      <c r="H6944" s="1">
        <v>-4.1525149999999998E-6</v>
      </c>
      <c r="I6944">
        <v>-11.625220000000001</v>
      </c>
      <c r="J6944">
        <v>-188.3408</v>
      </c>
      <c r="K6944">
        <v>1.1092770000000001</v>
      </c>
      <c r="L6944">
        <v>-25.761690000000002</v>
      </c>
      <c r="M6944">
        <v>6.7454570000000005E-2</v>
      </c>
      <c r="N6944">
        <v>0</v>
      </c>
      <c r="O6944">
        <v>0.99762580000000001</v>
      </c>
      <c r="P6944">
        <v>6.4117179999999996E-2</v>
      </c>
      <c r="Q6944">
        <v>0.15445780000000001</v>
      </c>
      <c r="R6944">
        <v>0.98591669999999998</v>
      </c>
      <c r="S6944">
        <v>0.1338501</v>
      </c>
      <c r="T6944">
        <v>-0.23669780000000001</v>
      </c>
      <c r="U6944">
        <v>3.0706180000000001</v>
      </c>
      <c r="V6944">
        <v>-1.9984640000000001E-3</v>
      </c>
      <c r="W6944">
        <v>0.1681647</v>
      </c>
      <c r="X6944">
        <v>0.98575690000000005</v>
      </c>
      <c r="Y6944">
        <v>-2.407507E-2</v>
      </c>
      <c r="Z6944">
        <v>-7.6547409999999996E-2</v>
      </c>
      <c r="AA6944">
        <v>0.99677530000000003</v>
      </c>
      <c r="AB6944">
        <v>25</v>
      </c>
      <c r="AC6944">
        <v>0.60839999999998895</v>
      </c>
      <c r="AD6944">
        <v>-1.1092811525149999</v>
      </c>
      <c r="AE6944">
        <v>14.1364699999999</v>
      </c>
      <c r="AF6944">
        <v>-0.344529854555223</v>
      </c>
      <c r="AG6944">
        <v>-1.1092811525149999</v>
      </c>
      <c r="AH6944">
        <v>14.0589020998513</v>
      </c>
      <c r="AI6944">
        <v>94.510079573583397</v>
      </c>
      <c r="AJ6944">
        <v>91.403819175156897</v>
      </c>
      <c r="AK6944">
        <v>14.1068045194228</v>
      </c>
      <c r="AL6944">
        <v>80.318872177752198</v>
      </c>
      <c r="AM6944">
        <v>90.1161578436177</v>
      </c>
      <c r="AN6944">
        <v>1.00000001304102</v>
      </c>
    </row>
    <row r="6945" spans="1:40" x14ac:dyDescent="0.25">
      <c r="A6945" t="str">
        <f>"20190312172542464"</f>
        <v>20190312172542464</v>
      </c>
      <c r="B6945" t="str">
        <f>"1552382742457346"</f>
        <v>1552382742457346</v>
      </c>
      <c r="C6945" t="s">
        <v>40</v>
      </c>
      <c r="D6945">
        <v>3.9012980000000002</v>
      </c>
      <c r="E6945">
        <v>0.49197920000000001</v>
      </c>
      <c r="F6945" t="s">
        <v>43</v>
      </c>
      <c r="G6945">
        <v>-187.69</v>
      </c>
      <c r="H6945" s="1">
        <v>-4.3630520000000002E-6</v>
      </c>
      <c r="I6945">
        <v>-11.151960000000001</v>
      </c>
      <c r="J6945">
        <v>-188.32329999999999</v>
      </c>
      <c r="K6945">
        <v>1.1092759999999999</v>
      </c>
      <c r="L6945">
        <v>-25.53314</v>
      </c>
      <c r="M6945">
        <v>6.9200429999999993E-2</v>
      </c>
      <c r="N6945">
        <v>0</v>
      </c>
      <c r="O6945">
        <v>0.99750629999999996</v>
      </c>
      <c r="P6945">
        <v>6.6228060000000005E-2</v>
      </c>
      <c r="Q6945">
        <v>0.15489169999999999</v>
      </c>
      <c r="R6945">
        <v>0.9857091</v>
      </c>
      <c r="S6945">
        <v>0.13676450000000001</v>
      </c>
      <c r="T6945">
        <v>-0.2331355</v>
      </c>
      <c r="U6945">
        <v>3.0704959999999999</v>
      </c>
      <c r="V6945">
        <v>-1.605857E-3</v>
      </c>
      <c r="W6945">
        <v>0.1685934</v>
      </c>
      <c r="X6945">
        <v>0.98568440000000002</v>
      </c>
      <c r="Y6945">
        <v>-2.4874739999999999E-2</v>
      </c>
      <c r="Z6945">
        <v>-7.5389120000000004E-2</v>
      </c>
      <c r="AA6945">
        <v>0.9968439</v>
      </c>
      <c r="AB6945">
        <v>25</v>
      </c>
      <c r="AC6945">
        <v>0.63329999999999098</v>
      </c>
      <c r="AD6945">
        <v>-1.1092803630519901</v>
      </c>
      <c r="AE6945">
        <v>14.381180000000001</v>
      </c>
      <c r="AF6945">
        <v>-0.36135231572278398</v>
      </c>
      <c r="AG6945">
        <v>-1.1092803630519901</v>
      </c>
      <c r="AH6945">
        <v>14.3055784309856</v>
      </c>
      <c r="AI6945">
        <v>94.432537403220394</v>
      </c>
      <c r="AJ6945">
        <v>91.446957286243503</v>
      </c>
      <c r="AK6945">
        <v>14.35307119278</v>
      </c>
      <c r="AL6945">
        <v>80.293953814918794</v>
      </c>
      <c r="AM6945">
        <v>90.093345037415205</v>
      </c>
      <c r="AN6945">
        <v>1.0000000248518099</v>
      </c>
    </row>
    <row r="6946" spans="1:40" x14ac:dyDescent="0.25">
      <c r="A6946" t="str">
        <f>"20190312172542487"</f>
        <v>20190312172542487</v>
      </c>
      <c r="B6946" t="str">
        <f>"1552382742476865"</f>
        <v>1552382742476865</v>
      </c>
      <c r="C6946" t="s">
        <v>40</v>
      </c>
      <c r="D6946">
        <v>3.917189</v>
      </c>
      <c r="E6946">
        <v>0.49189189999999999</v>
      </c>
      <c r="F6946" t="s">
        <v>43</v>
      </c>
      <c r="G6946">
        <v>-187.64429999999999</v>
      </c>
      <c r="H6946" s="1">
        <v>-4.535889E-6</v>
      </c>
      <c r="I6946">
        <v>-10.768000000000001</v>
      </c>
      <c r="J6946">
        <v>-188.303</v>
      </c>
      <c r="K6946">
        <v>1.109291</v>
      </c>
      <c r="L6946">
        <v>-25.273350000000001</v>
      </c>
      <c r="M6946">
        <v>7.1184280000000003E-2</v>
      </c>
      <c r="N6946">
        <v>0</v>
      </c>
      <c r="O6946">
        <v>0.99736670000000005</v>
      </c>
      <c r="P6946">
        <v>6.8298499999999998E-2</v>
      </c>
      <c r="Q6946">
        <v>0.1555714</v>
      </c>
      <c r="R6946">
        <v>0.98546080000000003</v>
      </c>
      <c r="S6946">
        <v>0.14120479999999899</v>
      </c>
      <c r="T6946">
        <v>-0.2306628</v>
      </c>
      <c r="U6946">
        <v>3.0702509999999998</v>
      </c>
      <c r="V6946">
        <v>-1.491469E-3</v>
      </c>
      <c r="W6946">
        <v>0.16926830000000001</v>
      </c>
      <c r="X6946">
        <v>0.98556889999999997</v>
      </c>
      <c r="Y6946">
        <v>-2.5418059999999999E-2</v>
      </c>
      <c r="Z6946">
        <v>-7.4581359999999999E-2</v>
      </c>
      <c r="AA6946">
        <v>0.99689099999999997</v>
      </c>
      <c r="AB6946">
        <v>25</v>
      </c>
      <c r="AC6946">
        <v>0.65870000000001006</v>
      </c>
      <c r="AD6946">
        <v>-1.109295535889</v>
      </c>
      <c r="AE6946">
        <v>14.50535</v>
      </c>
      <c r="AF6946">
        <v>-0.37344403859492598</v>
      </c>
      <c r="AG6946">
        <v>-1.109295535889</v>
      </c>
      <c r="AH6946">
        <v>14.4312130423124</v>
      </c>
      <c r="AI6946">
        <v>94.394091359713798</v>
      </c>
      <c r="AJ6946">
        <v>91.482341994634993</v>
      </c>
      <c r="AK6946">
        <v>14.478601690374401</v>
      </c>
      <c r="AL6946">
        <v>80.254720981221595</v>
      </c>
      <c r="AM6946">
        <v>90.086706077820907</v>
      </c>
      <c r="AN6946">
        <v>1.00000001925593</v>
      </c>
    </row>
    <row r="6947" spans="1:40" x14ac:dyDescent="0.25">
      <c r="A6947" t="str">
        <f>"20190312172542509"</f>
        <v>20190312172542509</v>
      </c>
      <c r="B6947" t="str">
        <f>"1552382742497364"</f>
        <v>1552382742497364</v>
      </c>
      <c r="C6947" t="s">
        <v>40</v>
      </c>
      <c r="D6947">
        <v>4.0246909999999998</v>
      </c>
      <c r="E6947">
        <v>0.49180829999999998</v>
      </c>
      <c r="F6947" t="s">
        <v>43</v>
      </c>
      <c r="G6947">
        <v>-187.5874</v>
      </c>
      <c r="H6947" s="1">
        <v>-6.3789080000000005E-7</v>
      </c>
      <c r="I6947">
        <v>-10.36378</v>
      </c>
      <c r="J6947">
        <v>-188.28389999999999</v>
      </c>
      <c r="K6947">
        <v>1.109321</v>
      </c>
      <c r="L6947">
        <v>-25.03473</v>
      </c>
      <c r="M6947">
        <v>7.2988639999999994E-2</v>
      </c>
      <c r="N6947">
        <v>0</v>
      </c>
      <c r="O6947">
        <v>0.99723629999999996</v>
      </c>
      <c r="P6947">
        <v>7.0610679999999995E-2</v>
      </c>
      <c r="Q6947">
        <v>0.1562819</v>
      </c>
      <c r="R6947">
        <v>0.98518530000000004</v>
      </c>
      <c r="S6947">
        <v>0.14735409999999999</v>
      </c>
      <c r="T6947">
        <v>-0.2284195</v>
      </c>
      <c r="U6947">
        <v>3.0700989999999999</v>
      </c>
      <c r="V6947">
        <v>-9.5842059999999996E-4</v>
      </c>
      <c r="W6947">
        <v>0.1699727</v>
      </c>
      <c r="X6947">
        <v>0.98544830000000005</v>
      </c>
      <c r="Y6947">
        <v>-2.522949E-2</v>
      </c>
      <c r="Z6947">
        <v>-7.3845919999999995E-2</v>
      </c>
      <c r="AA6947">
        <v>0.99695040000000001</v>
      </c>
      <c r="AB6947">
        <v>25</v>
      </c>
      <c r="AC6947">
        <v>0.69649999999998602</v>
      </c>
      <c r="AD6947">
        <v>-1.1093216378908</v>
      </c>
      <c r="AE6947">
        <v>14.670949999999999</v>
      </c>
      <c r="AF6947">
        <v>-0.37413951371714099</v>
      </c>
      <c r="AG6947">
        <v>-1.1093216378908</v>
      </c>
      <c r="AH6947">
        <v>14.5993704545262</v>
      </c>
      <c r="AI6947">
        <v>94.343804180086494</v>
      </c>
      <c r="AJ6947">
        <v>91.468003307446295</v>
      </c>
      <c r="AK6947">
        <v>14.646234756431801</v>
      </c>
      <c r="AL6947">
        <v>80.213768165680193</v>
      </c>
      <c r="AM6947">
        <v>90.055724321675896</v>
      </c>
      <c r="AN6947">
        <v>0.99999999464411304</v>
      </c>
    </row>
    <row r="6948" spans="1:40" x14ac:dyDescent="0.25">
      <c r="A6948" t="str">
        <f>"20190312172542530"</f>
        <v>20190312172542530</v>
      </c>
      <c r="B6948" t="str">
        <f>"1552382742526641"</f>
        <v>1552382742526641</v>
      </c>
      <c r="C6948" t="s">
        <v>40</v>
      </c>
      <c r="D6948">
        <v>4.0839990000000004</v>
      </c>
      <c r="E6948">
        <v>0.49172660000000001</v>
      </c>
      <c r="F6948" t="s">
        <v>43</v>
      </c>
      <c r="G6948">
        <v>-187.5283</v>
      </c>
      <c r="H6948" s="1">
        <v>-7.920148E-7</v>
      </c>
      <c r="I6948">
        <v>-9.9570869999999996</v>
      </c>
      <c r="J6948">
        <v>-188.26480000000001</v>
      </c>
      <c r="K6948">
        <v>1.109354</v>
      </c>
      <c r="L6948">
        <v>-24.80142</v>
      </c>
      <c r="M6948">
        <v>7.4721670000000004E-2</v>
      </c>
      <c r="N6948">
        <v>0</v>
      </c>
      <c r="O6948">
        <v>0.99710799999999999</v>
      </c>
      <c r="P6948">
        <v>7.2803880000000001E-2</v>
      </c>
      <c r="Q6948">
        <v>0.15764710000000001</v>
      </c>
      <c r="R6948">
        <v>0.98480809999999996</v>
      </c>
      <c r="S6948">
        <v>0.15383910000000001</v>
      </c>
      <c r="T6948">
        <v>-0.2258657</v>
      </c>
      <c r="U6948">
        <v>3.0699160000000001</v>
      </c>
      <c r="V6948">
        <v>-4.6585590000000003E-4</v>
      </c>
      <c r="W6948">
        <v>0.1713305</v>
      </c>
      <c r="X6948">
        <v>0.98521349999999996</v>
      </c>
      <c r="Y6948">
        <v>-2.4860050000000002E-2</v>
      </c>
      <c r="Z6948">
        <v>-7.3011599999999996E-2</v>
      </c>
      <c r="AA6948">
        <v>0.99702120000000005</v>
      </c>
      <c r="AB6948">
        <v>25</v>
      </c>
      <c r="AC6948">
        <v>0.73650000000000604</v>
      </c>
      <c r="AD6948">
        <v>-1.1093547920147999</v>
      </c>
      <c r="AE6948">
        <v>14.844332999999899</v>
      </c>
      <c r="AF6948">
        <v>-0.372782495450521</v>
      </c>
      <c r="AG6948">
        <v>-1.1093547920147999</v>
      </c>
      <c r="AH6948">
        <v>14.775546313690899</v>
      </c>
      <c r="AI6948">
        <v>94.292376644302706</v>
      </c>
      <c r="AJ6948">
        <v>91.4452483202422</v>
      </c>
      <c r="AK6948">
        <v>14.821821875582801</v>
      </c>
      <c r="AL6948">
        <v>80.134813844258403</v>
      </c>
      <c r="AM6948">
        <v>90.0270921733634</v>
      </c>
      <c r="AN6948">
        <v>0.999999998917109</v>
      </c>
    </row>
    <row r="6949" spans="1:40" x14ac:dyDescent="0.25">
      <c r="A6949" t="str">
        <f>"20190312172542552"</f>
        <v>20190312172542552</v>
      </c>
      <c r="B6949" t="str">
        <f>"1552382742547138"</f>
        <v>1552382742547138</v>
      </c>
      <c r="C6949" t="s">
        <v>40</v>
      </c>
      <c r="D6949">
        <v>3.9800870000000002</v>
      </c>
      <c r="E6949">
        <v>0.49170340000000001</v>
      </c>
      <c r="F6949" t="s">
        <v>43</v>
      </c>
      <c r="G6949">
        <v>-187.4648</v>
      </c>
      <c r="H6949" s="1">
        <v>-1.013227E-6</v>
      </c>
      <c r="I6949">
        <v>-9.3566730000000007</v>
      </c>
      <c r="J6949">
        <v>-188.24469999999999</v>
      </c>
      <c r="K6949">
        <v>1.109394</v>
      </c>
      <c r="L6949">
        <v>-24.56091</v>
      </c>
      <c r="M6949">
        <v>7.6462180000000005E-2</v>
      </c>
      <c r="N6949">
        <v>0</v>
      </c>
      <c r="O6949">
        <v>0.99697610000000003</v>
      </c>
      <c r="P6949">
        <v>7.5039259999999997E-2</v>
      </c>
      <c r="Q6949">
        <v>0.158655399999999</v>
      </c>
      <c r="R6949">
        <v>0.98447830000000003</v>
      </c>
      <c r="S6949">
        <v>0.15899659999999999</v>
      </c>
      <c r="T6949">
        <v>-0.22049730000000001</v>
      </c>
      <c r="U6949">
        <v>3.0698240000000001</v>
      </c>
      <c r="V6949" s="1">
        <v>5.3025139999999998E-5</v>
      </c>
      <c r="W6949">
        <v>0.1723315</v>
      </c>
      <c r="X6949">
        <v>0.985039</v>
      </c>
      <c r="Y6949">
        <v>-2.4926460000000001E-2</v>
      </c>
      <c r="Z6949">
        <v>-7.1270089999999994E-2</v>
      </c>
      <c r="AA6949">
        <v>0.99714550000000002</v>
      </c>
      <c r="AB6949">
        <v>25</v>
      </c>
      <c r="AC6949">
        <v>0.77989999999999704</v>
      </c>
      <c r="AD6949">
        <v>-1.1093950132269901</v>
      </c>
      <c r="AE6949">
        <v>15.204236999999999</v>
      </c>
      <c r="AF6949">
        <v>-0.38301062744347802</v>
      </c>
      <c r="AG6949">
        <v>-1.1093950132269901</v>
      </c>
      <c r="AH6949">
        <v>15.138967052961601</v>
      </c>
      <c r="AI6949">
        <v>94.189850753805899</v>
      </c>
      <c r="AJ6949">
        <v>91.449254237386796</v>
      </c>
      <c r="AK6949">
        <v>15.184392574836901</v>
      </c>
      <c r="AL6949">
        <v>80.076594754275106</v>
      </c>
      <c r="AM6949">
        <v>89.996915739653801</v>
      </c>
      <c r="AN6949">
        <v>0.99999999011245699</v>
      </c>
    </row>
    <row r="6950" spans="1:40" x14ac:dyDescent="0.25">
      <c r="A6950" t="str">
        <f>"20190312172542575"</f>
        <v>20190312172542575</v>
      </c>
      <c r="B6950" t="str">
        <f>"1552382742566657"</f>
        <v>1552382742566657</v>
      </c>
      <c r="C6950" t="s">
        <v>40</v>
      </c>
      <c r="D6950">
        <v>3.9265460000000001</v>
      </c>
      <c r="E6950">
        <v>0.48749769999999998</v>
      </c>
      <c r="F6950" t="s">
        <v>43</v>
      </c>
      <c r="G6950">
        <v>-187.4008</v>
      </c>
      <c r="H6950" s="1">
        <v>-1.2120560000000001E-6</v>
      </c>
      <c r="I6950">
        <v>-8.8224999999999998</v>
      </c>
      <c r="J6950">
        <v>-188.2234</v>
      </c>
      <c r="K6950">
        <v>1.10944</v>
      </c>
      <c r="L6950">
        <v>-24.31006</v>
      </c>
      <c r="M6950">
        <v>7.8213779999999997E-2</v>
      </c>
      <c r="N6950">
        <v>0</v>
      </c>
      <c r="O6950">
        <v>0.99684019999999995</v>
      </c>
      <c r="P6950">
        <v>7.6155039999999993E-2</v>
      </c>
      <c r="Q6950">
        <v>0.1586456</v>
      </c>
      <c r="R6950">
        <v>0.9843942</v>
      </c>
      <c r="S6950">
        <v>0.16459660000000001</v>
      </c>
      <c r="T6950">
        <v>-0.21637580000000001</v>
      </c>
      <c r="U6950">
        <v>3.0696110000000001</v>
      </c>
      <c r="V6950">
        <v>-5.8226099999999896E-4</v>
      </c>
      <c r="W6950">
        <v>0.17231939999999901</v>
      </c>
      <c r="X6950">
        <v>0.98504100000000006</v>
      </c>
      <c r="Y6950">
        <v>-2.4860219999999999E-2</v>
      </c>
      <c r="Z6950">
        <v>-6.9931859999999998E-2</v>
      </c>
      <c r="AA6950">
        <v>0.99724199999999996</v>
      </c>
      <c r="AB6950">
        <v>25</v>
      </c>
      <c r="AC6950">
        <v>0.822599999999994</v>
      </c>
      <c r="AD6950">
        <v>-1.109441212056</v>
      </c>
      <c r="AE6950">
        <v>15.48756</v>
      </c>
      <c r="AF6950">
        <v>-0.38938497918173198</v>
      </c>
      <c r="AG6950">
        <v>-1.109441212056</v>
      </c>
      <c r="AH6950">
        <v>15.4255182162546</v>
      </c>
      <c r="AI6950">
        <v>94.112464324144597</v>
      </c>
      <c r="AJ6950">
        <v>91.446005165511494</v>
      </c>
      <c r="AK6950">
        <v>15.470264791044301</v>
      </c>
      <c r="AL6950">
        <v>80.077299093858102</v>
      </c>
      <c r="AM6950">
        <v>90.033867721231402</v>
      </c>
      <c r="AN6950">
        <v>1.0000000431626099</v>
      </c>
    </row>
    <row r="6951" spans="1:40" x14ac:dyDescent="0.25">
      <c r="A6951" t="str">
        <f>"20190312172542597"</f>
        <v>20190312172542597</v>
      </c>
      <c r="B6951" t="str">
        <f>"1552382742587153"</f>
        <v>1552382742587153</v>
      </c>
      <c r="C6951" t="s">
        <v>40</v>
      </c>
      <c r="D6951">
        <v>4.0043639999999998</v>
      </c>
      <c r="E6951">
        <v>0.4877803</v>
      </c>
      <c r="F6951" t="s">
        <v>43</v>
      </c>
      <c r="G6951">
        <v>-187.57490000000001</v>
      </c>
      <c r="H6951" s="1">
        <v>-9.4080499999999999E-7</v>
      </c>
      <c r="I6951">
        <v>-9.4834390000000006</v>
      </c>
      <c r="J6951">
        <v>-188.2021</v>
      </c>
      <c r="K6951">
        <v>1.109494</v>
      </c>
      <c r="L6951">
        <v>-24.063510000000001</v>
      </c>
      <c r="M6951">
        <v>7.9852039999999999E-2</v>
      </c>
      <c r="N6951">
        <v>0</v>
      </c>
      <c r="O6951">
        <v>0.9967104</v>
      </c>
      <c r="P6951">
        <v>7.7190030000000007E-2</v>
      </c>
      <c r="Q6951">
        <v>0.15803200000000001</v>
      </c>
      <c r="R6951">
        <v>0.98441230000000002</v>
      </c>
      <c r="S6951">
        <v>0.13446040000000001</v>
      </c>
      <c r="T6951">
        <v>-0.2300365</v>
      </c>
      <c r="U6951">
        <v>3.0742189999999998</v>
      </c>
      <c r="V6951">
        <v>-1.2028710000000001E-3</v>
      </c>
      <c r="W6951">
        <v>0.17170489999999999</v>
      </c>
      <c r="X6951">
        <v>0.98514769999999896</v>
      </c>
      <c r="Y6951">
        <v>-3.6347459999999998E-2</v>
      </c>
      <c r="Z6951">
        <v>-7.4202340000000006E-2</v>
      </c>
      <c r="AA6951">
        <v>0.99658060000000004</v>
      </c>
      <c r="AB6951">
        <v>25</v>
      </c>
      <c r="AC6951">
        <v>0.62719999999998699</v>
      </c>
      <c r="AD6951">
        <v>-1.1094949408050001</v>
      </c>
      <c r="AE6951">
        <v>14.580070999999901</v>
      </c>
      <c r="AF6951">
        <v>-0.53606496031686601</v>
      </c>
      <c r="AG6951">
        <v>-1.1094949408050001</v>
      </c>
      <c r="AH6951">
        <v>14.4997830467213</v>
      </c>
      <c r="AI6951">
        <v>94.372658392073305</v>
      </c>
      <c r="AJ6951">
        <v>92.1172922035516</v>
      </c>
      <c r="AK6951">
        <v>14.5520463532569</v>
      </c>
      <c r="AL6951">
        <v>80.113039695778397</v>
      </c>
      <c r="AM6951">
        <v>90.069958441103793</v>
      </c>
      <c r="AN6951">
        <v>1.0000000051989699</v>
      </c>
    </row>
    <row r="6952" spans="1:40" x14ac:dyDescent="0.25">
      <c r="A6952" t="str">
        <f>"20190312172542621"</f>
        <v>20190312172542621</v>
      </c>
      <c r="B6952" t="str">
        <f>"1552382742617410"</f>
        <v>1552382742617410</v>
      </c>
      <c r="C6952" t="s">
        <v>40</v>
      </c>
      <c r="D6952">
        <v>3.8930009999999999</v>
      </c>
      <c r="E6952">
        <v>0.48821700000000001</v>
      </c>
      <c r="F6952" t="s">
        <v>43</v>
      </c>
      <c r="G6952">
        <v>-187.5488</v>
      </c>
      <c r="H6952" s="1">
        <v>-8.8537149999999998E-7</v>
      </c>
      <c r="I6952">
        <v>-9.6667229999999993</v>
      </c>
      <c r="J6952">
        <v>-188.1797</v>
      </c>
      <c r="K6952">
        <v>1.1095680000000001</v>
      </c>
      <c r="L6952">
        <v>-23.80865</v>
      </c>
      <c r="M6952">
        <v>8.1432690000000002E-2</v>
      </c>
      <c r="N6952">
        <v>0</v>
      </c>
      <c r="O6952">
        <v>0.99658259999999999</v>
      </c>
      <c r="P6952">
        <v>7.8532770000000002E-2</v>
      </c>
      <c r="Q6952">
        <v>0.15670880000000001</v>
      </c>
      <c r="R6952">
        <v>0.98451759999999999</v>
      </c>
      <c r="S6952">
        <v>0.1395111</v>
      </c>
      <c r="T6952">
        <v>-0.2369443</v>
      </c>
      <c r="U6952">
        <v>3.0745849999999999</v>
      </c>
      <c r="V6952">
        <v>-1.4780220000000001E-3</v>
      </c>
      <c r="W6952">
        <v>0.170381</v>
      </c>
      <c r="X6952">
        <v>0.98537710000000001</v>
      </c>
      <c r="Y6952">
        <v>-3.631123E-2</v>
      </c>
      <c r="Z6952">
        <v>-7.6391180000000003E-2</v>
      </c>
      <c r="AA6952">
        <v>0.99641650000000004</v>
      </c>
      <c r="AB6952">
        <v>24</v>
      </c>
      <c r="AC6952">
        <v>0.63089999999999602</v>
      </c>
      <c r="AD6952">
        <v>-1.1095688853715</v>
      </c>
      <c r="AE6952">
        <v>14.1419269999999</v>
      </c>
      <c r="AF6952">
        <v>-0.51972831646583795</v>
      </c>
      <c r="AG6952">
        <v>-1.1095688853715</v>
      </c>
      <c r="AH6952">
        <v>14.059951532229601</v>
      </c>
      <c r="AI6952">
        <v>94.509191029425395</v>
      </c>
      <c r="AJ6952">
        <v>92.116983607360396</v>
      </c>
      <c r="AK6952">
        <v>14.1132383853943</v>
      </c>
      <c r="AL6952">
        <v>80.190027566090706</v>
      </c>
      <c r="AM6952">
        <v>90.085941066742805</v>
      </c>
      <c r="AN6952">
        <v>0.99999994945721904</v>
      </c>
    </row>
    <row r="6953" spans="1:40" x14ac:dyDescent="0.25">
      <c r="A6953" t="str">
        <f>"20190312172542643"</f>
        <v>20190312172542643</v>
      </c>
      <c r="B6953" t="str">
        <f>"1552382742636929"</f>
        <v>1552382742636929</v>
      </c>
      <c r="C6953" t="s">
        <v>40</v>
      </c>
      <c r="D6953">
        <v>4.0228330000000003</v>
      </c>
      <c r="E6953">
        <v>0.48907410000000001</v>
      </c>
      <c r="F6953" t="s">
        <v>43</v>
      </c>
      <c r="G6953">
        <v>-187.52500000000001</v>
      </c>
      <c r="H6953" s="1">
        <v>-7.7704669999999897E-7</v>
      </c>
      <c r="I6953">
        <v>-10.0037</v>
      </c>
      <c r="J6953">
        <v>-188.15860000000001</v>
      </c>
      <c r="K6953">
        <v>1.109664</v>
      </c>
      <c r="L6953">
        <v>-23.570399999999999</v>
      </c>
      <c r="M6953">
        <v>8.2763989999999996E-2</v>
      </c>
      <c r="N6953">
        <v>0</v>
      </c>
      <c r="O6953">
        <v>0.99647300000000005</v>
      </c>
      <c r="P6953">
        <v>7.9319120000000007E-2</v>
      </c>
      <c r="Q6953">
        <v>0.15525639999999999</v>
      </c>
      <c r="R6953">
        <v>0.98468469999999997</v>
      </c>
      <c r="S6953">
        <v>0.14584349999999999</v>
      </c>
      <c r="T6953">
        <v>-0.24714340000000001</v>
      </c>
      <c r="U6953">
        <v>3.0748899999999999</v>
      </c>
      <c r="V6953">
        <v>-2.0724559999999999E-3</v>
      </c>
      <c r="W6953">
        <v>0.16892850000000001</v>
      </c>
      <c r="X6953">
        <v>0.98562620000000001</v>
      </c>
      <c r="Y6953">
        <v>-3.5615239999999999E-2</v>
      </c>
      <c r="Z6953">
        <v>-7.9635040000000004E-2</v>
      </c>
      <c r="AA6953">
        <v>0.99618759999999995</v>
      </c>
      <c r="AB6953">
        <v>24</v>
      </c>
      <c r="AC6953">
        <v>0.63360000000000105</v>
      </c>
      <c r="AD6953">
        <v>-1.1096647770467001</v>
      </c>
      <c r="AE6953">
        <v>13.566700000000001</v>
      </c>
      <c r="AF6953">
        <v>-0.48825664425806897</v>
      </c>
      <c r="AG6953">
        <v>-1.1096647770467001</v>
      </c>
      <c r="AH6953">
        <v>13.482586318249</v>
      </c>
      <c r="AI6953">
        <v>94.701973297859496</v>
      </c>
      <c r="AJ6953">
        <v>92.0739956525845</v>
      </c>
      <c r="AK6953">
        <v>13.536982097096701</v>
      </c>
      <c r="AL6953">
        <v>80.274475049531304</v>
      </c>
      <c r="AM6953">
        <v>90.120474483154993</v>
      </c>
      <c r="AN6953">
        <v>1.0000000696562701</v>
      </c>
    </row>
    <row r="6954" spans="1:40" x14ac:dyDescent="0.25">
      <c r="A6954" t="str">
        <f>"20190312172542665"</f>
        <v>20190312172542665</v>
      </c>
      <c r="B6954" t="str">
        <f>"1552382742657425"</f>
        <v>1552382742657425</v>
      </c>
      <c r="C6954" t="s">
        <v>40</v>
      </c>
      <c r="D6954">
        <v>3.9842110000000002</v>
      </c>
      <c r="E6954">
        <v>0.50835870000000005</v>
      </c>
      <c r="F6954" t="s">
        <v>43</v>
      </c>
      <c r="G6954">
        <v>-187.47929999999999</v>
      </c>
      <c r="H6954" s="1">
        <v>-7.7827699999999897E-7</v>
      </c>
      <c r="I6954">
        <v>-10.03581</v>
      </c>
      <c r="J6954">
        <v>-188.1369</v>
      </c>
      <c r="K6954">
        <v>1.1097840000000001</v>
      </c>
      <c r="L6954">
        <v>-23.326779999999999</v>
      </c>
      <c r="M6954">
        <v>8.3961960000000002E-2</v>
      </c>
      <c r="N6954">
        <v>0</v>
      </c>
      <c r="O6954">
        <v>0.99637279999999995</v>
      </c>
      <c r="P6954">
        <v>7.9226610000000003E-2</v>
      </c>
      <c r="Q6954">
        <v>0.154002799999999</v>
      </c>
      <c r="R6954">
        <v>0.98488900000000001</v>
      </c>
      <c r="S6954">
        <v>0.15429689999999999</v>
      </c>
      <c r="T6954">
        <v>-0.2520269</v>
      </c>
      <c r="U6954">
        <v>3.0739749999999999</v>
      </c>
      <c r="V6954">
        <v>-3.4215790000000001E-3</v>
      </c>
      <c r="W6954">
        <v>0.16767489999999999</v>
      </c>
      <c r="X6954">
        <v>0.98583639999999995</v>
      </c>
      <c r="Y6954">
        <v>-3.4076080000000002E-2</v>
      </c>
      <c r="Z6954">
        <v>-8.1206829999999994E-2</v>
      </c>
      <c r="AA6954">
        <v>0.99611459999999996</v>
      </c>
      <c r="AB6954">
        <v>24</v>
      </c>
      <c r="AC6954">
        <v>0.65760000000000196</v>
      </c>
      <c r="AD6954">
        <v>-1.1097847782770001</v>
      </c>
      <c r="AE6954">
        <v>13.2909699999999</v>
      </c>
      <c r="AF6954">
        <v>-0.45758276305668</v>
      </c>
      <c r="AG6954">
        <v>-1.1097847782770001</v>
      </c>
      <c r="AH6954">
        <v>13.2073902288698</v>
      </c>
      <c r="AI6954">
        <v>94.800274715616098</v>
      </c>
      <c r="AJ6954">
        <v>91.984273817550203</v>
      </c>
      <c r="AK6954">
        <v>13.2618309782921</v>
      </c>
      <c r="AL6954">
        <v>80.347339681864895</v>
      </c>
      <c r="AM6954">
        <v>90.1988577910098</v>
      </c>
      <c r="AN6954">
        <v>0.99999999342891099</v>
      </c>
    </row>
    <row r="6955" spans="1:40" x14ac:dyDescent="0.25">
      <c r="A6955" t="str">
        <f>"20190312172542687"</f>
        <v>20190312172542687</v>
      </c>
      <c r="B6955" t="str">
        <f>"1552382742676948"</f>
        <v>1552382742676948</v>
      </c>
      <c r="C6955" t="s">
        <v>40</v>
      </c>
      <c r="D6955">
        <v>3.9555419999999999</v>
      </c>
      <c r="E6955">
        <v>0.50833070000000002</v>
      </c>
      <c r="F6955" t="s">
        <v>41</v>
      </c>
      <c r="G6955">
        <v>-188.04640000000001</v>
      </c>
      <c r="H6955">
        <v>1.0374639999999999</v>
      </c>
      <c r="I6955">
        <v>-22.4283</v>
      </c>
      <c r="J6955">
        <v>-188.11490000000001</v>
      </c>
      <c r="K6955">
        <v>1.1099049999999999</v>
      </c>
      <c r="L6955">
        <v>-23.081569999999999</v>
      </c>
      <c r="M6955">
        <v>8.501802E-2</v>
      </c>
      <c r="N6955">
        <v>0</v>
      </c>
      <c r="O6955">
        <v>0.99628329999999998</v>
      </c>
      <c r="P6955">
        <v>7.9948190000000002E-2</v>
      </c>
      <c r="Q6955">
        <v>0.1542452</v>
      </c>
      <c r="R6955">
        <v>0.98479269999999997</v>
      </c>
      <c r="S6955">
        <v>0.30749510000000002</v>
      </c>
      <c r="T6955">
        <v>-0.2462416</v>
      </c>
      <c r="U6955">
        <v>3.0597840000000001</v>
      </c>
      <c r="V6955">
        <v>-3.7890290000000002E-3</v>
      </c>
      <c r="W6955">
        <v>0.16791139999999999</v>
      </c>
      <c r="X6955">
        <v>0.98579479999999997</v>
      </c>
      <c r="Y6955">
        <v>1.471164E-2</v>
      </c>
      <c r="Z6955">
        <v>-7.9579860000000002E-2</v>
      </c>
      <c r="AA6955">
        <v>0.99672000000000005</v>
      </c>
      <c r="AB6955">
        <v>24</v>
      </c>
      <c r="AC6955">
        <v>6.85000000000002E-2</v>
      </c>
      <c r="AD6955">
        <v>-7.2440999999999894E-2</v>
      </c>
      <c r="AE6955">
        <v>0.65327000000000202</v>
      </c>
      <c r="AF6955">
        <v>1.2554206404915299E-2</v>
      </c>
      <c r="AG6955">
        <v>-7.2440999999999894E-2</v>
      </c>
      <c r="AH6955">
        <v>0.648836928369387</v>
      </c>
      <c r="AI6955">
        <v>96.369363801796396</v>
      </c>
      <c r="AJ6955">
        <v>88.891534578712097</v>
      </c>
      <c r="AK6955">
        <v>0.65298902455958496</v>
      </c>
      <c r="AL6955">
        <v>80.333594331381605</v>
      </c>
      <c r="AM6955">
        <v>90.220222607257995</v>
      </c>
      <c r="AN6955">
        <v>0.99999999134888096</v>
      </c>
    </row>
    <row r="6956" spans="1:40" x14ac:dyDescent="0.25">
      <c r="A6956" t="str">
        <f>"20190312172542709"</f>
        <v>20190312172542709</v>
      </c>
      <c r="B6956" t="str">
        <f>"1552382742697444"</f>
        <v>1552382742697444</v>
      </c>
      <c r="C6956" t="s">
        <v>40</v>
      </c>
      <c r="D6956">
        <v>3.9574729999999998</v>
      </c>
      <c r="E6956">
        <v>0.50874490000000006</v>
      </c>
      <c r="F6956" t="s">
        <v>41</v>
      </c>
      <c r="G6956">
        <v>-188.0265</v>
      </c>
      <c r="H6956">
        <v>1.0408389999999901</v>
      </c>
      <c r="I6956">
        <v>-22.20852</v>
      </c>
      <c r="J6956">
        <v>-188.0943</v>
      </c>
      <c r="K6956">
        <v>1.1100179999999999</v>
      </c>
      <c r="L6956">
        <v>-22.852360000000001</v>
      </c>
      <c r="M6956">
        <v>8.5856089999999996E-2</v>
      </c>
      <c r="N6956">
        <v>0</v>
      </c>
      <c r="O6956">
        <v>0.99621150000000003</v>
      </c>
      <c r="P6956">
        <v>8.0889520000000006E-2</v>
      </c>
      <c r="Q6956">
        <v>0.156031</v>
      </c>
      <c r="R6956">
        <v>0.98443449999999999</v>
      </c>
      <c r="S6956">
        <v>0.30972290000000002</v>
      </c>
      <c r="T6956">
        <v>-0.24199770000000001</v>
      </c>
      <c r="U6956">
        <v>3.0590820000000001</v>
      </c>
      <c r="V6956">
        <v>-3.692936E-3</v>
      </c>
      <c r="W6956">
        <v>0.16968739999999999</v>
      </c>
      <c r="X6956">
        <v>0.98549100000000001</v>
      </c>
      <c r="Y6956">
        <v>1.4622649999999999E-2</v>
      </c>
      <c r="Z6956">
        <v>-7.8223379999999995E-2</v>
      </c>
      <c r="AA6956">
        <v>0.99682859999999995</v>
      </c>
      <c r="AB6956">
        <v>24</v>
      </c>
      <c r="AC6956">
        <v>6.7800000000005398E-2</v>
      </c>
      <c r="AD6956">
        <v>-6.9179000000000102E-2</v>
      </c>
      <c r="AE6956">
        <v>0.64383999999999997</v>
      </c>
      <c r="AF6956">
        <v>1.2128244098473399E-2</v>
      </c>
      <c r="AG6956">
        <v>-6.9179000000000102E-2</v>
      </c>
      <c r="AH6956">
        <v>0.63997632612894995</v>
      </c>
      <c r="AI6956">
        <v>96.168400869726398</v>
      </c>
      <c r="AJ6956">
        <v>88.914312920612602</v>
      </c>
      <c r="AK6956">
        <v>0.64381870612107905</v>
      </c>
      <c r="AL6956">
        <v>80.230355479726498</v>
      </c>
      <c r="AM6956">
        <v>90.214703793762197</v>
      </c>
      <c r="AN6956">
        <v>0.99999998128802903</v>
      </c>
    </row>
    <row r="6957" spans="1:40" x14ac:dyDescent="0.25">
      <c r="A6957" t="str">
        <f>"20190312172542731"</f>
        <v>20190312172542731</v>
      </c>
      <c r="B6957" t="str">
        <f>"1552382742726721"</f>
        <v>1552382742726721</v>
      </c>
      <c r="C6957" t="s">
        <v>40</v>
      </c>
      <c r="D6957">
        <v>3.9715630000000002</v>
      </c>
      <c r="E6957">
        <v>0.50897570000000003</v>
      </c>
      <c r="F6957" t="s">
        <v>41</v>
      </c>
      <c r="G6957">
        <v>-188.00559999999999</v>
      </c>
      <c r="H6957">
        <v>1.043712</v>
      </c>
      <c r="I6957">
        <v>-21.989740000000001</v>
      </c>
      <c r="J6957">
        <v>-188.0728</v>
      </c>
      <c r="K6957">
        <v>1.1101399999999999</v>
      </c>
      <c r="L6957">
        <v>-22.613800000000001</v>
      </c>
      <c r="M6957">
        <v>8.6549269999999998E-2</v>
      </c>
      <c r="N6957">
        <v>0</v>
      </c>
      <c r="O6957">
        <v>0.99615160000000003</v>
      </c>
      <c r="P6957">
        <v>8.1419950000000005E-2</v>
      </c>
      <c r="Q6957">
        <v>0.15736329999999901</v>
      </c>
      <c r="R6957">
        <v>0.98417869999999996</v>
      </c>
      <c r="S6957">
        <v>0.31385800000000003</v>
      </c>
      <c r="T6957">
        <v>-0.23509930000000001</v>
      </c>
      <c r="U6957">
        <v>3.0588989999999998</v>
      </c>
      <c r="V6957">
        <v>-3.876244E-3</v>
      </c>
      <c r="W6957">
        <v>0.171012</v>
      </c>
      <c r="X6957">
        <v>0.98526130000000001</v>
      </c>
      <c r="Y6957">
        <v>1.528417E-2</v>
      </c>
      <c r="Z6957">
        <v>-7.5998830000000003E-2</v>
      </c>
      <c r="AA6957">
        <v>0.99699070000000001</v>
      </c>
      <c r="AB6957">
        <v>24</v>
      </c>
      <c r="AC6957">
        <v>6.7200000000013901E-2</v>
      </c>
      <c r="AD6957">
        <v>-6.6427999999999904E-2</v>
      </c>
      <c r="AE6957">
        <v>0.62405999999999995</v>
      </c>
      <c r="AF6957">
        <v>1.27874586920654E-2</v>
      </c>
      <c r="AG6957">
        <v>-6.6427999999999904E-2</v>
      </c>
      <c r="AH6957">
        <v>0.62058354542252703</v>
      </c>
      <c r="AI6957">
        <v>96.108457561830406</v>
      </c>
      <c r="AJ6957">
        <v>88.8195566067253</v>
      </c>
      <c r="AK6957">
        <v>0.624259669635157</v>
      </c>
      <c r="AL6957">
        <v>80.153335717287604</v>
      </c>
      <c r="AM6957">
        <v>90.225413578827002</v>
      </c>
      <c r="AN6957">
        <v>0.99999997934461804</v>
      </c>
    </row>
    <row r="6958" spans="1:40" x14ac:dyDescent="0.25">
      <c r="A6958" t="str">
        <f>"20190312172542754"</f>
        <v>20190312172542754</v>
      </c>
      <c r="B6958" t="str">
        <f>"1552382742747218"</f>
        <v>1552382742747218</v>
      </c>
      <c r="C6958" t="s">
        <v>40</v>
      </c>
      <c r="D6958">
        <v>3.9927839999999999</v>
      </c>
      <c r="E6958">
        <v>0.5090055</v>
      </c>
      <c r="F6958" t="s">
        <v>43</v>
      </c>
      <c r="G6958">
        <v>-186.53110000000001</v>
      </c>
      <c r="H6958" s="1">
        <v>-1.815743E-6</v>
      </c>
      <c r="I6958">
        <v>-7.7285369999999904</v>
      </c>
      <c r="J6958">
        <v>-188.0505</v>
      </c>
      <c r="K6958">
        <v>1.1102749999999999</v>
      </c>
      <c r="L6958">
        <v>-22.366669999999999</v>
      </c>
      <c r="M6958">
        <v>8.7055820000000006E-2</v>
      </c>
      <c r="N6958">
        <v>0</v>
      </c>
      <c r="O6958">
        <v>0.99610750000000003</v>
      </c>
      <c r="P6958">
        <v>8.1256599999999998E-2</v>
      </c>
      <c r="Q6958">
        <v>0.15738650000000001</v>
      </c>
      <c r="R6958">
        <v>0.98418839999999996</v>
      </c>
      <c r="S6958">
        <v>0.31677250000000001</v>
      </c>
      <c r="T6958">
        <v>-0.22810279999999999</v>
      </c>
      <c r="U6958">
        <v>3.0585019999999998</v>
      </c>
      <c r="V6958">
        <v>-4.5983250000000003E-3</v>
      </c>
      <c r="W6958">
        <v>0.17102989999999901</v>
      </c>
      <c r="X6958">
        <v>0.98525510000000005</v>
      </c>
      <c r="Y6958">
        <v>1.5746320000000001E-2</v>
      </c>
      <c r="Z6958">
        <v>-7.3750430000000006E-2</v>
      </c>
      <c r="AA6958">
        <v>0.99715240000000005</v>
      </c>
      <c r="AB6958">
        <v>24</v>
      </c>
      <c r="AC6958">
        <v>1.5193999999999901</v>
      </c>
      <c r="AD6958">
        <v>-1.1102768157430001</v>
      </c>
      <c r="AE6958">
        <v>14.638133</v>
      </c>
      <c r="AF6958">
        <v>0.23782033511005299</v>
      </c>
      <c r="AG6958">
        <v>-1.1102768157430001</v>
      </c>
      <c r="AH6958">
        <v>14.6315554963775</v>
      </c>
      <c r="AI6958">
        <v>94.338851245607401</v>
      </c>
      <c r="AJ6958">
        <v>89.068800189004904</v>
      </c>
      <c r="AK6958">
        <v>14.6755473275427</v>
      </c>
      <c r="AL6958">
        <v>80.152294909897805</v>
      </c>
      <c r="AM6958">
        <v>90.267405570808293</v>
      </c>
      <c r="AN6958">
        <v>0.99999999168141296</v>
      </c>
    </row>
    <row r="6959" spans="1:40" x14ac:dyDescent="0.25">
      <c r="A6959" t="str">
        <f>"20190312172542776"</f>
        <v>20190312172542776</v>
      </c>
      <c r="B6959" t="str">
        <f>"1552382742766741"</f>
        <v>1552382742766741</v>
      </c>
      <c r="C6959" t="s">
        <v>40</v>
      </c>
      <c r="D6959">
        <v>3.9789150000000002</v>
      </c>
      <c r="E6959">
        <v>0.5091002</v>
      </c>
      <c r="F6959" t="s">
        <v>43</v>
      </c>
      <c r="G6959">
        <v>-186.50640000000001</v>
      </c>
      <c r="H6959" s="1">
        <v>-1.905676E-6</v>
      </c>
      <c r="I6959">
        <v>-7.4835729999999998</v>
      </c>
      <c r="J6959">
        <v>-188.02889999999999</v>
      </c>
      <c r="K6959">
        <v>1.1104080000000001</v>
      </c>
      <c r="L6959">
        <v>-22.12518</v>
      </c>
      <c r="M6959">
        <v>8.734372E-2</v>
      </c>
      <c r="N6959">
        <v>0</v>
      </c>
      <c r="O6959">
        <v>0.99608229999999998</v>
      </c>
      <c r="P6959">
        <v>8.1482170000000007E-2</v>
      </c>
      <c r="Q6959">
        <v>0.15757470000000001</v>
      </c>
      <c r="R6959">
        <v>0.98413969999999995</v>
      </c>
      <c r="S6959">
        <v>0.31732179999999999</v>
      </c>
      <c r="T6959">
        <v>-0.22816159999999999</v>
      </c>
      <c r="U6959">
        <v>3.0584720000000001</v>
      </c>
      <c r="V6959">
        <v>-4.7151550000000004E-3</v>
      </c>
      <c r="W6959">
        <v>0.17121169999999999</v>
      </c>
      <c r="X6959">
        <v>0.98522299999999996</v>
      </c>
      <c r="Y6959">
        <v>1.5635420000000001E-2</v>
      </c>
      <c r="Z6959">
        <v>-7.3766650000000003E-2</v>
      </c>
      <c r="AA6959">
        <v>0.99715299999999996</v>
      </c>
      <c r="AB6959">
        <v>24</v>
      </c>
      <c r="AC6959">
        <v>1.52249999999997</v>
      </c>
      <c r="AD6959">
        <v>-1.110409905676</v>
      </c>
      <c r="AE6959">
        <v>14.641607</v>
      </c>
      <c r="AF6959">
        <v>0.23636068513886099</v>
      </c>
      <c r="AG6959">
        <v>-1.110409905676</v>
      </c>
      <c r="AH6959">
        <v>14.6353566518794</v>
      </c>
      <c r="AI6959">
        <v>94.338253902593294</v>
      </c>
      <c r="AJ6959">
        <v>89.0747548681437</v>
      </c>
      <c r="AK6959">
        <v>14.679323583183701</v>
      </c>
      <c r="AL6959">
        <v>80.141722871186701</v>
      </c>
      <c r="AM6959">
        <v>90.2742083961231</v>
      </c>
      <c r="AN6959">
        <v>1.0000000193162799</v>
      </c>
    </row>
    <row r="6960" spans="1:40" x14ac:dyDescent="0.25">
      <c r="A6960" t="str">
        <f>"20190312172542798"</f>
        <v>20190312172542798</v>
      </c>
      <c r="B6960" t="str">
        <f>"1552382742787233"</f>
        <v>1552382742787233</v>
      </c>
      <c r="C6960" t="s">
        <v>40</v>
      </c>
      <c r="D6960">
        <v>3.9728140000000001</v>
      </c>
      <c r="E6960">
        <v>0.5091696</v>
      </c>
      <c r="F6960" t="s">
        <v>43</v>
      </c>
      <c r="G6960">
        <v>-186.4819</v>
      </c>
      <c r="H6960" s="1">
        <v>-1.985313E-6</v>
      </c>
      <c r="I6960">
        <v>-7.2686509999999904</v>
      </c>
      <c r="J6960">
        <v>-188.0077</v>
      </c>
      <c r="K6960">
        <v>1.110552</v>
      </c>
      <c r="L6960">
        <v>-21.88644</v>
      </c>
      <c r="M6960">
        <v>8.7425139999999998E-2</v>
      </c>
      <c r="N6960">
        <v>0</v>
      </c>
      <c r="O6960">
        <v>0.99607520000000005</v>
      </c>
      <c r="P6960">
        <v>8.2194379999999997E-2</v>
      </c>
      <c r="Q6960">
        <v>0.15706220000000001</v>
      </c>
      <c r="R6960">
        <v>0.98416230000000005</v>
      </c>
      <c r="S6960">
        <v>0.31848140000000003</v>
      </c>
      <c r="T6960">
        <v>-0.22860610000000001</v>
      </c>
      <c r="U6960">
        <v>3.0585939999999998</v>
      </c>
      <c r="V6960">
        <v>-4.1522529999999998E-3</v>
      </c>
      <c r="W6960">
        <v>0.17069489999999901</v>
      </c>
      <c r="X6960">
        <v>0.98531519999999995</v>
      </c>
      <c r="Y6960">
        <v>1.592259E-2</v>
      </c>
      <c r="Z6960">
        <v>-7.3904269999999994E-2</v>
      </c>
      <c r="AA6960">
        <v>0.99713819999999997</v>
      </c>
      <c r="AB6960">
        <v>24</v>
      </c>
      <c r="AC6960">
        <v>1.5258</v>
      </c>
      <c r="AD6960">
        <v>-1.110553985313</v>
      </c>
      <c r="AE6960">
        <v>14.617789</v>
      </c>
      <c r="AF6960">
        <v>0.240499227561879</v>
      </c>
      <c r="AG6960">
        <v>-1.110553985313</v>
      </c>
      <c r="AH6960">
        <v>14.611785882767</v>
      </c>
      <c r="AI6960">
        <v>94.345765130313495</v>
      </c>
      <c r="AJ6960">
        <v>89.057038838547101</v>
      </c>
      <c r="AK6960">
        <v>14.6559017708424</v>
      </c>
      <c r="AL6960">
        <v>80.171775708267603</v>
      </c>
      <c r="AM6960">
        <v>90.241450821079397</v>
      </c>
      <c r="AN6960">
        <v>1.0000000167210099</v>
      </c>
    </row>
    <row r="6961" spans="1:40" x14ac:dyDescent="0.25">
      <c r="A6961" t="str">
        <f>"20190312172542822"</f>
        <v>20190312172542822</v>
      </c>
      <c r="B6961" t="str">
        <f>"1552382742817489"</f>
        <v>1552382742817489</v>
      </c>
      <c r="C6961" t="s">
        <v>40</v>
      </c>
      <c r="D6961">
        <v>4.0196719999999999</v>
      </c>
      <c r="E6961">
        <v>0.50920699999999997</v>
      </c>
      <c r="F6961" t="s">
        <v>43</v>
      </c>
      <c r="G6961">
        <v>-186.46799999999999</v>
      </c>
      <c r="H6961" s="1">
        <v>-2.0304399999999999E-6</v>
      </c>
      <c r="I6961">
        <v>-7.1469459999999998</v>
      </c>
      <c r="J6961">
        <v>-187.9863</v>
      </c>
      <c r="K6961">
        <v>1.1107089999999999</v>
      </c>
      <c r="L6961">
        <v>-21.642119999999998</v>
      </c>
      <c r="M6961">
        <v>8.7278199999999903E-2</v>
      </c>
      <c r="N6961">
        <v>0</v>
      </c>
      <c r="O6961">
        <v>0.99608810000000003</v>
      </c>
      <c r="P6961">
        <v>8.210605E-2</v>
      </c>
      <c r="Q6961">
        <v>0.1560367</v>
      </c>
      <c r="R6961">
        <v>0.98433289999999996</v>
      </c>
      <c r="S6961">
        <v>0.31947330000000002</v>
      </c>
      <c r="T6961">
        <v>-0.23043259999999999</v>
      </c>
      <c r="U6961">
        <v>3.0583499999999999</v>
      </c>
      <c r="V6961">
        <v>-4.1769670000000002E-3</v>
      </c>
      <c r="W6961">
        <v>0.16966729999999899</v>
      </c>
      <c r="X6961">
        <v>0.98549249999999999</v>
      </c>
      <c r="Y6961">
        <v>1.639357E-2</v>
      </c>
      <c r="Z6961">
        <v>-7.4497259999999996E-2</v>
      </c>
      <c r="AA6961">
        <v>0.99708649999999999</v>
      </c>
      <c r="AB6961">
        <v>24</v>
      </c>
      <c r="AC6961">
        <v>1.51830000000001</v>
      </c>
      <c r="AD6961">
        <v>-1.1107110304400001</v>
      </c>
      <c r="AE6961">
        <v>14.495174</v>
      </c>
      <c r="AF6961">
        <v>0.245843657673944</v>
      </c>
      <c r="AG6961">
        <v>-1.1107110304400001</v>
      </c>
      <c r="AH6961">
        <v>14.488230980752901</v>
      </c>
      <c r="AI6961">
        <v>94.383262003789596</v>
      </c>
      <c r="AJ6961">
        <v>89.027869423996606</v>
      </c>
      <c r="AK6961">
        <v>14.5328233681143</v>
      </c>
      <c r="AL6961">
        <v>80.231523797227297</v>
      </c>
      <c r="AM6961">
        <v>90.242844209546305</v>
      </c>
      <c r="AN6961">
        <v>0.99999995364942795</v>
      </c>
    </row>
    <row r="6962" spans="1:40" x14ac:dyDescent="0.25">
      <c r="A6962" t="str">
        <f>"20190312172542845"</f>
        <v>20190312172542845</v>
      </c>
      <c r="B6962" t="str">
        <f>"1552382742837009"</f>
        <v>1552382742837009</v>
      </c>
      <c r="C6962" t="s">
        <v>40</v>
      </c>
      <c r="D6962">
        <v>4.0218809999999996</v>
      </c>
      <c r="E6962">
        <v>0.50919179999999997</v>
      </c>
      <c r="F6962" t="s">
        <v>41</v>
      </c>
      <c r="G6962">
        <v>-187.88810000000001</v>
      </c>
      <c r="H6962">
        <v>1.038786</v>
      </c>
      <c r="I6962">
        <v>-20.704139999999999</v>
      </c>
      <c r="J6962">
        <v>-187.96440000000001</v>
      </c>
      <c r="K6962">
        <v>1.110878</v>
      </c>
      <c r="L6962">
        <v>-21.388490000000001</v>
      </c>
      <c r="M6962">
        <v>8.6833220000000003E-2</v>
      </c>
      <c r="N6962">
        <v>0</v>
      </c>
      <c r="O6962">
        <v>0.99612710000000004</v>
      </c>
      <c r="P6962">
        <v>8.1142450000000005E-2</v>
      </c>
      <c r="Q6962">
        <v>0.1550397</v>
      </c>
      <c r="R6962">
        <v>0.98457030000000001</v>
      </c>
      <c r="S6962">
        <v>0.31938169999999999</v>
      </c>
      <c r="T6962">
        <v>-0.2345035</v>
      </c>
      <c r="U6962">
        <v>3.0582889999999998</v>
      </c>
      <c r="V6962">
        <v>-4.7868149999999998E-3</v>
      </c>
      <c r="W6962">
        <v>0.1686676</v>
      </c>
      <c r="X6962">
        <v>0.98566140000000002</v>
      </c>
      <c r="Y6962">
        <v>1.680245E-2</v>
      </c>
      <c r="Z6962">
        <v>-7.5811569999999995E-2</v>
      </c>
      <c r="AA6962">
        <v>0.99698059999999999</v>
      </c>
      <c r="AB6962">
        <v>24</v>
      </c>
      <c r="AC6962">
        <v>7.6300000000003296E-2</v>
      </c>
      <c r="AD6962">
        <v>-7.2092000000000003E-2</v>
      </c>
      <c r="AE6962">
        <v>0.68435000000000201</v>
      </c>
      <c r="AF6962">
        <v>1.64019825131391E-2</v>
      </c>
      <c r="AG6962">
        <v>-7.2092000000000003E-2</v>
      </c>
      <c r="AH6962">
        <v>0.680926951193073</v>
      </c>
      <c r="AI6962">
        <v>96.041841028393193</v>
      </c>
      <c r="AJ6962">
        <v>88.620141736204204</v>
      </c>
      <c r="AK6962">
        <v>0.68492904329970905</v>
      </c>
      <c r="AL6962">
        <v>80.289640792888804</v>
      </c>
      <c r="AM6962">
        <v>90.2782518831076</v>
      </c>
      <c r="AN6962">
        <v>1.00000003416878</v>
      </c>
    </row>
    <row r="6963" spans="1:40" x14ac:dyDescent="0.25">
      <c r="A6963" t="str">
        <f>"20190312172542866"</f>
        <v>20190312172542866</v>
      </c>
      <c r="B6963" t="str">
        <f>"1552382742857506"</f>
        <v>1552382742857506</v>
      </c>
      <c r="C6963" t="s">
        <v>40</v>
      </c>
      <c r="D6963">
        <v>3.9707170000000001</v>
      </c>
      <c r="E6963">
        <v>0.50928099999999998</v>
      </c>
      <c r="F6963" t="s">
        <v>41</v>
      </c>
      <c r="G6963">
        <v>-187.8708</v>
      </c>
      <c r="H6963">
        <v>1.040699</v>
      </c>
      <c r="I6963">
        <v>-20.488409999999998</v>
      </c>
      <c r="J6963">
        <v>-187.94489999999999</v>
      </c>
      <c r="K6963">
        <v>1.1110089999999999</v>
      </c>
      <c r="L6963">
        <v>-21.159179999999999</v>
      </c>
      <c r="M6963">
        <v>8.6239839999999998E-2</v>
      </c>
      <c r="N6963">
        <v>0</v>
      </c>
      <c r="O6963">
        <v>0.99617869999999997</v>
      </c>
      <c r="P6963">
        <v>7.9663310000000001E-2</v>
      </c>
      <c r="Q6963">
        <v>0.15422350000000001</v>
      </c>
      <c r="R6963">
        <v>0.98481920000000001</v>
      </c>
      <c r="S6963">
        <v>0.31779479999999999</v>
      </c>
      <c r="T6963">
        <v>-0.23846329999999999</v>
      </c>
      <c r="U6963">
        <v>3.0583800000000001</v>
      </c>
      <c r="V6963">
        <v>-5.750659E-3</v>
      </c>
      <c r="W6963">
        <v>0.16784839999999901</v>
      </c>
      <c r="X6963">
        <v>0.98579600000000001</v>
      </c>
      <c r="Y6963">
        <v>1.6873039999999999E-2</v>
      </c>
      <c r="Z6963">
        <v>-7.7089820000000003E-2</v>
      </c>
      <c r="AA6963">
        <v>0.99688140000000003</v>
      </c>
      <c r="AB6963">
        <v>24</v>
      </c>
      <c r="AC6963">
        <v>7.4099999999987107E-2</v>
      </c>
      <c r="AD6963">
        <v>-7.0309999999999803E-2</v>
      </c>
      <c r="AE6963">
        <v>0.67076999999999698</v>
      </c>
      <c r="AF6963">
        <v>1.5799764839358601E-2</v>
      </c>
      <c r="AG6963">
        <v>-7.0309999999999803E-2</v>
      </c>
      <c r="AH6963">
        <v>0.667416856557141</v>
      </c>
      <c r="AI6963">
        <v>96.012054166040997</v>
      </c>
      <c r="AJ6963">
        <v>88.643889820005796</v>
      </c>
      <c r="AK6963">
        <v>0.67129605174289098</v>
      </c>
      <c r="AL6963">
        <v>80.337255573869598</v>
      </c>
      <c r="AM6963">
        <v>90.334232186684105</v>
      </c>
      <c r="AN6963">
        <v>0.99999995453874602</v>
      </c>
    </row>
    <row r="6964" spans="1:40" x14ac:dyDescent="0.25">
      <c r="A6964" t="str">
        <f>"20190312172542888"</f>
        <v>20190312172542888</v>
      </c>
      <c r="B6964" t="str">
        <f>"1552382742877025"</f>
        <v>1552382742877025</v>
      </c>
      <c r="C6964" t="s">
        <v>40</v>
      </c>
      <c r="D6964">
        <v>3.9612820000000002</v>
      </c>
      <c r="E6964">
        <v>0.50936479999999995</v>
      </c>
      <c r="F6964" t="s">
        <v>41</v>
      </c>
      <c r="G6964">
        <v>-187.85390000000001</v>
      </c>
      <c r="H6964">
        <v>1.0412709999999901</v>
      </c>
      <c r="I6964">
        <v>-20.274180000000001</v>
      </c>
      <c r="J6964">
        <v>-187.9254</v>
      </c>
      <c r="K6964">
        <v>1.111138</v>
      </c>
      <c r="L6964">
        <v>-20.92456</v>
      </c>
      <c r="M6964">
        <v>8.5441160000000002E-2</v>
      </c>
      <c r="N6964">
        <v>0</v>
      </c>
      <c r="O6964">
        <v>0.99624749999999995</v>
      </c>
      <c r="P6964">
        <v>7.7791739999999998E-2</v>
      </c>
      <c r="Q6964">
        <v>0.15360850000000001</v>
      </c>
      <c r="R6964">
        <v>0.98506490000000002</v>
      </c>
      <c r="S6964">
        <v>0.3142548</v>
      </c>
      <c r="T6964">
        <v>-0.2410293</v>
      </c>
      <c r="U6964">
        <v>3.0585629999999999</v>
      </c>
      <c r="V6964">
        <v>-6.8983469999999896E-3</v>
      </c>
      <c r="W6964">
        <v>0.16722919999999999</v>
      </c>
      <c r="X6964">
        <v>0.98589389999999999</v>
      </c>
      <c r="Y6964">
        <v>1.6520259999999998E-2</v>
      </c>
      <c r="Z6964">
        <v>-7.7922549999999993E-2</v>
      </c>
      <c r="AA6964">
        <v>0.99682249999999994</v>
      </c>
      <c r="AB6964">
        <v>24</v>
      </c>
      <c r="AC6964">
        <v>7.1499999999986102E-2</v>
      </c>
      <c r="AD6964">
        <v>-6.9867000000000096E-2</v>
      </c>
      <c r="AE6964">
        <v>0.65038000000000196</v>
      </c>
      <c r="AF6964">
        <v>1.54873767296166E-2</v>
      </c>
      <c r="AG6964">
        <v>-6.9867000000000096E-2</v>
      </c>
      <c r="AH6964">
        <v>0.64673658841533799</v>
      </c>
      <c r="AI6964">
        <v>96.164002019842798</v>
      </c>
      <c r="AJ6964">
        <v>88.628202307744004</v>
      </c>
      <c r="AK6964">
        <v>0.65068384897896103</v>
      </c>
      <c r="AL6964">
        <v>80.373242088639401</v>
      </c>
      <c r="AM6964">
        <v>90.400894780526002</v>
      </c>
      <c r="AN6964">
        <v>0.99999998729059103</v>
      </c>
    </row>
    <row r="6965" spans="1:40" x14ac:dyDescent="0.25">
      <c r="A6965" t="str">
        <f>"20190312172542910"</f>
        <v>20190312172542910</v>
      </c>
      <c r="B6965" t="str">
        <f>"1552382742907281"</f>
        <v>1552382742907281</v>
      </c>
      <c r="C6965" t="s">
        <v>40</v>
      </c>
      <c r="D6965">
        <v>3.9714930000000002</v>
      </c>
      <c r="E6965">
        <v>0.50952679999999995</v>
      </c>
      <c r="F6965" t="s">
        <v>41</v>
      </c>
      <c r="G6965">
        <v>-187.83779999999999</v>
      </c>
      <c r="H6965">
        <v>1.0423709999999999</v>
      </c>
      <c r="I6965">
        <v>-20.05951</v>
      </c>
      <c r="J6965">
        <v>-187.9067</v>
      </c>
      <c r="K6965">
        <v>1.11127</v>
      </c>
      <c r="L6965">
        <v>-20.695740000000001</v>
      </c>
      <c r="M6965">
        <v>8.4478199999999906E-2</v>
      </c>
      <c r="N6965">
        <v>0</v>
      </c>
      <c r="O6965">
        <v>0.99632969999999998</v>
      </c>
      <c r="P6965">
        <v>7.4886869999999994E-2</v>
      </c>
      <c r="Q6965">
        <v>0.15293699999999999</v>
      </c>
      <c r="R6965">
        <v>0.9853944</v>
      </c>
      <c r="S6965">
        <v>0.30958560000000002</v>
      </c>
      <c r="T6965">
        <v>-0.24316950000000001</v>
      </c>
      <c r="U6965">
        <v>3.0589599999999999</v>
      </c>
      <c r="V6965">
        <v>-8.9166130000000003E-3</v>
      </c>
      <c r="W6965">
        <v>0.16655220000000001</v>
      </c>
      <c r="X6965">
        <v>0.98599230000000004</v>
      </c>
      <c r="Y6965">
        <v>1.596216E-2</v>
      </c>
      <c r="Z6965">
        <v>-7.8616190000000002E-2</v>
      </c>
      <c r="AA6965">
        <v>0.99677720000000003</v>
      </c>
      <c r="AB6965">
        <v>24</v>
      </c>
      <c r="AC6965">
        <v>6.8900000000013506E-2</v>
      </c>
      <c r="AD6965">
        <v>-6.8899000000000002E-2</v>
      </c>
      <c r="AE6965">
        <v>0.63623000000000096</v>
      </c>
      <c r="AF6965">
        <v>1.47302278006235E-2</v>
      </c>
      <c r="AG6965">
        <v>-6.8899000000000002E-2</v>
      </c>
      <c r="AH6965">
        <v>0.63244545929852802</v>
      </c>
      <c r="AI6965">
        <v>96.215646766129694</v>
      </c>
      <c r="AJ6965">
        <v>88.665770603186303</v>
      </c>
      <c r="AK6965">
        <v>0.63635784806929596</v>
      </c>
      <c r="AL6965">
        <v>80.4125829889812</v>
      </c>
      <c r="AM6965">
        <v>90.518128149932593</v>
      </c>
      <c r="AN6965">
        <v>0.99999997848576005</v>
      </c>
    </row>
    <row r="6966" spans="1:40" x14ac:dyDescent="0.25">
      <c r="A6966" t="str">
        <f>"20190312172542932"</f>
        <v>20190312172542932</v>
      </c>
      <c r="B6966" t="str">
        <f>"1552382742926802"</f>
        <v>1552382742926802</v>
      </c>
      <c r="C6966" t="s">
        <v>40</v>
      </c>
      <c r="D6966">
        <v>3.941217</v>
      </c>
      <c r="E6966">
        <v>0.50967659999999904</v>
      </c>
      <c r="F6966" t="s">
        <v>41</v>
      </c>
      <c r="G6966">
        <v>-187.8227</v>
      </c>
      <c r="H6966">
        <v>1.043201</v>
      </c>
      <c r="I6966">
        <v>-19.845289999999999</v>
      </c>
      <c r="J6966">
        <v>-187.88730000000001</v>
      </c>
      <c r="K6966">
        <v>1.1114029999999999</v>
      </c>
      <c r="L6966">
        <v>-20.451139999999999</v>
      </c>
      <c r="M6966">
        <v>8.3250660000000004E-2</v>
      </c>
      <c r="N6966">
        <v>0</v>
      </c>
      <c r="O6966">
        <v>0.99643300000000001</v>
      </c>
      <c r="P6966">
        <v>7.2180439999999998E-2</v>
      </c>
      <c r="Q6966">
        <v>0.1525975</v>
      </c>
      <c r="R6966">
        <v>0.985649</v>
      </c>
      <c r="S6966">
        <v>0.30184939999999999</v>
      </c>
      <c r="T6966">
        <v>-0.24491540000000001</v>
      </c>
      <c r="U6966">
        <v>3.0595400000000001</v>
      </c>
      <c r="V6966">
        <v>-1.0471090000000001E-2</v>
      </c>
      <c r="W6966">
        <v>0.16620570000000001</v>
      </c>
      <c r="X6966">
        <v>0.98603549999999995</v>
      </c>
      <c r="Y6966">
        <v>1.4675179999999999E-2</v>
      </c>
      <c r="Z6966">
        <v>-7.9185149999999996E-2</v>
      </c>
      <c r="AA6966">
        <v>0.99675190000000002</v>
      </c>
      <c r="AB6966">
        <v>24</v>
      </c>
      <c r="AC6966">
        <v>6.46000000000128E-2</v>
      </c>
      <c r="AD6966">
        <v>-6.8202000000000096E-2</v>
      </c>
      <c r="AE6966">
        <v>0.60585</v>
      </c>
      <c r="AF6966">
        <v>1.3761060060515799E-2</v>
      </c>
      <c r="AG6966">
        <v>-6.8202000000000096E-2</v>
      </c>
      <c r="AH6966">
        <v>0.60158703910387201</v>
      </c>
      <c r="AI6966">
        <v>96.466336377407401</v>
      </c>
      <c r="AJ6966">
        <v>88.689610751507701</v>
      </c>
      <c r="AK6966">
        <v>0.60559709807408502</v>
      </c>
      <c r="AL6966">
        <v>80.432716740413099</v>
      </c>
      <c r="AM6966">
        <v>90.608423036563707</v>
      </c>
      <c r="AN6966">
        <v>0.999999992849264</v>
      </c>
    </row>
    <row r="6967" spans="1:40" x14ac:dyDescent="0.25">
      <c r="A6967" t="str">
        <f>"20190312172542955"</f>
        <v>20190312172542955</v>
      </c>
      <c r="B6967" t="str">
        <f>"1552382742947298"</f>
        <v>1552382742947298</v>
      </c>
      <c r="C6967" t="s">
        <v>40</v>
      </c>
      <c r="D6967">
        <v>3.9712290000000001</v>
      </c>
      <c r="E6967">
        <v>0.50981179999999904</v>
      </c>
      <c r="F6967" t="s">
        <v>41</v>
      </c>
      <c r="G6967">
        <v>-187.80789999999999</v>
      </c>
      <c r="H6967">
        <v>1.045331</v>
      </c>
      <c r="I6967">
        <v>-19.62818</v>
      </c>
      <c r="J6967">
        <v>-187.86879999999999</v>
      </c>
      <c r="K6967">
        <v>1.1115269999999999</v>
      </c>
      <c r="L6967">
        <v>-20.21191</v>
      </c>
      <c r="M6967">
        <v>8.1866430000000004E-2</v>
      </c>
      <c r="N6967">
        <v>0</v>
      </c>
      <c r="O6967">
        <v>0.99654770000000004</v>
      </c>
      <c r="P6967">
        <v>6.8803379999999997E-2</v>
      </c>
      <c r="Q6967">
        <v>0.15250659999999999</v>
      </c>
      <c r="R6967">
        <v>0.98590460000000002</v>
      </c>
      <c r="S6967">
        <v>0.29493709999999901</v>
      </c>
      <c r="T6967">
        <v>-0.2457242</v>
      </c>
      <c r="U6967">
        <v>3.06012</v>
      </c>
      <c r="V6967">
        <v>-1.2534419999999999E-2</v>
      </c>
      <c r="W6967">
        <v>0.1661069</v>
      </c>
      <c r="X6967">
        <v>0.98602809999999996</v>
      </c>
      <c r="Y6967">
        <v>1.381338E-2</v>
      </c>
      <c r="Z6967">
        <v>-7.9452889999999998E-2</v>
      </c>
      <c r="AA6967">
        <v>0.99674289999999999</v>
      </c>
      <c r="AB6967">
        <v>24</v>
      </c>
      <c r="AC6967">
        <v>6.0900000000003701E-2</v>
      </c>
      <c r="AD6967">
        <v>-6.6196000000000102E-2</v>
      </c>
      <c r="AE6967">
        <v>0.58372999999999897</v>
      </c>
      <c r="AF6967">
        <v>1.27410086841709E-2</v>
      </c>
      <c r="AG6967">
        <v>-6.6196000000000102E-2</v>
      </c>
      <c r="AH6967">
        <v>0.57938571767593205</v>
      </c>
      <c r="AI6967">
        <v>96.516335353733595</v>
      </c>
      <c r="AJ6967">
        <v>88.740237525549404</v>
      </c>
      <c r="AK6967">
        <v>0.58329413983439404</v>
      </c>
      <c r="AL6967">
        <v>80.438457565041304</v>
      </c>
      <c r="AM6967">
        <v>90.728306509748705</v>
      </c>
      <c r="AN6967">
        <v>1.0000000139509699</v>
      </c>
    </row>
    <row r="6968" spans="1:40" x14ac:dyDescent="0.25">
      <c r="A6968" t="str">
        <f>"20190312172542991"</f>
        <v>20190312172542991</v>
      </c>
      <c r="B6968" t="str">
        <f>"1552382742987313"</f>
        <v>1552382742987313</v>
      </c>
      <c r="C6968" t="s">
        <v>40</v>
      </c>
      <c r="D6968">
        <v>4.0187039999999996</v>
      </c>
      <c r="E6968">
        <v>0.51000089999999998</v>
      </c>
      <c r="F6968" t="s">
        <v>43</v>
      </c>
      <c r="G6968">
        <v>-186.57380000000001</v>
      </c>
      <c r="H6968" s="1">
        <v>-2.3255110000000001E-6</v>
      </c>
      <c r="I6968">
        <v>-6.3630699999999996</v>
      </c>
      <c r="J6968">
        <v>-187.84129999999999</v>
      </c>
      <c r="K6968">
        <v>1.111686</v>
      </c>
      <c r="L6968">
        <v>-19.841830000000002</v>
      </c>
      <c r="M6968">
        <v>7.9410839999999996E-2</v>
      </c>
      <c r="N6968">
        <v>0</v>
      </c>
      <c r="O6968">
        <v>0.99674640000000003</v>
      </c>
      <c r="P6968">
        <v>6.5770579999999995E-2</v>
      </c>
      <c r="Q6968">
        <v>0.153034</v>
      </c>
      <c r="R6968">
        <v>0.98602979999999996</v>
      </c>
      <c r="S6968">
        <v>0.28622439999999999</v>
      </c>
      <c r="T6968">
        <v>-0.24567349999999999</v>
      </c>
      <c r="U6968">
        <v>3.0609130000000002</v>
      </c>
      <c r="V6968">
        <v>-1.319525E-2</v>
      </c>
      <c r="W6968">
        <v>0.16662650000000001</v>
      </c>
      <c r="X6968">
        <v>0.98593180000000002</v>
      </c>
      <c r="Y6968">
        <v>1.3440540000000001E-2</v>
      </c>
      <c r="Z6968">
        <v>-7.9450729999999997E-2</v>
      </c>
      <c r="AA6968">
        <v>0.99674819999999997</v>
      </c>
      <c r="AB6968">
        <v>24</v>
      </c>
      <c r="AC6968">
        <v>1.2674999999999801</v>
      </c>
      <c r="AD6968">
        <v>-1.1116883255109999</v>
      </c>
      <c r="AE6968">
        <v>13.4787599999999</v>
      </c>
      <c r="AF6968">
        <v>0.19174191436951399</v>
      </c>
      <c r="AG6968">
        <v>-1.1116883255109999</v>
      </c>
      <c r="AH6968">
        <v>13.446182993945801</v>
      </c>
      <c r="AI6968">
        <v>94.725808207551694</v>
      </c>
      <c r="AJ6968">
        <v>89.183020349274599</v>
      </c>
      <c r="AK6968">
        <v>13.4934225829284</v>
      </c>
      <c r="AL6968">
        <v>80.408265884709706</v>
      </c>
      <c r="AM6968">
        <v>90.766774131416099</v>
      </c>
      <c r="AN6968">
        <v>1.0000000096880199</v>
      </c>
    </row>
    <row r="6969" spans="1:40" x14ac:dyDescent="0.25">
      <c r="A6969" t="str">
        <f>"20190312172543010"</f>
        <v>20190312172543010</v>
      </c>
      <c r="B6969" t="str">
        <f>"1552382743006834"</f>
        <v>1552382743006834</v>
      </c>
      <c r="C6969" t="s">
        <v>40</v>
      </c>
      <c r="D6969">
        <v>3.9519709999999999</v>
      </c>
      <c r="E6969">
        <v>0.51015659999999996</v>
      </c>
      <c r="F6969" t="s">
        <v>41</v>
      </c>
      <c r="G6969">
        <v>-187.76390000000001</v>
      </c>
      <c r="H6969">
        <v>1.0439860000000001</v>
      </c>
      <c r="I6969">
        <v>-18.994479999999999</v>
      </c>
      <c r="J6969">
        <v>-187.82599999999999</v>
      </c>
      <c r="K6969">
        <v>1.111745</v>
      </c>
      <c r="L6969">
        <v>-19.628599999999999</v>
      </c>
      <c r="M6969">
        <v>7.7871410000000002E-2</v>
      </c>
      <c r="N6969">
        <v>0</v>
      </c>
      <c r="O6969">
        <v>0.99686779999999997</v>
      </c>
      <c r="P6969">
        <v>6.4045850000000001E-2</v>
      </c>
      <c r="Q6969">
        <v>0.15376119999999999</v>
      </c>
      <c r="R6969">
        <v>0.98603019999999997</v>
      </c>
      <c r="S6969">
        <v>0.2793274</v>
      </c>
      <c r="T6969">
        <v>-0.2446864</v>
      </c>
      <c r="U6969">
        <v>3.0618590000000001</v>
      </c>
      <c r="V6969">
        <v>-1.341502E-2</v>
      </c>
      <c r="W6969">
        <v>0.16734859999999999</v>
      </c>
      <c r="X6969">
        <v>0.98580650000000003</v>
      </c>
      <c r="Y6969">
        <v>1.273232E-2</v>
      </c>
      <c r="Z6969">
        <v>-7.91322E-2</v>
      </c>
      <c r="AA6969">
        <v>0.99678279999999997</v>
      </c>
      <c r="AB6969">
        <v>24</v>
      </c>
      <c r="AC6969">
        <v>6.2099999999986701E-2</v>
      </c>
      <c r="AD6969">
        <v>-6.7758999999999903E-2</v>
      </c>
      <c r="AE6969">
        <v>0.63411999999999902</v>
      </c>
      <c r="AF6969">
        <v>1.23867769086622E-2</v>
      </c>
      <c r="AG6969">
        <v>-6.7758999999999903E-2</v>
      </c>
      <c r="AH6969">
        <v>0.62990638028832202</v>
      </c>
      <c r="AI6969">
        <v>96.1385178803896</v>
      </c>
      <c r="AJ6969">
        <v>88.873453893387804</v>
      </c>
      <c r="AK6969">
        <v>0.63366139400402299</v>
      </c>
      <c r="AL6969">
        <v>80.366303176992005</v>
      </c>
      <c r="AM6969">
        <v>90.779642443203201</v>
      </c>
      <c r="AN6969">
        <v>0.99999998606290497</v>
      </c>
    </row>
    <row r="6970" spans="1:40" x14ac:dyDescent="0.25">
      <c r="A6970" t="str">
        <f>"20190312172543036"</f>
        <v>20190312172543036</v>
      </c>
      <c r="B6970" t="str">
        <f>"1552382743027330"</f>
        <v>1552382743027330</v>
      </c>
      <c r="C6970" t="s">
        <v>40</v>
      </c>
      <c r="D6970">
        <v>3.952912</v>
      </c>
      <c r="E6970">
        <v>0.51023779999999996</v>
      </c>
      <c r="F6970" t="s">
        <v>41</v>
      </c>
      <c r="G6970">
        <v>-187.74969999999999</v>
      </c>
      <c r="H6970">
        <v>1.044675</v>
      </c>
      <c r="I6970">
        <v>-18.782160000000001</v>
      </c>
      <c r="J6970">
        <v>-187.8073</v>
      </c>
      <c r="K6970">
        <v>1.1117809999999999</v>
      </c>
      <c r="L6970">
        <v>-19.359680000000001</v>
      </c>
      <c r="M6970">
        <v>7.5854240000000003E-2</v>
      </c>
      <c r="N6970">
        <v>0</v>
      </c>
      <c r="O6970">
        <v>0.99702329999999995</v>
      </c>
      <c r="P6970">
        <v>6.156441E-2</v>
      </c>
      <c r="Q6970">
        <v>0.154339</v>
      </c>
      <c r="R6970">
        <v>0.98609809999999998</v>
      </c>
      <c r="S6970">
        <v>0.2759857</v>
      </c>
      <c r="T6970">
        <v>-0.2426845</v>
      </c>
      <c r="U6970">
        <v>3.0624389999999999</v>
      </c>
      <c r="V6970">
        <v>-1.3911919999999999E-2</v>
      </c>
      <c r="W6970">
        <v>0.16792119999999999</v>
      </c>
      <c r="X6970">
        <v>0.98570230000000003</v>
      </c>
      <c r="Y6970">
        <v>1.366418E-2</v>
      </c>
      <c r="Z6970">
        <v>-7.8495789999999996E-2</v>
      </c>
      <c r="AA6970">
        <v>0.99682079999999995</v>
      </c>
      <c r="AB6970">
        <v>24</v>
      </c>
      <c r="AC6970">
        <v>5.7600000000007798E-2</v>
      </c>
      <c r="AD6970">
        <v>-6.7105999999999805E-2</v>
      </c>
      <c r="AE6970">
        <v>0.57751999999999604</v>
      </c>
      <c r="AF6970">
        <v>1.34427873014549E-2</v>
      </c>
      <c r="AG6970">
        <v>-6.7105999999999805E-2</v>
      </c>
      <c r="AH6970">
        <v>0.57257087921938399</v>
      </c>
      <c r="AI6970">
        <v>96.682814092190299</v>
      </c>
      <c r="AJ6970">
        <v>88.655059951052394</v>
      </c>
      <c r="AK6970">
        <v>0.57664662965848601</v>
      </c>
      <c r="AL6970">
        <v>80.333025294097993</v>
      </c>
      <c r="AM6970">
        <v>90.808602537507497</v>
      </c>
      <c r="AN6970">
        <v>1.0000000475763999</v>
      </c>
    </row>
    <row r="6971" spans="1:40" x14ac:dyDescent="0.25">
      <c r="A6971" t="str">
        <f>"20190312172543059"</f>
        <v>20190312172543059</v>
      </c>
      <c r="B6971" t="str">
        <f>"1552382743046850"</f>
        <v>1552382743046850</v>
      </c>
      <c r="C6971" t="s">
        <v>40</v>
      </c>
      <c r="D6971">
        <v>3.942221</v>
      </c>
      <c r="E6971">
        <v>0.51329029999999998</v>
      </c>
      <c r="F6971" t="s">
        <v>43</v>
      </c>
      <c r="G6971">
        <v>-186.56559999999999</v>
      </c>
      <c r="H6971" s="1">
        <v>-2.8163180000000001E-6</v>
      </c>
      <c r="I6971">
        <v>-5.2223639999999998</v>
      </c>
      <c r="J6971">
        <v>-187.791</v>
      </c>
      <c r="K6971">
        <v>1.1117870000000001</v>
      </c>
      <c r="L6971">
        <v>-19.117889999999999</v>
      </c>
      <c r="M6971">
        <v>7.4006520000000006E-2</v>
      </c>
      <c r="N6971">
        <v>0</v>
      </c>
      <c r="O6971">
        <v>0.9971622</v>
      </c>
      <c r="P6971">
        <v>5.9404409999999998E-2</v>
      </c>
      <c r="Q6971">
        <v>0.154715299999999</v>
      </c>
      <c r="R6971">
        <v>0.98617149999999998</v>
      </c>
      <c r="S6971">
        <v>0.26904299999999998</v>
      </c>
      <c r="T6971">
        <v>-0.24089559999999999</v>
      </c>
      <c r="U6971">
        <v>3.063202</v>
      </c>
      <c r="V6971">
        <v>-1.42433E-2</v>
      </c>
      <c r="W6971">
        <v>0.168294</v>
      </c>
      <c r="X6971">
        <v>0.98563400000000001</v>
      </c>
      <c r="Y6971">
        <v>1.325732E-2</v>
      </c>
      <c r="Z6971">
        <v>-7.7925720000000004E-2</v>
      </c>
      <c r="AA6971">
        <v>0.99687099999999995</v>
      </c>
      <c r="AB6971">
        <v>24</v>
      </c>
      <c r="AC6971">
        <v>1.2254</v>
      </c>
      <c r="AD6971">
        <v>-1.111789816318</v>
      </c>
      <c r="AE6971">
        <v>13.895526</v>
      </c>
      <c r="AF6971">
        <v>0.19235955884615499</v>
      </c>
      <c r="AG6971">
        <v>-1.111789816318</v>
      </c>
      <c r="AH6971">
        <v>13.860066754344301</v>
      </c>
      <c r="AI6971">
        <v>94.585740299096301</v>
      </c>
      <c r="AJ6971">
        <v>89.204860733464599</v>
      </c>
      <c r="AK6971">
        <v>13.905917058231999</v>
      </c>
      <c r="AL6971">
        <v>80.311357201249507</v>
      </c>
      <c r="AM6971">
        <v>90.827918047115503</v>
      </c>
      <c r="AN6971">
        <v>1.0000000619934399</v>
      </c>
    </row>
    <row r="6972" spans="1:40" x14ac:dyDescent="0.25">
      <c r="A6972" t="str">
        <f>"20190312172543080"</f>
        <v>20190312172543080</v>
      </c>
      <c r="B6972" t="str">
        <f>"1552382743067345"</f>
        <v>1552382743067345</v>
      </c>
      <c r="C6972" t="s">
        <v>40</v>
      </c>
      <c r="D6972">
        <v>3.9932120000000002</v>
      </c>
      <c r="E6972">
        <v>0.48661949999999998</v>
      </c>
      <c r="F6972" t="s">
        <v>43</v>
      </c>
      <c r="G6972">
        <v>-186.4853</v>
      </c>
      <c r="H6972" s="1">
        <v>-2.8576310000000002E-6</v>
      </c>
      <c r="I6972">
        <v>-5.1592880000000001</v>
      </c>
      <c r="J6972">
        <v>-187.7765</v>
      </c>
      <c r="K6972">
        <v>1.1117729999999999</v>
      </c>
      <c r="L6972">
        <v>-18.896850000000001</v>
      </c>
      <c r="M6972">
        <v>7.2314799999999999E-2</v>
      </c>
      <c r="N6972">
        <v>0</v>
      </c>
      <c r="O6972">
        <v>0.99728640000000002</v>
      </c>
      <c r="P6972">
        <v>5.7162490000000003E-2</v>
      </c>
      <c r="Q6972">
        <v>0.15469349999999901</v>
      </c>
      <c r="R6972">
        <v>0.98630739999999995</v>
      </c>
      <c r="S6972">
        <v>0.28652949999999999</v>
      </c>
      <c r="T6972">
        <v>-0.24397150000000001</v>
      </c>
      <c r="U6972">
        <v>3.0630799999999998</v>
      </c>
      <c r="V6972">
        <v>-1.4807819999999999E-2</v>
      </c>
      <c r="W6972">
        <v>0.16826859999999999</v>
      </c>
      <c r="X6972">
        <v>0.98563000000000001</v>
      </c>
      <c r="Y6972">
        <v>2.059399E-2</v>
      </c>
      <c r="Z6972">
        <v>-7.8907270000000002E-2</v>
      </c>
      <c r="AA6972">
        <v>0.99666920000000003</v>
      </c>
      <c r="AB6972">
        <v>24</v>
      </c>
      <c r="AC6972">
        <v>1.2911999999999999</v>
      </c>
      <c r="AD6972">
        <v>-1.111775857631</v>
      </c>
      <c r="AE6972">
        <v>13.737561999999899</v>
      </c>
      <c r="AF6972">
        <v>0.29239685631373902</v>
      </c>
      <c r="AG6972">
        <v>-1.111775857631</v>
      </c>
      <c r="AH6972">
        <v>13.7059872883222</v>
      </c>
      <c r="AI6972">
        <v>94.636404847240698</v>
      </c>
      <c r="AJ6972">
        <v>88.777865132943603</v>
      </c>
      <c r="AK6972">
        <v>13.754113167588899</v>
      </c>
      <c r="AL6972">
        <v>80.312833403078301</v>
      </c>
      <c r="AM6972">
        <v>90.860730461924504</v>
      </c>
      <c r="AN6972">
        <v>1.0000000450895501</v>
      </c>
    </row>
    <row r="6973" spans="1:40" x14ac:dyDescent="0.25">
      <c r="A6973" t="str">
        <f>"20190312172543101"</f>
        <v>20190312172543101</v>
      </c>
      <c r="B6973" t="str">
        <f>"1552382743097602"</f>
        <v>1552382743097602</v>
      </c>
      <c r="C6973" t="s">
        <v>40</v>
      </c>
      <c r="D6973">
        <v>3.8948469999999999</v>
      </c>
      <c r="E6973">
        <v>0.4831471</v>
      </c>
      <c r="F6973" t="s">
        <v>43</v>
      </c>
      <c r="G6973">
        <v>-187.44</v>
      </c>
      <c r="H6973" s="1">
        <v>-3.430332E-6</v>
      </c>
      <c r="I6973">
        <v>-3.4295469999999999</v>
      </c>
      <c r="J6973">
        <v>-187.76230000000001</v>
      </c>
      <c r="K6973">
        <v>1.1117509999999999</v>
      </c>
      <c r="L6973">
        <v>-18.673490000000001</v>
      </c>
      <c r="M6973">
        <v>7.0620829999999996E-2</v>
      </c>
      <c r="N6973">
        <v>0</v>
      </c>
      <c r="O6973">
        <v>0.99740779999999996</v>
      </c>
      <c r="P6973">
        <v>5.54911999999999E-2</v>
      </c>
      <c r="Q6973">
        <v>0.15440989999999999</v>
      </c>
      <c r="R6973">
        <v>0.98644730000000003</v>
      </c>
      <c r="S6973">
        <v>6.6848749999999998E-2</v>
      </c>
      <c r="T6973">
        <v>-0.22084280000000001</v>
      </c>
      <c r="U6973">
        <v>3.0724179999999999</v>
      </c>
      <c r="V6973">
        <v>-1.479774E-2</v>
      </c>
      <c r="W6973">
        <v>0.16798469999999999</v>
      </c>
      <c r="X6973">
        <v>0.98567859999999996</v>
      </c>
      <c r="Y6973">
        <v>-4.8968110000000002E-2</v>
      </c>
      <c r="Z6973">
        <v>-7.1374590000000002E-2</v>
      </c>
      <c r="AA6973">
        <v>0.99624690000000005</v>
      </c>
      <c r="AB6973">
        <v>24</v>
      </c>
      <c r="AC6973">
        <v>0.32230000000001202</v>
      </c>
      <c r="AD6973">
        <v>-1.1117544303319999</v>
      </c>
      <c r="AE6973">
        <v>15.243943</v>
      </c>
      <c r="AF6973">
        <v>-0.75115372054348595</v>
      </c>
      <c r="AG6973">
        <v>-1.1117544303319999</v>
      </c>
      <c r="AH6973">
        <v>15.14810293767</v>
      </c>
      <c r="AI6973">
        <v>94.192411630004102</v>
      </c>
      <c r="AJ6973">
        <v>92.838818479781594</v>
      </c>
      <c r="AK6973">
        <v>15.207407814466499</v>
      </c>
      <c r="AL6973">
        <v>80.329334780537195</v>
      </c>
      <c r="AM6973">
        <v>90.8601022283015</v>
      </c>
      <c r="AN6973">
        <v>1.00000006752057</v>
      </c>
    </row>
    <row r="6974" spans="1:40" x14ac:dyDescent="0.25">
      <c r="A6974" t="str">
        <f>"20190312172543123"</f>
        <v>20190312172543123</v>
      </c>
      <c r="B6974" t="str">
        <f>"1552382743117121"</f>
        <v>1552382743117121</v>
      </c>
      <c r="C6974" t="s">
        <v>40</v>
      </c>
      <c r="D6974">
        <v>3.890326</v>
      </c>
      <c r="E6974">
        <v>0.48190729999999998</v>
      </c>
      <c r="F6974" t="s">
        <v>43</v>
      </c>
      <c r="G6974">
        <v>-187.58799999999999</v>
      </c>
      <c r="H6974" s="1">
        <v>-3.8017080000000002E-6</v>
      </c>
      <c r="I6974">
        <v>-2.5026609999999998</v>
      </c>
      <c r="J6974">
        <v>-187.74760000000001</v>
      </c>
      <c r="K6974">
        <v>1.11172</v>
      </c>
      <c r="L6974">
        <v>-18.43704</v>
      </c>
      <c r="M6974">
        <v>6.8857349999999998E-2</v>
      </c>
      <c r="N6974">
        <v>0</v>
      </c>
      <c r="O6974">
        <v>0.9975311</v>
      </c>
      <c r="P6974">
        <v>5.3848930000000003E-2</v>
      </c>
      <c r="Q6974">
        <v>0.15315819999999999</v>
      </c>
      <c r="R6974">
        <v>0.98673339999999998</v>
      </c>
      <c r="S6974">
        <v>3.311157E-2</v>
      </c>
      <c r="T6974">
        <v>-0.2112308</v>
      </c>
      <c r="U6974">
        <v>3.0724179999999999</v>
      </c>
      <c r="V6974">
        <v>-1.469609E-2</v>
      </c>
      <c r="W6974">
        <v>0.16673460000000001</v>
      </c>
      <c r="X6974">
        <v>0.98589230000000005</v>
      </c>
      <c r="Y6974">
        <v>-5.8134159999999997E-2</v>
      </c>
      <c r="Z6974">
        <v>-6.8284800000000007E-2</v>
      </c>
      <c r="AA6974">
        <v>0.99597069999999999</v>
      </c>
      <c r="AB6974">
        <v>24</v>
      </c>
      <c r="AC6974">
        <v>0.15960000000001101</v>
      </c>
      <c r="AD6974">
        <v>-1.111723801708</v>
      </c>
      <c r="AE6974">
        <v>15.934379</v>
      </c>
      <c r="AF6974">
        <v>-0.93353871622584805</v>
      </c>
      <c r="AG6974">
        <v>-1.111723801708</v>
      </c>
      <c r="AH6974">
        <v>15.8304921684669</v>
      </c>
      <c r="AI6974">
        <v>94.010156474386804</v>
      </c>
      <c r="AJ6974">
        <v>93.374876433691995</v>
      </c>
      <c r="AK6974">
        <v>15.8969150039203</v>
      </c>
      <c r="AL6974">
        <v>80.401984385231799</v>
      </c>
      <c r="AM6974">
        <v>90.854009687128496</v>
      </c>
      <c r="AN6974">
        <v>1.0000000145488599</v>
      </c>
    </row>
    <row r="6975" spans="1:40" x14ac:dyDescent="0.25">
      <c r="A6975" t="str">
        <f>"20190312172543146"</f>
        <v>20190312172543146</v>
      </c>
      <c r="B6975" t="str">
        <f>"1552382743137618"</f>
        <v>1552382743137618</v>
      </c>
      <c r="C6975" t="s">
        <v>40</v>
      </c>
      <c r="D6975">
        <v>4.0096350000000003</v>
      </c>
      <c r="E6975">
        <v>0.48178969999999999</v>
      </c>
      <c r="F6975" t="s">
        <v>43</v>
      </c>
      <c r="G6975">
        <v>-187.6523</v>
      </c>
      <c r="H6975" s="1">
        <v>-3.8359589999999997E-6</v>
      </c>
      <c r="I6975">
        <v>-2.3962319999999999</v>
      </c>
      <c r="J6975">
        <v>-187.73330000000001</v>
      </c>
      <c r="K6975">
        <v>1.1116870000000001</v>
      </c>
      <c r="L6975">
        <v>-18.200379999999999</v>
      </c>
      <c r="M6975">
        <v>6.7122630000000003E-2</v>
      </c>
      <c r="N6975">
        <v>0</v>
      </c>
      <c r="O6975">
        <v>0.99764940000000002</v>
      </c>
      <c r="P6975">
        <v>5.2245149999999997E-2</v>
      </c>
      <c r="Q6975">
        <v>0.1521817</v>
      </c>
      <c r="R6975">
        <v>0.98697069999999998</v>
      </c>
      <c r="S6975">
        <v>1.824951E-2</v>
      </c>
      <c r="T6975">
        <v>-0.21293490000000001</v>
      </c>
      <c r="U6975">
        <v>3.0723880000000001</v>
      </c>
      <c r="V6975">
        <v>-1.4582400000000001E-2</v>
      </c>
      <c r="W6975">
        <v>0.16575899999999999</v>
      </c>
      <c r="X6975">
        <v>0.98605849999999995</v>
      </c>
      <c r="Y6975">
        <v>-6.1215470000000001E-2</v>
      </c>
      <c r="Z6975">
        <v>-6.8840990000000005E-2</v>
      </c>
      <c r="AA6975">
        <v>0.99574770000000001</v>
      </c>
      <c r="AB6975">
        <v>24</v>
      </c>
      <c r="AC6975">
        <v>8.1000000000017197E-2</v>
      </c>
      <c r="AD6975">
        <v>-1.1116908359590001</v>
      </c>
      <c r="AE6975">
        <v>15.804148</v>
      </c>
      <c r="AF6975">
        <v>-0.97527411534687103</v>
      </c>
      <c r="AG6975">
        <v>-1.1116908359590001</v>
      </c>
      <c r="AH6975">
        <v>15.6962736505035</v>
      </c>
      <c r="AI6975">
        <v>94.043445242257107</v>
      </c>
      <c r="AJ6975">
        <v>93.5554519619986</v>
      </c>
      <c r="AK6975">
        <v>15.765786457589501</v>
      </c>
      <c r="AL6975">
        <v>80.458671128856295</v>
      </c>
      <c r="AM6975">
        <v>90.847261165481697</v>
      </c>
      <c r="AN6975">
        <v>1.0000000289465001</v>
      </c>
    </row>
    <row r="6976" spans="1:40" x14ac:dyDescent="0.25">
      <c r="A6976" t="str">
        <f>"20190312172543167"</f>
        <v>20190312172543167</v>
      </c>
      <c r="B6976" t="str">
        <f>"1552382743157137"</f>
        <v>1552382743157137</v>
      </c>
      <c r="C6976" t="s">
        <v>40</v>
      </c>
      <c r="D6976">
        <v>4.0449909999999996</v>
      </c>
      <c r="E6976">
        <v>0.48185929999999999</v>
      </c>
      <c r="F6976" t="s">
        <v>43</v>
      </c>
      <c r="G6976">
        <v>-187.6688</v>
      </c>
      <c r="H6976" s="1">
        <v>-3.8166300000000004E-6</v>
      </c>
      <c r="I6976">
        <v>-2.434472</v>
      </c>
      <c r="J6976">
        <v>-187.71979999999999</v>
      </c>
      <c r="K6976">
        <v>1.1116649999999999</v>
      </c>
      <c r="L6976">
        <v>-17.97052</v>
      </c>
      <c r="M6976">
        <v>6.545956E-2</v>
      </c>
      <c r="N6976">
        <v>0</v>
      </c>
      <c r="O6976">
        <v>0.99775990000000003</v>
      </c>
      <c r="P6976">
        <v>5.1029669999999999E-2</v>
      </c>
      <c r="Q6976">
        <v>0.15141399999999999</v>
      </c>
      <c r="R6976">
        <v>0.98715229999999998</v>
      </c>
      <c r="S6976">
        <v>1.2573239999999999E-2</v>
      </c>
      <c r="T6976">
        <v>-0.216637</v>
      </c>
      <c r="U6976">
        <v>3.072327</v>
      </c>
      <c r="V6976">
        <v>-1.4149790000000001E-2</v>
      </c>
      <c r="W6976">
        <v>0.164992</v>
      </c>
      <c r="X6976">
        <v>0.9861934</v>
      </c>
      <c r="Y6976">
        <v>-6.1391550000000003E-2</v>
      </c>
      <c r="Z6976">
        <v>-7.0044980000000007E-2</v>
      </c>
      <c r="AA6976">
        <v>0.99565289999999995</v>
      </c>
      <c r="AB6976">
        <v>24</v>
      </c>
      <c r="AC6976">
        <v>5.0999999999987701E-2</v>
      </c>
      <c r="AD6976">
        <v>-1.1116688166299999</v>
      </c>
      <c r="AE6976">
        <v>15.536047999999999</v>
      </c>
      <c r="AF6976">
        <v>-0.96126738034358195</v>
      </c>
      <c r="AG6976">
        <v>-1.1116688166299999</v>
      </c>
      <c r="AH6976">
        <v>15.4270733257871</v>
      </c>
      <c r="AI6976">
        <v>94.113636641241897</v>
      </c>
      <c r="AJ6976">
        <v>93.565514238227394</v>
      </c>
      <c r="AK6976">
        <v>15.496916917038501</v>
      </c>
      <c r="AL6976">
        <v>80.5032302616452</v>
      </c>
      <c r="AM6976">
        <v>90.822016880812797</v>
      </c>
      <c r="AN6976">
        <v>0.999999999412302</v>
      </c>
    </row>
    <row r="6977" spans="1:40" x14ac:dyDescent="0.25">
      <c r="A6977" t="str">
        <f>"20190312172543189"</f>
        <v>20190312172543189</v>
      </c>
      <c r="B6977" t="str">
        <f>"1552382743187394"</f>
        <v>1552382743187394</v>
      </c>
      <c r="C6977" t="s">
        <v>40</v>
      </c>
      <c r="D6977">
        <v>3.936404</v>
      </c>
      <c r="E6977">
        <v>0.48256290000000002</v>
      </c>
      <c r="F6977" t="s">
        <v>43</v>
      </c>
      <c r="G6977">
        <v>-187.6729</v>
      </c>
      <c r="H6977" s="1">
        <v>-3.9950150000000001E-6</v>
      </c>
      <c r="I6977">
        <v>-2.0169640000000002</v>
      </c>
      <c r="J6977">
        <v>-187.70670000000001</v>
      </c>
      <c r="K6977">
        <v>1.111648</v>
      </c>
      <c r="L6977">
        <v>-17.740749999999998</v>
      </c>
      <c r="M6977">
        <v>6.381059E-2</v>
      </c>
      <c r="N6977">
        <v>0</v>
      </c>
      <c r="O6977">
        <v>0.9978667</v>
      </c>
      <c r="P6977">
        <v>5.019237E-2</v>
      </c>
      <c r="Q6977">
        <v>0.15091740000000001</v>
      </c>
      <c r="R6977">
        <v>0.98727129999999996</v>
      </c>
      <c r="S6977">
        <v>9.0332030000000001E-3</v>
      </c>
      <c r="T6977">
        <v>-0.21402070000000001</v>
      </c>
      <c r="U6977">
        <v>3.0714109999999999</v>
      </c>
      <c r="V6977">
        <v>-1.335195E-2</v>
      </c>
      <c r="W6977">
        <v>0.16449720000000001</v>
      </c>
      <c r="X6977">
        <v>0.98628720000000003</v>
      </c>
      <c r="Y6977">
        <v>-6.0888270000000001E-2</v>
      </c>
      <c r="Z6977">
        <v>-6.9236030000000004E-2</v>
      </c>
      <c r="AA6977">
        <v>0.99574039999999997</v>
      </c>
      <c r="AB6977">
        <v>24</v>
      </c>
      <c r="AC6977">
        <v>3.3800000000013597E-2</v>
      </c>
      <c r="AD6977">
        <v>-1.1116519950149999</v>
      </c>
      <c r="AE6977">
        <v>15.723786</v>
      </c>
      <c r="AF6977">
        <v>-0.96488564061593796</v>
      </c>
      <c r="AG6977">
        <v>-1.1116519950149999</v>
      </c>
      <c r="AH6977">
        <v>15.615839762417901</v>
      </c>
      <c r="AI6977">
        <v>94.0641473462682</v>
      </c>
      <c r="AJ6977">
        <v>93.535748378564804</v>
      </c>
      <c r="AK6977">
        <v>15.6850637851109</v>
      </c>
      <c r="AL6977">
        <v>80.531973163345597</v>
      </c>
      <c r="AM6977">
        <v>90.775599292851197</v>
      </c>
      <c r="AN6977">
        <v>1.0000000221302401</v>
      </c>
    </row>
    <row r="6978" spans="1:40" x14ac:dyDescent="0.25">
      <c r="A6978" t="str">
        <f>"20190312172543211"</f>
        <v>20190312172543211</v>
      </c>
      <c r="B6978" t="str">
        <f>"1552382743206913"</f>
        <v>1552382743206913</v>
      </c>
      <c r="C6978" t="s">
        <v>40</v>
      </c>
      <c r="D6978">
        <v>3.945106</v>
      </c>
      <c r="E6978">
        <v>0.4830081</v>
      </c>
      <c r="F6978" t="s">
        <v>43</v>
      </c>
      <c r="G6978">
        <v>-187.6472</v>
      </c>
      <c r="H6978" s="1">
        <v>-4.1334110000000002E-6</v>
      </c>
      <c r="I6978">
        <v>-1.704958</v>
      </c>
      <c r="J6978">
        <v>-187.6943</v>
      </c>
      <c r="K6978">
        <v>1.111634</v>
      </c>
      <c r="L6978">
        <v>-17.51746</v>
      </c>
      <c r="M6978">
        <v>6.2214209999999999E-2</v>
      </c>
      <c r="N6978">
        <v>0</v>
      </c>
      <c r="O6978">
        <v>0.99796759999999995</v>
      </c>
      <c r="P6978">
        <v>4.9060590000000001E-2</v>
      </c>
      <c r="Q6978">
        <v>0.15075929999999901</v>
      </c>
      <c r="R6978">
        <v>0.98735240000000002</v>
      </c>
      <c r="S6978">
        <v>1.138306E-2</v>
      </c>
      <c r="T6978">
        <v>-0.2128671</v>
      </c>
      <c r="U6978">
        <v>3.0706479999999998</v>
      </c>
      <c r="V6978">
        <v>-1.290033E-2</v>
      </c>
      <c r="W6978">
        <v>0.16433919999999999</v>
      </c>
      <c r="X6978">
        <v>0.98631950000000002</v>
      </c>
      <c r="Y6978">
        <v>-5.8528549999999999E-2</v>
      </c>
      <c r="Z6978">
        <v>-6.8896890000000002E-2</v>
      </c>
      <c r="AA6978">
        <v>0.9959055</v>
      </c>
      <c r="AB6978">
        <v>24</v>
      </c>
      <c r="AC6978">
        <v>4.7100000000000301E-2</v>
      </c>
      <c r="AD6978">
        <v>-1.1116381334109999</v>
      </c>
      <c r="AE6978">
        <v>15.812501999999901</v>
      </c>
      <c r="AF6978">
        <v>-0.93223974820129696</v>
      </c>
      <c r="AG6978">
        <v>-1.1116381334109999</v>
      </c>
      <c r="AH6978">
        <v>15.707166840860699</v>
      </c>
      <c r="AI6978">
        <v>94.041137701126004</v>
      </c>
      <c r="AJ6978">
        <v>93.396590764126501</v>
      </c>
      <c r="AK6978">
        <v>15.7740261333121</v>
      </c>
      <c r="AL6978">
        <v>80.541150334276296</v>
      </c>
      <c r="AM6978">
        <v>90.749343717186903</v>
      </c>
      <c r="AN6978">
        <v>0.99999997362549897</v>
      </c>
    </row>
    <row r="6979" spans="1:40" x14ac:dyDescent="0.25">
      <c r="A6979" t="str">
        <f>"20190312172543236"</f>
        <v>20190312172543236</v>
      </c>
      <c r="B6979" t="str">
        <f>"1552382743227410"</f>
        <v>1552382743227410</v>
      </c>
      <c r="C6979" t="s">
        <v>40</v>
      </c>
      <c r="D6979">
        <v>4.0342739999999999</v>
      </c>
      <c r="E6979">
        <v>0.48322559999999898</v>
      </c>
      <c r="F6979" t="s">
        <v>43</v>
      </c>
      <c r="G6979">
        <v>-187.637</v>
      </c>
      <c r="H6979" s="1">
        <v>-4.272241E-6</v>
      </c>
      <c r="I6979">
        <v>-1.3855649999999999</v>
      </c>
      <c r="J6979">
        <v>-187.6806</v>
      </c>
      <c r="K6979">
        <v>1.1116239999999999</v>
      </c>
      <c r="L6979">
        <v>-17.262910000000002</v>
      </c>
      <c r="M6979">
        <v>6.0395280000000003E-2</v>
      </c>
      <c r="N6979">
        <v>0</v>
      </c>
      <c r="O6979">
        <v>0.99807939999999995</v>
      </c>
      <c r="P6979">
        <v>4.8135400000000002E-2</v>
      </c>
      <c r="Q6979">
        <v>0.15099209999999999</v>
      </c>
      <c r="R6979">
        <v>0.98736230000000003</v>
      </c>
      <c r="S6979">
        <v>1.089478E-2</v>
      </c>
      <c r="T6979">
        <v>-0.2115648</v>
      </c>
      <c r="U6979">
        <v>3.0701900000000002</v>
      </c>
      <c r="V6979">
        <v>-1.2018020000000001E-2</v>
      </c>
      <c r="W6979">
        <v>0.164571</v>
      </c>
      <c r="X6979">
        <v>0.98629199999999995</v>
      </c>
      <c r="Y6979">
        <v>-5.6866800000000002E-2</v>
      </c>
      <c r="Z6979">
        <v>-6.8502350000000004E-2</v>
      </c>
      <c r="AA6979">
        <v>0.99602889999999999</v>
      </c>
      <c r="AB6979">
        <v>24</v>
      </c>
      <c r="AC6979">
        <v>4.35999999999978E-2</v>
      </c>
      <c r="AD6979">
        <v>-1.111628272241</v>
      </c>
      <c r="AE6979">
        <v>15.877345</v>
      </c>
      <c r="AF6979">
        <v>-0.91102168178436804</v>
      </c>
      <c r="AG6979">
        <v>-1.111628272241</v>
      </c>
      <c r="AH6979">
        <v>15.773669317487601</v>
      </c>
      <c r="AI6979">
        <v>94.0244940177232</v>
      </c>
      <c r="AJ6979">
        <v>93.305494299585405</v>
      </c>
      <c r="AK6979">
        <v>15.8390126478191</v>
      </c>
      <c r="AL6979">
        <v>80.527685889757507</v>
      </c>
      <c r="AM6979">
        <v>90.6981175432432</v>
      </c>
      <c r="AN6979">
        <v>0.99999997805485996</v>
      </c>
    </row>
    <row r="6980" spans="1:40" x14ac:dyDescent="0.25">
      <c r="A6980" t="str">
        <f>"20190312172543258"</f>
        <v>20190312172543258</v>
      </c>
      <c r="B6980" t="str">
        <f>"1552382743246931"</f>
        <v>1552382743246931</v>
      </c>
      <c r="C6980" t="s">
        <v>40</v>
      </c>
      <c r="D6980">
        <v>3.964143</v>
      </c>
      <c r="E6980">
        <v>0.48347499999999999</v>
      </c>
      <c r="F6980" t="s">
        <v>43</v>
      </c>
      <c r="G6980">
        <v>-187.63069999999999</v>
      </c>
      <c r="H6980" s="1">
        <v>-4.3463479999999998E-6</v>
      </c>
      <c r="I6980">
        <v>-1.2154259999999999</v>
      </c>
      <c r="J6980">
        <v>-187.66829999999999</v>
      </c>
      <c r="K6980">
        <v>1.111612</v>
      </c>
      <c r="L6980">
        <v>-17.02704</v>
      </c>
      <c r="M6980">
        <v>5.8708049999999998E-2</v>
      </c>
      <c r="N6980">
        <v>0</v>
      </c>
      <c r="O6980">
        <v>0.99818010000000001</v>
      </c>
      <c r="P6980">
        <v>4.7075260000000001E-2</v>
      </c>
      <c r="Q6980">
        <v>0.15167749999999999</v>
      </c>
      <c r="R6980">
        <v>0.98730839999999997</v>
      </c>
      <c r="S6980">
        <v>9.5367430000000003E-3</v>
      </c>
      <c r="T6980">
        <v>-0.21269489999999999</v>
      </c>
      <c r="U6980">
        <v>3.070465</v>
      </c>
      <c r="V6980">
        <v>-1.14006E-2</v>
      </c>
      <c r="W6980">
        <v>0.16525490000000001</v>
      </c>
      <c r="X6980">
        <v>0.98618499999999998</v>
      </c>
      <c r="Y6980">
        <v>-5.5620040000000003E-2</v>
      </c>
      <c r="Z6980">
        <v>-6.8873320000000002E-2</v>
      </c>
      <c r="AA6980">
        <v>0.99607369999999995</v>
      </c>
      <c r="AB6980">
        <v>24</v>
      </c>
      <c r="AC6980">
        <v>3.7599999999997601E-2</v>
      </c>
      <c r="AD6980">
        <v>-1.111616346348</v>
      </c>
      <c r="AE6980">
        <v>15.811614000000001</v>
      </c>
      <c r="AF6980">
        <v>-0.88644070310040701</v>
      </c>
      <c r="AG6980">
        <v>-1.111616346348</v>
      </c>
      <c r="AH6980">
        <v>15.7089017653346</v>
      </c>
      <c r="AI6980">
        <v>94.041292952072197</v>
      </c>
      <c r="AJ6980">
        <v>93.229729608306101</v>
      </c>
      <c r="AK6980">
        <v>15.7731120167998</v>
      </c>
      <c r="AL6980">
        <v>80.487957604296298</v>
      </c>
      <c r="AM6980">
        <v>90.662327218466203</v>
      </c>
      <c r="AN6980">
        <v>1.00000000493968</v>
      </c>
    </row>
    <row r="6981" spans="1:40" x14ac:dyDescent="0.25">
      <c r="A6981" t="str">
        <f>"20190312172543280"</f>
        <v>20190312172543280</v>
      </c>
      <c r="B6981" t="str">
        <f>"1552382743267439"</f>
        <v>1552382743267439</v>
      </c>
      <c r="C6981" t="s">
        <v>40</v>
      </c>
      <c r="D6981">
        <v>4.0838780000000003</v>
      </c>
      <c r="E6981">
        <v>0.48384820000000001</v>
      </c>
      <c r="F6981" t="s">
        <v>43</v>
      </c>
      <c r="G6981">
        <v>-187.6311</v>
      </c>
      <c r="H6981" s="1">
        <v>-4.5382979999999998E-6</v>
      </c>
      <c r="I6981">
        <v>-0.76782609999999996</v>
      </c>
      <c r="J6981">
        <v>-187.65690000000001</v>
      </c>
      <c r="K6981">
        <v>1.111607</v>
      </c>
      <c r="L6981">
        <v>-16.80133</v>
      </c>
      <c r="M6981">
        <v>5.7090259999999997E-2</v>
      </c>
      <c r="N6981">
        <v>0</v>
      </c>
      <c r="O6981">
        <v>0.99827390000000005</v>
      </c>
      <c r="P6981">
        <v>4.5709319999999998E-2</v>
      </c>
      <c r="Q6981">
        <v>0.15155879999999999</v>
      </c>
      <c r="R6981">
        <v>0.98739080000000001</v>
      </c>
      <c r="S6981">
        <v>7.019043E-3</v>
      </c>
      <c r="T6981">
        <v>-0.2099229</v>
      </c>
      <c r="U6981">
        <v>3.070465</v>
      </c>
      <c r="V6981">
        <v>-1.116429E-2</v>
      </c>
      <c r="W6981">
        <v>0.1651349</v>
      </c>
      <c r="X6981">
        <v>0.98620779999999997</v>
      </c>
      <c r="Y6981">
        <v>-5.4818470000000001E-2</v>
      </c>
      <c r="Z6981">
        <v>-6.7991070000000001E-2</v>
      </c>
      <c r="AA6981">
        <v>0.99617869999999997</v>
      </c>
      <c r="AB6981">
        <v>23</v>
      </c>
      <c r="AC6981">
        <v>2.5800000000003799E-2</v>
      </c>
      <c r="AD6981">
        <v>-1.1116115382979901</v>
      </c>
      <c r="AE6981">
        <v>16.033503899999999</v>
      </c>
      <c r="AF6981">
        <v>-0.88542992310798996</v>
      </c>
      <c r="AG6981">
        <v>-1.1116115382979901</v>
      </c>
      <c r="AH6981">
        <v>15.9322400037672</v>
      </c>
      <c r="AI6981">
        <v>93.984998172001696</v>
      </c>
      <c r="AJ6981">
        <v>93.180925305060399</v>
      </c>
      <c r="AK6981">
        <v>15.9954974257899</v>
      </c>
      <c r="AL6981">
        <v>80.494928835611603</v>
      </c>
      <c r="AM6981">
        <v>90.648584786601404</v>
      </c>
      <c r="AN6981">
        <v>1.00000000067502</v>
      </c>
    </row>
    <row r="6982" spans="1:40" x14ac:dyDescent="0.25">
      <c r="A6982" t="str">
        <f>"20190312172543301"</f>
        <v>20190312172543301</v>
      </c>
      <c r="B6982" t="str">
        <f>"1552382743296706"</f>
        <v>1552382743296706</v>
      </c>
      <c r="C6982" t="s">
        <v>40</v>
      </c>
      <c r="D6982">
        <v>3.9311470000000002</v>
      </c>
      <c r="E6982">
        <v>0.48445890000000003</v>
      </c>
      <c r="F6982" t="s">
        <v>43</v>
      </c>
      <c r="G6982">
        <v>-187.62960000000001</v>
      </c>
      <c r="H6982" s="1">
        <v>-4.6112559999999998E-6</v>
      </c>
      <c r="I6982">
        <v>-0.5983887</v>
      </c>
      <c r="J6982">
        <v>-187.64609999999999</v>
      </c>
      <c r="K6982">
        <v>1.1116079999999999</v>
      </c>
      <c r="L6982">
        <v>-16.580110000000001</v>
      </c>
      <c r="M6982">
        <v>5.5501660000000001E-2</v>
      </c>
      <c r="N6982">
        <v>0</v>
      </c>
      <c r="O6982">
        <v>0.99836360000000002</v>
      </c>
      <c r="P6982">
        <v>4.4427410000000001E-2</v>
      </c>
      <c r="Q6982">
        <v>0.151168</v>
      </c>
      <c r="R6982">
        <v>0.98750919999999998</v>
      </c>
      <c r="S6982">
        <v>5.172729E-3</v>
      </c>
      <c r="T6982">
        <v>-0.21064669999999999</v>
      </c>
      <c r="U6982">
        <v>3.0704039999999999</v>
      </c>
      <c r="V6982">
        <v>-1.08758E-2</v>
      </c>
      <c r="W6982">
        <v>0.16474359999999999</v>
      </c>
      <c r="X6982">
        <v>0.98627640000000005</v>
      </c>
      <c r="Y6982">
        <v>-5.3828590000000003E-2</v>
      </c>
      <c r="Z6982">
        <v>-6.8236859999999996E-2</v>
      </c>
      <c r="AA6982">
        <v>0.99621590000000004</v>
      </c>
      <c r="AB6982">
        <v>23</v>
      </c>
      <c r="AC6982">
        <v>1.6499999999979299E-2</v>
      </c>
      <c r="AD6982">
        <v>-1.1116126112560001</v>
      </c>
      <c r="AE6982">
        <v>15.9817213</v>
      </c>
      <c r="AF6982">
        <v>-0.86642991436635997</v>
      </c>
      <c r="AG6982">
        <v>-1.1116126112560001</v>
      </c>
      <c r="AH6982">
        <v>15.881166248306201</v>
      </c>
      <c r="AI6982">
        <v>93.997998898124195</v>
      </c>
      <c r="AJ6982">
        <v>93.122794060430806</v>
      </c>
      <c r="AK6982">
        <v>15.943582558520299</v>
      </c>
      <c r="AL6982">
        <v>80.517659397043801</v>
      </c>
      <c r="AM6982">
        <v>90.631782513830601</v>
      </c>
      <c r="AN6982">
        <v>0.99999993698177803</v>
      </c>
    </row>
    <row r="6983" spans="1:40" x14ac:dyDescent="0.25">
      <c r="A6983" t="str">
        <f>"20190312172543324"</f>
        <v>20190312172543324</v>
      </c>
      <c r="B6983" t="str">
        <f>"1552382743317203"</f>
        <v>1552382743317203</v>
      </c>
      <c r="C6983" t="s">
        <v>40</v>
      </c>
      <c r="D6983">
        <v>3.9579710000000001</v>
      </c>
      <c r="E6983">
        <v>0.484871</v>
      </c>
      <c r="F6983" t="s">
        <v>43</v>
      </c>
      <c r="G6983">
        <v>-187.61500000000001</v>
      </c>
      <c r="H6983" s="1">
        <v>-4.6936670000000002E-6</v>
      </c>
      <c r="I6983">
        <v>-0.41232679999999999</v>
      </c>
      <c r="J6983">
        <v>-187.63489999999999</v>
      </c>
      <c r="K6983">
        <v>1.1116060000000001</v>
      </c>
      <c r="L6983">
        <v>-16.344059999999999</v>
      </c>
      <c r="M6983">
        <v>5.3803419999999998E-2</v>
      </c>
      <c r="N6983">
        <v>0</v>
      </c>
      <c r="O6983">
        <v>0.99845649999999997</v>
      </c>
      <c r="P6983">
        <v>4.3516810000000003E-2</v>
      </c>
      <c r="Q6983">
        <v>0.1509962</v>
      </c>
      <c r="R6983">
        <v>0.98757600000000001</v>
      </c>
      <c r="S6983">
        <v>5.905151E-3</v>
      </c>
      <c r="T6983">
        <v>-0.21107770000000001</v>
      </c>
      <c r="U6983">
        <v>3.0700069999999999</v>
      </c>
      <c r="V6983">
        <v>-1.0105279999999999E-2</v>
      </c>
      <c r="W6983">
        <v>0.16457149999999901</v>
      </c>
      <c r="X6983">
        <v>0.98631340000000001</v>
      </c>
      <c r="Y6983">
        <v>-5.1892149999999998E-2</v>
      </c>
      <c r="Z6983">
        <v>-6.8397659999999999E-2</v>
      </c>
      <c r="AA6983">
        <v>0.99630770000000002</v>
      </c>
      <c r="AB6983">
        <v>23</v>
      </c>
      <c r="AC6983">
        <v>1.98999999999784E-2</v>
      </c>
      <c r="AD6983">
        <v>-1.1116106936669901</v>
      </c>
      <c r="AE6983">
        <v>15.931733199999901</v>
      </c>
      <c r="AF6983">
        <v>-0.83333498709281395</v>
      </c>
      <c r="AG6983">
        <v>-1.1116106936669901</v>
      </c>
      <c r="AH6983">
        <v>15.832644929897301</v>
      </c>
      <c r="AI6983">
        <v>94.010615327437606</v>
      </c>
      <c r="AJ6983">
        <v>93.012924226995096</v>
      </c>
      <c r="AK6983">
        <v>15.893482029158699</v>
      </c>
      <c r="AL6983">
        <v>80.527657143191206</v>
      </c>
      <c r="AM6983">
        <v>90.587003722286397</v>
      </c>
      <c r="AN6983">
        <v>1.00000000915784</v>
      </c>
    </row>
    <row r="6984" spans="1:40" x14ac:dyDescent="0.25">
      <c r="A6984" t="str">
        <f>"20190312172543347"</f>
        <v>20190312172543347</v>
      </c>
      <c r="B6984" t="str">
        <f>"1552382743336722"</f>
        <v>1552382743336722</v>
      </c>
      <c r="C6984" t="s">
        <v>40</v>
      </c>
      <c r="D6984">
        <v>3.9091070000000001</v>
      </c>
      <c r="E6984">
        <v>0.48523139999999998</v>
      </c>
      <c r="F6984" t="s">
        <v>43</v>
      </c>
      <c r="G6984">
        <v>-187.60400000000001</v>
      </c>
      <c r="H6984" s="1">
        <v>-7.0723340000000001E-7</v>
      </c>
      <c r="I6984">
        <v>-0.14708929999999901</v>
      </c>
      <c r="J6984">
        <v>-187.62389999999999</v>
      </c>
      <c r="K6984">
        <v>1.111594</v>
      </c>
      <c r="L6984">
        <v>-16.100100000000001</v>
      </c>
      <c r="M6984">
        <v>5.204599E-2</v>
      </c>
      <c r="N6984">
        <v>0</v>
      </c>
      <c r="O6984">
        <v>0.99854980000000004</v>
      </c>
      <c r="P6984">
        <v>4.2753090000000001E-2</v>
      </c>
      <c r="Q6984">
        <v>0.1509289</v>
      </c>
      <c r="R6984">
        <v>0.98761969999999999</v>
      </c>
      <c r="S6984">
        <v>5.8746340000000001E-3</v>
      </c>
      <c r="T6984">
        <v>-0.21067540000000001</v>
      </c>
      <c r="U6984">
        <v>3.0697019999999999</v>
      </c>
      <c r="V6984">
        <v>-9.1294830000000007E-3</v>
      </c>
      <c r="W6984">
        <v>0.16450519999999999</v>
      </c>
      <c r="X6984">
        <v>0.98633400000000004</v>
      </c>
      <c r="Y6984">
        <v>-5.0144069999999999E-2</v>
      </c>
      <c r="Z6984">
        <v>-6.8287260000000002E-2</v>
      </c>
      <c r="AA6984">
        <v>0.99640479999999998</v>
      </c>
      <c r="AB6984">
        <v>23</v>
      </c>
      <c r="AC6984">
        <v>1.98999999999784E-2</v>
      </c>
      <c r="AD6984">
        <v>-1.11159470723339</v>
      </c>
      <c r="AE6984">
        <v>15.9530107</v>
      </c>
      <c r="AF6984">
        <v>-0.80657979261581503</v>
      </c>
      <c r="AG6984">
        <v>-1.11159470723339</v>
      </c>
      <c r="AH6984">
        <v>15.8554398210741</v>
      </c>
      <c r="AI6984">
        <v>94.005174028798507</v>
      </c>
      <c r="AJ6984">
        <v>92.912174983353594</v>
      </c>
      <c r="AK6984">
        <v>15.914810261976299</v>
      </c>
      <c r="AL6984">
        <v>80.531508579172893</v>
      </c>
      <c r="AM6984">
        <v>90.530313167570597</v>
      </c>
      <c r="AN6984">
        <v>1.0000000339214401</v>
      </c>
    </row>
    <row r="6985" spans="1:40" x14ac:dyDescent="0.25">
      <c r="A6985" t="str">
        <f>"20190312172543368"</f>
        <v>20190312172543368</v>
      </c>
      <c r="B6985" t="str">
        <f>"1552382743357218"</f>
        <v>1552382743357218</v>
      </c>
      <c r="C6985" t="s">
        <v>40</v>
      </c>
      <c r="D6985">
        <v>3.9165359999999998</v>
      </c>
      <c r="E6985">
        <v>0.48551519999999998</v>
      </c>
      <c r="F6985" t="s">
        <v>43</v>
      </c>
      <c r="G6985">
        <v>-187.5966</v>
      </c>
      <c r="H6985" s="1">
        <v>-7.8294709999999896E-7</v>
      </c>
      <c r="I6985">
        <v>6.9670049999999997E-2</v>
      </c>
      <c r="J6985">
        <v>-187.61410000000001</v>
      </c>
      <c r="K6985">
        <v>1.1115870000000001</v>
      </c>
      <c r="L6985">
        <v>-15.87665</v>
      </c>
      <c r="M6985">
        <v>5.0434399999999997E-2</v>
      </c>
      <c r="N6985">
        <v>0</v>
      </c>
      <c r="O6985">
        <v>0.99863250000000003</v>
      </c>
      <c r="P6985">
        <v>4.1962550000000001E-2</v>
      </c>
      <c r="Q6985">
        <v>0.14967649999999999</v>
      </c>
      <c r="R6985">
        <v>0.98784419999999995</v>
      </c>
      <c r="S6985">
        <v>5.172729E-3</v>
      </c>
      <c r="T6985">
        <v>-0.2110233</v>
      </c>
      <c r="U6985">
        <v>3.0696409999999998</v>
      </c>
      <c r="V6985">
        <v>-8.3312190000000008E-3</v>
      </c>
      <c r="W6985">
        <v>0.16325490000000001</v>
      </c>
      <c r="X6985">
        <v>0.98654869999999995</v>
      </c>
      <c r="Y6985">
        <v>-4.8760020000000001E-2</v>
      </c>
      <c r="Z6985">
        <v>-6.8411739999999999E-2</v>
      </c>
      <c r="AA6985">
        <v>0.99646489999999999</v>
      </c>
      <c r="AB6985">
        <v>23</v>
      </c>
      <c r="AC6985">
        <v>1.7500000000012499E-2</v>
      </c>
      <c r="AD6985">
        <v>-1.1115877829470999</v>
      </c>
      <c r="AE6985">
        <v>15.946320050000001</v>
      </c>
      <c r="AF6985">
        <v>-0.78303662963720799</v>
      </c>
      <c r="AG6985">
        <v>-1.1115877829470999</v>
      </c>
      <c r="AH6985">
        <v>15.849887216088201</v>
      </c>
      <c r="AI6985">
        <v>94.006840807188198</v>
      </c>
      <c r="AJ6985">
        <v>92.828300708272096</v>
      </c>
      <c r="AK6985">
        <v>15.908101663154699</v>
      </c>
      <c r="AL6985">
        <v>80.604126527264199</v>
      </c>
      <c r="AM6985">
        <v>90.483840625558202</v>
      </c>
      <c r="AN6985">
        <v>0.99999995452786195</v>
      </c>
    </row>
    <row r="6986" spans="1:40" x14ac:dyDescent="0.25">
      <c r="A6986" t="str">
        <f>"20190312172543391"</f>
        <v>20190312172543391</v>
      </c>
      <c r="B6986" t="str">
        <f>"1552382743387474"</f>
        <v>1552382743387474</v>
      </c>
      <c r="C6986" t="s">
        <v>40</v>
      </c>
      <c r="D6986">
        <v>3.9511029999999998</v>
      </c>
      <c r="E6986">
        <v>0.48587859999999999</v>
      </c>
      <c r="F6986" t="s">
        <v>43</v>
      </c>
      <c r="G6986">
        <v>-187.5917</v>
      </c>
      <c r="H6986" s="1">
        <v>-7.3377519999999905E-7</v>
      </c>
      <c r="I6986">
        <v>-7.8644279999999997E-2</v>
      </c>
      <c r="J6986">
        <v>-187.60429999999999</v>
      </c>
      <c r="K6986">
        <v>1.1115839999999999</v>
      </c>
      <c r="L6986">
        <v>-15.64307</v>
      </c>
      <c r="M6986">
        <v>4.8748779999999999E-2</v>
      </c>
      <c r="N6986">
        <v>0</v>
      </c>
      <c r="O6986">
        <v>0.99871620000000005</v>
      </c>
      <c r="P6986">
        <v>4.0563830000000002E-2</v>
      </c>
      <c r="Q6986">
        <v>0.14855499999999999</v>
      </c>
      <c r="R6986">
        <v>0.9880719</v>
      </c>
      <c r="S6986">
        <v>4.3487550000000002E-3</v>
      </c>
      <c r="T6986">
        <v>-0.2159749</v>
      </c>
      <c r="U6986">
        <v>3.069458</v>
      </c>
      <c r="V6986">
        <v>-8.0664689999999997E-3</v>
      </c>
      <c r="W6986">
        <v>0.16213459999999999</v>
      </c>
      <c r="X6986">
        <v>0.98673569999999999</v>
      </c>
      <c r="Y6986">
        <v>-4.7341679999999997E-2</v>
      </c>
      <c r="Z6986">
        <v>-7.002456E-2</v>
      </c>
      <c r="AA6986">
        <v>0.99642129999999995</v>
      </c>
      <c r="AB6986">
        <v>23</v>
      </c>
      <c r="AC6986">
        <v>1.2599999999991901E-2</v>
      </c>
      <c r="AD6986">
        <v>-1.1115847337751901</v>
      </c>
      <c r="AE6986">
        <v>15.564425719999999</v>
      </c>
      <c r="AF6986">
        <v>-0.74244675204051003</v>
      </c>
      <c r="AG6986">
        <v>-1.1115847337751901</v>
      </c>
      <c r="AH6986">
        <v>15.467637753430401</v>
      </c>
      <c r="AI6986">
        <v>94.105794487786397</v>
      </c>
      <c r="AJ6986">
        <v>92.748088696995794</v>
      </c>
      <c r="AK6986">
        <v>15.525291155766499</v>
      </c>
      <c r="AL6986">
        <v>80.669182369808695</v>
      </c>
      <c r="AM6986">
        <v>90.468377027529101</v>
      </c>
      <c r="AN6986">
        <v>1.0000000190468801</v>
      </c>
    </row>
    <row r="6987" spans="1:40" x14ac:dyDescent="0.25">
      <c r="A6987" t="str">
        <f>"20190312172543424"</f>
        <v>20190312172543424</v>
      </c>
      <c r="B6987" t="str">
        <f>"1552382743417730"</f>
        <v>1552382743417730</v>
      </c>
      <c r="C6987" t="s">
        <v>40</v>
      </c>
      <c r="D6987">
        <v>3.9277350000000002</v>
      </c>
      <c r="E6987">
        <v>0.48627579999999998</v>
      </c>
      <c r="F6987" t="s">
        <v>43</v>
      </c>
      <c r="G6987">
        <v>-187.59030000000001</v>
      </c>
      <c r="H6987" s="1">
        <v>-7.1220669999999999E-7</v>
      </c>
      <c r="I6987">
        <v>-0.14317240000000001</v>
      </c>
      <c r="J6987">
        <v>-187.59039999999999</v>
      </c>
      <c r="K6987">
        <v>1.1115790000000001</v>
      </c>
      <c r="L6987">
        <v>-15.297359999999999</v>
      </c>
      <c r="M6987">
        <v>4.6253420000000003E-2</v>
      </c>
      <c r="N6987">
        <v>0</v>
      </c>
      <c r="O6987">
        <v>0.99883489999999997</v>
      </c>
      <c r="P6987">
        <v>3.8844950000000003E-2</v>
      </c>
      <c r="Q6987">
        <v>0.148069799999999</v>
      </c>
      <c r="R6987">
        <v>0.98821369999999997</v>
      </c>
      <c r="S6987">
        <v>2.7770999999999998E-3</v>
      </c>
      <c r="T6987">
        <v>-0.22011049999999999</v>
      </c>
      <c r="U6987">
        <v>3.0692140000000001</v>
      </c>
      <c r="V6987">
        <v>-7.3170619999999896E-3</v>
      </c>
      <c r="W6987">
        <v>0.16164809999999999</v>
      </c>
      <c r="X6987">
        <v>0.98682139999999996</v>
      </c>
      <c r="Y6987">
        <v>-4.5356180000000003E-2</v>
      </c>
      <c r="Z6987">
        <v>-7.1380319999999997E-2</v>
      </c>
      <c r="AA6987">
        <v>0.99641740000000001</v>
      </c>
      <c r="AB6987">
        <v>23</v>
      </c>
      <c r="AC6987" s="1">
        <v>9.9999999974897906E-5</v>
      </c>
      <c r="AD6987">
        <v>-1.1115797122066999</v>
      </c>
      <c r="AE6987">
        <v>15.1541876</v>
      </c>
      <c r="AF6987">
        <v>-0.69714857122441598</v>
      </c>
      <c r="AG6987">
        <v>-1.1115797122066999</v>
      </c>
      <c r="AH6987">
        <v>15.0569574928483</v>
      </c>
      <c r="AI6987">
        <v>94.217698745336804</v>
      </c>
      <c r="AJ6987">
        <v>92.650944872639997</v>
      </c>
      <c r="AK6987">
        <v>15.1140198004498</v>
      </c>
      <c r="AL6987">
        <v>80.697429783317105</v>
      </c>
      <c r="AM6987">
        <v>90.424827722853095</v>
      </c>
      <c r="AN6987">
        <v>1.00000006156393</v>
      </c>
    </row>
    <row r="6988" spans="1:40" x14ac:dyDescent="0.25">
      <c r="A6988" t="str">
        <f>"20190312172543449"</f>
        <v>20190312172543449</v>
      </c>
      <c r="B6988" t="str">
        <f>"1552382743437249"</f>
        <v>1552382743437249</v>
      </c>
      <c r="C6988" t="s">
        <v>40</v>
      </c>
      <c r="D6988">
        <v>3.926466</v>
      </c>
      <c r="E6988">
        <v>0.48649140000000002</v>
      </c>
      <c r="F6988" t="s">
        <v>43</v>
      </c>
      <c r="G6988">
        <v>-187.59139999999999</v>
      </c>
      <c r="H6988" s="1">
        <v>-7.7359129999999998E-7</v>
      </c>
      <c r="I6988">
        <v>3.8115290000000003E-2</v>
      </c>
      <c r="J6988">
        <v>-187.58090000000001</v>
      </c>
      <c r="K6988">
        <v>1.1115820000000001</v>
      </c>
      <c r="L6988">
        <v>-15.045780000000001</v>
      </c>
      <c r="M6988">
        <v>4.4437280000000003E-2</v>
      </c>
      <c r="N6988">
        <v>0</v>
      </c>
      <c r="O6988">
        <v>0.99891739999999996</v>
      </c>
      <c r="P6988">
        <v>3.7507730000000003E-2</v>
      </c>
      <c r="Q6988">
        <v>0.14801310000000001</v>
      </c>
      <c r="R6988">
        <v>0.98827390000000004</v>
      </c>
      <c r="S6988">
        <v>-1.9836429999999999E-4</v>
      </c>
      <c r="T6988">
        <v>-0.22246279999999999</v>
      </c>
      <c r="U6988">
        <v>3.0691220000000001</v>
      </c>
      <c r="V6988">
        <v>-6.856455E-3</v>
      </c>
      <c r="W6988">
        <v>0.1615907</v>
      </c>
      <c r="X6988">
        <v>0.98683399999999999</v>
      </c>
      <c r="Y6988">
        <v>-4.4505830000000003E-2</v>
      </c>
      <c r="Z6988">
        <v>-7.2151629999999994E-2</v>
      </c>
      <c r="AA6988">
        <v>0.99640019999999996</v>
      </c>
      <c r="AB6988">
        <v>23</v>
      </c>
      <c r="AC6988">
        <v>-1.0499999999979E-2</v>
      </c>
      <c r="AD6988">
        <v>-1.1115827735913</v>
      </c>
      <c r="AE6988">
        <v>15.083895289999999</v>
      </c>
      <c r="AF6988">
        <v>-0.67716290145401303</v>
      </c>
      <c r="AG6988">
        <v>-1.1115827735913</v>
      </c>
      <c r="AH6988">
        <v>14.987134858835001</v>
      </c>
      <c r="AI6988">
        <v>94.237503967428395</v>
      </c>
      <c r="AJ6988">
        <v>92.587032581053705</v>
      </c>
      <c r="AK6988">
        <v>15.043549352947201</v>
      </c>
      <c r="AL6988">
        <v>80.700761368755295</v>
      </c>
      <c r="AM6988">
        <v>90.398080743794907</v>
      </c>
      <c r="AN6988">
        <v>0.99999995442882705</v>
      </c>
    </row>
    <row r="6989" spans="1:40" x14ac:dyDescent="0.25">
      <c r="A6989" t="str">
        <f>"20190312172543471"</f>
        <v>20190312172543471</v>
      </c>
      <c r="B6989" t="str">
        <f>"1552382743467505"</f>
        <v>1552382743467505</v>
      </c>
      <c r="C6989" t="s">
        <v>40</v>
      </c>
      <c r="D6989">
        <v>3.8982519999999998</v>
      </c>
      <c r="E6989">
        <v>0.48679280000000003</v>
      </c>
      <c r="F6989" t="s">
        <v>43</v>
      </c>
      <c r="G6989">
        <v>-187.59870000000001</v>
      </c>
      <c r="H6989" s="1">
        <v>-8.520339E-7</v>
      </c>
      <c r="I6989">
        <v>0.2743042</v>
      </c>
      <c r="J6989">
        <v>-187.5728</v>
      </c>
      <c r="K6989">
        <v>1.1115820000000001</v>
      </c>
      <c r="L6989">
        <v>-14.819789999999999</v>
      </c>
      <c r="M6989">
        <v>4.2806039999999997E-2</v>
      </c>
      <c r="N6989">
        <v>0</v>
      </c>
      <c r="O6989">
        <v>0.99898869999999895</v>
      </c>
      <c r="P6989">
        <v>3.6157500000000002E-2</v>
      </c>
      <c r="Q6989">
        <v>0.14854690000000001</v>
      </c>
      <c r="R6989">
        <v>0.98824409999999896</v>
      </c>
      <c r="S6989">
        <v>-3.5552980000000001E-3</v>
      </c>
      <c r="T6989">
        <v>-0.22268489999999999</v>
      </c>
      <c r="U6989">
        <v>3.0690919999999999</v>
      </c>
      <c r="V6989">
        <v>-6.589068E-3</v>
      </c>
      <c r="W6989">
        <v>0.1621215</v>
      </c>
      <c r="X6989">
        <v>0.98674879999999998</v>
      </c>
      <c r="Y6989">
        <v>-4.3964339999999998E-2</v>
      </c>
      <c r="Z6989">
        <v>-7.2232569999999996E-2</v>
      </c>
      <c r="AA6989">
        <v>0.99641840000000004</v>
      </c>
      <c r="AB6989">
        <v>23</v>
      </c>
      <c r="AC6989">
        <v>-2.5900000000007101E-2</v>
      </c>
      <c r="AD6989">
        <v>-1.1115828520338999</v>
      </c>
      <c r="AE6989">
        <v>15.094094200000001</v>
      </c>
      <c r="AF6989">
        <v>-0.66843065485172404</v>
      </c>
      <c r="AG6989">
        <v>-1.1115828520338999</v>
      </c>
      <c r="AH6989">
        <v>14.997809083096501</v>
      </c>
      <c r="AI6989">
        <v>94.234615421327007</v>
      </c>
      <c r="AJ6989">
        <v>92.551901240914901</v>
      </c>
      <c r="AK6989">
        <v>15.0537933183066</v>
      </c>
      <c r="AL6989">
        <v>80.669942785737902</v>
      </c>
      <c r="AM6989">
        <v>90.382589952192603</v>
      </c>
      <c r="AN6989">
        <v>0.99999999544039897</v>
      </c>
    </row>
    <row r="6990" spans="1:40" x14ac:dyDescent="0.25">
      <c r="A6990" t="str">
        <f>"20190312172543493"</f>
        <v>20190312172543493</v>
      </c>
      <c r="B6990" t="str">
        <f>"1552382743487026"</f>
        <v>1552382743487026</v>
      </c>
      <c r="C6990" t="s">
        <v>40</v>
      </c>
      <c r="D6990">
        <v>3.8863850000000002</v>
      </c>
      <c r="E6990">
        <v>0.48701280000000002</v>
      </c>
      <c r="F6990" t="s">
        <v>43</v>
      </c>
      <c r="G6990">
        <v>-187.60050000000001</v>
      </c>
      <c r="H6990" s="1">
        <v>-9.6405269999999995E-7</v>
      </c>
      <c r="I6990">
        <v>0.60487419999999903</v>
      </c>
      <c r="J6990">
        <v>-187.565</v>
      </c>
      <c r="K6990">
        <v>1.1115790000000001</v>
      </c>
      <c r="L6990">
        <v>-14.59262</v>
      </c>
      <c r="M6990">
        <v>4.1166090000000002E-2</v>
      </c>
      <c r="N6990">
        <v>0</v>
      </c>
      <c r="O6990">
        <v>0.99905770000000005</v>
      </c>
      <c r="P6990">
        <v>3.4821949999999997E-2</v>
      </c>
      <c r="Q6990">
        <v>0.14898520000000001</v>
      </c>
      <c r="R6990">
        <v>0.9882261</v>
      </c>
      <c r="S6990">
        <v>-5.5084230000000001E-3</v>
      </c>
      <c r="T6990">
        <v>-0.22117709999999999</v>
      </c>
      <c r="U6990">
        <v>3.0691220000000001</v>
      </c>
      <c r="V6990">
        <v>-6.2997110000000004E-3</v>
      </c>
      <c r="W6990">
        <v>0.16255720000000001</v>
      </c>
      <c r="X6990">
        <v>0.98667899999999997</v>
      </c>
      <c r="Y6990">
        <v>-4.2958499999999997E-2</v>
      </c>
      <c r="Z6990">
        <v>-7.1754280000000004E-2</v>
      </c>
      <c r="AA6990">
        <v>0.99649679999999996</v>
      </c>
      <c r="AB6990">
        <v>23</v>
      </c>
      <c r="AC6990">
        <v>-3.5500000000013097E-2</v>
      </c>
      <c r="AD6990">
        <v>-1.1115799640527</v>
      </c>
      <c r="AE6990">
        <v>15.1974941999999</v>
      </c>
      <c r="AF6990">
        <v>-0.65763228435937904</v>
      </c>
      <c r="AG6990">
        <v>-1.1115799640527</v>
      </c>
      <c r="AH6990">
        <v>15.102353463232101</v>
      </c>
      <c r="AI6990">
        <v>94.205585001352006</v>
      </c>
      <c r="AJ6990">
        <v>92.493370713201003</v>
      </c>
      <c r="AK6990">
        <v>15.157479024109399</v>
      </c>
      <c r="AL6990">
        <v>80.644643360210907</v>
      </c>
      <c r="AM6990">
        <v>90.365814969086102</v>
      </c>
      <c r="AN6990">
        <v>0.99999998933576095</v>
      </c>
    </row>
    <row r="6991" spans="1:40" x14ac:dyDescent="0.25">
      <c r="A6991" t="str">
        <f>"20190312172543514"</f>
        <v>20190312172543514</v>
      </c>
      <c r="B6991" t="str">
        <f>"1552382743507522"</f>
        <v>1552382743507522</v>
      </c>
      <c r="C6991" t="s">
        <v>40</v>
      </c>
      <c r="D6991">
        <v>3.9304730000000001</v>
      </c>
      <c r="E6991">
        <v>0.48719220000000002</v>
      </c>
      <c r="F6991" t="s">
        <v>43</v>
      </c>
      <c r="G6991">
        <v>-187.60570000000001</v>
      </c>
      <c r="H6991" s="1">
        <v>-1.071998E-6</v>
      </c>
      <c r="I6991">
        <v>0.92611270000000001</v>
      </c>
      <c r="J6991">
        <v>-187.55799999999999</v>
      </c>
      <c r="K6991">
        <v>1.11158</v>
      </c>
      <c r="L6991">
        <v>-14.3797</v>
      </c>
      <c r="M6991">
        <v>3.9629520000000001E-2</v>
      </c>
      <c r="N6991">
        <v>0</v>
      </c>
      <c r="O6991">
        <v>0.9991198</v>
      </c>
      <c r="P6991">
        <v>3.3525439999999997E-2</v>
      </c>
      <c r="Q6991">
        <v>0.14895529999999901</v>
      </c>
      <c r="R6991">
        <v>0.98827549999999997</v>
      </c>
      <c r="S6991">
        <v>-8.0413819999999997E-3</v>
      </c>
      <c r="T6991">
        <v>-0.21984029999999999</v>
      </c>
      <c r="U6991">
        <v>3.0691830000000002</v>
      </c>
      <c r="V6991">
        <v>-6.0753209999999998E-3</v>
      </c>
      <c r="W6991">
        <v>0.1625257</v>
      </c>
      <c r="X6991">
        <v>0.98668560000000005</v>
      </c>
      <c r="Y6991">
        <v>-4.2244370000000003E-2</v>
      </c>
      <c r="Z6991">
        <v>-7.1329080000000003E-2</v>
      </c>
      <c r="AA6991">
        <v>0.9965579</v>
      </c>
      <c r="AB6991">
        <v>23</v>
      </c>
      <c r="AC6991">
        <v>-4.7700000000020198E-2</v>
      </c>
      <c r="AD6991">
        <v>-1.1115810719979999</v>
      </c>
      <c r="AE6991">
        <v>15.305812699999899</v>
      </c>
      <c r="AF6991">
        <v>-0.650849121801092</v>
      </c>
      <c r="AG6991">
        <v>-1.1115810719979999</v>
      </c>
      <c r="AH6991">
        <v>15.2116653447962</v>
      </c>
      <c r="AI6991">
        <v>94.175610886438193</v>
      </c>
      <c r="AJ6991">
        <v>92.449973508385696</v>
      </c>
      <c r="AK6991">
        <v>15.2661055813539</v>
      </c>
      <c r="AL6991">
        <v>80.646472535993794</v>
      </c>
      <c r="AM6991">
        <v>90.352782946880197</v>
      </c>
      <c r="AN6991">
        <v>0.99999999296655095</v>
      </c>
    </row>
    <row r="6992" spans="1:40" x14ac:dyDescent="0.25">
      <c r="A6992" t="str">
        <f>"20190312172543536"</f>
        <v>20190312172543536</v>
      </c>
      <c r="B6992" t="str">
        <f>"1552382743527042"</f>
        <v>1552382743527042</v>
      </c>
      <c r="C6992" t="s">
        <v>40</v>
      </c>
      <c r="D6992">
        <v>3.9373360000000002</v>
      </c>
      <c r="E6992">
        <v>0.48738670000000001</v>
      </c>
      <c r="F6992" t="s">
        <v>43</v>
      </c>
      <c r="G6992">
        <v>-187.61369999999999</v>
      </c>
      <c r="H6992" s="1">
        <v>-1.142797E-6</v>
      </c>
      <c r="I6992">
        <v>1.140455</v>
      </c>
      <c r="J6992">
        <v>-187.5504</v>
      </c>
      <c r="K6992">
        <v>1.1115729999999999</v>
      </c>
      <c r="L6992">
        <v>-14.138400000000001</v>
      </c>
      <c r="M6992">
        <v>3.7887700000000003E-2</v>
      </c>
      <c r="N6992">
        <v>0</v>
      </c>
      <c r="O6992">
        <v>0.99918739999999995</v>
      </c>
      <c r="P6992">
        <v>3.2327010000000003E-2</v>
      </c>
      <c r="Q6992">
        <v>0.14915059999999999</v>
      </c>
      <c r="R6992">
        <v>0.98828590000000005</v>
      </c>
      <c r="S6992">
        <v>-1.101685E-2</v>
      </c>
      <c r="T6992">
        <v>-0.21981390000000001</v>
      </c>
      <c r="U6992">
        <v>3.0690919999999999</v>
      </c>
      <c r="V6992">
        <v>-5.548664E-3</v>
      </c>
      <c r="W6992">
        <v>0.16271949999999999</v>
      </c>
      <c r="X6992">
        <v>0.9866568</v>
      </c>
      <c r="Y6992">
        <v>-4.1468860000000003E-2</v>
      </c>
      <c r="Z6992">
        <v>-7.1330989999999997E-2</v>
      </c>
      <c r="AA6992">
        <v>0.99659030000000004</v>
      </c>
      <c r="AB6992">
        <v>23</v>
      </c>
      <c r="AC6992">
        <v>-6.3299999999998094E-2</v>
      </c>
      <c r="AD6992">
        <v>-1.1115741427969901</v>
      </c>
      <c r="AE6992">
        <v>15.278854999999901</v>
      </c>
      <c r="AF6992">
        <v>-0.63880884123166704</v>
      </c>
      <c r="AG6992">
        <v>-1.1115741427969901</v>
      </c>
      <c r="AH6992">
        <v>15.185112050252499</v>
      </c>
      <c r="AI6992">
        <v>94.1829874080899</v>
      </c>
      <c r="AJ6992">
        <v>92.408904328625297</v>
      </c>
      <c r="AK6992">
        <v>15.2391371733867</v>
      </c>
      <c r="AL6992">
        <v>80.635219178510098</v>
      </c>
      <c r="AM6992">
        <v>90.322211003599904</v>
      </c>
      <c r="AN6992">
        <v>1.0000000321693301</v>
      </c>
    </row>
    <row r="6993" spans="1:40" x14ac:dyDescent="0.25">
      <c r="A6993" t="str">
        <f>"20190312172543558"</f>
        <v>20190312172543558</v>
      </c>
      <c r="B6993" t="str">
        <f>"1552382743547538"</f>
        <v>1552382743547538</v>
      </c>
      <c r="C6993" t="s">
        <v>40</v>
      </c>
      <c r="D6993">
        <v>3.9144049999999999</v>
      </c>
      <c r="E6993">
        <v>0.48756969999999999</v>
      </c>
      <c r="F6993" t="s">
        <v>43</v>
      </c>
      <c r="G6993">
        <v>-187.62299999999999</v>
      </c>
      <c r="H6993" s="1">
        <v>-1.2375279999999999E-6</v>
      </c>
      <c r="I6993">
        <v>1.426064</v>
      </c>
      <c r="J6993">
        <v>-187.54400000000001</v>
      </c>
      <c r="K6993">
        <v>1.1115699999999999</v>
      </c>
      <c r="L6993">
        <v>-13.91962</v>
      </c>
      <c r="M6993">
        <v>3.6308260000000002E-2</v>
      </c>
      <c r="N6993">
        <v>0</v>
      </c>
      <c r="O6993">
        <v>0.99924610000000003</v>
      </c>
      <c r="P6993">
        <v>3.1167159999999999E-2</v>
      </c>
      <c r="Q6993">
        <v>0.14907210000000001</v>
      </c>
      <c r="R6993">
        <v>0.98833499999999996</v>
      </c>
      <c r="S6993">
        <v>-1.429749E-2</v>
      </c>
      <c r="T6993">
        <v>-0.21918679999999999</v>
      </c>
      <c r="U6993">
        <v>3.0690919999999999</v>
      </c>
      <c r="V6993">
        <v>-5.1450649999999999E-3</v>
      </c>
      <c r="W6993">
        <v>0.16263949999999999</v>
      </c>
      <c r="X6993">
        <v>0.9866722</v>
      </c>
      <c r="Y6993">
        <v>-4.0954869999999997E-2</v>
      </c>
      <c r="Z6993">
        <v>-7.1135370000000003E-2</v>
      </c>
      <c r="AA6993">
        <v>0.99662550000000005</v>
      </c>
      <c r="AB6993">
        <v>23</v>
      </c>
      <c r="AC6993">
        <v>-7.8999999999979295E-2</v>
      </c>
      <c r="AD6993">
        <v>-1.111571237528</v>
      </c>
      <c r="AE6993">
        <v>15.345684</v>
      </c>
      <c r="AF6993">
        <v>-0.63285519473699703</v>
      </c>
      <c r="AG6993">
        <v>-1.111571237528</v>
      </c>
      <c r="AH6993">
        <v>15.252668122150601</v>
      </c>
      <c r="AI6993">
        <v>94.1646146973154</v>
      </c>
      <c r="AJ6993">
        <v>92.375921723295903</v>
      </c>
      <c r="AK6993">
        <v>15.306207275418499</v>
      </c>
      <c r="AL6993">
        <v>80.639864934655094</v>
      </c>
      <c r="AM6993">
        <v>90.298769781812894</v>
      </c>
      <c r="AN6993">
        <v>1.00000005445347</v>
      </c>
    </row>
    <row r="6994" spans="1:40" x14ac:dyDescent="0.25">
      <c r="A6994" t="str">
        <f>"20190312172543580"</f>
        <v>20190312172543580</v>
      </c>
      <c r="B6994" t="str">
        <f>"1552382743576818"</f>
        <v>1552382743576818</v>
      </c>
      <c r="C6994" t="s">
        <v>40</v>
      </c>
      <c r="D6994">
        <v>3.911505</v>
      </c>
      <c r="E6994">
        <v>0.48782999999999999</v>
      </c>
      <c r="F6994" t="s">
        <v>43</v>
      </c>
      <c r="G6994">
        <v>-187.63290000000001</v>
      </c>
      <c r="H6994" s="1">
        <v>-1.3020059999999999E-6</v>
      </c>
      <c r="I6994">
        <v>1.6232789999999999</v>
      </c>
      <c r="J6994">
        <v>-187.5377</v>
      </c>
      <c r="K6994">
        <v>1.1115600000000001</v>
      </c>
      <c r="L6994">
        <v>-13.695679999999999</v>
      </c>
      <c r="M6994">
        <v>3.4691779999999998E-2</v>
      </c>
      <c r="N6994">
        <v>0</v>
      </c>
      <c r="O6994">
        <v>0.99930350000000001</v>
      </c>
      <c r="P6994">
        <v>3.036053E-2</v>
      </c>
      <c r="Q6994">
        <v>0.1487484</v>
      </c>
      <c r="R6994">
        <v>0.98840890000000003</v>
      </c>
      <c r="S6994">
        <v>-1.7547610000000002E-2</v>
      </c>
      <c r="T6994">
        <v>-0.21948799999999999</v>
      </c>
      <c r="U6994">
        <v>3.069061</v>
      </c>
      <c r="V6994">
        <v>-4.3520649999999996E-3</v>
      </c>
      <c r="W6994">
        <v>0.162316299999999</v>
      </c>
      <c r="X6994">
        <v>0.98672919999999997</v>
      </c>
      <c r="Y6994">
        <v>-4.0393970000000001E-2</v>
      </c>
      <c r="Z6994">
        <v>-7.1240090000000006E-2</v>
      </c>
      <c r="AA6994">
        <v>0.99664090000000005</v>
      </c>
      <c r="AB6994">
        <v>23</v>
      </c>
      <c r="AC6994">
        <v>-9.5200000000005502E-2</v>
      </c>
      <c r="AD6994">
        <v>-1.111561302006</v>
      </c>
      <c r="AE6994">
        <v>15.318959</v>
      </c>
      <c r="AF6994">
        <v>-0.62335296513387195</v>
      </c>
      <c r="AG6994">
        <v>-1.111561302006</v>
      </c>
      <c r="AH6994">
        <v>15.2262681345799</v>
      </c>
      <c r="AI6994">
        <v>94.171867303302903</v>
      </c>
      <c r="AJ6994">
        <v>92.344340740158401</v>
      </c>
      <c r="AK6994">
        <v>15.2795084591547</v>
      </c>
      <c r="AL6994">
        <v>80.658631962767501</v>
      </c>
      <c r="AM6994">
        <v>90.252706963323106</v>
      </c>
      <c r="AN6994">
        <v>1.00000001792404</v>
      </c>
    </row>
    <row r="6995" spans="1:40" x14ac:dyDescent="0.25">
      <c r="A6995" t="str">
        <f>"20190312172543603"</f>
        <v>20190312172543603</v>
      </c>
      <c r="B6995" t="str">
        <f>"1552382743597314"</f>
        <v>1552382743597314</v>
      </c>
      <c r="C6995" t="s">
        <v>40</v>
      </c>
      <c r="D6995">
        <v>3.9416319999999998</v>
      </c>
      <c r="E6995">
        <v>0.48799239999999999</v>
      </c>
      <c r="F6995" t="s">
        <v>43</v>
      </c>
      <c r="G6995">
        <v>-187.63470000000001</v>
      </c>
      <c r="H6995" s="1">
        <v>-1.3650690000000001E-6</v>
      </c>
      <c r="I6995">
        <v>1.8100259999999999</v>
      </c>
      <c r="J6995">
        <v>-187.5316</v>
      </c>
      <c r="K6995">
        <v>1.1115459999999999</v>
      </c>
      <c r="L6995">
        <v>-13.464779999999999</v>
      </c>
      <c r="M6995">
        <v>3.3024379999999999E-2</v>
      </c>
      <c r="N6995">
        <v>0</v>
      </c>
      <c r="O6995">
        <v>0.99936009999999997</v>
      </c>
      <c r="P6995">
        <v>2.9214520000000001E-2</v>
      </c>
      <c r="Q6995">
        <v>0.148343899999999</v>
      </c>
      <c r="R6995">
        <v>0.98850420000000006</v>
      </c>
      <c r="S6995">
        <v>-1.919556E-2</v>
      </c>
      <c r="T6995">
        <v>-0.21999940000000001</v>
      </c>
      <c r="U6995">
        <v>3.0688780000000002</v>
      </c>
      <c r="V6995">
        <v>-3.8488799999999998E-3</v>
      </c>
      <c r="W6995">
        <v>0.16191159999999999</v>
      </c>
      <c r="X6995">
        <v>0.9867977</v>
      </c>
      <c r="Y6995">
        <v>-3.926222E-2</v>
      </c>
      <c r="Z6995">
        <v>-7.1417030000000006E-2</v>
      </c>
      <c r="AA6995">
        <v>0.99667349999999999</v>
      </c>
      <c r="AB6995">
        <v>23</v>
      </c>
      <c r="AC6995">
        <v>-0.103100000000011</v>
      </c>
      <c r="AD6995">
        <v>-1.111547365069</v>
      </c>
      <c r="AE6995">
        <v>15.274806</v>
      </c>
      <c r="AF6995">
        <v>-0.60433229407118705</v>
      </c>
      <c r="AG6995">
        <v>-1.111547365069</v>
      </c>
      <c r="AH6995">
        <v>15.182671867486899</v>
      </c>
      <c r="AI6995">
        <v>94.183942618305295</v>
      </c>
      <c r="AJ6995">
        <v>92.279402529715</v>
      </c>
      <c r="AK6995">
        <v>15.235297178008199</v>
      </c>
      <c r="AL6995">
        <v>80.682129672069806</v>
      </c>
      <c r="AM6995">
        <v>90.223473830136101</v>
      </c>
      <c r="AN6995">
        <v>0.99999994040855</v>
      </c>
    </row>
    <row r="6996" spans="1:40" x14ac:dyDescent="0.25">
      <c r="A6996" t="str">
        <f>"20190312172543625"</f>
        <v>20190312172543625</v>
      </c>
      <c r="B6996" t="str">
        <f>"1552382743616834"</f>
        <v>1552382743616834</v>
      </c>
      <c r="C6996" t="s">
        <v>40</v>
      </c>
      <c r="D6996">
        <v>3.9200059999999999</v>
      </c>
      <c r="E6996">
        <v>0.48815520000000001</v>
      </c>
      <c r="F6996" t="s">
        <v>43</v>
      </c>
      <c r="G6996">
        <v>-187.642</v>
      </c>
      <c r="H6996" s="1">
        <v>-1.42218E-6</v>
      </c>
      <c r="I6996">
        <v>1.9729080000000001</v>
      </c>
      <c r="J6996">
        <v>-187.5258</v>
      </c>
      <c r="K6996">
        <v>1.1115349999999999</v>
      </c>
      <c r="L6996">
        <v>-13.22855</v>
      </c>
      <c r="M6996">
        <v>3.1317749999999998E-2</v>
      </c>
      <c r="N6996">
        <v>0</v>
      </c>
      <c r="O6996">
        <v>0.99941500000000005</v>
      </c>
      <c r="P6996">
        <v>2.856616E-2</v>
      </c>
      <c r="Q6996">
        <v>0.14798020000000001</v>
      </c>
      <c r="R6996">
        <v>0.9885777</v>
      </c>
      <c r="S6996">
        <v>-2.1926879999999999E-2</v>
      </c>
      <c r="T6996">
        <v>-0.2209527</v>
      </c>
      <c r="U6996">
        <v>3.068695</v>
      </c>
      <c r="V6996">
        <v>-2.8086780000000002E-3</v>
      </c>
      <c r="W6996">
        <v>0.16154879999999999</v>
      </c>
      <c r="X6996">
        <v>0.98686079999999998</v>
      </c>
      <c r="Y6996">
        <v>-3.8443119999999997E-2</v>
      </c>
      <c r="Z6996">
        <v>-7.1735999999999994E-2</v>
      </c>
      <c r="AA6996">
        <v>0.99668250000000003</v>
      </c>
      <c r="AB6996">
        <v>23</v>
      </c>
      <c r="AC6996">
        <v>-0.116199999999992</v>
      </c>
      <c r="AD6996">
        <v>-1.1115364221799999</v>
      </c>
      <c r="AE6996">
        <v>15.201457999999899</v>
      </c>
      <c r="AF6996">
        <v>-0.58911384689966295</v>
      </c>
      <c r="AG6996">
        <v>-1.1115364221799999</v>
      </c>
      <c r="AH6996">
        <v>15.1095804732457</v>
      </c>
      <c r="AI6996">
        <v>94.204202712821399</v>
      </c>
      <c r="AJ6996">
        <v>92.232798512075703</v>
      </c>
      <c r="AK6996">
        <v>15.161859728276401</v>
      </c>
      <c r="AL6996">
        <v>80.703195117461604</v>
      </c>
      <c r="AM6996">
        <v>90.163067537901696</v>
      </c>
      <c r="AN6996">
        <v>1.00000007101509</v>
      </c>
    </row>
    <row r="6997" spans="1:40" x14ac:dyDescent="0.25">
      <c r="A6997" t="str">
        <f>"20190312172543650"</f>
        <v>20190312172543650</v>
      </c>
      <c r="B6997" t="str">
        <f>"1552382743637329"</f>
        <v>1552382743637329</v>
      </c>
      <c r="C6997" t="s">
        <v>40</v>
      </c>
      <c r="D6997">
        <v>3.9177110000000002</v>
      </c>
      <c r="E6997">
        <v>0.48832809999999999</v>
      </c>
      <c r="F6997" t="s">
        <v>43</v>
      </c>
      <c r="G6997">
        <v>-187.64400000000001</v>
      </c>
      <c r="H6997" s="1">
        <v>-1.5024539999999901E-6</v>
      </c>
      <c r="I6997">
        <v>2.1608749999999999</v>
      </c>
      <c r="J6997">
        <v>-187.52029999999999</v>
      </c>
      <c r="K6997">
        <v>1.111518</v>
      </c>
      <c r="L6997">
        <v>-12.985440000000001</v>
      </c>
      <c r="M6997">
        <v>2.9561649999999998E-2</v>
      </c>
      <c r="N6997">
        <v>0</v>
      </c>
      <c r="O6997">
        <v>0.99946860000000004</v>
      </c>
      <c r="P6997">
        <v>2.808138E-2</v>
      </c>
      <c r="Q6997">
        <v>0.1474097</v>
      </c>
      <c r="R6997">
        <v>0.98867680000000002</v>
      </c>
      <c r="S6997">
        <v>-2.3559569999999998E-2</v>
      </c>
      <c r="T6997">
        <v>-0.22163050000000001</v>
      </c>
      <c r="U6997">
        <v>3.0685120000000001</v>
      </c>
      <c r="V6997">
        <v>-1.55569E-3</v>
      </c>
      <c r="W6997">
        <v>0.1609804</v>
      </c>
      <c r="X6997">
        <v>0.98695639999999996</v>
      </c>
      <c r="Y6997">
        <v>-3.7217890000000003E-2</v>
      </c>
      <c r="Z6997">
        <v>-7.1966459999999996E-2</v>
      </c>
      <c r="AA6997">
        <v>0.99671240000000005</v>
      </c>
      <c r="AB6997">
        <v>23</v>
      </c>
      <c r="AC6997">
        <v>-0.12370000000001299</v>
      </c>
      <c r="AD6997">
        <v>-1.1115195024539899</v>
      </c>
      <c r="AE6997">
        <v>15.1463149999999</v>
      </c>
      <c r="AF6997">
        <v>-0.56837747369220604</v>
      </c>
      <c r="AG6997">
        <v>-1.1115195024539899</v>
      </c>
      <c r="AH6997">
        <v>15.054965048745499</v>
      </c>
      <c r="AI6997">
        <v>94.219534556654907</v>
      </c>
      <c r="AJ6997">
        <v>92.162088806742403</v>
      </c>
      <c r="AK6997">
        <v>15.106637652895699</v>
      </c>
      <c r="AL6997">
        <v>80.736193497523601</v>
      </c>
      <c r="AM6997">
        <v>90.090312396181503</v>
      </c>
      <c r="AN6997">
        <v>1.0000000224282399</v>
      </c>
    </row>
    <row r="6998" spans="1:40" x14ac:dyDescent="0.25">
      <c r="A6998" t="str">
        <f>"20190312172543672"</f>
        <v>20190312172543672</v>
      </c>
      <c r="B6998" t="str">
        <f>"1552382743667586"</f>
        <v>1552382743667586</v>
      </c>
      <c r="C6998" t="s">
        <v>40</v>
      </c>
      <c r="D6998">
        <v>3.925195</v>
      </c>
      <c r="E6998">
        <v>0.48859079999999999</v>
      </c>
      <c r="F6998" t="s">
        <v>43</v>
      </c>
      <c r="G6998">
        <v>-187.64429999999999</v>
      </c>
      <c r="H6998" s="1">
        <v>-1.567191E-6</v>
      </c>
      <c r="I6998">
        <v>2.3119040000000002</v>
      </c>
      <c r="J6998">
        <v>-187.51560000000001</v>
      </c>
      <c r="K6998">
        <v>1.111518</v>
      </c>
      <c r="L6998">
        <v>-12.76459</v>
      </c>
      <c r="M6998">
        <v>2.7965759999999999E-2</v>
      </c>
      <c r="N6998">
        <v>0</v>
      </c>
      <c r="O6998">
        <v>0.99951449999999997</v>
      </c>
      <c r="P6998">
        <v>2.810667E-2</v>
      </c>
      <c r="Q6998">
        <v>0.14712359999999999</v>
      </c>
      <c r="R6998">
        <v>0.98871869999999995</v>
      </c>
      <c r="S6998">
        <v>-2.4871830000000001E-2</v>
      </c>
      <c r="T6998">
        <v>-0.22294549999999999</v>
      </c>
      <c r="U6998">
        <v>3.068298</v>
      </c>
      <c r="V6998" s="1">
        <v>4.9713999999999999E-5</v>
      </c>
      <c r="W6998">
        <v>0.1606966</v>
      </c>
      <c r="X6998">
        <v>0.98700390000000005</v>
      </c>
      <c r="Y6998">
        <v>-3.6048810000000001E-2</v>
      </c>
      <c r="Z6998">
        <v>-7.2402670000000002E-2</v>
      </c>
      <c r="AA6998">
        <v>0.99672380000000005</v>
      </c>
      <c r="AB6998">
        <v>23</v>
      </c>
      <c r="AC6998">
        <v>-0.12869999999998</v>
      </c>
      <c r="AD6998">
        <v>-1.1115195671910001</v>
      </c>
      <c r="AE6998">
        <v>15.076494</v>
      </c>
      <c r="AF6998">
        <v>-0.54734023829086198</v>
      </c>
      <c r="AG6998">
        <v>-1.1115195671910001</v>
      </c>
      <c r="AH6998">
        <v>14.9855497640955</v>
      </c>
      <c r="AI6998">
        <v>94.239201739139901</v>
      </c>
      <c r="AJ6998">
        <v>92.091771870071994</v>
      </c>
      <c r="AK6998">
        <v>15.0366804453936</v>
      </c>
      <c r="AL6998">
        <v>80.752668781682502</v>
      </c>
      <c r="AM6998">
        <v>89.997114092071598</v>
      </c>
      <c r="AN6998">
        <v>1.0000000491691201</v>
      </c>
    </row>
    <row r="6999" spans="1:40" x14ac:dyDescent="0.25">
      <c r="A6999" t="str">
        <f>"20190312172543692"</f>
        <v>20190312172543692</v>
      </c>
      <c r="B6999" t="str">
        <f>"1552382743687106"</f>
        <v>1552382743687106</v>
      </c>
      <c r="C6999" t="s">
        <v>40</v>
      </c>
      <c r="D6999">
        <v>3.9043960000000002</v>
      </c>
      <c r="E6999">
        <v>0.48879030000000001</v>
      </c>
      <c r="F6999" t="s">
        <v>43</v>
      </c>
      <c r="G6999">
        <v>-187.63560000000001</v>
      </c>
      <c r="H6999" s="1">
        <v>-1.6545579999999999E-6</v>
      </c>
      <c r="I6999">
        <v>2.5119590000000001</v>
      </c>
      <c r="J6999">
        <v>-187.51140000000001</v>
      </c>
      <c r="K6999">
        <v>1.11151</v>
      </c>
      <c r="L6999">
        <v>-12.54932</v>
      </c>
      <c r="M6999">
        <v>2.6409640000000002E-2</v>
      </c>
      <c r="N6999">
        <v>0</v>
      </c>
      <c r="O6999">
        <v>0.99955689999999997</v>
      </c>
      <c r="P6999">
        <v>2.8164459999999999E-2</v>
      </c>
      <c r="Q6999">
        <v>0.14693419999999999</v>
      </c>
      <c r="R6999">
        <v>0.98874519999999999</v>
      </c>
      <c r="S6999">
        <v>-2.4093630000000001E-2</v>
      </c>
      <c r="T6999">
        <v>-0.22323789999999999</v>
      </c>
      <c r="U6999">
        <v>3.068146</v>
      </c>
      <c r="V6999">
        <v>1.6481950000000001E-3</v>
      </c>
      <c r="W6999">
        <v>0.16050829999999999</v>
      </c>
      <c r="X6999">
        <v>0.9870331</v>
      </c>
      <c r="Y6999">
        <v>-3.4240470000000002E-2</v>
      </c>
      <c r="Z6999">
        <v>-7.250769E-2</v>
      </c>
      <c r="AA6999">
        <v>0.99677990000000005</v>
      </c>
      <c r="AB6999">
        <v>23</v>
      </c>
      <c r="AC6999">
        <v>-0.124200000000001</v>
      </c>
      <c r="AD6999">
        <v>-1.1115116545579999</v>
      </c>
      <c r="AE6999">
        <v>15.061279000000001</v>
      </c>
      <c r="AF6999">
        <v>-0.51912996577016701</v>
      </c>
      <c r="AG6999">
        <v>-1.1115116545579999</v>
      </c>
      <c r="AH6999">
        <v>14.971211631844699</v>
      </c>
      <c r="AI6999">
        <v>94.243494753052602</v>
      </c>
      <c r="AJ6999">
        <v>91.985947717298501</v>
      </c>
      <c r="AK6999">
        <v>15.021389143653201</v>
      </c>
      <c r="AL6999">
        <v>80.763598874422598</v>
      </c>
      <c r="AM6999">
        <v>89.904324860492295</v>
      </c>
      <c r="AN6999">
        <v>0.99999998570562798</v>
      </c>
    </row>
    <row r="7000" spans="1:40" x14ac:dyDescent="0.25">
      <c r="A7000" t="str">
        <f>"20190312172543715"</f>
        <v>20190312172543715</v>
      </c>
      <c r="B7000" t="str">
        <f>"1552382743707602"</f>
        <v>1552382743707602</v>
      </c>
      <c r="C7000" t="s">
        <v>40</v>
      </c>
      <c r="D7000">
        <v>3.908785</v>
      </c>
      <c r="E7000">
        <v>0.48898849999999999</v>
      </c>
      <c r="F7000" t="s">
        <v>43</v>
      </c>
      <c r="G7000">
        <v>-187.62540000000001</v>
      </c>
      <c r="H7000" s="1">
        <v>-1.743556E-6</v>
      </c>
      <c r="I7000">
        <v>2.7151879999999999</v>
      </c>
      <c r="J7000">
        <v>-187.50739999999999</v>
      </c>
      <c r="K7000">
        <v>1.111505</v>
      </c>
      <c r="L7000">
        <v>-12.32471</v>
      </c>
      <c r="M7000">
        <v>2.47846E-2</v>
      </c>
      <c r="N7000">
        <v>0</v>
      </c>
      <c r="O7000">
        <v>0.99959869999999995</v>
      </c>
      <c r="P7000">
        <v>2.802553E-2</v>
      </c>
      <c r="Q7000">
        <v>0.1469086</v>
      </c>
      <c r="R7000">
        <v>0.98875299999999999</v>
      </c>
      <c r="S7000">
        <v>-2.2903440000000001E-2</v>
      </c>
      <c r="T7000">
        <v>-0.2234014</v>
      </c>
      <c r="U7000">
        <v>3.067993</v>
      </c>
      <c r="V7000">
        <v>3.1181099999999999E-3</v>
      </c>
      <c r="W7000">
        <v>0.1604739</v>
      </c>
      <c r="X7000">
        <v>0.9870352</v>
      </c>
      <c r="Y7000">
        <v>-3.2229319999999999E-2</v>
      </c>
      <c r="Z7000">
        <v>-7.2571189999999994E-2</v>
      </c>
      <c r="AA7000">
        <v>0.99684240000000002</v>
      </c>
      <c r="AB7000">
        <v>23</v>
      </c>
      <c r="AC7000">
        <v>-0.118000000000023</v>
      </c>
      <c r="AD7000">
        <v>-1.111506743556</v>
      </c>
      <c r="AE7000">
        <v>15.039898000000001</v>
      </c>
      <c r="AF7000">
        <v>-0.48809099288080099</v>
      </c>
      <c r="AG7000">
        <v>-1.111506743556</v>
      </c>
      <c r="AH7000">
        <v>14.9506997875495</v>
      </c>
      <c r="AI7000">
        <v>94.249565432753997</v>
      </c>
      <c r="AJ7000">
        <v>91.869853944127101</v>
      </c>
      <c r="AK7000">
        <v>14.999903472880501</v>
      </c>
      <c r="AL7000">
        <v>80.765596245476203</v>
      </c>
      <c r="AM7000">
        <v>89.818999414858993</v>
      </c>
      <c r="AN7000">
        <v>1.0000000406151099</v>
      </c>
    </row>
    <row r="7001" spans="1:40" x14ac:dyDescent="0.25">
      <c r="A7001" t="str">
        <f>"20190312172543738"</f>
        <v>20190312172543738</v>
      </c>
      <c r="B7001" t="str">
        <f>"1552382743727122"</f>
        <v>1552382743727122</v>
      </c>
      <c r="C7001" t="s">
        <v>40</v>
      </c>
      <c r="D7001">
        <v>3.9484469999999998</v>
      </c>
      <c r="E7001">
        <v>0.50039209999999901</v>
      </c>
      <c r="F7001" t="s">
        <v>43</v>
      </c>
      <c r="G7001">
        <v>-187.61949999999999</v>
      </c>
      <c r="H7001" s="1">
        <v>-1.848855E-6</v>
      </c>
      <c r="I7001">
        <v>2.9582139999999999</v>
      </c>
      <c r="J7001">
        <v>-187.5035</v>
      </c>
      <c r="K7001">
        <v>1.1114999999999999</v>
      </c>
      <c r="L7001">
        <v>-12.08517</v>
      </c>
      <c r="M7001">
        <v>2.30485E-2</v>
      </c>
      <c r="N7001">
        <v>0</v>
      </c>
      <c r="O7001">
        <v>0.99964070000000005</v>
      </c>
      <c r="P7001">
        <v>2.7511750000000001E-2</v>
      </c>
      <c r="Q7001">
        <v>0.1475408</v>
      </c>
      <c r="R7001">
        <v>0.98867329999999998</v>
      </c>
      <c r="S7001">
        <v>-2.2506709999999999E-2</v>
      </c>
      <c r="T7001">
        <v>-0.2231245</v>
      </c>
      <c r="U7001">
        <v>3.0679020000000001</v>
      </c>
      <c r="V7001">
        <v>4.3229080000000003E-3</v>
      </c>
      <c r="W7001">
        <v>0.16106970000000001</v>
      </c>
      <c r="X7001">
        <v>0.98693359999999997</v>
      </c>
      <c r="Y7001">
        <v>-3.0364769999999999E-2</v>
      </c>
      <c r="Z7001">
        <v>-7.2490540000000006E-2</v>
      </c>
      <c r="AA7001">
        <v>0.99690679999999998</v>
      </c>
      <c r="AB7001">
        <v>23</v>
      </c>
      <c r="AC7001">
        <v>-0.115999999999985</v>
      </c>
      <c r="AD7001">
        <v>-1.1115018488549999</v>
      </c>
      <c r="AE7001">
        <v>15.043384</v>
      </c>
      <c r="AF7001">
        <v>-0.46021681156204802</v>
      </c>
      <c r="AG7001">
        <v>-1.1115018488549999</v>
      </c>
      <c r="AH7001">
        <v>14.9550751241278</v>
      </c>
      <c r="AI7001">
        <v>94.248559275142497</v>
      </c>
      <c r="AJ7001">
        <v>91.762623180623393</v>
      </c>
      <c r="AK7001">
        <v>15.003383213194301</v>
      </c>
      <c r="AL7001">
        <v>80.731009434497906</v>
      </c>
      <c r="AM7001">
        <v>89.749038030878907</v>
      </c>
      <c r="AN7001">
        <v>1.0000000333003101</v>
      </c>
    </row>
    <row r="7002" spans="1:40" x14ac:dyDescent="0.25">
      <c r="A7002" t="str">
        <f>"20190312172543760"</f>
        <v>20190312172543760</v>
      </c>
      <c r="B7002" t="str">
        <f>"1552382743747618"</f>
        <v>1552382743747618</v>
      </c>
      <c r="C7002" t="s">
        <v>40</v>
      </c>
      <c r="D7002">
        <v>3.9543180000000002</v>
      </c>
      <c r="E7002">
        <v>0.50264600000000004</v>
      </c>
      <c r="F7002" t="s">
        <v>43</v>
      </c>
      <c r="G7002">
        <v>-187.1046</v>
      </c>
      <c r="H7002" s="1">
        <v>-3.3059380000000002E-6</v>
      </c>
      <c r="I7002">
        <v>6.1418049999999997</v>
      </c>
      <c r="J7002">
        <v>-187.50030000000001</v>
      </c>
      <c r="K7002">
        <v>1.1114869999999999</v>
      </c>
      <c r="L7002">
        <v>-11.870570000000001</v>
      </c>
      <c r="M7002">
        <v>2.1489609999999999E-2</v>
      </c>
      <c r="N7002">
        <v>0</v>
      </c>
      <c r="O7002">
        <v>0.99967640000000002</v>
      </c>
      <c r="P7002">
        <v>2.7143609999999999E-2</v>
      </c>
      <c r="Q7002">
        <v>0.1473922</v>
      </c>
      <c r="R7002">
        <v>0.98870559999999996</v>
      </c>
      <c r="S7002">
        <v>6.6970829999999995E-2</v>
      </c>
      <c r="T7002">
        <v>-0.1866246</v>
      </c>
      <c r="U7002">
        <v>3.0603639999999999</v>
      </c>
      <c r="V7002">
        <v>5.4959989999999997E-3</v>
      </c>
      <c r="W7002">
        <v>0.16085379999999999</v>
      </c>
      <c r="X7002">
        <v>0.98696300000000003</v>
      </c>
      <c r="Y7002">
        <v>3.4600160000000001E-4</v>
      </c>
      <c r="Z7002">
        <v>-6.0839810000000001E-2</v>
      </c>
      <c r="AA7002">
        <v>0.99814749999999997</v>
      </c>
      <c r="AB7002">
        <v>23</v>
      </c>
      <c r="AC7002">
        <v>0.39570000000000499</v>
      </c>
      <c r="AD7002">
        <v>-1.1114903059379999</v>
      </c>
      <c r="AE7002">
        <v>18.012374999999999</v>
      </c>
      <c r="AF7002">
        <v>8.4616202466310502E-3</v>
      </c>
      <c r="AG7002">
        <v>-1.1114903059379999</v>
      </c>
      <c r="AH7002">
        <v>17.948408648672601</v>
      </c>
      <c r="AI7002">
        <v>93.543627549759194</v>
      </c>
      <c r="AJ7002">
        <v>89.972988407967094</v>
      </c>
      <c r="AK7002">
        <v>17.982793312468399</v>
      </c>
      <c r="AL7002">
        <v>80.743543245734998</v>
      </c>
      <c r="AM7002">
        <v>89.680946203602005</v>
      </c>
      <c r="AN7002">
        <v>1.00000005717422</v>
      </c>
    </row>
    <row r="7003" spans="1:40" x14ac:dyDescent="0.25">
      <c r="A7003" t="str">
        <f>"20190312172543782"</f>
        <v>20190312172543782</v>
      </c>
      <c r="B7003" t="str">
        <f>"1552382743776898"</f>
        <v>1552382743776898</v>
      </c>
      <c r="C7003" t="s">
        <v>40</v>
      </c>
      <c r="D7003">
        <v>3.9503140000000001</v>
      </c>
      <c r="E7003">
        <v>0.50407239999999998</v>
      </c>
      <c r="F7003" t="s">
        <v>43</v>
      </c>
      <c r="G7003">
        <v>-186.971</v>
      </c>
      <c r="H7003" s="1">
        <v>-3.9650400000000004E-6</v>
      </c>
      <c r="I7003">
        <v>7.6229339999999999</v>
      </c>
      <c r="J7003">
        <v>-187.4974</v>
      </c>
      <c r="K7003">
        <v>1.1114649999999999</v>
      </c>
      <c r="L7003">
        <v>-11.64362</v>
      </c>
      <c r="M7003">
        <v>1.98405E-2</v>
      </c>
      <c r="N7003">
        <v>0</v>
      </c>
      <c r="O7003">
        <v>0.99971200000000005</v>
      </c>
      <c r="P7003">
        <v>2.6722570000000001E-2</v>
      </c>
      <c r="Q7003">
        <v>0.14759259999999999</v>
      </c>
      <c r="R7003">
        <v>0.98868719999999999</v>
      </c>
      <c r="S7003">
        <v>8.3038329999999994E-2</v>
      </c>
      <c r="T7003">
        <v>-0.17436170000000001</v>
      </c>
      <c r="U7003">
        <v>3.0579830000000001</v>
      </c>
      <c r="V7003">
        <v>6.7055680000000003E-3</v>
      </c>
      <c r="W7003">
        <v>0.16094929999999999</v>
      </c>
      <c r="X7003">
        <v>0.98693989999999998</v>
      </c>
      <c r="Y7003">
        <v>7.2602730000000002E-3</v>
      </c>
      <c r="Z7003">
        <v>-5.6898079999999997E-2</v>
      </c>
      <c r="AA7003">
        <v>0.99835359999999995</v>
      </c>
      <c r="AB7003">
        <v>23</v>
      </c>
      <c r="AC7003">
        <v>0.52640000000002296</v>
      </c>
      <c r="AD7003">
        <v>-1.11146896504</v>
      </c>
      <c r="AE7003">
        <v>19.266553999999999</v>
      </c>
      <c r="AF7003">
        <v>0.14352615428955601</v>
      </c>
      <c r="AG7003">
        <v>-1.11146896504</v>
      </c>
      <c r="AH7003">
        <v>19.209324403907399</v>
      </c>
      <c r="AI7003">
        <v>93.311401435145896</v>
      </c>
      <c r="AJ7003">
        <v>89.571911552173802</v>
      </c>
      <c r="AK7003">
        <v>19.241988126796102</v>
      </c>
      <c r="AL7003">
        <v>80.737998766860002</v>
      </c>
      <c r="AM7003">
        <v>89.610721145322799</v>
      </c>
      <c r="AN7003">
        <v>1.00000000401235</v>
      </c>
    </row>
    <row r="7004" spans="1:40" x14ac:dyDescent="0.25">
      <c r="A7004" t="str">
        <f>"20190312172543804"</f>
        <v>20190312172543804</v>
      </c>
      <c r="B7004" t="str">
        <f>"1552382743797394"</f>
        <v>1552382743797394</v>
      </c>
      <c r="C7004" t="s">
        <v>40</v>
      </c>
      <c r="D7004">
        <v>3.9413830000000001</v>
      </c>
      <c r="E7004">
        <v>0.50469169999999997</v>
      </c>
      <c r="F7004" t="s">
        <v>43</v>
      </c>
      <c r="G7004">
        <v>-186.88820000000001</v>
      </c>
      <c r="H7004" s="1">
        <v>-4.3180729999999997E-6</v>
      </c>
      <c r="I7004">
        <v>8.4116149999999994</v>
      </c>
      <c r="J7004">
        <v>-187.4948</v>
      </c>
      <c r="K7004">
        <v>1.111437</v>
      </c>
      <c r="L7004">
        <v>-11.417759999999999</v>
      </c>
      <c r="M7004">
        <v>1.8202019999999999E-2</v>
      </c>
      <c r="N7004">
        <v>0</v>
      </c>
      <c r="O7004">
        <v>0.99974479999999999</v>
      </c>
      <c r="P7004">
        <v>2.629805E-2</v>
      </c>
      <c r="Q7004">
        <v>0.14767849999999999</v>
      </c>
      <c r="R7004">
        <v>0.9886857</v>
      </c>
      <c r="S7004">
        <v>9.2864989999999994E-2</v>
      </c>
      <c r="T7004">
        <v>-0.16942570000000001</v>
      </c>
      <c r="U7004">
        <v>3.0570979999999999</v>
      </c>
      <c r="V7004">
        <v>7.9033000000000003E-3</v>
      </c>
      <c r="W7004">
        <v>0.16091449999999999</v>
      </c>
      <c r="X7004">
        <v>0.9869367</v>
      </c>
      <c r="Y7004">
        <v>1.211607E-2</v>
      </c>
      <c r="Z7004">
        <v>-5.5307040000000002E-2</v>
      </c>
      <c r="AA7004">
        <v>0.9983959</v>
      </c>
      <c r="AB7004">
        <v>23</v>
      </c>
      <c r="AC7004">
        <v>0.60659999999998604</v>
      </c>
      <c r="AD7004">
        <v>-1.1114413180730001</v>
      </c>
      <c r="AE7004">
        <v>19.829374999999999</v>
      </c>
      <c r="AF7004">
        <v>0.24476425432593499</v>
      </c>
      <c r="AG7004">
        <v>-1.1114413180730001</v>
      </c>
      <c r="AH7004">
        <v>19.775063754995699</v>
      </c>
      <c r="AI7004">
        <v>93.216632227348498</v>
      </c>
      <c r="AJ7004">
        <v>89.290862328996099</v>
      </c>
      <c r="AK7004">
        <v>19.8077852840205</v>
      </c>
      <c r="AL7004">
        <v>80.740018900307106</v>
      </c>
      <c r="AM7004">
        <v>89.541190377048594</v>
      </c>
      <c r="AN7004">
        <v>0.99999999413401497</v>
      </c>
    </row>
    <row r="7005" spans="1:40" x14ac:dyDescent="0.25">
      <c r="A7005" t="str">
        <f>"20190312172543827"</f>
        <v>20190312172543827</v>
      </c>
      <c r="B7005" t="str">
        <f>"1552382743816918"</f>
        <v>1552382743816918</v>
      </c>
      <c r="C7005" t="s">
        <v>40</v>
      </c>
      <c r="D7005">
        <v>3.9655689999999999</v>
      </c>
      <c r="E7005">
        <v>0.50507139999999995</v>
      </c>
      <c r="F7005" t="s">
        <v>43</v>
      </c>
      <c r="G7005">
        <v>-186.85890000000001</v>
      </c>
      <c r="H7005" s="1">
        <v>-4.4856190000000002E-6</v>
      </c>
      <c r="I7005">
        <v>8.7900969999999994</v>
      </c>
      <c r="J7005">
        <v>-187.49260000000001</v>
      </c>
      <c r="K7005">
        <v>1.1114059999999999</v>
      </c>
      <c r="L7005">
        <v>-11.18488</v>
      </c>
      <c r="M7005">
        <v>1.6516090000000001E-2</v>
      </c>
      <c r="N7005">
        <v>0</v>
      </c>
      <c r="O7005">
        <v>0.99977590000000005</v>
      </c>
      <c r="P7005">
        <v>2.5820590000000001E-2</v>
      </c>
      <c r="Q7005">
        <v>0.1473824</v>
      </c>
      <c r="R7005">
        <v>0.98874249999999997</v>
      </c>
      <c r="S7005">
        <v>9.6191410000000005E-2</v>
      </c>
      <c r="T7005">
        <v>-0.16813020000000001</v>
      </c>
      <c r="U7005">
        <v>3.0568849999999999</v>
      </c>
      <c r="V7005">
        <v>9.0973410000000001E-3</v>
      </c>
      <c r="W7005">
        <v>0.16049089999999999</v>
      </c>
      <c r="X7005">
        <v>0.98699539999999997</v>
      </c>
      <c r="Y7005">
        <v>1.4890489999999999E-2</v>
      </c>
      <c r="Z7005">
        <v>-5.4889680000000003E-2</v>
      </c>
      <c r="AA7005">
        <v>0.99838139999999997</v>
      </c>
      <c r="AB7005">
        <v>23</v>
      </c>
      <c r="AC7005">
        <v>0.63370000000000404</v>
      </c>
      <c r="AD7005">
        <v>-1.1114104856189999</v>
      </c>
      <c r="AE7005">
        <v>19.974976999999999</v>
      </c>
      <c r="AF7005">
        <v>0.30273981158918101</v>
      </c>
      <c r="AG7005">
        <v>-1.1114104856189999</v>
      </c>
      <c r="AH7005">
        <v>19.921108842080599</v>
      </c>
      <c r="AI7005">
        <v>93.192887282118704</v>
      </c>
      <c r="AJ7005">
        <v>89.129346739457603</v>
      </c>
      <c r="AK7005">
        <v>19.9543845347103</v>
      </c>
      <c r="AL7005">
        <v>80.764609096028295</v>
      </c>
      <c r="AM7005">
        <v>89.471907889453405</v>
      </c>
      <c r="AN7005">
        <v>1.00000000510862</v>
      </c>
    </row>
    <row r="7006" spans="1:40" x14ac:dyDescent="0.25">
      <c r="A7006" t="str">
        <f>"20190312172543851"</f>
        <v>20190312172543851</v>
      </c>
      <c r="B7006" t="str">
        <f>"1552382743847170"</f>
        <v>1552382743847170</v>
      </c>
      <c r="C7006" t="s">
        <v>40</v>
      </c>
      <c r="D7006">
        <v>3.9931000000000001</v>
      </c>
      <c r="E7006">
        <v>0.50561940000000005</v>
      </c>
      <c r="F7006" t="s">
        <v>43</v>
      </c>
      <c r="G7006">
        <v>-186.84870000000001</v>
      </c>
      <c r="H7006" s="1">
        <v>-4.5658539999999998E-6</v>
      </c>
      <c r="I7006">
        <v>8.9728829999999995</v>
      </c>
      <c r="J7006">
        <v>-187.4907</v>
      </c>
      <c r="K7006">
        <v>1.1113679999999999</v>
      </c>
      <c r="L7006">
        <v>-10.947660000000001</v>
      </c>
      <c r="M7006">
        <v>1.481441E-2</v>
      </c>
      <c r="N7006">
        <v>0</v>
      </c>
      <c r="O7006">
        <v>0.99980449999999998</v>
      </c>
      <c r="P7006">
        <v>2.5277339999999999E-2</v>
      </c>
      <c r="Q7006">
        <v>0.14726689999999901</v>
      </c>
      <c r="R7006">
        <v>0.98877380000000004</v>
      </c>
      <c r="S7006">
        <v>9.7640989999999997E-2</v>
      </c>
      <c r="T7006">
        <v>-0.16853489999999999</v>
      </c>
      <c r="U7006">
        <v>3.0567319999999998</v>
      </c>
      <c r="V7006">
        <v>1.0243850000000001E-2</v>
      </c>
      <c r="W7006">
        <v>0.16023009999999999</v>
      </c>
      <c r="X7006">
        <v>0.98702650000000003</v>
      </c>
      <c r="Y7006">
        <v>1.7066640000000001E-2</v>
      </c>
      <c r="Z7006">
        <v>-5.5024969999999999E-2</v>
      </c>
      <c r="AA7006">
        <v>0.99833910000000003</v>
      </c>
      <c r="AB7006">
        <v>23</v>
      </c>
      <c r="AC7006">
        <v>0.64199999999999502</v>
      </c>
      <c r="AD7006">
        <v>-1.1113725658539999</v>
      </c>
      <c r="AE7006">
        <v>19.920542999999999</v>
      </c>
      <c r="AF7006">
        <v>0.345718185214893</v>
      </c>
      <c r="AG7006">
        <v>-1.1113725658539999</v>
      </c>
      <c r="AH7006">
        <v>19.866098063044898</v>
      </c>
      <c r="AI7006">
        <v>93.201486436203496</v>
      </c>
      <c r="AJ7006">
        <v>89.003015407696793</v>
      </c>
      <c r="AK7006">
        <v>19.900163876064902</v>
      </c>
      <c r="AL7006">
        <v>80.779747393428593</v>
      </c>
      <c r="AM7006">
        <v>89.405377364248594</v>
      </c>
      <c r="AN7006">
        <v>0.99999996655554002</v>
      </c>
    </row>
    <row r="7007" spans="1:40" x14ac:dyDescent="0.25">
      <c r="A7007" t="str">
        <f>"20190312172543873"</f>
        <v>20190312172543873</v>
      </c>
      <c r="B7007" t="str">
        <f>"1552382743867666"</f>
        <v>1552382743867666</v>
      </c>
      <c r="C7007" t="s">
        <v>40</v>
      </c>
      <c r="D7007">
        <v>3.9677539999999998</v>
      </c>
      <c r="E7007">
        <v>0.50595119999999905</v>
      </c>
      <c r="F7007" t="s">
        <v>43</v>
      </c>
      <c r="G7007">
        <v>-186.8212</v>
      </c>
      <c r="H7007" s="1">
        <v>-4.7415289999999996E-6</v>
      </c>
      <c r="I7007">
        <v>9.3710149999999999</v>
      </c>
      <c r="J7007">
        <v>-187.48920000000001</v>
      </c>
      <c r="K7007">
        <v>1.1113219999999999</v>
      </c>
      <c r="L7007">
        <v>-10.72437</v>
      </c>
      <c r="M7007">
        <v>1.324379E-2</v>
      </c>
      <c r="N7007">
        <v>0</v>
      </c>
      <c r="O7007">
        <v>0.99982870000000001</v>
      </c>
      <c r="P7007">
        <v>2.5220309999999999E-2</v>
      </c>
      <c r="Q7007">
        <v>0.1479647</v>
      </c>
      <c r="R7007">
        <v>0.98867099999999997</v>
      </c>
      <c r="S7007">
        <v>0.10070800000000001</v>
      </c>
      <c r="T7007">
        <v>-0.16717599999999999</v>
      </c>
      <c r="U7007">
        <v>3.0563959999999999</v>
      </c>
      <c r="V7007">
        <v>1.174936E-2</v>
      </c>
      <c r="W7007">
        <v>0.160769</v>
      </c>
      <c r="X7007">
        <v>0.98692210000000002</v>
      </c>
      <c r="Y7007">
        <v>1.9642340000000001E-2</v>
      </c>
      <c r="Z7007">
        <v>-5.4588249999999998E-2</v>
      </c>
      <c r="AA7007">
        <v>0.99831579999999998</v>
      </c>
      <c r="AB7007">
        <v>23</v>
      </c>
      <c r="AC7007">
        <v>0.66800000000000603</v>
      </c>
      <c r="AD7007">
        <v>-1.111326741529</v>
      </c>
      <c r="AE7007">
        <v>20.095385</v>
      </c>
      <c r="AF7007">
        <v>0.40055639755918898</v>
      </c>
      <c r="AG7007">
        <v>-1.111326741529</v>
      </c>
      <c r="AH7007">
        <v>20.041243870922699</v>
      </c>
      <c r="AI7007">
        <v>93.173281704599006</v>
      </c>
      <c r="AJ7007">
        <v>88.855004410424399</v>
      </c>
      <c r="AK7007">
        <v>20.0760292002143</v>
      </c>
      <c r="AL7007">
        <v>80.748465230835393</v>
      </c>
      <c r="AM7007">
        <v>89.317922925285401</v>
      </c>
      <c r="AN7007">
        <v>0.99999997514490901</v>
      </c>
    </row>
    <row r="7008" spans="1:40" x14ac:dyDescent="0.25">
      <c r="A7008" t="str">
        <f>"20190312172543894"</f>
        <v>20190312172543894</v>
      </c>
      <c r="B7008" t="str">
        <f>"1552382743887186"</f>
        <v>1552382743887186</v>
      </c>
      <c r="C7008" t="s">
        <v>40</v>
      </c>
      <c r="D7008">
        <v>3.9469919999999998</v>
      </c>
      <c r="E7008">
        <v>0.50622309999999904</v>
      </c>
      <c r="F7008" t="s">
        <v>43</v>
      </c>
      <c r="G7008">
        <v>-186.7944</v>
      </c>
      <c r="H7008" s="1">
        <v>-9.4215119999999996E-7</v>
      </c>
      <c r="I7008">
        <v>9.9102080000000008</v>
      </c>
      <c r="J7008">
        <v>-187.4881</v>
      </c>
      <c r="K7008">
        <v>1.1112660000000001</v>
      </c>
      <c r="L7008">
        <v>-10.513949999999999</v>
      </c>
      <c r="M7008">
        <v>1.180547E-2</v>
      </c>
      <c r="N7008">
        <v>0</v>
      </c>
      <c r="O7008">
        <v>0.99984879999999998</v>
      </c>
      <c r="P7008">
        <v>2.5180350000000001E-2</v>
      </c>
      <c r="Q7008">
        <v>0.14873120000000001</v>
      </c>
      <c r="R7008">
        <v>0.98855700000000002</v>
      </c>
      <c r="S7008">
        <v>0.1029205</v>
      </c>
      <c r="T7008">
        <v>-0.16460929999999999</v>
      </c>
      <c r="U7008">
        <v>3.0563959999999999</v>
      </c>
      <c r="V7008">
        <v>1.314355E-2</v>
      </c>
      <c r="W7008">
        <v>0.1613695</v>
      </c>
      <c r="X7008">
        <v>0.98680650000000003</v>
      </c>
      <c r="Y7008">
        <v>2.1804E-2</v>
      </c>
      <c r="Z7008">
        <v>-5.3752179999999997E-2</v>
      </c>
      <c r="AA7008">
        <v>0.99831619999999999</v>
      </c>
      <c r="AB7008">
        <v>23</v>
      </c>
      <c r="AC7008">
        <v>0.69370000000000598</v>
      </c>
      <c r="AD7008">
        <v>-1.11126694215119</v>
      </c>
      <c r="AE7008">
        <v>20.424157999999998</v>
      </c>
      <c r="AF7008">
        <v>0.45118107983703798</v>
      </c>
      <c r="AG7008">
        <v>-1.11126694215119</v>
      </c>
      <c r="AH7008">
        <v>20.3706889598967</v>
      </c>
      <c r="AI7008">
        <v>93.121754636873106</v>
      </c>
      <c r="AJ7008">
        <v>88.731189413137699</v>
      </c>
      <c r="AK7008">
        <v>20.405965972832</v>
      </c>
      <c r="AL7008">
        <v>80.713603870743199</v>
      </c>
      <c r="AM7008">
        <v>89.236906713495898</v>
      </c>
      <c r="AN7008">
        <v>0.99999996843954997</v>
      </c>
    </row>
    <row r="7009" spans="1:40" x14ac:dyDescent="0.25">
      <c r="A7009" t="str">
        <f>"20190312172543916"</f>
        <v>20190312172543916</v>
      </c>
      <c r="B7009" t="str">
        <f>"1552382743906706"</f>
        <v>1552382743906706</v>
      </c>
      <c r="C7009" t="s">
        <v>40</v>
      </c>
      <c r="D7009">
        <v>3.9878330000000002</v>
      </c>
      <c r="E7009">
        <v>0.50650709999999999</v>
      </c>
      <c r="F7009" t="s">
        <v>43</v>
      </c>
      <c r="G7009">
        <v>-186.77080000000001</v>
      </c>
      <c r="H7009" s="1">
        <v>-1.1401899999999901E-6</v>
      </c>
      <c r="I7009">
        <v>10.47372</v>
      </c>
      <c r="J7009">
        <v>-187.4871</v>
      </c>
      <c r="K7009">
        <v>1.111194</v>
      </c>
      <c r="L7009">
        <v>-10.27563</v>
      </c>
      <c r="M7009">
        <v>1.0236500000000001E-2</v>
      </c>
      <c r="N7009">
        <v>0</v>
      </c>
      <c r="O7009">
        <v>0.9998686</v>
      </c>
      <c r="P7009">
        <v>2.4901739999999999E-2</v>
      </c>
      <c r="Q7009">
        <v>0.14872349999999901</v>
      </c>
      <c r="R7009">
        <v>0.98856529999999998</v>
      </c>
      <c r="S7009">
        <v>0.1044617</v>
      </c>
      <c r="T7009">
        <v>-0.16183349999999999</v>
      </c>
      <c r="U7009">
        <v>3.0564269999999998</v>
      </c>
      <c r="V7009">
        <v>1.4433649999999999E-2</v>
      </c>
      <c r="W7009">
        <v>0.16117000000000001</v>
      </c>
      <c r="X7009">
        <v>0.98682110000000001</v>
      </c>
      <c r="Y7009">
        <v>2.3876910000000001E-2</v>
      </c>
      <c r="Z7009">
        <v>-5.2847470000000001E-2</v>
      </c>
      <c r="AA7009">
        <v>0.99831709999999996</v>
      </c>
      <c r="AB7009">
        <v>23</v>
      </c>
      <c r="AC7009">
        <v>0.71629999999998895</v>
      </c>
      <c r="AD7009">
        <v>-1.11119514019</v>
      </c>
      <c r="AE7009">
        <v>20.74935</v>
      </c>
      <c r="AF7009">
        <v>0.50240580148116898</v>
      </c>
      <c r="AG7009">
        <v>-1.11119514019</v>
      </c>
      <c r="AH7009">
        <v>20.696310319998901</v>
      </c>
      <c r="AI7009">
        <v>93.072384541052699</v>
      </c>
      <c r="AJ7009">
        <v>88.609410118366796</v>
      </c>
      <c r="AK7009">
        <v>20.7322074823362</v>
      </c>
      <c r="AL7009">
        <v>80.725186198496999</v>
      </c>
      <c r="AM7009">
        <v>89.162028190760097</v>
      </c>
      <c r="AN7009">
        <v>0.99999999127876604</v>
      </c>
    </row>
    <row r="7010" spans="1:40" x14ac:dyDescent="0.25">
      <c r="A7010" t="str">
        <f>"20190312172543938"</f>
        <v>20190312172543938</v>
      </c>
      <c r="B7010" t="str">
        <f>"1552382743927202"</f>
        <v>1552382743927202</v>
      </c>
      <c r="C7010" t="s">
        <v>40</v>
      </c>
      <c r="D7010">
        <v>4.1166199999999904</v>
      </c>
      <c r="E7010">
        <v>0.50672299999999904</v>
      </c>
      <c r="F7010" t="s">
        <v>43</v>
      </c>
      <c r="G7010">
        <v>-186.75880000000001</v>
      </c>
      <c r="H7010" s="1">
        <v>-1.240245E-6</v>
      </c>
      <c r="I7010">
        <v>10.75841</v>
      </c>
      <c r="J7010">
        <v>-187.48650000000001</v>
      </c>
      <c r="K7010">
        <v>1.111116</v>
      </c>
      <c r="L7010">
        <v>-10.052149999999999</v>
      </c>
      <c r="M7010">
        <v>8.8346769999999904E-3</v>
      </c>
      <c r="N7010">
        <v>0</v>
      </c>
      <c r="O7010">
        <v>0.99988429999999995</v>
      </c>
      <c r="P7010">
        <v>2.4963369999999999E-2</v>
      </c>
      <c r="Q7010">
        <v>0.1486547</v>
      </c>
      <c r="R7010">
        <v>0.98857399999999995</v>
      </c>
      <c r="S7010">
        <v>0.1058197</v>
      </c>
      <c r="T7010">
        <v>-0.16146150000000001</v>
      </c>
      <c r="U7010">
        <v>3.0563349999999998</v>
      </c>
      <c r="V7010">
        <v>1.5900350000000001E-2</v>
      </c>
      <c r="W7010">
        <v>0.16092010000000001</v>
      </c>
      <c r="X7010">
        <v>0.98683940000000003</v>
      </c>
      <c r="Y7010">
        <v>2.5722789999999999E-2</v>
      </c>
      <c r="Z7010">
        <v>-5.2727330000000003E-2</v>
      </c>
      <c r="AA7010">
        <v>0.99827759999999999</v>
      </c>
      <c r="AB7010">
        <v>23</v>
      </c>
      <c r="AC7010">
        <v>0.72769999999999802</v>
      </c>
      <c r="AD7010">
        <v>-1.111117240245</v>
      </c>
      <c r="AE7010">
        <v>20.810559999999999</v>
      </c>
      <c r="AF7010">
        <v>0.542258990520461</v>
      </c>
      <c r="AG7010">
        <v>-1.111117240245</v>
      </c>
      <c r="AH7010">
        <v>20.757077165248099</v>
      </c>
      <c r="AI7010">
        <v>93.063050513358704</v>
      </c>
      <c r="AJ7010">
        <v>88.503542366597699</v>
      </c>
      <c r="AK7010">
        <v>20.793866373967901</v>
      </c>
      <c r="AL7010">
        <v>80.739694334349707</v>
      </c>
      <c r="AM7010">
        <v>89.076907424498003</v>
      </c>
      <c r="AN7010">
        <v>1.00000005055324</v>
      </c>
    </row>
    <row r="7011" spans="1:40" x14ac:dyDescent="0.25">
      <c r="A7011" t="str">
        <f>"20190312172543960"</f>
        <v>20190312172543960</v>
      </c>
      <c r="B7011" t="str">
        <f>"1552382743957458"</f>
        <v>1552382743957458</v>
      </c>
      <c r="C7011" t="s">
        <v>40</v>
      </c>
      <c r="D7011">
        <v>3.9901140000000002</v>
      </c>
      <c r="E7011">
        <v>0.50703100000000001</v>
      </c>
      <c r="F7011" t="s">
        <v>43</v>
      </c>
      <c r="G7011">
        <v>-186.74260000000001</v>
      </c>
      <c r="H7011" s="1">
        <v>-1.3480709999999999E-6</v>
      </c>
      <c r="I7011">
        <v>11.06256</v>
      </c>
      <c r="J7011">
        <v>-187.48599999999999</v>
      </c>
      <c r="K7011">
        <v>1.1110420000000001</v>
      </c>
      <c r="L7011">
        <v>-9.8346560000000007</v>
      </c>
      <c r="M7011">
        <v>7.5466869999999998E-3</v>
      </c>
      <c r="N7011">
        <v>0</v>
      </c>
      <c r="O7011">
        <v>0.99989709999999998</v>
      </c>
      <c r="P7011">
        <v>2.5787359999999999E-2</v>
      </c>
      <c r="Q7011">
        <v>0.14828839999999999</v>
      </c>
      <c r="R7011">
        <v>0.98860789999999998</v>
      </c>
      <c r="S7011">
        <v>0.107666</v>
      </c>
      <c r="T7011">
        <v>-0.16082360000000001</v>
      </c>
      <c r="U7011">
        <v>3.056152</v>
      </c>
      <c r="V7011">
        <v>1.8018289999999999E-2</v>
      </c>
      <c r="W7011">
        <v>0.16037650000000001</v>
      </c>
      <c r="X7011">
        <v>0.98689139999999997</v>
      </c>
      <c r="Y7011">
        <v>2.7615259999999999E-2</v>
      </c>
      <c r="Z7011">
        <v>-5.2521680000000001E-2</v>
      </c>
      <c r="AA7011">
        <v>0.99823790000000001</v>
      </c>
      <c r="AB7011">
        <v>23</v>
      </c>
      <c r="AC7011">
        <v>0.74339999999997897</v>
      </c>
      <c r="AD7011">
        <v>-1.111043348071</v>
      </c>
      <c r="AE7011">
        <v>20.897216</v>
      </c>
      <c r="AF7011">
        <v>0.58401357627522898</v>
      </c>
      <c r="AG7011">
        <v>-1.111043348071</v>
      </c>
      <c r="AH7011">
        <v>20.843387183397201</v>
      </c>
      <c r="AI7011">
        <v>93.050032239595893</v>
      </c>
      <c r="AJ7011">
        <v>88.395042016673301</v>
      </c>
      <c r="AK7011">
        <v>20.881146483264999</v>
      </c>
      <c r="AL7011">
        <v>80.771249313201295</v>
      </c>
      <c r="AM7011">
        <v>88.954031534342207</v>
      </c>
      <c r="AN7011">
        <v>0.999999957960366</v>
      </c>
    </row>
    <row r="7012" spans="1:40" x14ac:dyDescent="0.25">
      <c r="A7012" t="str">
        <f>"20190312172543985"</f>
        <v>20190312172543985</v>
      </c>
      <c r="B7012" t="str">
        <f>"1552382743976978"</f>
        <v>1552382743976978</v>
      </c>
      <c r="C7012" t="s">
        <v>40</v>
      </c>
      <c r="D7012">
        <v>3.9490660000000002</v>
      </c>
      <c r="E7012">
        <v>0.50721740000000004</v>
      </c>
      <c r="F7012" t="s">
        <v>43</v>
      </c>
      <c r="G7012">
        <v>-186.7097</v>
      </c>
      <c r="H7012" s="1">
        <v>-1.4402E-6</v>
      </c>
      <c r="I7012">
        <v>11.30758</v>
      </c>
      <c r="J7012">
        <v>-187.48580000000001</v>
      </c>
      <c r="K7012">
        <v>1.110948</v>
      </c>
      <c r="L7012">
        <v>-9.5829470000000008</v>
      </c>
      <c r="M7012">
        <v>6.1626229999999999E-3</v>
      </c>
      <c r="N7012">
        <v>0</v>
      </c>
      <c r="O7012">
        <v>0.9999093</v>
      </c>
      <c r="P7012">
        <v>2.6453290000000001E-2</v>
      </c>
      <c r="Q7012">
        <v>0.14795220000000001</v>
      </c>
      <c r="R7012">
        <v>0.98864070000000004</v>
      </c>
      <c r="S7012">
        <v>0.1121979</v>
      </c>
      <c r="T7012">
        <v>-0.1605811</v>
      </c>
      <c r="U7012">
        <v>3.0557249999999998</v>
      </c>
      <c r="V7012">
        <v>2.0076980000000001E-2</v>
      </c>
      <c r="W7012">
        <v>0.15981879999999901</v>
      </c>
      <c r="X7012">
        <v>0.98694219999999999</v>
      </c>
      <c r="Y7012">
        <v>3.0482430000000001E-2</v>
      </c>
      <c r="Z7012">
        <v>-5.2447180000000003E-2</v>
      </c>
      <c r="AA7012">
        <v>0.99815830000000005</v>
      </c>
      <c r="AB7012">
        <v>23</v>
      </c>
      <c r="AC7012">
        <v>0.776100000000013</v>
      </c>
      <c r="AD7012">
        <v>-1.1109494402</v>
      </c>
      <c r="AE7012">
        <v>20.890526999999999</v>
      </c>
      <c r="AF7012">
        <v>0.64551254862178498</v>
      </c>
      <c r="AG7012">
        <v>-1.1109494402</v>
      </c>
      <c r="AH7012">
        <v>20.836068808368399</v>
      </c>
      <c r="AI7012">
        <v>93.050578320194404</v>
      </c>
      <c r="AJ7012">
        <v>88.225513694180606</v>
      </c>
      <c r="AK7012">
        <v>20.875647498848299</v>
      </c>
      <c r="AL7012">
        <v>80.803621300184602</v>
      </c>
      <c r="AM7012">
        <v>88.834615054379398</v>
      </c>
      <c r="AN7012">
        <v>1.0000000200501</v>
      </c>
    </row>
    <row r="7013" spans="1:40" x14ac:dyDescent="0.25">
      <c r="A7013" t="str">
        <f>"20190312172544005"</f>
        <v>20190312172544005</v>
      </c>
      <c r="B7013" t="str">
        <f>"1552382743997475"</f>
        <v>1552382743997475</v>
      </c>
      <c r="C7013" t="s">
        <v>40</v>
      </c>
      <c r="D7013">
        <v>3.949929</v>
      </c>
      <c r="E7013">
        <v>0.50736179999999997</v>
      </c>
      <c r="F7013" t="s">
        <v>43</v>
      </c>
      <c r="G7013">
        <v>-186.6875</v>
      </c>
      <c r="H7013" s="1">
        <v>-1.524392E-6</v>
      </c>
      <c r="I7013">
        <v>11.53762</v>
      </c>
      <c r="J7013">
        <v>-187.48570000000001</v>
      </c>
      <c r="K7013">
        <v>1.1108720000000001</v>
      </c>
      <c r="L7013">
        <v>-9.3749690000000001</v>
      </c>
      <c r="M7013">
        <v>5.0959780000000001E-3</v>
      </c>
      <c r="N7013">
        <v>0</v>
      </c>
      <c r="O7013">
        <v>0.99991770000000002</v>
      </c>
      <c r="P7013">
        <v>2.7725929999999999E-2</v>
      </c>
      <c r="Q7013">
        <v>0.14746819999999999</v>
      </c>
      <c r="R7013">
        <v>0.9886781</v>
      </c>
      <c r="S7013">
        <v>0.1154785</v>
      </c>
      <c r="T7013">
        <v>-0.16071629999999901</v>
      </c>
      <c r="U7013">
        <v>3.0554199999999998</v>
      </c>
      <c r="V7013">
        <v>2.242398E-2</v>
      </c>
      <c r="W7013">
        <v>0.15913949999999999</v>
      </c>
      <c r="X7013">
        <v>0.98700140000000003</v>
      </c>
      <c r="Y7013">
        <v>3.2622430000000001E-2</v>
      </c>
      <c r="Z7013">
        <v>-5.2494100000000002E-2</v>
      </c>
      <c r="AA7013">
        <v>0.99808819999999998</v>
      </c>
      <c r="AB7013">
        <v>23</v>
      </c>
      <c r="AC7013">
        <v>0.79820000000000801</v>
      </c>
      <c r="AD7013">
        <v>-1.1108735243919901</v>
      </c>
      <c r="AE7013">
        <v>20.912589000000001</v>
      </c>
      <c r="AF7013">
        <v>0.68966893304245402</v>
      </c>
      <c r="AG7013">
        <v>-1.1108735243919901</v>
      </c>
      <c r="AH7013">
        <v>20.857616613688499</v>
      </c>
      <c r="AI7013">
        <v>93.0470220266768</v>
      </c>
      <c r="AJ7013">
        <v>88.106172519565803</v>
      </c>
      <c r="AK7013">
        <v>20.898561051613399</v>
      </c>
      <c r="AL7013">
        <v>80.843046637612304</v>
      </c>
      <c r="AM7013">
        <v>88.698503947922902</v>
      </c>
      <c r="AN7013">
        <v>0.99999998947062496</v>
      </c>
    </row>
    <row r="7014" spans="1:40" x14ac:dyDescent="0.25">
      <c r="A7014" t="str">
        <f>"20190312172544030"</f>
        <v>20190312172544030</v>
      </c>
      <c r="B7014" t="str">
        <f>"1552382744016994"</f>
        <v>1552382744016994</v>
      </c>
      <c r="C7014" t="s">
        <v>40</v>
      </c>
      <c r="D7014">
        <v>3.9627309999999998</v>
      </c>
      <c r="E7014">
        <v>0.50750119999999999</v>
      </c>
      <c r="F7014" t="s">
        <v>43</v>
      </c>
      <c r="G7014">
        <v>-186.6602</v>
      </c>
      <c r="H7014" s="1">
        <v>-1.5409119999999901E-6</v>
      </c>
      <c r="I7014">
        <v>11.564769999999999</v>
      </c>
      <c r="J7014">
        <v>-187.48589999999999</v>
      </c>
      <c r="K7014">
        <v>1.1107899999999999</v>
      </c>
      <c r="L7014">
        <v>-9.1302489999999992</v>
      </c>
      <c r="M7014">
        <v>3.917401E-3</v>
      </c>
      <c r="N7014">
        <v>0</v>
      </c>
      <c r="O7014">
        <v>0.99992570000000003</v>
      </c>
      <c r="P7014">
        <v>2.8965999999999999E-2</v>
      </c>
      <c r="Q7014">
        <v>0.1475784</v>
      </c>
      <c r="R7014">
        <v>0.98862609999999995</v>
      </c>
      <c r="S7014">
        <v>0.1204529</v>
      </c>
      <c r="T7014">
        <v>-0.16207839999999901</v>
      </c>
      <c r="U7014">
        <v>3.055145</v>
      </c>
      <c r="V7014">
        <v>2.484857E-2</v>
      </c>
      <c r="W7014">
        <v>0.15901850000000001</v>
      </c>
      <c r="X7014">
        <v>0.98696289999999998</v>
      </c>
      <c r="Y7014">
        <v>3.5425470000000001E-2</v>
      </c>
      <c r="Z7014">
        <v>-5.2938720000000002E-2</v>
      </c>
      <c r="AA7014">
        <v>0.9979692</v>
      </c>
      <c r="AB7014">
        <v>23</v>
      </c>
      <c r="AC7014">
        <v>0.825699999999983</v>
      </c>
      <c r="AD7014">
        <v>-1.1107915409119999</v>
      </c>
      <c r="AE7014">
        <v>20.695018999999998</v>
      </c>
      <c r="AF7014">
        <v>0.74248193106661697</v>
      </c>
      <c r="AG7014">
        <v>-1.1107915409119999</v>
      </c>
      <c r="AH7014">
        <v>20.638730657313499</v>
      </c>
      <c r="AI7014">
        <v>93.078740535038605</v>
      </c>
      <c r="AJ7014">
        <v>87.939662881893199</v>
      </c>
      <c r="AK7014">
        <v>20.6819327049107</v>
      </c>
      <c r="AL7014">
        <v>80.850069410912994</v>
      </c>
      <c r="AM7014">
        <v>88.557780151392706</v>
      </c>
      <c r="AN7014">
        <v>1.0000000503748501</v>
      </c>
    </row>
    <row r="7015" spans="1:40" x14ac:dyDescent="0.25">
      <c r="A7015" t="str">
        <f>"20190312172544053"</f>
        <v>20190312172544053</v>
      </c>
      <c r="B7015" t="str">
        <f>"1552382744047251"</f>
        <v>1552382744047251</v>
      </c>
      <c r="C7015" t="s">
        <v>40</v>
      </c>
      <c r="D7015">
        <v>3.9526650000000001</v>
      </c>
      <c r="E7015">
        <v>0.50776679999999996</v>
      </c>
      <c r="F7015" t="s">
        <v>43</v>
      </c>
      <c r="G7015">
        <v>-186.6215</v>
      </c>
      <c r="H7015" s="1">
        <v>-1.6683589999999999E-6</v>
      </c>
      <c r="I7015">
        <v>11.909079999999999</v>
      </c>
      <c r="J7015">
        <v>-187.4862</v>
      </c>
      <c r="K7015">
        <v>1.1107149999999999</v>
      </c>
      <c r="L7015">
        <v>-8.8928220000000007</v>
      </c>
      <c r="M7015">
        <v>2.8467869999999999E-3</v>
      </c>
      <c r="N7015">
        <v>0</v>
      </c>
      <c r="O7015">
        <v>0.99993189999999998</v>
      </c>
      <c r="P7015">
        <v>3.1068410000000001E-2</v>
      </c>
      <c r="Q7015">
        <v>0.14760680000000001</v>
      </c>
      <c r="R7015">
        <v>0.9885581</v>
      </c>
      <c r="S7015">
        <v>0.12550349999999999</v>
      </c>
      <c r="T7015">
        <v>-0.1612865</v>
      </c>
      <c r="U7015">
        <v>3.0549010000000001</v>
      </c>
      <c r="V7015">
        <v>2.8025729999999999E-2</v>
      </c>
      <c r="W7015">
        <v>0.15882360000000001</v>
      </c>
      <c r="X7015">
        <v>0.98690919999999904</v>
      </c>
      <c r="Y7015">
        <v>3.8146319999999997E-2</v>
      </c>
      <c r="Z7015">
        <v>-5.2680879999999999E-2</v>
      </c>
      <c r="AA7015">
        <v>0.99788250000000001</v>
      </c>
      <c r="AB7015">
        <v>23</v>
      </c>
      <c r="AC7015">
        <v>0.86469999999999902</v>
      </c>
      <c r="AD7015">
        <v>-1.110716668359</v>
      </c>
      <c r="AE7015">
        <v>20.801901999999998</v>
      </c>
      <c r="AF7015">
        <v>0.80318816172724605</v>
      </c>
      <c r="AG7015">
        <v>-1.110716668359</v>
      </c>
      <c r="AH7015">
        <v>20.745236379949301</v>
      </c>
      <c r="AI7015">
        <v>93.062445901622993</v>
      </c>
      <c r="AJ7015">
        <v>87.782800950847701</v>
      </c>
      <c r="AK7015">
        <v>20.790469816732902</v>
      </c>
      <c r="AL7015">
        <v>80.861380312881707</v>
      </c>
      <c r="AM7015">
        <v>88.373381645062807</v>
      </c>
      <c r="AN7015">
        <v>1.00000007325181</v>
      </c>
    </row>
    <row r="7016" spans="1:40" x14ac:dyDescent="0.25">
      <c r="A7016" t="str">
        <f>"20190312172544086"</f>
        <v>20190312172544086</v>
      </c>
      <c r="B7016" t="str">
        <f>"1552382744077507"</f>
        <v>1552382744077507</v>
      </c>
      <c r="C7016" t="s">
        <v>40</v>
      </c>
      <c r="D7016">
        <v>3.9128989999999999</v>
      </c>
      <c r="E7016">
        <v>0.50792929999999903</v>
      </c>
      <c r="F7016" t="s">
        <v>43</v>
      </c>
      <c r="G7016">
        <v>-186.55930000000001</v>
      </c>
      <c r="H7016" s="1">
        <v>-1.7940750000000001E-6</v>
      </c>
      <c r="I7016">
        <v>12.22988</v>
      </c>
      <c r="J7016">
        <v>-187.48699999999999</v>
      </c>
      <c r="K7016">
        <v>1.110622</v>
      </c>
      <c r="L7016">
        <v>-8.5517880000000002</v>
      </c>
      <c r="M7016">
        <v>1.4346129999999999E-3</v>
      </c>
      <c r="N7016">
        <v>0</v>
      </c>
      <c r="O7016">
        <v>0.99993869999999896</v>
      </c>
      <c r="P7016">
        <v>3.3126940000000001E-2</v>
      </c>
      <c r="Q7016">
        <v>0.14874229999999899</v>
      </c>
      <c r="R7016">
        <v>0.98832089999999995</v>
      </c>
      <c r="S7016">
        <v>0.13403319999999999</v>
      </c>
      <c r="T7016">
        <v>-0.16061810000000001</v>
      </c>
      <c r="U7016">
        <v>3.0545040000000001</v>
      </c>
      <c r="V7016">
        <v>3.1500799999999898E-2</v>
      </c>
      <c r="W7016">
        <v>0.15962379999999901</v>
      </c>
      <c r="X7016">
        <v>0.98667519999999997</v>
      </c>
      <c r="Y7016">
        <v>4.2344590000000001E-2</v>
      </c>
      <c r="Z7016">
        <v>-5.2462660000000001E-2</v>
      </c>
      <c r="AA7016">
        <v>0.99772470000000002</v>
      </c>
      <c r="AB7016">
        <v>23</v>
      </c>
      <c r="AC7016">
        <v>0.92769999999998698</v>
      </c>
      <c r="AD7016">
        <v>-1.1106237940749999</v>
      </c>
      <c r="AE7016">
        <v>20.781668</v>
      </c>
      <c r="AF7016">
        <v>0.89533152799782401</v>
      </c>
      <c r="AG7016">
        <v>-1.1106237940749999</v>
      </c>
      <c r="AH7016">
        <v>20.723905787362401</v>
      </c>
      <c r="AI7016">
        <v>93.064774962084797</v>
      </c>
      <c r="AJ7016">
        <v>87.5261981046404</v>
      </c>
      <c r="AK7016">
        <v>20.772948149948899</v>
      </c>
      <c r="AL7016">
        <v>80.814939127803498</v>
      </c>
      <c r="AM7016">
        <v>88.171384013629606</v>
      </c>
      <c r="AN7016">
        <v>1.0000000041110599</v>
      </c>
    </row>
    <row r="7017" spans="1:40" x14ac:dyDescent="0.25">
      <c r="A7017" t="str">
        <f>"20190312172544106"</f>
        <v>20190312172544106</v>
      </c>
      <c r="B7017" t="str">
        <f>"1552382744097027"</f>
        <v>1552382744097027</v>
      </c>
      <c r="C7017" t="s">
        <v>40</v>
      </c>
      <c r="D7017">
        <v>3.9312040000000001</v>
      </c>
      <c r="E7017">
        <v>0.50803849999999995</v>
      </c>
      <c r="F7017" t="s">
        <v>43</v>
      </c>
      <c r="G7017">
        <v>-186.48089999999999</v>
      </c>
      <c r="H7017" s="1">
        <v>-2.1346330000000001E-6</v>
      </c>
      <c r="I7017">
        <v>13.153549999999999</v>
      </c>
      <c r="J7017">
        <v>-187.48769999999999</v>
      </c>
      <c r="K7017">
        <v>1.1105670000000001</v>
      </c>
      <c r="L7017">
        <v>-8.3273929999999901</v>
      </c>
      <c r="M7017">
        <v>5.8349719999999995E-4</v>
      </c>
      <c r="N7017">
        <v>0</v>
      </c>
      <c r="O7017">
        <v>0.999942</v>
      </c>
      <c r="P7017">
        <v>3.4525630000000002E-2</v>
      </c>
      <c r="Q7017">
        <v>0.14940729999999999</v>
      </c>
      <c r="R7017">
        <v>0.98817279999999996</v>
      </c>
      <c r="S7017">
        <v>0.141571</v>
      </c>
      <c r="T7017">
        <v>-0.15627959999999999</v>
      </c>
      <c r="U7017">
        <v>3.05423</v>
      </c>
      <c r="V7017">
        <v>3.3754119999999999E-2</v>
      </c>
      <c r="W7017">
        <v>0.160066299999999</v>
      </c>
      <c r="X7017">
        <v>0.98652899999999999</v>
      </c>
      <c r="Y7017">
        <v>4.5659470000000001E-2</v>
      </c>
      <c r="Z7017">
        <v>-5.10474E-2</v>
      </c>
      <c r="AA7017">
        <v>0.99765190000000004</v>
      </c>
      <c r="AB7017">
        <v>23</v>
      </c>
      <c r="AC7017">
        <v>1.0067999999999899</v>
      </c>
      <c r="AD7017">
        <v>-1.110569134633</v>
      </c>
      <c r="AE7017">
        <v>21.480943</v>
      </c>
      <c r="AF7017">
        <v>0.99162033037082997</v>
      </c>
      <c r="AG7017">
        <v>-1.110569134633</v>
      </c>
      <c r="AH7017">
        <v>21.4243868823662</v>
      </c>
      <c r="AI7017">
        <v>92.9641995144178</v>
      </c>
      <c r="AJ7017">
        <v>87.349975954424494</v>
      </c>
      <c r="AK7017">
        <v>21.476057086153201</v>
      </c>
      <c r="AL7017">
        <v>80.789255604125998</v>
      </c>
      <c r="AM7017">
        <v>88.040387593043704</v>
      </c>
      <c r="AN7017">
        <v>1.00000001442683</v>
      </c>
    </row>
    <row r="7018" spans="1:40" x14ac:dyDescent="0.25">
      <c r="A7018" t="str">
        <f>"20190312172544129"</f>
        <v>20190312172544129</v>
      </c>
      <c r="B7018" t="str">
        <f>"1552382744117526"</f>
        <v>1552382744117526</v>
      </c>
      <c r="C7018" t="s">
        <v>40</v>
      </c>
      <c r="D7018">
        <v>3.9073190000000002</v>
      </c>
      <c r="E7018">
        <v>0.50809599999999999</v>
      </c>
      <c r="F7018" t="s">
        <v>43</v>
      </c>
      <c r="G7018">
        <v>-186.4325</v>
      </c>
      <c r="H7018" s="1">
        <v>-2.3786879999999999E-6</v>
      </c>
      <c r="I7018">
        <v>13.70243</v>
      </c>
      <c r="J7018">
        <v>-187.48849999999999</v>
      </c>
      <c r="K7018">
        <v>1.1105100000000001</v>
      </c>
      <c r="L7018">
        <v>-8.1044920000000005</v>
      </c>
      <c r="M7018">
        <v>-2.1591429999999999E-4</v>
      </c>
      <c r="N7018">
        <v>0</v>
      </c>
      <c r="O7018">
        <v>0.99994439999999996</v>
      </c>
      <c r="P7018">
        <v>3.508145E-2</v>
      </c>
      <c r="Q7018">
        <v>0.1501721</v>
      </c>
      <c r="R7018">
        <v>0.98803730000000001</v>
      </c>
      <c r="S7018">
        <v>0.146286</v>
      </c>
      <c r="T7018">
        <v>-0.1539624</v>
      </c>
      <c r="U7018">
        <v>3.0540769999999999</v>
      </c>
      <c r="V7018">
        <v>3.5111999999999997E-2</v>
      </c>
      <c r="W7018">
        <v>0.1606156</v>
      </c>
      <c r="X7018">
        <v>0.9863923</v>
      </c>
      <c r="Y7018">
        <v>4.7998890000000002E-2</v>
      </c>
      <c r="Z7018">
        <v>-5.0290380000000003E-2</v>
      </c>
      <c r="AA7018">
        <v>0.99758060000000004</v>
      </c>
      <c r="AB7018">
        <v>23</v>
      </c>
      <c r="AC7018">
        <v>1.0559999999999801</v>
      </c>
      <c r="AD7018">
        <v>-1.110512378688</v>
      </c>
      <c r="AE7018">
        <v>21.806922</v>
      </c>
      <c r="AF7018">
        <v>1.0579714113840899</v>
      </c>
      <c r="AG7018">
        <v>-1.110512378688</v>
      </c>
      <c r="AH7018">
        <v>21.750419383152899</v>
      </c>
      <c r="AI7018">
        <v>92.919370250910802</v>
      </c>
      <c r="AJ7018">
        <v>87.215246437451597</v>
      </c>
      <c r="AK7018">
        <v>21.804432682222199</v>
      </c>
      <c r="AL7018">
        <v>80.757370325900993</v>
      </c>
      <c r="AM7018">
        <v>87.961338151583902</v>
      </c>
      <c r="AN7018">
        <v>0.99999999650332505</v>
      </c>
    </row>
    <row r="7019" spans="1:40" x14ac:dyDescent="0.25">
      <c r="A7019" t="str">
        <f>"20190312172544150"</f>
        <v>20190312172544150</v>
      </c>
      <c r="B7019" t="str">
        <f>"1552382744146803"</f>
        <v>1552382744146803</v>
      </c>
      <c r="C7019" t="s">
        <v>40</v>
      </c>
      <c r="D7019">
        <v>3.8945970000000001</v>
      </c>
      <c r="E7019">
        <v>0.50817970000000001</v>
      </c>
      <c r="F7019" t="s">
        <v>43</v>
      </c>
      <c r="G7019">
        <v>-186.40100000000001</v>
      </c>
      <c r="H7019" s="1">
        <v>-2.6435880000000001E-6</v>
      </c>
      <c r="I7019">
        <v>14.30691</v>
      </c>
      <c r="J7019">
        <v>-187.48939999999999</v>
      </c>
      <c r="K7019">
        <v>1.1104510000000001</v>
      </c>
      <c r="L7019">
        <v>-7.8787229999999999</v>
      </c>
      <c r="M7019">
        <v>-9.7375629999999999E-4</v>
      </c>
      <c r="N7019">
        <v>0</v>
      </c>
      <c r="O7019">
        <v>0.99994640000000001</v>
      </c>
      <c r="P7019">
        <v>3.5868509999999999E-2</v>
      </c>
      <c r="Q7019">
        <v>0.15076899999999999</v>
      </c>
      <c r="R7019">
        <v>0.98791810000000002</v>
      </c>
      <c r="S7019">
        <v>0.1481934</v>
      </c>
      <c r="T7019">
        <v>-0.15133179999999999</v>
      </c>
      <c r="U7019">
        <v>3.0540470000000002</v>
      </c>
      <c r="V7019">
        <v>3.6659919999999999E-2</v>
      </c>
      <c r="W7019">
        <v>0.16098979999999999</v>
      </c>
      <c r="X7019">
        <v>0.98627500000000001</v>
      </c>
      <c r="Y7019">
        <v>4.9379979999999997E-2</v>
      </c>
      <c r="Z7019">
        <v>-4.9431290000000003E-2</v>
      </c>
      <c r="AA7019">
        <v>0.99755609999999995</v>
      </c>
      <c r="AB7019">
        <v>23</v>
      </c>
      <c r="AC7019">
        <v>1.0884</v>
      </c>
      <c r="AD7019">
        <v>-1.1104536435879999</v>
      </c>
      <c r="AE7019">
        <v>22.185632999999999</v>
      </c>
      <c r="AF7019">
        <v>1.1072367476710601</v>
      </c>
      <c r="AG7019">
        <v>-1.1104536435879999</v>
      </c>
      <c r="AH7019">
        <v>22.129255596558</v>
      </c>
      <c r="AI7019">
        <v>92.869129100219695</v>
      </c>
      <c r="AJ7019">
        <v>87.135595862209598</v>
      </c>
      <c r="AK7019">
        <v>22.184747773363199</v>
      </c>
      <c r="AL7019">
        <v>80.7356477818564</v>
      </c>
      <c r="AM7019">
        <v>87.871291320586707</v>
      </c>
      <c r="AN7019">
        <v>1.0000000205317201</v>
      </c>
    </row>
    <row r="7020" spans="1:40" x14ac:dyDescent="0.25">
      <c r="A7020" t="str">
        <f>"20190312172544171"</f>
        <v>20190312172544171</v>
      </c>
      <c r="B7020" t="str">
        <f>"1552382744167299"</f>
        <v>1552382744167299</v>
      </c>
      <c r="C7020" t="s">
        <v>40</v>
      </c>
      <c r="D7020">
        <v>3.9021759999999999</v>
      </c>
      <c r="E7020">
        <v>0.50820900000000002</v>
      </c>
      <c r="F7020" t="s">
        <v>43</v>
      </c>
      <c r="G7020">
        <v>-186.36330000000001</v>
      </c>
      <c r="H7020" s="1">
        <v>-2.8939520000000001E-6</v>
      </c>
      <c r="I7020">
        <v>14.87494</v>
      </c>
      <c r="J7020">
        <v>-187.49039999999999</v>
      </c>
      <c r="K7020">
        <v>1.11039</v>
      </c>
      <c r="L7020">
        <v>-7.6575619999999898</v>
      </c>
      <c r="M7020">
        <v>-1.663334E-3</v>
      </c>
      <c r="N7020">
        <v>0</v>
      </c>
      <c r="O7020">
        <v>0.99994769999999999</v>
      </c>
      <c r="P7020">
        <v>3.5907790000000002E-2</v>
      </c>
      <c r="Q7020">
        <v>0.15186529999999901</v>
      </c>
      <c r="R7020">
        <v>0.98774870000000004</v>
      </c>
      <c r="S7020">
        <v>0.151138299999999</v>
      </c>
      <c r="T7020">
        <v>-0.14904310000000001</v>
      </c>
      <c r="U7020">
        <v>3.0539550000000002</v>
      </c>
      <c r="V7020">
        <v>3.7391519999999998E-2</v>
      </c>
      <c r="W7020">
        <v>0.1618617</v>
      </c>
      <c r="X7020">
        <v>0.9861048</v>
      </c>
      <c r="Y7020">
        <v>5.103158E-2</v>
      </c>
      <c r="Z7020">
        <v>-4.8683700000000003E-2</v>
      </c>
      <c r="AA7020">
        <v>0.99750970000000005</v>
      </c>
      <c r="AB7020">
        <v>23</v>
      </c>
      <c r="AC7020">
        <v>1.12709999999998</v>
      </c>
      <c r="AD7020">
        <v>-1.110392893952</v>
      </c>
      <c r="AE7020">
        <v>22.532502000000001</v>
      </c>
      <c r="AF7020">
        <v>1.1617651441132899</v>
      </c>
      <c r="AG7020">
        <v>-1.110392893952</v>
      </c>
      <c r="AH7020">
        <v>22.476149342240799</v>
      </c>
      <c r="AI7020">
        <v>92.824528756449098</v>
      </c>
      <c r="AJ7020">
        <v>87.041083293267107</v>
      </c>
      <c r="AK7020">
        <v>22.533529680982699</v>
      </c>
      <c r="AL7020">
        <v>80.685027566303404</v>
      </c>
      <c r="AM7020">
        <v>87.828475840406796</v>
      </c>
      <c r="AN7020">
        <v>1.00000000613892</v>
      </c>
    </row>
    <row r="7021" spans="1:40" x14ac:dyDescent="0.25">
      <c r="A7021" t="str">
        <f>"20190312172544196"</f>
        <v>20190312172544196</v>
      </c>
      <c r="B7021" t="str">
        <f>"1552382744187380"</f>
        <v>1552382744187380</v>
      </c>
      <c r="C7021" t="s">
        <v>40</v>
      </c>
      <c r="D7021">
        <v>3.8999100000000002</v>
      </c>
      <c r="E7021">
        <v>0.5082489</v>
      </c>
      <c r="F7021" t="s">
        <v>43</v>
      </c>
      <c r="G7021">
        <v>-186.33580000000001</v>
      </c>
      <c r="H7021" s="1">
        <v>-3.22009E-6</v>
      </c>
      <c r="I7021">
        <v>15.623799999999999</v>
      </c>
      <c r="J7021">
        <v>-187.49170000000001</v>
      </c>
      <c r="K7021">
        <v>1.1103289999999999</v>
      </c>
      <c r="L7021">
        <v>-7.4086299999999996</v>
      </c>
      <c r="M7021">
        <v>-2.3787880000000002E-3</v>
      </c>
      <c r="N7021">
        <v>0</v>
      </c>
      <c r="O7021">
        <v>0.99994870000000002</v>
      </c>
      <c r="P7021">
        <v>3.5873139999999998E-2</v>
      </c>
      <c r="Q7021">
        <v>0.15238689999999999</v>
      </c>
      <c r="R7021">
        <v>0.98766960000000004</v>
      </c>
      <c r="S7021">
        <v>0.1514587</v>
      </c>
      <c r="T7021">
        <v>-0.14566419999999999</v>
      </c>
      <c r="U7021">
        <v>3.0541079999999998</v>
      </c>
      <c r="V7021">
        <v>3.8076619999999999E-2</v>
      </c>
      <c r="W7021">
        <v>0.16213839999999999</v>
      </c>
      <c r="X7021">
        <v>0.9860331</v>
      </c>
      <c r="Y7021">
        <v>5.1850699999999902E-2</v>
      </c>
      <c r="Z7021">
        <v>-4.7578959999999997E-2</v>
      </c>
      <c r="AA7021">
        <v>0.99752079999999999</v>
      </c>
      <c r="AB7021">
        <v>23</v>
      </c>
      <c r="AC7021">
        <v>1.1558999999999999</v>
      </c>
      <c r="AD7021">
        <v>-1.1103322200900001</v>
      </c>
      <c r="AE7021">
        <v>23.032430000000002</v>
      </c>
      <c r="AF7021">
        <v>1.20788863520224</v>
      </c>
      <c r="AG7021">
        <v>-1.1103322200900001</v>
      </c>
      <c r="AH7021">
        <v>22.9763533533208</v>
      </c>
      <c r="AI7021">
        <v>92.762856773810995</v>
      </c>
      <c r="AJ7021">
        <v>86.990676912683199</v>
      </c>
      <c r="AK7021">
        <v>23.034857195360999</v>
      </c>
      <c r="AL7021">
        <v>80.668961377788904</v>
      </c>
      <c r="AM7021">
        <v>87.788566952552998</v>
      </c>
      <c r="AN7021">
        <v>0.99999998202039697</v>
      </c>
    </row>
    <row r="7022" spans="1:40" x14ac:dyDescent="0.25">
      <c r="A7022" t="str">
        <f>"20190312172544218"</f>
        <v>20190312172544218</v>
      </c>
      <c r="B7022" t="str">
        <f>"1552382744206903"</f>
        <v>1552382744206903</v>
      </c>
      <c r="C7022" t="s">
        <v>40</v>
      </c>
      <c r="D7022">
        <v>3.909208</v>
      </c>
      <c r="E7022">
        <v>0.50828640000000003</v>
      </c>
      <c r="F7022" t="s">
        <v>43</v>
      </c>
      <c r="G7022">
        <v>-186.32689999999999</v>
      </c>
      <c r="H7022" s="1">
        <v>-3.4362619999999998E-6</v>
      </c>
      <c r="I7022">
        <v>16.124009999999998</v>
      </c>
      <c r="J7022">
        <v>-187.49299999999999</v>
      </c>
      <c r="K7022">
        <v>1.110274</v>
      </c>
      <c r="L7022">
        <v>-7.1712949999999998</v>
      </c>
      <c r="M7022">
        <v>-3.004456E-3</v>
      </c>
      <c r="N7022">
        <v>0</v>
      </c>
      <c r="O7022">
        <v>0.99994919999999998</v>
      </c>
      <c r="P7022">
        <v>3.523155E-2</v>
      </c>
      <c r="Q7022">
        <v>0.1530116</v>
      </c>
      <c r="R7022">
        <v>0.98759620000000004</v>
      </c>
      <c r="S7022">
        <v>0.15116879999999999</v>
      </c>
      <c r="T7022">
        <v>-0.14410519999999999</v>
      </c>
      <c r="U7022">
        <v>3.0541990000000001</v>
      </c>
      <c r="V7022">
        <v>3.8064769999999998E-2</v>
      </c>
      <c r="W7022">
        <v>0.1625374</v>
      </c>
      <c r="X7022">
        <v>0.98596790000000001</v>
      </c>
      <c r="Y7022">
        <v>5.2380799999999998E-2</v>
      </c>
      <c r="Z7022">
        <v>-4.7068800000000001E-2</v>
      </c>
      <c r="AA7022">
        <v>0.99751730000000005</v>
      </c>
      <c r="AB7022">
        <v>23</v>
      </c>
      <c r="AC7022">
        <v>1.1660999999999999</v>
      </c>
      <c r="AD7022">
        <v>-1.110277436262</v>
      </c>
      <c r="AE7022">
        <v>23.295304999999999</v>
      </c>
      <c r="AF7022">
        <v>1.23329318489377</v>
      </c>
      <c r="AG7022">
        <v>-1.110277436262</v>
      </c>
      <c r="AH7022">
        <v>23.239039019807901</v>
      </c>
      <c r="AI7022">
        <v>92.731467762596097</v>
      </c>
      <c r="AJ7022">
        <v>86.962169220586404</v>
      </c>
      <c r="AK7022">
        <v>23.298211575774101</v>
      </c>
      <c r="AL7022">
        <v>80.645793363549501</v>
      </c>
      <c r="AM7022">
        <v>87.789108452895903</v>
      </c>
      <c r="AN7022">
        <v>1.0000000164721601</v>
      </c>
    </row>
    <row r="7023" spans="1:40" x14ac:dyDescent="0.25">
      <c r="A7023" t="str">
        <f>"20190312172544240"</f>
        <v>20190312172544240</v>
      </c>
      <c r="B7023" t="str">
        <f>"1552382744227396"</f>
        <v>1552382744227396</v>
      </c>
      <c r="C7023" t="s">
        <v>40</v>
      </c>
      <c r="D7023">
        <v>3.9059750000000002</v>
      </c>
      <c r="E7023">
        <v>0.5082991</v>
      </c>
      <c r="F7023" t="s">
        <v>43</v>
      </c>
      <c r="G7023">
        <v>-186.32669999999999</v>
      </c>
      <c r="H7023" s="1">
        <v>-3.6796619999999999E-6</v>
      </c>
      <c r="I7023">
        <v>16.691310000000001</v>
      </c>
      <c r="J7023">
        <v>-187.49430000000001</v>
      </c>
      <c r="K7023">
        <v>1.110222</v>
      </c>
      <c r="L7023">
        <v>-6.9391479999999897</v>
      </c>
      <c r="M7023">
        <v>-3.565955E-3</v>
      </c>
      <c r="N7023">
        <v>0</v>
      </c>
      <c r="O7023">
        <v>0.99994939999999999</v>
      </c>
      <c r="P7023">
        <v>3.4772400000000002E-2</v>
      </c>
      <c r="Q7023">
        <v>0.15307570000000001</v>
      </c>
      <c r="R7023">
        <v>0.98760250000000005</v>
      </c>
      <c r="S7023">
        <v>0.14927670000000001</v>
      </c>
      <c r="T7023">
        <v>-0.1421142</v>
      </c>
      <c r="U7023">
        <v>3.0543819999999999</v>
      </c>
      <c r="V7023">
        <v>3.8171490000000002E-2</v>
      </c>
      <c r="W7023">
        <v>0.162384</v>
      </c>
      <c r="X7023">
        <v>0.985989</v>
      </c>
      <c r="Y7023">
        <v>5.2323639999999998E-2</v>
      </c>
      <c r="Z7023">
        <v>-4.6417760000000002E-2</v>
      </c>
      <c r="AA7023">
        <v>0.99755079999999996</v>
      </c>
      <c r="AB7023">
        <v>23</v>
      </c>
      <c r="AC7023">
        <v>1.16760000000002</v>
      </c>
      <c r="AD7023">
        <v>-1.110225679662</v>
      </c>
      <c r="AE7023">
        <v>23.630457999999901</v>
      </c>
      <c r="AF7023">
        <v>1.2491108992811799</v>
      </c>
      <c r="AG7023">
        <v>-1.110225679662</v>
      </c>
      <c r="AH7023">
        <v>23.574233256869199</v>
      </c>
      <c r="AI7023">
        <v>92.692574046068202</v>
      </c>
      <c r="AJ7023">
        <v>86.966946201421706</v>
      </c>
      <c r="AK7023">
        <v>23.633394862942598</v>
      </c>
      <c r="AL7023">
        <v>80.654700406693095</v>
      </c>
      <c r="AM7023">
        <v>87.782963478725094</v>
      </c>
      <c r="AN7023">
        <v>0.99999996711290895</v>
      </c>
    </row>
    <row r="7024" spans="1:40" x14ac:dyDescent="0.25">
      <c r="A7024" t="str">
        <f>"20190312172544265"</f>
        <v>20190312172544265</v>
      </c>
      <c r="B7024" t="str">
        <f>"1552382744257653"</f>
        <v>1552382744257653</v>
      </c>
      <c r="C7024" t="s">
        <v>40</v>
      </c>
      <c r="D7024">
        <v>3.9489429999999999</v>
      </c>
      <c r="E7024">
        <v>0.5082487</v>
      </c>
      <c r="F7024" t="s">
        <v>43</v>
      </c>
      <c r="G7024">
        <v>-186.34460000000001</v>
      </c>
      <c r="H7024" s="1">
        <v>-3.7716699999999998E-6</v>
      </c>
      <c r="I7024">
        <v>16.913160000000001</v>
      </c>
      <c r="J7024">
        <v>-187.49590000000001</v>
      </c>
      <c r="K7024">
        <v>1.1101639999999999</v>
      </c>
      <c r="L7024">
        <v>-6.6847529999999997</v>
      </c>
      <c r="M7024">
        <v>-4.1269490000000004E-3</v>
      </c>
      <c r="N7024">
        <v>0</v>
      </c>
      <c r="O7024">
        <v>0.99994950000000005</v>
      </c>
      <c r="P7024">
        <v>3.3732760000000001E-2</v>
      </c>
      <c r="Q7024">
        <v>0.1532792</v>
      </c>
      <c r="R7024">
        <v>0.98760700000000001</v>
      </c>
      <c r="S7024">
        <v>0.1472321</v>
      </c>
      <c r="T7024">
        <v>-0.14217449999999901</v>
      </c>
      <c r="U7024">
        <v>3.0545040000000001</v>
      </c>
      <c r="V7024">
        <v>3.7696540000000001E-2</v>
      </c>
      <c r="W7024">
        <v>0.16234689999999999</v>
      </c>
      <c r="X7024">
        <v>0.98601340000000004</v>
      </c>
      <c r="Y7024">
        <v>5.2215709999999999E-2</v>
      </c>
      <c r="Z7024">
        <v>-4.64363E-2</v>
      </c>
      <c r="AA7024">
        <v>0.99755559999999999</v>
      </c>
      <c r="AB7024">
        <v>24</v>
      </c>
      <c r="AC7024">
        <v>1.15129999999999</v>
      </c>
      <c r="AD7024">
        <v>-1.11016777167</v>
      </c>
      <c r="AE7024">
        <v>23.597912999999998</v>
      </c>
      <c r="AF7024">
        <v>1.2459306620504</v>
      </c>
      <c r="AG7024">
        <v>-1.11016777167</v>
      </c>
      <c r="AH7024">
        <v>23.540982166614501</v>
      </c>
      <c r="AI7024">
        <v>92.696239769797998</v>
      </c>
      <c r="AJ7024">
        <v>86.970388719131904</v>
      </c>
      <c r="AK7024">
        <v>23.6000562936776</v>
      </c>
      <c r="AL7024">
        <v>80.656854834550202</v>
      </c>
      <c r="AM7024">
        <v>87.810576139664903</v>
      </c>
      <c r="AN7024">
        <v>0.99999998502357001</v>
      </c>
    </row>
    <row r="7025" spans="1:40" x14ac:dyDescent="0.25">
      <c r="A7025" t="str">
        <f>"20190312172544286"</f>
        <v>20190312172544286</v>
      </c>
      <c r="B7025" t="str">
        <f>"1552382744277172"</f>
        <v>1552382744277172</v>
      </c>
      <c r="C7025" t="s">
        <v>40</v>
      </c>
      <c r="D7025">
        <v>3.8776199999999998</v>
      </c>
      <c r="E7025">
        <v>0.50830419999999998</v>
      </c>
      <c r="F7025" t="s">
        <v>43</v>
      </c>
      <c r="G7025">
        <v>-186.37729999999999</v>
      </c>
      <c r="H7025" s="1">
        <v>-3.8773839999999999E-6</v>
      </c>
      <c r="I7025">
        <v>17.17314</v>
      </c>
      <c r="J7025">
        <v>-187.4974</v>
      </c>
      <c r="K7025">
        <v>1.1101160000000001</v>
      </c>
      <c r="L7025">
        <v>-6.4485469999999996</v>
      </c>
      <c r="M7025">
        <v>-4.6075140000000001E-3</v>
      </c>
      <c r="N7025">
        <v>0</v>
      </c>
      <c r="O7025">
        <v>0.99994939999999999</v>
      </c>
      <c r="P7025">
        <v>3.302969E-2</v>
      </c>
      <c r="Q7025">
        <v>0.15344669999999999</v>
      </c>
      <c r="R7025">
        <v>0.9876047</v>
      </c>
      <c r="S7025">
        <v>0.14321900000000001</v>
      </c>
      <c r="T7025">
        <v>-0.142148</v>
      </c>
      <c r="U7025">
        <v>3.0548099999999998</v>
      </c>
      <c r="V7025">
        <v>3.7475880000000003E-2</v>
      </c>
      <c r="W7025">
        <v>0.162292299999999</v>
      </c>
      <c r="X7025">
        <v>0.98603079999999999</v>
      </c>
      <c r="Y7025">
        <v>5.1383329999999998E-2</v>
      </c>
      <c r="Z7025">
        <v>-4.6425349999999997E-2</v>
      </c>
      <c r="AA7025">
        <v>0.99759940000000003</v>
      </c>
      <c r="AB7025">
        <v>24</v>
      </c>
      <c r="AC7025">
        <v>1.1201000000000001</v>
      </c>
      <c r="AD7025">
        <v>-1.110119877384</v>
      </c>
      <c r="AE7025">
        <v>23.621686999999898</v>
      </c>
      <c r="AF7025">
        <v>1.2262275394238999</v>
      </c>
      <c r="AG7025">
        <v>-1.110119877384</v>
      </c>
      <c r="AH7025">
        <v>23.564347597808201</v>
      </c>
      <c r="AI7025">
        <v>92.693579282108004</v>
      </c>
      <c r="AJ7025">
        <v>87.0211630700569</v>
      </c>
      <c r="AK7025">
        <v>23.6223300677756</v>
      </c>
      <c r="AL7025">
        <v>80.660025232588396</v>
      </c>
      <c r="AM7025">
        <v>87.823418133700599</v>
      </c>
      <c r="AN7025">
        <v>0.99999998538485202</v>
      </c>
    </row>
    <row r="7026" spans="1:40" x14ac:dyDescent="0.25">
      <c r="A7026" t="str">
        <f>"20190312172544308"</f>
        <v>20190312172544308</v>
      </c>
      <c r="B7026" t="str">
        <f>"1552382744297668"</f>
        <v>1552382744297668</v>
      </c>
      <c r="C7026" t="s">
        <v>40</v>
      </c>
      <c r="D7026">
        <v>3.9012509999999998</v>
      </c>
      <c r="E7026">
        <v>0.50828649999999997</v>
      </c>
      <c r="F7026" t="s">
        <v>43</v>
      </c>
      <c r="G7026">
        <v>-186.39689999999999</v>
      </c>
      <c r="H7026" s="1">
        <v>-3.9843269999999998E-6</v>
      </c>
      <c r="I7026">
        <v>17.430520000000001</v>
      </c>
      <c r="J7026">
        <v>-187.499</v>
      </c>
      <c r="K7026">
        <v>1.110069</v>
      </c>
      <c r="L7026">
        <v>-6.219849</v>
      </c>
      <c r="M7026">
        <v>-5.0471969999999998E-3</v>
      </c>
      <c r="N7026">
        <v>0</v>
      </c>
      <c r="O7026">
        <v>0.99994910000000004</v>
      </c>
      <c r="P7026">
        <v>3.2674269999999998E-2</v>
      </c>
      <c r="Q7026">
        <v>0.15314259999999999</v>
      </c>
      <c r="R7026">
        <v>0.98766370000000003</v>
      </c>
      <c r="S7026">
        <v>0.1407928</v>
      </c>
      <c r="T7026">
        <v>-0.1420257</v>
      </c>
      <c r="U7026">
        <v>3.0550229999999998</v>
      </c>
      <c r="V7026">
        <v>3.7560349999999999E-2</v>
      </c>
      <c r="W7026">
        <v>0.1617855</v>
      </c>
      <c r="X7026">
        <v>0.98611090000000001</v>
      </c>
      <c r="Y7026">
        <v>5.1028740000000003E-2</v>
      </c>
      <c r="Z7026">
        <v>-4.6383389999999997E-2</v>
      </c>
      <c r="AA7026">
        <v>0.99761949999999999</v>
      </c>
      <c r="AB7026">
        <v>24</v>
      </c>
      <c r="AC7026">
        <v>1.1021000000000301</v>
      </c>
      <c r="AD7026">
        <v>-1.1100729843269901</v>
      </c>
      <c r="AE7026">
        <v>23.650369000000001</v>
      </c>
      <c r="AF7026">
        <v>1.21877935671254</v>
      </c>
      <c r="AG7026">
        <v>-1.1100729843269901</v>
      </c>
      <c r="AH7026">
        <v>23.5926415206463</v>
      </c>
      <c r="AI7026">
        <v>92.690292749374194</v>
      </c>
      <c r="AJ7026">
        <v>87.042768879957706</v>
      </c>
      <c r="AK7026">
        <v>23.650167421661202</v>
      </c>
      <c r="AL7026">
        <v>80.689451924355296</v>
      </c>
      <c r="AM7026">
        <v>87.818693916261594</v>
      </c>
      <c r="AN7026">
        <v>1.0000000175005901</v>
      </c>
    </row>
    <row r="7027" spans="1:40" x14ac:dyDescent="0.25">
      <c r="A7027" t="str">
        <f>"20190312172544329"</f>
        <v>20190312172544329</v>
      </c>
      <c r="B7027" t="str">
        <f>"1552382744326948"</f>
        <v>1552382744326948</v>
      </c>
      <c r="C7027" t="s">
        <v>40</v>
      </c>
      <c r="D7027">
        <v>7.260478</v>
      </c>
      <c r="E7027">
        <v>0.50859449999999995</v>
      </c>
      <c r="F7027" t="s">
        <v>43</v>
      </c>
      <c r="G7027">
        <v>-186.4213</v>
      </c>
      <c r="H7027" s="1">
        <v>-4.0239529999999997E-6</v>
      </c>
      <c r="I7027">
        <v>17.53295</v>
      </c>
      <c r="J7027">
        <v>-187.50059999999999</v>
      </c>
      <c r="K7027">
        <v>1.110034</v>
      </c>
      <c r="L7027">
        <v>-5.9869690000000002</v>
      </c>
      <c r="M7027">
        <v>-5.4762279999999997E-3</v>
      </c>
      <c r="N7027">
        <v>0</v>
      </c>
      <c r="O7027">
        <v>0.99994859999999997</v>
      </c>
      <c r="P7027">
        <v>3.2183379999999998E-2</v>
      </c>
      <c r="Q7027">
        <v>0.15300059999999999</v>
      </c>
      <c r="R7027">
        <v>0.98770190000000002</v>
      </c>
      <c r="S7027">
        <v>0.13861080000000001</v>
      </c>
      <c r="T7027">
        <v>-0.1427747</v>
      </c>
      <c r="U7027">
        <v>3.0550229999999998</v>
      </c>
      <c r="V7027">
        <v>3.7496519999999998E-2</v>
      </c>
      <c r="W7027">
        <v>0.1614505</v>
      </c>
      <c r="X7027">
        <v>0.98616820000000005</v>
      </c>
      <c r="Y7027">
        <v>5.074563E-2</v>
      </c>
      <c r="Z7027">
        <v>-4.66284E-2</v>
      </c>
      <c r="AA7027">
        <v>0.99762249999999997</v>
      </c>
      <c r="AB7027">
        <v>24</v>
      </c>
      <c r="AC7027">
        <v>1.0792999999999799</v>
      </c>
      <c r="AD7027">
        <v>-1.1100380239530001</v>
      </c>
      <c r="AE7027">
        <v>23.519919000000002</v>
      </c>
      <c r="AF7027">
        <v>1.2054096197014299</v>
      </c>
      <c r="AG7027">
        <v>-1.1100380239530001</v>
      </c>
      <c r="AH7027">
        <v>23.4615065437842</v>
      </c>
      <c r="AI7027">
        <v>92.705261450245501</v>
      </c>
      <c r="AJ7027">
        <v>87.058832981120801</v>
      </c>
      <c r="AK7027">
        <v>23.518662505974198</v>
      </c>
      <c r="AL7027">
        <v>80.708901412001595</v>
      </c>
      <c r="AM7027">
        <v>87.822523657629006</v>
      </c>
      <c r="AN7027">
        <v>0.99999998582680005</v>
      </c>
    </row>
    <row r="7028" spans="1:40" x14ac:dyDescent="0.25">
      <c r="A7028" t="str">
        <f>"20190312172544396"</f>
        <v>20190312172544396</v>
      </c>
      <c r="B7028" t="str">
        <f>"1552382744386992"</f>
        <v>1552382744386992</v>
      </c>
      <c r="C7028" t="s">
        <v>40</v>
      </c>
      <c r="D7028">
        <v>3.5048499999999998</v>
      </c>
      <c r="E7028">
        <v>0.50113739999999996</v>
      </c>
      <c r="F7028" t="s">
        <v>41</v>
      </c>
      <c r="G7028">
        <v>-187.46639999999999</v>
      </c>
      <c r="H7028">
        <v>0.99529990000000002</v>
      </c>
      <c r="I7028">
        <v>-5.155761</v>
      </c>
      <c r="J7028">
        <v>-187.50630000000001</v>
      </c>
      <c r="K7028">
        <v>1.109947</v>
      </c>
      <c r="L7028">
        <v>-5.2652279999999996</v>
      </c>
      <c r="M7028">
        <v>-6.7548570000000004E-3</v>
      </c>
      <c r="N7028">
        <v>0</v>
      </c>
      <c r="O7028">
        <v>0.99994539999999998</v>
      </c>
      <c r="P7028">
        <v>3.1926490000000002E-2</v>
      </c>
      <c r="Q7028">
        <v>0.1535059</v>
      </c>
      <c r="R7028">
        <v>0.98763190000000001</v>
      </c>
      <c r="S7028">
        <v>0.12724299999999999</v>
      </c>
      <c r="T7028">
        <v>-0.4278362</v>
      </c>
      <c r="U7028">
        <v>3.0994869999999999</v>
      </c>
      <c r="V7028">
        <v>3.8501199999999902E-2</v>
      </c>
      <c r="W7028">
        <v>0.16139489999999901</v>
      </c>
      <c r="X7028">
        <v>0.98613859999999998</v>
      </c>
      <c r="Y7028">
        <v>4.7382300000000002E-2</v>
      </c>
      <c r="Z7028">
        <v>-0.1366</v>
      </c>
      <c r="AA7028">
        <v>0.9894925</v>
      </c>
      <c r="AB7028">
        <v>24</v>
      </c>
      <c r="AC7028">
        <v>3.9900000000017102E-2</v>
      </c>
      <c r="AD7028">
        <v>-0.1146471</v>
      </c>
      <c r="AE7028">
        <v>0.109466999999999</v>
      </c>
      <c r="AF7028">
        <v>2.06470988768932E-2</v>
      </c>
      <c r="AG7028">
        <v>-0.1146471</v>
      </c>
      <c r="AH7028">
        <v>5.5478347743924197E-2</v>
      </c>
      <c r="AI7028">
        <v>152.69128785877399</v>
      </c>
      <c r="AJ7028">
        <v>69.586495197453701</v>
      </c>
      <c r="AK7028">
        <v>0.12902754472917</v>
      </c>
      <c r="AL7028">
        <v>80.712129498482597</v>
      </c>
      <c r="AM7028">
        <v>87.764171853507904</v>
      </c>
      <c r="AN7028">
        <v>0.99999999727870403</v>
      </c>
    </row>
    <row r="7029" spans="1:40" x14ac:dyDescent="0.25">
      <c r="A7029" t="str">
        <f>"20190312172544420"</f>
        <v>20190312172544420</v>
      </c>
      <c r="B7029" t="str">
        <f>"1552382744417248"</f>
        <v>1552382744417248</v>
      </c>
      <c r="C7029" t="s">
        <v>40</v>
      </c>
      <c r="D7029">
        <v>4.0730760000000004</v>
      </c>
      <c r="E7029">
        <v>0.49752380000000002</v>
      </c>
      <c r="F7029" t="s">
        <v>41</v>
      </c>
      <c r="G7029">
        <v>-187.49189999999999</v>
      </c>
      <c r="H7029">
        <v>0.97896649999999996</v>
      </c>
      <c r="I7029">
        <v>-4.515771</v>
      </c>
      <c r="J7029">
        <v>-187.5085</v>
      </c>
      <c r="K7029">
        <v>1.109926</v>
      </c>
      <c r="L7029">
        <v>-5.0138550000000004</v>
      </c>
      <c r="M7029">
        <v>-7.1992979999999998E-3</v>
      </c>
      <c r="N7029">
        <v>0</v>
      </c>
      <c r="O7029">
        <v>0.99994369999999999</v>
      </c>
      <c r="P7029">
        <v>3.1837270000000001E-2</v>
      </c>
      <c r="Q7029">
        <v>0.15399679999999999</v>
      </c>
      <c r="R7029">
        <v>0.9875583</v>
      </c>
      <c r="S7029">
        <v>5.918884E-2</v>
      </c>
      <c r="T7029">
        <v>-0.54535940000000005</v>
      </c>
      <c r="U7029">
        <v>3.120422</v>
      </c>
      <c r="V7029">
        <v>3.8848210000000001E-2</v>
      </c>
      <c r="W7029">
        <v>0.16170409999999999</v>
      </c>
      <c r="X7029">
        <v>0.98607429999999996</v>
      </c>
      <c r="Y7029">
        <v>2.5879510000000001E-2</v>
      </c>
      <c r="Z7029">
        <v>-0.17211089999999901</v>
      </c>
      <c r="AA7029">
        <v>0.98473759999999999</v>
      </c>
      <c r="AB7029">
        <v>24</v>
      </c>
      <c r="AC7029">
        <v>1.6600000000010998E-2</v>
      </c>
      <c r="AD7029">
        <v>-0.13095949999999901</v>
      </c>
      <c r="AE7029">
        <v>0.49808400000000003</v>
      </c>
      <c r="AF7029">
        <v>1.8881684424418701E-2</v>
      </c>
      <c r="AG7029">
        <v>-0.13095949999999901</v>
      </c>
      <c r="AH7029">
        <v>0.46578726297343798</v>
      </c>
      <c r="AI7029">
        <v>105.69146520308399</v>
      </c>
      <c r="AJ7029">
        <v>87.6786638122895</v>
      </c>
      <c r="AK7029">
        <v>0.484215533616219</v>
      </c>
      <c r="AL7029">
        <v>80.694177512437093</v>
      </c>
      <c r="AM7029">
        <v>87.743894184068793</v>
      </c>
      <c r="AN7029">
        <v>0.99999996224875098</v>
      </c>
    </row>
    <row r="7030" spans="1:40" x14ac:dyDescent="0.25">
      <c r="A7030" t="str">
        <f>"20190312172544440"</f>
        <v>20190312172544440</v>
      </c>
      <c r="B7030" t="str">
        <f>"1552382744436768"</f>
        <v>1552382744436768</v>
      </c>
      <c r="C7030" t="s">
        <v>40</v>
      </c>
      <c r="D7030">
        <v>3.8953319999999998</v>
      </c>
      <c r="E7030">
        <v>0.49581439999999999</v>
      </c>
      <c r="F7030" t="s">
        <v>41</v>
      </c>
      <c r="G7030">
        <v>-187.5017</v>
      </c>
      <c r="H7030">
        <v>0.98255400000000004</v>
      </c>
      <c r="I7030">
        <v>-4.2964019999999996</v>
      </c>
      <c r="J7030">
        <v>-187.51050000000001</v>
      </c>
      <c r="K7030">
        <v>1.109912</v>
      </c>
      <c r="L7030">
        <v>-4.7915039999999998</v>
      </c>
      <c r="M7030">
        <v>-7.5956069999999999E-3</v>
      </c>
      <c r="N7030">
        <v>0</v>
      </c>
      <c r="O7030">
        <v>0.999942</v>
      </c>
      <c r="P7030">
        <v>3.1876870000000002E-2</v>
      </c>
      <c r="Q7030">
        <v>0.1543361</v>
      </c>
      <c r="R7030">
        <v>0.9875041</v>
      </c>
      <c r="S7030">
        <v>2.9251099999999901E-2</v>
      </c>
      <c r="T7030">
        <v>-0.55448940000000002</v>
      </c>
      <c r="U7030">
        <v>3.1233219999999999</v>
      </c>
      <c r="V7030">
        <v>3.9276680000000001E-2</v>
      </c>
      <c r="W7030">
        <v>0.16189039999999999</v>
      </c>
      <c r="X7030">
        <v>0.98602679999999998</v>
      </c>
      <c r="Y7030">
        <v>1.6816040000000001E-2</v>
      </c>
      <c r="Z7030">
        <v>-0.17477509999999999</v>
      </c>
      <c r="AA7030">
        <v>0.98446480000000003</v>
      </c>
      <c r="AB7030">
        <v>24</v>
      </c>
      <c r="AC7030">
        <v>8.8000000000079091E-3</v>
      </c>
      <c r="AD7030">
        <v>-0.127357999999999</v>
      </c>
      <c r="AE7030">
        <v>0.49510199999999999</v>
      </c>
      <c r="AF7030">
        <v>1.1781140582468E-2</v>
      </c>
      <c r="AG7030">
        <v>-0.127357999999999</v>
      </c>
      <c r="AH7030">
        <v>0.46430722838610899</v>
      </c>
      <c r="AI7030">
        <v>105.334085385538</v>
      </c>
      <c r="AJ7030">
        <v>88.546512338042106</v>
      </c>
      <c r="AK7030">
        <v>0.48160155499023699</v>
      </c>
      <c r="AL7030">
        <v>80.683361186948702</v>
      </c>
      <c r="AM7030">
        <v>87.718927207300396</v>
      </c>
      <c r="AN7030">
        <v>1.00000000476111</v>
      </c>
    </row>
    <row r="7031" spans="1:40" x14ac:dyDescent="0.25">
      <c r="A7031" t="str">
        <f>"20190312172544465"</f>
        <v>20190312172544465</v>
      </c>
      <c r="B7031" t="str">
        <f>"1552382744457264"</f>
        <v>1552382744457264</v>
      </c>
      <c r="C7031" t="s">
        <v>40</v>
      </c>
      <c r="D7031">
        <v>3.8619490000000001</v>
      </c>
      <c r="E7031">
        <v>0.49536049999999998</v>
      </c>
      <c r="F7031" t="s">
        <v>41</v>
      </c>
      <c r="G7031">
        <v>-187.5059</v>
      </c>
      <c r="H7031">
        <v>1.0023390000000001</v>
      </c>
      <c r="I7031">
        <v>-4.0685549999999999</v>
      </c>
      <c r="J7031">
        <v>-187.51300000000001</v>
      </c>
      <c r="K7031">
        <v>1.1098920000000001</v>
      </c>
      <c r="L7031">
        <v>-4.5265199999999997</v>
      </c>
      <c r="M7031">
        <v>-8.0719580000000006E-3</v>
      </c>
      <c r="N7031">
        <v>0</v>
      </c>
      <c r="O7031">
        <v>0.99993969999999999</v>
      </c>
      <c r="P7031">
        <v>3.1467210000000002E-2</v>
      </c>
      <c r="Q7031">
        <v>0.15518399999999999</v>
      </c>
      <c r="R7031">
        <v>0.98738429999999999</v>
      </c>
      <c r="S7031">
        <v>1.9317629999999999E-2</v>
      </c>
      <c r="T7031">
        <v>-0.4627155</v>
      </c>
      <c r="U7031">
        <v>3.1096499999999998</v>
      </c>
      <c r="V7031">
        <v>3.9333640000000003E-2</v>
      </c>
      <c r="W7031">
        <v>0.16255249999999999</v>
      </c>
      <c r="X7031">
        <v>0.9859156</v>
      </c>
      <c r="Y7031">
        <v>1.421622E-2</v>
      </c>
      <c r="Z7031">
        <v>-0.1471634</v>
      </c>
      <c r="AA7031">
        <v>0.98900999999999994</v>
      </c>
      <c r="AB7031">
        <v>24</v>
      </c>
      <c r="AC7031">
        <v>7.1000000000083201E-3</v>
      </c>
      <c r="AD7031">
        <v>-0.107553</v>
      </c>
      <c r="AE7031">
        <v>0.45796499999999901</v>
      </c>
      <c r="AF7031">
        <v>1.0232322967312701E-2</v>
      </c>
      <c r="AG7031">
        <v>-0.107553</v>
      </c>
      <c r="AH7031">
        <v>0.43396350411006201</v>
      </c>
      <c r="AI7031">
        <v>103.915923993045</v>
      </c>
      <c r="AJ7031">
        <v>88.649286623570504</v>
      </c>
      <c r="AK7031">
        <v>0.44720987370784998</v>
      </c>
      <c r="AL7031">
        <v>80.644916479249204</v>
      </c>
      <c r="AM7031">
        <v>87.715365263274805</v>
      </c>
      <c r="AN7031">
        <v>1.0000000104076201</v>
      </c>
    </row>
    <row r="7032" spans="1:40" x14ac:dyDescent="0.25">
      <c r="A7032" t="str">
        <f>"20190312172544487"</f>
        <v>20190312172544487</v>
      </c>
      <c r="B7032" t="str">
        <f>"1552382744477761"</f>
        <v>1552382744477761</v>
      </c>
      <c r="C7032" t="s">
        <v>40</v>
      </c>
      <c r="D7032">
        <v>3.8013710000000001</v>
      </c>
      <c r="E7032">
        <v>0.49501000000000001</v>
      </c>
      <c r="F7032" t="s">
        <v>41</v>
      </c>
      <c r="G7032">
        <v>-187.5078</v>
      </c>
      <c r="H7032">
        <v>0.99784139999999999</v>
      </c>
      <c r="I7032">
        <v>-3.6313399999999998</v>
      </c>
      <c r="J7032">
        <v>-187.5155</v>
      </c>
      <c r="K7032">
        <v>1.109869</v>
      </c>
      <c r="L7032">
        <v>-4.2767939999999998</v>
      </c>
      <c r="M7032">
        <v>-8.5234969999999997E-3</v>
      </c>
      <c r="N7032">
        <v>0</v>
      </c>
      <c r="O7032">
        <v>0.99993730000000003</v>
      </c>
      <c r="P7032">
        <v>3.1197849999999999E-2</v>
      </c>
      <c r="Q7032">
        <v>0.1552096</v>
      </c>
      <c r="R7032">
        <v>0.98738879999999996</v>
      </c>
      <c r="S7032">
        <v>1.748657E-2</v>
      </c>
      <c r="T7032">
        <v>-0.38788210000000001</v>
      </c>
      <c r="U7032">
        <v>3.0987239999999998</v>
      </c>
      <c r="V7032">
        <v>3.950803E-2</v>
      </c>
      <c r="W7032">
        <v>0.16239770000000001</v>
      </c>
      <c r="X7032">
        <v>0.98593410000000004</v>
      </c>
      <c r="Y7032">
        <v>1.412275E-2</v>
      </c>
      <c r="Z7032">
        <v>-0.1241916</v>
      </c>
      <c r="AA7032">
        <v>0.99215779999999998</v>
      </c>
      <c r="AB7032">
        <v>25</v>
      </c>
      <c r="AC7032">
        <v>7.6999999999998103E-3</v>
      </c>
      <c r="AD7032">
        <v>-0.11202759999999901</v>
      </c>
      <c r="AE7032">
        <v>0.64545399999999997</v>
      </c>
      <c r="AF7032">
        <v>1.28153886994695E-2</v>
      </c>
      <c r="AG7032">
        <v>-0.11202759999999901</v>
      </c>
      <c r="AH7032">
        <v>0.62649477943754905</v>
      </c>
      <c r="AI7032">
        <v>100.136201917073</v>
      </c>
      <c r="AJ7032">
        <v>88.828138205593802</v>
      </c>
      <c r="AK7032">
        <v>0.63656117224645603</v>
      </c>
      <c r="AL7032">
        <v>80.653904955235703</v>
      </c>
      <c r="AM7032">
        <v>87.705289902252105</v>
      </c>
      <c r="AN7032">
        <v>0.99999997347128999</v>
      </c>
    </row>
    <row r="7033" spans="1:40" x14ac:dyDescent="0.25">
      <c r="A7033" t="str">
        <f>"20190312172544508"</f>
        <v>20190312172544508</v>
      </c>
      <c r="B7033" t="str">
        <f>"1552382744497284"</f>
        <v>1552382744497284</v>
      </c>
      <c r="C7033" t="s">
        <v>40</v>
      </c>
      <c r="D7033">
        <v>3.7898540000000001</v>
      </c>
      <c r="E7033">
        <v>0.49491780000000002</v>
      </c>
      <c r="F7033" t="s">
        <v>41</v>
      </c>
      <c r="G7033">
        <v>-187.5112</v>
      </c>
      <c r="H7033">
        <v>1.0134529999999999</v>
      </c>
      <c r="I7033">
        <v>-3.4027210000000001</v>
      </c>
      <c r="J7033">
        <v>-187.518</v>
      </c>
      <c r="K7033">
        <v>1.1098410000000001</v>
      </c>
      <c r="L7033">
        <v>-4.0440060000000004</v>
      </c>
      <c r="M7033">
        <v>-8.94603699999999E-3</v>
      </c>
      <c r="N7033">
        <v>0</v>
      </c>
      <c r="O7033">
        <v>0.99993489999999996</v>
      </c>
      <c r="P7033">
        <v>3.044757E-2</v>
      </c>
      <c r="Q7033">
        <v>0.1555648</v>
      </c>
      <c r="R7033">
        <v>0.98735640000000002</v>
      </c>
      <c r="S7033">
        <v>1.554871E-2</v>
      </c>
      <c r="T7033">
        <v>-0.34100019999999998</v>
      </c>
      <c r="U7033">
        <v>3.091431</v>
      </c>
      <c r="V7033">
        <v>3.9172650000000003E-2</v>
      </c>
      <c r="W7033">
        <v>0.1625878</v>
      </c>
      <c r="X7033">
        <v>0.98591620000000002</v>
      </c>
      <c r="Y7033">
        <v>1.394518E-2</v>
      </c>
      <c r="Z7033">
        <v>-0.1096274</v>
      </c>
      <c r="AA7033">
        <v>0.99387490000000001</v>
      </c>
      <c r="AB7033">
        <v>25</v>
      </c>
      <c r="AC7033">
        <v>6.7999999999983603E-3</v>
      </c>
      <c r="AD7033">
        <v>-9.6387999999999904E-2</v>
      </c>
      <c r="AE7033">
        <v>0.64128499999999899</v>
      </c>
      <c r="AF7033">
        <v>1.22598936862514E-2</v>
      </c>
      <c r="AG7033">
        <v>-9.6387999999999904E-2</v>
      </c>
      <c r="AH7033">
        <v>0.62703448723286503</v>
      </c>
      <c r="AI7033">
        <v>98.737480076153503</v>
      </c>
      <c r="AJ7033">
        <v>88.879885095845296</v>
      </c>
      <c r="AK7033">
        <v>0.634518084625317</v>
      </c>
      <c r="AL7033">
        <v>80.642866772634704</v>
      </c>
      <c r="AM7033">
        <v>87.724707658239197</v>
      </c>
      <c r="AN7033">
        <v>1.00000002131965</v>
      </c>
    </row>
    <row r="7034" spans="1:40" x14ac:dyDescent="0.25">
      <c r="A7034" t="str">
        <f>"20190312172544530"</f>
        <v>20190312172544530</v>
      </c>
      <c r="B7034" t="str">
        <f>"1552382744527537"</f>
        <v>1552382744527537</v>
      </c>
      <c r="C7034" t="s">
        <v>40</v>
      </c>
      <c r="D7034">
        <v>3.8333919999999999</v>
      </c>
      <c r="E7034">
        <v>0.4948091</v>
      </c>
      <c r="F7034" t="s">
        <v>41</v>
      </c>
      <c r="G7034">
        <v>-187.51410000000001</v>
      </c>
      <c r="H7034">
        <v>1.022016</v>
      </c>
      <c r="I7034">
        <v>-3.1765119999999998</v>
      </c>
      <c r="J7034">
        <v>-187.52070000000001</v>
      </c>
      <c r="K7034">
        <v>1.10982</v>
      </c>
      <c r="L7034">
        <v>-3.7940369999999999</v>
      </c>
      <c r="M7034">
        <v>-9.4006950000000006E-3</v>
      </c>
      <c r="N7034">
        <v>0</v>
      </c>
      <c r="O7034">
        <v>0.99993189999999998</v>
      </c>
      <c r="P7034">
        <v>2.982243E-2</v>
      </c>
      <c r="Q7034">
        <v>0.1556109</v>
      </c>
      <c r="R7034">
        <v>0.98736820000000003</v>
      </c>
      <c r="S7034">
        <v>1.3854979999999999E-2</v>
      </c>
      <c r="T7034">
        <v>-0.31255260000000001</v>
      </c>
      <c r="U7034">
        <v>3.0872190000000002</v>
      </c>
      <c r="V7034">
        <v>3.899474E-2</v>
      </c>
      <c r="W7034">
        <v>0.1624546</v>
      </c>
      <c r="X7034">
        <v>0.98594519999999997</v>
      </c>
      <c r="Y7034">
        <v>1.386561E-2</v>
      </c>
      <c r="Z7034">
        <v>-0.1007139</v>
      </c>
      <c r="AA7034">
        <v>0.9948188</v>
      </c>
      <c r="AB7034">
        <v>25</v>
      </c>
      <c r="AC7034">
        <v>6.5999999999917201E-3</v>
      </c>
      <c r="AD7034">
        <v>-8.7803999999999993E-2</v>
      </c>
      <c r="AE7034">
        <v>0.61752499999999999</v>
      </c>
      <c r="AF7034">
        <v>1.2159214983160501E-2</v>
      </c>
      <c r="AG7034">
        <v>-8.7803999999999993E-2</v>
      </c>
      <c r="AH7034">
        <v>0.60520162305798497</v>
      </c>
      <c r="AI7034">
        <v>98.253358852472203</v>
      </c>
      <c r="AJ7034">
        <v>88.849015008514797</v>
      </c>
      <c r="AK7034">
        <v>0.61165872304498803</v>
      </c>
      <c r="AL7034">
        <v>80.650601314882294</v>
      </c>
      <c r="AM7034">
        <v>87.735097093022702</v>
      </c>
      <c r="AN7034">
        <v>1.00000001210593</v>
      </c>
    </row>
    <row r="7035" spans="1:40" x14ac:dyDescent="0.25">
      <c r="A7035" t="str">
        <f>"20190312172544552"</f>
        <v>20190312172544552</v>
      </c>
      <c r="B7035" t="str">
        <f>"1552382744547058"</f>
        <v>1552382744547058</v>
      </c>
      <c r="C7035" t="s">
        <v>40</v>
      </c>
      <c r="D7035">
        <v>3.7774380000000001</v>
      </c>
      <c r="E7035">
        <v>0.49498910000000002</v>
      </c>
      <c r="F7035" t="s">
        <v>41</v>
      </c>
      <c r="G7035">
        <v>-187.51740000000001</v>
      </c>
      <c r="H7035">
        <v>1.03149</v>
      </c>
      <c r="I7035">
        <v>-2.9488599999999998</v>
      </c>
      <c r="J7035">
        <v>-187.52359999999999</v>
      </c>
      <c r="K7035">
        <v>1.109793</v>
      </c>
      <c r="L7035">
        <v>-3.5393680000000001</v>
      </c>
      <c r="M7035">
        <v>-9.8643040000000008E-3</v>
      </c>
      <c r="N7035">
        <v>0</v>
      </c>
      <c r="O7035">
        <v>0.99992879999999995</v>
      </c>
      <c r="P7035">
        <v>3.0001900000000001E-2</v>
      </c>
      <c r="Q7035">
        <v>0.15629270000000001</v>
      </c>
      <c r="R7035">
        <v>0.98725499999999999</v>
      </c>
      <c r="S7035">
        <v>1.2191769999999999E-2</v>
      </c>
      <c r="T7035">
        <v>-0.2857364</v>
      </c>
      <c r="U7035">
        <v>3.0830380000000002</v>
      </c>
      <c r="V7035">
        <v>3.9628709999999998E-2</v>
      </c>
      <c r="W7035">
        <v>0.16294819999999999</v>
      </c>
      <c r="X7035">
        <v>0.98583849999999995</v>
      </c>
      <c r="Y7035">
        <v>1.3801819999999999E-2</v>
      </c>
      <c r="Z7035">
        <v>-9.2273179999999996E-2</v>
      </c>
      <c r="AA7035">
        <v>0.99563809999999997</v>
      </c>
      <c r="AB7035">
        <v>25</v>
      </c>
      <c r="AC7035">
        <v>6.1999999999784398E-3</v>
      </c>
      <c r="AD7035">
        <v>-7.8302999999999998E-2</v>
      </c>
      <c r="AE7035">
        <v>0.59050800000000003</v>
      </c>
      <c r="AF7035">
        <v>1.18170184944499E-2</v>
      </c>
      <c r="AG7035">
        <v>-7.8302999999999998E-2</v>
      </c>
      <c r="AH7035">
        <v>0.58021698973042601</v>
      </c>
      <c r="AI7035">
        <v>97.684323260055905</v>
      </c>
      <c r="AJ7035">
        <v>88.833243929955799</v>
      </c>
      <c r="AK7035">
        <v>0.58559606975024603</v>
      </c>
      <c r="AL7035">
        <v>80.621938544247598</v>
      </c>
      <c r="AM7035">
        <v>87.698065115020398</v>
      </c>
      <c r="AN7035">
        <v>1.0000000493108701</v>
      </c>
    </row>
    <row r="7036" spans="1:40" x14ac:dyDescent="0.25">
      <c r="A7036" t="str">
        <f>"20190312172544574"</f>
        <v>20190312172544574</v>
      </c>
      <c r="B7036" t="str">
        <f>"1552382744567552"</f>
        <v>1552382744567552</v>
      </c>
      <c r="C7036" t="s">
        <v>40</v>
      </c>
      <c r="D7036">
        <v>3.7940860000000001</v>
      </c>
      <c r="E7036">
        <v>0.49508960000000002</v>
      </c>
      <c r="F7036" t="s">
        <v>41</v>
      </c>
      <c r="G7036">
        <v>-187.5198</v>
      </c>
      <c r="H7036">
        <v>1.0373619999999999</v>
      </c>
      <c r="I7036">
        <v>-2.7219159999999998</v>
      </c>
      <c r="J7036">
        <v>-187.5265</v>
      </c>
      <c r="K7036">
        <v>1.1097680000000001</v>
      </c>
      <c r="L7036">
        <v>-3.2936399999999999</v>
      </c>
      <c r="M7036">
        <v>-1.031113E-2</v>
      </c>
      <c r="N7036">
        <v>0</v>
      </c>
      <c r="O7036">
        <v>0.99992559999999997</v>
      </c>
      <c r="P7036">
        <v>3.0143130000000001E-2</v>
      </c>
      <c r="Q7036">
        <v>0.15647629999999901</v>
      </c>
      <c r="R7036">
        <v>0.98722169999999998</v>
      </c>
      <c r="S7036">
        <v>1.390076E-2</v>
      </c>
      <c r="T7036">
        <v>-0.27305469999999998</v>
      </c>
      <c r="U7036">
        <v>3.0815429999999999</v>
      </c>
      <c r="V7036">
        <v>4.0209010000000003E-2</v>
      </c>
      <c r="W7036">
        <v>0.162943</v>
      </c>
      <c r="X7036">
        <v>0.98581580000000002</v>
      </c>
      <c r="Y7036">
        <v>1.4804329999999999E-2</v>
      </c>
      <c r="Z7036">
        <v>-8.8251590000000005E-2</v>
      </c>
      <c r="AA7036">
        <v>0.99598819999999999</v>
      </c>
      <c r="AB7036">
        <v>25</v>
      </c>
      <c r="AC7036">
        <v>6.6999999999950398E-3</v>
      </c>
      <c r="AD7036">
        <v>-7.2405999999999901E-2</v>
      </c>
      <c r="AE7036">
        <v>0.57172400000000001</v>
      </c>
      <c r="AF7036">
        <v>1.2396096276250001E-2</v>
      </c>
      <c r="AG7036">
        <v>-7.2405999999999901E-2</v>
      </c>
      <c r="AH7036">
        <v>0.56260220276879502</v>
      </c>
      <c r="AI7036">
        <v>97.331802716068296</v>
      </c>
      <c r="AJ7036">
        <v>88.737777609537503</v>
      </c>
      <c r="AK7036">
        <v>0.56737776709983101</v>
      </c>
      <c r="AL7036">
        <v>80.622239943981597</v>
      </c>
      <c r="AM7036">
        <v>87.664340245875593</v>
      </c>
      <c r="AN7036">
        <v>0.99999998863190998</v>
      </c>
    </row>
    <row r="7037" spans="1:40" x14ac:dyDescent="0.25">
      <c r="A7037" t="str">
        <f>"20190312172544597"</f>
        <v>20190312172544597</v>
      </c>
      <c r="B7037" t="str">
        <f>"1552382744587580"</f>
        <v>1552382744587580</v>
      </c>
      <c r="C7037" t="s">
        <v>40</v>
      </c>
      <c r="D7037">
        <v>3.7881149999999999</v>
      </c>
      <c r="E7037">
        <v>0.4950541</v>
      </c>
      <c r="F7037" t="s">
        <v>41</v>
      </c>
      <c r="G7037">
        <v>-187.52250000000001</v>
      </c>
      <c r="H7037">
        <v>1.0412629999999901</v>
      </c>
      <c r="I7037">
        <v>-2.49424</v>
      </c>
      <c r="J7037">
        <v>-187.52959999999999</v>
      </c>
      <c r="K7037">
        <v>1.1097410000000001</v>
      </c>
      <c r="L7037">
        <v>-3.043304</v>
      </c>
      <c r="M7037">
        <v>-1.0766070000000001E-2</v>
      </c>
      <c r="N7037">
        <v>0</v>
      </c>
      <c r="O7037">
        <v>0.99992199999999998</v>
      </c>
      <c r="P7037">
        <v>2.9954689999999999E-2</v>
      </c>
      <c r="Q7037">
        <v>0.1569035</v>
      </c>
      <c r="R7037">
        <v>0.98715960000000003</v>
      </c>
      <c r="S7037">
        <v>1.5090940000000001E-2</v>
      </c>
      <c r="T7037">
        <v>-0.263963</v>
      </c>
      <c r="U7037">
        <v>3.0802</v>
      </c>
      <c r="V7037">
        <v>4.0467330000000003E-2</v>
      </c>
      <c r="W7037">
        <v>0.1631697</v>
      </c>
      <c r="X7037">
        <v>0.98576770000000002</v>
      </c>
      <c r="Y7037">
        <v>1.564726E-2</v>
      </c>
      <c r="Z7037">
        <v>-8.5370589999999996E-2</v>
      </c>
      <c r="AA7037">
        <v>0.99622639999999996</v>
      </c>
      <c r="AB7037">
        <v>25</v>
      </c>
      <c r="AC7037">
        <v>7.0999999999799002E-3</v>
      </c>
      <c r="AD7037">
        <v>-6.8478000000000205E-2</v>
      </c>
      <c r="AE7037">
        <v>0.549064</v>
      </c>
      <c r="AF7037">
        <v>1.2811721763577999E-2</v>
      </c>
      <c r="AG7037">
        <v>-6.8478000000000205E-2</v>
      </c>
      <c r="AH7037">
        <v>0.54054916758321703</v>
      </c>
      <c r="AI7037">
        <v>97.217895508655999</v>
      </c>
      <c r="AJ7037">
        <v>88.642269338458902</v>
      </c>
      <c r="AK7037">
        <v>0.54501998061856105</v>
      </c>
      <c r="AL7037">
        <v>80.609074499259293</v>
      </c>
      <c r="AM7037">
        <v>87.649237170025302</v>
      </c>
      <c r="AN7037">
        <v>0.99999995707935296</v>
      </c>
    </row>
    <row r="7038" spans="1:40" x14ac:dyDescent="0.25">
      <c r="A7038" t="str">
        <f>"20190312172544619"</f>
        <v>20190312172544619</v>
      </c>
      <c r="B7038" t="str">
        <f>"1552382744616860"</f>
        <v>1552382744616860</v>
      </c>
      <c r="C7038" t="s">
        <v>40</v>
      </c>
      <c r="D7038">
        <v>3.7816239999999999</v>
      </c>
      <c r="E7038">
        <v>0.49515569999999998</v>
      </c>
      <c r="F7038" t="s">
        <v>41</v>
      </c>
      <c r="G7038">
        <v>-187.5256</v>
      </c>
      <c r="H7038">
        <v>1.0450740000000001</v>
      </c>
      <c r="I7038">
        <v>-2.2646790000000001</v>
      </c>
      <c r="J7038">
        <v>-187.53270000000001</v>
      </c>
      <c r="K7038">
        <v>1.1097079999999999</v>
      </c>
      <c r="L7038">
        <v>-2.7919309999999999</v>
      </c>
      <c r="M7038">
        <v>-1.1222070000000001E-2</v>
      </c>
      <c r="N7038">
        <v>0</v>
      </c>
      <c r="O7038">
        <v>0.99991830000000004</v>
      </c>
      <c r="P7038">
        <v>2.97813E-2</v>
      </c>
      <c r="Q7038">
        <v>0.15703230000000001</v>
      </c>
      <c r="R7038">
        <v>0.98714440000000003</v>
      </c>
      <c r="S7038">
        <v>1.5075679999999999E-2</v>
      </c>
      <c r="T7038">
        <v>-0.25574000000000002</v>
      </c>
      <c r="U7038">
        <v>3.079224</v>
      </c>
      <c r="V7038">
        <v>4.0742489999999999E-2</v>
      </c>
      <c r="W7038">
        <v>0.1630935</v>
      </c>
      <c r="X7038">
        <v>0.98576900000000001</v>
      </c>
      <c r="Y7038">
        <v>1.6100929999999999E-2</v>
      </c>
      <c r="Z7038">
        <v>-8.2754789999999995E-2</v>
      </c>
      <c r="AA7038">
        <v>0.99643990000000005</v>
      </c>
      <c r="AB7038">
        <v>25</v>
      </c>
      <c r="AC7038">
        <v>7.1000000000083201E-3</v>
      </c>
      <c r="AD7038">
        <v>-6.4633999999999803E-2</v>
      </c>
      <c r="AE7038">
        <v>0.52725199999999905</v>
      </c>
      <c r="AF7038">
        <v>1.2823847647557601E-2</v>
      </c>
      <c r="AG7038">
        <v>-6.4633999999999803E-2</v>
      </c>
      <c r="AH7038">
        <v>0.519336230048556</v>
      </c>
      <c r="AI7038">
        <v>97.092129725779301</v>
      </c>
      <c r="AJ7038">
        <v>88.585496206000698</v>
      </c>
      <c r="AK7038">
        <v>0.52349988048282703</v>
      </c>
      <c r="AL7038">
        <v>80.613499941297206</v>
      </c>
      <c r="AM7038">
        <v>87.633274251843304</v>
      </c>
      <c r="AN7038">
        <v>0.999999980797324</v>
      </c>
    </row>
    <row r="7039" spans="1:40" x14ac:dyDescent="0.25">
      <c r="A7039" t="str">
        <f>"20190312172544641"</f>
        <v>20190312172544641</v>
      </c>
      <c r="B7039" t="str">
        <f>"1552382744637356"</f>
        <v>1552382744637356</v>
      </c>
      <c r="C7039" t="s">
        <v>40</v>
      </c>
      <c r="D7039">
        <v>3.8600110000000001</v>
      </c>
      <c r="E7039">
        <v>0.49519069999999998</v>
      </c>
      <c r="F7039" t="s">
        <v>41</v>
      </c>
      <c r="G7039">
        <v>-187.52869999999999</v>
      </c>
      <c r="H7039">
        <v>1.0488999999999999</v>
      </c>
      <c r="I7039">
        <v>-2.0339700000000001</v>
      </c>
      <c r="J7039">
        <v>-187.536</v>
      </c>
      <c r="K7039">
        <v>1.1096779999999999</v>
      </c>
      <c r="L7039">
        <v>-2.5432739999999998</v>
      </c>
      <c r="M7039">
        <v>-1.1672119999999999E-2</v>
      </c>
      <c r="N7039">
        <v>0</v>
      </c>
      <c r="O7039">
        <v>0.99991439999999998</v>
      </c>
      <c r="P7039">
        <v>2.9701410000000001E-2</v>
      </c>
      <c r="Q7039">
        <v>0.1574989</v>
      </c>
      <c r="R7039">
        <v>0.98707239999999996</v>
      </c>
      <c r="S7039">
        <v>1.6036990000000001E-2</v>
      </c>
      <c r="T7039">
        <v>-0.24692</v>
      </c>
      <c r="U7039">
        <v>3.0778500000000002</v>
      </c>
      <c r="V7039">
        <v>4.1104370000000001E-2</v>
      </c>
      <c r="W7039">
        <v>0.16335459999999999</v>
      </c>
      <c r="X7039">
        <v>0.98571070000000005</v>
      </c>
      <c r="Y7039">
        <v>1.6865499999999999E-2</v>
      </c>
      <c r="Z7039">
        <v>-7.9953499999999997E-2</v>
      </c>
      <c r="AA7039">
        <v>0.99665590000000004</v>
      </c>
      <c r="AB7039">
        <v>25</v>
      </c>
      <c r="AC7039">
        <v>7.2999999999865299E-3</v>
      </c>
      <c r="AD7039">
        <v>-6.07780000000002E-2</v>
      </c>
      <c r="AE7039">
        <v>0.50930399999999998</v>
      </c>
      <c r="AF7039">
        <v>1.3058339179688801E-2</v>
      </c>
      <c r="AG7039">
        <v>-6.07780000000002E-2</v>
      </c>
      <c r="AH7039">
        <v>0.50203609915292302</v>
      </c>
      <c r="AI7039">
        <v>96.900495697956103</v>
      </c>
      <c r="AJ7039">
        <v>88.510029336537798</v>
      </c>
      <c r="AK7039">
        <v>0.50587027028558995</v>
      </c>
      <c r="AL7039">
        <v>80.598336265200999</v>
      </c>
      <c r="AM7039">
        <v>87.612135855985898</v>
      </c>
      <c r="AN7039">
        <v>0.99999993933437104</v>
      </c>
    </row>
    <row r="7040" spans="1:40" x14ac:dyDescent="0.25">
      <c r="A7040" t="str">
        <f>"20190312172544666"</f>
        <v>20190312172544666</v>
      </c>
      <c r="B7040" t="str">
        <f>"1552382744657852"</f>
        <v>1552382744657852</v>
      </c>
      <c r="C7040" t="s">
        <v>40</v>
      </c>
      <c r="D7040">
        <v>3.8544429999999998</v>
      </c>
      <c r="E7040">
        <v>0.49518699999999999</v>
      </c>
      <c r="F7040" t="s">
        <v>43</v>
      </c>
      <c r="G7040">
        <v>-187.4607</v>
      </c>
      <c r="H7040" s="1">
        <v>-1.383593E-6</v>
      </c>
      <c r="I7040">
        <v>11.728389999999999</v>
      </c>
      <c r="J7040">
        <v>-187.53980000000001</v>
      </c>
      <c r="K7040">
        <v>1.109642</v>
      </c>
      <c r="L7040">
        <v>-2.2638240000000001</v>
      </c>
      <c r="M7040">
        <v>-1.217732E-2</v>
      </c>
      <c r="N7040">
        <v>0</v>
      </c>
      <c r="O7040">
        <v>0.99990979999999996</v>
      </c>
      <c r="P7040">
        <v>2.9663740000000001E-2</v>
      </c>
      <c r="Q7040">
        <v>0.15814739999999999</v>
      </c>
      <c r="R7040">
        <v>0.98696980000000001</v>
      </c>
      <c r="S7040">
        <v>1.6235349999999999E-2</v>
      </c>
      <c r="T7040">
        <v>-0.2392464</v>
      </c>
      <c r="U7040">
        <v>3.076965</v>
      </c>
      <c r="V7040">
        <v>4.1562290000000002E-2</v>
      </c>
      <c r="W7040">
        <v>0.1637709</v>
      </c>
      <c r="X7040">
        <v>0.98562249999999996</v>
      </c>
      <c r="Y7040">
        <v>1.7437419999999999E-2</v>
      </c>
      <c r="Z7040">
        <v>-7.7504989999999996E-2</v>
      </c>
      <c r="AA7040">
        <v>0.99683949999999999</v>
      </c>
      <c r="AB7040">
        <v>25</v>
      </c>
      <c r="AC7040">
        <v>7.9100000000010995E-2</v>
      </c>
      <c r="AD7040">
        <v>-1.109643383593</v>
      </c>
      <c r="AE7040">
        <v>13.992214000000001</v>
      </c>
      <c r="AF7040">
        <v>0.247925340319815</v>
      </c>
      <c r="AG7040">
        <v>-1.109643383593</v>
      </c>
      <c r="AH7040">
        <v>13.902778978211201</v>
      </c>
      <c r="AI7040">
        <v>94.562638095127895</v>
      </c>
      <c r="AJ7040">
        <v>88.978364673252798</v>
      </c>
      <c r="AK7040">
        <v>13.949194913331601</v>
      </c>
      <c r="AL7040">
        <v>80.574159212896603</v>
      </c>
      <c r="AM7040">
        <v>87.585349547659305</v>
      </c>
      <c r="AN7040">
        <v>1.0000000220715499</v>
      </c>
    </row>
    <row r="7041" spans="1:40" x14ac:dyDescent="0.25">
      <c r="A7041" t="str">
        <f>"20190312172544689"</f>
        <v>20190312172544689</v>
      </c>
      <c r="B7041" t="str">
        <f>"1552382744677372"</f>
        <v>1552382744677372</v>
      </c>
      <c r="C7041" t="s">
        <v>40</v>
      </c>
      <c r="D7041">
        <v>3.8301029999999998</v>
      </c>
      <c r="E7041">
        <v>0.49517169999999999</v>
      </c>
      <c r="F7041" t="s">
        <v>41</v>
      </c>
      <c r="G7041">
        <v>-187.535</v>
      </c>
      <c r="H7041">
        <v>1.0408389999999901</v>
      </c>
      <c r="I7041">
        <v>-1.351709</v>
      </c>
      <c r="J7041">
        <v>-187.5436</v>
      </c>
      <c r="K7041">
        <v>1.10961</v>
      </c>
      <c r="L7041">
        <v>-1.992645</v>
      </c>
      <c r="M7041">
        <v>-1.266653E-2</v>
      </c>
      <c r="N7041">
        <v>0</v>
      </c>
      <c r="O7041">
        <v>0.99990489999999999</v>
      </c>
      <c r="P7041">
        <v>2.9551259999999999E-2</v>
      </c>
      <c r="Q7041">
        <v>0.15897320000000001</v>
      </c>
      <c r="R7041">
        <v>0.98684050000000001</v>
      </c>
      <c r="S7041">
        <v>1.5823360000000002E-2</v>
      </c>
      <c r="T7041">
        <v>-0.2320642</v>
      </c>
      <c r="U7041">
        <v>3.0763240000000001</v>
      </c>
      <c r="V7041">
        <v>4.1929059999999997E-2</v>
      </c>
      <c r="W7041">
        <v>0.16437769999999999</v>
      </c>
      <c r="X7041">
        <v>0.98550590000000005</v>
      </c>
      <c r="Y7041">
        <v>1.779509E-2</v>
      </c>
      <c r="Z7041">
        <v>-7.5206350000000005E-2</v>
      </c>
      <c r="AA7041">
        <v>0.99700920000000004</v>
      </c>
      <c r="AB7041">
        <v>26</v>
      </c>
      <c r="AC7041">
        <v>8.6000000000012698E-3</v>
      </c>
      <c r="AD7041">
        <v>-6.8771000000000096E-2</v>
      </c>
      <c r="AE7041">
        <v>0.64093599999999995</v>
      </c>
      <c r="AF7041">
        <v>1.65276207812994E-2</v>
      </c>
      <c r="AG7041">
        <v>-6.8771000000000096E-2</v>
      </c>
      <c r="AH7041">
        <v>0.63348378067521904</v>
      </c>
      <c r="AI7041">
        <v>96.193675077030903</v>
      </c>
      <c r="AJ7041">
        <v>88.505489532848699</v>
      </c>
      <c r="AK7041">
        <v>0.63742004445127098</v>
      </c>
      <c r="AL7041">
        <v>80.538914063256598</v>
      </c>
      <c r="AM7041">
        <v>87.563778952929994</v>
      </c>
      <c r="AN7041">
        <v>0.99999997663229101</v>
      </c>
    </row>
    <row r="7042" spans="1:40" x14ac:dyDescent="0.25">
      <c r="A7042" t="str">
        <f>"20190312172544711"</f>
        <v>20190312172544711</v>
      </c>
      <c r="B7042" t="str">
        <f>"1552382744707628"</f>
        <v>1552382744707628</v>
      </c>
      <c r="C7042" t="s">
        <v>40</v>
      </c>
      <c r="D7042">
        <v>3.8453539999999999</v>
      </c>
      <c r="E7042">
        <v>0.49521559999999998</v>
      </c>
      <c r="F7042" t="s">
        <v>41</v>
      </c>
      <c r="G7042">
        <v>-187.53909999999999</v>
      </c>
      <c r="H7042">
        <v>1.0454049999999999</v>
      </c>
      <c r="I7042">
        <v>-1.1157459999999999</v>
      </c>
      <c r="J7042">
        <v>-187.54740000000001</v>
      </c>
      <c r="K7042">
        <v>1.1095870000000001</v>
      </c>
      <c r="L7042">
        <v>-1.733643</v>
      </c>
      <c r="M7042">
        <v>-1.3132899999999999E-2</v>
      </c>
      <c r="N7042">
        <v>0</v>
      </c>
      <c r="O7042">
        <v>0.99990000000000001</v>
      </c>
      <c r="P7042">
        <v>2.9157369999999998E-2</v>
      </c>
      <c r="Q7042">
        <v>0.15964979999999901</v>
      </c>
      <c r="R7042">
        <v>0.98674300000000004</v>
      </c>
      <c r="S7042">
        <v>1.5625E-2</v>
      </c>
      <c r="T7042">
        <v>-0.2252122</v>
      </c>
      <c r="U7042">
        <v>3.075806</v>
      </c>
      <c r="V7042">
        <v>4.1992309999999998E-2</v>
      </c>
      <c r="W7042">
        <v>0.16485649999999999</v>
      </c>
      <c r="X7042">
        <v>0.9854233</v>
      </c>
      <c r="Y7042">
        <v>1.8198809999999999E-2</v>
      </c>
      <c r="Z7042">
        <v>-7.3009110000000002E-2</v>
      </c>
      <c r="AA7042">
        <v>0.99716519999999997</v>
      </c>
      <c r="AB7042">
        <v>26</v>
      </c>
      <c r="AC7042">
        <v>8.3000000000197308E-3</v>
      </c>
      <c r="AD7042">
        <v>-6.41820000000001E-2</v>
      </c>
      <c r="AE7042">
        <v>0.61789700000000003</v>
      </c>
      <c r="AF7042">
        <v>1.6238999098329501E-2</v>
      </c>
      <c r="AG7042">
        <v>-6.41820000000001E-2</v>
      </c>
      <c r="AH7042">
        <v>0.61114208468257702</v>
      </c>
      <c r="AI7042">
        <v>95.993113288246903</v>
      </c>
      <c r="AJ7042">
        <v>88.477919860593403</v>
      </c>
      <c r="AK7042">
        <v>0.61471756269516298</v>
      </c>
      <c r="AL7042">
        <v>80.511102112273903</v>
      </c>
      <c r="AM7042">
        <v>87.559904081644703</v>
      </c>
      <c r="AN7042">
        <v>1.00000004993713</v>
      </c>
    </row>
    <row r="7043" spans="1:40" x14ac:dyDescent="0.25">
      <c r="A7043" t="str">
        <f>"20190312172544732"</f>
        <v>20190312172544732</v>
      </c>
      <c r="B7043" t="str">
        <f>"1552382744727148"</f>
        <v>1552382744727148</v>
      </c>
      <c r="C7043" t="s">
        <v>40</v>
      </c>
      <c r="D7043">
        <v>3.8337430000000001</v>
      </c>
      <c r="E7043">
        <v>0.49519279999999999</v>
      </c>
      <c r="F7043" t="s">
        <v>41</v>
      </c>
      <c r="G7043">
        <v>-187.54320000000001</v>
      </c>
      <c r="H7043">
        <v>1.048983</v>
      </c>
      <c r="I7043">
        <v>-0.87910250000000001</v>
      </c>
      <c r="J7043">
        <v>-187.55099999999999</v>
      </c>
      <c r="K7043">
        <v>1.1095660000000001</v>
      </c>
      <c r="L7043">
        <v>-1.4941409999999999</v>
      </c>
      <c r="M7043">
        <v>-1.356337E-2</v>
      </c>
      <c r="N7043">
        <v>0</v>
      </c>
      <c r="O7043">
        <v>0.99989519999999998</v>
      </c>
      <c r="P7043">
        <v>2.88407E-2</v>
      </c>
      <c r="Q7043">
        <v>0.16032080000000001</v>
      </c>
      <c r="R7043">
        <v>0.98664359999999995</v>
      </c>
      <c r="S7043">
        <v>1.4831540000000001E-2</v>
      </c>
      <c r="T7043">
        <v>-0.2180935</v>
      </c>
      <c r="U7043">
        <v>3.0751650000000001</v>
      </c>
      <c r="V7043">
        <v>4.2097259999999997E-2</v>
      </c>
      <c r="W7043">
        <v>0.1653522</v>
      </c>
      <c r="X7043">
        <v>0.98533570000000004</v>
      </c>
      <c r="Y7043">
        <v>1.8373819999999999E-2</v>
      </c>
      <c r="Z7043">
        <v>-7.0727100000000001E-2</v>
      </c>
      <c r="AA7043">
        <v>0.9973265</v>
      </c>
      <c r="AB7043">
        <v>26</v>
      </c>
      <c r="AC7043">
        <v>7.79999999997471E-3</v>
      </c>
      <c r="AD7043">
        <v>-6.0582999999999998E-2</v>
      </c>
      <c r="AE7043">
        <v>0.61503849999999904</v>
      </c>
      <c r="AF7043">
        <v>1.5986297251024399E-2</v>
      </c>
      <c r="AG7043">
        <v>-6.0582999999999998E-2</v>
      </c>
      <c r="AH7043">
        <v>0.60896838112047202</v>
      </c>
      <c r="AI7043">
        <v>95.679412220999595</v>
      </c>
      <c r="AJ7043">
        <v>88.496248617957306</v>
      </c>
      <c r="AK7043">
        <v>0.61218326569197101</v>
      </c>
      <c r="AL7043">
        <v>80.482304773507096</v>
      </c>
      <c r="AM7043">
        <v>87.553595818076005</v>
      </c>
      <c r="AN7043">
        <v>0.99999998551941804</v>
      </c>
    </row>
    <row r="7044" spans="1:40" x14ac:dyDescent="0.25">
      <c r="A7044" t="str">
        <f>"20190312172544752"</f>
        <v>20190312172544752</v>
      </c>
      <c r="B7044" t="str">
        <f>"1552382744747643"</f>
        <v>1552382744747643</v>
      </c>
      <c r="C7044" t="s">
        <v>40</v>
      </c>
      <c r="D7044">
        <v>3.8435510000000002</v>
      </c>
      <c r="E7044">
        <v>0.49522470000000002</v>
      </c>
      <c r="F7044" t="s">
        <v>41</v>
      </c>
      <c r="G7044">
        <v>-187.5471</v>
      </c>
      <c r="H7044">
        <v>1.050732</v>
      </c>
      <c r="I7044">
        <v>-0.64283159999999995</v>
      </c>
      <c r="J7044">
        <v>-187.5549</v>
      </c>
      <c r="K7044">
        <v>1.1095440000000001</v>
      </c>
      <c r="L7044">
        <v>-1.2417910000000001</v>
      </c>
      <c r="M7044">
        <v>-1.4016270000000001E-2</v>
      </c>
      <c r="N7044">
        <v>0</v>
      </c>
      <c r="O7044">
        <v>0.99988980000000005</v>
      </c>
      <c r="P7044">
        <v>2.8478650000000001E-2</v>
      </c>
      <c r="Q7044">
        <v>0.1608724</v>
      </c>
      <c r="R7044">
        <v>0.98656429999999995</v>
      </c>
      <c r="S7044">
        <v>1.4053339999999999E-2</v>
      </c>
      <c r="T7044">
        <v>-0.21249960000000001</v>
      </c>
      <c r="U7044">
        <v>3.074738</v>
      </c>
      <c r="V7044">
        <v>4.2179179999999997E-2</v>
      </c>
      <c r="W7044">
        <v>0.1657265</v>
      </c>
      <c r="X7044">
        <v>0.98526930000000001</v>
      </c>
      <c r="Y7044">
        <v>1.8575500000000002E-2</v>
      </c>
      <c r="Z7044">
        <v>-6.8930539999999998E-2</v>
      </c>
      <c r="AA7044">
        <v>0.99744849999999996</v>
      </c>
      <c r="AB7044">
        <v>26</v>
      </c>
      <c r="AC7044">
        <v>7.80000000000313E-3</v>
      </c>
      <c r="AD7044">
        <v>-5.8812000000000003E-2</v>
      </c>
      <c r="AE7044">
        <v>0.59895940000000003</v>
      </c>
      <c r="AF7044">
        <v>1.6039891168327498E-2</v>
      </c>
      <c r="AG7044">
        <v>-5.8812000000000003E-2</v>
      </c>
      <c r="AH7044">
        <v>0.593074176294213</v>
      </c>
      <c r="AI7044">
        <v>95.661145148254604</v>
      </c>
      <c r="AJ7044">
        <v>88.450793963383603</v>
      </c>
      <c r="AK7044">
        <v>0.59619888295748302</v>
      </c>
      <c r="AL7044">
        <v>80.460558836092403</v>
      </c>
      <c r="AM7044">
        <v>87.548676001233304</v>
      </c>
      <c r="AN7044">
        <v>0.99999997477510505</v>
      </c>
    </row>
    <row r="7045" spans="1:40" x14ac:dyDescent="0.25">
      <c r="A7045" t="str">
        <f>"20190312172544776"</f>
        <v>20190312172544776</v>
      </c>
      <c r="B7045" t="str">
        <f>"1552382744767163"</f>
        <v>1552382744767163</v>
      </c>
      <c r="C7045" t="s">
        <v>40</v>
      </c>
      <c r="D7045">
        <v>3.849002</v>
      </c>
      <c r="E7045">
        <v>0.49529990000000002</v>
      </c>
      <c r="F7045" t="s">
        <v>41</v>
      </c>
      <c r="G7045">
        <v>-187.55109999999999</v>
      </c>
      <c r="H7045">
        <v>1.052359</v>
      </c>
      <c r="I7045">
        <v>-0.39540180000000003</v>
      </c>
      <c r="J7045">
        <v>-187.55940000000001</v>
      </c>
      <c r="K7045">
        <v>1.109521</v>
      </c>
      <c r="L7045">
        <v>-0.95947269999999896</v>
      </c>
      <c r="M7045">
        <v>-1.452178E-2</v>
      </c>
      <c r="N7045">
        <v>0</v>
      </c>
      <c r="O7045">
        <v>0.99988350000000004</v>
      </c>
      <c r="P7045">
        <v>2.815459E-2</v>
      </c>
      <c r="Q7045">
        <v>0.16129849999999901</v>
      </c>
      <c r="R7045">
        <v>0.98650400000000005</v>
      </c>
      <c r="S7045">
        <v>1.351929E-2</v>
      </c>
      <c r="T7045">
        <v>-0.20772209999999999</v>
      </c>
      <c r="U7045">
        <v>3.074341</v>
      </c>
      <c r="V7045">
        <v>4.235129E-2</v>
      </c>
      <c r="W7045">
        <v>0.16596540000000001</v>
      </c>
      <c r="X7045">
        <v>0.98522169999999998</v>
      </c>
      <c r="Y7045">
        <v>1.8908749999999998E-2</v>
      </c>
      <c r="Z7045">
        <v>-6.7395659999999996E-2</v>
      </c>
      <c r="AA7045">
        <v>0.99754710000000002</v>
      </c>
      <c r="AB7045">
        <v>26</v>
      </c>
      <c r="AC7045">
        <v>8.3000000000197308E-3</v>
      </c>
      <c r="AD7045">
        <v>-5.71619999999999E-2</v>
      </c>
      <c r="AE7045">
        <v>0.56407089999999904</v>
      </c>
      <c r="AF7045">
        <v>1.63229374190468E-2</v>
      </c>
      <c r="AG7045">
        <v>-5.71619999999999E-2</v>
      </c>
      <c r="AH7045">
        <v>0.55816012712208696</v>
      </c>
      <c r="AI7045">
        <v>95.844877886327197</v>
      </c>
      <c r="AJ7045">
        <v>88.3249091017708</v>
      </c>
      <c r="AK7045">
        <v>0.56131689805218798</v>
      </c>
      <c r="AL7045">
        <v>80.446678629522495</v>
      </c>
      <c r="AM7045">
        <v>87.538567004792199</v>
      </c>
      <c r="AN7045">
        <v>0.99999997195635604</v>
      </c>
    </row>
    <row r="7046" spans="1:40" x14ac:dyDescent="0.25">
      <c r="A7046" t="str">
        <f>"20190312172544798"</f>
        <v>20190312172544798</v>
      </c>
      <c r="B7046" t="str">
        <f>"1552382744787663"</f>
        <v>1552382744787663</v>
      </c>
      <c r="C7046" t="s">
        <v>40</v>
      </c>
      <c r="D7046">
        <v>3.8721800000000002</v>
      </c>
      <c r="E7046">
        <v>0.49533389999999999</v>
      </c>
      <c r="F7046" t="s">
        <v>43</v>
      </c>
      <c r="G7046">
        <v>-187.48689999999999</v>
      </c>
      <c r="H7046" s="1">
        <v>-3.0796079999999999E-6</v>
      </c>
      <c r="I7046">
        <v>15.772270000000001</v>
      </c>
      <c r="J7046">
        <v>-187.56360000000001</v>
      </c>
      <c r="K7046">
        <v>1.1095010000000001</v>
      </c>
      <c r="L7046">
        <v>-0.70172119999999905</v>
      </c>
      <c r="M7046">
        <v>-1.498042E-2</v>
      </c>
      <c r="N7046">
        <v>0</v>
      </c>
      <c r="O7046">
        <v>0.99987749999999997</v>
      </c>
      <c r="P7046">
        <v>2.735226E-2</v>
      </c>
      <c r="Q7046">
        <v>0.16189729999999999</v>
      </c>
      <c r="R7046">
        <v>0.98642839999999998</v>
      </c>
      <c r="S7046">
        <v>1.332092E-2</v>
      </c>
      <c r="T7046">
        <v>-0.203845</v>
      </c>
      <c r="U7046">
        <v>3.0740050000000001</v>
      </c>
      <c r="V7046">
        <v>4.199895E-2</v>
      </c>
      <c r="W7046">
        <v>0.16640550000000001</v>
      </c>
      <c r="X7046">
        <v>0.9851626</v>
      </c>
      <c r="Y7046">
        <v>1.9303819999999999E-2</v>
      </c>
      <c r="Z7046">
        <v>-6.6149589999999994E-2</v>
      </c>
      <c r="AA7046">
        <v>0.99762300000000004</v>
      </c>
      <c r="AB7046">
        <v>26</v>
      </c>
      <c r="AC7046">
        <v>7.6700000000016602E-2</v>
      </c>
      <c r="AD7046">
        <v>-1.109504079608</v>
      </c>
      <c r="AE7046">
        <v>16.473991199999901</v>
      </c>
      <c r="AF7046">
        <v>0.32202062832112699</v>
      </c>
      <c r="AG7046">
        <v>-1.109504079608</v>
      </c>
      <c r="AH7046">
        <v>16.396622301686001</v>
      </c>
      <c r="AI7046">
        <v>93.870366791923004</v>
      </c>
      <c r="AJ7046">
        <v>88.874887097475096</v>
      </c>
      <c r="AK7046">
        <v>16.437272264335</v>
      </c>
      <c r="AL7046">
        <v>80.421107688667306</v>
      </c>
      <c r="AM7046">
        <v>87.558873675386295</v>
      </c>
      <c r="AN7046">
        <v>1.0000000253350501</v>
      </c>
    </row>
    <row r="7047" spans="1:40" x14ac:dyDescent="0.25">
      <c r="A7047" t="str">
        <f>"20190312172544820"</f>
        <v>20190312172544820</v>
      </c>
      <c r="B7047" t="str">
        <f>"1552382744816939"</f>
        <v>1552382744816939</v>
      </c>
      <c r="C7047" t="s">
        <v>40</v>
      </c>
      <c r="D7047">
        <v>3.8466710000000002</v>
      </c>
      <c r="E7047">
        <v>0.49538450000000001</v>
      </c>
      <c r="F7047" t="s">
        <v>43</v>
      </c>
      <c r="G7047">
        <v>-187.50020000000001</v>
      </c>
      <c r="H7047" s="1">
        <v>-3.331685E-6</v>
      </c>
      <c r="I7047">
        <v>16.365379999999998</v>
      </c>
      <c r="J7047">
        <v>-187.56800000000001</v>
      </c>
      <c r="K7047">
        <v>1.109483</v>
      </c>
      <c r="L7047">
        <v>-0.43582149999999997</v>
      </c>
      <c r="M7047">
        <v>-1.5447199999999999E-2</v>
      </c>
      <c r="N7047">
        <v>0</v>
      </c>
      <c r="O7047">
        <v>0.99987110000000001</v>
      </c>
      <c r="P7047">
        <v>2.6839519999999999E-2</v>
      </c>
      <c r="Q7047">
        <v>0.1620991</v>
      </c>
      <c r="R7047">
        <v>0.98640939999999999</v>
      </c>
      <c r="S7047">
        <v>1.141357E-2</v>
      </c>
      <c r="T7047">
        <v>-0.1998202</v>
      </c>
      <c r="U7047">
        <v>3.0737610000000002</v>
      </c>
      <c r="V7047">
        <v>4.19461E-2</v>
      </c>
      <c r="W7047">
        <v>0.16645489999999999</v>
      </c>
      <c r="X7047">
        <v>0.98515649999999999</v>
      </c>
      <c r="Y7047">
        <v>1.9152180000000001E-2</v>
      </c>
      <c r="Z7047">
        <v>-6.4853670000000002E-2</v>
      </c>
      <c r="AA7047">
        <v>0.99771100000000001</v>
      </c>
      <c r="AB7047">
        <v>27</v>
      </c>
      <c r="AC7047">
        <v>6.7799999999976907E-2</v>
      </c>
      <c r="AD7047">
        <v>-1.1094863316850001</v>
      </c>
      <c r="AE7047">
        <v>16.801201499999902</v>
      </c>
      <c r="AF7047">
        <v>0.32590474474310299</v>
      </c>
      <c r="AG7047">
        <v>-1.1094863316850001</v>
      </c>
      <c r="AH7047">
        <v>16.7252158538214</v>
      </c>
      <c r="AI7047">
        <v>93.794502468403707</v>
      </c>
      <c r="AJ7047">
        <v>88.883685344448494</v>
      </c>
      <c r="AK7047">
        <v>16.7651429811905</v>
      </c>
      <c r="AL7047">
        <v>80.418237185119096</v>
      </c>
      <c r="AM7047">
        <v>87.561926715725306</v>
      </c>
      <c r="AN7047">
        <v>1.0000000192657299</v>
      </c>
    </row>
    <row r="7048" spans="1:40" x14ac:dyDescent="0.25">
      <c r="A7048" t="str">
        <f>"20190312172544842"</f>
        <v>20190312172544842</v>
      </c>
      <c r="B7048" t="str">
        <f>"1552382744837437"</f>
        <v>1552382744837437</v>
      </c>
      <c r="C7048" t="s">
        <v>40</v>
      </c>
      <c r="D7048">
        <v>3.8437939999999999</v>
      </c>
      <c r="E7048">
        <v>0.49540020000000001</v>
      </c>
      <c r="F7048" t="s">
        <v>43</v>
      </c>
      <c r="G7048">
        <v>-187.50960000000001</v>
      </c>
      <c r="H7048" s="1">
        <v>-3.5758819999999999E-6</v>
      </c>
      <c r="I7048">
        <v>16.938500000000001</v>
      </c>
      <c r="J7048">
        <v>-187.57249999999999</v>
      </c>
      <c r="K7048">
        <v>1.1094619999999999</v>
      </c>
      <c r="L7048">
        <v>-0.17623900000000001</v>
      </c>
      <c r="M7048">
        <v>-1.5891289999999999E-2</v>
      </c>
      <c r="N7048">
        <v>0</v>
      </c>
      <c r="O7048">
        <v>0.99986470000000005</v>
      </c>
      <c r="P7048">
        <v>2.6183370000000001E-2</v>
      </c>
      <c r="Q7048">
        <v>0.16264970000000001</v>
      </c>
      <c r="R7048">
        <v>0.9863364</v>
      </c>
      <c r="S7048">
        <v>1.0330199999999999E-2</v>
      </c>
      <c r="T7048">
        <v>-0.1962545</v>
      </c>
      <c r="U7048">
        <v>3.0733030000000001</v>
      </c>
      <c r="V7048">
        <v>4.1727680000000003E-2</v>
      </c>
      <c r="W7048">
        <v>0.1668635</v>
      </c>
      <c r="X7048">
        <v>0.98509659999999999</v>
      </c>
      <c r="Y7048">
        <v>1.9245330000000001E-2</v>
      </c>
      <c r="Z7048">
        <v>-6.37099E-2</v>
      </c>
      <c r="AA7048">
        <v>0.99778290000000003</v>
      </c>
      <c r="AB7048">
        <v>27</v>
      </c>
      <c r="AC7048">
        <v>6.2899999999984801E-2</v>
      </c>
      <c r="AD7048">
        <v>-1.109465575882</v>
      </c>
      <c r="AE7048">
        <v>17.114739</v>
      </c>
      <c r="AF7048">
        <v>0.333468476522437</v>
      </c>
      <c r="AG7048">
        <v>-1.109465575882</v>
      </c>
      <c r="AH7048">
        <v>17.039972118627698</v>
      </c>
      <c r="AI7048">
        <v>93.724535352906997</v>
      </c>
      <c r="AJ7048">
        <v>88.878877404148398</v>
      </c>
      <c r="AK7048">
        <v>17.079308091738099</v>
      </c>
      <c r="AL7048">
        <v>80.394493585760799</v>
      </c>
      <c r="AM7048">
        <v>87.5744596470999</v>
      </c>
      <c r="AN7048">
        <v>0.99999996912099498</v>
      </c>
    </row>
    <row r="7049" spans="1:40" x14ac:dyDescent="0.25">
      <c r="A7049" t="str">
        <f>"20190312172544867"</f>
        <v>20190312172544867</v>
      </c>
      <c r="B7049" t="str">
        <f>"1552382744856956"</f>
        <v>1552382744856956</v>
      </c>
      <c r="C7049" t="s">
        <v>40</v>
      </c>
      <c r="D7049">
        <v>3.8612329999999999</v>
      </c>
      <c r="E7049">
        <v>0.49540020000000001</v>
      </c>
      <c r="F7049" t="s">
        <v>41</v>
      </c>
      <c r="G7049">
        <v>-187.56979999999999</v>
      </c>
      <c r="H7049">
        <v>1.048732</v>
      </c>
      <c r="I7049">
        <v>0.79130630000000002</v>
      </c>
      <c r="J7049">
        <v>-187.5779</v>
      </c>
      <c r="K7049">
        <v>1.109426</v>
      </c>
      <c r="L7049">
        <v>0.12893679999999999</v>
      </c>
      <c r="M7049">
        <v>-1.639092E-2</v>
      </c>
      <c r="N7049">
        <v>0</v>
      </c>
      <c r="O7049">
        <v>0.99985729999999995</v>
      </c>
      <c r="P7049">
        <v>2.578128E-2</v>
      </c>
      <c r="Q7049">
        <v>0.16269549999999999</v>
      </c>
      <c r="R7049">
        <v>0.98633939999999998</v>
      </c>
      <c r="S7049">
        <v>8.6212159999999993E-3</v>
      </c>
      <c r="T7049">
        <v>-0.1928947</v>
      </c>
      <c r="U7049">
        <v>3.0731510000000002</v>
      </c>
      <c r="V7049">
        <v>4.1821999999999998E-2</v>
      </c>
      <c r="W7049">
        <v>0.16675209999999999</v>
      </c>
      <c r="X7049">
        <v>0.98511150000000003</v>
      </c>
      <c r="Y7049">
        <v>1.9190430000000001E-2</v>
      </c>
      <c r="Z7049">
        <v>-6.2625940000000005E-2</v>
      </c>
      <c r="AA7049">
        <v>0.99785259999999998</v>
      </c>
      <c r="AB7049">
        <v>27</v>
      </c>
      <c r="AC7049">
        <v>8.1000000000130898E-3</v>
      </c>
      <c r="AD7049">
        <v>-6.0693999999999998E-2</v>
      </c>
      <c r="AE7049">
        <v>0.66236949999999895</v>
      </c>
      <c r="AF7049">
        <v>1.8798036644988501E-2</v>
      </c>
      <c r="AG7049">
        <v>-6.0693999999999998E-2</v>
      </c>
      <c r="AH7049">
        <v>0.65663522904757998</v>
      </c>
      <c r="AI7049">
        <v>95.278798251623002</v>
      </c>
      <c r="AJ7049">
        <v>88.360194477152504</v>
      </c>
      <c r="AK7049">
        <v>0.65970216904605905</v>
      </c>
      <c r="AL7049">
        <v>80.400967379997894</v>
      </c>
      <c r="AM7049">
        <v>87.569020323947996</v>
      </c>
      <c r="AN7049">
        <v>1.0000000049853299</v>
      </c>
    </row>
    <row r="7050" spans="1:40" x14ac:dyDescent="0.25">
      <c r="A7050" t="str">
        <f>"20190312172544889"</f>
        <v>20190312172544889</v>
      </c>
      <c r="B7050" t="str">
        <f>"1552382744877452"</f>
        <v>1552382744877452</v>
      </c>
      <c r="C7050" t="s">
        <v>40</v>
      </c>
      <c r="D7050">
        <v>3.8810910000000001</v>
      </c>
      <c r="E7050">
        <v>0.4953726</v>
      </c>
      <c r="F7050" t="s">
        <v>41</v>
      </c>
      <c r="G7050">
        <v>-187.57570000000001</v>
      </c>
      <c r="H7050">
        <v>1.0526899999999999</v>
      </c>
      <c r="I7050">
        <v>1.0401720000000001</v>
      </c>
      <c r="J7050">
        <v>-187.58269999999999</v>
      </c>
      <c r="K7050">
        <v>1.1093959999999901</v>
      </c>
      <c r="L7050">
        <v>0.3984375</v>
      </c>
      <c r="M7050">
        <v>-1.681243E-2</v>
      </c>
      <c r="N7050">
        <v>0</v>
      </c>
      <c r="O7050">
        <v>0.99985080000000004</v>
      </c>
      <c r="P7050">
        <v>2.549974E-2</v>
      </c>
      <c r="Q7050">
        <v>0.1629514</v>
      </c>
      <c r="R7050">
        <v>0.98630450000000003</v>
      </c>
      <c r="S7050">
        <v>7.1563719999999898E-3</v>
      </c>
      <c r="T7050">
        <v>-0.19133559999999999</v>
      </c>
      <c r="U7050">
        <v>3.072937</v>
      </c>
      <c r="V7050">
        <v>4.195948E-2</v>
      </c>
      <c r="W7050">
        <v>0.16688039999999901</v>
      </c>
      <c r="X7050">
        <v>0.98508390000000001</v>
      </c>
      <c r="Y7050">
        <v>1.9136520000000001E-2</v>
      </c>
      <c r="Z7050">
        <v>-6.2125430000000002E-2</v>
      </c>
      <c r="AA7050">
        <v>0.99788489999999996</v>
      </c>
      <c r="AB7050">
        <v>27</v>
      </c>
      <c r="AC7050">
        <v>6.9999999999765796E-3</v>
      </c>
      <c r="AD7050">
        <v>-5.6705999999999902E-2</v>
      </c>
      <c r="AE7050">
        <v>0.64173449999999899</v>
      </c>
      <c r="AF7050">
        <v>1.7650411395779799E-2</v>
      </c>
      <c r="AG7050">
        <v>-5.6705999999999902E-2</v>
      </c>
      <c r="AH7050">
        <v>0.63655638245209301</v>
      </c>
      <c r="AI7050">
        <v>95.088665244517998</v>
      </c>
      <c r="AJ7050">
        <v>88.411711746830093</v>
      </c>
      <c r="AK7050">
        <v>0.63932083924969596</v>
      </c>
      <c r="AL7050">
        <v>80.393511602699505</v>
      </c>
      <c r="AM7050">
        <v>87.560970431588103</v>
      </c>
      <c r="AN7050">
        <v>0.99999997795261997</v>
      </c>
    </row>
    <row r="7051" spans="1:40" x14ac:dyDescent="0.25">
      <c r="A7051" t="str">
        <f>"20190312172544909"</f>
        <v>20190312172544909</v>
      </c>
      <c r="B7051" t="str">
        <f>"1552382744906732"</f>
        <v>1552382744906732</v>
      </c>
      <c r="C7051" t="s">
        <v>40</v>
      </c>
      <c r="D7051">
        <v>3.8879049999999999</v>
      </c>
      <c r="E7051">
        <v>0.49541679999999999</v>
      </c>
      <c r="F7051" t="s">
        <v>43</v>
      </c>
      <c r="G7051">
        <v>-187.5487</v>
      </c>
      <c r="H7051" s="1">
        <v>-4.1938460000000004E-6</v>
      </c>
      <c r="I7051">
        <v>18.395150000000001</v>
      </c>
      <c r="J7051">
        <v>-187.5874</v>
      </c>
      <c r="K7051">
        <v>1.1093710000000001</v>
      </c>
      <c r="L7051">
        <v>0.64962769999999903</v>
      </c>
      <c r="M7051">
        <v>-1.7181109999999999E-2</v>
      </c>
      <c r="N7051">
        <v>0</v>
      </c>
      <c r="O7051">
        <v>0.99984499999999998</v>
      </c>
      <c r="P7051">
        <v>2.5079210000000001E-2</v>
      </c>
      <c r="Q7051">
        <v>0.1629138</v>
      </c>
      <c r="R7051">
        <v>0.98632149999999996</v>
      </c>
      <c r="S7051">
        <v>5.813599E-3</v>
      </c>
      <c r="T7051">
        <v>-0.18942239999999999</v>
      </c>
      <c r="U7051">
        <v>3.0728149999999999</v>
      </c>
      <c r="V7051">
        <v>4.1908290000000001E-2</v>
      </c>
      <c r="W7051">
        <v>0.1667342</v>
      </c>
      <c r="X7051">
        <v>0.98511090000000001</v>
      </c>
      <c r="Y7051">
        <v>1.9069280000000001E-2</v>
      </c>
      <c r="Z7051">
        <v>-6.1508510000000002E-2</v>
      </c>
      <c r="AA7051">
        <v>0.99792440000000004</v>
      </c>
      <c r="AB7051">
        <v>27</v>
      </c>
      <c r="AC7051">
        <v>3.8700000000005702E-2</v>
      </c>
      <c r="AD7051">
        <v>-1.1093751938459999</v>
      </c>
      <c r="AE7051">
        <v>17.745522300000001</v>
      </c>
      <c r="AF7051">
        <v>0.34224674197143201</v>
      </c>
      <c r="AG7051">
        <v>-1.1093751938459999</v>
      </c>
      <c r="AH7051">
        <v>17.673167648360401</v>
      </c>
      <c r="AI7051">
        <v>93.591170598862206</v>
      </c>
      <c r="AJ7051">
        <v>88.890586931444702</v>
      </c>
      <c r="AK7051">
        <v>17.7112591556943</v>
      </c>
      <c r="AL7051">
        <v>80.402007892550799</v>
      </c>
      <c r="AM7051">
        <v>87.564009115124904</v>
      </c>
      <c r="AN7051">
        <v>1.00000004175958</v>
      </c>
    </row>
    <row r="7052" spans="1:40" x14ac:dyDescent="0.25">
      <c r="A7052" t="str">
        <f>"20190312172544932"</f>
        <v>20190312172544932</v>
      </c>
      <c r="B7052" t="str">
        <f>"1552382744927228"</f>
        <v>1552382744927228</v>
      </c>
      <c r="C7052" t="s">
        <v>40</v>
      </c>
      <c r="D7052">
        <v>3.8675290000000002</v>
      </c>
      <c r="E7052">
        <v>0.49543870000000001</v>
      </c>
      <c r="F7052" t="s">
        <v>43</v>
      </c>
      <c r="G7052">
        <v>-187.55950000000001</v>
      </c>
      <c r="H7052" s="1">
        <v>-4.3521339999999999E-6</v>
      </c>
      <c r="I7052">
        <v>18.76858</v>
      </c>
      <c r="J7052">
        <v>-187.5924</v>
      </c>
      <c r="K7052">
        <v>1.1093299999999999</v>
      </c>
      <c r="L7052">
        <v>0.92324830000000002</v>
      </c>
      <c r="M7052">
        <v>-1.7544379999999998E-2</v>
      </c>
      <c r="N7052">
        <v>0</v>
      </c>
      <c r="O7052">
        <v>0.99983909999999998</v>
      </c>
      <c r="P7052">
        <v>2.4518640000000001E-2</v>
      </c>
      <c r="Q7052">
        <v>0.16338229999999901</v>
      </c>
      <c r="R7052">
        <v>0.98625810000000003</v>
      </c>
      <c r="S7052">
        <v>4.7302250000000002E-3</v>
      </c>
      <c r="T7052">
        <v>-0.1881254</v>
      </c>
      <c r="U7052">
        <v>3.0725709999999999</v>
      </c>
      <c r="V7052">
        <v>4.171329E-2</v>
      </c>
      <c r="W7052">
        <v>0.1670915</v>
      </c>
      <c r="X7052">
        <v>0.98505860000000001</v>
      </c>
      <c r="Y7052">
        <v>1.9080860000000002E-2</v>
      </c>
      <c r="Z7052">
        <v>-6.1093210000000002E-2</v>
      </c>
      <c r="AA7052">
        <v>0.99794970000000005</v>
      </c>
      <c r="AB7052">
        <v>27</v>
      </c>
      <c r="AC7052">
        <v>3.2899999999983699E-2</v>
      </c>
      <c r="AD7052">
        <v>-1.109334352134</v>
      </c>
      <c r="AE7052">
        <v>17.845331699999999</v>
      </c>
      <c r="AF7052">
        <v>0.34465055998444599</v>
      </c>
      <c r="AG7052">
        <v>-1.109334352134</v>
      </c>
      <c r="AH7052">
        <v>17.7733257978621</v>
      </c>
      <c r="AI7052">
        <v>93.570852836260102</v>
      </c>
      <c r="AJ7052">
        <v>88.889090982177393</v>
      </c>
      <c r="AK7052">
        <v>17.811246913966301</v>
      </c>
      <c r="AL7052">
        <v>80.381244499397098</v>
      </c>
      <c r="AM7052">
        <v>87.5752016836704</v>
      </c>
      <c r="AN7052">
        <v>1.0000000066844099</v>
      </c>
    </row>
    <row r="7053" spans="1:40" x14ac:dyDescent="0.25">
      <c r="A7053" t="str">
        <f>"20190312172544954"</f>
        <v>20190312172544954</v>
      </c>
      <c r="B7053" t="str">
        <f>"1552382744946748"</f>
        <v>1552382744946748</v>
      </c>
      <c r="C7053" t="s">
        <v>40</v>
      </c>
      <c r="D7053">
        <v>3.8783210000000001</v>
      </c>
      <c r="E7053">
        <v>0.49551119999999998</v>
      </c>
      <c r="F7053" t="s">
        <v>43</v>
      </c>
      <c r="G7053">
        <v>-187.5745</v>
      </c>
      <c r="H7053" s="1">
        <v>-4.5690900000000002E-6</v>
      </c>
      <c r="I7053">
        <v>19.28051</v>
      </c>
      <c r="J7053">
        <v>-187.59780000000001</v>
      </c>
      <c r="K7053">
        <v>1.1092820000000001</v>
      </c>
      <c r="L7053">
        <v>1.2120359999999999</v>
      </c>
      <c r="M7053">
        <v>-1.7874190000000002E-2</v>
      </c>
      <c r="N7053">
        <v>0</v>
      </c>
      <c r="O7053">
        <v>0.99983359999999999</v>
      </c>
      <c r="P7053">
        <v>2.4149879999999999E-2</v>
      </c>
      <c r="Q7053">
        <v>0.16395970000000001</v>
      </c>
      <c r="R7053">
        <v>0.98617140000000003</v>
      </c>
      <c r="S7053">
        <v>3.005981E-3</v>
      </c>
      <c r="T7053">
        <v>-0.18567069999999999</v>
      </c>
      <c r="U7053">
        <v>3.072479</v>
      </c>
      <c r="V7053">
        <v>4.1680849999999998E-2</v>
      </c>
      <c r="W7053">
        <v>0.16755780000000001</v>
      </c>
      <c r="X7053">
        <v>0.98498079999999999</v>
      </c>
      <c r="Y7053">
        <v>1.8850720000000001E-2</v>
      </c>
      <c r="Z7053">
        <v>-6.0300409999999999E-2</v>
      </c>
      <c r="AA7053">
        <v>0.99800219999999995</v>
      </c>
      <c r="AB7053">
        <v>28</v>
      </c>
      <c r="AC7053">
        <v>2.3300000000006E-2</v>
      </c>
      <c r="AD7053">
        <v>-1.10928656908999</v>
      </c>
      <c r="AE7053">
        <v>18.068473999999998</v>
      </c>
      <c r="AF7053">
        <v>0.344957562261902</v>
      </c>
      <c r="AG7053">
        <v>-1.10928656908999</v>
      </c>
      <c r="AH7053">
        <v>17.9973362166741</v>
      </c>
      <c r="AI7053">
        <v>93.526383470354702</v>
      </c>
      <c r="AJ7053">
        <v>88.9019379116301</v>
      </c>
      <c r="AK7053">
        <v>18.034789250449599</v>
      </c>
      <c r="AL7053">
        <v>80.354145784115104</v>
      </c>
      <c r="AM7053">
        <v>87.576894027373996</v>
      </c>
      <c r="AN7053">
        <v>1.0000000429831</v>
      </c>
    </row>
    <row r="7054" spans="1:40" x14ac:dyDescent="0.25">
      <c r="A7054" t="str">
        <f>"20190312172544977"</f>
        <v>20190312172544977</v>
      </c>
      <c r="B7054" t="str">
        <f>"1552382744967244"</f>
        <v>1552382744967244</v>
      </c>
      <c r="C7054" t="s">
        <v>40</v>
      </c>
      <c r="D7054">
        <v>3.8659029999999999</v>
      </c>
      <c r="E7054">
        <v>0.49556559999999999</v>
      </c>
      <c r="F7054" t="s">
        <v>43</v>
      </c>
      <c r="G7054">
        <v>-187.58539999999999</v>
      </c>
      <c r="H7054" s="1">
        <v>-6.9326639999999998E-7</v>
      </c>
      <c r="I7054">
        <v>19.797329999999999</v>
      </c>
      <c r="J7054">
        <v>-187.60319999999999</v>
      </c>
      <c r="K7054">
        <v>1.109224</v>
      </c>
      <c r="L7054">
        <v>1.4947509999999999</v>
      </c>
      <c r="M7054">
        <v>-1.81324E-2</v>
      </c>
      <c r="N7054">
        <v>0</v>
      </c>
      <c r="O7054">
        <v>0.99982939999999998</v>
      </c>
      <c r="P7054">
        <v>2.4178310000000001E-2</v>
      </c>
      <c r="Q7054">
        <v>0.164278799999999</v>
      </c>
      <c r="R7054">
        <v>0.98611760000000004</v>
      </c>
      <c r="S7054">
        <v>2.059937E-3</v>
      </c>
      <c r="T7054">
        <v>-0.18338599999999999</v>
      </c>
      <c r="U7054">
        <v>3.0725099999999999</v>
      </c>
      <c r="V7054">
        <v>4.1979200000000001E-2</v>
      </c>
      <c r="W7054">
        <v>0.16777739999999999</v>
      </c>
      <c r="X7054">
        <v>0.98493070000000005</v>
      </c>
      <c r="Y7054">
        <v>1.880165E-2</v>
      </c>
      <c r="Z7054">
        <v>-5.956007E-2</v>
      </c>
      <c r="AA7054">
        <v>0.99804760000000003</v>
      </c>
      <c r="AB7054">
        <v>28</v>
      </c>
      <c r="AC7054">
        <v>1.7799999999994001E-2</v>
      </c>
      <c r="AD7054">
        <v>-1.1092246932664001</v>
      </c>
      <c r="AE7054">
        <v>18.302579000000001</v>
      </c>
      <c r="AF7054">
        <v>0.34838919914112398</v>
      </c>
      <c r="AG7054">
        <v>-1.1092246932664001</v>
      </c>
      <c r="AH7054">
        <v>18.232281049370901</v>
      </c>
      <c r="AI7054">
        <v>93.480864463349405</v>
      </c>
      <c r="AJ7054">
        <v>88.905304183479501</v>
      </c>
      <c r="AK7054">
        <v>18.269313799852402</v>
      </c>
      <c r="AL7054">
        <v>80.341382502243704</v>
      </c>
      <c r="AM7054">
        <v>87.559446433082897</v>
      </c>
      <c r="AN7054">
        <v>0.99999999649294502</v>
      </c>
    </row>
    <row r="7055" spans="1:40" x14ac:dyDescent="0.25">
      <c r="A7055" t="str">
        <f>"20190312172544999"</f>
        <v>20190312172544999</v>
      </c>
      <c r="B7055" t="str">
        <f>"1552382744997500"</f>
        <v>1552382744997500</v>
      </c>
      <c r="C7055" t="s">
        <v>40</v>
      </c>
      <c r="D7055">
        <v>3.892665</v>
      </c>
      <c r="E7055">
        <v>0.4956778</v>
      </c>
      <c r="F7055" t="s">
        <v>43</v>
      </c>
      <c r="G7055">
        <v>-187.58860000000001</v>
      </c>
      <c r="H7055" s="1">
        <v>-8.4627840000000005E-7</v>
      </c>
      <c r="I7055">
        <v>20.249459999999999</v>
      </c>
      <c r="J7055">
        <v>-187.60849999999999</v>
      </c>
      <c r="K7055">
        <v>1.109159</v>
      </c>
      <c r="L7055">
        <v>1.7760929999999999</v>
      </c>
      <c r="M7055">
        <v>-1.8315399999999999E-2</v>
      </c>
      <c r="N7055">
        <v>0</v>
      </c>
      <c r="O7055">
        <v>0.99982629999999995</v>
      </c>
      <c r="P7055">
        <v>2.436077E-2</v>
      </c>
      <c r="Q7055">
        <v>0.16460239999999901</v>
      </c>
      <c r="R7055">
        <v>0.98605909999999997</v>
      </c>
      <c r="S7055">
        <v>2.3956300000000002E-3</v>
      </c>
      <c r="T7055">
        <v>-0.1817163</v>
      </c>
      <c r="U7055">
        <v>3.0724490000000002</v>
      </c>
      <c r="V7055">
        <v>4.2360950000000001E-2</v>
      </c>
      <c r="W7055">
        <v>0.16801240000000001</v>
      </c>
      <c r="X7055">
        <v>0.98487429999999998</v>
      </c>
      <c r="Y7055">
        <v>1.909373E-2</v>
      </c>
      <c r="Z7055">
        <v>-5.9020400000000001E-2</v>
      </c>
      <c r="AA7055">
        <v>0.99807420000000002</v>
      </c>
      <c r="AB7055">
        <v>28</v>
      </c>
      <c r="AC7055">
        <v>1.98999999999784E-2</v>
      </c>
      <c r="AD7055">
        <v>-1.1091598462784</v>
      </c>
      <c r="AE7055">
        <v>18.473367</v>
      </c>
      <c r="AF7055">
        <v>0.35695897512191999</v>
      </c>
      <c r="AG7055">
        <v>-1.1091598462784</v>
      </c>
      <c r="AH7055">
        <v>18.403560376400399</v>
      </c>
      <c r="AI7055">
        <v>93.4483269243796</v>
      </c>
      <c r="AJ7055">
        <v>88.888819440384594</v>
      </c>
      <c r="AK7055">
        <v>18.440409154960001</v>
      </c>
      <c r="AL7055">
        <v>80.327724162807101</v>
      </c>
      <c r="AM7055">
        <v>87.537138898708506</v>
      </c>
      <c r="AN7055">
        <v>1.00000000171957</v>
      </c>
    </row>
    <row r="7056" spans="1:40" x14ac:dyDescent="0.25">
      <c r="A7056" t="str">
        <f>"20190312172545021"</f>
        <v>20190312172545021</v>
      </c>
      <c r="B7056" t="str">
        <f>"1552382745017020"</f>
        <v>1552382745017020</v>
      </c>
      <c r="C7056" t="s">
        <v>40</v>
      </c>
      <c r="D7056">
        <v>3.8985859999999999</v>
      </c>
      <c r="E7056">
        <v>0.49574790000000002</v>
      </c>
      <c r="F7056" t="s">
        <v>43</v>
      </c>
      <c r="G7056">
        <v>-187.58600000000001</v>
      </c>
      <c r="H7056" s="1">
        <v>-1.002831E-6</v>
      </c>
      <c r="I7056">
        <v>20.707509999999999</v>
      </c>
      <c r="J7056">
        <v>-187.61359999999999</v>
      </c>
      <c r="K7056">
        <v>1.1090979999999999</v>
      </c>
      <c r="L7056">
        <v>2.0478209999999999</v>
      </c>
      <c r="M7056">
        <v>-1.842705E-2</v>
      </c>
      <c r="N7056">
        <v>0</v>
      </c>
      <c r="O7056">
        <v>0.9998245</v>
      </c>
      <c r="P7056">
        <v>2.4759759999999999E-2</v>
      </c>
      <c r="Q7056">
        <v>0.16474610000000001</v>
      </c>
      <c r="R7056">
        <v>0.98602520000000005</v>
      </c>
      <c r="S7056">
        <v>3.646851E-3</v>
      </c>
      <c r="T7056">
        <v>-0.1800042</v>
      </c>
      <c r="U7056">
        <v>3.0723569999999998</v>
      </c>
      <c r="V7056">
        <v>4.2889049999999998E-2</v>
      </c>
      <c r="W7056">
        <v>0.16808100000000001</v>
      </c>
      <c r="X7056">
        <v>0.98483969999999998</v>
      </c>
      <c r="Y7056">
        <v>1.961189E-2</v>
      </c>
      <c r="Z7056">
        <v>-5.8467489999999997E-2</v>
      </c>
      <c r="AA7056">
        <v>0.9980966</v>
      </c>
      <c r="AB7056">
        <v>28</v>
      </c>
      <c r="AC7056">
        <v>2.7600000000006699E-2</v>
      </c>
      <c r="AD7056">
        <v>-1.1090990028309999</v>
      </c>
      <c r="AE7056">
        <v>18.659689</v>
      </c>
      <c r="AF7056">
        <v>0.37013265776367099</v>
      </c>
      <c r="AG7056">
        <v>-1.1090990028309999</v>
      </c>
      <c r="AH7056">
        <v>18.590334377470501</v>
      </c>
      <c r="AI7056">
        <v>93.413543311463499</v>
      </c>
      <c r="AJ7056">
        <v>88.859394501187396</v>
      </c>
      <c r="AK7056">
        <v>18.6270671617565</v>
      </c>
      <c r="AL7056">
        <v>80.323736601475403</v>
      </c>
      <c r="AM7056">
        <v>87.506386243617001</v>
      </c>
      <c r="AN7056">
        <v>0.999999963933495</v>
      </c>
    </row>
    <row r="7057" spans="1:40" x14ac:dyDescent="0.25">
      <c r="A7057" t="str">
        <f>"20190312172545046"</f>
        <v>20190312172545046</v>
      </c>
      <c r="B7057" t="str">
        <f>"1552382745037517"</f>
        <v>1552382745037517</v>
      </c>
      <c r="C7057" t="s">
        <v>40</v>
      </c>
      <c r="D7057">
        <v>3.8650739999999999</v>
      </c>
      <c r="E7057">
        <v>0.49580730000000001</v>
      </c>
      <c r="F7057" t="s">
        <v>43</v>
      </c>
      <c r="G7057">
        <v>-187.58349999999999</v>
      </c>
      <c r="H7057" s="1">
        <v>-1.1247499999999999E-6</v>
      </c>
      <c r="I7057">
        <v>21.063790000000001</v>
      </c>
      <c r="J7057">
        <v>-187.61930000000001</v>
      </c>
      <c r="K7057">
        <v>1.1090420000000001</v>
      </c>
      <c r="L7057">
        <v>2.3533019999999998</v>
      </c>
      <c r="M7057">
        <v>-1.8481480000000002E-2</v>
      </c>
      <c r="N7057">
        <v>0</v>
      </c>
      <c r="O7057">
        <v>0.99982369999999998</v>
      </c>
      <c r="P7057">
        <v>2.5554839999999999E-2</v>
      </c>
      <c r="Q7057">
        <v>0.1646098</v>
      </c>
      <c r="R7057">
        <v>0.98602769999999995</v>
      </c>
      <c r="S7057">
        <v>4.8675539999999996E-3</v>
      </c>
      <c r="T7057">
        <v>-0.179192299999999</v>
      </c>
      <c r="U7057">
        <v>3.072327</v>
      </c>
      <c r="V7057">
        <v>4.375768E-2</v>
      </c>
      <c r="W7057">
        <v>0.1678742</v>
      </c>
      <c r="X7057">
        <v>0.98483679999999996</v>
      </c>
      <c r="Y7057">
        <v>2.006291E-2</v>
      </c>
      <c r="Z7057">
        <v>-5.8204869999999999E-2</v>
      </c>
      <c r="AA7057">
        <v>0.99810299999999996</v>
      </c>
      <c r="AB7057">
        <v>28</v>
      </c>
      <c r="AC7057">
        <v>3.5800000000023098E-2</v>
      </c>
      <c r="AD7057">
        <v>-1.1090431247499899</v>
      </c>
      <c r="AE7057">
        <v>18.710488000000002</v>
      </c>
      <c r="AF7057">
        <v>0.38025730952815701</v>
      </c>
      <c r="AG7057">
        <v>-1.1090431247499899</v>
      </c>
      <c r="AH7057">
        <v>18.641137239194698</v>
      </c>
      <c r="AI7057">
        <v>93.404057703002593</v>
      </c>
      <c r="AJ7057">
        <v>88.831395452126998</v>
      </c>
      <c r="AK7057">
        <v>18.677970174633501</v>
      </c>
      <c r="AL7057">
        <v>80.335756529745296</v>
      </c>
      <c r="AM7057">
        <v>87.455941410813097</v>
      </c>
      <c r="AN7057">
        <v>1.00000000210943</v>
      </c>
    </row>
    <row r="7058" spans="1:40" x14ac:dyDescent="0.25">
      <c r="A7058" t="str">
        <f>"20190312172545068"</f>
        <v>20190312172545068</v>
      </c>
      <c r="B7058" t="str">
        <f>"1552382745057036"</f>
        <v>1552382745057036</v>
      </c>
      <c r="C7058" t="s">
        <v>40</v>
      </c>
      <c r="D7058">
        <v>3.8626900000000002</v>
      </c>
      <c r="E7058">
        <v>0.49586849999999999</v>
      </c>
      <c r="F7058" t="s">
        <v>41</v>
      </c>
      <c r="G7058">
        <v>-187.61699999999999</v>
      </c>
      <c r="H7058">
        <v>1.0536719999999999</v>
      </c>
      <c r="I7058">
        <v>3.302756</v>
      </c>
      <c r="J7058">
        <v>-187.6249</v>
      </c>
      <c r="K7058">
        <v>1.108995</v>
      </c>
      <c r="L7058">
        <v>2.6534119999999999</v>
      </c>
      <c r="M7058">
        <v>-1.8470879999999999E-2</v>
      </c>
      <c r="N7058">
        <v>0</v>
      </c>
      <c r="O7058">
        <v>0.99982409999999999</v>
      </c>
      <c r="P7058">
        <v>2.6803850000000001E-2</v>
      </c>
      <c r="Q7058">
        <v>0.16462950000000001</v>
      </c>
      <c r="R7058">
        <v>0.98599119999999996</v>
      </c>
      <c r="S7058">
        <v>7.5073240000000001E-3</v>
      </c>
      <c r="T7058">
        <v>-0.1791615</v>
      </c>
      <c r="U7058">
        <v>3.072235</v>
      </c>
      <c r="V7058">
        <v>4.5012940000000001E-2</v>
      </c>
      <c r="W7058">
        <v>0.16783609999999999</v>
      </c>
      <c r="X7058">
        <v>0.98478670000000001</v>
      </c>
      <c r="Y7058">
        <v>2.0909959999999998E-2</v>
      </c>
      <c r="Z7058">
        <v>-5.8196100000000001E-2</v>
      </c>
      <c r="AA7058">
        <v>0.99808620000000003</v>
      </c>
      <c r="AB7058">
        <v>29</v>
      </c>
      <c r="AC7058">
        <v>7.8999999999780305E-3</v>
      </c>
      <c r="AD7058">
        <v>-5.5323000000000198E-2</v>
      </c>
      <c r="AE7058">
        <v>0.64934399999999903</v>
      </c>
      <c r="AF7058">
        <v>1.9749336618357701E-2</v>
      </c>
      <c r="AG7058">
        <v>-5.5323000000000198E-2</v>
      </c>
      <c r="AH7058">
        <v>0.64441037824138603</v>
      </c>
      <c r="AI7058">
        <v>94.904552566157804</v>
      </c>
      <c r="AJ7058">
        <v>88.244597535134901</v>
      </c>
      <c r="AK7058">
        <v>0.64708222523190295</v>
      </c>
      <c r="AL7058">
        <v>80.337970729668001</v>
      </c>
      <c r="AM7058">
        <v>87.382928060279298</v>
      </c>
      <c r="AN7058">
        <v>0.99999998286377101</v>
      </c>
    </row>
    <row r="7059" spans="1:40" x14ac:dyDescent="0.25">
      <c r="A7059" t="str">
        <f>"20190312172545091"</f>
        <v>20190312172545091</v>
      </c>
      <c r="B7059" t="str">
        <f>"1552382745087294"</f>
        <v>1552382745087294</v>
      </c>
      <c r="C7059" t="s">
        <v>40</v>
      </c>
      <c r="D7059">
        <v>3.8793899999999999</v>
      </c>
      <c r="E7059">
        <v>0.49595909999999899</v>
      </c>
      <c r="F7059" t="s">
        <v>43</v>
      </c>
      <c r="G7059">
        <v>-187.5573</v>
      </c>
      <c r="H7059" s="1">
        <v>-1.3572689999999999E-6</v>
      </c>
      <c r="I7059">
        <v>21.72662</v>
      </c>
      <c r="J7059">
        <v>-187.6301</v>
      </c>
      <c r="K7059">
        <v>1.108951</v>
      </c>
      <c r="L7059">
        <v>2.9412229999999999</v>
      </c>
      <c r="M7059">
        <v>-1.840992E-2</v>
      </c>
      <c r="N7059">
        <v>0</v>
      </c>
      <c r="O7059">
        <v>0.99982539999999998</v>
      </c>
      <c r="P7059">
        <v>2.8237419999999999E-2</v>
      </c>
      <c r="Q7059">
        <v>0.1643792</v>
      </c>
      <c r="R7059">
        <v>0.98599300000000001</v>
      </c>
      <c r="S7059">
        <v>1.087952E-2</v>
      </c>
      <c r="T7059">
        <v>-0.17862739999999999</v>
      </c>
      <c r="U7059">
        <v>3.0721440000000002</v>
      </c>
      <c r="V7059">
        <v>4.6400829999999997E-2</v>
      </c>
      <c r="W7059">
        <v>0.16753860000000001</v>
      </c>
      <c r="X7059">
        <v>0.98477300000000001</v>
      </c>
      <c r="Y7059">
        <v>2.194465E-2</v>
      </c>
      <c r="Z7059">
        <v>-5.8024260000000001E-2</v>
      </c>
      <c r="AA7059">
        <v>0.99807389999999996</v>
      </c>
      <c r="AB7059">
        <v>29</v>
      </c>
      <c r="AC7059">
        <v>7.2800000000000795E-2</v>
      </c>
      <c r="AD7059">
        <v>-1.1089523572689901</v>
      </c>
      <c r="AE7059">
        <v>18.785397</v>
      </c>
      <c r="AF7059">
        <v>0.41717332160971299</v>
      </c>
      <c r="AG7059">
        <v>-1.1089523572689901</v>
      </c>
      <c r="AH7059">
        <v>18.715652624217402</v>
      </c>
      <c r="AI7059">
        <v>93.390122990197696</v>
      </c>
      <c r="AJ7059">
        <v>88.723084162824193</v>
      </c>
      <c r="AK7059">
        <v>18.7531187289296</v>
      </c>
      <c r="AL7059">
        <v>80.355261612890104</v>
      </c>
      <c r="AM7059">
        <v>87.302315478242903</v>
      </c>
      <c r="AN7059">
        <v>1.0000000405218199</v>
      </c>
    </row>
    <row r="7060" spans="1:40" x14ac:dyDescent="0.25">
      <c r="A7060" t="str">
        <f>"20190312172545113"</f>
        <v>20190312172545113</v>
      </c>
      <c r="B7060" t="str">
        <f>"1552382745106812"</f>
        <v>1552382745106812</v>
      </c>
      <c r="C7060" t="s">
        <v>40</v>
      </c>
      <c r="D7060">
        <v>3.8620770000000002</v>
      </c>
      <c r="E7060">
        <v>0.49600270000000002</v>
      </c>
      <c r="F7060" t="s">
        <v>43</v>
      </c>
      <c r="G7060">
        <v>-187.53639999999999</v>
      </c>
      <c r="H7060" s="1">
        <v>-1.450188E-6</v>
      </c>
      <c r="I7060">
        <v>21.98329</v>
      </c>
      <c r="J7060">
        <v>-187.6354</v>
      </c>
      <c r="K7060">
        <v>1.1089070000000001</v>
      </c>
      <c r="L7060">
        <v>3.2314449999999999</v>
      </c>
      <c r="M7060">
        <v>-1.8297549999999999E-2</v>
      </c>
      <c r="N7060">
        <v>0</v>
      </c>
      <c r="O7060">
        <v>0.99982760000000004</v>
      </c>
      <c r="P7060">
        <v>2.9954229999999998E-2</v>
      </c>
      <c r="Q7060">
        <v>0.16426650000000001</v>
      </c>
      <c r="R7060">
        <v>0.98596110000000003</v>
      </c>
      <c r="S7060">
        <v>1.512146E-2</v>
      </c>
      <c r="T7060">
        <v>-0.17890519999999999</v>
      </c>
      <c r="U7060">
        <v>3.0720209999999999</v>
      </c>
      <c r="V7060">
        <v>4.8020479999999997E-2</v>
      </c>
      <c r="W7060">
        <v>0.16738439999999999</v>
      </c>
      <c r="X7060">
        <v>0.98472150000000003</v>
      </c>
      <c r="Y7060">
        <v>2.321053E-2</v>
      </c>
      <c r="Z7060">
        <v>-5.8115699999999902E-2</v>
      </c>
      <c r="AA7060">
        <v>0.99804000000000004</v>
      </c>
      <c r="AB7060">
        <v>29</v>
      </c>
      <c r="AC7060">
        <v>9.9000000000017893E-2</v>
      </c>
      <c r="AD7060">
        <v>-1.10890845018799</v>
      </c>
      <c r="AE7060">
        <v>18.751844999999999</v>
      </c>
      <c r="AF7060">
        <v>0.440557344166427</v>
      </c>
      <c r="AG7060">
        <v>-1.10890845018799</v>
      </c>
      <c r="AH7060">
        <v>18.681565399148202</v>
      </c>
      <c r="AI7060">
        <v>93.396059757870901</v>
      </c>
      <c r="AJ7060">
        <v>88.649074734272602</v>
      </c>
      <c r="AK7060">
        <v>18.719632861972698</v>
      </c>
      <c r="AL7060">
        <v>80.364222467937793</v>
      </c>
      <c r="AM7060">
        <v>87.208151798165403</v>
      </c>
      <c r="AN7060">
        <v>0.99999996821251902</v>
      </c>
    </row>
    <row r="7061" spans="1:40" x14ac:dyDescent="0.25">
      <c r="A7061" t="str">
        <f>"20190312172545134"</f>
        <v>20190312172545134</v>
      </c>
      <c r="B7061" t="str">
        <f>"1552382745127309"</f>
        <v>1552382745127309</v>
      </c>
      <c r="C7061" t="s">
        <v>40</v>
      </c>
      <c r="D7061">
        <v>3.8868670000000001</v>
      </c>
      <c r="E7061">
        <v>0.4960503</v>
      </c>
      <c r="F7061" t="s">
        <v>43</v>
      </c>
      <c r="G7061">
        <v>-187.50899999999999</v>
      </c>
      <c r="H7061" s="1">
        <v>-1.5742429999999901E-6</v>
      </c>
      <c r="I7061">
        <v>22.272359999999999</v>
      </c>
      <c r="J7061">
        <v>-187.64019999999999</v>
      </c>
      <c r="K7061">
        <v>1.108862</v>
      </c>
      <c r="L7061">
        <v>3.5025940000000002</v>
      </c>
      <c r="M7061">
        <v>-1.814634E-2</v>
      </c>
      <c r="N7061">
        <v>0</v>
      </c>
      <c r="O7061">
        <v>0.99983040000000001</v>
      </c>
      <c r="P7061">
        <v>3.1594249999999997E-2</v>
      </c>
      <c r="Q7061">
        <v>0.16410669999999999</v>
      </c>
      <c r="R7061">
        <v>0.98593649999999999</v>
      </c>
      <c r="S7061">
        <v>2.0400999999999999E-2</v>
      </c>
      <c r="T7061">
        <v>-0.1789019</v>
      </c>
      <c r="U7061">
        <v>3.0718990000000002</v>
      </c>
      <c r="V7061">
        <v>4.9525E-2</v>
      </c>
      <c r="W7061">
        <v>0.16718829999999901</v>
      </c>
      <c r="X7061">
        <v>0.98468029999999995</v>
      </c>
      <c r="Y7061">
        <v>2.4774729999999998E-2</v>
      </c>
      <c r="Z7061">
        <v>-5.8115779999999999E-2</v>
      </c>
      <c r="AA7061">
        <v>0.99800239999999996</v>
      </c>
      <c r="AB7061">
        <v>29</v>
      </c>
      <c r="AC7061">
        <v>0.131199999999978</v>
      </c>
      <c r="AD7061">
        <v>-1.108863574243</v>
      </c>
      <c r="AE7061">
        <v>18.769766000000001</v>
      </c>
      <c r="AF7061">
        <v>0.47014187060083301</v>
      </c>
      <c r="AG7061">
        <v>-1.108863574243</v>
      </c>
      <c r="AH7061">
        <v>18.699036143764399</v>
      </c>
      <c r="AI7061">
        <v>93.392628635231404</v>
      </c>
      <c r="AJ7061">
        <v>88.559740148812196</v>
      </c>
      <c r="AK7061">
        <v>18.737784407730299</v>
      </c>
      <c r="AL7061">
        <v>80.375618812173798</v>
      </c>
      <c r="AM7061">
        <v>87.120705647316797</v>
      </c>
      <c r="AN7061">
        <v>0.99999997324498902</v>
      </c>
    </row>
    <row r="7062" spans="1:40" x14ac:dyDescent="0.25">
      <c r="A7062" t="str">
        <f>"20190312172545168"</f>
        <v>20190312172545168</v>
      </c>
      <c r="B7062" t="str">
        <f>"1552382745157582"</f>
        <v>1552382745157582</v>
      </c>
      <c r="C7062" t="s">
        <v>40</v>
      </c>
      <c r="D7062">
        <v>3.8812899999999999</v>
      </c>
      <c r="E7062">
        <v>0.49610749999999998</v>
      </c>
      <c r="F7062" t="s">
        <v>43</v>
      </c>
      <c r="G7062">
        <v>-187.48570000000001</v>
      </c>
      <c r="H7062" s="1">
        <v>-1.691506E-6</v>
      </c>
      <c r="I7062">
        <v>22.536100000000001</v>
      </c>
      <c r="J7062">
        <v>-187.648</v>
      </c>
      <c r="K7062">
        <v>1.108778</v>
      </c>
      <c r="L7062">
        <v>3.9468079999999999</v>
      </c>
      <c r="M7062">
        <v>-1.7811299999999999E-2</v>
      </c>
      <c r="N7062">
        <v>0</v>
      </c>
      <c r="O7062">
        <v>0.99983659999999996</v>
      </c>
      <c r="P7062">
        <v>3.3580499999999999E-2</v>
      </c>
      <c r="Q7062">
        <v>0.1631205</v>
      </c>
      <c r="R7062">
        <v>0.98603450000000004</v>
      </c>
      <c r="S7062">
        <v>2.4932860000000001E-2</v>
      </c>
      <c r="T7062">
        <v>-0.17895710000000001</v>
      </c>
      <c r="U7062">
        <v>3.071777</v>
      </c>
      <c r="V7062">
        <v>5.1206250000000002E-2</v>
      </c>
      <c r="W7062">
        <v>0.1661511</v>
      </c>
      <c r="X7062">
        <v>0.98476989999999998</v>
      </c>
      <c r="Y7062">
        <v>2.5912270000000001E-2</v>
      </c>
      <c r="Z7062">
        <v>-5.8135319999999997E-2</v>
      </c>
      <c r="AA7062">
        <v>0.99797239999999998</v>
      </c>
      <c r="AB7062">
        <v>29</v>
      </c>
      <c r="AC7062">
        <v>0.16229999999998701</v>
      </c>
      <c r="AD7062">
        <v>-1.108779691506</v>
      </c>
      <c r="AE7062">
        <v>18.589292</v>
      </c>
      <c r="AF7062">
        <v>0.49162638019136801</v>
      </c>
      <c r="AG7062">
        <v>-1.108779691506</v>
      </c>
      <c r="AH7062">
        <v>18.5175780106517</v>
      </c>
      <c r="AI7062">
        <v>93.425412323013006</v>
      </c>
      <c r="AJ7062">
        <v>88.479201692359993</v>
      </c>
      <c r="AK7062">
        <v>18.557256916973699</v>
      </c>
      <c r="AL7062">
        <v>80.435889385782204</v>
      </c>
      <c r="AM7062">
        <v>87.023404094910802</v>
      </c>
      <c r="AN7062">
        <v>1.00000001200814</v>
      </c>
    </row>
    <row r="7063" spans="1:40" x14ac:dyDescent="0.25">
      <c r="A7063" t="str">
        <f>"20190312172545188"</f>
        <v>20190312172545188</v>
      </c>
      <c r="B7063" t="str">
        <f>"1552382745177084"</f>
        <v>1552382745177084</v>
      </c>
      <c r="C7063" t="s">
        <v>40</v>
      </c>
      <c r="D7063">
        <v>3.9942389999999999</v>
      </c>
      <c r="E7063">
        <v>0.51989280000000004</v>
      </c>
      <c r="F7063" t="s">
        <v>41</v>
      </c>
      <c r="G7063">
        <v>-187.6386</v>
      </c>
      <c r="H7063">
        <v>1.0543209999999901</v>
      </c>
      <c r="I7063">
        <v>4.8660649999999999</v>
      </c>
      <c r="J7063">
        <v>-187.65280000000001</v>
      </c>
      <c r="K7063">
        <v>1.1087340000000001</v>
      </c>
      <c r="L7063">
        <v>4.2272030000000003</v>
      </c>
      <c r="M7063">
        <v>-1.7553249999999999E-2</v>
      </c>
      <c r="N7063">
        <v>0</v>
      </c>
      <c r="O7063">
        <v>0.99984119999999999</v>
      </c>
      <c r="P7063">
        <v>3.5369089999999999E-2</v>
      </c>
      <c r="Q7063">
        <v>0.16255320000000001</v>
      </c>
      <c r="R7063">
        <v>0.98606570000000004</v>
      </c>
      <c r="S7063">
        <v>3.1387329999999998E-2</v>
      </c>
      <c r="T7063">
        <v>-0.18195030000000001</v>
      </c>
      <c r="U7063">
        <v>3.0715330000000001</v>
      </c>
      <c r="V7063">
        <v>5.2754309999999999E-2</v>
      </c>
      <c r="W7063">
        <v>0.1655577</v>
      </c>
      <c r="X7063">
        <v>0.98478810000000006</v>
      </c>
      <c r="Y7063">
        <v>2.775122E-2</v>
      </c>
      <c r="Z7063">
        <v>-5.9107369999999999E-2</v>
      </c>
      <c r="AA7063">
        <v>0.99786580000000002</v>
      </c>
      <c r="AB7063">
        <v>29</v>
      </c>
      <c r="AC7063">
        <v>1.42000000000166E-2</v>
      </c>
      <c r="AD7063">
        <v>-5.4413000000000197E-2</v>
      </c>
      <c r="AE7063">
        <v>0.63886199999999904</v>
      </c>
      <c r="AF7063">
        <v>2.52290427510613E-2</v>
      </c>
      <c r="AG7063">
        <v>-5.4413000000000197E-2</v>
      </c>
      <c r="AH7063">
        <v>0.63391799696501105</v>
      </c>
      <c r="AI7063">
        <v>94.902154704389602</v>
      </c>
      <c r="AJ7063">
        <v>87.720911531686596</v>
      </c>
      <c r="AK7063">
        <v>0.63674901338224899</v>
      </c>
      <c r="AL7063">
        <v>80.470365942425403</v>
      </c>
      <c r="AM7063">
        <v>86.933641861052294</v>
      </c>
      <c r="AN7063">
        <v>0.99999998557723802</v>
      </c>
    </row>
    <row r="7064" spans="1:40" x14ac:dyDescent="0.25">
      <c r="A7064" t="str">
        <f>"20190312172545222"</f>
        <v>20190312172545222</v>
      </c>
      <c r="B7064" t="str">
        <f>"1552382745217100"</f>
        <v>1552382745217100</v>
      </c>
      <c r="C7064" t="s">
        <v>40</v>
      </c>
      <c r="D7064">
        <v>4.1507180000000004</v>
      </c>
      <c r="E7064">
        <v>0.54338399999999998</v>
      </c>
      <c r="F7064" t="s">
        <v>41</v>
      </c>
      <c r="G7064">
        <v>-187.5907</v>
      </c>
      <c r="H7064">
        <v>1.01112</v>
      </c>
      <c r="I7064">
        <v>5.1084959999999997</v>
      </c>
      <c r="J7064">
        <v>-187.6602</v>
      </c>
      <c r="K7064">
        <v>1.108668</v>
      </c>
      <c r="L7064">
        <v>4.6768489999999998</v>
      </c>
      <c r="M7064">
        <v>-1.7085010000000001E-2</v>
      </c>
      <c r="N7064">
        <v>0</v>
      </c>
      <c r="O7064">
        <v>0.9998494</v>
      </c>
      <c r="P7064">
        <v>3.7834859999999998E-2</v>
      </c>
      <c r="Q7064">
        <v>0.16242309999999999</v>
      </c>
      <c r="R7064">
        <v>0.98599559999999997</v>
      </c>
      <c r="S7064">
        <v>0.21717829999999999</v>
      </c>
      <c r="T7064">
        <v>-0.34234730000000002</v>
      </c>
      <c r="U7064">
        <v>3.0910340000000001</v>
      </c>
      <c r="V7064">
        <v>5.4774740000000002E-2</v>
      </c>
      <c r="W7064">
        <v>0.16539499999999999</v>
      </c>
      <c r="X7064">
        <v>0.98470519999999995</v>
      </c>
      <c r="Y7064">
        <v>8.6697419999999997E-2</v>
      </c>
      <c r="Z7064">
        <v>-0.1097167</v>
      </c>
      <c r="AA7064">
        <v>0.99017469999999996</v>
      </c>
      <c r="AB7064">
        <v>30</v>
      </c>
      <c r="AC7064">
        <v>6.9500000000005002E-2</v>
      </c>
      <c r="AD7064">
        <v>-9.7547999999999899E-2</v>
      </c>
      <c r="AE7064">
        <v>0.431646999999999</v>
      </c>
      <c r="AF7064">
        <v>7.32196347447686E-2</v>
      </c>
      <c r="AG7064">
        <v>-9.7547999999999899E-2</v>
      </c>
      <c r="AH7064">
        <v>0.40998700897962898</v>
      </c>
      <c r="AI7064">
        <v>103.182387164432</v>
      </c>
      <c r="AJ7064">
        <v>79.874289742423201</v>
      </c>
      <c r="AK7064">
        <v>0.42774533866334502</v>
      </c>
      <c r="AL7064">
        <v>80.479818940702501</v>
      </c>
      <c r="AM7064">
        <v>86.816173492807593</v>
      </c>
      <c r="AN7064">
        <v>1.00000005453705</v>
      </c>
    </row>
    <row r="7065" spans="1:40" x14ac:dyDescent="0.25">
      <c r="A7065" t="str">
        <f>"20190312172545245"</f>
        <v>20190312172545245</v>
      </c>
      <c r="B7065" t="str">
        <f>"1552382745237596"</f>
        <v>1552382745237596</v>
      </c>
      <c r="C7065" t="s">
        <v>40</v>
      </c>
      <c r="D7065">
        <v>3.7872789999999998</v>
      </c>
      <c r="E7065">
        <v>0.54668950000000005</v>
      </c>
      <c r="F7065" t="s">
        <v>41</v>
      </c>
      <c r="G7065">
        <v>-187.53970000000001</v>
      </c>
      <c r="H7065">
        <v>0.94516789999999995</v>
      </c>
      <c r="I7065">
        <v>5.6158739999999998</v>
      </c>
      <c r="J7065">
        <v>-187.66499999999999</v>
      </c>
      <c r="K7065">
        <v>1.108638</v>
      </c>
      <c r="L7065">
        <v>4.978485</v>
      </c>
      <c r="M7065">
        <v>-1.67362E-2</v>
      </c>
      <c r="N7065">
        <v>0</v>
      </c>
      <c r="O7065">
        <v>0.9998553</v>
      </c>
      <c r="P7065">
        <v>3.9214909999999999E-2</v>
      </c>
      <c r="Q7065">
        <v>0.16252059999999999</v>
      </c>
      <c r="R7065">
        <v>0.98592559999999996</v>
      </c>
      <c r="S7065">
        <v>0.3998718</v>
      </c>
      <c r="T7065">
        <v>-0.54265559999999902</v>
      </c>
      <c r="U7065">
        <v>3.1166689999999999</v>
      </c>
      <c r="V7065">
        <v>5.5818819999999998E-2</v>
      </c>
      <c r="W7065">
        <v>0.16547729999999999</v>
      </c>
      <c r="X7065">
        <v>0.98463270000000003</v>
      </c>
      <c r="Y7065">
        <v>0.14198749999999999</v>
      </c>
      <c r="Z7065">
        <v>-0.16995099999999999</v>
      </c>
      <c r="AA7065">
        <v>0.97516979999999998</v>
      </c>
      <c r="AB7065">
        <v>30</v>
      </c>
      <c r="AC7065">
        <v>0.12529999999998101</v>
      </c>
      <c r="AD7065">
        <v>-0.16347009999999901</v>
      </c>
      <c r="AE7065">
        <v>0.63738899999999898</v>
      </c>
      <c r="AF7065">
        <v>0.12785319603583301</v>
      </c>
      <c r="AG7065">
        <v>-0.16347009999999901</v>
      </c>
      <c r="AH7065">
        <v>0.59737189972580795</v>
      </c>
      <c r="AI7065">
        <v>104.98072580463599</v>
      </c>
      <c r="AJ7065">
        <v>77.919463783047505</v>
      </c>
      <c r="AK7065">
        <v>0.63239394360841905</v>
      </c>
      <c r="AL7065">
        <v>80.475037240622697</v>
      </c>
      <c r="AM7065">
        <v>86.755375546938694</v>
      </c>
      <c r="AN7065">
        <v>1.0000000156953801</v>
      </c>
    </row>
    <row r="7066" spans="1:40" x14ac:dyDescent="0.25">
      <c r="A7066" t="str">
        <f>"20190312172545268"</f>
        <v>20190312172545268</v>
      </c>
      <c r="B7066" t="str">
        <f>"1552382745257116"</f>
        <v>1552382745257116</v>
      </c>
      <c r="C7066" t="s">
        <v>40</v>
      </c>
      <c r="D7066">
        <v>4.0874009999999998</v>
      </c>
      <c r="E7066">
        <v>0.54888689999999996</v>
      </c>
      <c r="F7066" t="s">
        <v>41</v>
      </c>
      <c r="G7066">
        <v>-187.54069999999999</v>
      </c>
      <c r="H7066">
        <v>0.94080200000000003</v>
      </c>
      <c r="I7066">
        <v>5.8841739999999998</v>
      </c>
      <c r="J7066">
        <v>-187.67</v>
      </c>
      <c r="K7066">
        <v>1.108622</v>
      </c>
      <c r="L7066">
        <v>5.2996829999999999</v>
      </c>
      <c r="M7066">
        <v>-1.634569E-2</v>
      </c>
      <c r="N7066">
        <v>0</v>
      </c>
      <c r="O7066">
        <v>0.99986180000000002</v>
      </c>
      <c r="P7066">
        <v>3.9912839999999998E-2</v>
      </c>
      <c r="Q7066">
        <v>0.16214010000000001</v>
      </c>
      <c r="R7066">
        <v>0.98596019999999895</v>
      </c>
      <c r="S7066">
        <v>0.42845149999999999</v>
      </c>
      <c r="T7066">
        <v>-0.57838679999999998</v>
      </c>
      <c r="U7066">
        <v>3.121124</v>
      </c>
      <c r="V7066">
        <v>5.6139790000000002E-2</v>
      </c>
      <c r="W7066">
        <v>0.16508699999999901</v>
      </c>
      <c r="X7066">
        <v>0.98467990000000005</v>
      </c>
      <c r="Y7066">
        <v>0.14994370000000001</v>
      </c>
      <c r="Z7066">
        <v>-0.18032570000000001</v>
      </c>
      <c r="AA7066">
        <v>0.9721109</v>
      </c>
      <c r="AB7066">
        <v>30</v>
      </c>
      <c r="AC7066">
        <v>0.1293</v>
      </c>
      <c r="AD7066">
        <v>-0.167819999999999</v>
      </c>
      <c r="AE7066">
        <v>0.58449099999999898</v>
      </c>
      <c r="AF7066">
        <v>0.12872020980614601</v>
      </c>
      <c r="AG7066">
        <v>-0.167819999999999</v>
      </c>
      <c r="AH7066">
        <v>0.53986959724429695</v>
      </c>
      <c r="AI7066">
        <v>106.82410233963699</v>
      </c>
      <c r="AJ7066">
        <v>76.589442369332403</v>
      </c>
      <c r="AK7066">
        <v>0.57982034014102801</v>
      </c>
      <c r="AL7066">
        <v>80.4977110049294</v>
      </c>
      <c r="AM7066">
        <v>86.736914560529002</v>
      </c>
      <c r="AN7066">
        <v>0.99999994952712501</v>
      </c>
    </row>
    <row r="7067" spans="1:40" x14ac:dyDescent="0.25">
      <c r="A7067" t="str">
        <f>"20190312172545290"</f>
        <v>20190312172545290</v>
      </c>
      <c r="B7067" t="str">
        <f>"1552382745287372"</f>
        <v>1552382745287372</v>
      </c>
      <c r="C7067" t="s">
        <v>40</v>
      </c>
      <c r="D7067">
        <v>3.7557269999999998</v>
      </c>
      <c r="E7067">
        <v>0.55197600000000002</v>
      </c>
      <c r="F7067" t="s">
        <v>41</v>
      </c>
      <c r="G7067">
        <v>-187.54730000000001</v>
      </c>
      <c r="H7067">
        <v>0.94340469999999998</v>
      </c>
      <c r="I7067">
        <v>6.1567540000000003</v>
      </c>
      <c r="J7067">
        <v>-187.67449999999999</v>
      </c>
      <c r="K7067">
        <v>1.1085989999999999</v>
      </c>
      <c r="L7067">
        <v>5.595764</v>
      </c>
      <c r="M7067">
        <v>-1.5970890000000001E-2</v>
      </c>
      <c r="N7067">
        <v>0</v>
      </c>
      <c r="O7067">
        <v>0.99986790000000003</v>
      </c>
      <c r="P7067">
        <v>4.0766110000000001E-2</v>
      </c>
      <c r="Q7067">
        <v>0.16262109999999999</v>
      </c>
      <c r="R7067">
        <v>0.98584609999999995</v>
      </c>
      <c r="S7067">
        <v>0.44654850000000001</v>
      </c>
      <c r="T7067">
        <v>-0.60212060000000001</v>
      </c>
      <c r="U7067">
        <v>3.1236570000000001</v>
      </c>
      <c r="V7067">
        <v>5.6628379999999999E-2</v>
      </c>
      <c r="W7067">
        <v>0.16556189999999901</v>
      </c>
      <c r="X7067">
        <v>0.98457220000000001</v>
      </c>
      <c r="Y7067">
        <v>0.154807</v>
      </c>
      <c r="Z7067">
        <v>-0.1871806</v>
      </c>
      <c r="AA7067">
        <v>0.97005059999999999</v>
      </c>
      <c r="AB7067">
        <v>30</v>
      </c>
      <c r="AC7067">
        <v>0.12719999999998699</v>
      </c>
      <c r="AD7067">
        <v>-0.16519429999999999</v>
      </c>
      <c r="AE7067">
        <v>0.56098999999999999</v>
      </c>
      <c r="AF7067">
        <v>0.12577075080977501</v>
      </c>
      <c r="AG7067">
        <v>-0.16519429999999999</v>
      </c>
      <c r="AH7067">
        <v>0.51630610210113104</v>
      </c>
      <c r="AI7067">
        <v>107.26857954905699</v>
      </c>
      <c r="AJ7067">
        <v>76.3095439498898</v>
      </c>
      <c r="AK7067">
        <v>0.55648848108348903</v>
      </c>
      <c r="AL7067">
        <v>80.470121750052797</v>
      </c>
      <c r="AM7067">
        <v>86.708218533726793</v>
      </c>
      <c r="AN7067">
        <v>0.999999966582936</v>
      </c>
    </row>
    <row r="7068" spans="1:40" x14ac:dyDescent="0.25">
      <c r="A7068" t="str">
        <f>"20190312172545311"</f>
        <v>20190312172545311</v>
      </c>
      <c r="B7068" t="str">
        <f>"1552382745306892"</f>
        <v>1552382745306892</v>
      </c>
      <c r="C7068" t="s">
        <v>40</v>
      </c>
      <c r="D7068">
        <v>4.120355</v>
      </c>
      <c r="E7068">
        <v>0.55316379999999998</v>
      </c>
      <c r="F7068" t="s">
        <v>41</v>
      </c>
      <c r="G7068">
        <v>-187.54859999999999</v>
      </c>
      <c r="H7068">
        <v>0.94129929999999995</v>
      </c>
      <c r="I7068">
        <v>6.4287839999999896</v>
      </c>
      <c r="J7068">
        <v>-187.67869999999999</v>
      </c>
      <c r="K7068">
        <v>1.1085860000000001</v>
      </c>
      <c r="L7068">
        <v>5.8809509999999996</v>
      </c>
      <c r="M7068">
        <v>-1.559789E-2</v>
      </c>
      <c r="N7068">
        <v>0</v>
      </c>
      <c r="O7068">
        <v>0.99987380000000003</v>
      </c>
      <c r="P7068">
        <v>4.0343049999999998E-2</v>
      </c>
      <c r="Q7068">
        <v>0.16306019999999999</v>
      </c>
      <c r="R7068">
        <v>0.98579099999999997</v>
      </c>
      <c r="S7068">
        <v>0.47238160000000001</v>
      </c>
      <c r="T7068">
        <v>-0.62803359999999997</v>
      </c>
      <c r="U7068">
        <v>3.1271360000000001</v>
      </c>
      <c r="V7068">
        <v>5.5843120000000003E-2</v>
      </c>
      <c r="W7068">
        <v>0.16599920000000001</v>
      </c>
      <c r="X7068">
        <v>0.98454339999999996</v>
      </c>
      <c r="Y7068">
        <v>0.16191410000000001</v>
      </c>
      <c r="Z7068">
        <v>-0.19450400000000001</v>
      </c>
      <c r="AA7068">
        <v>0.96744609999999998</v>
      </c>
      <c r="AB7068">
        <v>30</v>
      </c>
      <c r="AC7068">
        <v>0.130099999999998</v>
      </c>
      <c r="AD7068">
        <v>-0.16728670000000001</v>
      </c>
      <c r="AE7068">
        <v>0.54783299999999802</v>
      </c>
      <c r="AF7068">
        <v>0.12738531027116301</v>
      </c>
      <c r="AG7068">
        <v>-0.16728670000000001</v>
      </c>
      <c r="AH7068">
        <v>0.501473421692746</v>
      </c>
      <c r="AI7068">
        <v>107.917155715554</v>
      </c>
      <c r="AJ7068">
        <v>75.747071420619406</v>
      </c>
      <c r="AK7068">
        <v>0.54377150526117202</v>
      </c>
      <c r="AL7068">
        <v>80.444714555001894</v>
      </c>
      <c r="AM7068">
        <v>86.753672269676997</v>
      </c>
      <c r="AN7068">
        <v>0.99999994746776499</v>
      </c>
    </row>
    <row r="7069" spans="1:40" x14ac:dyDescent="0.25">
      <c r="A7069" t="str">
        <f>"20190312172545334"</f>
        <v>20190312172545334</v>
      </c>
      <c r="B7069" t="str">
        <f>"1552382745327389"</f>
        <v>1552382745327389</v>
      </c>
      <c r="C7069" t="s">
        <v>40</v>
      </c>
      <c r="D7069">
        <v>3.759903</v>
      </c>
      <c r="E7069">
        <v>0.55370750000000002</v>
      </c>
      <c r="F7069" t="s">
        <v>41</v>
      </c>
      <c r="G7069">
        <v>-187.5523</v>
      </c>
      <c r="H7069">
        <v>0.94105179999999999</v>
      </c>
      <c r="I7069">
        <v>6.7028649999999903</v>
      </c>
      <c r="J7069">
        <v>-187.6833</v>
      </c>
      <c r="K7069">
        <v>1.10856</v>
      </c>
      <c r="L7069">
        <v>6.1970519999999896</v>
      </c>
      <c r="M7069">
        <v>-1.5170640000000001E-2</v>
      </c>
      <c r="N7069">
        <v>0</v>
      </c>
      <c r="O7069">
        <v>0.99988030000000006</v>
      </c>
      <c r="P7069">
        <v>4.0032779999999997E-2</v>
      </c>
      <c r="Q7069">
        <v>0.16366120000000001</v>
      </c>
      <c r="R7069">
        <v>0.98570400000000002</v>
      </c>
      <c r="S7069">
        <v>0.48045349999999998</v>
      </c>
      <c r="T7069">
        <v>-0.63778000000000001</v>
      </c>
      <c r="U7069">
        <v>3.129089</v>
      </c>
      <c r="V7069">
        <v>5.511775E-2</v>
      </c>
      <c r="W7069">
        <v>0.16660159999999999</v>
      </c>
      <c r="X7069">
        <v>0.98448259999999999</v>
      </c>
      <c r="Y7069">
        <v>0.16375979999999901</v>
      </c>
      <c r="Z7069">
        <v>-0.19722219999999999</v>
      </c>
      <c r="AA7069">
        <v>0.96658480000000002</v>
      </c>
      <c r="AB7069">
        <v>31</v>
      </c>
      <c r="AC7069">
        <v>0.13100000000000001</v>
      </c>
      <c r="AD7069">
        <v>-0.1675082</v>
      </c>
      <c r="AE7069">
        <v>0.50581299999999896</v>
      </c>
      <c r="AF7069">
        <v>0.12573569448263</v>
      </c>
      <c r="AG7069">
        <v>-0.1675082</v>
      </c>
      <c r="AH7069">
        <v>0.45681701833864202</v>
      </c>
      <c r="AI7069">
        <v>109.470447532276</v>
      </c>
      <c r="AJ7069">
        <v>74.610804648451904</v>
      </c>
      <c r="AK7069">
        <v>0.50254377936462102</v>
      </c>
      <c r="AL7069">
        <v>80.409712918263196</v>
      </c>
      <c r="AM7069">
        <v>86.795554279170304</v>
      </c>
      <c r="AN7069">
        <v>1.0000000245951901</v>
      </c>
    </row>
    <row r="7070" spans="1:40" x14ac:dyDescent="0.25">
      <c r="A7070" t="str">
        <f>"20190312172545357"</f>
        <v>20190312172545357</v>
      </c>
      <c r="B7070" t="str">
        <f>"1552382745347884"</f>
        <v>1552382745347884</v>
      </c>
      <c r="C7070" t="s">
        <v>40</v>
      </c>
      <c r="D7070">
        <v>3.7604950000000001</v>
      </c>
      <c r="E7070">
        <v>0.5547185</v>
      </c>
      <c r="F7070" t="s">
        <v>41</v>
      </c>
      <c r="G7070">
        <v>-187.56200000000001</v>
      </c>
      <c r="H7070">
        <v>0.94787129999999997</v>
      </c>
      <c r="I7070">
        <v>6.9812320000000003</v>
      </c>
      <c r="J7070">
        <v>-187.68770000000001</v>
      </c>
      <c r="K7070">
        <v>1.108536</v>
      </c>
      <c r="L7070">
        <v>6.5151669999999999</v>
      </c>
      <c r="M7070">
        <v>-1.472384E-2</v>
      </c>
      <c r="N7070">
        <v>0</v>
      </c>
      <c r="O7070">
        <v>0.99988699999999997</v>
      </c>
      <c r="P7070">
        <v>3.9314870000000002E-2</v>
      </c>
      <c r="Q7070">
        <v>0.16376079999999901</v>
      </c>
      <c r="R7070">
        <v>0.98571629999999999</v>
      </c>
      <c r="S7070">
        <v>0.48387150000000001</v>
      </c>
      <c r="T7070">
        <v>-0.64144250000000003</v>
      </c>
      <c r="U7070">
        <v>3.1303709999999998</v>
      </c>
      <c r="V7070">
        <v>5.3967330000000001E-2</v>
      </c>
      <c r="W7070">
        <v>0.16670550000000001</v>
      </c>
      <c r="X7070">
        <v>0.98452870000000003</v>
      </c>
      <c r="Y7070">
        <v>0.1642604</v>
      </c>
      <c r="Z7070">
        <v>-0.19821059999999999</v>
      </c>
      <c r="AA7070">
        <v>0.96629759999999998</v>
      </c>
      <c r="AB7070">
        <v>31</v>
      </c>
      <c r="AC7070">
        <v>0.12569999999999401</v>
      </c>
      <c r="AD7070">
        <v>-0.16066469999999999</v>
      </c>
      <c r="AE7070">
        <v>0.46606500000000001</v>
      </c>
      <c r="AF7070">
        <v>0.119329588705473</v>
      </c>
      <c r="AG7070">
        <v>-0.16066469999999999</v>
      </c>
      <c r="AH7070">
        <v>0.41787262381095502</v>
      </c>
      <c r="AI7070">
        <v>110.2895412713</v>
      </c>
      <c r="AJ7070">
        <v>74.062538566243802</v>
      </c>
      <c r="AK7070">
        <v>0.46332518418208102</v>
      </c>
      <c r="AL7070">
        <v>80.403675012306707</v>
      </c>
      <c r="AM7070">
        <v>86.862449170839596</v>
      </c>
      <c r="AN7070">
        <v>0.99999997878063396</v>
      </c>
    </row>
    <row r="7071" spans="1:40" x14ac:dyDescent="0.25">
      <c r="A7071" t="str">
        <f>"20190312172545380"</f>
        <v>20190312172545380</v>
      </c>
      <c r="B7071" t="str">
        <f>"1552382745377164"</f>
        <v>1552382745377164</v>
      </c>
      <c r="C7071" t="s">
        <v>40</v>
      </c>
      <c r="D7071">
        <v>3.7567940000000002</v>
      </c>
      <c r="E7071">
        <v>0.55591369999999996</v>
      </c>
      <c r="F7071" t="s">
        <v>41</v>
      </c>
      <c r="G7071">
        <v>-187.57079999999999</v>
      </c>
      <c r="H7071">
        <v>0.95380710000000002</v>
      </c>
      <c r="I7071">
        <v>7.2605889999999897</v>
      </c>
      <c r="J7071">
        <v>-187.69200000000001</v>
      </c>
      <c r="K7071">
        <v>1.1085119999999999</v>
      </c>
      <c r="L7071">
        <v>6.8348079999999998</v>
      </c>
      <c r="M7071">
        <v>-1.425322E-2</v>
      </c>
      <c r="N7071">
        <v>0</v>
      </c>
      <c r="O7071">
        <v>0.99989380000000005</v>
      </c>
      <c r="P7071">
        <v>3.8357269999999999E-2</v>
      </c>
      <c r="Q7071">
        <v>0.16325490000000001</v>
      </c>
      <c r="R7071">
        <v>0.98583799999999999</v>
      </c>
      <c r="S7071">
        <v>0.48992920000000001</v>
      </c>
      <c r="T7071">
        <v>-0.65005210000000002</v>
      </c>
      <c r="U7071">
        <v>3.1319270000000001</v>
      </c>
      <c r="V7071">
        <v>5.2555770000000002E-2</v>
      </c>
      <c r="W7071">
        <v>0.16620660000000001</v>
      </c>
      <c r="X7071">
        <v>0.98468940000000005</v>
      </c>
      <c r="Y7071">
        <v>0.1654727</v>
      </c>
      <c r="Z7071">
        <v>-0.20062160000000001</v>
      </c>
      <c r="AA7071">
        <v>0.96559300000000003</v>
      </c>
      <c r="AB7071">
        <v>31</v>
      </c>
      <c r="AC7071">
        <v>0.121200000000015</v>
      </c>
      <c r="AD7071">
        <v>-0.15470490000000001</v>
      </c>
      <c r="AE7071">
        <v>0.42578099999999902</v>
      </c>
      <c r="AF7071">
        <v>0.113406839592724</v>
      </c>
      <c r="AG7071">
        <v>-0.15470490000000001</v>
      </c>
      <c r="AH7071">
        <v>0.37786419596090198</v>
      </c>
      <c r="AI7071">
        <v>111.412081825507</v>
      </c>
      <c r="AJ7071">
        <v>73.294136998608195</v>
      </c>
      <c r="AK7071">
        <v>0.42376416547367401</v>
      </c>
      <c r="AL7071">
        <v>80.432664309813902</v>
      </c>
      <c r="AM7071">
        <v>86.944854531032504</v>
      </c>
      <c r="AN7071">
        <v>0.99999997865810597</v>
      </c>
    </row>
    <row r="7072" spans="1:40" x14ac:dyDescent="0.25">
      <c r="A7072" t="str">
        <f>"20190312172545401"</f>
        <v>20190312172545401</v>
      </c>
      <c r="B7072" t="str">
        <f>"1552382745397660"</f>
        <v>1552382745397660</v>
      </c>
      <c r="C7072" t="s">
        <v>40</v>
      </c>
      <c r="D7072">
        <v>3.8159200000000002</v>
      </c>
      <c r="E7072">
        <v>0.55654300000000001</v>
      </c>
      <c r="F7072" t="s">
        <v>41</v>
      </c>
      <c r="G7072">
        <v>-187.5797</v>
      </c>
      <c r="H7072">
        <v>0.95952789999999999</v>
      </c>
      <c r="I7072">
        <v>7.5412299999999997</v>
      </c>
      <c r="J7072">
        <v>-187.69569999999999</v>
      </c>
      <c r="K7072">
        <v>1.1084909999999999</v>
      </c>
      <c r="L7072">
        <v>7.1235350000000004</v>
      </c>
      <c r="M7072">
        <v>-1.380251E-2</v>
      </c>
      <c r="N7072">
        <v>0</v>
      </c>
      <c r="O7072">
        <v>0.99990009999999996</v>
      </c>
      <c r="P7072">
        <v>3.8517460000000003E-2</v>
      </c>
      <c r="Q7072">
        <v>0.16323370000000001</v>
      </c>
      <c r="R7072">
        <v>0.98583529999999997</v>
      </c>
      <c r="S7072">
        <v>0.49726870000000001</v>
      </c>
      <c r="T7072">
        <v>-0.66075430000000002</v>
      </c>
      <c r="U7072">
        <v>3.1331790000000002</v>
      </c>
      <c r="V7072">
        <v>5.228087E-2</v>
      </c>
      <c r="W7072">
        <v>0.16619200000000001</v>
      </c>
      <c r="X7072">
        <v>0.98470650000000004</v>
      </c>
      <c r="Y7072">
        <v>0.16707849999999999</v>
      </c>
      <c r="Z7072">
        <v>-0.2036482</v>
      </c>
      <c r="AA7072">
        <v>0.96468240000000005</v>
      </c>
      <c r="AB7072">
        <v>31</v>
      </c>
      <c r="AC7072">
        <v>0.115999999999985</v>
      </c>
      <c r="AD7072">
        <v>-0.14896309999999899</v>
      </c>
      <c r="AE7072">
        <v>0.41769499999999998</v>
      </c>
      <c r="AF7072">
        <v>0.108895899545838</v>
      </c>
      <c r="AG7072">
        <v>-0.14896309999999899</v>
      </c>
      <c r="AH7072">
        <v>0.37211513693790899</v>
      </c>
      <c r="AI7072">
        <v>111.016837736399</v>
      </c>
      <c r="AJ7072">
        <v>73.688395207234706</v>
      </c>
      <c r="AK7072">
        <v>0.41535285870910499</v>
      </c>
      <c r="AL7072">
        <v>80.433512646038807</v>
      </c>
      <c r="AM7072">
        <v>86.960857520199994</v>
      </c>
      <c r="AN7072">
        <v>0.99999998068710305</v>
      </c>
    </row>
    <row r="7073" spans="1:40" x14ac:dyDescent="0.25">
      <c r="A7073" t="str">
        <f>"20190312172545423"</f>
        <v>20190312172545423</v>
      </c>
      <c r="B7073" t="str">
        <f>"1552382745417181"</f>
        <v>1552382745417181</v>
      </c>
      <c r="C7073" t="s">
        <v>40</v>
      </c>
      <c r="D7073">
        <v>3.7326519999999999</v>
      </c>
      <c r="E7073">
        <v>0.55701000000000001</v>
      </c>
      <c r="F7073" t="s">
        <v>41</v>
      </c>
      <c r="G7073">
        <v>-187.5839</v>
      </c>
      <c r="H7073">
        <v>0.96015249999999996</v>
      </c>
      <c r="I7073">
        <v>7.8210519999999999</v>
      </c>
      <c r="J7073">
        <v>-187.6994</v>
      </c>
      <c r="K7073">
        <v>1.1084639999999999</v>
      </c>
      <c r="L7073">
        <v>7.4281309999999996</v>
      </c>
      <c r="M7073">
        <v>-1.3295080000000001E-2</v>
      </c>
      <c r="N7073">
        <v>0</v>
      </c>
      <c r="O7073">
        <v>0.99990690000000004</v>
      </c>
      <c r="P7073">
        <v>3.8743140000000002E-2</v>
      </c>
      <c r="Q7073">
        <v>0.16280339999999999</v>
      </c>
      <c r="R7073">
        <v>0.98589760000000004</v>
      </c>
      <c r="S7073">
        <v>0.50170899999999996</v>
      </c>
      <c r="T7073">
        <v>-0.6664215</v>
      </c>
      <c r="U7073">
        <v>3.1338499999999998</v>
      </c>
      <c r="V7073">
        <v>5.2018380000000003E-2</v>
      </c>
      <c r="W7073">
        <v>0.16577030000000001</v>
      </c>
      <c r="X7073">
        <v>0.98479150000000004</v>
      </c>
      <c r="Y7073">
        <v>0.1678267</v>
      </c>
      <c r="Z7073">
        <v>-0.20524619999999999</v>
      </c>
      <c r="AA7073">
        <v>0.96421380000000001</v>
      </c>
      <c r="AB7073">
        <v>31</v>
      </c>
      <c r="AC7073">
        <v>0.11549999999999699</v>
      </c>
      <c r="AD7073">
        <v>-0.14831149999999901</v>
      </c>
      <c r="AE7073">
        <v>0.39292100000000102</v>
      </c>
      <c r="AF7073">
        <v>0.106718333229712</v>
      </c>
      <c r="AG7073">
        <v>-0.14831149999999901</v>
      </c>
      <c r="AH7073">
        <v>0.34597797426956101</v>
      </c>
      <c r="AI7073">
        <v>112.275432651234</v>
      </c>
      <c r="AJ7073">
        <v>72.857405712822896</v>
      </c>
      <c r="AK7073">
        <v>0.39126188462364597</v>
      </c>
      <c r="AL7073">
        <v>80.458014337941705</v>
      </c>
      <c r="AM7073">
        <v>86.976348469792001</v>
      </c>
      <c r="AN7073">
        <v>1.0000000013460799</v>
      </c>
    </row>
    <row r="7074" spans="1:40" x14ac:dyDescent="0.25">
      <c r="A7074" t="str">
        <f>"20190312172545446"</f>
        <v>20190312172545446</v>
      </c>
      <c r="B7074" t="str">
        <f>"1552382745437677"</f>
        <v>1552382745437677</v>
      </c>
      <c r="C7074" t="s">
        <v>40</v>
      </c>
      <c r="D7074">
        <v>3.7094680000000002</v>
      </c>
      <c r="E7074">
        <v>0.55745419999999901</v>
      </c>
      <c r="F7074" t="s">
        <v>41</v>
      </c>
      <c r="G7074">
        <v>-187.548</v>
      </c>
      <c r="H7074">
        <v>0.90804019999999996</v>
      </c>
      <c r="I7074">
        <v>8.3636780000000002</v>
      </c>
      <c r="J7074">
        <v>-187.70339999999999</v>
      </c>
      <c r="K7074">
        <v>1.1084210000000001</v>
      </c>
      <c r="L7074">
        <v>7.7686159999999997</v>
      </c>
      <c r="M7074">
        <v>-1.268621E-2</v>
      </c>
      <c r="N7074">
        <v>0</v>
      </c>
      <c r="O7074">
        <v>0.99991479999999999</v>
      </c>
      <c r="P7074">
        <v>3.9392320000000002E-2</v>
      </c>
      <c r="Q7074">
        <v>0.16270589999999999</v>
      </c>
      <c r="R7074">
        <v>0.98588790000000004</v>
      </c>
      <c r="S7074">
        <v>0.50689700000000004</v>
      </c>
      <c r="T7074">
        <v>-0.67135310000000004</v>
      </c>
      <c r="U7074">
        <v>3.1338499999999998</v>
      </c>
      <c r="V7074">
        <v>5.2081309999999999E-2</v>
      </c>
      <c r="W7074">
        <v>0.16568329999999901</v>
      </c>
      <c r="X7074">
        <v>0.98480279999999998</v>
      </c>
      <c r="Y7074">
        <v>0.1687351</v>
      </c>
      <c r="Z7074">
        <v>-0.20665990000000001</v>
      </c>
      <c r="AA7074">
        <v>0.96375319999999998</v>
      </c>
      <c r="AB7074">
        <v>31</v>
      </c>
      <c r="AC7074">
        <v>0.15539999999998599</v>
      </c>
      <c r="AD7074">
        <v>-0.200380799999999</v>
      </c>
      <c r="AE7074">
        <v>0.59506199999999898</v>
      </c>
      <c r="AF7074">
        <v>0.147300138769065</v>
      </c>
      <c r="AG7074">
        <v>-0.200380799999999</v>
      </c>
      <c r="AH7074">
        <v>0.53613037780732598</v>
      </c>
      <c r="AI7074">
        <v>109.819102055996</v>
      </c>
      <c r="AJ7074">
        <v>74.637233649909504</v>
      </c>
      <c r="AK7074">
        <v>0.59100387299733603</v>
      </c>
      <c r="AL7074">
        <v>80.4630688278381</v>
      </c>
      <c r="AM7074">
        <v>86.972732034620293</v>
      </c>
      <c r="AN7074">
        <v>0.99999998681902302</v>
      </c>
    </row>
    <row r="7075" spans="1:40" x14ac:dyDescent="0.25">
      <c r="A7075" t="str">
        <f>"20190312172545469"</f>
        <v>20190312172545469</v>
      </c>
      <c r="B7075" t="str">
        <f>"1552382745457196"</f>
        <v>1552382745457196</v>
      </c>
      <c r="C7075" t="s">
        <v>40</v>
      </c>
      <c r="D7075">
        <v>3.761749</v>
      </c>
      <c r="E7075">
        <v>0.55799379999999998</v>
      </c>
      <c r="F7075" t="s">
        <v>41</v>
      </c>
      <c r="G7075">
        <v>-187.5591</v>
      </c>
      <c r="H7075">
        <v>0.91805859999999995</v>
      </c>
      <c r="I7075">
        <v>8.650881</v>
      </c>
      <c r="J7075">
        <v>-187.70689999999999</v>
      </c>
      <c r="K7075">
        <v>1.10839</v>
      </c>
      <c r="L7075">
        <v>8.0864259999999994</v>
      </c>
      <c r="M7075">
        <v>-1.208558E-2</v>
      </c>
      <c r="N7075">
        <v>0</v>
      </c>
      <c r="O7075">
        <v>0.99992219999999998</v>
      </c>
      <c r="P7075">
        <v>4.0384530000000002E-2</v>
      </c>
      <c r="Q7075">
        <v>0.16292619999999999</v>
      </c>
      <c r="R7075">
        <v>0.9858114</v>
      </c>
      <c r="S7075">
        <v>0.51277159999999999</v>
      </c>
      <c r="T7075">
        <v>-0.67623350000000004</v>
      </c>
      <c r="U7075">
        <v>3.134064</v>
      </c>
      <c r="V7075">
        <v>5.2493600000000001E-2</v>
      </c>
      <c r="W7075">
        <v>0.1659137</v>
      </c>
      <c r="X7075">
        <v>0.98474220000000001</v>
      </c>
      <c r="Y7075">
        <v>0.16984579999999999</v>
      </c>
      <c r="Z7075">
        <v>-0.20803569999999999</v>
      </c>
      <c r="AA7075">
        <v>0.9632619</v>
      </c>
      <c r="AB7075">
        <v>32</v>
      </c>
      <c r="AC7075">
        <v>0.147799999999989</v>
      </c>
      <c r="AD7075">
        <v>-0.19033140000000001</v>
      </c>
      <c r="AE7075">
        <v>0.56445500000000004</v>
      </c>
      <c r="AF7075">
        <v>0.13974177877840099</v>
      </c>
      <c r="AG7075">
        <v>-0.19033140000000001</v>
      </c>
      <c r="AH7075">
        <v>0.50851859243501896</v>
      </c>
      <c r="AI7075">
        <v>109.84486245383199</v>
      </c>
      <c r="AJ7075">
        <v>74.634311684171607</v>
      </c>
      <c r="AK7075">
        <v>0.56066475314059605</v>
      </c>
      <c r="AL7075">
        <v>80.449683384712202</v>
      </c>
      <c r="AM7075">
        <v>86.948625040073594</v>
      </c>
      <c r="AN7075">
        <v>1.00000006717474</v>
      </c>
    </row>
    <row r="7076" spans="1:40" x14ac:dyDescent="0.25">
      <c r="A7076" t="str">
        <f>"20190312172545492"</f>
        <v>20190312172545492</v>
      </c>
      <c r="B7076" t="str">
        <f>"1552382745487452"</f>
        <v>1552382745487452</v>
      </c>
      <c r="C7076" t="s">
        <v>40</v>
      </c>
      <c r="D7076">
        <v>3.7098930000000001</v>
      </c>
      <c r="E7076">
        <v>0.55854309999999996</v>
      </c>
      <c r="F7076" t="s">
        <v>41</v>
      </c>
      <c r="G7076">
        <v>-187.56549999999999</v>
      </c>
      <c r="H7076">
        <v>0.92338240000000005</v>
      </c>
      <c r="I7076">
        <v>8.9377289999999991</v>
      </c>
      <c r="J7076">
        <v>-187.71019999999999</v>
      </c>
      <c r="K7076">
        <v>1.1083529999999999</v>
      </c>
      <c r="L7076">
        <v>8.4133300000000002</v>
      </c>
      <c r="M7076">
        <v>-1.143125E-2</v>
      </c>
      <c r="N7076">
        <v>0</v>
      </c>
      <c r="O7076">
        <v>0.99992979999999998</v>
      </c>
      <c r="P7076">
        <v>4.1604490000000001E-2</v>
      </c>
      <c r="Q7076">
        <v>0.1633453</v>
      </c>
      <c r="R7076">
        <v>0.98569130000000005</v>
      </c>
      <c r="S7076">
        <v>0.51998900000000003</v>
      </c>
      <c r="T7076">
        <v>-0.68116519999999903</v>
      </c>
      <c r="U7076">
        <v>3.1344599999999998</v>
      </c>
      <c r="V7076">
        <v>5.3081070000000001E-2</v>
      </c>
      <c r="W7076">
        <v>0.1663444</v>
      </c>
      <c r="X7076">
        <v>0.98463800000000001</v>
      </c>
      <c r="Y7076">
        <v>0.17129359999999999</v>
      </c>
      <c r="Z7076">
        <v>-0.20939930000000001</v>
      </c>
      <c r="AA7076">
        <v>0.96270999999999995</v>
      </c>
      <c r="AB7076">
        <v>32</v>
      </c>
      <c r="AC7076">
        <v>0.1447</v>
      </c>
      <c r="AD7076">
        <v>-0.18497060000000001</v>
      </c>
      <c r="AE7076">
        <v>0.52439899999999895</v>
      </c>
      <c r="AF7076">
        <v>0.13506913854546199</v>
      </c>
      <c r="AG7076">
        <v>-0.18497060000000001</v>
      </c>
      <c r="AH7076">
        <v>0.46854047958406803</v>
      </c>
      <c r="AI7076">
        <v>110.773390840321</v>
      </c>
      <c r="AJ7076">
        <v>73.918979655541193</v>
      </c>
      <c r="AK7076">
        <v>0.52152466486316995</v>
      </c>
      <c r="AL7076">
        <v>80.424657941068105</v>
      </c>
      <c r="AM7076">
        <v>86.914216010279404</v>
      </c>
      <c r="AN7076">
        <v>1.0000000252238499</v>
      </c>
    </row>
    <row r="7077" spans="1:40" x14ac:dyDescent="0.25">
      <c r="A7077" t="str">
        <f>"20190312172545514"</f>
        <v>20190312172545514</v>
      </c>
      <c r="B7077" t="str">
        <f>"1552382745506973"</f>
        <v>1552382745506973</v>
      </c>
      <c r="C7077" t="s">
        <v>40</v>
      </c>
      <c r="D7077">
        <v>3.6693020000000001</v>
      </c>
      <c r="E7077">
        <v>0.55889029999999995</v>
      </c>
      <c r="F7077" t="s">
        <v>41</v>
      </c>
      <c r="G7077">
        <v>-187.57320000000001</v>
      </c>
      <c r="H7077">
        <v>0.9300697</v>
      </c>
      <c r="I7077">
        <v>9.2263769999999994</v>
      </c>
      <c r="J7077">
        <v>-187.7133</v>
      </c>
      <c r="K7077">
        <v>1.1083160000000001</v>
      </c>
      <c r="L7077">
        <v>8.7428889999999999</v>
      </c>
      <c r="M7077">
        <v>-1.073181E-2</v>
      </c>
      <c r="N7077">
        <v>0</v>
      </c>
      <c r="O7077">
        <v>0.99993750000000003</v>
      </c>
      <c r="P7077">
        <v>4.2526550000000003E-2</v>
      </c>
      <c r="Q7077">
        <v>0.16406709999999999</v>
      </c>
      <c r="R7077">
        <v>0.98553210000000002</v>
      </c>
      <c r="S7077">
        <v>0.52825929999999999</v>
      </c>
      <c r="T7077">
        <v>-0.68747510000000001</v>
      </c>
      <c r="U7077">
        <v>3.1351930000000001</v>
      </c>
      <c r="V7077">
        <v>5.332713E-2</v>
      </c>
      <c r="W7077">
        <v>0.16707920000000001</v>
      </c>
      <c r="X7077">
        <v>0.98450020000000005</v>
      </c>
      <c r="Y7077">
        <v>0.17297689999999999</v>
      </c>
      <c r="Z7077">
        <v>-0.21113280000000001</v>
      </c>
      <c r="AA7077">
        <v>0.9620301</v>
      </c>
      <c r="AB7077">
        <v>32</v>
      </c>
      <c r="AC7077">
        <v>0.14009999999998901</v>
      </c>
      <c r="AD7077">
        <v>-0.1782463</v>
      </c>
      <c r="AE7077">
        <v>0.48348800000000097</v>
      </c>
      <c r="AF7077">
        <v>0.129093909724984</v>
      </c>
      <c r="AG7077">
        <v>-0.1782463</v>
      </c>
      <c r="AH7077">
        <v>0.42825841582199597</v>
      </c>
      <c r="AI7077">
        <v>111.727311767713</v>
      </c>
      <c r="AJ7077">
        <v>73.225129959700098</v>
      </c>
      <c r="AK7077">
        <v>0.48150000177999802</v>
      </c>
      <c r="AL7077">
        <v>80.381958665677601</v>
      </c>
      <c r="AM7077">
        <v>86.899506470870605</v>
      </c>
      <c r="AN7077">
        <v>0.99999994283335603</v>
      </c>
    </row>
    <row r="7078" spans="1:40" x14ac:dyDescent="0.25">
      <c r="A7078" t="str">
        <f>"20190312172545536"</f>
        <v>20190312172545536</v>
      </c>
      <c r="B7078" t="str">
        <f>"1552382745527469"</f>
        <v>1552382745527469</v>
      </c>
      <c r="C7078" t="s">
        <v>40</v>
      </c>
      <c r="D7078">
        <v>3.7236189999999998</v>
      </c>
      <c r="E7078">
        <v>0.55922969999999905</v>
      </c>
      <c r="F7078" t="s">
        <v>41</v>
      </c>
      <c r="G7078">
        <v>-187.58160000000001</v>
      </c>
      <c r="H7078">
        <v>0.93802129999999995</v>
      </c>
      <c r="I7078">
        <v>9.5170969999999997</v>
      </c>
      <c r="J7078">
        <v>-187.71600000000001</v>
      </c>
      <c r="K7078">
        <v>1.1082780000000001</v>
      </c>
      <c r="L7078">
        <v>9.0449830000000002</v>
      </c>
      <c r="M7078">
        <v>-1.0057429999999999E-2</v>
      </c>
      <c r="N7078">
        <v>0</v>
      </c>
      <c r="O7078">
        <v>0.99994439999999996</v>
      </c>
      <c r="P7078">
        <v>4.342356E-2</v>
      </c>
      <c r="Q7078">
        <v>0.1638221</v>
      </c>
      <c r="R7078">
        <v>0.98553369999999996</v>
      </c>
      <c r="S7078">
        <v>0.53311160000000002</v>
      </c>
      <c r="T7078">
        <v>-0.68971959999999999</v>
      </c>
      <c r="U7078">
        <v>3.1358640000000002</v>
      </c>
      <c r="V7078">
        <v>5.3572330000000001E-2</v>
      </c>
      <c r="W7078">
        <v>0.166847</v>
      </c>
      <c r="X7078">
        <v>0.98452629999999997</v>
      </c>
      <c r="Y7078">
        <v>0.17370559999999999</v>
      </c>
      <c r="Z7078">
        <v>-0.2117108</v>
      </c>
      <c r="AA7078">
        <v>0.96177170000000001</v>
      </c>
      <c r="AB7078">
        <v>32</v>
      </c>
      <c r="AC7078">
        <v>0.13439999999997099</v>
      </c>
      <c r="AD7078">
        <v>-0.17025670000000001</v>
      </c>
      <c r="AE7078">
        <v>0.47211399999999898</v>
      </c>
      <c r="AF7078">
        <v>0.124199985058927</v>
      </c>
      <c r="AG7078">
        <v>-0.17025670000000001</v>
      </c>
      <c r="AH7078">
        <v>0.420188874610328</v>
      </c>
      <c r="AI7078">
        <v>111.234724620577</v>
      </c>
      <c r="AJ7078">
        <v>73.533304576143394</v>
      </c>
      <c r="AK7078">
        <v>0.47007623906109303</v>
      </c>
      <c r="AL7078">
        <v>80.395452470996304</v>
      </c>
      <c r="AM7078">
        <v>86.885360709398</v>
      </c>
      <c r="AN7078">
        <v>0.99999997567115895</v>
      </c>
    </row>
    <row r="7079" spans="1:40" x14ac:dyDescent="0.25">
      <c r="A7079" t="str">
        <f>"20190312172545557"</f>
        <v>20190312172545557</v>
      </c>
      <c r="B7079" t="str">
        <f>"1552382745546988"</f>
        <v>1552382745546988</v>
      </c>
      <c r="C7079" t="s">
        <v>40</v>
      </c>
      <c r="D7079">
        <v>3.6157599999999999</v>
      </c>
      <c r="E7079">
        <v>0.55940119999999904</v>
      </c>
      <c r="F7079" t="s">
        <v>41</v>
      </c>
      <c r="G7079">
        <v>-187.58510000000001</v>
      </c>
      <c r="H7079">
        <v>0.93964369999999997</v>
      </c>
      <c r="I7079">
        <v>9.8066180000000003</v>
      </c>
      <c r="J7079">
        <v>-187.71850000000001</v>
      </c>
      <c r="K7079">
        <v>1.1082449999999999</v>
      </c>
      <c r="L7079">
        <v>9.361084</v>
      </c>
      <c r="M7079">
        <v>-9.3247739999999992E-3</v>
      </c>
      <c r="N7079">
        <v>0</v>
      </c>
      <c r="O7079">
        <v>0.99995149999999999</v>
      </c>
      <c r="P7079">
        <v>4.3948340000000002E-2</v>
      </c>
      <c r="Q7079">
        <v>0.16399549999999999</v>
      </c>
      <c r="R7079">
        <v>0.98548159999999896</v>
      </c>
      <c r="S7079">
        <v>0.53895569999999904</v>
      </c>
      <c r="T7079">
        <v>-0.69428029999999996</v>
      </c>
      <c r="U7079">
        <v>3.1357119999999998</v>
      </c>
      <c r="V7079">
        <v>5.3387709999999998E-2</v>
      </c>
      <c r="W7079">
        <v>0.1670355</v>
      </c>
      <c r="X7079">
        <v>0.98450439999999995</v>
      </c>
      <c r="Y7079">
        <v>0.17468610000000001</v>
      </c>
      <c r="Z7079">
        <v>-0.21300820000000001</v>
      </c>
      <c r="AA7079">
        <v>0.96130760000000004</v>
      </c>
      <c r="AB7079">
        <v>32</v>
      </c>
      <c r="AC7079">
        <v>0.133399999999994</v>
      </c>
      <c r="AD7079">
        <v>-0.16860130000000001</v>
      </c>
      <c r="AE7079">
        <v>0.44553399999999799</v>
      </c>
      <c r="AF7079">
        <v>0.12157138405365001</v>
      </c>
      <c r="AG7079">
        <v>-0.16860130000000001</v>
      </c>
      <c r="AH7079">
        <v>0.392665244565363</v>
      </c>
      <c r="AI7079">
        <v>112.301869231667</v>
      </c>
      <c r="AJ7079">
        <v>72.797178959600004</v>
      </c>
      <c r="AK7079">
        <v>0.44428818808515103</v>
      </c>
      <c r="AL7079">
        <v>80.384498828055101</v>
      </c>
      <c r="AM7079">
        <v>86.896004387924407</v>
      </c>
      <c r="AN7079">
        <v>1.00000000972932</v>
      </c>
    </row>
    <row r="7080" spans="1:40" x14ac:dyDescent="0.25">
      <c r="A7080" t="str">
        <f>"20190312172545580"</f>
        <v>20190312172545580</v>
      </c>
      <c r="B7080" t="str">
        <f>"1552382745567488"</f>
        <v>1552382745567488</v>
      </c>
      <c r="C7080" t="s">
        <v>40</v>
      </c>
      <c r="D7080">
        <v>3.680542</v>
      </c>
      <c r="E7080">
        <v>0.55959569999999903</v>
      </c>
      <c r="F7080" t="s">
        <v>41</v>
      </c>
      <c r="G7080">
        <v>-187.59100000000001</v>
      </c>
      <c r="H7080">
        <v>0.94440089999999999</v>
      </c>
      <c r="I7080">
        <v>10.09877</v>
      </c>
      <c r="J7080">
        <v>-187.7208</v>
      </c>
      <c r="K7080">
        <v>1.1082099999999999</v>
      </c>
      <c r="L7080">
        <v>9.6850889999999996</v>
      </c>
      <c r="M7080">
        <v>-8.5523189999999992E-3</v>
      </c>
      <c r="N7080">
        <v>0</v>
      </c>
      <c r="O7080">
        <v>0.99995829999999997</v>
      </c>
      <c r="P7080">
        <v>4.4720790000000003E-2</v>
      </c>
      <c r="Q7080">
        <v>0.1643925</v>
      </c>
      <c r="R7080">
        <v>0.9853807</v>
      </c>
      <c r="S7080">
        <v>0.54176329999999995</v>
      </c>
      <c r="T7080">
        <v>-0.69649510000000003</v>
      </c>
      <c r="U7080">
        <v>3.1359560000000002</v>
      </c>
      <c r="V7080">
        <v>5.3410060000000002E-2</v>
      </c>
      <c r="W7080">
        <v>0.16744879999999901</v>
      </c>
      <c r="X7080">
        <v>0.984433</v>
      </c>
      <c r="Y7080">
        <v>0.17472660000000001</v>
      </c>
      <c r="Z7080">
        <v>-0.21362690000000001</v>
      </c>
      <c r="AA7080">
        <v>0.96116290000000004</v>
      </c>
      <c r="AB7080">
        <v>32</v>
      </c>
      <c r="AC7080">
        <v>0.12980000000001701</v>
      </c>
      <c r="AD7080">
        <v>-0.16380910000000001</v>
      </c>
      <c r="AE7080">
        <v>0.41368100000000002</v>
      </c>
      <c r="AF7080">
        <v>0.11667788497336599</v>
      </c>
      <c r="AG7080">
        <v>-0.16380910000000001</v>
      </c>
      <c r="AH7080">
        <v>0.36102136668757101</v>
      </c>
      <c r="AI7080">
        <v>113.352253382499</v>
      </c>
      <c r="AJ7080">
        <v>72.0897739242276</v>
      </c>
      <c r="AK7080">
        <v>0.41325969715135502</v>
      </c>
      <c r="AL7080">
        <v>80.360480429950996</v>
      </c>
      <c r="AM7080">
        <v>86.894482704126403</v>
      </c>
      <c r="AN7080">
        <v>1.00000003330982</v>
      </c>
    </row>
    <row r="7081" spans="1:40" x14ac:dyDescent="0.25">
      <c r="A7081" t="str">
        <f>"20190312172545602"</f>
        <v>20190312172545602</v>
      </c>
      <c r="B7081" t="str">
        <f>"1552382745597740"</f>
        <v>1552382745597740</v>
      </c>
      <c r="C7081" t="s">
        <v>40</v>
      </c>
      <c r="D7081">
        <v>3.664488</v>
      </c>
      <c r="E7081">
        <v>0.55984230000000001</v>
      </c>
      <c r="F7081" t="s">
        <v>41</v>
      </c>
      <c r="G7081">
        <v>-187.59780000000001</v>
      </c>
      <c r="H7081">
        <v>0.95073700000000005</v>
      </c>
      <c r="I7081">
        <v>10.392910000000001</v>
      </c>
      <c r="J7081">
        <v>-187.72290000000001</v>
      </c>
      <c r="K7081">
        <v>1.1081939999999999</v>
      </c>
      <c r="L7081">
        <v>10.002140000000001</v>
      </c>
      <c r="M7081">
        <v>-7.7821919999999899E-3</v>
      </c>
      <c r="N7081">
        <v>0</v>
      </c>
      <c r="O7081">
        <v>0.99996459999999998</v>
      </c>
      <c r="P7081">
        <v>4.4910239999999997E-2</v>
      </c>
      <c r="Q7081">
        <v>0.1643346</v>
      </c>
      <c r="R7081">
        <v>0.98538179999999997</v>
      </c>
      <c r="S7081">
        <v>0.54484560000000004</v>
      </c>
      <c r="T7081">
        <v>-0.69771660000000002</v>
      </c>
      <c r="U7081">
        <v>3.1361690000000002</v>
      </c>
      <c r="V7081">
        <v>5.2849640000000003E-2</v>
      </c>
      <c r="W7081">
        <v>0.16740929999999901</v>
      </c>
      <c r="X7081">
        <v>0.98446999999999996</v>
      </c>
      <c r="Y7081">
        <v>0.17486289999999999</v>
      </c>
      <c r="Z7081">
        <v>-0.213953</v>
      </c>
      <c r="AA7081">
        <v>0.96106559999999996</v>
      </c>
      <c r="AB7081">
        <v>32</v>
      </c>
      <c r="AC7081">
        <v>0.12510000000000299</v>
      </c>
      <c r="AD7081">
        <v>-0.15745700000000001</v>
      </c>
      <c r="AE7081">
        <v>0.39077000000000101</v>
      </c>
      <c r="AF7081">
        <v>0.11168907328326801</v>
      </c>
      <c r="AG7081">
        <v>-0.15745700000000001</v>
      </c>
      <c r="AH7081">
        <v>0.33975033416810801</v>
      </c>
      <c r="AI7081">
        <v>113.762432550939</v>
      </c>
      <c r="AJ7081">
        <v>71.802306145334498</v>
      </c>
      <c r="AK7081">
        <v>0.39076520508767898</v>
      </c>
      <c r="AL7081">
        <v>80.362776369846102</v>
      </c>
      <c r="AM7081">
        <v>86.927120702116994</v>
      </c>
      <c r="AN7081">
        <v>1.0000000695372999</v>
      </c>
    </row>
    <row r="7082" spans="1:40" x14ac:dyDescent="0.25">
      <c r="A7082" t="str">
        <f>"20190312172545625"</f>
        <v>20190312172545625</v>
      </c>
      <c r="B7082" t="str">
        <f>"1552382745617261"</f>
        <v>1552382745617261</v>
      </c>
      <c r="C7082" t="s">
        <v>40</v>
      </c>
      <c r="D7082">
        <v>3.642048</v>
      </c>
      <c r="E7082">
        <v>0.55994709999999903</v>
      </c>
      <c r="F7082" t="s">
        <v>41</v>
      </c>
      <c r="G7082">
        <v>-187.5558</v>
      </c>
      <c r="H7082">
        <v>0.89450849999999904</v>
      </c>
      <c r="I7082">
        <v>10.958019999999999</v>
      </c>
      <c r="J7082">
        <v>-187.72470000000001</v>
      </c>
      <c r="K7082">
        <v>1.1081749999999999</v>
      </c>
      <c r="L7082">
        <v>10.337619999999999</v>
      </c>
      <c r="M7082">
        <v>-6.9572519999999997E-3</v>
      </c>
      <c r="N7082">
        <v>0</v>
      </c>
      <c r="O7082">
        <v>0.99997060000000004</v>
      </c>
      <c r="P7082">
        <v>4.4702079999999998E-2</v>
      </c>
      <c r="Q7082">
        <v>0.16466220000000001</v>
      </c>
      <c r="R7082">
        <v>0.98533649999999995</v>
      </c>
      <c r="S7082">
        <v>0.54811100000000001</v>
      </c>
      <c r="T7082">
        <v>-0.70114359999999998</v>
      </c>
      <c r="U7082">
        <v>3.136444</v>
      </c>
      <c r="V7082">
        <v>5.1836180000000003E-2</v>
      </c>
      <c r="W7082">
        <v>0.16775760000000001</v>
      </c>
      <c r="X7082">
        <v>0.98446449999999996</v>
      </c>
      <c r="Y7082">
        <v>0.17497179999999901</v>
      </c>
      <c r="Z7082">
        <v>-0.2149189</v>
      </c>
      <c r="AA7082">
        <v>0.96083030000000003</v>
      </c>
      <c r="AB7082">
        <v>33</v>
      </c>
      <c r="AC7082">
        <v>0.16890000000000699</v>
      </c>
      <c r="AD7082">
        <v>-0.21366650000000001</v>
      </c>
      <c r="AE7082">
        <v>0.62039999999999995</v>
      </c>
      <c r="AF7082">
        <v>0.15598694166141699</v>
      </c>
      <c r="AG7082">
        <v>-0.21366650000000001</v>
      </c>
      <c r="AH7082">
        <v>0.55763191437873505</v>
      </c>
      <c r="AI7082">
        <v>110.25418197775799</v>
      </c>
      <c r="AJ7082">
        <v>74.372045785997202</v>
      </c>
      <c r="AK7082">
        <v>0.61720227731662203</v>
      </c>
      <c r="AL7082">
        <v>80.342533077330401</v>
      </c>
      <c r="AM7082">
        <v>86.985920606487895</v>
      </c>
      <c r="AN7082">
        <v>0.99999997683750097</v>
      </c>
    </row>
    <row r="7083" spans="1:40" x14ac:dyDescent="0.25">
      <c r="A7083" t="str">
        <f>"20190312172545646"</f>
        <v>20190312172545646</v>
      </c>
      <c r="B7083" t="str">
        <f>"1552382745637760"</f>
        <v>1552382745637760</v>
      </c>
      <c r="C7083" t="s">
        <v>40</v>
      </c>
      <c r="D7083">
        <v>3.596063</v>
      </c>
      <c r="E7083">
        <v>0.56009200000000003</v>
      </c>
      <c r="F7083" t="s">
        <v>41</v>
      </c>
      <c r="G7083">
        <v>-187.56360000000001</v>
      </c>
      <c r="H7083">
        <v>0.90269699999999997</v>
      </c>
      <c r="I7083">
        <v>11.25638</v>
      </c>
      <c r="J7083">
        <v>-187.72630000000001</v>
      </c>
      <c r="K7083">
        <v>1.1081669999999999</v>
      </c>
      <c r="L7083">
        <v>10.67099</v>
      </c>
      <c r="M7083">
        <v>-6.1329459999999898E-3</v>
      </c>
      <c r="N7083">
        <v>0</v>
      </c>
      <c r="O7083">
        <v>0.99997590000000003</v>
      </c>
      <c r="P7083">
        <v>4.4935679999999999E-2</v>
      </c>
      <c r="Q7083">
        <v>0.16518189999999999</v>
      </c>
      <c r="R7083">
        <v>0.98523890000000003</v>
      </c>
      <c r="S7083">
        <v>0.54974369999999995</v>
      </c>
      <c r="T7083">
        <v>-0.7015498</v>
      </c>
      <c r="U7083">
        <v>3.1369319999999998</v>
      </c>
      <c r="V7083">
        <v>5.1263690000000001E-2</v>
      </c>
      <c r="W7083">
        <v>0.1682987</v>
      </c>
      <c r="X7083">
        <v>0.98440209999999995</v>
      </c>
      <c r="Y7083">
        <v>0.17461760000000001</v>
      </c>
      <c r="Z7083">
        <v>-0.21500569999999999</v>
      </c>
      <c r="AA7083">
        <v>0.96087529999999999</v>
      </c>
      <c r="AB7083">
        <v>33</v>
      </c>
      <c r="AC7083">
        <v>0.16270000000000001</v>
      </c>
      <c r="AD7083">
        <v>-0.20546999999999899</v>
      </c>
      <c r="AE7083">
        <v>0.58538999999999997</v>
      </c>
      <c r="AF7083">
        <v>0.14922150134321199</v>
      </c>
      <c r="AG7083">
        <v>-0.20546999999999899</v>
      </c>
      <c r="AH7083">
        <v>0.52440760904299999</v>
      </c>
      <c r="AI7083">
        <v>110.64909487617101</v>
      </c>
      <c r="AJ7083">
        <v>74.116164057825202</v>
      </c>
      <c r="AK7083">
        <v>0.58265626040172103</v>
      </c>
      <c r="AL7083">
        <v>80.311082981628104</v>
      </c>
      <c r="AM7083">
        <v>87.018959772146204</v>
      </c>
      <c r="AN7083">
        <v>0.99999995640925698</v>
      </c>
    </row>
    <row r="7084" spans="1:40" x14ac:dyDescent="0.25">
      <c r="A7084" t="str">
        <f>"20190312172545669"</f>
        <v>20190312172545669</v>
      </c>
      <c r="B7084" t="str">
        <f>"1552382745657276"</f>
        <v>1552382745657276</v>
      </c>
      <c r="C7084" t="s">
        <v>40</v>
      </c>
      <c r="D7084">
        <v>3.587154</v>
      </c>
      <c r="E7084">
        <v>0.56014059999999999</v>
      </c>
      <c r="F7084" t="s">
        <v>41</v>
      </c>
      <c r="G7084">
        <v>-187.57060000000001</v>
      </c>
      <c r="H7084">
        <v>0.91025710000000004</v>
      </c>
      <c r="I7084">
        <v>11.555809999999999</v>
      </c>
      <c r="J7084">
        <v>-187.7276</v>
      </c>
      <c r="K7084">
        <v>1.1081589999999999</v>
      </c>
      <c r="L7084">
        <v>11.00821</v>
      </c>
      <c r="M7084">
        <v>-5.2974939999999998E-3</v>
      </c>
      <c r="N7084">
        <v>0</v>
      </c>
      <c r="O7084">
        <v>0.9999806</v>
      </c>
      <c r="P7084">
        <v>4.5438579999999999E-2</v>
      </c>
      <c r="Q7084">
        <v>0.16652339999999999</v>
      </c>
      <c r="R7084">
        <v>0.98499000000000003</v>
      </c>
      <c r="S7084">
        <v>0.55221560000000003</v>
      </c>
      <c r="T7084">
        <v>-0.70176709999999998</v>
      </c>
      <c r="U7084">
        <v>3.1374209999999998</v>
      </c>
      <c r="V7084">
        <v>5.0949469999999997E-2</v>
      </c>
      <c r="W7084">
        <v>0.1696607</v>
      </c>
      <c r="X7084">
        <v>0.98418459999999997</v>
      </c>
      <c r="Y7084">
        <v>0.17450379999999999</v>
      </c>
      <c r="Z7084">
        <v>-0.21502779999999999</v>
      </c>
      <c r="AA7084">
        <v>0.96089100000000005</v>
      </c>
      <c r="AB7084">
        <v>33</v>
      </c>
      <c r="AC7084">
        <v>0.15699999999998199</v>
      </c>
      <c r="AD7084">
        <v>-0.19790189999999999</v>
      </c>
      <c r="AE7084">
        <v>0.54760000000000097</v>
      </c>
      <c r="AF7084">
        <v>0.14267901990074899</v>
      </c>
      <c r="AG7084">
        <v>-0.19790189999999999</v>
      </c>
      <c r="AH7084">
        <v>0.48787924707132102</v>
      </c>
      <c r="AI7084">
        <v>111.27244416590599</v>
      </c>
      <c r="AJ7084">
        <v>73.698577990154604</v>
      </c>
      <c r="AK7084">
        <v>0.54548017788580305</v>
      </c>
      <c r="AL7084">
        <v>80.2319076170443</v>
      </c>
      <c r="AM7084">
        <v>87.036545759024605</v>
      </c>
      <c r="AN7084">
        <v>0.99999996424746396</v>
      </c>
    </row>
    <row r="7085" spans="1:40" x14ac:dyDescent="0.25">
      <c r="A7085" t="str">
        <f>"20190312172545692"</f>
        <v>20190312172545692</v>
      </c>
      <c r="B7085" t="str">
        <f>"1552382745687533"</f>
        <v>1552382745687533</v>
      </c>
      <c r="C7085" t="s">
        <v>40</v>
      </c>
      <c r="D7085">
        <v>3.5838830000000002</v>
      </c>
      <c r="E7085">
        <v>0.56029510000000005</v>
      </c>
      <c r="F7085" t="s">
        <v>41</v>
      </c>
      <c r="G7085">
        <v>-187.5779</v>
      </c>
      <c r="H7085">
        <v>0.91906089999999996</v>
      </c>
      <c r="I7085">
        <v>11.85704</v>
      </c>
      <c r="J7085">
        <v>-187.7287</v>
      </c>
      <c r="K7085">
        <v>1.1081490000000001</v>
      </c>
      <c r="L7085">
        <v>11.35022</v>
      </c>
      <c r="M7085">
        <v>-4.4505509999999996E-3</v>
      </c>
      <c r="N7085">
        <v>0</v>
      </c>
      <c r="O7085">
        <v>0.9999846</v>
      </c>
      <c r="P7085">
        <v>4.6307260000000003E-2</v>
      </c>
      <c r="Q7085">
        <v>0.16679859999999999</v>
      </c>
      <c r="R7085">
        <v>0.98490299999999997</v>
      </c>
      <c r="S7085">
        <v>0.55342100000000005</v>
      </c>
      <c r="T7085">
        <v>-0.69913319999999901</v>
      </c>
      <c r="U7085">
        <v>3.1383969999999999</v>
      </c>
      <c r="V7085">
        <v>5.0988529999999997E-2</v>
      </c>
      <c r="W7085">
        <v>0.1699581</v>
      </c>
      <c r="X7085">
        <v>0.98413130000000004</v>
      </c>
      <c r="Y7085">
        <v>0.1740091</v>
      </c>
      <c r="Z7085">
        <v>-0.2142</v>
      </c>
      <c r="AA7085">
        <v>0.96116550000000001</v>
      </c>
      <c r="AB7085">
        <v>33</v>
      </c>
      <c r="AC7085">
        <v>0.15080000000000299</v>
      </c>
      <c r="AD7085">
        <v>-0.18908810000000001</v>
      </c>
      <c r="AE7085">
        <v>0.50681999999999905</v>
      </c>
      <c r="AF7085">
        <v>0.13570153430389301</v>
      </c>
      <c r="AG7085">
        <v>-0.18908810000000001</v>
      </c>
      <c r="AH7085">
        <v>0.44875944948466201</v>
      </c>
      <c r="AI7085">
        <v>111.965235507005</v>
      </c>
      <c r="AJ7085">
        <v>73.175072148819595</v>
      </c>
      <c r="AK7085">
        <v>0.50552374768730401</v>
      </c>
      <c r="AL7085">
        <v>80.214617095855004</v>
      </c>
      <c r="AM7085">
        <v>87.034117569973802</v>
      </c>
      <c r="AN7085">
        <v>1.00000000079343</v>
      </c>
    </row>
    <row r="7086" spans="1:40" x14ac:dyDescent="0.25">
      <c r="A7086" t="str">
        <f>"20190312172545713"</f>
        <v>20190312172545713</v>
      </c>
      <c r="B7086" t="str">
        <f>"1552382745707052"</f>
        <v>1552382745707052</v>
      </c>
      <c r="C7086" t="s">
        <v>40</v>
      </c>
      <c r="D7086">
        <v>3.6063730000000001</v>
      </c>
      <c r="E7086">
        <v>0.56033299999999997</v>
      </c>
      <c r="F7086" t="s">
        <v>41</v>
      </c>
      <c r="G7086">
        <v>-187.58510000000001</v>
      </c>
      <c r="H7086">
        <v>0.92749009999999998</v>
      </c>
      <c r="I7086">
        <v>12.159380000000001</v>
      </c>
      <c r="J7086">
        <v>-187.7294</v>
      </c>
      <c r="K7086">
        <v>1.1081430000000001</v>
      </c>
      <c r="L7086">
        <v>11.670719999999999</v>
      </c>
      <c r="M7086">
        <v>-3.6583449999999999E-3</v>
      </c>
      <c r="N7086">
        <v>0</v>
      </c>
      <c r="O7086">
        <v>0.99998779999999998</v>
      </c>
      <c r="P7086">
        <v>4.6491619999999997E-2</v>
      </c>
      <c r="Q7086">
        <v>0.1672382</v>
      </c>
      <c r="R7086">
        <v>0.98481980000000002</v>
      </c>
      <c r="S7086">
        <v>0.55700680000000002</v>
      </c>
      <c r="T7086">
        <v>-0.70072440000000003</v>
      </c>
      <c r="U7086">
        <v>3.138458</v>
      </c>
      <c r="V7086">
        <v>5.0397030000000002E-2</v>
      </c>
      <c r="W7086">
        <v>0.17041999999999999</v>
      </c>
      <c r="X7086">
        <v>0.98408189999999995</v>
      </c>
      <c r="Y7086">
        <v>0.1742746</v>
      </c>
      <c r="Z7086">
        <v>-0.21463670000000001</v>
      </c>
      <c r="AA7086">
        <v>0.96101999999999999</v>
      </c>
      <c r="AB7086">
        <v>33</v>
      </c>
      <c r="AC7086">
        <v>0.14429999999998699</v>
      </c>
      <c r="AD7086">
        <v>-0.18065290000000001</v>
      </c>
      <c r="AE7086">
        <v>0.48866000000000098</v>
      </c>
      <c r="AF7086">
        <v>0.12977307716764699</v>
      </c>
      <c r="AG7086">
        <v>-0.18065290000000001</v>
      </c>
      <c r="AH7086">
        <v>0.43361898495656398</v>
      </c>
      <c r="AI7086">
        <v>111.75820299289001</v>
      </c>
      <c r="AJ7086">
        <v>73.338660058168898</v>
      </c>
      <c r="AK7086">
        <v>0.48734171373968299</v>
      </c>
      <c r="AL7086">
        <v>80.187760479698994</v>
      </c>
      <c r="AM7086">
        <v>87.068316458377396</v>
      </c>
      <c r="AN7086">
        <v>1.0000000114702099</v>
      </c>
    </row>
    <row r="7087" spans="1:40" x14ac:dyDescent="0.25">
      <c r="A7087" t="str">
        <f>"20190312172545737"</f>
        <v>20190312172545737</v>
      </c>
      <c r="B7087" t="str">
        <f>"1552382745727549"</f>
        <v>1552382745727549</v>
      </c>
      <c r="C7087" t="s">
        <v>40</v>
      </c>
      <c r="D7087">
        <v>3.6551480000000001</v>
      </c>
      <c r="E7087">
        <v>0.56047329999999995</v>
      </c>
      <c r="F7087" t="s">
        <v>41</v>
      </c>
      <c r="G7087">
        <v>-187.5882</v>
      </c>
      <c r="H7087">
        <v>0.93170310000000001</v>
      </c>
      <c r="I7087">
        <v>12.46149</v>
      </c>
      <c r="J7087">
        <v>-187.73</v>
      </c>
      <c r="K7087">
        <v>1.108134</v>
      </c>
      <c r="L7087">
        <v>12.03091</v>
      </c>
      <c r="M7087">
        <v>-2.7698000000000002E-3</v>
      </c>
      <c r="N7087">
        <v>0</v>
      </c>
      <c r="O7087">
        <v>0.99999059999999995</v>
      </c>
      <c r="P7087">
        <v>4.6771750000000001E-2</v>
      </c>
      <c r="Q7087">
        <v>0.16758199999999901</v>
      </c>
      <c r="R7087">
        <v>0.98474799999999996</v>
      </c>
      <c r="S7087">
        <v>0.5599518</v>
      </c>
      <c r="T7087">
        <v>-0.70028819999999903</v>
      </c>
      <c r="U7087">
        <v>3.1387330000000002</v>
      </c>
      <c r="V7087">
        <v>4.9806709999999997E-2</v>
      </c>
      <c r="W7087">
        <v>0.17078889999999999</v>
      </c>
      <c r="X7087">
        <v>0.98404800000000003</v>
      </c>
      <c r="Y7087">
        <v>0.17426620000000001</v>
      </c>
      <c r="Z7087">
        <v>-0.21447630000000001</v>
      </c>
      <c r="AA7087">
        <v>0.9610573</v>
      </c>
      <c r="AB7087">
        <v>33</v>
      </c>
      <c r="AC7087">
        <v>0.14179999999998899</v>
      </c>
      <c r="AD7087">
        <v>-0.1764309</v>
      </c>
      <c r="AE7087">
        <v>0.43057999999999902</v>
      </c>
      <c r="AF7087">
        <v>0.124182303492907</v>
      </c>
      <c r="AG7087">
        <v>-0.1764309</v>
      </c>
      <c r="AH7087">
        <v>0.37359716789533498</v>
      </c>
      <c r="AI7087">
        <v>114.139087932179</v>
      </c>
      <c r="AJ7087">
        <v>71.613385770747698</v>
      </c>
      <c r="AK7087">
        <v>0.43142085118249601</v>
      </c>
      <c r="AL7087">
        <v>80.166309588473794</v>
      </c>
      <c r="AM7087">
        <v>87.102497903405904</v>
      </c>
      <c r="AN7087">
        <v>1.0000000115141101</v>
      </c>
    </row>
    <row r="7088" spans="1:40" x14ac:dyDescent="0.25">
      <c r="A7088" t="str">
        <f>"20190312172545758"</f>
        <v>20190312172545758</v>
      </c>
      <c r="B7088" t="str">
        <f>"1552382745747068"</f>
        <v>1552382745747068</v>
      </c>
      <c r="C7088" t="s">
        <v>40</v>
      </c>
      <c r="D7088">
        <v>3.6790129999999999</v>
      </c>
      <c r="E7088">
        <v>0.56066530000000003</v>
      </c>
      <c r="F7088" t="s">
        <v>41</v>
      </c>
      <c r="G7088">
        <v>-187.5976</v>
      </c>
      <c r="H7088">
        <v>0.94362500000000005</v>
      </c>
      <c r="I7088">
        <v>12.76834</v>
      </c>
      <c r="J7088">
        <v>-187.7302</v>
      </c>
      <c r="K7088">
        <v>1.1081259999999999</v>
      </c>
      <c r="L7088">
        <v>12.35019</v>
      </c>
      <c r="M7088">
        <v>-1.983322E-3</v>
      </c>
      <c r="N7088">
        <v>0</v>
      </c>
      <c r="O7088">
        <v>0.9999924</v>
      </c>
      <c r="P7088">
        <v>4.7093080000000002E-2</v>
      </c>
      <c r="Q7088">
        <v>0.1678896</v>
      </c>
      <c r="R7088">
        <v>0.98468029999999995</v>
      </c>
      <c r="S7088">
        <v>0.56333919999999904</v>
      </c>
      <c r="T7088">
        <v>-0.70023210000000002</v>
      </c>
      <c r="U7088">
        <v>3.1388850000000001</v>
      </c>
      <c r="V7088">
        <v>4.9357430000000001E-2</v>
      </c>
      <c r="W7088">
        <v>0.17111870000000001</v>
      </c>
      <c r="X7088">
        <v>0.98401329999999998</v>
      </c>
      <c r="Y7088">
        <v>0.17449129999999999</v>
      </c>
      <c r="Z7088">
        <v>-0.21442739999999999</v>
      </c>
      <c r="AA7088">
        <v>0.96102739999999998</v>
      </c>
      <c r="AB7088">
        <v>34</v>
      </c>
      <c r="AC7088">
        <v>0.132599999999996</v>
      </c>
      <c r="AD7088">
        <v>-0.16450099999999901</v>
      </c>
      <c r="AE7088">
        <v>0.41815000000000002</v>
      </c>
      <c r="AF7088">
        <v>0.116979015468196</v>
      </c>
      <c r="AG7088">
        <v>-0.16450099999999901</v>
      </c>
      <c r="AH7088">
        <v>0.36636630095102402</v>
      </c>
      <c r="AI7088">
        <v>113.157966770193</v>
      </c>
      <c r="AJ7088">
        <v>72.2919649062259</v>
      </c>
      <c r="AK7088">
        <v>0.418292882480021</v>
      </c>
      <c r="AL7088">
        <v>80.147130701793103</v>
      </c>
      <c r="AM7088">
        <v>87.128489711308902</v>
      </c>
      <c r="AN7088">
        <v>0.99999996998139196</v>
      </c>
    </row>
    <row r="7089" spans="1:40" x14ac:dyDescent="0.25">
      <c r="A7089" t="str">
        <f>"20190312172545782"</f>
        <v>20190312172545782</v>
      </c>
      <c r="B7089" t="str">
        <f>"1552382745777325"</f>
        <v>1552382745777325</v>
      </c>
      <c r="C7089" t="s">
        <v>40</v>
      </c>
      <c r="D7089">
        <v>3.6823920000000001</v>
      </c>
      <c r="E7089">
        <v>0.56082900000000002</v>
      </c>
      <c r="F7089" t="s">
        <v>41</v>
      </c>
      <c r="G7089">
        <v>-187.59960000000001</v>
      </c>
      <c r="H7089">
        <v>0.94683899999999999</v>
      </c>
      <c r="I7089">
        <v>13.072800000000001</v>
      </c>
      <c r="J7089">
        <v>-187.73009999999999</v>
      </c>
      <c r="K7089">
        <v>1.108117</v>
      </c>
      <c r="L7089">
        <v>12.699949999999999</v>
      </c>
      <c r="M7089">
        <v>-1.123006E-3</v>
      </c>
      <c r="N7089">
        <v>0</v>
      </c>
      <c r="O7089">
        <v>0.99999360000000004</v>
      </c>
      <c r="P7089">
        <v>4.765457E-2</v>
      </c>
      <c r="Q7089">
        <v>0.16849249999999999</v>
      </c>
      <c r="R7089">
        <v>0.98455029999999999</v>
      </c>
      <c r="S7089">
        <v>0.56683349999999999</v>
      </c>
      <c r="T7089">
        <v>-0.70060610000000001</v>
      </c>
      <c r="U7089">
        <v>3.139008</v>
      </c>
      <c r="V7089">
        <v>4.907632E-2</v>
      </c>
      <c r="W7089">
        <v>0.17175289999999999</v>
      </c>
      <c r="X7089">
        <v>0.98391689999999998</v>
      </c>
      <c r="Y7089">
        <v>0.17467160000000001</v>
      </c>
      <c r="Z7089">
        <v>-0.2145059</v>
      </c>
      <c r="AA7089">
        <v>0.96097710000000003</v>
      </c>
      <c r="AB7089">
        <v>34</v>
      </c>
      <c r="AC7089">
        <v>0.13049999999998299</v>
      </c>
      <c r="AD7089">
        <v>-0.161278</v>
      </c>
      <c r="AE7089">
        <v>0.37285000000000101</v>
      </c>
      <c r="AF7089">
        <v>0.112214308169826</v>
      </c>
      <c r="AG7089">
        <v>-0.161278</v>
      </c>
      <c r="AH7089">
        <v>0.31945516180540301</v>
      </c>
      <c r="AI7089">
        <v>115.469461117191</v>
      </c>
      <c r="AJ7089">
        <v>70.645267643644004</v>
      </c>
      <c r="AK7089">
        <v>0.375038990834485</v>
      </c>
      <c r="AL7089">
        <v>80.110248023772797</v>
      </c>
      <c r="AM7089">
        <v>87.144537678722799</v>
      </c>
      <c r="AN7089">
        <v>1.00000000497438</v>
      </c>
    </row>
    <row r="7090" spans="1:40" x14ac:dyDescent="0.25">
      <c r="A7090" t="str">
        <f>"20190312172545802"</f>
        <v>20190312172545802</v>
      </c>
      <c r="B7090" t="str">
        <f>"1552382745796860"</f>
        <v>1552382745796860</v>
      </c>
      <c r="C7090" t="s">
        <v>40</v>
      </c>
      <c r="D7090">
        <v>3.6273270000000002</v>
      </c>
      <c r="E7090">
        <v>0.56088070000000001</v>
      </c>
      <c r="F7090" t="s">
        <v>41</v>
      </c>
      <c r="G7090">
        <v>-187.5556</v>
      </c>
      <c r="H7090">
        <v>0.89334999999999998</v>
      </c>
      <c r="I7090">
        <v>13.661879999999901</v>
      </c>
      <c r="J7090">
        <v>-187.72980000000001</v>
      </c>
      <c r="K7090">
        <v>1.108107</v>
      </c>
      <c r="L7090">
        <v>13.00925</v>
      </c>
      <c r="M7090">
        <v>-3.6322090000000002E-4</v>
      </c>
      <c r="N7090">
        <v>0</v>
      </c>
      <c r="O7090">
        <v>0.99999400000000005</v>
      </c>
      <c r="P7090">
        <v>4.8124399999999998E-2</v>
      </c>
      <c r="Q7090">
        <v>0.16875960000000001</v>
      </c>
      <c r="R7090">
        <v>0.98448170000000002</v>
      </c>
      <c r="S7090">
        <v>0.56932069999999901</v>
      </c>
      <c r="T7090">
        <v>-0.70091959999999998</v>
      </c>
      <c r="U7090">
        <v>3.139465</v>
      </c>
      <c r="V7090">
        <v>4.8801659999999997E-2</v>
      </c>
      <c r="W7090">
        <v>0.1720535</v>
      </c>
      <c r="X7090">
        <v>0.98387800000000003</v>
      </c>
      <c r="Y7090">
        <v>0.17463499999999901</v>
      </c>
      <c r="Z7090">
        <v>-0.21455479999999999</v>
      </c>
      <c r="AA7090">
        <v>0.96097290000000002</v>
      </c>
      <c r="AB7090">
        <v>34</v>
      </c>
      <c r="AC7090">
        <v>0.17420000000001301</v>
      </c>
      <c r="AD7090">
        <v>-0.214757</v>
      </c>
      <c r="AE7090">
        <v>0.65262999999999805</v>
      </c>
      <c r="AF7090">
        <v>0.15842338116054999</v>
      </c>
      <c r="AG7090">
        <v>-0.214757</v>
      </c>
      <c r="AH7090">
        <v>0.59265979954571302</v>
      </c>
      <c r="AI7090">
        <v>109.293625867904</v>
      </c>
      <c r="AJ7090">
        <v>75.034221211461599</v>
      </c>
      <c r="AK7090">
        <v>0.64997244152725897</v>
      </c>
      <c r="AL7090">
        <v>80.092764241095196</v>
      </c>
      <c r="AM7090">
        <v>87.160380217812303</v>
      </c>
      <c r="AN7090">
        <v>0.99999996388250201</v>
      </c>
    </row>
    <row r="7091" spans="1:40" x14ac:dyDescent="0.25">
      <c r="A7091" t="str">
        <f>"20190312172545826"</f>
        <v>20190312172545826</v>
      </c>
      <c r="B7091" t="str">
        <f>"1552382745817357"</f>
        <v>1552382745817357</v>
      </c>
      <c r="C7091" t="s">
        <v>40</v>
      </c>
      <c r="D7091">
        <v>3.637594</v>
      </c>
      <c r="E7091">
        <v>0.56096489999999999</v>
      </c>
      <c r="F7091" t="s">
        <v>41</v>
      </c>
      <c r="G7091">
        <v>-187.55529999999999</v>
      </c>
      <c r="H7091">
        <v>0.89376060000000002</v>
      </c>
      <c r="I7091">
        <v>13.968780000000001</v>
      </c>
      <c r="J7091">
        <v>-187.72909999999999</v>
      </c>
      <c r="K7091">
        <v>1.1081030000000001</v>
      </c>
      <c r="L7091">
        <v>13.373779999999901</v>
      </c>
      <c r="M7091">
        <v>5.3200489999999997E-4</v>
      </c>
      <c r="N7091">
        <v>0</v>
      </c>
      <c r="O7091">
        <v>0.99999380000000004</v>
      </c>
      <c r="P7091">
        <v>4.8703219999999998E-2</v>
      </c>
      <c r="Q7091">
        <v>0.1684474</v>
      </c>
      <c r="R7091">
        <v>0.98450669999999996</v>
      </c>
      <c r="S7091">
        <v>0.57096859999999905</v>
      </c>
      <c r="T7091">
        <v>-0.70133809999999996</v>
      </c>
      <c r="U7091">
        <v>3.139618</v>
      </c>
      <c r="V7091">
        <v>4.8501929999999999E-2</v>
      </c>
      <c r="W7091">
        <v>0.17178570000000001</v>
      </c>
      <c r="X7091">
        <v>0.98393960000000003</v>
      </c>
      <c r="Y7091">
        <v>0.1742301</v>
      </c>
      <c r="Z7091">
        <v>-0.21466550000000001</v>
      </c>
      <c r="AA7091">
        <v>0.96102169999999998</v>
      </c>
      <c r="AB7091">
        <v>34</v>
      </c>
      <c r="AC7091">
        <v>0.17379999999999901</v>
      </c>
      <c r="AD7091">
        <v>-0.21434239999999999</v>
      </c>
      <c r="AE7091">
        <v>0.59499999999999997</v>
      </c>
      <c r="AF7091">
        <v>0.15495537192232001</v>
      </c>
      <c r="AG7091">
        <v>-0.21434239999999999</v>
      </c>
      <c r="AH7091">
        <v>0.53153641580049205</v>
      </c>
      <c r="AI7091">
        <v>111.163189788274</v>
      </c>
      <c r="AJ7091">
        <v>73.747353774322093</v>
      </c>
      <c r="AK7091">
        <v>0.59370429764941002</v>
      </c>
      <c r="AL7091">
        <v>80.108339821803895</v>
      </c>
      <c r="AM7091">
        <v>87.177968709715898</v>
      </c>
      <c r="AN7091">
        <v>0.99999995019318599</v>
      </c>
    </row>
    <row r="7092" spans="1:40" x14ac:dyDescent="0.25">
      <c r="A7092" t="str">
        <f>"20190312172545849"</f>
        <v>20190312172545849</v>
      </c>
      <c r="B7092" t="str">
        <f>"1552382745837852"</f>
        <v>1552382745837852</v>
      </c>
      <c r="C7092" t="s">
        <v>40</v>
      </c>
      <c r="D7092">
        <v>3.6393740000000001</v>
      </c>
      <c r="E7092">
        <v>0.56101979999999996</v>
      </c>
      <c r="F7092" t="s">
        <v>41</v>
      </c>
      <c r="G7092">
        <v>-187.56309999999999</v>
      </c>
      <c r="H7092">
        <v>0.90486820000000001</v>
      </c>
      <c r="I7092">
        <v>14.280950000000001</v>
      </c>
      <c r="J7092">
        <v>-187.72819999999999</v>
      </c>
      <c r="K7092">
        <v>1.108104</v>
      </c>
      <c r="L7092">
        <v>13.7316</v>
      </c>
      <c r="M7092">
        <v>1.410127E-3</v>
      </c>
      <c r="N7092">
        <v>0</v>
      </c>
      <c r="O7092">
        <v>0.99999280000000002</v>
      </c>
      <c r="P7092">
        <v>4.9569370000000001E-2</v>
      </c>
      <c r="Q7092">
        <v>0.16905870000000001</v>
      </c>
      <c r="R7092">
        <v>0.98435870000000003</v>
      </c>
      <c r="S7092">
        <v>0.574295</v>
      </c>
      <c r="T7092">
        <v>-0.70323800000000003</v>
      </c>
      <c r="U7092">
        <v>3.1391300000000002</v>
      </c>
      <c r="V7092">
        <v>4.8508120000000002E-2</v>
      </c>
      <c r="W7092">
        <v>0.17244519999999999</v>
      </c>
      <c r="X7092">
        <v>0.98382400000000003</v>
      </c>
      <c r="Y7092">
        <v>0.1743557</v>
      </c>
      <c r="Z7092">
        <v>-0.21522930000000001</v>
      </c>
      <c r="AA7092">
        <v>0.96087279999999997</v>
      </c>
      <c r="AB7092">
        <v>34</v>
      </c>
      <c r="AC7092">
        <v>0.165099999999995</v>
      </c>
      <c r="AD7092">
        <v>-0.20323579999999999</v>
      </c>
      <c r="AE7092">
        <v>0.54935</v>
      </c>
      <c r="AF7092">
        <v>0.14599805587808101</v>
      </c>
      <c r="AG7092">
        <v>-0.20323579999999999</v>
      </c>
      <c r="AH7092">
        <v>0.48828757495375202</v>
      </c>
      <c r="AI7092">
        <v>111.741000733091</v>
      </c>
      <c r="AJ7092">
        <v>73.353327514074806</v>
      </c>
      <c r="AK7092">
        <v>0.54867565881496405</v>
      </c>
      <c r="AL7092">
        <v>80.069981551507198</v>
      </c>
      <c r="AM7092">
        <v>87.177278037141505</v>
      </c>
      <c r="AN7092">
        <v>1.00000002384248</v>
      </c>
    </row>
    <row r="7093" spans="1:40" x14ac:dyDescent="0.25">
      <c r="A7093" t="str">
        <f>"20190312172545871"</f>
        <v>20190312172545871</v>
      </c>
      <c r="B7093" t="str">
        <f>"1552382745867132"</f>
        <v>1552382745867132</v>
      </c>
      <c r="C7093" t="s">
        <v>40</v>
      </c>
      <c r="D7093">
        <v>3.65503</v>
      </c>
      <c r="E7093">
        <v>0.5652682</v>
      </c>
      <c r="F7093" t="s">
        <v>41</v>
      </c>
      <c r="G7093">
        <v>-187.5694</v>
      </c>
      <c r="H7093">
        <v>0.91514169999999995</v>
      </c>
      <c r="I7093">
        <v>14.594049999999999</v>
      </c>
      <c r="J7093">
        <v>-187.727</v>
      </c>
      <c r="K7093">
        <v>1.108101</v>
      </c>
      <c r="L7093">
        <v>14.064329999999901</v>
      </c>
      <c r="M7093">
        <v>2.226385E-3</v>
      </c>
      <c r="N7093">
        <v>0</v>
      </c>
      <c r="O7093">
        <v>0.99999110000000002</v>
      </c>
      <c r="P7093">
        <v>5.0596130000000003E-2</v>
      </c>
      <c r="Q7093">
        <v>0.16997370000000001</v>
      </c>
      <c r="R7093">
        <v>0.98414889999999999</v>
      </c>
      <c r="S7093">
        <v>0.57791139999999996</v>
      </c>
      <c r="T7093">
        <v>-0.7023547</v>
      </c>
      <c r="U7093">
        <v>3.1391909999999998</v>
      </c>
      <c r="V7093">
        <v>4.8736450000000001E-2</v>
      </c>
      <c r="W7093">
        <v>0.17340990000000001</v>
      </c>
      <c r="X7093">
        <v>0.98364309999999999</v>
      </c>
      <c r="Y7093">
        <v>0.1746318</v>
      </c>
      <c r="Z7093">
        <v>-0.21494099999999999</v>
      </c>
      <c r="AA7093">
        <v>0.96088709999999999</v>
      </c>
      <c r="AB7093">
        <v>34</v>
      </c>
      <c r="AC7093">
        <v>0.15760000000000199</v>
      </c>
      <c r="AD7093">
        <v>-0.1929593</v>
      </c>
      <c r="AE7093">
        <v>0.52972000000000097</v>
      </c>
      <c r="AF7093">
        <v>0.13942439431592299</v>
      </c>
      <c r="AG7093">
        <v>-0.1929593</v>
      </c>
      <c r="AH7093">
        <v>0.472474839993623</v>
      </c>
      <c r="AI7093">
        <v>111.390396679188</v>
      </c>
      <c r="AJ7093">
        <v>73.558996997077301</v>
      </c>
      <c r="AK7093">
        <v>0.529060419625067</v>
      </c>
      <c r="AL7093">
        <v>80.013862532930105</v>
      </c>
      <c r="AM7093">
        <v>87.163492282889393</v>
      </c>
      <c r="AN7093">
        <v>0.99999999157711095</v>
      </c>
    </row>
    <row r="7094" spans="1:40" x14ac:dyDescent="0.25">
      <c r="A7094" t="str">
        <f>"20190312172545894"</f>
        <v>20190312172545894</v>
      </c>
      <c r="B7094" t="str">
        <f>"1552382745887261"</f>
        <v>1552382745887261</v>
      </c>
      <c r="C7094" t="s">
        <v>40</v>
      </c>
      <c r="D7094">
        <v>3.723144</v>
      </c>
      <c r="E7094">
        <v>0.56607510000000005</v>
      </c>
      <c r="F7094" t="s">
        <v>41</v>
      </c>
      <c r="G7094">
        <v>-187.56379999999999</v>
      </c>
      <c r="H7094">
        <v>0.90867690000000001</v>
      </c>
      <c r="I7094">
        <v>14.901949999999999</v>
      </c>
      <c r="J7094">
        <v>-187.72540000000001</v>
      </c>
      <c r="K7094">
        <v>1.1081000000000001</v>
      </c>
      <c r="L7094">
        <v>14.422420000000001</v>
      </c>
      <c r="M7094">
        <v>3.1033100000000002E-3</v>
      </c>
      <c r="N7094">
        <v>0</v>
      </c>
      <c r="O7094">
        <v>0.99998860000000001</v>
      </c>
      <c r="P7094">
        <v>5.2019940000000001E-2</v>
      </c>
      <c r="Q7094">
        <v>0.17052129999999999</v>
      </c>
      <c r="R7094">
        <v>0.98397990000000002</v>
      </c>
      <c r="S7094">
        <v>0.61247249999999998</v>
      </c>
      <c r="T7094">
        <v>-0.74902419999999903</v>
      </c>
      <c r="U7094">
        <v>3.14621</v>
      </c>
      <c r="V7094">
        <v>4.9301560000000001E-2</v>
      </c>
      <c r="W7094">
        <v>0.17401610000000001</v>
      </c>
      <c r="X7094">
        <v>0.98350789999999999</v>
      </c>
      <c r="Y7094">
        <v>0.18302070000000001</v>
      </c>
      <c r="Z7094">
        <v>-0.2276195</v>
      </c>
      <c r="AA7094">
        <v>0.95639569999999996</v>
      </c>
      <c r="AB7094">
        <v>35</v>
      </c>
      <c r="AC7094">
        <v>0.161600000000021</v>
      </c>
      <c r="AD7094">
        <v>-0.19942309999999999</v>
      </c>
      <c r="AE7094">
        <v>0.47952999999999801</v>
      </c>
      <c r="AF7094">
        <v>0.13858695833177301</v>
      </c>
      <c r="AG7094">
        <v>-0.19942309999999999</v>
      </c>
      <c r="AH7094">
        <v>0.41549769372984202</v>
      </c>
      <c r="AI7094">
        <v>114.479920064193</v>
      </c>
      <c r="AJ7094">
        <v>71.554164314841003</v>
      </c>
      <c r="AK7094">
        <v>0.48126318301744297</v>
      </c>
      <c r="AL7094">
        <v>79.978593881892394</v>
      </c>
      <c r="AM7094">
        <v>87.130263211924401</v>
      </c>
      <c r="AN7094">
        <v>1.0000000181200199</v>
      </c>
    </row>
    <row r="7095" spans="1:40" x14ac:dyDescent="0.25">
      <c r="A7095" t="str">
        <f>"20190312172545917"</f>
        <v>20190312172545917</v>
      </c>
      <c r="B7095" t="str">
        <f>"1552382745907757"</f>
        <v>1552382745907757</v>
      </c>
      <c r="C7095" t="s">
        <v>40</v>
      </c>
      <c r="D7095">
        <v>3.6527500000000002</v>
      </c>
      <c r="E7095">
        <v>0.56560600000000005</v>
      </c>
      <c r="F7095" t="s">
        <v>41</v>
      </c>
      <c r="G7095">
        <v>-187.56790000000001</v>
      </c>
      <c r="H7095">
        <v>0.91838109999999995</v>
      </c>
      <c r="I7095">
        <v>15.2173</v>
      </c>
      <c r="J7095">
        <v>-187.7234</v>
      </c>
      <c r="K7095">
        <v>1.1081049999999999</v>
      </c>
      <c r="L7095">
        <v>14.8036799999999</v>
      </c>
      <c r="M7095">
        <v>4.0326019999999997E-3</v>
      </c>
      <c r="N7095">
        <v>0</v>
      </c>
      <c r="O7095">
        <v>0.99998500000000001</v>
      </c>
      <c r="P7095">
        <v>5.2843870000000001E-2</v>
      </c>
      <c r="Q7095">
        <v>0.17067539999999901</v>
      </c>
      <c r="R7095">
        <v>0.98390920000000004</v>
      </c>
      <c r="S7095">
        <v>0.623565699999999</v>
      </c>
      <c r="T7095">
        <v>-0.75089059999999996</v>
      </c>
      <c r="U7095">
        <v>3.1459959999999998</v>
      </c>
      <c r="V7095">
        <v>4.9213809999999997E-2</v>
      </c>
      <c r="W7095">
        <v>0.17424010000000001</v>
      </c>
      <c r="X7095">
        <v>0.98347260000000003</v>
      </c>
      <c r="Y7095">
        <v>0.1853475</v>
      </c>
      <c r="Z7095">
        <v>-0.22804740000000001</v>
      </c>
      <c r="AA7095">
        <v>0.95584550000000001</v>
      </c>
      <c r="AB7095">
        <v>35</v>
      </c>
      <c r="AC7095">
        <v>0.15549999999998901</v>
      </c>
      <c r="AD7095">
        <v>-0.189723899999999</v>
      </c>
      <c r="AE7095">
        <v>0.41362000000000099</v>
      </c>
      <c r="AF7095">
        <v>0.129886988474085</v>
      </c>
      <c r="AG7095">
        <v>-0.189723899999999</v>
      </c>
      <c r="AH7095">
        <v>0.349766641731108</v>
      </c>
      <c r="AI7095">
        <v>116.953337889335</v>
      </c>
      <c r="AJ7095">
        <v>69.627355940008798</v>
      </c>
      <c r="AK7095">
        <v>0.418571967138191</v>
      </c>
      <c r="AL7095">
        <v>79.9655601633375</v>
      </c>
      <c r="AM7095">
        <v>87.135259783842002</v>
      </c>
      <c r="AN7095">
        <v>0.999999983246742</v>
      </c>
    </row>
    <row r="7096" spans="1:40" x14ac:dyDescent="0.25">
      <c r="A7096" t="str">
        <f>"20190312172545939"</f>
        <v>20190312172545939</v>
      </c>
      <c r="B7096" t="str">
        <f>"1552382745927277"</f>
        <v>1552382745927277</v>
      </c>
      <c r="C7096" t="s">
        <v>40</v>
      </c>
      <c r="D7096">
        <v>3.6643240000000001</v>
      </c>
      <c r="E7096">
        <v>0.56530689999999995</v>
      </c>
      <c r="F7096" t="s">
        <v>41</v>
      </c>
      <c r="G7096">
        <v>-187.578</v>
      </c>
      <c r="H7096">
        <v>0.93398990000000004</v>
      </c>
      <c r="I7096">
        <v>15.53607</v>
      </c>
      <c r="J7096">
        <v>-187.72139999999999</v>
      </c>
      <c r="K7096">
        <v>1.108112</v>
      </c>
      <c r="L7096">
        <v>15.14325</v>
      </c>
      <c r="M7096">
        <v>4.8544920000000002E-3</v>
      </c>
      <c r="N7096">
        <v>0</v>
      </c>
      <c r="O7096">
        <v>0.99998100000000001</v>
      </c>
      <c r="P7096">
        <v>5.3104529999999997E-2</v>
      </c>
      <c r="Q7096">
        <v>0.17051450000000001</v>
      </c>
      <c r="R7096">
        <v>0.98392310000000005</v>
      </c>
      <c r="S7096">
        <v>0.62396240000000003</v>
      </c>
      <c r="T7096">
        <v>-0.74770269999999905</v>
      </c>
      <c r="U7096">
        <v>3.1452640000000001</v>
      </c>
      <c r="V7096">
        <v>4.8666689999999999E-2</v>
      </c>
      <c r="W7096">
        <v>0.17415229999999901</v>
      </c>
      <c r="X7096">
        <v>0.98351540000000004</v>
      </c>
      <c r="Y7096">
        <v>0.18473819999999999</v>
      </c>
      <c r="Z7096">
        <v>-0.2271888</v>
      </c>
      <c r="AA7096">
        <v>0.95616789999999996</v>
      </c>
      <c r="AB7096">
        <v>35</v>
      </c>
      <c r="AC7096">
        <v>0.14339999999998501</v>
      </c>
      <c r="AD7096">
        <v>-0.1741221</v>
      </c>
      <c r="AE7096">
        <v>0.39282</v>
      </c>
      <c r="AF7096">
        <v>0.120584807682782</v>
      </c>
      <c r="AG7096">
        <v>-0.1741221</v>
      </c>
      <c r="AH7096">
        <v>0.33536684853666299</v>
      </c>
      <c r="AI7096">
        <v>116.039026695933</v>
      </c>
      <c r="AJ7096">
        <v>70.223398601497294</v>
      </c>
      <c r="AK7096">
        <v>0.39664861609454399</v>
      </c>
      <c r="AL7096">
        <v>79.970669071922202</v>
      </c>
      <c r="AM7096">
        <v>87.167178596881996</v>
      </c>
      <c r="AN7096">
        <v>1.000000006174</v>
      </c>
    </row>
    <row r="7097" spans="1:40" x14ac:dyDescent="0.25">
      <c r="A7097" t="str">
        <f>"20190312172545960"</f>
        <v>20190312172545960</v>
      </c>
      <c r="B7097" t="str">
        <f>"1552382745957534"</f>
        <v>1552382745957534</v>
      </c>
      <c r="C7097" t="s">
        <v>40</v>
      </c>
      <c r="D7097">
        <v>3.7027909999999999</v>
      </c>
      <c r="E7097">
        <v>0.56535089999999999</v>
      </c>
      <c r="F7097" t="s">
        <v>41</v>
      </c>
      <c r="G7097">
        <v>-187.58080000000001</v>
      </c>
      <c r="H7097">
        <v>0.93942440000000005</v>
      </c>
      <c r="I7097">
        <v>15.85228</v>
      </c>
      <c r="J7097">
        <v>-187.7191</v>
      </c>
      <c r="K7097">
        <v>1.10812</v>
      </c>
      <c r="L7097">
        <v>15.463039999999999</v>
      </c>
      <c r="M7097">
        <v>5.6214669999999998E-3</v>
      </c>
      <c r="N7097">
        <v>0</v>
      </c>
      <c r="O7097">
        <v>0.99997670000000005</v>
      </c>
      <c r="P7097">
        <v>5.3667689999999997E-2</v>
      </c>
      <c r="Q7097">
        <v>0.17057829999999999</v>
      </c>
      <c r="R7097">
        <v>0.98388149999999996</v>
      </c>
      <c r="S7097">
        <v>0.62358089999999999</v>
      </c>
      <c r="T7097">
        <v>-0.7482531</v>
      </c>
      <c r="U7097">
        <v>3.1450499999999999</v>
      </c>
      <c r="V7097">
        <v>4.8475900000000002E-2</v>
      </c>
      <c r="W7097">
        <v>0.17429410000000001</v>
      </c>
      <c r="X7097">
        <v>0.98349969999999998</v>
      </c>
      <c r="Y7097">
        <v>0.18387729999999999</v>
      </c>
      <c r="Z7097">
        <v>-0.22738149999999999</v>
      </c>
      <c r="AA7097">
        <v>0.95628800000000003</v>
      </c>
      <c r="AB7097">
        <v>35</v>
      </c>
      <c r="AC7097">
        <v>0.13829999999998599</v>
      </c>
      <c r="AD7097">
        <v>-0.168695599999999</v>
      </c>
      <c r="AE7097">
        <v>0.38923999999999898</v>
      </c>
      <c r="AF7097">
        <v>0.116654266965311</v>
      </c>
      <c r="AG7097">
        <v>-0.168695599999999</v>
      </c>
      <c r="AH7097">
        <v>0.33426334285925202</v>
      </c>
      <c r="AI7097">
        <v>115.477577204125</v>
      </c>
      <c r="AJ7097">
        <v>70.7615688385022</v>
      </c>
      <c r="AK7097">
        <v>0.39217139854917499</v>
      </c>
      <c r="AL7097">
        <v>79.962418313564697</v>
      </c>
      <c r="AM7097">
        <v>87.178221266218699</v>
      </c>
      <c r="AN7097">
        <v>1.00000000303785</v>
      </c>
    </row>
    <row r="7098" spans="1:40" x14ac:dyDescent="0.25">
      <c r="A7098" t="str">
        <f>"20190312172545983"</f>
        <v>20190312172545983</v>
      </c>
      <c r="B7098" t="str">
        <f>"1552382745977053"</f>
        <v>1552382745977053</v>
      </c>
      <c r="C7098" t="s">
        <v>40</v>
      </c>
      <c r="D7098">
        <v>3.775798</v>
      </c>
      <c r="E7098">
        <v>0.56558330000000001</v>
      </c>
      <c r="F7098" t="s">
        <v>41</v>
      </c>
      <c r="G7098">
        <v>-187.57900000000001</v>
      </c>
      <c r="H7098">
        <v>0.94003130000000001</v>
      </c>
      <c r="I7098">
        <v>16.16752</v>
      </c>
      <c r="J7098">
        <v>-187.71639999999999</v>
      </c>
      <c r="K7098">
        <v>1.1081350000000001</v>
      </c>
      <c r="L7098">
        <v>15.82474</v>
      </c>
      <c r="M7098">
        <v>6.4767109999999996E-3</v>
      </c>
      <c r="N7098">
        <v>0</v>
      </c>
      <c r="O7098">
        <v>0.99997119999999995</v>
      </c>
      <c r="P7098">
        <v>5.4366119999999997E-2</v>
      </c>
      <c r="Q7098">
        <v>0.17121329999999901</v>
      </c>
      <c r="R7098">
        <v>0.98373290000000002</v>
      </c>
      <c r="S7098">
        <v>0.62545779999999995</v>
      </c>
      <c r="T7098">
        <v>-0.75041009999999997</v>
      </c>
      <c r="U7098">
        <v>3.1451419999999999</v>
      </c>
      <c r="V7098">
        <v>4.8334250000000002E-2</v>
      </c>
      <c r="W7098">
        <v>0.17502139999999999</v>
      </c>
      <c r="X7098">
        <v>0.98337750000000002</v>
      </c>
      <c r="Y7098">
        <v>0.18355360000000001</v>
      </c>
      <c r="Z7098">
        <v>-0.2279892</v>
      </c>
      <c r="AA7098">
        <v>0.95620550000000004</v>
      </c>
      <c r="AB7098">
        <v>35</v>
      </c>
      <c r="AC7098">
        <v>0.13739999999998501</v>
      </c>
      <c r="AD7098">
        <v>-0.16810369999999999</v>
      </c>
      <c r="AE7098">
        <v>0.34277999999999897</v>
      </c>
      <c r="AF7098">
        <v>0.111974594663885</v>
      </c>
      <c r="AG7098">
        <v>-0.16810369999999999</v>
      </c>
      <c r="AH7098">
        <v>0.28467483058702497</v>
      </c>
      <c r="AI7098">
        <v>118.790049419063</v>
      </c>
      <c r="AJ7098">
        <v>68.528196860020302</v>
      </c>
      <c r="AK7098">
        <v>0.349051461784051</v>
      </c>
      <c r="AL7098">
        <v>79.920096530686706</v>
      </c>
      <c r="AM7098">
        <v>87.186104369444294</v>
      </c>
      <c r="AN7098">
        <v>0.999999998843636</v>
      </c>
    </row>
    <row r="7099" spans="1:40" x14ac:dyDescent="0.25">
      <c r="A7099" t="str">
        <f>"20190312172546005"</f>
        <v>20190312172546005</v>
      </c>
      <c r="B7099" t="str">
        <f>"1552382745997550"</f>
        <v>1552382745997550</v>
      </c>
      <c r="C7099" t="s">
        <v>40</v>
      </c>
      <c r="D7099">
        <v>3.8970980000000002</v>
      </c>
      <c r="E7099">
        <v>0.5657491</v>
      </c>
      <c r="F7099" t="s">
        <v>41</v>
      </c>
      <c r="G7099">
        <v>-187.52590000000001</v>
      </c>
      <c r="H7099">
        <v>0.88069069999999905</v>
      </c>
      <c r="I7099">
        <v>16.77768</v>
      </c>
      <c r="J7099">
        <v>-187.7133</v>
      </c>
      <c r="K7099">
        <v>1.10815</v>
      </c>
      <c r="L7099">
        <v>16.178039999999999</v>
      </c>
      <c r="M7099">
        <v>7.2941109999999998E-3</v>
      </c>
      <c r="N7099">
        <v>0</v>
      </c>
      <c r="O7099">
        <v>0.99996510000000005</v>
      </c>
      <c r="P7099">
        <v>5.4803009999999999E-2</v>
      </c>
      <c r="Q7099">
        <v>0.1710246</v>
      </c>
      <c r="R7099">
        <v>0.98374150000000005</v>
      </c>
      <c r="S7099">
        <v>0.62852479999999999</v>
      </c>
      <c r="T7099">
        <v>-0.75074200000000002</v>
      </c>
      <c r="U7099">
        <v>3.1455380000000002</v>
      </c>
      <c r="V7099">
        <v>4.7964140000000002E-2</v>
      </c>
      <c r="W7099">
        <v>0.174927</v>
      </c>
      <c r="X7099">
        <v>0.98341239999999996</v>
      </c>
      <c r="Y7099">
        <v>0.1836226</v>
      </c>
      <c r="Z7099">
        <v>-0.2280344</v>
      </c>
      <c r="AA7099">
        <v>0.95618150000000002</v>
      </c>
      <c r="AB7099">
        <v>35</v>
      </c>
      <c r="AC7099">
        <v>0.18739999999999599</v>
      </c>
      <c r="AD7099">
        <v>-0.2274593</v>
      </c>
      <c r="AE7099">
        <v>0.59963999999999995</v>
      </c>
      <c r="AF7099">
        <v>0.16181016874007201</v>
      </c>
      <c r="AG7099">
        <v>-0.2274593</v>
      </c>
      <c r="AH7099">
        <v>0.53133999953473299</v>
      </c>
      <c r="AI7099">
        <v>112.269973248894</v>
      </c>
      <c r="AJ7099">
        <v>73.062816202275002</v>
      </c>
      <c r="AK7099">
        <v>0.60020201513302995</v>
      </c>
      <c r="AL7099">
        <v>79.925589820979297</v>
      </c>
      <c r="AM7099">
        <v>87.207715928056899</v>
      </c>
      <c r="AN7099">
        <v>0.99999998126434897</v>
      </c>
    </row>
    <row r="7100" spans="1:40" x14ac:dyDescent="0.25">
      <c r="A7100" t="str">
        <f>"20190312172546028"</f>
        <v>20190312172546028</v>
      </c>
      <c r="B7100" t="str">
        <f>"1552382746017073"</f>
        <v>1552382746017073</v>
      </c>
      <c r="C7100" t="s">
        <v>40</v>
      </c>
      <c r="D7100">
        <v>3.7783859999999998</v>
      </c>
      <c r="E7100">
        <v>0.56587769999999904</v>
      </c>
      <c r="F7100" t="s">
        <v>41</v>
      </c>
      <c r="G7100">
        <v>-187.52879999999999</v>
      </c>
      <c r="H7100">
        <v>0.88778609999999902</v>
      </c>
      <c r="I7100">
        <v>17.098600000000001</v>
      </c>
      <c r="J7100">
        <v>-187.7099</v>
      </c>
      <c r="K7100">
        <v>1.1081650000000001</v>
      </c>
      <c r="L7100">
        <v>16.544889999999999</v>
      </c>
      <c r="M7100">
        <v>8.1243010000000004E-3</v>
      </c>
      <c r="N7100">
        <v>0</v>
      </c>
      <c r="O7100">
        <v>0.99995829999999997</v>
      </c>
      <c r="P7100">
        <v>5.5255279999999997E-2</v>
      </c>
      <c r="Q7100">
        <v>0.17084869999999999</v>
      </c>
      <c r="R7100">
        <v>0.98374669999999997</v>
      </c>
      <c r="S7100">
        <v>0.63064580000000003</v>
      </c>
      <c r="T7100">
        <v>-0.75294419999999995</v>
      </c>
      <c r="U7100">
        <v>3.1453549999999999</v>
      </c>
      <c r="V7100">
        <v>4.7595690000000003E-2</v>
      </c>
      <c r="W7100">
        <v>0.17484910000000001</v>
      </c>
      <c r="X7100">
        <v>0.98344419999999999</v>
      </c>
      <c r="Y7100">
        <v>0.18340880000000001</v>
      </c>
      <c r="Z7100">
        <v>-0.2286687</v>
      </c>
      <c r="AA7100">
        <v>0.956071</v>
      </c>
      <c r="AB7100">
        <v>35</v>
      </c>
      <c r="AC7100">
        <v>0.181100000000014</v>
      </c>
      <c r="AD7100">
        <v>-0.22037889999999999</v>
      </c>
      <c r="AE7100">
        <v>0.55371000000000203</v>
      </c>
      <c r="AF7100">
        <v>0.154488266409811</v>
      </c>
      <c r="AG7100">
        <v>-0.22037889999999999</v>
      </c>
      <c r="AH7100">
        <v>0.48566462974736002</v>
      </c>
      <c r="AI7100">
        <v>113.38450231414301</v>
      </c>
      <c r="AJ7100">
        <v>72.354309770915194</v>
      </c>
      <c r="AK7100">
        <v>0.55525094922130402</v>
      </c>
      <c r="AL7100">
        <v>79.930123481715</v>
      </c>
      <c r="AM7100">
        <v>87.229221541685007</v>
      </c>
      <c r="AN7100">
        <v>1.00000002599551</v>
      </c>
    </row>
    <row r="7101" spans="1:40" x14ac:dyDescent="0.25">
      <c r="A7101" t="str">
        <f>"20190312172546051"</f>
        <v>20190312172546051</v>
      </c>
      <c r="B7101" t="str">
        <f>"1552382746047326"</f>
        <v>1552382746047326</v>
      </c>
      <c r="C7101" t="s">
        <v>40</v>
      </c>
      <c r="D7101">
        <v>4.1239470000000003</v>
      </c>
      <c r="E7101">
        <v>0.56548619999999905</v>
      </c>
      <c r="F7101" t="s">
        <v>41</v>
      </c>
      <c r="G7101">
        <v>-187.5333</v>
      </c>
      <c r="H7101">
        <v>0.89784679999999994</v>
      </c>
      <c r="I7101">
        <v>17.421720000000001</v>
      </c>
      <c r="J7101">
        <v>-187.7063</v>
      </c>
      <c r="K7101">
        <v>1.1081810000000001</v>
      </c>
      <c r="L7101">
        <v>16.902279999999902</v>
      </c>
      <c r="M7101">
        <v>8.9050359999999999E-3</v>
      </c>
      <c r="N7101">
        <v>0</v>
      </c>
      <c r="O7101">
        <v>0.99995129999999999</v>
      </c>
      <c r="P7101">
        <v>5.6007349999999997E-2</v>
      </c>
      <c r="Q7101">
        <v>0.1702679</v>
      </c>
      <c r="R7101">
        <v>0.98380489999999998</v>
      </c>
      <c r="S7101">
        <v>0.63284300000000004</v>
      </c>
      <c r="T7101">
        <v>-0.75432849999999996</v>
      </c>
      <c r="U7101">
        <v>3.1450200000000001</v>
      </c>
      <c r="V7101">
        <v>4.7572200000000002E-2</v>
      </c>
      <c r="W7101">
        <v>0.17436409999999999</v>
      </c>
      <c r="X7101">
        <v>0.98353139999999994</v>
      </c>
      <c r="Y7101">
        <v>0.18328510000000001</v>
      </c>
      <c r="Z7101">
        <v>-0.22907520000000001</v>
      </c>
      <c r="AA7101">
        <v>0.95599749999999994</v>
      </c>
      <c r="AB7101">
        <v>36</v>
      </c>
      <c r="AC7101">
        <v>0.17300000000000099</v>
      </c>
      <c r="AD7101">
        <v>-0.210334199999999</v>
      </c>
      <c r="AE7101">
        <v>0.51944000000000301</v>
      </c>
      <c r="AF7101">
        <v>0.146713600625164</v>
      </c>
      <c r="AG7101">
        <v>-0.210334199999999</v>
      </c>
      <c r="AH7101">
        <v>0.45395893447698399</v>
      </c>
      <c r="AI7101">
        <v>113.791719937008</v>
      </c>
      <c r="AJ7101">
        <v>72.089844743520899</v>
      </c>
      <c r="AK7101">
        <v>0.52138668039135705</v>
      </c>
      <c r="AL7101">
        <v>79.958345048557803</v>
      </c>
      <c r="AM7101">
        <v>87.230832034595693</v>
      </c>
      <c r="AN7101">
        <v>0.99999998418380398</v>
      </c>
    </row>
    <row r="7102" spans="1:40" x14ac:dyDescent="0.25">
      <c r="A7102" t="str">
        <f>"20190312172546072"</f>
        <v>20190312172546072</v>
      </c>
      <c r="B7102" t="str">
        <f>"1552382746067821"</f>
        <v>1552382746067821</v>
      </c>
      <c r="C7102" t="s">
        <v>40</v>
      </c>
      <c r="D7102">
        <v>3.823785</v>
      </c>
      <c r="E7102">
        <v>0.56511829999999996</v>
      </c>
      <c r="F7102" t="s">
        <v>41</v>
      </c>
      <c r="G7102">
        <v>-187.53710000000001</v>
      </c>
      <c r="H7102">
        <v>0.90578320000000001</v>
      </c>
      <c r="I7102">
        <v>17.745079999999898</v>
      </c>
      <c r="J7102">
        <v>-187.70249999999999</v>
      </c>
      <c r="K7102">
        <v>1.1082069999999999</v>
      </c>
      <c r="L7102">
        <v>17.257390000000001</v>
      </c>
      <c r="M7102">
        <v>9.6391289999999998E-3</v>
      </c>
      <c r="N7102">
        <v>0</v>
      </c>
      <c r="O7102">
        <v>0.9999441</v>
      </c>
      <c r="P7102">
        <v>5.668231E-2</v>
      </c>
      <c r="Q7102">
        <v>0.16983690000000001</v>
      </c>
      <c r="R7102">
        <v>0.98384070000000001</v>
      </c>
      <c r="S7102">
        <v>0.631073</v>
      </c>
      <c r="T7102">
        <v>-0.75505480000000003</v>
      </c>
      <c r="U7102">
        <v>3.1441349999999999</v>
      </c>
      <c r="V7102">
        <v>4.7514010000000002E-2</v>
      </c>
      <c r="W7102">
        <v>0.1740302</v>
      </c>
      <c r="X7102">
        <v>0.9835933</v>
      </c>
      <c r="Y7102">
        <v>0.18208469999999999</v>
      </c>
      <c r="Z7102">
        <v>-0.22937949999999999</v>
      </c>
      <c r="AA7102">
        <v>0.9561539</v>
      </c>
      <c r="AB7102">
        <v>36</v>
      </c>
      <c r="AC7102">
        <v>0.16539999999997601</v>
      </c>
      <c r="AD7102">
        <v>-0.20242379999999999</v>
      </c>
      <c r="AE7102">
        <v>0.48768999999999701</v>
      </c>
      <c r="AF7102">
        <v>0.13918597826013901</v>
      </c>
      <c r="AG7102">
        <v>-0.20242379999999999</v>
      </c>
      <c r="AH7102">
        <v>0.42378359473639299</v>
      </c>
      <c r="AI7102">
        <v>114.408966156288</v>
      </c>
      <c r="AJ7102">
        <v>71.817934854704205</v>
      </c>
      <c r="AK7102">
        <v>0.48983738783230102</v>
      </c>
      <c r="AL7102">
        <v>79.977772659330398</v>
      </c>
      <c r="AM7102">
        <v>87.234387787449805</v>
      </c>
      <c r="AN7102">
        <v>0.99999993573160295</v>
      </c>
    </row>
    <row r="7103" spans="1:40" x14ac:dyDescent="0.25">
      <c r="A7103" t="str">
        <f>"20190312172546097"</f>
        <v>20190312172546097</v>
      </c>
      <c r="B7103" t="str">
        <f>"1552382746087342"</f>
        <v>1552382746087342</v>
      </c>
      <c r="C7103" t="s">
        <v>40</v>
      </c>
      <c r="D7103">
        <v>3.8294839999999999</v>
      </c>
      <c r="E7103">
        <v>0.5648763</v>
      </c>
      <c r="F7103" t="s">
        <v>41</v>
      </c>
      <c r="G7103">
        <v>-187.53970000000001</v>
      </c>
      <c r="H7103">
        <v>0.91341470000000002</v>
      </c>
      <c r="I7103">
        <v>18.06936</v>
      </c>
      <c r="J7103">
        <v>-187.69820000000001</v>
      </c>
      <c r="K7103">
        <v>1.108252</v>
      </c>
      <c r="L7103">
        <v>17.643619999999999</v>
      </c>
      <c r="M7103">
        <v>1.037569E-2</v>
      </c>
      <c r="N7103">
        <v>0</v>
      </c>
      <c r="O7103">
        <v>0.99993620000000005</v>
      </c>
      <c r="P7103">
        <v>5.7056330000000002E-2</v>
      </c>
      <c r="Q7103">
        <v>0.16968849999999999</v>
      </c>
      <c r="R7103">
        <v>0.98384470000000002</v>
      </c>
      <c r="S7103">
        <v>0.62991330000000001</v>
      </c>
      <c r="T7103">
        <v>-0.75401790000000002</v>
      </c>
      <c r="U7103">
        <v>3.1431580000000001</v>
      </c>
      <c r="V7103">
        <v>4.7146979999999998E-2</v>
      </c>
      <c r="W7103">
        <v>0.1739945</v>
      </c>
      <c r="X7103">
        <v>0.98361739999999998</v>
      </c>
      <c r="Y7103">
        <v>0.1810889</v>
      </c>
      <c r="Z7103">
        <v>-0.22917409999999999</v>
      </c>
      <c r="AA7103">
        <v>0.95639220000000003</v>
      </c>
      <c r="AB7103">
        <v>36</v>
      </c>
      <c r="AC7103">
        <v>0.158500000000003</v>
      </c>
      <c r="AD7103">
        <v>-0.19483729999999999</v>
      </c>
      <c r="AE7103">
        <v>0.42573999999999701</v>
      </c>
      <c r="AF7103">
        <v>0.13013639485864301</v>
      </c>
      <c r="AG7103">
        <v>-0.19483729999999999</v>
      </c>
      <c r="AH7103">
        <v>0.360964704258045</v>
      </c>
      <c r="AI7103">
        <v>116.920383159241</v>
      </c>
      <c r="AJ7103">
        <v>70.174555866456998</v>
      </c>
      <c r="AK7103">
        <v>0.43034006606193698</v>
      </c>
      <c r="AL7103">
        <v>79.979851033197505</v>
      </c>
      <c r="AM7103">
        <v>87.255785577273699</v>
      </c>
      <c r="AN7103">
        <v>1.00000005666806</v>
      </c>
    </row>
    <row r="7104" spans="1:40" x14ac:dyDescent="0.25">
      <c r="A7104" t="str">
        <f>"20190312172546118"</f>
        <v>20190312172546118</v>
      </c>
      <c r="B7104" t="str">
        <f>"1552382746107838"</f>
        <v>1552382746107838</v>
      </c>
      <c r="C7104" t="s">
        <v>40</v>
      </c>
      <c r="D7104">
        <v>3.7247189999999999</v>
      </c>
      <c r="E7104">
        <v>0.56459759999999903</v>
      </c>
      <c r="F7104" t="s">
        <v>41</v>
      </c>
      <c r="G7104">
        <v>-187.5472</v>
      </c>
      <c r="H7104">
        <v>0.92780359999999995</v>
      </c>
      <c r="I7104">
        <v>18.397279999999999</v>
      </c>
      <c r="J7104">
        <v>-187.69399999999999</v>
      </c>
      <c r="K7104">
        <v>1.108312</v>
      </c>
      <c r="L7104">
        <v>17.99982</v>
      </c>
      <c r="M7104">
        <v>1.0983929999999999E-2</v>
      </c>
      <c r="N7104">
        <v>0</v>
      </c>
      <c r="O7104">
        <v>0.99992919999999996</v>
      </c>
      <c r="P7104">
        <v>5.662449E-2</v>
      </c>
      <c r="Q7104">
        <v>0.16981679999999999</v>
      </c>
      <c r="R7104">
        <v>0.98384749999999999</v>
      </c>
      <c r="S7104">
        <v>0.62924190000000002</v>
      </c>
      <c r="T7104">
        <v>-0.75240249999999997</v>
      </c>
      <c r="U7104">
        <v>3.1425480000000001</v>
      </c>
      <c r="V7104">
        <v>4.6096869999999998E-2</v>
      </c>
      <c r="W7104">
        <v>0.17423350000000001</v>
      </c>
      <c r="X7104">
        <v>0.98362479999999997</v>
      </c>
      <c r="Y7104">
        <v>0.18034929999999999</v>
      </c>
      <c r="Z7104">
        <v>-0.22876869999999999</v>
      </c>
      <c r="AA7104">
        <v>0.95662899999999995</v>
      </c>
      <c r="AB7104">
        <v>36</v>
      </c>
      <c r="AC7104">
        <v>0.146800000000013</v>
      </c>
      <c r="AD7104">
        <v>-0.18050840000000001</v>
      </c>
      <c r="AE7104">
        <v>0.39745999999999798</v>
      </c>
      <c r="AF7104">
        <v>0.12054653158076099</v>
      </c>
      <c r="AG7104">
        <v>-0.18050840000000001</v>
      </c>
      <c r="AH7104">
        <v>0.33774805356993498</v>
      </c>
      <c r="AI7104">
        <v>116.718294996411</v>
      </c>
      <c r="AJ7104">
        <v>70.357877820355895</v>
      </c>
      <c r="AK7104">
        <v>0.40148287190986298</v>
      </c>
      <c r="AL7104">
        <v>79.965944263785602</v>
      </c>
      <c r="AM7104">
        <v>87.316837591174902</v>
      </c>
      <c r="AN7104">
        <v>0.99999999056054301</v>
      </c>
    </row>
    <row r="7105" spans="1:40" x14ac:dyDescent="0.25">
      <c r="A7105" t="str">
        <f>"20190312172546140"</f>
        <v>20190312172546140</v>
      </c>
      <c r="B7105" t="str">
        <f>"1552382746137118"</f>
        <v>1552382746137118</v>
      </c>
      <c r="C7105" t="s">
        <v>40</v>
      </c>
      <c r="D7105">
        <v>3.773746</v>
      </c>
      <c r="E7105">
        <v>0.56303199999999998</v>
      </c>
      <c r="F7105" t="s">
        <v>41</v>
      </c>
      <c r="G7105">
        <v>-187.5496</v>
      </c>
      <c r="H7105">
        <v>0.93559630000000005</v>
      </c>
      <c r="I7105">
        <v>18.723790000000001</v>
      </c>
      <c r="J7105">
        <v>-187.68979999999999</v>
      </c>
      <c r="K7105">
        <v>1.108382</v>
      </c>
      <c r="L7105">
        <v>18.341190000000001</v>
      </c>
      <c r="M7105">
        <v>1.1492769999999999E-2</v>
      </c>
      <c r="N7105">
        <v>0</v>
      </c>
      <c r="O7105">
        <v>0.99992309999999995</v>
      </c>
      <c r="P7105">
        <v>5.5982009999999999E-2</v>
      </c>
      <c r="Q7105">
        <v>0.17023079999999999</v>
      </c>
      <c r="R7105">
        <v>0.98381269999999998</v>
      </c>
      <c r="S7105">
        <v>0.62641910000000001</v>
      </c>
      <c r="T7105">
        <v>-0.74969799999999998</v>
      </c>
      <c r="U7105">
        <v>3.1426090000000002</v>
      </c>
      <c r="V7105">
        <v>4.4931489999999998E-2</v>
      </c>
      <c r="W7105">
        <v>0.17475839999999901</v>
      </c>
      <c r="X7105">
        <v>0.98358559999999995</v>
      </c>
      <c r="Y7105">
        <v>0.17905309999999999</v>
      </c>
      <c r="Z7105">
        <v>-0.22803000000000001</v>
      </c>
      <c r="AA7105">
        <v>0.95704880000000003</v>
      </c>
      <c r="AB7105">
        <v>36</v>
      </c>
      <c r="AC7105">
        <v>0.140199999999993</v>
      </c>
      <c r="AD7105">
        <v>-0.17278569999999999</v>
      </c>
      <c r="AE7105">
        <v>0.3826</v>
      </c>
      <c r="AF7105">
        <v>0.115098136291305</v>
      </c>
      <c r="AG7105">
        <v>-0.17278569999999999</v>
      </c>
      <c r="AH7105">
        <v>0.32563471317373199</v>
      </c>
      <c r="AI7105">
        <v>116.577923145969</v>
      </c>
      <c r="AJ7105">
        <v>70.533646810624106</v>
      </c>
      <c r="AK7105">
        <v>0.38618706027773803</v>
      </c>
      <c r="AL7105">
        <v>79.935401053975795</v>
      </c>
      <c r="AM7105">
        <v>87.384471412086398</v>
      </c>
      <c r="AN7105">
        <v>0.99999998484576902</v>
      </c>
    </row>
    <row r="7106" spans="1:40" x14ac:dyDescent="0.25">
      <c r="A7106" t="str">
        <f>"20190312172546161"</f>
        <v>20190312172546161</v>
      </c>
      <c r="B7106" t="str">
        <f>"1552382746157614"</f>
        <v>1552382746157614</v>
      </c>
      <c r="C7106" t="s">
        <v>40</v>
      </c>
      <c r="D7106">
        <v>3.7898130000000001</v>
      </c>
      <c r="E7106">
        <v>0.50561109999999998</v>
      </c>
      <c r="F7106" t="s">
        <v>41</v>
      </c>
      <c r="G7106">
        <v>-187.5515</v>
      </c>
      <c r="H7106">
        <v>0.93995499999999998</v>
      </c>
      <c r="I7106">
        <v>19.049949999999999</v>
      </c>
      <c r="J7106">
        <v>-187.68549999999999</v>
      </c>
      <c r="K7106">
        <v>1.108463</v>
      </c>
      <c r="L7106">
        <v>18.68591</v>
      </c>
      <c r="M7106">
        <v>1.1931570000000001E-2</v>
      </c>
      <c r="N7106">
        <v>0</v>
      </c>
      <c r="O7106">
        <v>0.99991739999999996</v>
      </c>
      <c r="P7106">
        <v>5.514231E-2</v>
      </c>
      <c r="Q7106">
        <v>0.17079440000000001</v>
      </c>
      <c r="R7106">
        <v>0.98376249999999998</v>
      </c>
      <c r="S7106">
        <v>0.61331179999999996</v>
      </c>
      <c r="T7106">
        <v>-0.74705509999999997</v>
      </c>
      <c r="U7106">
        <v>3.1437379999999999</v>
      </c>
      <c r="V7106">
        <v>4.363533E-2</v>
      </c>
      <c r="W7106">
        <v>0.1754406</v>
      </c>
      <c r="X7106">
        <v>0.98352249999999997</v>
      </c>
      <c r="Y7106">
        <v>0.174742799999999</v>
      </c>
      <c r="Z7106">
        <v>-0.2273656</v>
      </c>
      <c r="AA7106">
        <v>0.95800300000000005</v>
      </c>
      <c r="AB7106">
        <v>36</v>
      </c>
      <c r="AC7106">
        <v>0.13399999999998599</v>
      </c>
      <c r="AD7106">
        <v>-0.16850799999999999</v>
      </c>
      <c r="AE7106">
        <v>0.36403999999999898</v>
      </c>
      <c r="AF7106">
        <v>0.109066587704059</v>
      </c>
      <c r="AG7106">
        <v>-0.16850799999999999</v>
      </c>
      <c r="AH7106">
        <v>0.30757521196934101</v>
      </c>
      <c r="AI7106">
        <v>117.309867265023</v>
      </c>
      <c r="AJ7106">
        <v>70.475424435730105</v>
      </c>
      <c r="AK7106">
        <v>0.36727779355059298</v>
      </c>
      <c r="AL7106">
        <v>79.895700448791004</v>
      </c>
      <c r="AM7106">
        <v>87.459659754047607</v>
      </c>
      <c r="AN7106">
        <v>0.99999997707940902</v>
      </c>
    </row>
    <row r="7107" spans="1:40" x14ac:dyDescent="0.25">
      <c r="A7107" t="str">
        <f>"20190312172546183"</f>
        <v>20190312172546183</v>
      </c>
      <c r="B7107" t="str">
        <f>"1552382746177135"</f>
        <v>1552382746177135</v>
      </c>
      <c r="C7107" t="s">
        <v>40</v>
      </c>
      <c r="D7107">
        <v>3.6726559999999999</v>
      </c>
      <c r="E7107">
        <v>0.49504350000000003</v>
      </c>
      <c r="F7107" t="s">
        <v>41</v>
      </c>
      <c r="G7107">
        <v>-187.64599999999999</v>
      </c>
      <c r="H7107">
        <v>1.0139069999999999</v>
      </c>
      <c r="I7107">
        <v>19.410769999999999</v>
      </c>
      <c r="J7107">
        <v>-187.6808</v>
      </c>
      <c r="K7107">
        <v>1.10854599999999</v>
      </c>
      <c r="L7107">
        <v>19.04926</v>
      </c>
      <c r="M7107">
        <v>1.2315019999999999E-2</v>
      </c>
      <c r="N7107">
        <v>0</v>
      </c>
      <c r="O7107">
        <v>0.99991209999999997</v>
      </c>
      <c r="P7107">
        <v>5.4207079999999998E-2</v>
      </c>
      <c r="Q7107">
        <v>0.17215339999999901</v>
      </c>
      <c r="R7107">
        <v>0.98357749999999999</v>
      </c>
      <c r="S7107">
        <v>0.16897579999999901</v>
      </c>
      <c r="T7107">
        <v>-0.40575030000000001</v>
      </c>
      <c r="U7107">
        <v>3.110474</v>
      </c>
      <c r="V7107">
        <v>4.2299490000000002E-2</v>
      </c>
      <c r="W7107">
        <v>0.1769337</v>
      </c>
      <c r="X7107">
        <v>0.9833134</v>
      </c>
      <c r="Y7107">
        <v>4.1489119999999997E-2</v>
      </c>
      <c r="Z7107">
        <v>-0.12918679999999999</v>
      </c>
      <c r="AA7107">
        <v>0.99075199999999997</v>
      </c>
      <c r="AB7107">
        <v>36</v>
      </c>
      <c r="AC7107">
        <v>3.4800000000018302E-2</v>
      </c>
      <c r="AD7107">
        <v>-9.4638999999999904E-2</v>
      </c>
      <c r="AE7107">
        <v>0.361509999999999</v>
      </c>
      <c r="AF7107">
        <v>2.84157671280773E-2</v>
      </c>
      <c r="AG7107">
        <v>-9.4638999999999904E-2</v>
      </c>
      <c r="AH7107">
        <v>0.33889866192479901</v>
      </c>
      <c r="AI7107">
        <v>105.55071949366</v>
      </c>
      <c r="AJ7107">
        <v>85.207109597627493</v>
      </c>
      <c r="AK7107">
        <v>0.35301033865440301</v>
      </c>
      <c r="AL7107">
        <v>79.808792940455405</v>
      </c>
      <c r="AM7107">
        <v>87.536808739408499</v>
      </c>
      <c r="AN7107">
        <v>1.0000000118347501</v>
      </c>
    </row>
    <row r="7108" spans="1:40" x14ac:dyDescent="0.25">
      <c r="A7108" t="str">
        <f>"20190312172546204"</f>
        <v>20190312172546204</v>
      </c>
      <c r="B7108" t="str">
        <f>"1552382746197630"</f>
        <v>1552382746197630</v>
      </c>
      <c r="C7108" t="s">
        <v>40</v>
      </c>
      <c r="D7108">
        <v>3.7174149999999999</v>
      </c>
      <c r="E7108">
        <v>0.49223420000000001</v>
      </c>
      <c r="F7108" t="s">
        <v>41</v>
      </c>
      <c r="G7108">
        <v>-187.6524</v>
      </c>
      <c r="H7108">
        <v>1.008008</v>
      </c>
      <c r="I7108">
        <v>20.06155</v>
      </c>
      <c r="J7108">
        <v>-187.67619999999999</v>
      </c>
      <c r="K7108">
        <v>1.10863</v>
      </c>
      <c r="L7108">
        <v>19.404540000000001</v>
      </c>
      <c r="M7108">
        <v>1.262608E-2</v>
      </c>
      <c r="N7108">
        <v>0</v>
      </c>
      <c r="O7108">
        <v>0.99990760000000001</v>
      </c>
      <c r="P7108">
        <v>5.2301279999999999E-2</v>
      </c>
      <c r="Q7108">
        <v>0.1739076</v>
      </c>
      <c r="R7108">
        <v>0.98337209999999997</v>
      </c>
      <c r="S7108">
        <v>8.6441039999999997E-2</v>
      </c>
      <c r="T7108">
        <v>-0.30779590000000001</v>
      </c>
      <c r="U7108">
        <v>3.0991819999999999</v>
      </c>
      <c r="V7108">
        <v>4.0068119999999999E-2</v>
      </c>
      <c r="W7108">
        <v>0.1788284</v>
      </c>
      <c r="X7108">
        <v>0.9830641</v>
      </c>
      <c r="Y7108">
        <v>1.512077E-2</v>
      </c>
      <c r="Z7108">
        <v>-9.8792580000000005E-2</v>
      </c>
      <c r="AA7108">
        <v>0.99499320000000002</v>
      </c>
      <c r="AB7108">
        <v>36</v>
      </c>
      <c r="AC7108">
        <v>2.3799999999994201E-2</v>
      </c>
      <c r="AD7108">
        <v>-0.100622</v>
      </c>
      <c r="AE7108">
        <v>0.65700999999999898</v>
      </c>
      <c r="AF7108">
        <v>1.5147707561935E-2</v>
      </c>
      <c r="AG7108">
        <v>-0.100622</v>
      </c>
      <c r="AH7108">
        <v>0.642214505757708</v>
      </c>
      <c r="AI7108">
        <v>98.902256616707007</v>
      </c>
      <c r="AJ7108">
        <v>88.648833354139001</v>
      </c>
      <c r="AK7108">
        <v>0.65022589254350605</v>
      </c>
      <c r="AL7108">
        <v>79.698475533616403</v>
      </c>
      <c r="AM7108">
        <v>87.666007563488193</v>
      </c>
      <c r="AN7108">
        <v>1.00000003779785</v>
      </c>
    </row>
    <row r="7109" spans="1:40" x14ac:dyDescent="0.25">
      <c r="A7109" t="str">
        <f>"20190312172546239"</f>
        <v>20190312172546239</v>
      </c>
      <c r="B7109" t="str">
        <f>"1552382746227893"</f>
        <v>1552382746227893</v>
      </c>
      <c r="C7109" t="s">
        <v>40</v>
      </c>
      <c r="D7109">
        <v>3.6880009999999999</v>
      </c>
      <c r="E7109">
        <v>0.49041050000000003</v>
      </c>
      <c r="F7109" t="s">
        <v>41</v>
      </c>
      <c r="G7109">
        <v>-187.65629999999999</v>
      </c>
      <c r="H7109">
        <v>1.0258449999999999</v>
      </c>
      <c r="I7109">
        <v>20.398260000000001</v>
      </c>
      <c r="J7109">
        <v>-187.6687</v>
      </c>
      <c r="K7109">
        <v>1.1087290000000001</v>
      </c>
      <c r="L7109">
        <v>19.967559999999999</v>
      </c>
      <c r="M7109">
        <v>1.302885E-2</v>
      </c>
      <c r="N7109">
        <v>0</v>
      </c>
      <c r="O7109">
        <v>0.99990120000000005</v>
      </c>
      <c r="P7109">
        <v>5.0160349999999999E-2</v>
      </c>
      <c r="Q7109">
        <v>0.17502770000000001</v>
      </c>
      <c r="R7109">
        <v>0.98328499999999996</v>
      </c>
      <c r="S7109">
        <v>6.1584470000000002E-2</v>
      </c>
      <c r="T7109">
        <v>-0.2576717</v>
      </c>
      <c r="U7109">
        <v>3.0930179999999998</v>
      </c>
      <c r="V7109">
        <v>3.7503630000000003E-2</v>
      </c>
      <c r="W7109">
        <v>0.18017469999999999</v>
      </c>
      <c r="X7109">
        <v>0.9829194</v>
      </c>
      <c r="Y7109">
        <v>6.8100319999999997E-3</v>
      </c>
      <c r="Z7109">
        <v>-8.3000290000000004E-2</v>
      </c>
      <c r="AA7109">
        <v>0.99652620000000003</v>
      </c>
      <c r="AB7109">
        <v>37</v>
      </c>
      <c r="AC7109">
        <v>1.24000000000137E-2</v>
      </c>
      <c r="AD7109">
        <v>-8.2883999999999902E-2</v>
      </c>
      <c r="AE7109">
        <v>0.43070000000000103</v>
      </c>
      <c r="AF7109">
        <v>6.5451560992243803E-3</v>
      </c>
      <c r="AG7109">
        <v>-8.2883999999999902E-2</v>
      </c>
      <c r="AH7109">
        <v>0.41545220436501201</v>
      </c>
      <c r="AI7109">
        <v>101.281190253855</v>
      </c>
      <c r="AJ7109">
        <v>89.097420122253993</v>
      </c>
      <c r="AK7109">
        <v>0.42368989914336003</v>
      </c>
      <c r="AL7109">
        <v>79.620064207827895</v>
      </c>
      <c r="AM7109">
        <v>87.814919653997904</v>
      </c>
      <c r="AN7109">
        <v>0.99999999583981303</v>
      </c>
    </row>
    <row r="7110" spans="1:40" x14ac:dyDescent="0.25">
      <c r="A7110" t="str">
        <f>"20190312172546262"</f>
        <v>20190312172546262</v>
      </c>
      <c r="B7110" t="str">
        <f>"1552382746257166"</f>
        <v>1552382746257166</v>
      </c>
      <c r="C7110" t="s">
        <v>40</v>
      </c>
      <c r="D7110">
        <v>3.73516</v>
      </c>
      <c r="E7110">
        <v>0.48955559999999998</v>
      </c>
      <c r="F7110" t="s">
        <v>43</v>
      </c>
      <c r="G7110">
        <v>-187.4589</v>
      </c>
      <c r="H7110" s="1">
        <v>-2.7685799999999999E-6</v>
      </c>
      <c r="I7110">
        <v>35.035690000000002</v>
      </c>
      <c r="J7110">
        <v>-187.66380000000001</v>
      </c>
      <c r="K7110">
        <v>1.1087819999999999</v>
      </c>
      <c r="L7110">
        <v>20.33081</v>
      </c>
      <c r="M7110">
        <v>1.324911E-2</v>
      </c>
      <c r="N7110">
        <v>0</v>
      </c>
      <c r="O7110">
        <v>0.99989749999999999</v>
      </c>
      <c r="P7110">
        <v>4.9162820000000003E-2</v>
      </c>
      <c r="Q7110">
        <v>0.17628959999999999</v>
      </c>
      <c r="R7110">
        <v>0.98310980000000003</v>
      </c>
      <c r="S7110">
        <v>4.3014530000000002E-2</v>
      </c>
      <c r="T7110">
        <v>-0.22731199999999999</v>
      </c>
      <c r="U7110">
        <v>3.089264</v>
      </c>
      <c r="V7110">
        <v>3.6279480000000003E-2</v>
      </c>
      <c r="W7110">
        <v>0.181584</v>
      </c>
      <c r="X7110">
        <v>0.98270599999999997</v>
      </c>
      <c r="Y7110">
        <v>6.3575640000000004E-4</v>
      </c>
      <c r="Z7110">
        <v>-7.3369699999999996E-2</v>
      </c>
      <c r="AA7110">
        <v>0.99730459999999999</v>
      </c>
      <c r="AB7110">
        <v>37</v>
      </c>
      <c r="AC7110">
        <v>0.20490000000000899</v>
      </c>
      <c r="AD7110">
        <v>-1.1087847685800001</v>
      </c>
      <c r="AE7110">
        <v>14.704879999999999</v>
      </c>
      <c r="AF7110">
        <v>9.9957529248485503E-3</v>
      </c>
      <c r="AG7110">
        <v>-1.1087847685800001</v>
      </c>
      <c r="AH7110">
        <v>14.6231795514626</v>
      </c>
      <c r="AI7110">
        <v>94.336084608482096</v>
      </c>
      <c r="AJ7110">
        <v>89.960835168272794</v>
      </c>
      <c r="AK7110">
        <v>14.665158838977</v>
      </c>
      <c r="AL7110">
        <v>79.537963236930693</v>
      </c>
      <c r="AM7110">
        <v>87.885718109989895</v>
      </c>
      <c r="AN7110">
        <v>1.00000001608053</v>
      </c>
    </row>
    <row r="7111" spans="1:40" x14ac:dyDescent="0.25">
      <c r="A7111" t="str">
        <f>"20190312172546284"</f>
        <v>20190312172546284</v>
      </c>
      <c r="B7111" t="str">
        <f>"1552382746277662"</f>
        <v>1552382746277662</v>
      </c>
      <c r="C7111" t="s">
        <v>40</v>
      </c>
      <c r="D7111">
        <v>3.7309869999999998</v>
      </c>
      <c r="E7111">
        <v>0.48928850000000002</v>
      </c>
      <c r="F7111" t="s">
        <v>43</v>
      </c>
      <c r="G7111">
        <v>-187.483</v>
      </c>
      <c r="H7111" s="1">
        <v>-3.4025780000000001E-6</v>
      </c>
      <c r="I7111">
        <v>36.523530000000001</v>
      </c>
      <c r="J7111">
        <v>-187.65860000000001</v>
      </c>
      <c r="K7111">
        <v>1.1088290000000001</v>
      </c>
      <c r="L7111">
        <v>20.701229999999999</v>
      </c>
      <c r="M7111">
        <v>1.345171E-2</v>
      </c>
      <c r="N7111">
        <v>0</v>
      </c>
      <c r="O7111">
        <v>0.99989399999999995</v>
      </c>
      <c r="P7111">
        <v>4.885055E-2</v>
      </c>
      <c r="Q7111">
        <v>0.17710689999999901</v>
      </c>
      <c r="R7111">
        <v>0.98297849999999998</v>
      </c>
      <c r="S7111">
        <v>3.4469600000000003E-2</v>
      </c>
      <c r="T7111">
        <v>-0.2114309</v>
      </c>
      <c r="U7111">
        <v>3.0877379999999999</v>
      </c>
      <c r="V7111">
        <v>3.5759730000000003E-2</v>
      </c>
      <c r="W7111">
        <v>0.18256069999999999</v>
      </c>
      <c r="X7111">
        <v>0.98254410000000003</v>
      </c>
      <c r="Y7111">
        <v>-2.315475E-3</v>
      </c>
      <c r="Z7111">
        <v>-6.8302929999999998E-2</v>
      </c>
      <c r="AA7111">
        <v>0.99766189999999999</v>
      </c>
      <c r="AB7111">
        <v>37</v>
      </c>
      <c r="AC7111">
        <v>0.175600000000002</v>
      </c>
      <c r="AD7111">
        <v>-1.1088324025780001</v>
      </c>
      <c r="AE7111">
        <v>15.8223</v>
      </c>
      <c r="AF7111">
        <v>-3.7074124858154603E-2</v>
      </c>
      <c r="AG7111">
        <v>-1.1088324025780001</v>
      </c>
      <c r="AH7111">
        <v>15.745907873708999</v>
      </c>
      <c r="AI7111">
        <v>94.028128165962499</v>
      </c>
      <c r="AJ7111">
        <v>90.134904063659604</v>
      </c>
      <c r="AK7111">
        <v>15.7849453136548</v>
      </c>
      <c r="AL7111">
        <v>79.481051402800205</v>
      </c>
      <c r="AM7111">
        <v>87.915637908650297</v>
      </c>
      <c r="AN7111">
        <v>1.00000003795948</v>
      </c>
    </row>
    <row r="7112" spans="1:40" x14ac:dyDescent="0.25">
      <c r="A7112" t="str">
        <f>"20190312172546306"</f>
        <v>20190312172546306</v>
      </c>
      <c r="B7112" t="str">
        <f>"1552382746297182"</f>
        <v>1552382746297182</v>
      </c>
      <c r="C7112" t="s">
        <v>40</v>
      </c>
      <c r="D7112">
        <v>3.7271619999999999</v>
      </c>
      <c r="E7112">
        <v>0.48909350000000001</v>
      </c>
      <c r="F7112" t="s">
        <v>41</v>
      </c>
      <c r="G7112">
        <v>-187.64830000000001</v>
      </c>
      <c r="H7112">
        <v>1.04077</v>
      </c>
      <c r="I7112">
        <v>21.72785</v>
      </c>
      <c r="J7112">
        <v>-187.6533</v>
      </c>
      <c r="K7112">
        <v>1.108881</v>
      </c>
      <c r="L7112">
        <v>21.083649999999999</v>
      </c>
      <c r="M7112">
        <v>1.3643539999999999E-2</v>
      </c>
      <c r="N7112">
        <v>0</v>
      </c>
      <c r="O7112">
        <v>0.99989039999999996</v>
      </c>
      <c r="P7112">
        <v>4.8577540000000002E-2</v>
      </c>
      <c r="Q7112">
        <v>0.17719789999999999</v>
      </c>
      <c r="R7112">
        <v>0.98297570000000001</v>
      </c>
      <c r="S7112">
        <v>3.0960080000000001E-2</v>
      </c>
      <c r="T7112">
        <v>-0.2046663</v>
      </c>
      <c r="U7112">
        <v>3.0872799999999998</v>
      </c>
      <c r="V7112">
        <v>3.5288090000000001E-2</v>
      </c>
      <c r="W7112">
        <v>0.18283070000000001</v>
      </c>
      <c r="X7112">
        <v>0.98251089999999996</v>
      </c>
      <c r="Y7112">
        <v>-3.6382039999999999E-3</v>
      </c>
      <c r="Z7112">
        <v>-6.6137109999999999E-2</v>
      </c>
      <c r="AA7112">
        <v>0.99780389999999997</v>
      </c>
      <c r="AB7112">
        <v>37</v>
      </c>
      <c r="AC7112">
        <v>4.9999999999954499E-3</v>
      </c>
      <c r="AD7112">
        <v>-6.8111000000000005E-2</v>
      </c>
      <c r="AE7112">
        <v>0.64420000000000099</v>
      </c>
      <c r="AF7112">
        <v>-3.7478849505278699E-3</v>
      </c>
      <c r="AG7112">
        <v>-6.8111000000000005E-2</v>
      </c>
      <c r="AH7112">
        <v>0.63708685352499395</v>
      </c>
      <c r="AI7112">
        <v>96.102212090206294</v>
      </c>
      <c r="AJ7112">
        <v>90.337058458229095</v>
      </c>
      <c r="AK7112">
        <v>0.64072834641287701</v>
      </c>
      <c r="AL7112">
        <v>79.465316224223599</v>
      </c>
      <c r="AM7112">
        <v>87.943035630979395</v>
      </c>
      <c r="AN7112">
        <v>0.99999999138857398</v>
      </c>
    </row>
    <row r="7113" spans="1:40" x14ac:dyDescent="0.25">
      <c r="A7113" t="str">
        <f>"20190312172546331"</f>
        <v>20190312172546331</v>
      </c>
      <c r="B7113" t="str">
        <f>"1552382746327437"</f>
        <v>1552382746327437</v>
      </c>
      <c r="C7113" t="s">
        <v>40</v>
      </c>
      <c r="D7113">
        <v>3.8043079999999998</v>
      </c>
      <c r="E7113">
        <v>0.48868790000000001</v>
      </c>
      <c r="F7113" t="s">
        <v>41</v>
      </c>
      <c r="G7113">
        <v>-187.64400000000001</v>
      </c>
      <c r="H7113">
        <v>1.0444880000000001</v>
      </c>
      <c r="I7113">
        <v>22.068370000000002</v>
      </c>
      <c r="J7113">
        <v>-187.64779999999999</v>
      </c>
      <c r="K7113">
        <v>1.108924</v>
      </c>
      <c r="L7113">
        <v>21.47437</v>
      </c>
      <c r="M7113">
        <v>1.382516E-2</v>
      </c>
      <c r="N7113">
        <v>0</v>
      </c>
      <c r="O7113">
        <v>0.99988679999999996</v>
      </c>
      <c r="P7113">
        <v>4.8260039999999997E-2</v>
      </c>
      <c r="Q7113">
        <v>0.17601989999999901</v>
      </c>
      <c r="R7113">
        <v>0.98320289999999999</v>
      </c>
      <c r="S7113">
        <v>2.8564450000000002E-2</v>
      </c>
      <c r="T7113">
        <v>-0.20186209999999999</v>
      </c>
      <c r="U7113">
        <v>3.0869450000000001</v>
      </c>
      <c r="V7113">
        <v>3.4777629999999997E-2</v>
      </c>
      <c r="W7113">
        <v>0.18184330000000001</v>
      </c>
      <c r="X7113">
        <v>0.98271229999999998</v>
      </c>
      <c r="Y7113">
        <v>-4.5924989999999999E-3</v>
      </c>
      <c r="Z7113">
        <v>-6.5241740000000006E-2</v>
      </c>
      <c r="AA7113">
        <v>0.99785889999999999</v>
      </c>
      <c r="AB7113">
        <v>37</v>
      </c>
      <c r="AC7113">
        <v>3.7999999999840301E-3</v>
      </c>
      <c r="AD7113">
        <v>-6.4436000000000104E-2</v>
      </c>
      <c r="AE7113">
        <v>0.59400000000000097</v>
      </c>
      <c r="AF7113">
        <v>-4.3613330858701697E-3</v>
      </c>
      <c r="AG7113">
        <v>-6.4436000000000104E-2</v>
      </c>
      <c r="AH7113">
        <v>0.58708749456714104</v>
      </c>
      <c r="AI7113">
        <v>96.263277475759494</v>
      </c>
      <c r="AJ7113">
        <v>90.425628862066006</v>
      </c>
      <c r="AK7113">
        <v>0.59062911001694596</v>
      </c>
      <c r="AL7113">
        <v>79.522854389652096</v>
      </c>
      <c r="AM7113">
        <v>87.9731807689178</v>
      </c>
      <c r="AN7113">
        <v>0.99999996693729698</v>
      </c>
    </row>
    <row r="7114" spans="1:40" x14ac:dyDescent="0.25">
      <c r="A7114" t="str">
        <f>"20190312172546350"</f>
        <v>20190312172546350</v>
      </c>
      <c r="B7114" t="str">
        <f>"1552382746346958"</f>
        <v>1552382746346958</v>
      </c>
      <c r="C7114" t="s">
        <v>40</v>
      </c>
      <c r="D7114">
        <v>3.7106910000000002</v>
      </c>
      <c r="E7114">
        <v>0.48849169999999997</v>
      </c>
      <c r="F7114" t="s">
        <v>43</v>
      </c>
      <c r="G7114">
        <v>-187.51320000000001</v>
      </c>
      <c r="H7114" s="1">
        <v>-4.0852089999999999E-6</v>
      </c>
      <c r="I7114">
        <v>38.12724</v>
      </c>
      <c r="J7114">
        <v>-187.643</v>
      </c>
      <c r="K7114">
        <v>1.108967</v>
      </c>
      <c r="L7114">
        <v>21.81082</v>
      </c>
      <c r="M7114">
        <v>1.396273E-2</v>
      </c>
      <c r="N7114">
        <v>0</v>
      </c>
      <c r="O7114">
        <v>0.99988379999999999</v>
      </c>
      <c r="P7114">
        <v>4.83677E-2</v>
      </c>
      <c r="Q7114">
        <v>0.1755206</v>
      </c>
      <c r="R7114">
        <v>0.98328689999999996</v>
      </c>
      <c r="S7114">
        <v>2.4948120000000001E-2</v>
      </c>
      <c r="T7114">
        <v>-0.20555399999999999</v>
      </c>
      <c r="U7114">
        <v>3.0868229999999999</v>
      </c>
      <c r="V7114">
        <v>3.4737740000000003E-2</v>
      </c>
      <c r="W7114">
        <v>0.1815155</v>
      </c>
      <c r="X7114">
        <v>0.98277429999999999</v>
      </c>
      <c r="Y7114">
        <v>-5.8993070000000003E-3</v>
      </c>
      <c r="Z7114">
        <v>-6.6432290000000005E-2</v>
      </c>
      <c r="AA7114">
        <v>0.99777349999999998</v>
      </c>
      <c r="AB7114">
        <v>37</v>
      </c>
      <c r="AC7114">
        <v>0.12979999999998801</v>
      </c>
      <c r="AD7114">
        <v>-1.108971085209</v>
      </c>
      <c r="AE7114">
        <v>16.316420000000001</v>
      </c>
      <c r="AF7114">
        <v>-9.75879101492792E-2</v>
      </c>
      <c r="AG7114">
        <v>-1.108971085209</v>
      </c>
      <c r="AH7114">
        <v>16.2416190797952</v>
      </c>
      <c r="AI7114">
        <v>93.905999385000101</v>
      </c>
      <c r="AJ7114">
        <v>90.344258049034494</v>
      </c>
      <c r="AK7114">
        <v>16.2797275960381</v>
      </c>
      <c r="AL7114">
        <v>79.541953687502996</v>
      </c>
      <c r="AM7114">
        <v>87.975631210927304</v>
      </c>
      <c r="AN7114">
        <v>0.99999995603052205</v>
      </c>
    </row>
    <row r="7115" spans="1:40" x14ac:dyDescent="0.25">
      <c r="A7115" t="str">
        <f>"20190312172546372"</f>
        <v>20190312172546372</v>
      </c>
      <c r="B7115" t="str">
        <f>"1552382746367454"</f>
        <v>1552382746367454</v>
      </c>
      <c r="C7115" t="s">
        <v>40</v>
      </c>
      <c r="D7115">
        <v>3.7314219999999998</v>
      </c>
      <c r="E7115">
        <v>0.4883711</v>
      </c>
      <c r="F7115" t="s">
        <v>43</v>
      </c>
      <c r="G7115">
        <v>-187.5145</v>
      </c>
      <c r="H7115" s="1">
        <v>-4.2769910000000003E-6</v>
      </c>
      <c r="I7115">
        <v>38.574840000000002</v>
      </c>
      <c r="J7115">
        <v>-187.6377</v>
      </c>
      <c r="K7115">
        <v>1.109024</v>
      </c>
      <c r="L7115">
        <v>22.178989999999999</v>
      </c>
      <c r="M7115">
        <v>1.4083170000000001E-2</v>
      </c>
      <c r="N7115">
        <v>0</v>
      </c>
      <c r="O7115">
        <v>0.99988089999999996</v>
      </c>
      <c r="P7115">
        <v>4.9289520000000003E-2</v>
      </c>
      <c r="Q7115">
        <v>0.17500979999999999</v>
      </c>
      <c r="R7115">
        <v>0.98333219999999999</v>
      </c>
      <c r="S7115">
        <v>2.3651120000000001E-2</v>
      </c>
      <c r="T7115">
        <v>-0.20416280000000001</v>
      </c>
      <c r="U7115">
        <v>3.0862729999999998</v>
      </c>
      <c r="V7115">
        <v>3.5525470000000003E-2</v>
      </c>
      <c r="W7115">
        <v>0.18120700000000001</v>
      </c>
      <c r="X7115">
        <v>0.98280310000000004</v>
      </c>
      <c r="Y7115">
        <v>-6.4374039999999999E-3</v>
      </c>
      <c r="Z7115">
        <v>-6.5996180000000002E-2</v>
      </c>
      <c r="AA7115">
        <v>0.99779910000000005</v>
      </c>
      <c r="AB7115">
        <v>37</v>
      </c>
      <c r="AC7115">
        <v>0.12319999999999701</v>
      </c>
      <c r="AD7115">
        <v>-1.109028276991</v>
      </c>
      <c r="AE7115">
        <v>16.395849999999999</v>
      </c>
      <c r="AF7115">
        <v>-0.107231775016708</v>
      </c>
      <c r="AG7115">
        <v>-1.109028276991</v>
      </c>
      <c r="AH7115">
        <v>16.321288797976301</v>
      </c>
      <c r="AI7115">
        <v>93.887177632812495</v>
      </c>
      <c r="AJ7115">
        <v>90.376431041341903</v>
      </c>
      <c r="AK7115">
        <v>16.359275974189199</v>
      </c>
      <c r="AL7115">
        <v>79.559927806196001</v>
      </c>
      <c r="AM7115">
        <v>87.929825748414999</v>
      </c>
      <c r="AN7115">
        <v>0.99999998461866502</v>
      </c>
    </row>
    <row r="7116" spans="1:40" x14ac:dyDescent="0.25">
      <c r="A7116" t="str">
        <f>"20190312172546395"</f>
        <v>20190312172546395</v>
      </c>
      <c r="B7116" t="str">
        <f>"1552382746386974"</f>
        <v>1552382746386974</v>
      </c>
      <c r="C7116" t="s">
        <v>40</v>
      </c>
      <c r="D7116">
        <v>3.7202280000000001</v>
      </c>
      <c r="E7116">
        <v>0.48827979999999999</v>
      </c>
      <c r="F7116" t="s">
        <v>43</v>
      </c>
      <c r="G7116">
        <v>-187.50630000000001</v>
      </c>
      <c r="H7116" s="1">
        <v>-4.4704520000000002E-6</v>
      </c>
      <c r="I7116">
        <v>39.022399999999998</v>
      </c>
      <c r="J7116">
        <v>-187.63229999999999</v>
      </c>
      <c r="K7116">
        <v>1.109094</v>
      </c>
      <c r="L7116">
        <v>22.556000000000001</v>
      </c>
      <c r="M7116">
        <v>1.4171970000000001E-2</v>
      </c>
      <c r="N7116">
        <v>0</v>
      </c>
      <c r="O7116">
        <v>0.99987809999999999</v>
      </c>
      <c r="P7116">
        <v>4.9941529999999998E-2</v>
      </c>
      <c r="Q7116">
        <v>0.17453370000000001</v>
      </c>
      <c r="R7116">
        <v>0.98338380000000003</v>
      </c>
      <c r="S7116">
        <v>2.4078370000000002E-2</v>
      </c>
      <c r="T7116">
        <v>-0.20318079999999999</v>
      </c>
      <c r="U7116">
        <v>3.0858150000000002</v>
      </c>
      <c r="V7116">
        <v>3.6072369999999999E-2</v>
      </c>
      <c r="W7116">
        <v>0.1809608</v>
      </c>
      <c r="X7116">
        <v>0.98282860000000005</v>
      </c>
      <c r="Y7116">
        <v>-6.3867969999999996E-3</v>
      </c>
      <c r="Z7116">
        <v>-6.5689650000000002E-2</v>
      </c>
      <c r="AA7116">
        <v>0.99781969999999998</v>
      </c>
      <c r="AB7116">
        <v>37</v>
      </c>
      <c r="AC7116">
        <v>0.12599999999997599</v>
      </c>
      <c r="AD7116">
        <v>-1.1090984704519999</v>
      </c>
      <c r="AE7116">
        <v>16.4664</v>
      </c>
      <c r="AF7116">
        <v>-0.10689407058561</v>
      </c>
      <c r="AG7116">
        <v>-1.1090984704519999</v>
      </c>
      <c r="AH7116">
        <v>16.392169472038098</v>
      </c>
      <c r="AI7116">
        <v>93.870665915529699</v>
      </c>
      <c r="AJ7116">
        <v>90.373623045947198</v>
      </c>
      <c r="AK7116">
        <v>16.429995306131499</v>
      </c>
      <c r="AL7116">
        <v>79.574271761539705</v>
      </c>
      <c r="AM7116">
        <v>87.898039128396405</v>
      </c>
      <c r="AN7116">
        <v>1.000000041996</v>
      </c>
    </row>
    <row r="7117" spans="1:40" x14ac:dyDescent="0.25">
      <c r="A7117" t="str">
        <f>"20190312172546417"</f>
        <v>20190312172546417</v>
      </c>
      <c r="B7117" t="str">
        <f>"1552382746407473"</f>
        <v>1552382746407473</v>
      </c>
      <c r="C7117" t="s">
        <v>40</v>
      </c>
      <c r="D7117">
        <v>3.7818160000000001</v>
      </c>
      <c r="E7117">
        <v>0.48826130000000001</v>
      </c>
      <c r="F7117" t="s">
        <v>43</v>
      </c>
      <c r="G7117">
        <v>-187.49299999999999</v>
      </c>
      <c r="H7117" s="1">
        <v>-4.647532E-6</v>
      </c>
      <c r="I7117">
        <v>39.429690000000001</v>
      </c>
      <c r="J7117">
        <v>-187.62690000000001</v>
      </c>
      <c r="K7117">
        <v>1.1091740000000001</v>
      </c>
      <c r="L7117">
        <v>22.934360000000002</v>
      </c>
      <c r="M7117">
        <v>1.421383E-2</v>
      </c>
      <c r="N7117">
        <v>0</v>
      </c>
      <c r="O7117">
        <v>0.99987579999999998</v>
      </c>
      <c r="P7117">
        <v>5.0337140000000002E-2</v>
      </c>
      <c r="Q7117">
        <v>0.173826799999999</v>
      </c>
      <c r="R7117">
        <v>0.9834889</v>
      </c>
      <c r="S7117">
        <v>2.5466920000000001E-2</v>
      </c>
      <c r="T7117">
        <v>-0.20280100000000001</v>
      </c>
      <c r="U7117">
        <v>3.085388</v>
      </c>
      <c r="V7117">
        <v>3.6405739999999999E-2</v>
      </c>
      <c r="W7117">
        <v>0.18051059999999999</v>
      </c>
      <c r="X7117">
        <v>0.98289910000000003</v>
      </c>
      <c r="Y7117">
        <v>-5.9785189999999998E-3</v>
      </c>
      <c r="Z7117">
        <v>-6.5576339999999997E-2</v>
      </c>
      <c r="AA7117">
        <v>0.99782959999999998</v>
      </c>
      <c r="AB7117">
        <v>37</v>
      </c>
      <c r="AC7117">
        <v>0.13390000000001101</v>
      </c>
      <c r="AD7117">
        <v>-1.10917864753199</v>
      </c>
      <c r="AE7117">
        <v>16.495329999999999</v>
      </c>
      <c r="AF7117">
        <v>-0.100128080193065</v>
      </c>
      <c r="AG7117">
        <v>-1.10917864753199</v>
      </c>
      <c r="AH7117">
        <v>16.4213229598449</v>
      </c>
      <c r="AI7117">
        <v>93.864103753090802</v>
      </c>
      <c r="AJ7117">
        <v>90.349353418368395</v>
      </c>
      <c r="AK7117">
        <v>16.4590446459116</v>
      </c>
      <c r="AL7117">
        <v>79.600498285831407</v>
      </c>
      <c r="AM7117">
        <v>87.878783124447096</v>
      </c>
      <c r="AN7117">
        <v>1.00000004769905</v>
      </c>
    </row>
    <row r="7118" spans="1:40" x14ac:dyDescent="0.25">
      <c r="A7118" t="str">
        <f>"20190312172546439"</f>
        <v>20190312172546439</v>
      </c>
      <c r="B7118" t="str">
        <f>"1552382746437726"</f>
        <v>1552382746437726</v>
      </c>
      <c r="C7118" t="s">
        <v>40</v>
      </c>
      <c r="D7118">
        <v>3.676145</v>
      </c>
      <c r="E7118">
        <v>0.48829899999999998</v>
      </c>
      <c r="F7118" t="s">
        <v>43</v>
      </c>
      <c r="G7118">
        <v>-187.48320000000001</v>
      </c>
      <c r="H7118" s="1">
        <v>-4.6541050000000004E-6</v>
      </c>
      <c r="I7118">
        <v>39.440939999999998</v>
      </c>
      <c r="J7118">
        <v>-187.6217</v>
      </c>
      <c r="K7118">
        <v>1.109262</v>
      </c>
      <c r="L7118">
        <v>23.301850000000002</v>
      </c>
      <c r="M7118">
        <v>1.418503E-2</v>
      </c>
      <c r="N7118">
        <v>0</v>
      </c>
      <c r="O7118">
        <v>0.99987440000000005</v>
      </c>
      <c r="P7118">
        <v>5.0548559999999999E-2</v>
      </c>
      <c r="Q7118">
        <v>0.1736983</v>
      </c>
      <c r="R7118">
        <v>0.98350079999999995</v>
      </c>
      <c r="S7118">
        <v>2.6870729999999999E-2</v>
      </c>
      <c r="T7118">
        <v>-0.20734250000000001</v>
      </c>
      <c r="U7118">
        <v>3.0856319999999999</v>
      </c>
      <c r="V7118">
        <v>3.6621510000000003E-2</v>
      </c>
      <c r="W7118">
        <v>0.1806527</v>
      </c>
      <c r="X7118">
        <v>0.98286490000000004</v>
      </c>
      <c r="Y7118">
        <v>-5.4973030000000003E-3</v>
      </c>
      <c r="Z7118">
        <v>-6.7033049999999997E-2</v>
      </c>
      <c r="AA7118">
        <v>0.99773559999999994</v>
      </c>
      <c r="AB7118">
        <v>37</v>
      </c>
      <c r="AC7118">
        <v>0.13849999999999299</v>
      </c>
      <c r="AD7118">
        <v>-1.109266654105</v>
      </c>
      <c r="AE7118">
        <v>16.139089999999999</v>
      </c>
      <c r="AF7118">
        <v>-9.0027867199676398E-2</v>
      </c>
      <c r="AG7118">
        <v>-1.109266654105</v>
      </c>
      <c r="AH7118">
        <v>16.0635514813222</v>
      </c>
      <c r="AI7118">
        <v>93.950220349124393</v>
      </c>
      <c r="AJ7118">
        <v>90.321109738978706</v>
      </c>
      <c r="AK7118">
        <v>16.102057747998199</v>
      </c>
      <c r="AL7118">
        <v>79.592219675469494</v>
      </c>
      <c r="AM7118">
        <v>87.866148477591295</v>
      </c>
      <c r="AN7118">
        <v>0.99999997233198901</v>
      </c>
    </row>
    <row r="7119" spans="1:40" x14ac:dyDescent="0.25">
      <c r="A7119" t="str">
        <f>"20190312172546462"</f>
        <v>20190312172546462</v>
      </c>
      <c r="B7119" t="str">
        <f>"1552382746457246"</f>
        <v>1552382746457246</v>
      </c>
      <c r="C7119" t="s">
        <v>40</v>
      </c>
      <c r="D7119">
        <v>3.7724060000000001</v>
      </c>
      <c r="E7119">
        <v>0.48828579999999999</v>
      </c>
      <c r="F7119" t="s">
        <v>43</v>
      </c>
      <c r="G7119">
        <v>-187.47130000000001</v>
      </c>
      <c r="H7119" s="1">
        <v>-6.9069090000000003E-7</v>
      </c>
      <c r="I7119">
        <v>39.70055</v>
      </c>
      <c r="J7119">
        <v>-187.61660000000001</v>
      </c>
      <c r="K7119">
        <v>1.1093759999999999</v>
      </c>
      <c r="L7119">
        <v>23.668030000000002</v>
      </c>
      <c r="M7119">
        <v>1.407153E-2</v>
      </c>
      <c r="N7119">
        <v>0</v>
      </c>
      <c r="O7119">
        <v>0.99987389999999998</v>
      </c>
      <c r="P7119">
        <v>4.9882599999999999E-2</v>
      </c>
      <c r="Q7119">
        <v>0.1739637</v>
      </c>
      <c r="R7119">
        <v>0.98348780000000002</v>
      </c>
      <c r="S7119">
        <v>2.8305049999999998E-2</v>
      </c>
      <c r="T7119">
        <v>-0.20872869999999999</v>
      </c>
      <c r="U7119">
        <v>3.0857239999999999</v>
      </c>
      <c r="V7119">
        <v>3.6037779999999998E-2</v>
      </c>
      <c r="W7119">
        <v>0.18120330000000001</v>
      </c>
      <c r="X7119">
        <v>0.98278520000000003</v>
      </c>
      <c r="Y7119">
        <v>-4.9206110000000001E-3</v>
      </c>
      <c r="Z7119">
        <v>-6.7477270000000006E-2</v>
      </c>
      <c r="AA7119">
        <v>0.9977087</v>
      </c>
      <c r="AB7119">
        <v>37</v>
      </c>
      <c r="AC7119">
        <v>0.14529999999999099</v>
      </c>
      <c r="AD7119">
        <v>-1.1093766906908999</v>
      </c>
      <c r="AE7119">
        <v>16.032520000000002</v>
      </c>
      <c r="AF7119">
        <v>-7.9939863358805999E-2</v>
      </c>
      <c r="AG7119">
        <v>-1.1093766906908999</v>
      </c>
      <c r="AH7119">
        <v>15.9565832929403</v>
      </c>
      <c r="AI7119">
        <v>93.977022489408995</v>
      </c>
      <c r="AJ7119">
        <v>90.287040050054202</v>
      </c>
      <c r="AK7119">
        <v>15.995301104016299</v>
      </c>
      <c r="AL7119">
        <v>79.560144095583098</v>
      </c>
      <c r="AM7119">
        <v>87.899960254119094</v>
      </c>
      <c r="AN7119">
        <v>1.00000005342862</v>
      </c>
    </row>
    <row r="7120" spans="1:40" x14ac:dyDescent="0.25">
      <c r="A7120" t="str">
        <f>"20190312172546484"</f>
        <v>20190312172546484</v>
      </c>
      <c r="B7120" t="str">
        <f>"1552382746477742"</f>
        <v>1552382746477742</v>
      </c>
      <c r="C7120" t="s">
        <v>40</v>
      </c>
      <c r="D7120">
        <v>3.7056979999999999</v>
      </c>
      <c r="E7120">
        <v>0.48834300000000003</v>
      </c>
      <c r="F7120" t="s">
        <v>41</v>
      </c>
      <c r="G7120">
        <v>-187.60730000000001</v>
      </c>
      <c r="H7120">
        <v>1.0374620000000001</v>
      </c>
      <c r="I7120">
        <v>24.730409999999999</v>
      </c>
      <c r="J7120">
        <v>-187.6113</v>
      </c>
      <c r="K7120">
        <v>1.1095079999999999</v>
      </c>
      <c r="L7120">
        <v>24.05847</v>
      </c>
      <c r="M7120">
        <v>1.384611E-2</v>
      </c>
      <c r="N7120">
        <v>0</v>
      </c>
      <c r="O7120">
        <v>0.99987470000000001</v>
      </c>
      <c r="P7120">
        <v>4.878971E-2</v>
      </c>
      <c r="Q7120">
        <v>0.17438600000000001</v>
      </c>
      <c r="R7120">
        <v>0.98346789999999995</v>
      </c>
      <c r="S7120">
        <v>2.6596069999999999E-2</v>
      </c>
      <c r="T7120">
        <v>-0.20891899999999999</v>
      </c>
      <c r="U7120">
        <v>3.0859679999999998</v>
      </c>
      <c r="V7120">
        <v>3.5130399999999999E-2</v>
      </c>
      <c r="W7120">
        <v>0.1819403</v>
      </c>
      <c r="X7120">
        <v>0.98268180000000005</v>
      </c>
      <c r="Y7120">
        <v>-5.2484380000000002E-3</v>
      </c>
      <c r="Z7120">
        <v>-6.7533659999999995E-2</v>
      </c>
      <c r="AA7120">
        <v>0.99770320000000001</v>
      </c>
      <c r="AB7120">
        <v>37</v>
      </c>
      <c r="AC7120">
        <v>3.9999999999906699E-3</v>
      </c>
      <c r="AD7120">
        <v>-7.2045999999999805E-2</v>
      </c>
      <c r="AE7120">
        <v>0.67193999999999898</v>
      </c>
      <c r="AF7120">
        <v>-5.2441264820683297E-3</v>
      </c>
      <c r="AG7120">
        <v>-7.2045999999999805E-2</v>
      </c>
      <c r="AH7120">
        <v>0.66429430106439902</v>
      </c>
      <c r="AI7120">
        <v>96.189625556364803</v>
      </c>
      <c r="AJ7120">
        <v>90.452299640011503</v>
      </c>
      <c r="AK7120">
        <v>0.66821033021437104</v>
      </c>
      <c r="AL7120">
        <v>79.5172024366438</v>
      </c>
      <c r="AM7120">
        <v>87.952575464524898</v>
      </c>
      <c r="AN7120">
        <v>0.99999996890974396</v>
      </c>
    </row>
    <row r="7121" spans="1:40" x14ac:dyDescent="0.25">
      <c r="A7121" t="str">
        <f>"20190312172546508"</f>
        <v>20190312172546508</v>
      </c>
      <c r="B7121" t="str">
        <f>"1552382746497261"</f>
        <v>1552382746497261</v>
      </c>
      <c r="C7121" t="s">
        <v>40</v>
      </c>
      <c r="D7121">
        <v>3.761441</v>
      </c>
      <c r="E7121">
        <v>0.48832629999999999</v>
      </c>
      <c r="F7121" t="s">
        <v>41</v>
      </c>
      <c r="G7121">
        <v>-187.60329999999999</v>
      </c>
      <c r="H7121">
        <v>1.0413349999999999</v>
      </c>
      <c r="I7121">
        <v>25.069559999999999</v>
      </c>
      <c r="J7121">
        <v>-187.60599999999999</v>
      </c>
      <c r="K7121">
        <v>1.109634</v>
      </c>
      <c r="L7121">
        <v>24.46378</v>
      </c>
      <c r="M7121">
        <v>1.3524629999999999E-2</v>
      </c>
      <c r="N7121">
        <v>0</v>
      </c>
      <c r="O7121">
        <v>0.9998766</v>
      </c>
      <c r="P7121">
        <v>4.7300790000000002E-2</v>
      </c>
      <c r="Q7121">
        <v>0.17470160000000001</v>
      </c>
      <c r="R7121">
        <v>0.98348460000000004</v>
      </c>
      <c r="S7121">
        <v>2.4078370000000002E-2</v>
      </c>
      <c r="T7121">
        <v>-0.2081007</v>
      </c>
      <c r="U7121">
        <v>3.0861209999999999</v>
      </c>
      <c r="V7121">
        <v>3.3920699999999998E-2</v>
      </c>
      <c r="W7121">
        <v>0.18257570000000001</v>
      </c>
      <c r="X7121">
        <v>0.98260650000000005</v>
      </c>
      <c r="Y7121">
        <v>-5.7411329999999998E-3</v>
      </c>
      <c r="Z7121">
        <v>-6.7267599999999997E-2</v>
      </c>
      <c r="AA7121">
        <v>0.99771849999999995</v>
      </c>
      <c r="AB7121">
        <v>38</v>
      </c>
      <c r="AC7121">
        <v>2.7000000000043599E-3</v>
      </c>
      <c r="AD7121">
        <v>-6.8298999999999804E-2</v>
      </c>
      <c r="AE7121">
        <v>0.60577999999999899</v>
      </c>
      <c r="AF7121">
        <v>-5.4245064102828302E-3</v>
      </c>
      <c r="AG7121">
        <v>-6.8298999999999804E-2</v>
      </c>
      <c r="AH7121">
        <v>0.59815774171478797</v>
      </c>
      <c r="AI7121">
        <v>96.513684809337505</v>
      </c>
      <c r="AJ7121">
        <v>90.519583350312104</v>
      </c>
      <c r="AK7121">
        <v>0.60206881886054298</v>
      </c>
      <c r="AL7121">
        <v>79.480177051632396</v>
      </c>
      <c r="AM7121">
        <v>88.022869311875397</v>
      </c>
      <c r="AN7121">
        <v>1.00000001698061</v>
      </c>
    </row>
    <row r="7122" spans="1:40" x14ac:dyDescent="0.25">
      <c r="A7122" t="str">
        <f>"20190312172546530"</f>
        <v>20190312172546530</v>
      </c>
      <c r="B7122" t="str">
        <f>"1552382746527518"</f>
        <v>1552382746527518</v>
      </c>
      <c r="C7122" t="s">
        <v>40</v>
      </c>
      <c r="D7122">
        <v>3.6696409999999999</v>
      </c>
      <c r="E7122">
        <v>0.48837520000000001</v>
      </c>
      <c r="F7122" t="s">
        <v>43</v>
      </c>
      <c r="G7122">
        <v>-187.4974</v>
      </c>
      <c r="H7122" s="1">
        <v>-1.099958E-6</v>
      </c>
      <c r="I7122">
        <v>40.923650000000002</v>
      </c>
      <c r="J7122">
        <v>-187.60140000000001</v>
      </c>
      <c r="K7122">
        <v>1.1097410000000001</v>
      </c>
      <c r="L7122">
        <v>24.825199999999999</v>
      </c>
      <c r="M7122">
        <v>1.3167730000000001E-2</v>
      </c>
      <c r="N7122">
        <v>0</v>
      </c>
      <c r="O7122">
        <v>0.99987910000000002</v>
      </c>
      <c r="P7122">
        <v>4.5672780000000003E-2</v>
      </c>
      <c r="Q7122">
        <v>0.17537420000000001</v>
      </c>
      <c r="R7122">
        <v>0.98344189999999998</v>
      </c>
      <c r="S7122">
        <v>2.035522E-2</v>
      </c>
      <c r="T7122">
        <v>-0.2080659</v>
      </c>
      <c r="U7122">
        <v>3.0863649999999998</v>
      </c>
      <c r="V7122">
        <v>3.2613740000000002E-2</v>
      </c>
      <c r="W7122">
        <v>0.18352260000000001</v>
      </c>
      <c r="X7122">
        <v>0.98247430000000002</v>
      </c>
      <c r="Y7122">
        <v>-6.5883340000000004E-3</v>
      </c>
      <c r="Z7122">
        <v>-6.7251679999999994E-2</v>
      </c>
      <c r="AA7122">
        <v>0.99771430000000005</v>
      </c>
      <c r="AB7122">
        <v>38</v>
      </c>
      <c r="AC7122">
        <v>0.104000000000013</v>
      </c>
      <c r="AD7122">
        <v>-1.1097420999580001</v>
      </c>
      <c r="AE7122">
        <v>16.09845</v>
      </c>
      <c r="AF7122">
        <v>-0.107485560397469</v>
      </c>
      <c r="AG7122">
        <v>-1.1097420999580001</v>
      </c>
      <c r="AH7122">
        <v>16.022289022909099</v>
      </c>
      <c r="AI7122">
        <v>93.962026297954196</v>
      </c>
      <c r="AJ7122">
        <v>90.384363094300298</v>
      </c>
      <c r="AK7122">
        <v>16.061034406530201</v>
      </c>
      <c r="AL7122">
        <v>79.424990799963794</v>
      </c>
      <c r="AM7122">
        <v>88.098735269071199</v>
      </c>
      <c r="AN7122">
        <v>0.99999997545401798</v>
      </c>
    </row>
    <row r="7123" spans="1:40" x14ac:dyDescent="0.25">
      <c r="A7123" t="str">
        <f>"20190312172546551"</f>
        <v>20190312172546551</v>
      </c>
      <c r="B7123" t="str">
        <f>"1552382746547038"</f>
        <v>1552382746547038</v>
      </c>
      <c r="C7123" t="s">
        <v>40</v>
      </c>
      <c r="D7123">
        <v>3.6903359999999998</v>
      </c>
      <c r="E7123">
        <v>0.48840149999999999</v>
      </c>
      <c r="F7123" t="s">
        <v>43</v>
      </c>
      <c r="G7123">
        <v>-187.51060000000001</v>
      </c>
      <c r="H7123" s="1">
        <v>-1.290339E-6</v>
      </c>
      <c r="I7123">
        <v>41.493380000000002</v>
      </c>
      <c r="J7123">
        <v>-187.59700000000001</v>
      </c>
      <c r="K7123">
        <v>1.109836</v>
      </c>
      <c r="L7123">
        <v>25.183260000000001</v>
      </c>
      <c r="M7123">
        <v>1.2754420000000001E-2</v>
      </c>
      <c r="N7123">
        <v>0</v>
      </c>
      <c r="O7123">
        <v>0.9998823</v>
      </c>
      <c r="P7123">
        <v>4.471261E-2</v>
      </c>
      <c r="Q7123">
        <v>0.1758921</v>
      </c>
      <c r="R7123">
        <v>0.98339350000000003</v>
      </c>
      <c r="S7123">
        <v>1.6815190000000001E-2</v>
      </c>
      <c r="T7123">
        <v>-0.20548549999999999</v>
      </c>
      <c r="U7123">
        <v>3.0863649999999998</v>
      </c>
      <c r="V7123">
        <v>3.203346E-2</v>
      </c>
      <c r="W7123">
        <v>0.18430299999999999</v>
      </c>
      <c r="X7123">
        <v>0.98234730000000003</v>
      </c>
      <c r="Y7123">
        <v>-7.3190369999999996E-3</v>
      </c>
      <c r="Z7123">
        <v>-6.6421930000000004E-2</v>
      </c>
      <c r="AA7123">
        <v>0.99776480000000001</v>
      </c>
      <c r="AB7123">
        <v>38</v>
      </c>
      <c r="AC7123">
        <v>8.6399999999997507E-2</v>
      </c>
      <c r="AD7123">
        <v>-1.1098372903389999</v>
      </c>
      <c r="AE7123">
        <v>16.310120000000001</v>
      </c>
      <c r="AF7123">
        <v>-0.12108009717071801</v>
      </c>
      <c r="AG7123">
        <v>-1.1098372903389999</v>
      </c>
      <c r="AH7123">
        <v>16.234726534101199</v>
      </c>
      <c r="AI7123">
        <v>93.910657270330603</v>
      </c>
      <c r="AJ7123">
        <v>90.427309318352698</v>
      </c>
      <c r="AK7123">
        <v>16.273068083124599</v>
      </c>
      <c r="AL7123">
        <v>79.379501264171907</v>
      </c>
      <c r="AM7123">
        <v>88.132298095848597</v>
      </c>
      <c r="AN7123">
        <v>0.99999997809292995</v>
      </c>
    </row>
    <row r="7124" spans="1:40" x14ac:dyDescent="0.25">
      <c r="A7124" t="str">
        <f>"20190312172546573"</f>
        <v>20190312172546573</v>
      </c>
      <c r="B7124" t="str">
        <f>"1552382746567535"</f>
        <v>1552382746567535</v>
      </c>
      <c r="C7124" t="s">
        <v>40</v>
      </c>
      <c r="D7124">
        <v>3.6831559999999999</v>
      </c>
      <c r="E7124">
        <v>0.48848580000000003</v>
      </c>
      <c r="F7124" t="s">
        <v>43</v>
      </c>
      <c r="G7124">
        <v>-187.51679999999999</v>
      </c>
      <c r="H7124" s="1">
        <v>-1.4253210000000001E-6</v>
      </c>
      <c r="I7124">
        <v>41.8949</v>
      </c>
      <c r="J7124">
        <v>-187.59280000000001</v>
      </c>
      <c r="K7124">
        <v>1.1099159999999999</v>
      </c>
      <c r="L7124">
        <v>25.54767</v>
      </c>
      <c r="M7124">
        <v>1.228652E-2</v>
      </c>
      <c r="N7124">
        <v>0</v>
      </c>
      <c r="O7124">
        <v>0.99988589999999999</v>
      </c>
      <c r="P7124">
        <v>4.3963969999999998E-2</v>
      </c>
      <c r="Q7124">
        <v>0.17666279999999901</v>
      </c>
      <c r="R7124">
        <v>0.98328910000000003</v>
      </c>
      <c r="S7124">
        <v>1.4816279999999999E-2</v>
      </c>
      <c r="T7124">
        <v>-0.2049869</v>
      </c>
      <c r="U7124">
        <v>3.0866389999999999</v>
      </c>
      <c r="V7124">
        <v>3.1722149999999998E-2</v>
      </c>
      <c r="W7124">
        <v>0.18532879999999999</v>
      </c>
      <c r="X7124">
        <v>0.98216440000000005</v>
      </c>
      <c r="Y7124">
        <v>-7.4976879999999997E-3</v>
      </c>
      <c r="Z7124">
        <v>-6.6256270000000006E-2</v>
      </c>
      <c r="AA7124">
        <v>0.99777450000000001</v>
      </c>
      <c r="AB7124">
        <v>38</v>
      </c>
      <c r="AC7124">
        <v>7.60000000000218E-2</v>
      </c>
      <c r="AD7124">
        <v>-1.10991742532099</v>
      </c>
      <c r="AE7124">
        <v>16.34723</v>
      </c>
      <c r="AF7124">
        <v>-0.124291102425794</v>
      </c>
      <c r="AG7124">
        <v>-1.10991742532099</v>
      </c>
      <c r="AH7124">
        <v>16.271919236103798</v>
      </c>
      <c r="AI7124">
        <v>93.902021886078302</v>
      </c>
      <c r="AJ7124">
        <v>90.437638425031906</v>
      </c>
      <c r="AK7124">
        <v>16.310202959971399</v>
      </c>
      <c r="AL7124">
        <v>79.319697072264702</v>
      </c>
      <c r="AM7124">
        <v>88.150092080428095</v>
      </c>
      <c r="AN7124">
        <v>0.99999998376871102</v>
      </c>
    </row>
    <row r="7125" spans="1:40" x14ac:dyDescent="0.25">
      <c r="A7125" t="str">
        <f>"20190312172546596"</f>
        <v>20190312172546596</v>
      </c>
      <c r="B7125" t="str">
        <f>"1552382746587054"</f>
        <v>1552382746587054</v>
      </c>
      <c r="C7125" t="s">
        <v>40</v>
      </c>
      <c r="D7125">
        <v>3.734756</v>
      </c>
      <c r="E7125">
        <v>0.48858580000000001</v>
      </c>
      <c r="F7125" t="s">
        <v>43</v>
      </c>
      <c r="G7125">
        <v>-187.5198</v>
      </c>
      <c r="H7125" s="1">
        <v>-1.6523170000000001E-6</v>
      </c>
      <c r="I7125">
        <v>42.458840000000002</v>
      </c>
      <c r="J7125">
        <v>-187.58850000000001</v>
      </c>
      <c r="K7125">
        <v>1.109985</v>
      </c>
      <c r="L7125">
        <v>25.93787</v>
      </c>
      <c r="M7125">
        <v>1.174993E-2</v>
      </c>
      <c r="N7125">
        <v>0</v>
      </c>
      <c r="O7125">
        <v>0.99988999999999995</v>
      </c>
      <c r="P7125">
        <v>4.3035549999999999E-2</v>
      </c>
      <c r="Q7125">
        <v>0.1764877</v>
      </c>
      <c r="R7125">
        <v>0.98336159999999995</v>
      </c>
      <c r="S7125">
        <v>1.332092E-2</v>
      </c>
      <c r="T7125">
        <v>-0.2025931</v>
      </c>
      <c r="U7125">
        <v>3.086792</v>
      </c>
      <c r="V7125">
        <v>3.1300179999999997E-2</v>
      </c>
      <c r="W7125">
        <v>0.18541079999999999</v>
      </c>
      <c r="X7125">
        <v>0.98216250000000005</v>
      </c>
      <c r="Y7125">
        <v>-7.4444430000000002E-3</v>
      </c>
      <c r="Z7125">
        <v>-6.5483340000000001E-2</v>
      </c>
      <c r="AA7125">
        <v>0.99782590000000004</v>
      </c>
      <c r="AB7125">
        <v>38</v>
      </c>
      <c r="AC7125">
        <v>6.8700000000006797E-2</v>
      </c>
      <c r="AD7125">
        <v>-1.1099866523170001</v>
      </c>
      <c r="AE7125">
        <v>16.520969999999998</v>
      </c>
      <c r="AF7125">
        <v>-0.124869282389522</v>
      </c>
      <c r="AG7125">
        <v>-1.1099866523170001</v>
      </c>
      <c r="AH7125">
        <v>16.446398420974202</v>
      </c>
      <c r="AI7125">
        <v>93.860992767712006</v>
      </c>
      <c r="AJ7125">
        <v>90.435009855499104</v>
      </c>
      <c r="AK7125">
        <v>16.484285963529899</v>
      </c>
      <c r="AL7125">
        <v>79.314916360769004</v>
      </c>
      <c r="AM7125">
        <v>88.174679382702294</v>
      </c>
      <c r="AN7125">
        <v>1.0000000212154601</v>
      </c>
    </row>
    <row r="7126" spans="1:40" x14ac:dyDescent="0.25">
      <c r="A7126" t="str">
        <f>"20190312172546618"</f>
        <v>20190312172546618</v>
      </c>
      <c r="B7126" t="str">
        <f>"1552382746607552"</f>
        <v>1552382746607552</v>
      </c>
      <c r="C7126" t="s">
        <v>40</v>
      </c>
      <c r="D7126">
        <v>3.6789749999999999</v>
      </c>
      <c r="E7126">
        <v>0.48868539999999999</v>
      </c>
      <c r="F7126" t="s">
        <v>43</v>
      </c>
      <c r="G7126">
        <v>-187.52350000000001</v>
      </c>
      <c r="H7126" s="1">
        <v>-1.762175E-6</v>
      </c>
      <c r="I7126">
        <v>42.716459999999998</v>
      </c>
      <c r="J7126">
        <v>-187.58449999999999</v>
      </c>
      <c r="K7126">
        <v>1.1100399999999999</v>
      </c>
      <c r="L7126">
        <v>26.307770000000001</v>
      </c>
      <c r="M7126">
        <v>1.122066E-2</v>
      </c>
      <c r="N7126">
        <v>0</v>
      </c>
      <c r="O7126">
        <v>0.99989399999999995</v>
      </c>
      <c r="P7126">
        <v>4.1933159999999997E-2</v>
      </c>
      <c r="Q7126">
        <v>0.1756009</v>
      </c>
      <c r="R7126">
        <v>0.983568</v>
      </c>
      <c r="S7126">
        <v>1.1947630000000001E-2</v>
      </c>
      <c r="T7126">
        <v>-0.2042127</v>
      </c>
      <c r="U7126">
        <v>3.086884</v>
      </c>
      <c r="V7126">
        <v>3.0701530000000001E-2</v>
      </c>
      <c r="W7126">
        <v>0.1847529</v>
      </c>
      <c r="X7126">
        <v>0.98230530000000005</v>
      </c>
      <c r="Y7126">
        <v>-7.3593180000000001E-3</v>
      </c>
      <c r="Z7126">
        <v>-6.6003320000000004E-2</v>
      </c>
      <c r="AA7126">
        <v>0.99779220000000002</v>
      </c>
      <c r="AB7126">
        <v>38</v>
      </c>
      <c r="AC7126">
        <v>6.0999999999978599E-2</v>
      </c>
      <c r="AD7126">
        <v>-1.1100417621749901</v>
      </c>
      <c r="AE7126">
        <v>16.408689999999901</v>
      </c>
      <c r="AF7126">
        <v>-0.122567179901449</v>
      </c>
      <c r="AG7126">
        <v>-1.1100417621749901</v>
      </c>
      <c r="AH7126">
        <v>16.333592219388098</v>
      </c>
      <c r="AI7126">
        <v>93.887771825129093</v>
      </c>
      <c r="AJ7126">
        <v>90.429939122491007</v>
      </c>
      <c r="AK7126">
        <v>16.3717271604622</v>
      </c>
      <c r="AL7126">
        <v>79.353273296884097</v>
      </c>
      <c r="AM7126">
        <v>88.209827791562006</v>
      </c>
      <c r="AN7126">
        <v>0.99999996020541904</v>
      </c>
    </row>
    <row r="7127" spans="1:40" x14ac:dyDescent="0.25">
      <c r="A7127" t="str">
        <f>"20190312172546640"</f>
        <v>20190312172546640</v>
      </c>
      <c r="B7127" t="str">
        <f>"1552382746637806"</f>
        <v>1552382746637806</v>
      </c>
      <c r="C7127" t="s">
        <v>40</v>
      </c>
      <c r="D7127">
        <v>3.783525</v>
      </c>
      <c r="E7127">
        <v>0.4888731</v>
      </c>
      <c r="F7127" t="s">
        <v>43</v>
      </c>
      <c r="G7127">
        <v>-187.5318</v>
      </c>
      <c r="H7127" s="1">
        <v>-1.796412E-6</v>
      </c>
      <c r="I7127">
        <v>42.799689999999998</v>
      </c>
      <c r="J7127">
        <v>-187.58080000000001</v>
      </c>
      <c r="K7127">
        <v>1.1100810000000001</v>
      </c>
      <c r="L7127">
        <v>26.686769999999999</v>
      </c>
      <c r="M7127">
        <v>1.066724E-2</v>
      </c>
      <c r="N7127">
        <v>0</v>
      </c>
      <c r="O7127">
        <v>0.99989799999999995</v>
      </c>
      <c r="P7127">
        <v>4.1114020000000001E-2</v>
      </c>
      <c r="Q7127">
        <v>0.17492179999999999</v>
      </c>
      <c r="R7127">
        <v>0.98372349999999997</v>
      </c>
      <c r="S7127">
        <v>9.8724369999999995E-3</v>
      </c>
      <c r="T7127">
        <v>-0.20776639999999999</v>
      </c>
      <c r="U7127">
        <v>3.086792</v>
      </c>
      <c r="V7127">
        <v>3.041348E-2</v>
      </c>
      <c r="W7127">
        <v>0.1842945</v>
      </c>
      <c r="X7127">
        <v>0.98240039999999995</v>
      </c>
      <c r="Y7127">
        <v>-7.4768019999999899E-3</v>
      </c>
      <c r="Z7127">
        <v>-6.7149420000000001E-2</v>
      </c>
      <c r="AA7127">
        <v>0.99771489999999996</v>
      </c>
      <c r="AB7127">
        <v>38</v>
      </c>
      <c r="AC7127">
        <v>4.9000000000006497E-2</v>
      </c>
      <c r="AD7127">
        <v>-1.1100827964119999</v>
      </c>
      <c r="AE7127">
        <v>16.112919999999999</v>
      </c>
      <c r="AF7127">
        <v>-0.12231039930776599</v>
      </c>
      <c r="AG7127">
        <v>-1.1100827964119999</v>
      </c>
      <c r="AH7127">
        <v>16.036411711003598</v>
      </c>
      <c r="AI7127">
        <v>93.959733625106907</v>
      </c>
      <c r="AJ7127">
        <v>90.436988892226495</v>
      </c>
      <c r="AK7127">
        <v>16.075252539648702</v>
      </c>
      <c r="AL7127">
        <v>79.379996939252607</v>
      </c>
      <c r="AM7127">
        <v>88.226784453296403</v>
      </c>
      <c r="AN7127">
        <v>0.99999999420805996</v>
      </c>
    </row>
    <row r="7128" spans="1:40" x14ac:dyDescent="0.25">
      <c r="A7128" t="str">
        <f>"20190312172546663"</f>
        <v>20190312172546663</v>
      </c>
      <c r="B7128" t="str">
        <f>"1552382746657326"</f>
        <v>1552382746657326</v>
      </c>
      <c r="C7128" t="s">
        <v>40</v>
      </c>
      <c r="D7128">
        <v>3.6813400000000001</v>
      </c>
      <c r="E7128">
        <v>0.4889887</v>
      </c>
      <c r="F7128" t="s">
        <v>43</v>
      </c>
      <c r="G7128">
        <v>-187.536</v>
      </c>
      <c r="H7128" s="1">
        <v>-1.868806E-6</v>
      </c>
      <c r="I7128">
        <v>42.970190000000002</v>
      </c>
      <c r="J7128">
        <v>-187.57730000000001</v>
      </c>
      <c r="K7128">
        <v>1.110125</v>
      </c>
      <c r="L7128">
        <v>27.053280000000001</v>
      </c>
      <c r="M7128">
        <v>1.0127840000000001E-2</v>
      </c>
      <c r="N7128">
        <v>0</v>
      </c>
      <c r="O7128">
        <v>0.9999017</v>
      </c>
      <c r="P7128">
        <v>4.0795289999999998E-2</v>
      </c>
      <c r="Q7128">
        <v>0.17413580000000001</v>
      </c>
      <c r="R7128">
        <v>0.98387619999999998</v>
      </c>
      <c r="S7128">
        <v>8.4838869999999903E-3</v>
      </c>
      <c r="T7128">
        <v>-0.21042839999999999</v>
      </c>
      <c r="U7128">
        <v>3.0867</v>
      </c>
      <c r="V7128">
        <v>3.0615259999999998E-2</v>
      </c>
      <c r="W7128">
        <v>0.18371009999999999</v>
      </c>
      <c r="X7128">
        <v>0.98250360000000003</v>
      </c>
      <c r="Y7128">
        <v>-7.3862600000000004E-3</v>
      </c>
      <c r="Z7128">
        <v>-6.8008440000000003E-2</v>
      </c>
      <c r="AA7128">
        <v>0.99765740000000003</v>
      </c>
      <c r="AB7128">
        <v>38</v>
      </c>
      <c r="AC7128">
        <v>4.1300000000035197E-2</v>
      </c>
      <c r="AD7128">
        <v>-1.110126868806</v>
      </c>
      <c r="AE7128">
        <v>15.91691</v>
      </c>
      <c r="AF7128">
        <v>-0.119333136568366</v>
      </c>
      <c r="AG7128">
        <v>-1.110126868806</v>
      </c>
      <c r="AH7128">
        <v>15.839463191029999</v>
      </c>
      <c r="AI7128">
        <v>94.008971024823296</v>
      </c>
      <c r="AJ7128">
        <v>90.431653247480298</v>
      </c>
      <c r="AK7128">
        <v>15.8787662065515</v>
      </c>
      <c r="AL7128">
        <v>79.414062394453097</v>
      </c>
      <c r="AM7128">
        <v>88.215214905504595</v>
      </c>
      <c r="AN7128">
        <v>1.00000000949991</v>
      </c>
    </row>
    <row r="7129" spans="1:40" x14ac:dyDescent="0.25">
      <c r="A7129" t="str">
        <f>"20190312172546685"</f>
        <v>20190312172546685</v>
      </c>
      <c r="B7129" t="str">
        <f>"1552382746677823"</f>
        <v>1552382746677823</v>
      </c>
      <c r="C7129" t="s">
        <v>40</v>
      </c>
      <c r="D7129">
        <v>3.6745749999999999</v>
      </c>
      <c r="E7129">
        <v>0.48904900000000001</v>
      </c>
      <c r="F7129" t="s">
        <v>41</v>
      </c>
      <c r="G7129">
        <v>-187.5744</v>
      </c>
      <c r="H7129">
        <v>1.0379510000000001</v>
      </c>
      <c r="I7129">
        <v>28.09712</v>
      </c>
      <c r="J7129">
        <v>-187.57400000000001</v>
      </c>
      <c r="K7129">
        <v>1.11016</v>
      </c>
      <c r="L7129">
        <v>27.433039999999998</v>
      </c>
      <c r="M7129">
        <v>9.5683799999999996E-3</v>
      </c>
      <c r="N7129">
        <v>0</v>
      </c>
      <c r="O7129">
        <v>0.99990520000000005</v>
      </c>
      <c r="P7129">
        <v>4.1038419999999999E-2</v>
      </c>
      <c r="Q7129">
        <v>0.17378160000000001</v>
      </c>
      <c r="R7129">
        <v>0.98392869999999999</v>
      </c>
      <c r="S7129">
        <v>8.3160400000000002E-3</v>
      </c>
      <c r="T7129">
        <v>-0.21343400000000001</v>
      </c>
      <c r="U7129">
        <v>3.0866090000000002</v>
      </c>
      <c r="V7129">
        <v>3.140076E-2</v>
      </c>
      <c r="W7129">
        <v>0.1835521</v>
      </c>
      <c r="X7129">
        <v>0.9825083</v>
      </c>
      <c r="Y7129">
        <v>-6.8811330000000002E-3</v>
      </c>
      <c r="Z7129">
        <v>-6.8977990000000003E-2</v>
      </c>
      <c r="AA7129">
        <v>0.99759450000000005</v>
      </c>
      <c r="AB7129">
        <v>38</v>
      </c>
      <c r="AC7129">
        <v>-3.9999999998485599E-4</v>
      </c>
      <c r="AD7129">
        <v>-7.2208999999999898E-2</v>
      </c>
      <c r="AE7129">
        <v>0.66407999999999801</v>
      </c>
      <c r="AF7129">
        <v>-6.6755355689760701E-3</v>
      </c>
      <c r="AG7129">
        <v>-7.2208999999999898E-2</v>
      </c>
      <c r="AH7129">
        <v>0.65628624658002299</v>
      </c>
      <c r="AI7129">
        <v>96.278486939968303</v>
      </c>
      <c r="AJ7129">
        <v>90.582774400718506</v>
      </c>
      <c r="AK7129">
        <v>0.66028050092837598</v>
      </c>
      <c r="AL7129">
        <v>79.423271311405401</v>
      </c>
      <c r="AM7129">
        <v>88.169461941888102</v>
      </c>
      <c r="AN7129">
        <v>0.99999997035593802</v>
      </c>
    </row>
    <row r="7130" spans="1:40" x14ac:dyDescent="0.25">
      <c r="A7130" t="str">
        <f>"20190312172546710"</f>
        <v>20190312172546710</v>
      </c>
      <c r="B7130" t="str">
        <f>"1552382746697342"</f>
        <v>1552382746697342</v>
      </c>
      <c r="C7130" t="s">
        <v>40</v>
      </c>
      <c r="D7130">
        <v>3.6488160000000001</v>
      </c>
      <c r="E7130">
        <v>0.48911830000000001</v>
      </c>
      <c r="F7130" t="s">
        <v>41</v>
      </c>
      <c r="G7130">
        <v>-187.571</v>
      </c>
      <c r="H7130">
        <v>1.040278</v>
      </c>
      <c r="I7130">
        <v>28.43648</v>
      </c>
      <c r="J7130">
        <v>-187.57069999999999</v>
      </c>
      <c r="K7130">
        <v>1.110193</v>
      </c>
      <c r="L7130">
        <v>27.835419999999999</v>
      </c>
      <c r="M7130">
        <v>8.9767240000000002E-3</v>
      </c>
      <c r="N7130">
        <v>0</v>
      </c>
      <c r="O7130">
        <v>0.99990880000000004</v>
      </c>
      <c r="P7130">
        <v>4.0439740000000002E-2</v>
      </c>
      <c r="Q7130">
        <v>0.17388149999999999</v>
      </c>
      <c r="R7130">
        <v>0.98393589999999997</v>
      </c>
      <c r="S7130">
        <v>8.8958739999999998E-3</v>
      </c>
      <c r="T7130">
        <v>-0.21496779999999999</v>
      </c>
      <c r="U7130">
        <v>3.0866090000000002</v>
      </c>
      <c r="V7130">
        <v>3.1377330000000002E-2</v>
      </c>
      <c r="W7130">
        <v>0.1838418</v>
      </c>
      <c r="X7130">
        <v>0.98245490000000002</v>
      </c>
      <c r="Y7130">
        <v>-6.1021490000000003E-3</v>
      </c>
      <c r="Z7130">
        <v>-6.9472030000000004E-2</v>
      </c>
      <c r="AA7130">
        <v>0.99756520000000004</v>
      </c>
      <c r="AB7130">
        <v>38</v>
      </c>
      <c r="AC7130">
        <v>-3.0000000000995799E-4</v>
      </c>
      <c r="AD7130">
        <v>-6.9914999999999894E-2</v>
      </c>
      <c r="AE7130">
        <v>0.60105999999999604</v>
      </c>
      <c r="AF7130">
        <v>-5.6197755034337301E-3</v>
      </c>
      <c r="AG7130">
        <v>-6.9914999999999894E-2</v>
      </c>
      <c r="AH7130">
        <v>0.59300953532441303</v>
      </c>
      <c r="AI7130">
        <v>96.723753305824204</v>
      </c>
      <c r="AJ7130">
        <v>90.542958857205605</v>
      </c>
      <c r="AK7130">
        <v>0.59714319730478804</v>
      </c>
      <c r="AL7130">
        <v>79.406385556883194</v>
      </c>
      <c r="AM7130">
        <v>88.170727533781303</v>
      </c>
      <c r="AN7130">
        <v>0.99999998739958895</v>
      </c>
    </row>
    <row r="7131" spans="1:40" x14ac:dyDescent="0.25">
      <c r="A7131" t="str">
        <f>"20190312172546732"</f>
        <v>20190312172546732</v>
      </c>
      <c r="B7131" t="str">
        <f>"1552382746727598"</f>
        <v>1552382746727598</v>
      </c>
      <c r="C7131" t="s">
        <v>40</v>
      </c>
      <c r="D7131">
        <v>3.6780659999999998</v>
      </c>
      <c r="E7131">
        <v>0.48920340000000001</v>
      </c>
      <c r="F7131" t="s">
        <v>43</v>
      </c>
      <c r="G7131">
        <v>-187.53100000000001</v>
      </c>
      <c r="H7131" s="1">
        <v>-2.1920680000000001E-6</v>
      </c>
      <c r="I7131">
        <v>43.721640000000001</v>
      </c>
      <c r="J7131">
        <v>-187.56780000000001</v>
      </c>
      <c r="K7131">
        <v>1.110217</v>
      </c>
      <c r="L7131">
        <v>28.212769999999999</v>
      </c>
      <c r="M7131">
        <v>8.4230019999999902E-3</v>
      </c>
      <c r="N7131">
        <v>0</v>
      </c>
      <c r="O7131">
        <v>0.99991200000000002</v>
      </c>
      <c r="P7131">
        <v>4.0390820000000001E-2</v>
      </c>
      <c r="Q7131">
        <v>0.1737551</v>
      </c>
      <c r="R7131">
        <v>0.98396030000000001</v>
      </c>
      <c r="S7131">
        <v>7.7056879999999996E-3</v>
      </c>
      <c r="T7131">
        <v>-0.21571779999999999</v>
      </c>
      <c r="U7131">
        <v>3.086792</v>
      </c>
      <c r="V7131">
        <v>3.1868309999999997E-2</v>
      </c>
      <c r="W7131">
        <v>0.1838755</v>
      </c>
      <c r="X7131">
        <v>0.98243279999999999</v>
      </c>
      <c r="Y7131">
        <v>-5.9332450000000002E-3</v>
      </c>
      <c r="Z7131">
        <v>-6.9709690000000005E-2</v>
      </c>
      <c r="AA7131">
        <v>0.99754969999999998</v>
      </c>
      <c r="AB7131">
        <v>38</v>
      </c>
      <c r="AC7131">
        <v>3.6800000000027901E-2</v>
      </c>
      <c r="AD7131">
        <v>-1.110219192068</v>
      </c>
      <c r="AE7131">
        <v>15.5088699999999</v>
      </c>
      <c r="AF7131">
        <v>-9.3360978384375598E-2</v>
      </c>
      <c r="AG7131">
        <v>-1.110219192068</v>
      </c>
      <c r="AH7131">
        <v>15.4295603954111</v>
      </c>
      <c r="AI7131">
        <v>94.115494832307405</v>
      </c>
      <c r="AJ7131">
        <v>90.346680308151306</v>
      </c>
      <c r="AK7131">
        <v>15.469732929897701</v>
      </c>
      <c r="AL7131">
        <v>79.404421311449397</v>
      </c>
      <c r="AM7131">
        <v>88.142081946351993</v>
      </c>
      <c r="AN7131">
        <v>0.99999999759917302</v>
      </c>
    </row>
    <row r="7132" spans="1:40" x14ac:dyDescent="0.25">
      <c r="A7132" t="str">
        <f>"20190312172546753"</f>
        <v>20190312172546753</v>
      </c>
      <c r="B7132" t="str">
        <f>"1552382746747119"</f>
        <v>1552382746747119</v>
      </c>
      <c r="C7132" t="s">
        <v>40</v>
      </c>
      <c r="D7132">
        <v>3.6774209999999998</v>
      </c>
      <c r="E7132">
        <v>0.48930430000000003</v>
      </c>
      <c r="F7132" t="s">
        <v>43</v>
      </c>
      <c r="G7132">
        <v>-187.52529999999999</v>
      </c>
      <c r="H7132" s="1">
        <v>-2.326503E-6</v>
      </c>
      <c r="I7132">
        <v>44.032670000000003</v>
      </c>
      <c r="J7132">
        <v>-187.5651</v>
      </c>
      <c r="K7132">
        <v>1.1102430000000001</v>
      </c>
      <c r="L7132">
        <v>28.5885</v>
      </c>
      <c r="M7132">
        <v>7.8720579999999995E-3</v>
      </c>
      <c r="N7132">
        <v>0</v>
      </c>
      <c r="O7132">
        <v>0.99991490000000005</v>
      </c>
      <c r="P7132">
        <v>4.036505E-2</v>
      </c>
      <c r="Q7132">
        <v>0.1735582</v>
      </c>
      <c r="R7132">
        <v>0.98399599999999998</v>
      </c>
      <c r="S7132">
        <v>8.285522E-3</v>
      </c>
      <c r="T7132">
        <v>-0.21662909999999999</v>
      </c>
      <c r="U7132">
        <v>3.0868229999999999</v>
      </c>
      <c r="V7132">
        <v>3.2380989999999998E-2</v>
      </c>
      <c r="W7132">
        <v>0.18382299999999999</v>
      </c>
      <c r="X7132">
        <v>0.98242589999999996</v>
      </c>
      <c r="Y7132">
        <v>-5.1949739999999998E-3</v>
      </c>
      <c r="Z7132">
        <v>-7.0002659999999994E-2</v>
      </c>
      <c r="AA7132">
        <v>0.99753329999999996</v>
      </c>
      <c r="AB7132">
        <v>38</v>
      </c>
      <c r="AC7132">
        <v>3.9800000000013797E-2</v>
      </c>
      <c r="AD7132">
        <v>-1.1102453265029999</v>
      </c>
      <c r="AE7132">
        <v>15.44417</v>
      </c>
      <c r="AF7132">
        <v>-8.1364737776066703E-2</v>
      </c>
      <c r="AG7132">
        <v>-1.1102453265029999</v>
      </c>
      <c r="AH7132">
        <v>15.3646035027989</v>
      </c>
      <c r="AI7132">
        <v>94.132948330839099</v>
      </c>
      <c r="AJ7132">
        <v>90.303412482960297</v>
      </c>
      <c r="AK7132">
        <v>15.404879282350599</v>
      </c>
      <c r="AL7132">
        <v>79.407481918441306</v>
      </c>
      <c r="AM7132">
        <v>88.112200979912799</v>
      </c>
      <c r="AN7132">
        <v>1.00000003641659</v>
      </c>
    </row>
    <row r="7133" spans="1:40" x14ac:dyDescent="0.25">
      <c r="A7133" t="str">
        <f>"20190312172546775"</f>
        <v>20190312172546775</v>
      </c>
      <c r="B7133" t="str">
        <f>"1552382746767614"</f>
        <v>1552382746767614</v>
      </c>
      <c r="C7133" t="s">
        <v>40</v>
      </c>
      <c r="D7133">
        <v>3.720885</v>
      </c>
      <c r="E7133">
        <v>0.48939120000000003</v>
      </c>
      <c r="F7133" t="s">
        <v>43</v>
      </c>
      <c r="G7133">
        <v>-187.5213</v>
      </c>
      <c r="H7133" s="1">
        <v>-2.4414099999999999E-6</v>
      </c>
      <c r="I7133">
        <v>44.298839999999998</v>
      </c>
      <c r="J7133">
        <v>-187.56280000000001</v>
      </c>
      <c r="K7133">
        <v>1.1102620000000001</v>
      </c>
      <c r="L7133">
        <v>28.951080000000001</v>
      </c>
      <c r="M7133">
        <v>7.34008199999999E-3</v>
      </c>
      <c r="N7133">
        <v>0</v>
      </c>
      <c r="O7133">
        <v>0.99991770000000002</v>
      </c>
      <c r="P7133">
        <v>4.0001479999999999E-2</v>
      </c>
      <c r="Q7133">
        <v>0.17394770000000001</v>
      </c>
      <c r="R7133">
        <v>0.98394210000000004</v>
      </c>
      <c r="S7133">
        <v>8.6212159999999993E-3</v>
      </c>
      <c r="T7133">
        <v>-0.2181515</v>
      </c>
      <c r="U7133">
        <v>3.0869140000000002</v>
      </c>
      <c r="V7133">
        <v>3.253822E-2</v>
      </c>
      <c r="W7133">
        <v>0.18434</v>
      </c>
      <c r="X7133">
        <v>0.98232379999999997</v>
      </c>
      <c r="Y7133">
        <v>-4.5546670000000001E-3</v>
      </c>
      <c r="Z7133">
        <v>-7.04906E-2</v>
      </c>
      <c r="AA7133">
        <v>0.997502</v>
      </c>
      <c r="AB7133">
        <v>38</v>
      </c>
      <c r="AC7133">
        <v>4.1500000000013401E-2</v>
      </c>
      <c r="AD7133">
        <v>-1.11026444141</v>
      </c>
      <c r="AE7133">
        <v>15.347759999999999</v>
      </c>
      <c r="AF7133">
        <v>-7.0790716374920098E-2</v>
      </c>
      <c r="AG7133">
        <v>-1.11026444141</v>
      </c>
      <c r="AH7133">
        <v>15.2677533345189</v>
      </c>
      <c r="AI7133">
        <v>94.159158672131497</v>
      </c>
      <c r="AJ7133">
        <v>90.265656650513506</v>
      </c>
      <c r="AK7133">
        <v>15.308232763421699</v>
      </c>
      <c r="AL7133">
        <v>79.377344703655595</v>
      </c>
      <c r="AM7133">
        <v>88.102844192935606</v>
      </c>
      <c r="AN7133">
        <v>1.0000000097035999</v>
      </c>
    </row>
    <row r="7134" spans="1:40" x14ac:dyDescent="0.25">
      <c r="A7134" t="str">
        <f>"20190312172546797"</f>
        <v>20190312172546797</v>
      </c>
      <c r="B7134" t="str">
        <f>"1552382746787134"</f>
        <v>1552382746787134</v>
      </c>
      <c r="C7134" t="s">
        <v>40</v>
      </c>
      <c r="D7134">
        <v>3.743528</v>
      </c>
      <c r="E7134">
        <v>0.48947210000000002</v>
      </c>
      <c r="F7134" t="s">
        <v>43</v>
      </c>
      <c r="G7134">
        <v>-187.52090000000001</v>
      </c>
      <c r="H7134" s="1">
        <v>-2.617389E-6</v>
      </c>
      <c r="I7134">
        <v>44.708919999999999</v>
      </c>
      <c r="J7134">
        <v>-187.56049999999999</v>
      </c>
      <c r="K7134">
        <v>1.1102730000000001</v>
      </c>
      <c r="L7134">
        <v>29.332059999999998</v>
      </c>
      <c r="M7134">
        <v>6.7807919999999999E-3</v>
      </c>
      <c r="N7134">
        <v>0</v>
      </c>
      <c r="O7134">
        <v>0.99992029999999998</v>
      </c>
      <c r="P7134">
        <v>3.9222489999999999E-2</v>
      </c>
      <c r="Q7134">
        <v>0.17374990000000001</v>
      </c>
      <c r="R7134">
        <v>0.98400840000000001</v>
      </c>
      <c r="S7134">
        <v>8.1939700000000001E-3</v>
      </c>
      <c r="T7134">
        <v>-0.21750839999999999</v>
      </c>
      <c r="U7134">
        <v>3.0870669999999998</v>
      </c>
      <c r="V7134">
        <v>3.230736E-2</v>
      </c>
      <c r="W7134">
        <v>0.1842636</v>
      </c>
      <c r="X7134">
        <v>0.98234580000000005</v>
      </c>
      <c r="Y7134">
        <v>-4.1334969999999999E-3</v>
      </c>
      <c r="Z7134">
        <v>-7.0280889999999999E-2</v>
      </c>
      <c r="AA7134">
        <v>0.99751869999999998</v>
      </c>
      <c r="AB7134">
        <v>38</v>
      </c>
      <c r="AC7134">
        <v>3.9599999999978701E-2</v>
      </c>
      <c r="AD7134">
        <v>-1.110275617389</v>
      </c>
      <c r="AE7134">
        <v>15.376860000000001</v>
      </c>
      <c r="AF7134">
        <v>-6.4338687853315105E-2</v>
      </c>
      <c r="AG7134">
        <v>-1.110275617389</v>
      </c>
      <c r="AH7134">
        <v>15.297025039988</v>
      </c>
      <c r="AI7134">
        <v>94.151277258004498</v>
      </c>
      <c r="AJ7134">
        <v>90.240982382311401</v>
      </c>
      <c r="AK7134">
        <v>15.3373995999108</v>
      </c>
      <c r="AL7134">
        <v>79.381798883849996</v>
      </c>
      <c r="AM7134">
        <v>88.116337014804003</v>
      </c>
      <c r="AN7134">
        <v>1.0000000552863799</v>
      </c>
    </row>
    <row r="7135" spans="1:40" x14ac:dyDescent="0.25">
      <c r="A7135" t="str">
        <f>"20190312172546819"</f>
        <v>20190312172546819</v>
      </c>
      <c r="B7135" t="str">
        <f>"1552382746807633"</f>
        <v>1552382746807633</v>
      </c>
      <c r="C7135" t="s">
        <v>40</v>
      </c>
      <c r="D7135">
        <v>3.6975739999999999</v>
      </c>
      <c r="E7135">
        <v>0.48955130000000002</v>
      </c>
      <c r="F7135" t="s">
        <v>43</v>
      </c>
      <c r="G7135">
        <v>-187.52850000000001</v>
      </c>
      <c r="H7135" s="1">
        <v>-2.7387620000000002E-6</v>
      </c>
      <c r="I7135">
        <v>44.994959999999999</v>
      </c>
      <c r="J7135">
        <v>-187.55850000000001</v>
      </c>
      <c r="K7135">
        <v>1.110284</v>
      </c>
      <c r="L7135">
        <v>29.69464</v>
      </c>
      <c r="M7135">
        <v>6.2469789999999997E-3</v>
      </c>
      <c r="N7135">
        <v>0</v>
      </c>
      <c r="O7135">
        <v>0.99992259999999999</v>
      </c>
      <c r="P7135">
        <v>3.831909E-2</v>
      </c>
      <c r="Q7135">
        <v>0.17337149999999901</v>
      </c>
      <c r="R7135">
        <v>0.98411079999999995</v>
      </c>
      <c r="S7135">
        <v>6.3018800000000002E-3</v>
      </c>
      <c r="T7135">
        <v>-0.2188331</v>
      </c>
      <c r="U7135">
        <v>3.0871279999999999</v>
      </c>
      <c r="V7135">
        <v>3.1927379999999998E-2</v>
      </c>
      <c r="W7135">
        <v>0.1839913</v>
      </c>
      <c r="X7135">
        <v>0.98240919999999998</v>
      </c>
      <c r="Y7135">
        <v>-4.211139E-3</v>
      </c>
      <c r="Z7135">
        <v>-7.0705770000000001E-2</v>
      </c>
      <c r="AA7135">
        <v>0.99748829999999999</v>
      </c>
      <c r="AB7135">
        <v>38</v>
      </c>
      <c r="AC7135">
        <v>3.0000000000001099E-2</v>
      </c>
      <c r="AD7135">
        <v>-1.1102867387619999</v>
      </c>
      <c r="AE7135">
        <v>15.3003199999999</v>
      </c>
      <c r="AF7135">
        <v>-6.5243335391989093E-2</v>
      </c>
      <c r="AG7135">
        <v>-1.1102867387619999</v>
      </c>
      <c r="AH7135">
        <v>15.220062433127801</v>
      </c>
      <c r="AI7135">
        <v>94.172235113338203</v>
      </c>
      <c r="AJ7135">
        <v>90.245606407928904</v>
      </c>
      <c r="AK7135">
        <v>15.260645261698199</v>
      </c>
      <c r="AL7135">
        <v>79.397671280714604</v>
      </c>
      <c r="AM7135">
        <v>88.138595910628894</v>
      </c>
      <c r="AN7135">
        <v>0.99999999615699697</v>
      </c>
    </row>
    <row r="7136" spans="1:40" x14ac:dyDescent="0.25">
      <c r="A7136" t="str">
        <f>"20190312172546841"</f>
        <v>20190312172546841</v>
      </c>
      <c r="B7136" t="str">
        <f>"1552382746836911"</f>
        <v>1552382746836911</v>
      </c>
      <c r="C7136" t="s">
        <v>40</v>
      </c>
      <c r="D7136">
        <v>3.6999949999999999</v>
      </c>
      <c r="E7136">
        <v>0.48969299999999999</v>
      </c>
      <c r="F7136" t="s">
        <v>43</v>
      </c>
      <c r="G7136">
        <v>-187.53489999999999</v>
      </c>
      <c r="H7136" s="1">
        <v>-2.8230779999999999E-6</v>
      </c>
      <c r="I7136">
        <v>45.194159999999997</v>
      </c>
      <c r="J7136">
        <v>-187.55670000000001</v>
      </c>
      <c r="K7136">
        <v>1.1102970000000001</v>
      </c>
      <c r="L7136">
        <v>30.068020000000001</v>
      </c>
      <c r="M7136">
        <v>5.6927000000000002E-3</v>
      </c>
      <c r="N7136">
        <v>0</v>
      </c>
      <c r="O7136">
        <v>0.99992479999999995</v>
      </c>
      <c r="P7136">
        <v>3.7622500000000003E-2</v>
      </c>
      <c r="Q7136">
        <v>0.17307439999999999</v>
      </c>
      <c r="R7136">
        <v>0.98418989999999995</v>
      </c>
      <c r="S7136">
        <v>4.699707E-3</v>
      </c>
      <c r="T7136">
        <v>-0.2211487</v>
      </c>
      <c r="U7136">
        <v>3.0872190000000002</v>
      </c>
      <c r="V7136">
        <v>3.1773900000000001E-2</v>
      </c>
      <c r="W7136">
        <v>0.1837954</v>
      </c>
      <c r="X7136">
        <v>0.98245079999999996</v>
      </c>
      <c r="Y7136">
        <v>-4.1746359999999998E-3</v>
      </c>
      <c r="Z7136">
        <v>-7.1448460000000005E-2</v>
      </c>
      <c r="AA7136">
        <v>0.99743559999999998</v>
      </c>
      <c r="AB7136">
        <v>38</v>
      </c>
      <c r="AC7136">
        <v>2.1800000000013101E-2</v>
      </c>
      <c r="AD7136">
        <v>-1.1102998230779999</v>
      </c>
      <c r="AE7136">
        <v>15.1261399999999</v>
      </c>
      <c r="AF7136">
        <v>-6.3969347248745798E-2</v>
      </c>
      <c r="AG7136">
        <v>-1.1102998230779999</v>
      </c>
      <c r="AH7136">
        <v>15.0449575310186</v>
      </c>
      <c r="AI7136">
        <v>94.220670536089202</v>
      </c>
      <c r="AJ7136">
        <v>90.243613285136902</v>
      </c>
      <c r="AK7136">
        <v>15.0860069231281</v>
      </c>
      <c r="AL7136">
        <v>79.409089788994606</v>
      </c>
      <c r="AM7136">
        <v>88.1476161113074</v>
      </c>
      <c r="AN7136">
        <v>0.99999995210150305</v>
      </c>
    </row>
    <row r="7137" spans="1:40" x14ac:dyDescent="0.25">
      <c r="A7137" t="str">
        <f>"20190312172546865"</f>
        <v>20190312172546865</v>
      </c>
      <c r="B7137" t="str">
        <f>"1552382746857406"</f>
        <v>1552382746857406</v>
      </c>
      <c r="C7137" t="s">
        <v>40</v>
      </c>
      <c r="D7137">
        <v>3.7780119999999999</v>
      </c>
      <c r="E7137">
        <v>0.48973230000000001</v>
      </c>
      <c r="F7137" t="s">
        <v>43</v>
      </c>
      <c r="G7137">
        <v>-187.5378</v>
      </c>
      <c r="H7137" s="1">
        <v>-2.9327779999999999E-6</v>
      </c>
      <c r="I7137">
        <v>45.451070000000001</v>
      </c>
      <c r="J7137">
        <v>-187.55500000000001</v>
      </c>
      <c r="K7137">
        <v>1.1103160000000001</v>
      </c>
      <c r="L7137">
        <v>30.458649999999999</v>
      </c>
      <c r="M7137">
        <v>5.1001930000000003E-3</v>
      </c>
      <c r="N7137">
        <v>0</v>
      </c>
      <c r="O7137">
        <v>0.99992689999999995</v>
      </c>
      <c r="P7137">
        <v>3.6861739999999997E-2</v>
      </c>
      <c r="Q7137">
        <v>0.17252219999999999</v>
      </c>
      <c r="R7137">
        <v>0.98431559999999996</v>
      </c>
      <c r="S7137">
        <v>3.7841799999999998E-3</v>
      </c>
      <c r="T7137">
        <v>-0.2228279</v>
      </c>
      <c r="U7137">
        <v>3.08725</v>
      </c>
      <c r="V7137">
        <v>3.1592149999999999E-2</v>
      </c>
      <c r="W7137">
        <v>0.18334400000000001</v>
      </c>
      <c r="X7137">
        <v>0.982541</v>
      </c>
      <c r="Y7137">
        <v>-3.877948E-3</v>
      </c>
      <c r="Z7137">
        <v>-7.1987869999999995E-2</v>
      </c>
      <c r="AA7137">
        <v>0.99739800000000001</v>
      </c>
      <c r="AB7137">
        <v>38</v>
      </c>
      <c r="AC7137">
        <v>1.7200000000002501E-2</v>
      </c>
      <c r="AD7137">
        <v>-1.1103189327779901</v>
      </c>
      <c r="AE7137">
        <v>14.992419999999999</v>
      </c>
      <c r="AF7137">
        <v>-5.8945755805475598E-2</v>
      </c>
      <c r="AG7137">
        <v>-1.1103189327779901</v>
      </c>
      <c r="AH7137">
        <v>14.910533182307899</v>
      </c>
      <c r="AI7137">
        <v>94.258660409551993</v>
      </c>
      <c r="AJ7137">
        <v>90.226506013729093</v>
      </c>
      <c r="AK7137">
        <v>14.9519324007072</v>
      </c>
      <c r="AL7137">
        <v>79.435400199659298</v>
      </c>
      <c r="AM7137">
        <v>88.158373585818893</v>
      </c>
      <c r="AN7137">
        <v>0.99999995147930998</v>
      </c>
    </row>
    <row r="7138" spans="1:40" x14ac:dyDescent="0.25">
      <c r="A7138" t="str">
        <f>"20190312172546887"</f>
        <v>20190312172546887</v>
      </c>
      <c r="B7138" t="str">
        <f>"1552382746876930"</f>
        <v>1552382746876930</v>
      </c>
      <c r="C7138" t="s">
        <v>40</v>
      </c>
      <c r="D7138">
        <v>3.7652410000000001</v>
      </c>
      <c r="E7138">
        <v>0.48977330000000002</v>
      </c>
      <c r="F7138" t="s">
        <v>41</v>
      </c>
      <c r="G7138">
        <v>-187.55439999999999</v>
      </c>
      <c r="H7138">
        <v>1.036257</v>
      </c>
      <c r="I7138">
        <v>31.474820000000001</v>
      </c>
      <c r="J7138">
        <v>-187.55359999999999</v>
      </c>
      <c r="K7138">
        <v>1.1103369999999999</v>
      </c>
      <c r="L7138">
        <v>30.845089999999999</v>
      </c>
      <c r="M7138">
        <v>4.4980669999999997E-3</v>
      </c>
      <c r="N7138">
        <v>0</v>
      </c>
      <c r="O7138">
        <v>0.99992879999999995</v>
      </c>
      <c r="P7138">
        <v>3.6334779999999997E-2</v>
      </c>
      <c r="Q7138">
        <v>0.1719878</v>
      </c>
      <c r="R7138">
        <v>0.98442879999999999</v>
      </c>
      <c r="S7138">
        <v>1.159668E-3</v>
      </c>
      <c r="T7138">
        <v>-0.22503329999999999</v>
      </c>
      <c r="U7138">
        <v>3.087189</v>
      </c>
      <c r="V7138">
        <v>3.1652060000000003E-2</v>
      </c>
      <c r="W7138">
        <v>0.18290799999999999</v>
      </c>
      <c r="X7138">
        <v>0.98262039999999995</v>
      </c>
      <c r="Y7138">
        <v>-4.1237030000000003E-3</v>
      </c>
      <c r="Z7138">
        <v>-7.2698349999999995E-2</v>
      </c>
      <c r="AA7138">
        <v>0.99734540000000005</v>
      </c>
      <c r="AB7138">
        <v>38</v>
      </c>
      <c r="AC7138">
        <v>-7.9999999999813499E-4</v>
      </c>
      <c r="AD7138">
        <v>-7.4080000000000104E-2</v>
      </c>
      <c r="AE7138">
        <v>0.62972999999999801</v>
      </c>
      <c r="AF7138">
        <v>-3.5831468966526798E-3</v>
      </c>
      <c r="AG7138">
        <v>-7.4080000000000104E-2</v>
      </c>
      <c r="AH7138">
        <v>0.62112452966003795</v>
      </c>
      <c r="AI7138">
        <v>96.801287086252998</v>
      </c>
      <c r="AJ7138">
        <v>90.330524568590207</v>
      </c>
      <c r="AK7138">
        <v>0.62553686277235998</v>
      </c>
      <c r="AL7138">
        <v>79.460811599065494</v>
      </c>
      <c r="AM7138">
        <v>88.155032606501194</v>
      </c>
      <c r="AN7138">
        <v>1.0000000199312</v>
      </c>
    </row>
    <row r="7139" spans="1:40" x14ac:dyDescent="0.25">
      <c r="A7139" t="str">
        <f>"20190312172546909"</f>
        <v>20190312172546909</v>
      </c>
      <c r="B7139" t="str">
        <f>"1552382746897425"</f>
        <v>1552382746897425</v>
      </c>
      <c r="C7139" t="s">
        <v>40</v>
      </c>
      <c r="D7139">
        <v>3.7362329999999999</v>
      </c>
      <c r="E7139">
        <v>0.48981479999999999</v>
      </c>
      <c r="F7139" t="s">
        <v>41</v>
      </c>
      <c r="G7139">
        <v>-187.55369999999999</v>
      </c>
      <c r="H7139">
        <v>1.03881</v>
      </c>
      <c r="I7139">
        <v>31.815470000000001</v>
      </c>
      <c r="J7139">
        <v>-187.55250000000001</v>
      </c>
      <c r="K7139">
        <v>1.1103559999999999</v>
      </c>
      <c r="L7139">
        <v>31.20673</v>
      </c>
      <c r="M7139">
        <v>3.921E-3</v>
      </c>
      <c r="N7139">
        <v>0</v>
      </c>
      <c r="O7139">
        <v>0.99993019999999999</v>
      </c>
      <c r="P7139">
        <v>3.5991759999999998E-2</v>
      </c>
      <c r="Q7139">
        <v>0.17102779999999901</v>
      </c>
      <c r="R7139">
        <v>0.98460859999999994</v>
      </c>
      <c r="S7139">
        <v>-3.6621089999999999E-4</v>
      </c>
      <c r="T7139">
        <v>-0.22757540000000001</v>
      </c>
      <c r="U7139">
        <v>3.0872190000000002</v>
      </c>
      <c r="V7139">
        <v>3.1871259999999998E-2</v>
      </c>
      <c r="W7139">
        <v>0.182036</v>
      </c>
      <c r="X7139">
        <v>0.98277519999999996</v>
      </c>
      <c r="Y7139">
        <v>-4.0395439999999999E-3</v>
      </c>
      <c r="Z7139">
        <v>-7.3514739999999995E-2</v>
      </c>
      <c r="AA7139">
        <v>0.99728600000000001</v>
      </c>
      <c r="AB7139">
        <v>38</v>
      </c>
      <c r="AC7139">
        <v>-1.1999999999829901E-3</v>
      </c>
      <c r="AD7139">
        <v>-7.1545999999999804E-2</v>
      </c>
      <c r="AE7139">
        <v>0.60874000000000095</v>
      </c>
      <c r="AF7139">
        <v>-3.5381343764373302E-3</v>
      </c>
      <c r="AG7139">
        <v>-7.1545999999999804E-2</v>
      </c>
      <c r="AH7139">
        <v>0.60043645460732498</v>
      </c>
      <c r="AI7139">
        <v>96.795017676796306</v>
      </c>
      <c r="AJ7139">
        <v>90.337617443573194</v>
      </c>
      <c r="AK7139">
        <v>0.60469437283001004</v>
      </c>
      <c r="AL7139">
        <v>79.511626313534293</v>
      </c>
      <c r="AM7139">
        <v>88.142556989408902</v>
      </c>
      <c r="AN7139">
        <v>0.99999998812251301</v>
      </c>
    </row>
    <row r="7140" spans="1:40" x14ac:dyDescent="0.25">
      <c r="A7140" t="str">
        <f>"20190312172546932"</f>
        <v>20190312172546932</v>
      </c>
      <c r="B7140" t="str">
        <f>"1552382746927678"</f>
        <v>1552382746927678</v>
      </c>
      <c r="C7140" t="s">
        <v>40</v>
      </c>
      <c r="D7140">
        <v>3.7694350000000001</v>
      </c>
      <c r="E7140">
        <v>0.48991689999999999</v>
      </c>
      <c r="F7140" t="s">
        <v>41</v>
      </c>
      <c r="G7140">
        <v>-187.55279999999999</v>
      </c>
      <c r="H7140">
        <v>1.039334</v>
      </c>
      <c r="I7140">
        <v>32.154380000000003</v>
      </c>
      <c r="J7140">
        <v>-187.55160000000001</v>
      </c>
      <c r="K7140">
        <v>1.110384</v>
      </c>
      <c r="L7140">
        <v>31.605989999999998</v>
      </c>
      <c r="M7140">
        <v>3.263733E-3</v>
      </c>
      <c r="N7140">
        <v>0</v>
      </c>
      <c r="O7140">
        <v>0.99993160000000003</v>
      </c>
      <c r="P7140">
        <v>3.5414260000000003E-2</v>
      </c>
      <c r="Q7140">
        <v>0.1707669</v>
      </c>
      <c r="R7140">
        <v>0.98467479999999996</v>
      </c>
      <c r="S7140">
        <v>-1.1749270000000001E-3</v>
      </c>
      <c r="T7140">
        <v>-0.23138929999999999</v>
      </c>
      <c r="U7140">
        <v>3.0871279999999999</v>
      </c>
      <c r="V7140">
        <v>3.1933179999999999E-2</v>
      </c>
      <c r="W7140">
        <v>0.1818621</v>
      </c>
      <c r="X7140">
        <v>0.98280540000000005</v>
      </c>
      <c r="Y7140">
        <v>-3.6434610000000002E-3</v>
      </c>
      <c r="Z7140">
        <v>-7.4742439999999993E-2</v>
      </c>
      <c r="AA7140">
        <v>0.99719619999999998</v>
      </c>
      <c r="AB7140">
        <v>38</v>
      </c>
      <c r="AC7140">
        <v>-1.1999999999829901E-3</v>
      </c>
      <c r="AD7140">
        <v>-7.1050000000000002E-2</v>
      </c>
      <c r="AE7140">
        <v>0.54838999999999405</v>
      </c>
      <c r="AF7140">
        <v>-2.9405450757896499E-3</v>
      </c>
      <c r="AG7140">
        <v>-7.1050000000000002E-2</v>
      </c>
      <c r="AH7140">
        <v>0.53932997315926101</v>
      </c>
      <c r="AI7140">
        <v>97.504678823274403</v>
      </c>
      <c r="AJ7140">
        <v>90.3123860368718</v>
      </c>
      <c r="AK7140">
        <v>0.543997765853235</v>
      </c>
      <c r="AL7140">
        <v>79.521759343986105</v>
      </c>
      <c r="AM7140">
        <v>88.139008001040295</v>
      </c>
      <c r="AN7140">
        <v>1.00000000283524</v>
      </c>
    </row>
    <row r="7141" spans="1:40" x14ac:dyDescent="0.25">
      <c r="A7141" t="str">
        <f>"20190312172546954"</f>
        <v>20190312172546954</v>
      </c>
      <c r="B7141" t="str">
        <f>"1552382746947199"</f>
        <v>1552382746947199</v>
      </c>
      <c r="C7141" t="s">
        <v>40</v>
      </c>
      <c r="D7141">
        <v>3.789409</v>
      </c>
      <c r="E7141">
        <v>0.49000189999999999</v>
      </c>
      <c r="F7141" t="s">
        <v>43</v>
      </c>
      <c r="G7141">
        <v>-187.56129999999999</v>
      </c>
      <c r="H7141" s="1">
        <v>-3.2851729999999998E-6</v>
      </c>
      <c r="I7141">
        <v>46.282229999999998</v>
      </c>
      <c r="J7141">
        <v>-187.55099999999999</v>
      </c>
      <c r="K7141">
        <v>1.110412</v>
      </c>
      <c r="L7141">
        <v>31.97653</v>
      </c>
      <c r="M7141">
        <v>2.633177E-3</v>
      </c>
      <c r="N7141">
        <v>0</v>
      </c>
      <c r="O7141">
        <v>0.99993259999999995</v>
      </c>
      <c r="P7141">
        <v>3.5050049999999999E-2</v>
      </c>
      <c r="Q7141">
        <v>0.1712496</v>
      </c>
      <c r="R7141">
        <v>0.98460400000000003</v>
      </c>
      <c r="S7141">
        <v>-2.0446779999999999E-3</v>
      </c>
      <c r="T7141">
        <v>-0.23357990000000001</v>
      </c>
      <c r="U7141">
        <v>3.0872799999999998</v>
      </c>
      <c r="V7141">
        <v>3.2181759999999997E-2</v>
      </c>
      <c r="W7141">
        <v>0.1824163</v>
      </c>
      <c r="X7141">
        <v>0.98269459999999997</v>
      </c>
      <c r="Y7141">
        <v>-3.2937460000000002E-3</v>
      </c>
      <c r="Z7141">
        <v>-7.5442549999999997E-2</v>
      </c>
      <c r="AA7141">
        <v>0.99714469999999999</v>
      </c>
      <c r="AB7141">
        <v>38</v>
      </c>
      <c r="AC7141">
        <v>-1.03000000000008E-2</v>
      </c>
      <c r="AD7141">
        <v>-1.110415285173</v>
      </c>
      <c r="AE7141">
        <v>14.3056999999999</v>
      </c>
      <c r="AF7141">
        <v>-4.7684516824888397E-2</v>
      </c>
      <c r="AG7141">
        <v>-1.110415285173</v>
      </c>
      <c r="AH7141">
        <v>14.2199489976854</v>
      </c>
      <c r="AI7141">
        <v>94.465058638536604</v>
      </c>
      <c r="AJ7141">
        <v>90.192132286959406</v>
      </c>
      <c r="AK7141">
        <v>14.2633181768993</v>
      </c>
      <c r="AL7141">
        <v>79.489466071867398</v>
      </c>
      <c r="AM7141">
        <v>88.124320328071505</v>
      </c>
      <c r="AN7141">
        <v>1.0000000245257701</v>
      </c>
    </row>
    <row r="7142" spans="1:40" x14ac:dyDescent="0.25">
      <c r="A7142" t="str">
        <f>"20190312172546976"</f>
        <v>20190312172546976</v>
      </c>
      <c r="B7142" t="str">
        <f>"1552382746967695"</f>
        <v>1552382746967695</v>
      </c>
      <c r="C7142" t="s">
        <v>40</v>
      </c>
      <c r="D7142">
        <v>3.7370950000000001</v>
      </c>
      <c r="E7142">
        <v>0.49009819999999998</v>
      </c>
      <c r="F7142" t="s">
        <v>43</v>
      </c>
      <c r="G7142">
        <v>-187.56219999999999</v>
      </c>
      <c r="H7142" s="1">
        <v>-3.464192E-6</v>
      </c>
      <c r="I7142">
        <v>46.699890000000003</v>
      </c>
      <c r="J7142">
        <v>-187.5506</v>
      </c>
      <c r="K7142">
        <v>1.1104400000000001</v>
      </c>
      <c r="L7142">
        <v>32.35022</v>
      </c>
      <c r="M7142">
        <v>1.9795590000000001E-3</v>
      </c>
      <c r="N7142">
        <v>0</v>
      </c>
      <c r="O7142">
        <v>0.99993339999999997</v>
      </c>
      <c r="P7142">
        <v>3.4249950000000001E-2</v>
      </c>
      <c r="Q7142">
        <v>0.17160999999999901</v>
      </c>
      <c r="R7142">
        <v>0.98456940000000004</v>
      </c>
      <c r="S7142">
        <v>-2.3498540000000002E-3</v>
      </c>
      <c r="T7142">
        <v>-0.23285449999999999</v>
      </c>
      <c r="U7142">
        <v>3.087494</v>
      </c>
      <c r="V7142">
        <v>3.2017660000000003E-2</v>
      </c>
      <c r="W7142">
        <v>0.18284049999999999</v>
      </c>
      <c r="X7142">
        <v>0.98262110000000003</v>
      </c>
      <c r="Y7142">
        <v>-2.738617E-3</v>
      </c>
      <c r="Z7142">
        <v>-7.5204660000000007E-2</v>
      </c>
      <c r="AA7142">
        <v>0.99716439999999995</v>
      </c>
      <c r="AB7142">
        <v>38</v>
      </c>
      <c r="AC7142">
        <v>-1.15999999999871E-2</v>
      </c>
      <c r="AD7142">
        <v>-1.11044346419199</v>
      </c>
      <c r="AE7142">
        <v>14.34967</v>
      </c>
      <c r="AF7142">
        <v>-3.97696763350966E-2</v>
      </c>
      <c r="AG7142">
        <v>-1.11044346419199</v>
      </c>
      <c r="AH7142">
        <v>14.264199578522</v>
      </c>
      <c r="AI7142">
        <v>94.451383032254597</v>
      </c>
      <c r="AJ7142">
        <v>90.159744589232901</v>
      </c>
      <c r="AK7142">
        <v>14.3074126217925</v>
      </c>
      <c r="AL7142">
        <v>79.4647452176347</v>
      </c>
      <c r="AM7142">
        <v>88.133738455181799</v>
      </c>
      <c r="AN7142">
        <v>1.00000000257866</v>
      </c>
    </row>
    <row r="7143" spans="1:40" x14ac:dyDescent="0.25">
      <c r="A7143" t="str">
        <f>"20190312172546999"</f>
        <v>20190312172546999</v>
      </c>
      <c r="B7143" t="str">
        <f>"1552382746987214"</f>
        <v>1552382746987214</v>
      </c>
      <c r="C7143" t="s">
        <v>40</v>
      </c>
      <c r="D7143">
        <v>3.713206</v>
      </c>
      <c r="E7143">
        <v>0.49018270000000003</v>
      </c>
      <c r="F7143" t="s">
        <v>43</v>
      </c>
      <c r="G7143">
        <v>-187.57089999999999</v>
      </c>
      <c r="H7143" s="1">
        <v>-3.6392709999999999E-6</v>
      </c>
      <c r="I7143">
        <v>47.111609999999999</v>
      </c>
      <c r="J7143">
        <v>-187.5505</v>
      </c>
      <c r="K7143">
        <v>1.1104639999999999</v>
      </c>
      <c r="L7143">
        <v>32.744660000000003</v>
      </c>
      <c r="M7143">
        <v>1.275333E-3</v>
      </c>
      <c r="N7143">
        <v>0</v>
      </c>
      <c r="O7143">
        <v>0.99993390000000004</v>
      </c>
      <c r="P7143">
        <v>3.354799E-2</v>
      </c>
      <c r="Q7143">
        <v>0.17152239999999999</v>
      </c>
      <c r="R7143">
        <v>0.98460879999999995</v>
      </c>
      <c r="S7143">
        <v>-4.2419429999999998E-3</v>
      </c>
      <c r="T7143">
        <v>-0.23227210000000001</v>
      </c>
      <c r="U7143">
        <v>3.0876459999999999</v>
      </c>
      <c r="V7143">
        <v>3.2002940000000001E-2</v>
      </c>
      <c r="W7143">
        <v>0.18281330000000001</v>
      </c>
      <c r="X7143">
        <v>0.98262660000000002</v>
      </c>
      <c r="Y7143">
        <v>-2.6453850000000001E-3</v>
      </c>
      <c r="Z7143">
        <v>-7.5014070000000002E-2</v>
      </c>
      <c r="AA7143">
        <v>0.99717900000000004</v>
      </c>
      <c r="AB7143">
        <v>38</v>
      </c>
      <c r="AC7143">
        <v>-2.0399999999994999E-2</v>
      </c>
      <c r="AD7143">
        <v>-1.110467639271</v>
      </c>
      <c r="AE7143">
        <v>14.366949999999999</v>
      </c>
      <c r="AF7143">
        <v>-3.8493854102465898E-2</v>
      </c>
      <c r="AG7143">
        <v>-1.110467639271</v>
      </c>
      <c r="AH7143">
        <v>14.281590819452701</v>
      </c>
      <c r="AI7143">
        <v>94.446081688536296</v>
      </c>
      <c r="AJ7143">
        <v>90.154431678107201</v>
      </c>
      <c r="AK7143">
        <v>14.324749788005001</v>
      </c>
      <c r="AL7143">
        <v>79.466329958113505</v>
      </c>
      <c r="AM7143">
        <v>88.134606289395606</v>
      </c>
      <c r="AN7143">
        <v>0.99999996292654603</v>
      </c>
    </row>
    <row r="7144" spans="1:40" x14ac:dyDescent="0.25">
      <c r="A7144" t="str">
        <f>"20190312172547020"</f>
        <v>20190312172547020</v>
      </c>
      <c r="B7144" t="str">
        <f>"1552382747017471"</f>
        <v>1552382747017471</v>
      </c>
      <c r="C7144" t="s">
        <v>40</v>
      </c>
      <c r="D7144">
        <v>3.7194959999999999</v>
      </c>
      <c r="E7144">
        <v>0.4903052</v>
      </c>
      <c r="F7144" t="s">
        <v>43</v>
      </c>
      <c r="G7144">
        <v>-187.5789</v>
      </c>
      <c r="H7144" s="1">
        <v>-3.7868919999999999E-6</v>
      </c>
      <c r="I7144">
        <v>47.459009999999999</v>
      </c>
      <c r="J7144">
        <v>-187.5506</v>
      </c>
      <c r="K7144">
        <v>1.1104750000000001</v>
      </c>
      <c r="L7144">
        <v>33.101959999999998</v>
      </c>
      <c r="M7144">
        <v>6.275683E-4</v>
      </c>
      <c r="N7144">
        <v>0</v>
      </c>
      <c r="O7144">
        <v>0.99993399999999999</v>
      </c>
      <c r="P7144">
        <v>3.2461610000000002E-2</v>
      </c>
      <c r="Q7144">
        <v>0.1710448</v>
      </c>
      <c r="R7144">
        <v>0.9847283</v>
      </c>
      <c r="S7144">
        <v>-5.9509280000000003E-3</v>
      </c>
      <c r="T7144">
        <v>-0.2330219</v>
      </c>
      <c r="U7144">
        <v>3.0876769999999998</v>
      </c>
      <c r="V7144">
        <v>3.1550889999999998E-2</v>
      </c>
      <c r="W7144">
        <v>0.18238389999999999</v>
      </c>
      <c r="X7144">
        <v>0.98272099999999996</v>
      </c>
      <c r="Y7144">
        <v>-2.549455E-3</v>
      </c>
      <c r="Z7144">
        <v>-7.5254119999999994E-2</v>
      </c>
      <c r="AA7144">
        <v>0.99716110000000002</v>
      </c>
      <c r="AB7144">
        <v>38</v>
      </c>
      <c r="AC7144">
        <v>-2.8300000000001501E-2</v>
      </c>
      <c r="AD7144">
        <v>-1.1104787868920001</v>
      </c>
      <c r="AE7144">
        <v>14.357049999999999</v>
      </c>
      <c r="AF7144">
        <v>-3.7088730565012398E-2</v>
      </c>
      <c r="AG7144">
        <v>-1.1104787868920001</v>
      </c>
      <c r="AH7144">
        <v>14.271648152819299</v>
      </c>
      <c r="AI7144">
        <v>94.449212336858196</v>
      </c>
      <c r="AJ7144">
        <v>90.148898215698097</v>
      </c>
      <c r="AK7144">
        <v>14.314834253596601</v>
      </c>
      <c r="AL7144">
        <v>79.491353386684494</v>
      </c>
      <c r="AM7144">
        <v>88.161113784681206</v>
      </c>
      <c r="AN7144">
        <v>0.99999995473999903</v>
      </c>
    </row>
    <row r="7145" spans="1:40" x14ac:dyDescent="0.25">
      <c r="A7145" t="str">
        <f>"20190312172547044"</f>
        <v>20190312172547044</v>
      </c>
      <c r="B7145" t="str">
        <f>"1552382747036991"</f>
        <v>1552382747036991</v>
      </c>
      <c r="C7145" t="s">
        <v>40</v>
      </c>
      <c r="D7145">
        <v>3.9040469999999998</v>
      </c>
      <c r="E7145">
        <v>0.50736519999999996</v>
      </c>
      <c r="F7145" t="s">
        <v>43</v>
      </c>
      <c r="G7145">
        <v>-187.5899</v>
      </c>
      <c r="H7145" s="1">
        <v>-3.8734510000000004E-6</v>
      </c>
      <c r="I7145">
        <v>47.665329999999997</v>
      </c>
      <c r="J7145">
        <v>-187.55109999999999</v>
      </c>
      <c r="K7145">
        <v>1.110482</v>
      </c>
      <c r="L7145">
        <v>33.492579999999997</v>
      </c>
      <c r="M7145" s="1">
        <v>-8.7173630000000004E-5</v>
      </c>
      <c r="N7145">
        <v>0</v>
      </c>
      <c r="O7145">
        <v>0.99993359999999998</v>
      </c>
      <c r="P7145">
        <v>3.1765450000000001E-2</v>
      </c>
      <c r="Q7145">
        <v>0.17081689999999999</v>
      </c>
      <c r="R7145">
        <v>0.98479059999999896</v>
      </c>
      <c r="S7145">
        <v>-8.3160400000000002E-3</v>
      </c>
      <c r="T7145">
        <v>-0.23544000000000001</v>
      </c>
      <c r="U7145">
        <v>3.0876769999999998</v>
      </c>
      <c r="V7145">
        <v>3.1555510000000002E-2</v>
      </c>
      <c r="W7145">
        <v>0.18220710000000001</v>
      </c>
      <c r="X7145">
        <v>0.98275369999999995</v>
      </c>
      <c r="Y7145">
        <v>-2.5983149999999999E-3</v>
      </c>
      <c r="Z7145">
        <v>-7.6030520000000004E-2</v>
      </c>
      <c r="AA7145">
        <v>0.99710209999999999</v>
      </c>
      <c r="AB7145">
        <v>38</v>
      </c>
      <c r="AC7145">
        <v>-3.8800000000009001E-2</v>
      </c>
      <c r="AD7145">
        <v>-1.1104858734509999</v>
      </c>
      <c r="AE7145">
        <v>14.172750000000001</v>
      </c>
      <c r="AF7145">
        <v>-3.7335217910098903E-2</v>
      </c>
      <c r="AG7145">
        <v>-1.1104858734509999</v>
      </c>
      <c r="AH7145">
        <v>14.086274318487501</v>
      </c>
      <c r="AI7145">
        <v>94.507551791392203</v>
      </c>
      <c r="AJ7145">
        <v>90.151860268793698</v>
      </c>
      <c r="AK7145">
        <v>14.1300282012922</v>
      </c>
      <c r="AL7145">
        <v>79.501656458463202</v>
      </c>
      <c r="AM7145">
        <v>88.160905855052903</v>
      </c>
      <c r="AN7145">
        <v>1.0000000061827199</v>
      </c>
    </row>
    <row r="7146" spans="1:40" x14ac:dyDescent="0.25">
      <c r="A7146" t="str">
        <f>"20190312172547067"</f>
        <v>20190312172547067</v>
      </c>
      <c r="B7146" t="str">
        <f>"1552382747057487"</f>
        <v>1552382747057487</v>
      </c>
      <c r="C7146" t="s">
        <v>40</v>
      </c>
      <c r="D7146">
        <v>3.7340019999999998</v>
      </c>
      <c r="E7146">
        <v>0.52399249999999997</v>
      </c>
      <c r="F7146" t="s">
        <v>41</v>
      </c>
      <c r="G7146">
        <v>-187.51140000000001</v>
      </c>
      <c r="H7146">
        <v>1.001093</v>
      </c>
      <c r="I7146">
        <v>34.502949999999998</v>
      </c>
      <c r="J7146">
        <v>-187.55179999999999</v>
      </c>
      <c r="K7146">
        <v>1.1104959999999999</v>
      </c>
      <c r="L7146">
        <v>33.88852</v>
      </c>
      <c r="M7146">
        <v>-8.1544569999999995E-4</v>
      </c>
      <c r="N7146">
        <v>0</v>
      </c>
      <c r="O7146">
        <v>0.99993259999999995</v>
      </c>
      <c r="P7146">
        <v>3.1437069999999998E-2</v>
      </c>
      <c r="Q7146">
        <v>0.1702031</v>
      </c>
      <c r="R7146">
        <v>0.98490739999999999</v>
      </c>
      <c r="S7146">
        <v>0.1216583</v>
      </c>
      <c r="T7146">
        <v>-0.33570689999999997</v>
      </c>
      <c r="U7146">
        <v>3.1006469999999999</v>
      </c>
      <c r="V7146">
        <v>3.1942499999999999E-2</v>
      </c>
      <c r="W7146">
        <v>0.18164920000000001</v>
      </c>
      <c r="X7146">
        <v>0.98284450000000001</v>
      </c>
      <c r="Y7146">
        <v>3.9793679999999998E-2</v>
      </c>
      <c r="Z7146">
        <v>-0.10755729999999999</v>
      </c>
      <c r="AA7146">
        <v>0.99340220000000001</v>
      </c>
      <c r="AB7146">
        <v>38</v>
      </c>
      <c r="AC7146">
        <v>4.0399999999976899E-2</v>
      </c>
      <c r="AD7146">
        <v>-0.109402999999999</v>
      </c>
      <c r="AE7146">
        <v>0.61442999999999803</v>
      </c>
      <c r="AF7146">
        <v>3.9649421644999502E-2</v>
      </c>
      <c r="AG7146">
        <v>-0.109402999999999</v>
      </c>
      <c r="AH7146">
        <v>0.59559539615861601</v>
      </c>
      <c r="AI7146">
        <v>100.385962581228</v>
      </c>
      <c r="AJ7146">
        <v>86.191378361566905</v>
      </c>
      <c r="AK7146">
        <v>0.60685662966727305</v>
      </c>
      <c r="AL7146">
        <v>79.5341645557872</v>
      </c>
      <c r="AM7146">
        <v>88.138539239436199</v>
      </c>
      <c r="AN7146">
        <v>1.0000000331735599</v>
      </c>
    </row>
    <row r="7147" spans="1:40" x14ac:dyDescent="0.25">
      <c r="A7147" t="str">
        <f>"20190312172547089"</f>
        <v>20190312172547089</v>
      </c>
      <c r="B7147" t="str">
        <f>"1552382747077006"</f>
        <v>1552382747077006</v>
      </c>
      <c r="C7147" t="s">
        <v>40</v>
      </c>
      <c r="D7147">
        <v>3.7213910000000001</v>
      </c>
      <c r="E7147">
        <v>0.53429309999999997</v>
      </c>
      <c r="F7147" t="s">
        <v>41</v>
      </c>
      <c r="G7147">
        <v>-187.47649999999999</v>
      </c>
      <c r="H7147">
        <v>0.97789099999999995</v>
      </c>
      <c r="I7147">
        <v>34.830410000000001</v>
      </c>
      <c r="J7147">
        <v>-187.55279999999999</v>
      </c>
      <c r="K7147">
        <v>1.110506</v>
      </c>
      <c r="L7147">
        <v>34.261409999999998</v>
      </c>
      <c r="M7147">
        <v>-1.501903E-3</v>
      </c>
      <c r="N7147">
        <v>0</v>
      </c>
      <c r="O7147">
        <v>0.99993120000000002</v>
      </c>
      <c r="P7147">
        <v>3.1329210000000003E-2</v>
      </c>
      <c r="Q7147">
        <v>0.16980229999999999</v>
      </c>
      <c r="R7147">
        <v>0.98497999999999997</v>
      </c>
      <c r="S7147">
        <v>0.24893190000000001</v>
      </c>
      <c r="T7147">
        <v>-0.43837310000000002</v>
      </c>
      <c r="U7147">
        <v>3.1137700000000001</v>
      </c>
      <c r="V7147">
        <v>3.2508919999999997E-2</v>
      </c>
      <c r="W7147">
        <v>0.1813012</v>
      </c>
      <c r="X7147">
        <v>0.98289009999999999</v>
      </c>
      <c r="Y7147">
        <v>8.0415130000000001E-2</v>
      </c>
      <c r="Z7147">
        <v>-0.13896710000000001</v>
      </c>
      <c r="AA7147">
        <v>0.98702659999999998</v>
      </c>
      <c r="AB7147">
        <v>38</v>
      </c>
      <c r="AC7147">
        <v>7.6300000000003296E-2</v>
      </c>
      <c r="AD7147">
        <v>-0.13261500000000001</v>
      </c>
      <c r="AE7147">
        <v>0.56900000000000195</v>
      </c>
      <c r="AF7147">
        <v>7.3246097079019107E-2</v>
      </c>
      <c r="AG7147">
        <v>-0.13261500000000001</v>
      </c>
      <c r="AH7147">
        <v>0.54006647094513205</v>
      </c>
      <c r="AI7147">
        <v>103.675753956306</v>
      </c>
      <c r="AJ7147">
        <v>82.276429788928894</v>
      </c>
      <c r="AK7147">
        <v>0.56091311448515602</v>
      </c>
      <c r="AL7147">
        <v>79.554439293073102</v>
      </c>
      <c r="AM7147">
        <v>88.105642578158196</v>
      </c>
      <c r="AN7147">
        <v>0.99999995183950696</v>
      </c>
    </row>
    <row r="7148" spans="1:40" x14ac:dyDescent="0.25">
      <c r="A7148" t="str">
        <f>"20190312172547113"</f>
        <v>20190312172547113</v>
      </c>
      <c r="B7148" t="str">
        <f>"1552382747107263"</f>
        <v>1552382747107263</v>
      </c>
      <c r="C7148" t="s">
        <v>40</v>
      </c>
      <c r="D7148">
        <v>3.6920829999999998</v>
      </c>
      <c r="E7148">
        <v>0.54233369999999903</v>
      </c>
      <c r="F7148" t="s">
        <v>41</v>
      </c>
      <c r="G7148">
        <v>-187.4579</v>
      </c>
      <c r="H7148">
        <v>0.96260230000000002</v>
      </c>
      <c r="I7148">
        <v>35.162209999999902</v>
      </c>
      <c r="J7148">
        <v>-187.554</v>
      </c>
      <c r="K7148">
        <v>1.110517</v>
      </c>
      <c r="L7148">
        <v>34.641750000000002</v>
      </c>
      <c r="M7148">
        <v>-2.2014809999999999E-3</v>
      </c>
      <c r="N7148">
        <v>0</v>
      </c>
      <c r="O7148">
        <v>0.99992930000000002</v>
      </c>
      <c r="P7148">
        <v>3.0650569999999999E-2</v>
      </c>
      <c r="Q7148">
        <v>0.1690489</v>
      </c>
      <c r="R7148">
        <v>0.98513099999999998</v>
      </c>
      <c r="S7148">
        <v>0.32905580000000001</v>
      </c>
      <c r="T7148">
        <v>-0.51287870000000002</v>
      </c>
      <c r="U7148">
        <v>3.123688</v>
      </c>
      <c r="V7148">
        <v>3.2518400000000003E-2</v>
      </c>
      <c r="W7148">
        <v>0.18060390000000001</v>
      </c>
      <c r="X7148">
        <v>0.98301819999999895</v>
      </c>
      <c r="Y7148">
        <v>0.1055826</v>
      </c>
      <c r="Z7148">
        <v>-0.1611331</v>
      </c>
      <c r="AA7148">
        <v>0.98126880000000005</v>
      </c>
      <c r="AB7148">
        <v>38</v>
      </c>
      <c r="AC7148">
        <v>9.6100000000006902E-2</v>
      </c>
      <c r="AD7148">
        <v>-0.14791469999999901</v>
      </c>
      <c r="AE7148">
        <v>0.52045999999999204</v>
      </c>
      <c r="AF7148">
        <v>9.0200376851520297E-2</v>
      </c>
      <c r="AG7148">
        <v>-0.14791469999999901</v>
      </c>
      <c r="AH7148">
        <v>0.48255629540553002</v>
      </c>
      <c r="AI7148">
        <v>106.767797240438</v>
      </c>
      <c r="AJ7148">
        <v>79.412341565652696</v>
      </c>
      <c r="AK7148">
        <v>0.51271380388649102</v>
      </c>
      <c r="AL7148">
        <v>79.595062742505107</v>
      </c>
      <c r="AM7148">
        <v>88.105337314208796</v>
      </c>
      <c r="AN7148">
        <v>0.99999999828250397</v>
      </c>
    </row>
    <row r="7149" spans="1:40" x14ac:dyDescent="0.25">
      <c r="A7149" t="str">
        <f>"20190312172547134"</f>
        <v>20190312172547134</v>
      </c>
      <c r="B7149" t="str">
        <f>"1552382747127760"</f>
        <v>1552382747127760</v>
      </c>
      <c r="C7149" t="s">
        <v>40</v>
      </c>
      <c r="D7149">
        <v>3.8300420000000002</v>
      </c>
      <c r="E7149">
        <v>0.54569299999999998</v>
      </c>
      <c r="F7149" t="s">
        <v>41</v>
      </c>
      <c r="G7149">
        <v>-187.44730000000001</v>
      </c>
      <c r="H7149">
        <v>0.95513650000000005</v>
      </c>
      <c r="I7149">
        <v>35.497959999999999</v>
      </c>
      <c r="J7149">
        <v>-187.5556</v>
      </c>
      <c r="K7149">
        <v>1.110528</v>
      </c>
      <c r="L7149">
        <v>35.030670000000001</v>
      </c>
      <c r="M7149">
        <v>-2.9144819999999999E-3</v>
      </c>
      <c r="N7149">
        <v>0</v>
      </c>
      <c r="O7149">
        <v>0.99992669999999995</v>
      </c>
      <c r="P7149">
        <v>2.9839879999999999E-2</v>
      </c>
      <c r="Q7149">
        <v>0.16785710000000001</v>
      </c>
      <c r="R7149">
        <v>0.9853596</v>
      </c>
      <c r="S7149">
        <v>0.38958739999999997</v>
      </c>
      <c r="T7149">
        <v>-0.568175599999999</v>
      </c>
      <c r="U7149">
        <v>3.130646</v>
      </c>
      <c r="V7149">
        <v>3.2410750000000002E-2</v>
      </c>
      <c r="W7149">
        <v>0.17947769999999999</v>
      </c>
      <c r="X7149">
        <v>0.98322799999999999</v>
      </c>
      <c r="Y7149">
        <v>0.1244277</v>
      </c>
      <c r="Z7149">
        <v>-0.17721419999999999</v>
      </c>
      <c r="AA7149">
        <v>0.976275</v>
      </c>
      <c r="AB7149">
        <v>38</v>
      </c>
      <c r="AC7149">
        <v>0.10829999999998501</v>
      </c>
      <c r="AD7149">
        <v>-0.15539149999999999</v>
      </c>
      <c r="AE7149">
        <v>0.46728999999999798</v>
      </c>
      <c r="AF7149">
        <v>9.9246214903167304E-2</v>
      </c>
      <c r="AG7149">
        <v>-0.15539149999999999</v>
      </c>
      <c r="AH7149">
        <v>0.42262070830130599</v>
      </c>
      <c r="AI7149">
        <v>109.694724103989</v>
      </c>
      <c r="AJ7149">
        <v>76.784397786901806</v>
      </c>
      <c r="AK7149">
        <v>0.46109065543551497</v>
      </c>
      <c r="AL7149">
        <v>79.660661213958093</v>
      </c>
      <c r="AM7149">
        <v>88.112007572056299</v>
      </c>
      <c r="AN7149">
        <v>1.00000000074842</v>
      </c>
    </row>
    <row r="7150" spans="1:40" x14ac:dyDescent="0.25">
      <c r="A7150" t="str">
        <f>"20190312172547156"</f>
        <v>20190312172547156</v>
      </c>
      <c r="B7150" t="str">
        <f>"1552382747147279"</f>
        <v>1552382747147279</v>
      </c>
      <c r="C7150" t="s">
        <v>40</v>
      </c>
      <c r="D7150">
        <v>3.7176439999999999</v>
      </c>
      <c r="E7150">
        <v>0.54816699999999996</v>
      </c>
      <c r="F7150" t="s">
        <v>41</v>
      </c>
      <c r="G7150">
        <v>-187.44880000000001</v>
      </c>
      <c r="H7150">
        <v>0.95778640000000004</v>
      </c>
      <c r="I7150">
        <v>35.838250000000002</v>
      </c>
      <c r="J7150">
        <v>-187.5573</v>
      </c>
      <c r="K7150">
        <v>1.110544</v>
      </c>
      <c r="L7150">
        <v>35.389249999999997</v>
      </c>
      <c r="M7150">
        <v>-3.5643300000000001E-3</v>
      </c>
      <c r="N7150">
        <v>0</v>
      </c>
      <c r="O7150">
        <v>0.99992380000000003</v>
      </c>
      <c r="P7150">
        <v>2.8982609999999999E-2</v>
      </c>
      <c r="Q7150">
        <v>0.16695929999999901</v>
      </c>
      <c r="R7150">
        <v>0.98553769999999996</v>
      </c>
      <c r="S7150">
        <v>0.41419980000000001</v>
      </c>
      <c r="T7150">
        <v>-0.59255360000000001</v>
      </c>
      <c r="U7150">
        <v>3.132965</v>
      </c>
      <c r="V7150">
        <v>3.2195540000000002E-2</v>
      </c>
      <c r="W7150">
        <v>0.17865110000000001</v>
      </c>
      <c r="X7150">
        <v>0.98338559999999997</v>
      </c>
      <c r="Y7150">
        <v>0.13235539999999901</v>
      </c>
      <c r="Z7150">
        <v>-0.18424670000000001</v>
      </c>
      <c r="AA7150">
        <v>0.97392769999999995</v>
      </c>
      <c r="AB7150">
        <v>38</v>
      </c>
      <c r="AC7150">
        <v>0.10849999999999201</v>
      </c>
      <c r="AD7150">
        <v>-0.15275759999999999</v>
      </c>
      <c r="AE7150">
        <v>0.44900000000000501</v>
      </c>
      <c r="AF7150">
        <v>9.9246076321239399E-2</v>
      </c>
      <c r="AG7150">
        <v>-0.15275759999999999</v>
      </c>
      <c r="AH7150">
        <v>0.40438600596095298</v>
      </c>
      <c r="AI7150">
        <v>110.146309910082</v>
      </c>
      <c r="AJ7150">
        <v>76.210777750525494</v>
      </c>
      <c r="AK7150">
        <v>0.44352306573612699</v>
      </c>
      <c r="AL7150">
        <v>79.708799982831096</v>
      </c>
      <c r="AM7150">
        <v>88.124835364071899</v>
      </c>
      <c r="AN7150">
        <v>1.00000000330723</v>
      </c>
    </row>
    <row r="7151" spans="1:40" x14ac:dyDescent="0.25">
      <c r="A7151" t="str">
        <f>"20190312172547178"</f>
        <v>20190312172547178</v>
      </c>
      <c r="B7151" t="str">
        <f>"1552382747167778"</f>
        <v>1552382747167778</v>
      </c>
      <c r="C7151" t="s">
        <v>40</v>
      </c>
      <c r="D7151">
        <v>3.6766909999999999</v>
      </c>
      <c r="E7151">
        <v>0.54996339999999999</v>
      </c>
      <c r="F7151" t="s">
        <v>41</v>
      </c>
      <c r="G7151">
        <v>-187.44880000000001</v>
      </c>
      <c r="H7151">
        <v>0.95723150000000001</v>
      </c>
      <c r="I7151">
        <v>36.177030000000002</v>
      </c>
      <c r="J7151">
        <v>-187.55930000000001</v>
      </c>
      <c r="K7151">
        <v>1.1105560000000001</v>
      </c>
      <c r="L7151">
        <v>35.76849</v>
      </c>
      <c r="M7151">
        <v>-4.2332769999999997E-3</v>
      </c>
      <c r="N7151">
        <v>0</v>
      </c>
      <c r="O7151">
        <v>0.99992009999999998</v>
      </c>
      <c r="P7151">
        <v>2.7781509999999999E-2</v>
      </c>
      <c r="Q7151">
        <v>0.16710159999999999</v>
      </c>
      <c r="R7151">
        <v>0.98554819999999999</v>
      </c>
      <c r="S7151">
        <v>0.43116759999999899</v>
      </c>
      <c r="T7151">
        <v>-0.61007670000000003</v>
      </c>
      <c r="U7151">
        <v>3.1347049999999999</v>
      </c>
      <c r="V7151">
        <v>3.1656150000000001E-2</v>
      </c>
      <c r="W7151">
        <v>0.17887629999999999</v>
      </c>
      <c r="X7151">
        <v>0.98336219999999996</v>
      </c>
      <c r="Y7151">
        <v>0.13799330000000001</v>
      </c>
      <c r="Z7151">
        <v>-0.1892604</v>
      </c>
      <c r="AA7151">
        <v>0.97218230000000005</v>
      </c>
      <c r="AB7151">
        <v>38</v>
      </c>
      <c r="AC7151">
        <v>0.110500000000001</v>
      </c>
      <c r="AD7151">
        <v>-0.153324499999999</v>
      </c>
      <c r="AE7151">
        <v>0.40854000000000201</v>
      </c>
      <c r="AF7151">
        <v>9.9207825972464303E-2</v>
      </c>
      <c r="AG7151">
        <v>-0.153324499999999</v>
      </c>
      <c r="AH7151">
        <v>0.36072438945408403</v>
      </c>
      <c r="AI7151">
        <v>112.28525338900999</v>
      </c>
      <c r="AJ7151">
        <v>74.622476027725597</v>
      </c>
      <c r="AK7151">
        <v>0.40431754869341802</v>
      </c>
      <c r="AL7151">
        <v>79.695686001829799</v>
      </c>
      <c r="AM7151">
        <v>88.156185340305896</v>
      </c>
      <c r="AN7151">
        <v>1.00000002946167</v>
      </c>
    </row>
    <row r="7152" spans="1:40" x14ac:dyDescent="0.25">
      <c r="A7152" t="str">
        <f>"20190312172547199"</f>
        <v>20190312172547199</v>
      </c>
      <c r="B7152" t="str">
        <f>"1552382747187294"</f>
        <v>1552382747187294</v>
      </c>
      <c r="C7152" t="s">
        <v>40</v>
      </c>
      <c r="D7152">
        <v>3.714496</v>
      </c>
      <c r="E7152">
        <v>0.55137049999999999</v>
      </c>
      <c r="F7152" t="s">
        <v>41</v>
      </c>
      <c r="G7152">
        <v>-187.4537</v>
      </c>
      <c r="H7152">
        <v>0.96220859999999997</v>
      </c>
      <c r="I7152">
        <v>36.5182</v>
      </c>
      <c r="J7152">
        <v>-187.56139999999999</v>
      </c>
      <c r="K7152">
        <v>1.11056</v>
      </c>
      <c r="L7152">
        <v>36.132689999999997</v>
      </c>
      <c r="M7152">
        <v>-4.8423880000000004E-3</v>
      </c>
      <c r="N7152">
        <v>0</v>
      </c>
      <c r="O7152">
        <v>0.99991629999999998</v>
      </c>
      <c r="P7152">
        <v>2.7165539999999998E-2</v>
      </c>
      <c r="Q7152">
        <v>0.16736879999999901</v>
      </c>
      <c r="R7152">
        <v>0.98551999999999995</v>
      </c>
      <c r="S7152">
        <v>0.44166559999999999</v>
      </c>
      <c r="T7152">
        <v>-0.62069490000000005</v>
      </c>
      <c r="U7152">
        <v>3.1367799999999999</v>
      </c>
      <c r="V7152">
        <v>3.1647750000000002E-2</v>
      </c>
      <c r="W7152">
        <v>0.1792338</v>
      </c>
      <c r="X7152">
        <v>0.98329730000000004</v>
      </c>
      <c r="Y7152">
        <v>0.1416203</v>
      </c>
      <c r="Z7152">
        <v>-0.192218</v>
      </c>
      <c r="AA7152">
        <v>0.97107980000000005</v>
      </c>
      <c r="AB7152">
        <v>38</v>
      </c>
      <c r="AC7152">
        <v>0.10769999999999399</v>
      </c>
      <c r="AD7152">
        <v>-0.14835139999999999</v>
      </c>
      <c r="AE7152">
        <v>0.38550999999999602</v>
      </c>
      <c r="AF7152">
        <v>9.6332948003068505E-2</v>
      </c>
      <c r="AG7152">
        <v>-0.14835139999999999</v>
      </c>
      <c r="AH7152">
        <v>0.33848776592272301</v>
      </c>
      <c r="AI7152">
        <v>112.857266741301</v>
      </c>
      <c r="AJ7152">
        <v>74.113751861404793</v>
      </c>
      <c r="AK7152">
        <v>0.38191902601504102</v>
      </c>
      <c r="AL7152">
        <v>79.674865545606494</v>
      </c>
      <c r="AM7152">
        <v>88.156552681298393</v>
      </c>
      <c r="AN7152">
        <v>0.99999995766489502</v>
      </c>
    </row>
    <row r="7153" spans="1:40" x14ac:dyDescent="0.25">
      <c r="A7153" t="str">
        <f>"20190312172547220"</f>
        <v>20190312172547220</v>
      </c>
      <c r="B7153" t="str">
        <f>"1552382747216952"</f>
        <v>1552382747216952</v>
      </c>
      <c r="C7153" t="s">
        <v>40</v>
      </c>
      <c r="D7153">
        <v>3.8558699999999999</v>
      </c>
      <c r="E7153">
        <v>0.55342819999999904</v>
      </c>
      <c r="F7153" t="s">
        <v>41</v>
      </c>
      <c r="G7153">
        <v>-187.45689999999999</v>
      </c>
      <c r="H7153">
        <v>0.96530990000000005</v>
      </c>
      <c r="I7153">
        <v>36.858490000000003</v>
      </c>
      <c r="J7153">
        <v>-187.56370000000001</v>
      </c>
      <c r="K7153">
        <v>1.1105499999999999</v>
      </c>
      <c r="L7153">
        <v>36.495939999999997</v>
      </c>
      <c r="M7153">
        <v>-5.3989329999999999E-3</v>
      </c>
      <c r="N7153">
        <v>0</v>
      </c>
      <c r="O7153">
        <v>0.99991209999999997</v>
      </c>
      <c r="P7153">
        <v>2.6354079999999998E-2</v>
      </c>
      <c r="Q7153">
        <v>0.16778009999999999</v>
      </c>
      <c r="R7153">
        <v>0.98547209999999996</v>
      </c>
      <c r="S7153">
        <v>0.45097350000000003</v>
      </c>
      <c r="T7153">
        <v>-0.62807109999999899</v>
      </c>
      <c r="U7153">
        <v>3.138306</v>
      </c>
      <c r="V7153">
        <v>3.139894E-2</v>
      </c>
      <c r="W7153">
        <v>0.1797512</v>
      </c>
      <c r="X7153">
        <v>0.9832109</v>
      </c>
      <c r="Y7153">
        <v>0.14487130000000001</v>
      </c>
      <c r="Z7153">
        <v>-0.19423979999999999</v>
      </c>
      <c r="AA7153">
        <v>0.97019750000000005</v>
      </c>
      <c r="AB7153">
        <v>38</v>
      </c>
      <c r="AC7153">
        <v>0.106800000000021</v>
      </c>
      <c r="AD7153">
        <v>-0.14524009999999901</v>
      </c>
      <c r="AE7153">
        <v>0.36254999999999798</v>
      </c>
      <c r="AF7153">
        <v>9.4762282477476797E-2</v>
      </c>
      <c r="AG7153">
        <v>-0.14524009999999901</v>
      </c>
      <c r="AH7153">
        <v>0.315393446754408</v>
      </c>
      <c r="AI7153">
        <v>113.798810604835</v>
      </c>
      <c r="AJ7153">
        <v>73.276717677092407</v>
      </c>
      <c r="AK7153">
        <v>0.35992721914850601</v>
      </c>
      <c r="AL7153">
        <v>79.644732071419696</v>
      </c>
      <c r="AM7153">
        <v>88.170875101594305</v>
      </c>
      <c r="AN7153">
        <v>1.0000000306066801</v>
      </c>
    </row>
    <row r="7154" spans="1:40" x14ac:dyDescent="0.25">
      <c r="A7154" t="str">
        <f>"20190312172547244"</f>
        <v>20190312172547244</v>
      </c>
      <c r="B7154" t="str">
        <f>"1552382747237449"</f>
        <v>1552382747237449</v>
      </c>
      <c r="C7154" t="s">
        <v>40</v>
      </c>
      <c r="D7154">
        <v>3.7027030000000001</v>
      </c>
      <c r="E7154">
        <v>0.55438580000000004</v>
      </c>
      <c r="F7154" t="s">
        <v>41</v>
      </c>
      <c r="G7154">
        <v>-187.4599</v>
      </c>
      <c r="H7154">
        <v>0.96715070000000003</v>
      </c>
      <c r="I7154">
        <v>37.19802</v>
      </c>
      <c r="J7154">
        <v>-187.56630000000001</v>
      </c>
      <c r="K7154">
        <v>1.11053</v>
      </c>
      <c r="L7154">
        <v>36.880740000000003</v>
      </c>
      <c r="M7154">
        <v>-5.9137479999999999E-3</v>
      </c>
      <c r="N7154">
        <v>0</v>
      </c>
      <c r="O7154">
        <v>0.99990730000000005</v>
      </c>
      <c r="P7154">
        <v>2.6178380000000001E-2</v>
      </c>
      <c r="Q7154">
        <v>0.16775279999999901</v>
      </c>
      <c r="R7154">
        <v>0.98548139999999995</v>
      </c>
      <c r="S7154">
        <v>0.46463009999999899</v>
      </c>
      <c r="T7154">
        <v>-0.64156150000000001</v>
      </c>
      <c r="U7154">
        <v>3.141022</v>
      </c>
      <c r="V7154">
        <v>3.1755230000000002E-2</v>
      </c>
      <c r="W7154">
        <v>0.17986849999999999</v>
      </c>
      <c r="X7154">
        <v>0.983178</v>
      </c>
      <c r="Y7154">
        <v>0.14928239999999901</v>
      </c>
      <c r="Z7154">
        <v>-0.1979593</v>
      </c>
      <c r="AA7154">
        <v>0.96877599999999997</v>
      </c>
      <c r="AB7154">
        <v>38</v>
      </c>
      <c r="AC7154">
        <v>0.106400000000007</v>
      </c>
      <c r="AD7154">
        <v>-0.14337929999999999</v>
      </c>
      <c r="AE7154">
        <v>0.31727999999999601</v>
      </c>
      <c r="AF7154">
        <v>9.1481314218623294E-2</v>
      </c>
      <c r="AG7154">
        <v>-0.14337929999999999</v>
      </c>
      <c r="AH7154">
        <v>0.26753383369597999</v>
      </c>
      <c r="AI7154">
        <v>116.889679300553</v>
      </c>
      <c r="AJ7154">
        <v>71.122237391019596</v>
      </c>
      <c r="AK7154">
        <v>0.31701862199518299</v>
      </c>
      <c r="AL7154">
        <v>79.637899871817893</v>
      </c>
      <c r="AM7154">
        <v>88.150072139541393</v>
      </c>
      <c r="AN7154">
        <v>1.0000000258043</v>
      </c>
    </row>
    <row r="7155" spans="1:40" x14ac:dyDescent="0.25">
      <c r="A7155" t="str">
        <f>"20190312172547269"</f>
        <v>20190312172547269</v>
      </c>
      <c r="B7155" t="str">
        <f>"1552382747256971"</f>
        <v>1552382747256971</v>
      </c>
      <c r="C7155" t="s">
        <v>40</v>
      </c>
      <c r="D7155">
        <v>3.7834469999999998</v>
      </c>
      <c r="E7155">
        <v>0.55525219999999997</v>
      </c>
      <c r="F7155" t="s">
        <v>41</v>
      </c>
      <c r="G7155">
        <v>-187.4204</v>
      </c>
      <c r="H7155">
        <v>0.91034809999999999</v>
      </c>
      <c r="I7155">
        <v>37.8506</v>
      </c>
      <c r="J7155">
        <v>-187.56950000000001</v>
      </c>
      <c r="K7155">
        <v>1.11049</v>
      </c>
      <c r="L7155">
        <v>37.31494</v>
      </c>
      <c r="M7155">
        <v>-6.3979279999999998E-3</v>
      </c>
      <c r="N7155">
        <v>0</v>
      </c>
      <c r="O7155">
        <v>0.99990179999999995</v>
      </c>
      <c r="P7155">
        <v>2.553681E-2</v>
      </c>
      <c r="Q7155">
        <v>0.1674755</v>
      </c>
      <c r="R7155">
        <v>0.98554549999999996</v>
      </c>
      <c r="S7155">
        <v>0.47244259999999899</v>
      </c>
      <c r="T7155">
        <v>-0.64852330000000002</v>
      </c>
      <c r="U7155">
        <v>3.142029</v>
      </c>
      <c r="V7155">
        <v>3.1626620000000001E-2</v>
      </c>
      <c r="W7155">
        <v>0.1797887</v>
      </c>
      <c r="X7155">
        <v>0.98319670000000003</v>
      </c>
      <c r="Y7155">
        <v>0.1520136</v>
      </c>
      <c r="Z7155">
        <v>-0.19988230000000001</v>
      </c>
      <c r="AA7155">
        <v>0.96795609999999999</v>
      </c>
      <c r="AB7155">
        <v>38</v>
      </c>
      <c r="AC7155">
        <v>0.14910000000000401</v>
      </c>
      <c r="AD7155">
        <v>-0.20014190000000001</v>
      </c>
      <c r="AE7155">
        <v>0.53566000000000003</v>
      </c>
      <c r="AF7155">
        <v>0.135029204912403</v>
      </c>
      <c r="AG7155">
        <v>-0.20014190000000001</v>
      </c>
      <c r="AH7155">
        <v>0.47336346588219802</v>
      </c>
      <c r="AI7155">
        <v>112.126138282935</v>
      </c>
      <c r="AJ7155">
        <v>74.078946270019202</v>
      </c>
      <c r="AK7155">
        <v>0.53137805482245204</v>
      </c>
      <c r="AL7155">
        <v>79.642547422385803</v>
      </c>
      <c r="AM7155">
        <v>88.157594268152195</v>
      </c>
      <c r="AN7155">
        <v>0.99999998531560197</v>
      </c>
    </row>
    <row r="7156" spans="1:40" x14ac:dyDescent="0.25">
      <c r="A7156" t="str">
        <f>"20190312172547289"</f>
        <v>20190312172547289</v>
      </c>
      <c r="B7156" t="str">
        <f>"1552382747277464"</f>
        <v>1552382747277464</v>
      </c>
      <c r="C7156" t="s">
        <v>40</v>
      </c>
      <c r="D7156">
        <v>3.7364670000000002</v>
      </c>
      <c r="E7156">
        <v>0.55561000000000005</v>
      </c>
      <c r="F7156" t="s">
        <v>41</v>
      </c>
      <c r="G7156">
        <v>-187.43549999999999</v>
      </c>
      <c r="H7156">
        <v>0.92696909999999999</v>
      </c>
      <c r="I7156">
        <v>38.194929999999999</v>
      </c>
      <c r="J7156">
        <v>-187.5719</v>
      </c>
      <c r="K7156">
        <v>1.110457</v>
      </c>
      <c r="L7156">
        <v>37.649259999999998</v>
      </c>
      <c r="M7156">
        <v>-6.7073979999999998E-3</v>
      </c>
      <c r="N7156">
        <v>0</v>
      </c>
      <c r="O7156">
        <v>0.99989760000000005</v>
      </c>
      <c r="P7156">
        <v>2.5352710000000001E-2</v>
      </c>
      <c r="Q7156">
        <v>0.1672662</v>
      </c>
      <c r="R7156">
        <v>0.98558570000000001</v>
      </c>
      <c r="S7156">
        <v>0.4780121</v>
      </c>
      <c r="T7156">
        <v>-0.65547100000000003</v>
      </c>
      <c r="U7156">
        <v>3.143005</v>
      </c>
      <c r="V7156">
        <v>3.177601E-2</v>
      </c>
      <c r="W7156">
        <v>0.17974419999999999</v>
      </c>
      <c r="X7156">
        <v>0.98319999999999996</v>
      </c>
      <c r="Y7156">
        <v>0.1538919</v>
      </c>
      <c r="Z7156">
        <v>-0.20182050000000001</v>
      </c>
      <c r="AA7156">
        <v>0.96725680000000003</v>
      </c>
      <c r="AB7156">
        <v>38</v>
      </c>
      <c r="AC7156">
        <v>0.13640000000000799</v>
      </c>
      <c r="AD7156">
        <v>-0.18348790000000001</v>
      </c>
      <c r="AE7156">
        <v>0.54567000000000099</v>
      </c>
      <c r="AF7156">
        <v>0.126585716397667</v>
      </c>
      <c r="AG7156">
        <v>-0.18348790000000001</v>
      </c>
      <c r="AH7156">
        <v>0.492346186183102</v>
      </c>
      <c r="AI7156">
        <v>109.846626687341</v>
      </c>
      <c r="AJ7156">
        <v>75.581146780828007</v>
      </c>
      <c r="AK7156">
        <v>0.54045954528657003</v>
      </c>
      <c r="AL7156">
        <v>79.645139107265706</v>
      </c>
      <c r="AM7156">
        <v>88.148903817058596</v>
      </c>
      <c r="AN7156">
        <v>0.99999996612257902</v>
      </c>
    </row>
    <row r="7157" spans="1:40" x14ac:dyDescent="0.25">
      <c r="A7157" t="str">
        <f>"20190312172547311"</f>
        <v>20190312172547311</v>
      </c>
      <c r="B7157" t="str">
        <f>"1552382747307720"</f>
        <v>1552382747307720</v>
      </c>
      <c r="C7157" t="s">
        <v>40</v>
      </c>
      <c r="D7157">
        <v>3.7319279999999999</v>
      </c>
      <c r="E7157">
        <v>0.56969579999999997</v>
      </c>
      <c r="F7157" t="s">
        <v>41</v>
      </c>
      <c r="G7157">
        <v>-187.43680000000001</v>
      </c>
      <c r="H7157">
        <v>0.92540239999999996</v>
      </c>
      <c r="I7157">
        <v>38.531930000000003</v>
      </c>
      <c r="J7157">
        <v>-187.5746</v>
      </c>
      <c r="K7157">
        <v>1.1104160000000001</v>
      </c>
      <c r="L7157">
        <v>38.014919999999996</v>
      </c>
      <c r="M7157">
        <v>-6.9653129999999999E-3</v>
      </c>
      <c r="N7157">
        <v>0</v>
      </c>
      <c r="O7157">
        <v>0.99989320000000004</v>
      </c>
      <c r="P7157">
        <v>2.5253330000000001E-2</v>
      </c>
      <c r="Q7157">
        <v>0.1670769</v>
      </c>
      <c r="R7157">
        <v>0.98562039999999995</v>
      </c>
      <c r="S7157">
        <v>0.48085020000000001</v>
      </c>
      <c r="T7157">
        <v>-0.65901319999999997</v>
      </c>
      <c r="U7157">
        <v>3.1433409999999999</v>
      </c>
      <c r="V7157">
        <v>3.1962770000000001E-2</v>
      </c>
      <c r="W7157">
        <v>0.1797465</v>
      </c>
      <c r="X7157">
        <v>0.9831936</v>
      </c>
      <c r="Y7157">
        <v>0.1549536</v>
      </c>
      <c r="Z7157">
        <v>-0.20281460000000001</v>
      </c>
      <c r="AA7157">
        <v>0.9668793</v>
      </c>
      <c r="AB7157">
        <v>38</v>
      </c>
      <c r="AC7157">
        <v>0.13779999999999801</v>
      </c>
      <c r="AD7157">
        <v>-0.1850136</v>
      </c>
      <c r="AE7157">
        <v>0.51700999999999198</v>
      </c>
      <c r="AF7157">
        <v>0.12629735354923999</v>
      </c>
      <c r="AG7157">
        <v>-0.1850136</v>
      </c>
      <c r="AH7157">
        <v>0.46092685957956803</v>
      </c>
      <c r="AI7157">
        <v>111.16266718045399</v>
      </c>
      <c r="AJ7157">
        <v>74.676637354971703</v>
      </c>
      <c r="AK7157">
        <v>0.51247890061970802</v>
      </c>
      <c r="AL7157">
        <v>79.645005908169495</v>
      </c>
      <c r="AM7157">
        <v>88.138019727204394</v>
      </c>
      <c r="AN7157">
        <v>1.00000003900464</v>
      </c>
    </row>
    <row r="7158" spans="1:40" x14ac:dyDescent="0.25">
      <c r="A7158" t="str">
        <f>"20190312172547345"</f>
        <v>20190312172547345</v>
      </c>
      <c r="B7158" t="str">
        <f>"1552382747337001"</f>
        <v>1552382747337001</v>
      </c>
      <c r="C7158" t="s">
        <v>40</v>
      </c>
      <c r="D7158">
        <v>3.6504620000000001</v>
      </c>
      <c r="E7158">
        <v>0.56889769999999995</v>
      </c>
      <c r="F7158" t="s">
        <v>41</v>
      </c>
      <c r="G7158">
        <v>-187.41679999999999</v>
      </c>
      <c r="H7158">
        <v>0.90375439999999996</v>
      </c>
      <c r="I7158">
        <v>38.861190000000001</v>
      </c>
      <c r="J7158">
        <v>-187.57900000000001</v>
      </c>
      <c r="K7158">
        <v>1.110352</v>
      </c>
      <c r="L7158">
        <v>38.598080000000003</v>
      </c>
      <c r="M7158">
        <v>-7.2104019999999899E-3</v>
      </c>
      <c r="N7158">
        <v>0</v>
      </c>
      <c r="O7158">
        <v>0.99988719999999998</v>
      </c>
      <c r="P7158">
        <v>2.526254E-2</v>
      </c>
      <c r="Q7158">
        <v>0.165941899999999</v>
      </c>
      <c r="R7158">
        <v>0.98581189999999996</v>
      </c>
      <c r="S7158">
        <v>0.58877559999999995</v>
      </c>
      <c r="T7158">
        <v>-0.7715514</v>
      </c>
      <c r="U7158">
        <v>3.1594540000000002</v>
      </c>
      <c r="V7158">
        <v>3.2264809999999998E-2</v>
      </c>
      <c r="W7158">
        <v>0.1789289</v>
      </c>
      <c r="X7158">
        <v>0.98333280000000001</v>
      </c>
      <c r="Y7158">
        <v>0.1852277</v>
      </c>
      <c r="Z7158">
        <v>-0.2332728</v>
      </c>
      <c r="AA7158">
        <v>0.95460699999999998</v>
      </c>
      <c r="AB7158">
        <v>38</v>
      </c>
      <c r="AC7158">
        <v>0.162200000000012</v>
      </c>
      <c r="AD7158">
        <v>-0.20659759999999999</v>
      </c>
      <c r="AE7158">
        <v>0.26311000000000401</v>
      </c>
      <c r="AF7158">
        <v>0.113420228174888</v>
      </c>
      <c r="AG7158">
        <v>-0.20659759999999999</v>
      </c>
      <c r="AH7158">
        <v>0.18104700968955401</v>
      </c>
      <c r="AI7158">
        <v>134.039882148255</v>
      </c>
      <c r="AJ7158">
        <v>57.934157017458602</v>
      </c>
      <c r="AK7158">
        <v>0.29719477822218399</v>
      </c>
      <c r="AL7158">
        <v>79.692622334530896</v>
      </c>
      <c r="AM7158">
        <v>88.120702930505004</v>
      </c>
      <c r="AN7158">
        <v>0.99999998238769205</v>
      </c>
    </row>
    <row r="7159" spans="1:40" x14ac:dyDescent="0.25">
      <c r="A7159" t="str">
        <f>"20190312172547367"</f>
        <v>20190312172547367</v>
      </c>
      <c r="B7159" t="str">
        <f>"1552382747357496"</f>
        <v>1552382747357496</v>
      </c>
      <c r="C7159" t="s">
        <v>40</v>
      </c>
      <c r="D7159">
        <v>3.6936429999999998</v>
      </c>
      <c r="E7159">
        <v>0.56895609999999996</v>
      </c>
      <c r="F7159" t="s">
        <v>41</v>
      </c>
      <c r="G7159">
        <v>-187.40790000000001</v>
      </c>
      <c r="H7159">
        <v>0.88295709999999905</v>
      </c>
      <c r="I7159">
        <v>39.526350000000001</v>
      </c>
      <c r="J7159">
        <v>-187.58179999999999</v>
      </c>
      <c r="K7159">
        <v>1.110312</v>
      </c>
      <c r="L7159">
        <v>38.969450000000002</v>
      </c>
      <c r="M7159">
        <v>-7.2755600000000004E-3</v>
      </c>
      <c r="N7159">
        <v>0</v>
      </c>
      <c r="O7159">
        <v>0.99988410000000005</v>
      </c>
      <c r="P7159">
        <v>2.547957E-2</v>
      </c>
      <c r="Q7159">
        <v>0.16575819999999999</v>
      </c>
      <c r="R7159">
        <v>0.98583719999999997</v>
      </c>
      <c r="S7159">
        <v>0.58175659999999996</v>
      </c>
      <c r="T7159">
        <v>-0.77372439999999998</v>
      </c>
      <c r="U7159">
        <v>3.1585079999999999</v>
      </c>
      <c r="V7159">
        <v>3.257409E-2</v>
      </c>
      <c r="W7159">
        <v>0.1789345</v>
      </c>
      <c r="X7159">
        <v>0.98332160000000002</v>
      </c>
      <c r="Y7159">
        <v>0.18325820000000001</v>
      </c>
      <c r="Z7159">
        <v>-0.23404610000000001</v>
      </c>
      <c r="AA7159">
        <v>0.95479780000000003</v>
      </c>
      <c r="AB7159">
        <v>38</v>
      </c>
      <c r="AC7159">
        <v>0.17389999999997399</v>
      </c>
      <c r="AD7159">
        <v>-0.2273549</v>
      </c>
      <c r="AE7159">
        <v>0.55689999999999795</v>
      </c>
      <c r="AF7159">
        <v>0.15448697905553699</v>
      </c>
      <c r="AG7159">
        <v>-0.2273549</v>
      </c>
      <c r="AH7159">
        <v>0.48236718615935698</v>
      </c>
      <c r="AI7159">
        <v>114.17400583527601</v>
      </c>
      <c r="AJ7159">
        <v>72.241378420580503</v>
      </c>
      <c r="AK7159">
        <v>0.55518877828627999</v>
      </c>
      <c r="AL7159">
        <v>79.692296375974706</v>
      </c>
      <c r="AM7159">
        <v>88.102680107868295</v>
      </c>
      <c r="AN7159">
        <v>0.99999999782806903</v>
      </c>
    </row>
    <row r="7160" spans="1:40" x14ac:dyDescent="0.25">
      <c r="A7160" t="str">
        <f>"20190312172547388"</f>
        <v>20190312172547388</v>
      </c>
      <c r="B7160" t="str">
        <f>"1552382747377019"</f>
        <v>1552382747377019</v>
      </c>
      <c r="C7160" t="s">
        <v>40</v>
      </c>
      <c r="D7160">
        <v>3.7232590000000001</v>
      </c>
      <c r="E7160">
        <v>0.56897529999999996</v>
      </c>
      <c r="F7160" t="s">
        <v>41</v>
      </c>
      <c r="G7160">
        <v>-187.41650000000001</v>
      </c>
      <c r="H7160">
        <v>0.89077969999999895</v>
      </c>
      <c r="I7160">
        <v>39.865430000000003</v>
      </c>
      <c r="J7160">
        <v>-187.58439999999999</v>
      </c>
      <c r="K7160">
        <v>1.1102749999999999</v>
      </c>
      <c r="L7160">
        <v>39.324460000000002</v>
      </c>
      <c r="M7160">
        <v>-7.2874690000000004E-3</v>
      </c>
      <c r="N7160">
        <v>0</v>
      </c>
      <c r="O7160">
        <v>0.99988169999999998</v>
      </c>
      <c r="P7160">
        <v>2.6836169999999999E-2</v>
      </c>
      <c r="Q7160">
        <v>0.1657283</v>
      </c>
      <c r="R7160">
        <v>0.98580619999999997</v>
      </c>
      <c r="S7160">
        <v>0.58233639999999998</v>
      </c>
      <c r="T7160">
        <v>-0.77381719999999998</v>
      </c>
      <c r="U7160">
        <v>3.1581730000000001</v>
      </c>
      <c r="V7160">
        <v>3.396586E-2</v>
      </c>
      <c r="W7160">
        <v>0.17907049999999999</v>
      </c>
      <c r="X7160">
        <v>0.9832497</v>
      </c>
      <c r="Y7160">
        <v>0.1834557</v>
      </c>
      <c r="Z7160">
        <v>-0.23408770000000001</v>
      </c>
      <c r="AA7160">
        <v>0.95474970000000003</v>
      </c>
      <c r="AB7160">
        <v>38</v>
      </c>
      <c r="AC7160">
        <v>0.16789999999997399</v>
      </c>
      <c r="AD7160">
        <v>-0.2194953</v>
      </c>
      <c r="AE7160">
        <v>0.54097000000000095</v>
      </c>
      <c r="AF7160">
        <v>0.149403330265578</v>
      </c>
      <c r="AG7160">
        <v>-0.2194953</v>
      </c>
      <c r="AH7160">
        <v>0.46926556055402202</v>
      </c>
      <c r="AI7160">
        <v>114.022459139928</v>
      </c>
      <c r="AJ7160">
        <v>72.339724796261606</v>
      </c>
      <c r="AK7160">
        <v>0.53917502551455099</v>
      </c>
      <c r="AL7160">
        <v>79.684375709849107</v>
      </c>
      <c r="AM7160">
        <v>88.021533216561096</v>
      </c>
      <c r="AN7160">
        <v>0.99999994808293802</v>
      </c>
    </row>
    <row r="7161" spans="1:40" x14ac:dyDescent="0.25">
      <c r="A7161" t="str">
        <f>"20190312172547411"</f>
        <v>20190312172547411</v>
      </c>
      <c r="B7161" t="str">
        <f>"1552382747407272"</f>
        <v>1552382747407272</v>
      </c>
      <c r="C7161" t="s">
        <v>40</v>
      </c>
      <c r="D7161">
        <v>3.6843240000000002</v>
      </c>
      <c r="E7161">
        <v>0.56897129999999996</v>
      </c>
      <c r="F7161" t="s">
        <v>41</v>
      </c>
      <c r="G7161">
        <v>-187.42140000000001</v>
      </c>
      <c r="H7161">
        <v>0.89505889999999999</v>
      </c>
      <c r="I7161">
        <v>40.202860000000001</v>
      </c>
      <c r="J7161">
        <v>-187.58709999999999</v>
      </c>
      <c r="K7161">
        <v>1.1102320000000001</v>
      </c>
      <c r="L7161">
        <v>39.701140000000002</v>
      </c>
      <c r="M7161">
        <v>-7.2446639999999996E-3</v>
      </c>
      <c r="N7161">
        <v>0</v>
      </c>
      <c r="O7161">
        <v>0.99987979999999999</v>
      </c>
      <c r="P7161">
        <v>2.8175309999999999E-2</v>
      </c>
      <c r="Q7161">
        <v>0.16588310000000001</v>
      </c>
      <c r="R7161">
        <v>0.98574289999999998</v>
      </c>
      <c r="S7161">
        <v>0.5849915</v>
      </c>
      <c r="T7161">
        <v>-0.77357109999999996</v>
      </c>
      <c r="U7161">
        <v>3.1573180000000001</v>
      </c>
      <c r="V7161">
        <v>3.528655E-2</v>
      </c>
      <c r="W7161">
        <v>0.1793825</v>
      </c>
      <c r="X7161">
        <v>0.98314639999999998</v>
      </c>
      <c r="Y7161">
        <v>0.18423800000000001</v>
      </c>
      <c r="Z7161">
        <v>-0.23404230000000001</v>
      </c>
      <c r="AA7161">
        <v>0.95461019999999996</v>
      </c>
      <c r="AB7161">
        <v>38</v>
      </c>
      <c r="AC7161">
        <v>0.165699999999986</v>
      </c>
      <c r="AD7161">
        <v>-0.21517309999999901</v>
      </c>
      <c r="AE7161">
        <v>0.50171999999999795</v>
      </c>
      <c r="AF7161">
        <v>0.14524343522154101</v>
      </c>
      <c r="AG7161">
        <v>-0.21517309999999901</v>
      </c>
      <c r="AH7161">
        <v>0.42930912430874402</v>
      </c>
      <c r="AI7161">
        <v>115.397087506739</v>
      </c>
      <c r="AJ7161">
        <v>71.308344769626601</v>
      </c>
      <c r="AK7161">
        <v>0.50169855755553505</v>
      </c>
      <c r="AL7161">
        <v>79.666206091702193</v>
      </c>
      <c r="AM7161">
        <v>87.944453732092995</v>
      </c>
      <c r="AN7161">
        <v>1.00000003287505</v>
      </c>
    </row>
    <row r="7162" spans="1:40" x14ac:dyDescent="0.25">
      <c r="A7162" t="str">
        <f>"20190312172547434"</f>
        <v>20190312172547434</v>
      </c>
      <c r="B7162" t="str">
        <f>"1552382747427768"</f>
        <v>1552382747427768</v>
      </c>
      <c r="C7162" t="s">
        <v>40</v>
      </c>
      <c r="D7162">
        <v>3.7179069999999999</v>
      </c>
      <c r="E7162">
        <v>0.56914140000000002</v>
      </c>
      <c r="F7162" t="s">
        <v>41</v>
      </c>
      <c r="G7162">
        <v>-187.4306</v>
      </c>
      <c r="H7162">
        <v>0.90456429999999999</v>
      </c>
      <c r="I7162">
        <v>40.541879999999999</v>
      </c>
      <c r="J7162">
        <v>-187.5898</v>
      </c>
      <c r="K7162">
        <v>1.1101920000000001</v>
      </c>
      <c r="L7162">
        <v>40.081600000000002</v>
      </c>
      <c r="M7162">
        <v>-7.1551649999999998E-3</v>
      </c>
      <c r="N7162">
        <v>0</v>
      </c>
      <c r="O7162">
        <v>0.99987839999999995</v>
      </c>
      <c r="P7162">
        <v>2.9252429999999999E-2</v>
      </c>
      <c r="Q7162">
        <v>0.16559170000000001</v>
      </c>
      <c r="R7162">
        <v>0.98576050000000004</v>
      </c>
      <c r="S7162">
        <v>0.58726499999999904</v>
      </c>
      <c r="T7162">
        <v>-0.77217579999999997</v>
      </c>
      <c r="U7162">
        <v>3.156555</v>
      </c>
      <c r="V7162">
        <v>3.6299089999999999E-2</v>
      </c>
      <c r="W7162">
        <v>0.1792338</v>
      </c>
      <c r="X7162">
        <v>0.98313669999999997</v>
      </c>
      <c r="Y7162">
        <v>0.1848726</v>
      </c>
      <c r="Z7162">
        <v>-0.23366790000000001</v>
      </c>
      <c r="AA7162">
        <v>0.95457919999999996</v>
      </c>
      <c r="AB7162">
        <v>38</v>
      </c>
      <c r="AC7162">
        <v>0.15919999999999801</v>
      </c>
      <c r="AD7162">
        <v>-0.2056277</v>
      </c>
      <c r="AE7162">
        <v>0.46027999999999702</v>
      </c>
      <c r="AF7162">
        <v>0.13790688188144401</v>
      </c>
      <c r="AG7162">
        <v>-0.2056277</v>
      </c>
      <c r="AH7162">
        <v>0.38966827220535799</v>
      </c>
      <c r="AI7162">
        <v>116.448700992657</v>
      </c>
      <c r="AJ7162">
        <v>70.510699970216393</v>
      </c>
      <c r="AK7162">
        <v>0.461673500908447</v>
      </c>
      <c r="AL7162">
        <v>79.674866769789602</v>
      </c>
      <c r="AM7162">
        <v>87.885502223263501</v>
      </c>
      <c r="AN7162">
        <v>1.0000000749420701</v>
      </c>
    </row>
    <row r="7163" spans="1:40" x14ac:dyDescent="0.25">
      <c r="A7163" t="str">
        <f>"20190312172547456"</f>
        <v>20190312172547456</v>
      </c>
      <c r="B7163" t="str">
        <f>"1552382747447288"</f>
        <v>1552382747447288</v>
      </c>
      <c r="C7163" t="s">
        <v>40</v>
      </c>
      <c r="D7163">
        <v>3.599456</v>
      </c>
      <c r="E7163">
        <v>0.56321540000000003</v>
      </c>
      <c r="F7163" t="s">
        <v>41</v>
      </c>
      <c r="G7163">
        <v>-187.43979999999999</v>
      </c>
      <c r="H7163">
        <v>0.9145006</v>
      </c>
      <c r="I7163">
        <v>40.880719999999997</v>
      </c>
      <c r="J7163">
        <v>-187.5924</v>
      </c>
      <c r="K7163">
        <v>1.1101529999999999</v>
      </c>
      <c r="L7163">
        <v>40.458399999999997</v>
      </c>
      <c r="M7163">
        <v>-7.0348429999999998E-3</v>
      </c>
      <c r="N7163">
        <v>0</v>
      </c>
      <c r="O7163">
        <v>0.99987740000000003</v>
      </c>
      <c r="P7163">
        <v>2.98158E-2</v>
      </c>
      <c r="Q7163">
        <v>0.1653596</v>
      </c>
      <c r="R7163">
        <v>0.98578259999999995</v>
      </c>
      <c r="S7163">
        <v>0.59158330000000003</v>
      </c>
      <c r="T7163">
        <v>-0.77273919999999996</v>
      </c>
      <c r="U7163">
        <v>3.1555789999999999</v>
      </c>
      <c r="V7163">
        <v>3.6764640000000001E-2</v>
      </c>
      <c r="W7163">
        <v>0.179126799999999</v>
      </c>
      <c r="X7163">
        <v>0.98313879999999998</v>
      </c>
      <c r="Y7163">
        <v>0.18606200000000001</v>
      </c>
      <c r="Z7163">
        <v>-0.23384240000000001</v>
      </c>
      <c r="AA7163">
        <v>0.95430539999999997</v>
      </c>
      <c r="AB7163">
        <v>37</v>
      </c>
      <c r="AC7163">
        <v>0.15260000000000601</v>
      </c>
      <c r="AD7163">
        <v>-0.1956524</v>
      </c>
      <c r="AE7163">
        <v>0.42232000000000602</v>
      </c>
      <c r="AF7163">
        <v>0.130746356705434</v>
      </c>
      <c r="AG7163">
        <v>-0.1956524</v>
      </c>
      <c r="AH7163">
        <v>0.35402686049194798</v>
      </c>
      <c r="AI7163">
        <v>117.403302486873</v>
      </c>
      <c r="AJ7163">
        <v>69.730208436787805</v>
      </c>
      <c r="AK7163">
        <v>0.425099387634574</v>
      </c>
      <c r="AL7163">
        <v>79.681097220443206</v>
      </c>
      <c r="AM7163">
        <v>87.858412626230603</v>
      </c>
      <c r="AN7163">
        <v>0.99999997464900403</v>
      </c>
    </row>
    <row r="7164" spans="1:40" x14ac:dyDescent="0.25">
      <c r="A7164" t="str">
        <f>"20190312172547478"</f>
        <v>20190312172547478</v>
      </c>
      <c r="B7164" t="str">
        <f>"1552382747467788"</f>
        <v>1552382747467788</v>
      </c>
      <c r="C7164" t="s">
        <v>40</v>
      </c>
      <c r="D7164">
        <v>3.6644670000000001</v>
      </c>
      <c r="E7164">
        <v>0.56313679999999999</v>
      </c>
      <c r="F7164" t="s">
        <v>41</v>
      </c>
      <c r="G7164">
        <v>-187.4597</v>
      </c>
      <c r="H7164">
        <v>0.93263490000000004</v>
      </c>
      <c r="I7164">
        <v>41.222239999999999</v>
      </c>
      <c r="J7164">
        <v>-187.5949</v>
      </c>
      <c r="K7164">
        <v>1.1101209999999999</v>
      </c>
      <c r="L7164">
        <v>40.829279999999997</v>
      </c>
      <c r="M7164">
        <v>-6.8952149999999997E-3</v>
      </c>
      <c r="N7164">
        <v>0</v>
      </c>
      <c r="O7164">
        <v>0.99987680000000001</v>
      </c>
      <c r="P7164">
        <v>2.9808560000000001E-2</v>
      </c>
      <c r="Q7164">
        <v>0.165012299999999</v>
      </c>
      <c r="R7164">
        <v>0.98584099999999997</v>
      </c>
      <c r="S7164">
        <v>0.54730219999999996</v>
      </c>
      <c r="T7164">
        <v>-0.73194590000000004</v>
      </c>
      <c r="U7164">
        <v>3.1495060000000001</v>
      </c>
      <c r="V7164">
        <v>3.663665E-2</v>
      </c>
      <c r="W7164">
        <v>0.17888889999999999</v>
      </c>
      <c r="X7164">
        <v>0.98318689999999997</v>
      </c>
      <c r="Y7164">
        <v>0.17368339999999999</v>
      </c>
      <c r="Z7164">
        <v>-0.22305130000000001</v>
      </c>
      <c r="AA7164">
        <v>0.95920910000000004</v>
      </c>
      <c r="AB7164">
        <v>37</v>
      </c>
      <c r="AC7164">
        <v>0.13519999999999699</v>
      </c>
      <c r="AD7164">
        <v>-0.17748609999999901</v>
      </c>
      <c r="AE7164">
        <v>0.39296000000000197</v>
      </c>
      <c r="AF7164">
        <v>0.116631948101399</v>
      </c>
      <c r="AG7164">
        <v>-0.17748609999999901</v>
      </c>
      <c r="AH7164">
        <v>0.33154223312105802</v>
      </c>
      <c r="AI7164">
        <v>116.793700750979</v>
      </c>
      <c r="AJ7164">
        <v>70.618836845657498</v>
      </c>
      <c r="AK7164">
        <v>0.393731608274006</v>
      </c>
      <c r="AL7164">
        <v>79.694951740103605</v>
      </c>
      <c r="AM7164">
        <v>87.865965612628699</v>
      </c>
      <c r="AN7164">
        <v>0.99999998149902103</v>
      </c>
    </row>
    <row r="7165" spans="1:40" x14ac:dyDescent="0.25">
      <c r="A7165" t="str">
        <f>"20190312172547500"</f>
        <v>20190312172547500</v>
      </c>
      <c r="B7165" t="str">
        <f>"1552382747497064"</f>
        <v>1552382747497064</v>
      </c>
      <c r="C7165" t="s">
        <v>40</v>
      </c>
      <c r="D7165">
        <v>3.6020970000000001</v>
      </c>
      <c r="E7165">
        <v>0.56357659999999998</v>
      </c>
      <c r="F7165" t="s">
        <v>41</v>
      </c>
      <c r="G7165">
        <v>-187.46780000000001</v>
      </c>
      <c r="H7165">
        <v>0.94060739999999998</v>
      </c>
      <c r="I7165">
        <v>41.559939999999997</v>
      </c>
      <c r="J7165">
        <v>-187.59729999999999</v>
      </c>
      <c r="K7165">
        <v>1.1100989999999999</v>
      </c>
      <c r="L7165">
        <v>41.194670000000002</v>
      </c>
      <c r="M7165">
        <v>-6.7435699999999999E-3</v>
      </c>
      <c r="N7165">
        <v>0</v>
      </c>
      <c r="O7165">
        <v>0.9998764</v>
      </c>
      <c r="P7165">
        <v>2.9982849999999998E-2</v>
      </c>
      <c r="Q7165">
        <v>0.16563510000000001</v>
      </c>
      <c r="R7165">
        <v>0.98573120000000003</v>
      </c>
      <c r="S7165">
        <v>0.54751590000000006</v>
      </c>
      <c r="T7165">
        <v>-0.73051580000000005</v>
      </c>
      <c r="U7165">
        <v>3.1488040000000002</v>
      </c>
      <c r="V7165">
        <v>3.6673320000000002E-2</v>
      </c>
      <c r="W7165">
        <v>0.17960479999999901</v>
      </c>
      <c r="X7165">
        <v>0.98305500000000001</v>
      </c>
      <c r="Y7165">
        <v>0.17364789999999999</v>
      </c>
      <c r="Z7165">
        <v>-0.22268379999999999</v>
      </c>
      <c r="AA7165">
        <v>0.95930099999999996</v>
      </c>
      <c r="AB7165">
        <v>37</v>
      </c>
      <c r="AC7165">
        <v>0.12949999999997799</v>
      </c>
      <c r="AD7165">
        <v>-0.16949159999999899</v>
      </c>
      <c r="AE7165">
        <v>0.36527000000000198</v>
      </c>
      <c r="AF7165">
        <v>0.11077291882460601</v>
      </c>
      <c r="AG7165">
        <v>-0.16949159999999899</v>
      </c>
      <c r="AH7165">
        <v>0.30588205302122001</v>
      </c>
      <c r="AI7165">
        <v>117.519345440206</v>
      </c>
      <c r="AJ7165">
        <v>70.092521103414896</v>
      </c>
      <c r="AK7165">
        <v>0.36682676071404502</v>
      </c>
      <c r="AL7165">
        <v>79.653258360322994</v>
      </c>
      <c r="AM7165">
        <v>87.863545261743994</v>
      </c>
      <c r="AN7165">
        <v>0.99999997480393099</v>
      </c>
    </row>
    <row r="7166" spans="1:40" x14ac:dyDescent="0.25">
      <c r="A7166" t="str">
        <f>"20190312172547524"</f>
        <v>20190312172547524</v>
      </c>
      <c r="B7166" t="str">
        <f>"1552382747517560"</f>
        <v>1552382747517560</v>
      </c>
      <c r="C7166" t="s">
        <v>40</v>
      </c>
      <c r="D7166">
        <v>3.6614499999999999</v>
      </c>
      <c r="E7166">
        <v>0.56423630000000002</v>
      </c>
      <c r="F7166" t="s">
        <v>41</v>
      </c>
      <c r="G7166">
        <v>-187.47409999999999</v>
      </c>
      <c r="H7166">
        <v>0.94775379999999998</v>
      </c>
      <c r="I7166">
        <v>41.89696</v>
      </c>
      <c r="J7166">
        <v>-187.59989999999999</v>
      </c>
      <c r="K7166">
        <v>1.1100829999999999</v>
      </c>
      <c r="L7166">
        <v>41.586210000000001</v>
      </c>
      <c r="M7166">
        <v>-6.5699089999999996E-3</v>
      </c>
      <c r="N7166">
        <v>0</v>
      </c>
      <c r="O7166">
        <v>0.99987630000000005</v>
      </c>
      <c r="P7166">
        <v>2.9675429999999999E-2</v>
      </c>
      <c r="Q7166">
        <v>0.16635349999999999</v>
      </c>
      <c r="R7166">
        <v>0.98561949999999998</v>
      </c>
      <c r="S7166">
        <v>0.55230709999999905</v>
      </c>
      <c r="T7166">
        <v>-0.72793509999999995</v>
      </c>
      <c r="U7166">
        <v>3.1489560000000001</v>
      </c>
      <c r="V7166">
        <v>3.620375E-2</v>
      </c>
      <c r="W7166">
        <v>0.18040929999999999</v>
      </c>
      <c r="X7166">
        <v>0.9829251</v>
      </c>
      <c r="Y7166">
        <v>0.174917299999999</v>
      </c>
      <c r="Z7166">
        <v>-0.2218744</v>
      </c>
      <c r="AA7166">
        <v>0.9592579</v>
      </c>
      <c r="AB7166">
        <v>37</v>
      </c>
      <c r="AC7166">
        <v>0.125799999999998</v>
      </c>
      <c r="AD7166">
        <v>-0.16232919999999901</v>
      </c>
      <c r="AE7166">
        <v>0.31075000000000502</v>
      </c>
      <c r="AF7166">
        <v>0.103559068096525</v>
      </c>
      <c r="AG7166">
        <v>-0.16232919999999901</v>
      </c>
      <c r="AH7166">
        <v>0.25105533410900799</v>
      </c>
      <c r="AI7166">
        <v>120.86808429108601</v>
      </c>
      <c r="AJ7166">
        <v>67.584097721838106</v>
      </c>
      <c r="AK7166">
        <v>0.31639220998982598</v>
      </c>
      <c r="AL7166">
        <v>79.606398617404693</v>
      </c>
      <c r="AM7166">
        <v>87.890597360161294</v>
      </c>
      <c r="AN7166">
        <v>0.99999998962528103</v>
      </c>
    </row>
    <row r="7167" spans="1:40" x14ac:dyDescent="0.25">
      <c r="A7167" t="str">
        <f>"20190312172547546"</f>
        <v>20190312172547546</v>
      </c>
      <c r="B7167" t="str">
        <f>"1552382747537080"</f>
        <v>1552382747537080</v>
      </c>
      <c r="C7167" t="s">
        <v>40</v>
      </c>
      <c r="D7167">
        <v>3.6715589999999998</v>
      </c>
      <c r="E7167">
        <v>0.5736</v>
      </c>
      <c r="F7167" t="s">
        <v>41</v>
      </c>
      <c r="G7167">
        <v>-187.43170000000001</v>
      </c>
      <c r="H7167">
        <v>0.88903949999999998</v>
      </c>
      <c r="I7167">
        <v>42.539819999999999</v>
      </c>
      <c r="J7167">
        <v>-187.60220000000001</v>
      </c>
      <c r="K7167">
        <v>1.1100680000000001</v>
      </c>
      <c r="L7167">
        <v>41.961150000000004</v>
      </c>
      <c r="M7167">
        <v>-6.3987030000000004E-3</v>
      </c>
      <c r="N7167">
        <v>0</v>
      </c>
      <c r="O7167">
        <v>0.99987630000000005</v>
      </c>
      <c r="P7167">
        <v>2.9354669999999999E-2</v>
      </c>
      <c r="Q7167">
        <v>0.16630529999999999</v>
      </c>
      <c r="R7167">
        <v>0.98563730000000005</v>
      </c>
      <c r="S7167">
        <v>0.55545040000000001</v>
      </c>
      <c r="T7167">
        <v>-0.7302305</v>
      </c>
      <c r="U7167">
        <v>3.150299</v>
      </c>
      <c r="V7167">
        <v>3.5721040000000003E-2</v>
      </c>
      <c r="W7167">
        <v>0.1804336</v>
      </c>
      <c r="X7167">
        <v>0.98293830000000004</v>
      </c>
      <c r="Y7167">
        <v>0.1755862</v>
      </c>
      <c r="Z7167">
        <v>-0.22241900000000001</v>
      </c>
      <c r="AA7167">
        <v>0.95900949999999996</v>
      </c>
      <c r="AB7167">
        <v>37</v>
      </c>
      <c r="AC7167">
        <v>0.17050000000000401</v>
      </c>
      <c r="AD7167">
        <v>-0.22102849999999999</v>
      </c>
      <c r="AE7167">
        <v>0.57866999999999502</v>
      </c>
      <c r="AF7167">
        <v>0.15358278538056999</v>
      </c>
      <c r="AG7167">
        <v>-0.22102849999999999</v>
      </c>
      <c r="AH7167">
        <v>0.50921094664437405</v>
      </c>
      <c r="AI7167">
        <v>112.56631927161</v>
      </c>
      <c r="AJ7167">
        <v>73.216197619181699</v>
      </c>
      <c r="AK7167">
        <v>0.57596619515381597</v>
      </c>
      <c r="AL7167">
        <v>79.604983095540703</v>
      </c>
      <c r="AM7167">
        <v>87.918725363884406</v>
      </c>
      <c r="AN7167">
        <v>0.99999998915726496</v>
      </c>
    </row>
    <row r="7168" spans="1:40" x14ac:dyDescent="0.25">
      <c r="A7168" t="str">
        <f>"20190312172547568"</f>
        <v>20190312172547568</v>
      </c>
      <c r="B7168" t="str">
        <f>"1552382747557576"</f>
        <v>1552382747557576</v>
      </c>
      <c r="C7168" t="s">
        <v>40</v>
      </c>
      <c r="D7168">
        <v>3.7424979999999999</v>
      </c>
      <c r="E7168">
        <v>0.57269380000000003</v>
      </c>
      <c r="F7168" t="s">
        <v>41</v>
      </c>
      <c r="G7168">
        <v>-187.4205</v>
      </c>
      <c r="H7168">
        <v>0.88573089999999999</v>
      </c>
      <c r="I7168">
        <v>42.871850000000002</v>
      </c>
      <c r="J7168">
        <v>-187.6044</v>
      </c>
      <c r="K7168">
        <v>1.11006</v>
      </c>
      <c r="L7168">
        <v>42.327359999999999</v>
      </c>
      <c r="M7168">
        <v>-6.2306509999999898E-3</v>
      </c>
      <c r="N7168">
        <v>0</v>
      </c>
      <c r="O7168">
        <v>0.99987649999999995</v>
      </c>
      <c r="P7168">
        <v>2.8364279999999999E-2</v>
      </c>
      <c r="Q7168">
        <v>0.16667489999999999</v>
      </c>
      <c r="R7168">
        <v>0.98560389999999998</v>
      </c>
      <c r="S7168">
        <v>0.62908940000000002</v>
      </c>
      <c r="T7168">
        <v>-0.77746190000000004</v>
      </c>
      <c r="U7168">
        <v>3.156158</v>
      </c>
      <c r="V7168">
        <v>3.4569969999999998E-2</v>
      </c>
      <c r="W7168">
        <v>0.18086459999999999</v>
      </c>
      <c r="X7168">
        <v>0.98290029999999995</v>
      </c>
      <c r="Y7168">
        <v>0.19612260000000001</v>
      </c>
      <c r="Z7168">
        <v>-0.2346731</v>
      </c>
      <c r="AA7168">
        <v>0.95208429999999999</v>
      </c>
      <c r="AB7168">
        <v>37</v>
      </c>
      <c r="AC7168">
        <v>0.18389999999999401</v>
      </c>
      <c r="AD7168">
        <v>-0.224329099999999</v>
      </c>
      <c r="AE7168">
        <v>0.54449000000000303</v>
      </c>
      <c r="AF7168">
        <v>0.16252640393326001</v>
      </c>
      <c r="AG7168">
        <v>-0.224329099999999</v>
      </c>
      <c r="AH7168">
        <v>0.471495349934826</v>
      </c>
      <c r="AI7168">
        <v>114.218632404584</v>
      </c>
      <c r="AJ7168">
        <v>70.980714984524397</v>
      </c>
      <c r="AK7168">
        <v>0.54685120653835195</v>
      </c>
      <c r="AL7168">
        <v>79.579876102551395</v>
      </c>
      <c r="AM7168">
        <v>87.985658105121601</v>
      </c>
      <c r="AN7168">
        <v>1.0000000430495199</v>
      </c>
    </row>
    <row r="7169" spans="1:40" x14ac:dyDescent="0.25">
      <c r="A7169" t="str">
        <f>"20190312172547589"</f>
        <v>20190312172547589</v>
      </c>
      <c r="B7169" t="str">
        <f>"1552382747587832"</f>
        <v>1552382747587832</v>
      </c>
      <c r="C7169" t="s">
        <v>40</v>
      </c>
      <c r="D7169">
        <v>3.7362669999999998</v>
      </c>
      <c r="E7169">
        <v>0.57284250000000003</v>
      </c>
      <c r="F7169" t="s">
        <v>41</v>
      </c>
      <c r="G7169">
        <v>-187.43170000000001</v>
      </c>
      <c r="H7169">
        <v>0.89332459999999903</v>
      </c>
      <c r="I7169">
        <v>43.20684</v>
      </c>
      <c r="J7169">
        <v>-187.60650000000001</v>
      </c>
      <c r="K7169">
        <v>1.1100589999999999</v>
      </c>
      <c r="L7169">
        <v>42.684420000000003</v>
      </c>
      <c r="M7169">
        <v>-6.0676690000000004E-3</v>
      </c>
      <c r="N7169">
        <v>0</v>
      </c>
      <c r="O7169">
        <v>0.99987669999999995</v>
      </c>
      <c r="P7169">
        <v>2.7852539999999999E-2</v>
      </c>
      <c r="Q7169">
        <v>0.1663808</v>
      </c>
      <c r="R7169">
        <v>0.98566810000000005</v>
      </c>
      <c r="S7169">
        <v>0.61984249999999996</v>
      </c>
      <c r="T7169">
        <v>-0.77814340000000004</v>
      </c>
      <c r="U7169">
        <v>3.157562</v>
      </c>
      <c r="V7169">
        <v>3.3901729999999998E-2</v>
      </c>
      <c r="W7169">
        <v>0.18062400000000001</v>
      </c>
      <c r="X7169">
        <v>0.98296779999999995</v>
      </c>
      <c r="Y7169">
        <v>0.1931871</v>
      </c>
      <c r="Z7169">
        <v>-0.23490240000000001</v>
      </c>
      <c r="AA7169">
        <v>0.95262769999999997</v>
      </c>
      <c r="AB7169">
        <v>37</v>
      </c>
      <c r="AC7169">
        <v>0.17480000000000401</v>
      </c>
      <c r="AD7169">
        <v>-0.21673439999999999</v>
      </c>
      <c r="AE7169">
        <v>0.522419999999996</v>
      </c>
      <c r="AF7169">
        <v>0.15411265576949901</v>
      </c>
      <c r="AG7169">
        <v>-0.21673439999999999</v>
      </c>
      <c r="AH7169">
        <v>0.45146900412410301</v>
      </c>
      <c r="AI7169">
        <v>114.43343414980301</v>
      </c>
      <c r="AJ7169">
        <v>71.152239229390204</v>
      </c>
      <c r="AK7169">
        <v>0.52397401891362705</v>
      </c>
      <c r="AL7169">
        <v>79.593892135089604</v>
      </c>
      <c r="AM7169">
        <v>88.024699869879996</v>
      </c>
      <c r="AN7169">
        <v>1.00000002625491</v>
      </c>
    </row>
    <row r="7170" spans="1:40" x14ac:dyDescent="0.25">
      <c r="A7170" t="str">
        <f>"20190312172547610"</f>
        <v>20190312172547610</v>
      </c>
      <c r="B7170" t="str">
        <f>"1552382747607352"</f>
        <v>1552382747607352</v>
      </c>
      <c r="C7170" t="s">
        <v>40</v>
      </c>
      <c r="D7170">
        <v>3.7113529999999999</v>
      </c>
      <c r="E7170">
        <v>0.5727333</v>
      </c>
      <c r="F7170" t="s">
        <v>41</v>
      </c>
      <c r="G7170">
        <v>-187.43819999999999</v>
      </c>
      <c r="H7170">
        <v>0.89806929999999996</v>
      </c>
      <c r="I7170">
        <v>43.540500000000002</v>
      </c>
      <c r="J7170">
        <v>-187.60839999999999</v>
      </c>
      <c r="K7170">
        <v>1.1100639999999999</v>
      </c>
      <c r="L7170">
        <v>43.024749999999997</v>
      </c>
      <c r="M7170">
        <v>-5.9135430000000003E-3</v>
      </c>
      <c r="N7170">
        <v>0</v>
      </c>
      <c r="O7170">
        <v>0.99987700000000002</v>
      </c>
      <c r="P7170">
        <v>2.7475860000000001E-2</v>
      </c>
      <c r="Q7170">
        <v>0.16690489999999999</v>
      </c>
      <c r="R7170">
        <v>0.98559010000000002</v>
      </c>
      <c r="S7170">
        <v>0.62020869999999995</v>
      </c>
      <c r="T7170">
        <v>-0.78203710000000004</v>
      </c>
      <c r="U7170">
        <v>3.158112</v>
      </c>
      <c r="V7170">
        <v>3.3375799999999997E-2</v>
      </c>
      <c r="W7170">
        <v>0.18118970000000001</v>
      </c>
      <c r="X7170">
        <v>0.98288169999999997</v>
      </c>
      <c r="Y7170">
        <v>0.19306110000000001</v>
      </c>
      <c r="Z7170">
        <v>-0.23597409999999999</v>
      </c>
      <c r="AA7170">
        <v>0.95238840000000002</v>
      </c>
      <c r="AB7170">
        <v>37</v>
      </c>
      <c r="AC7170">
        <v>0.17019999999999399</v>
      </c>
      <c r="AD7170">
        <v>-0.21199469999999901</v>
      </c>
      <c r="AE7170">
        <v>0.51575000000000404</v>
      </c>
      <c r="AF7170">
        <v>0.15034094325047001</v>
      </c>
      <c r="AG7170">
        <v>-0.21199469999999901</v>
      </c>
      <c r="AH7170">
        <v>0.44667751609121198</v>
      </c>
      <c r="AI7170">
        <v>114.21863908308799</v>
      </c>
      <c r="AJ7170">
        <v>71.398000817321901</v>
      </c>
      <c r="AK7170">
        <v>0.51678327703878502</v>
      </c>
      <c r="AL7170">
        <v>79.560936332179395</v>
      </c>
      <c r="AM7170">
        <v>88.055149490713404</v>
      </c>
      <c r="AN7170">
        <v>1.0000000438033001</v>
      </c>
    </row>
    <row r="7171" spans="1:40" x14ac:dyDescent="0.25">
      <c r="A7171" t="str">
        <f>"20190312172547634"</f>
        <v>20190312172547634</v>
      </c>
      <c r="B7171" t="str">
        <f>"1552382747627849"</f>
        <v>1552382747627849</v>
      </c>
      <c r="C7171" t="s">
        <v>40</v>
      </c>
      <c r="D7171">
        <v>3.6342729999999999</v>
      </c>
      <c r="E7171">
        <v>0.57189109999999999</v>
      </c>
      <c r="F7171" t="s">
        <v>41</v>
      </c>
      <c r="G7171">
        <v>-187.44239999999999</v>
      </c>
      <c r="H7171">
        <v>0.90050719999999995</v>
      </c>
      <c r="I7171">
        <v>43.872909999999997</v>
      </c>
      <c r="J7171">
        <v>-187.61060000000001</v>
      </c>
      <c r="K7171">
        <v>1.11006</v>
      </c>
      <c r="L7171">
        <v>43.425510000000003</v>
      </c>
      <c r="M7171">
        <v>-5.7329959999999998E-3</v>
      </c>
      <c r="N7171">
        <v>0</v>
      </c>
      <c r="O7171">
        <v>0.99987740000000003</v>
      </c>
      <c r="P7171">
        <v>2.7393850000000001E-2</v>
      </c>
      <c r="Q7171">
        <v>0.16671830000000001</v>
      </c>
      <c r="R7171">
        <v>0.98562399999999994</v>
      </c>
      <c r="S7171">
        <v>0.61782840000000006</v>
      </c>
      <c r="T7171">
        <v>-0.78043319999999905</v>
      </c>
      <c r="U7171">
        <v>3.1587830000000001</v>
      </c>
      <c r="V7171">
        <v>3.3118540000000002E-2</v>
      </c>
      <c r="W7171">
        <v>0.18104709999999999</v>
      </c>
      <c r="X7171">
        <v>0.98291669999999998</v>
      </c>
      <c r="Y7171">
        <v>0.1921764</v>
      </c>
      <c r="Z7171">
        <v>-0.2355083</v>
      </c>
      <c r="AA7171">
        <v>0.95268260000000005</v>
      </c>
      <c r="AB7171">
        <v>37</v>
      </c>
      <c r="AC7171">
        <v>0.16820000000001301</v>
      </c>
      <c r="AD7171">
        <v>-0.20955280000000001</v>
      </c>
      <c r="AE7171">
        <v>0.44740000000000102</v>
      </c>
      <c r="AF7171">
        <v>0.14323161122304201</v>
      </c>
      <c r="AG7171">
        <v>-0.20955280000000001</v>
      </c>
      <c r="AH7171">
        <v>0.37445374008012899</v>
      </c>
      <c r="AI7171">
        <v>117.59559644472</v>
      </c>
      <c r="AJ7171">
        <v>69.0677395859326</v>
      </c>
      <c r="AK7171">
        <v>0.45237514730739298</v>
      </c>
      <c r="AL7171">
        <v>79.569244329444999</v>
      </c>
      <c r="AM7171">
        <v>88.070197647414005</v>
      </c>
      <c r="AN7171">
        <v>1.00000006462451</v>
      </c>
    </row>
    <row r="7172" spans="1:40" x14ac:dyDescent="0.25">
      <c r="A7172" t="str">
        <f>"20190312172547657"</f>
        <v>20190312172547657</v>
      </c>
      <c r="B7172" t="str">
        <f>"1552382747647372"</f>
        <v>1552382747647372</v>
      </c>
      <c r="C7172" t="s">
        <v>40</v>
      </c>
      <c r="D7172">
        <v>3.6710530000000001</v>
      </c>
      <c r="E7172">
        <v>0.57157029999999998</v>
      </c>
      <c r="F7172" t="s">
        <v>41</v>
      </c>
      <c r="G7172">
        <v>-187.45849999999999</v>
      </c>
      <c r="H7172">
        <v>0.91635719999999998</v>
      </c>
      <c r="I7172">
        <v>44.210050000000003</v>
      </c>
      <c r="J7172">
        <v>-187.61259999999999</v>
      </c>
      <c r="K7172">
        <v>1.1100620000000001</v>
      </c>
      <c r="L7172">
        <v>43.797519999999999</v>
      </c>
      <c r="M7172">
        <v>-5.5658890000000001E-3</v>
      </c>
      <c r="N7172">
        <v>0</v>
      </c>
      <c r="O7172">
        <v>0.99987780000000004</v>
      </c>
      <c r="P7172">
        <v>2.7153050000000001E-2</v>
      </c>
      <c r="Q7172">
        <v>0.16669679999999901</v>
      </c>
      <c r="R7172">
        <v>0.98563429999999996</v>
      </c>
      <c r="S7172">
        <v>0.61145019999999894</v>
      </c>
      <c r="T7172">
        <v>-0.77986029999999995</v>
      </c>
      <c r="U7172">
        <v>3.1586609999999999</v>
      </c>
      <c r="V7172">
        <v>3.2714840000000002E-2</v>
      </c>
      <c r="W7172">
        <v>0.1810602</v>
      </c>
      <c r="X7172">
        <v>0.98292769999999996</v>
      </c>
      <c r="Y7172">
        <v>0.19016859999999999</v>
      </c>
      <c r="Z7172">
        <v>-0.23544290000000001</v>
      </c>
      <c r="AA7172">
        <v>0.95310150000000005</v>
      </c>
      <c r="AB7172">
        <v>37</v>
      </c>
      <c r="AC7172">
        <v>0.15409999999999899</v>
      </c>
      <c r="AD7172">
        <v>-0.19370480000000001</v>
      </c>
      <c r="AE7172">
        <v>0.41253000000000301</v>
      </c>
      <c r="AF7172">
        <v>0.13104005572758101</v>
      </c>
      <c r="AG7172">
        <v>-0.19370480000000001</v>
      </c>
      <c r="AH7172">
        <v>0.34492836752949402</v>
      </c>
      <c r="AI7172">
        <v>117.698219747563</v>
      </c>
      <c r="AJ7172">
        <v>69.197959003085103</v>
      </c>
      <c r="AK7172">
        <v>0.41673567698805097</v>
      </c>
      <c r="AL7172">
        <v>79.568480039229897</v>
      </c>
      <c r="AM7172">
        <v>88.093724918713704</v>
      </c>
      <c r="AN7172">
        <v>0.99999996010377701</v>
      </c>
    </row>
    <row r="7173" spans="1:40" x14ac:dyDescent="0.25">
      <c r="A7173" t="str">
        <f>"20190312172547679"</f>
        <v>20190312172547679</v>
      </c>
      <c r="B7173" t="str">
        <f>"1552382747667867"</f>
        <v>1552382747667867</v>
      </c>
      <c r="C7173" t="s">
        <v>40</v>
      </c>
      <c r="D7173">
        <v>3.7537370000000001</v>
      </c>
      <c r="E7173">
        <v>0.57081280000000001</v>
      </c>
      <c r="F7173" t="s">
        <v>41</v>
      </c>
      <c r="G7173">
        <v>-187.4684</v>
      </c>
      <c r="H7173">
        <v>0.92596780000000001</v>
      </c>
      <c r="I7173">
        <v>44.54448</v>
      </c>
      <c r="J7173">
        <v>-187.61449999999999</v>
      </c>
      <c r="K7173">
        <v>1.1100669999999999</v>
      </c>
      <c r="L7173">
        <v>44.165190000000003</v>
      </c>
      <c r="M7173">
        <v>-5.4006480000000001E-3</v>
      </c>
      <c r="N7173">
        <v>0</v>
      </c>
      <c r="O7173">
        <v>0.9998783</v>
      </c>
      <c r="P7173">
        <v>2.75205E-2</v>
      </c>
      <c r="Q7173">
        <v>0.16638269999999999</v>
      </c>
      <c r="R7173">
        <v>0.98567709999999997</v>
      </c>
      <c r="S7173">
        <v>0.60913090000000003</v>
      </c>
      <c r="T7173">
        <v>-0.77844950000000002</v>
      </c>
      <c r="U7173">
        <v>3.1585999999999999</v>
      </c>
      <c r="V7173">
        <v>3.2920739999999997E-2</v>
      </c>
      <c r="W7173">
        <v>0.18077599999999999</v>
      </c>
      <c r="X7173">
        <v>0.98297319999999999</v>
      </c>
      <c r="Y7173">
        <v>0.18935199999999999</v>
      </c>
      <c r="Z7173">
        <v>-0.2350796</v>
      </c>
      <c r="AA7173">
        <v>0.95335380000000003</v>
      </c>
      <c r="AB7173">
        <v>37</v>
      </c>
      <c r="AC7173">
        <v>0.14609999999998899</v>
      </c>
      <c r="AD7173">
        <v>-0.18409919999999899</v>
      </c>
      <c r="AE7173">
        <v>0.37928999999999702</v>
      </c>
      <c r="AF7173">
        <v>0.122927554323551</v>
      </c>
      <c r="AG7173">
        <v>-0.18409919999999899</v>
      </c>
      <c r="AH7173">
        <v>0.31406416922750802</v>
      </c>
      <c r="AI7173">
        <v>118.628345485937</v>
      </c>
      <c r="AJ7173">
        <v>68.624176110401905</v>
      </c>
      <c r="AK7173">
        <v>0.384239510520684</v>
      </c>
      <c r="AL7173">
        <v>79.585037395355698</v>
      </c>
      <c r="AM7173">
        <v>88.081824905142994</v>
      </c>
      <c r="AN7173">
        <v>1.0000000246081899</v>
      </c>
    </row>
    <row r="7174" spans="1:40" x14ac:dyDescent="0.25">
      <c r="A7174" t="str">
        <f>"20190312172547702"</f>
        <v>20190312172547702</v>
      </c>
      <c r="B7174" t="str">
        <f>"1552382747697144"</f>
        <v>1552382747697144</v>
      </c>
      <c r="C7174" t="s">
        <v>40</v>
      </c>
      <c r="D7174">
        <v>3.7629790000000001</v>
      </c>
      <c r="E7174">
        <v>0.57007430000000003</v>
      </c>
      <c r="F7174" t="s">
        <v>41</v>
      </c>
      <c r="G7174">
        <v>-187.4778</v>
      </c>
      <c r="H7174">
        <v>0.93495620000000002</v>
      </c>
      <c r="I7174">
        <v>44.878529999999998</v>
      </c>
      <c r="J7174">
        <v>-187.6163</v>
      </c>
      <c r="K7174">
        <v>1.1100760000000001</v>
      </c>
      <c r="L7174">
        <v>44.529719999999998</v>
      </c>
      <c r="M7174">
        <v>-5.2368179999999999E-3</v>
      </c>
      <c r="N7174">
        <v>0</v>
      </c>
      <c r="O7174">
        <v>0.99987879999999996</v>
      </c>
      <c r="P7174">
        <v>2.8003500000000001E-2</v>
      </c>
      <c r="Q7174">
        <v>0.16634170000000001</v>
      </c>
      <c r="R7174">
        <v>0.98567039999999995</v>
      </c>
      <c r="S7174">
        <v>0.60386660000000003</v>
      </c>
      <c r="T7174">
        <v>-0.77511529999999995</v>
      </c>
      <c r="U7174">
        <v>3.157562</v>
      </c>
      <c r="V7174">
        <v>3.3243099999999998E-2</v>
      </c>
      <c r="W7174">
        <v>0.18075869999999999</v>
      </c>
      <c r="X7174">
        <v>0.98296550000000005</v>
      </c>
      <c r="Y7174">
        <v>0.18775310000000001</v>
      </c>
      <c r="Z7174">
        <v>-0.23427149999999999</v>
      </c>
      <c r="AA7174">
        <v>0.95386870000000001</v>
      </c>
      <c r="AB7174">
        <v>37</v>
      </c>
      <c r="AC7174">
        <v>0.13849999999999299</v>
      </c>
      <c r="AD7174">
        <v>-0.17511979999999999</v>
      </c>
      <c r="AE7174">
        <v>0.34880999999999301</v>
      </c>
      <c r="AF7174">
        <v>0.11523518085674</v>
      </c>
      <c r="AG7174">
        <v>-0.17511979999999999</v>
      </c>
      <c r="AH7174">
        <v>0.285843984268355</v>
      </c>
      <c r="AI7174">
        <v>119.60548661992</v>
      </c>
      <c r="AJ7174">
        <v>68.043658504395097</v>
      </c>
      <c r="AK7174">
        <v>0.35447549224386898</v>
      </c>
      <c r="AL7174">
        <v>79.5860448798569</v>
      </c>
      <c r="AM7174">
        <v>88.063041204629101</v>
      </c>
      <c r="AN7174">
        <v>0.99999999275677498</v>
      </c>
    </row>
    <row r="7175" spans="1:40" x14ac:dyDescent="0.25">
      <c r="A7175" t="str">
        <f>"20190312172547725"</f>
        <v>20190312172547725</v>
      </c>
      <c r="B7175" t="str">
        <f>"1552382747717640"</f>
        <v>1552382747717640</v>
      </c>
      <c r="C7175" t="s">
        <v>40</v>
      </c>
      <c r="D7175">
        <v>3.7734049999999999</v>
      </c>
      <c r="E7175">
        <v>0.57002169999999996</v>
      </c>
      <c r="F7175" t="s">
        <v>41</v>
      </c>
      <c r="G7175">
        <v>-187.42920000000001</v>
      </c>
      <c r="H7175">
        <v>0.8702048</v>
      </c>
      <c r="I7175">
        <v>45.512869999999999</v>
      </c>
      <c r="J7175">
        <v>-187.6181</v>
      </c>
      <c r="K7175">
        <v>1.110082</v>
      </c>
      <c r="L7175">
        <v>44.911990000000003</v>
      </c>
      <c r="M7175">
        <v>-5.064303E-3</v>
      </c>
      <c r="N7175">
        <v>0</v>
      </c>
      <c r="O7175">
        <v>0.99987939999999997</v>
      </c>
      <c r="P7175">
        <v>2.8350420000000001E-2</v>
      </c>
      <c r="Q7175">
        <v>0.1669098</v>
      </c>
      <c r="R7175">
        <v>0.98556449999999995</v>
      </c>
      <c r="S7175">
        <v>0.5999603</v>
      </c>
      <c r="T7175">
        <v>-0.77013419999999999</v>
      </c>
      <c r="U7175">
        <v>3.1565249999999998</v>
      </c>
      <c r="V7175">
        <v>3.3420199999999997E-2</v>
      </c>
      <c r="W7175">
        <v>0.18134620000000001</v>
      </c>
      <c r="X7175">
        <v>0.98285129999999998</v>
      </c>
      <c r="Y7175">
        <v>0.1865609</v>
      </c>
      <c r="Z7175">
        <v>-0.23297280000000001</v>
      </c>
      <c r="AA7175">
        <v>0.95442059999999995</v>
      </c>
      <c r="AB7175">
        <v>37</v>
      </c>
      <c r="AC7175">
        <v>0.18889999999998899</v>
      </c>
      <c r="AD7175">
        <v>-0.23987719999999901</v>
      </c>
      <c r="AE7175">
        <v>0.60087999999999597</v>
      </c>
      <c r="AF7175">
        <v>0.167628929273066</v>
      </c>
      <c r="AG7175">
        <v>-0.23987719999999901</v>
      </c>
      <c r="AH7175">
        <v>0.52392782015081996</v>
      </c>
      <c r="AI7175">
        <v>113.560495742752</v>
      </c>
      <c r="AJ7175">
        <v>72.258103358818502</v>
      </c>
      <c r="AK7175">
        <v>0.60011739662924701</v>
      </c>
      <c r="AL7175">
        <v>79.551818200552404</v>
      </c>
      <c r="AM7175">
        <v>88.052504048219305</v>
      </c>
      <c r="AN7175">
        <v>1.0000000159670801</v>
      </c>
    </row>
    <row r="7176" spans="1:40" x14ac:dyDescent="0.25">
      <c r="A7176" t="str">
        <f>"20190312172547748"</f>
        <v>20190312172547748</v>
      </c>
      <c r="B7176" t="str">
        <f>"1552382747737160"</f>
        <v>1552382747737160</v>
      </c>
      <c r="C7176" t="s">
        <v>40</v>
      </c>
      <c r="D7176">
        <v>3.7177470000000001</v>
      </c>
      <c r="E7176">
        <v>0.57006069999999998</v>
      </c>
      <c r="F7176" t="s">
        <v>41</v>
      </c>
      <c r="G7176">
        <v>-187.4402</v>
      </c>
      <c r="H7176">
        <v>0.882517199999999</v>
      </c>
      <c r="I7176">
        <v>45.846890000000002</v>
      </c>
      <c r="J7176">
        <v>-187.6199</v>
      </c>
      <c r="K7176">
        <v>1.110088</v>
      </c>
      <c r="L7176">
        <v>45.301639999999999</v>
      </c>
      <c r="M7176">
        <v>-4.8884940000000002E-3</v>
      </c>
      <c r="N7176">
        <v>0</v>
      </c>
      <c r="O7176">
        <v>0.99987999999999999</v>
      </c>
      <c r="P7176">
        <v>2.8495840000000001E-2</v>
      </c>
      <c r="Q7176">
        <v>0.1669418</v>
      </c>
      <c r="R7176">
        <v>0.98555490000000001</v>
      </c>
      <c r="S7176">
        <v>0.60037229999999997</v>
      </c>
      <c r="T7176">
        <v>-0.76840189999999997</v>
      </c>
      <c r="U7176">
        <v>3.1567989999999999</v>
      </c>
      <c r="V7176">
        <v>3.3392709999999999E-2</v>
      </c>
      <c r="W7176">
        <v>0.1813959</v>
      </c>
      <c r="X7176">
        <v>0.98284300000000002</v>
      </c>
      <c r="Y7176">
        <v>0.1865163</v>
      </c>
      <c r="Z7176">
        <v>-0.23245750000000001</v>
      </c>
      <c r="AA7176">
        <v>0.95455500000000004</v>
      </c>
      <c r="AB7176">
        <v>37</v>
      </c>
      <c r="AC7176">
        <v>0.179699999999996</v>
      </c>
      <c r="AD7176">
        <v>-0.22757079999999999</v>
      </c>
      <c r="AE7176">
        <v>0.54525000000000201</v>
      </c>
      <c r="AF7176">
        <v>0.15759989741608699</v>
      </c>
      <c r="AG7176">
        <v>-0.22757079999999999</v>
      </c>
      <c r="AH7176">
        <v>0.47044399442276902</v>
      </c>
      <c r="AI7176">
        <v>114.64008474205799</v>
      </c>
      <c r="AJ7176">
        <v>71.479023578656296</v>
      </c>
      <c r="AK7176">
        <v>0.54584223780012797</v>
      </c>
      <c r="AL7176">
        <v>79.548921922161099</v>
      </c>
      <c r="AM7176">
        <v>88.054088321242702</v>
      </c>
      <c r="AN7176">
        <v>0.99999995413347598</v>
      </c>
    </row>
    <row r="7177" spans="1:40" x14ac:dyDescent="0.25">
      <c r="A7177" t="str">
        <f>"20190312172547769"</f>
        <v>20190312172547769</v>
      </c>
      <c r="B7177" t="str">
        <f>"1552382747757657"</f>
        <v>1552382747757657</v>
      </c>
      <c r="C7177" t="s">
        <v>40</v>
      </c>
      <c r="D7177">
        <v>3.7939150000000001</v>
      </c>
      <c r="E7177">
        <v>0.57031719999999997</v>
      </c>
      <c r="F7177" t="s">
        <v>41</v>
      </c>
      <c r="G7177">
        <v>-187.4522</v>
      </c>
      <c r="H7177">
        <v>0.89568219999999998</v>
      </c>
      <c r="I7177">
        <v>46.180840000000003</v>
      </c>
      <c r="J7177">
        <v>-187.62139999999999</v>
      </c>
      <c r="K7177">
        <v>1.110093</v>
      </c>
      <c r="L7177">
        <v>45.642850000000003</v>
      </c>
      <c r="M7177">
        <v>-4.7343999999999997E-3</v>
      </c>
      <c r="N7177">
        <v>0</v>
      </c>
      <c r="O7177">
        <v>0.99988060000000001</v>
      </c>
      <c r="P7177">
        <v>2.8112450000000001E-2</v>
      </c>
      <c r="Q7177">
        <v>0.1668492</v>
      </c>
      <c r="R7177">
        <v>0.98558159999999895</v>
      </c>
      <c r="S7177">
        <v>0.60157780000000005</v>
      </c>
      <c r="T7177">
        <v>-0.76986409999999905</v>
      </c>
      <c r="U7177">
        <v>3.1569820000000002</v>
      </c>
      <c r="V7177">
        <v>3.2857770000000001E-2</v>
      </c>
      <c r="W7177">
        <v>0.1813167</v>
      </c>
      <c r="X7177">
        <v>0.98287570000000002</v>
      </c>
      <c r="Y7177">
        <v>0.18668899999999999</v>
      </c>
      <c r="Z7177">
        <v>-0.23285159999999999</v>
      </c>
      <c r="AA7177">
        <v>0.95442519999999997</v>
      </c>
      <c r="AB7177">
        <v>37</v>
      </c>
      <c r="AC7177">
        <v>0.169199999999989</v>
      </c>
      <c r="AD7177">
        <v>-0.21441079999999901</v>
      </c>
      <c r="AE7177">
        <v>0.53798999999999997</v>
      </c>
      <c r="AF7177">
        <v>0.15005657842628101</v>
      </c>
      <c r="AG7177">
        <v>-0.21441079999999901</v>
      </c>
      <c r="AH7177">
        <v>0.46934472818700201</v>
      </c>
      <c r="AI7177">
        <v>113.51539935571699</v>
      </c>
      <c r="AJ7177">
        <v>72.270138923985698</v>
      </c>
      <c r="AK7177">
        <v>0.53737644325237499</v>
      </c>
      <c r="AL7177">
        <v>79.5535368579379</v>
      </c>
      <c r="AM7177">
        <v>88.085301435844201</v>
      </c>
      <c r="AN7177">
        <v>1.00000001019937</v>
      </c>
    </row>
    <row r="7178" spans="1:40" x14ac:dyDescent="0.25">
      <c r="A7178" t="str">
        <f>"20190312172547790"</f>
        <v>20190312172547790</v>
      </c>
      <c r="B7178" t="str">
        <f>"1552382747787913"</f>
        <v>1552382747787913</v>
      </c>
      <c r="C7178" t="s">
        <v>40</v>
      </c>
      <c r="D7178">
        <v>3.706191</v>
      </c>
      <c r="E7178">
        <v>0.5703781</v>
      </c>
      <c r="F7178" t="s">
        <v>41</v>
      </c>
      <c r="G7178">
        <v>-187.45590000000001</v>
      </c>
      <c r="H7178">
        <v>0.89813860000000001</v>
      </c>
      <c r="I7178">
        <v>46.510260000000002</v>
      </c>
      <c r="J7178">
        <v>-187.62289999999999</v>
      </c>
      <c r="K7178">
        <v>1.1100950000000001</v>
      </c>
      <c r="L7178">
        <v>45.99747</v>
      </c>
      <c r="M7178">
        <v>-4.5741999999999996E-3</v>
      </c>
      <c r="N7178">
        <v>0</v>
      </c>
      <c r="O7178">
        <v>0.99988109999999997</v>
      </c>
      <c r="P7178">
        <v>2.7834149999999998E-2</v>
      </c>
      <c r="Q7178">
        <v>0.16727729999999999</v>
      </c>
      <c r="R7178">
        <v>0.98551690000000003</v>
      </c>
      <c r="S7178">
        <v>0.60224909999999998</v>
      </c>
      <c r="T7178">
        <v>-0.77150640000000004</v>
      </c>
      <c r="U7178">
        <v>3.1573180000000001</v>
      </c>
      <c r="V7178">
        <v>3.2421640000000002E-2</v>
      </c>
      <c r="W7178">
        <v>0.18175559999999999</v>
      </c>
      <c r="X7178">
        <v>0.98280909999999999</v>
      </c>
      <c r="Y7178">
        <v>0.1866891</v>
      </c>
      <c r="Z7178">
        <v>-0.2332938</v>
      </c>
      <c r="AA7178">
        <v>0.95431719999999998</v>
      </c>
      <c r="AB7178">
        <v>37</v>
      </c>
      <c r="AC7178">
        <v>0.166999999999973</v>
      </c>
      <c r="AD7178">
        <v>-0.21195639999999999</v>
      </c>
      <c r="AE7178">
        <v>0.51278999999999497</v>
      </c>
      <c r="AF7178">
        <v>0.14668599809902999</v>
      </c>
      <c r="AG7178">
        <v>-0.21195639999999999</v>
      </c>
      <c r="AH7178">
        <v>0.44351268635945401</v>
      </c>
      <c r="AI7178">
        <v>114.40529461646901</v>
      </c>
      <c r="AJ7178">
        <v>71.699045010221894</v>
      </c>
      <c r="AK7178">
        <v>0.51297738790423097</v>
      </c>
      <c r="AL7178">
        <v>79.527964670684895</v>
      </c>
      <c r="AM7178">
        <v>88.110569266007701</v>
      </c>
      <c r="AN7178">
        <v>0.99999999395722905</v>
      </c>
    </row>
    <row r="7179" spans="1:40" x14ac:dyDescent="0.25">
      <c r="A7179" t="str">
        <f>"20190312172547813"</f>
        <v>20190312172547813</v>
      </c>
      <c r="B7179" t="str">
        <f>"1552382747807432"</f>
        <v>1552382747807432</v>
      </c>
      <c r="C7179" t="s">
        <v>40</v>
      </c>
      <c r="D7179">
        <v>3.6997840000000002</v>
      </c>
      <c r="E7179">
        <v>0.57040309999999905</v>
      </c>
      <c r="F7179" t="s">
        <v>41</v>
      </c>
      <c r="G7179">
        <v>-187.46199999999999</v>
      </c>
      <c r="H7179">
        <v>0.9041458</v>
      </c>
      <c r="I7179">
        <v>46.840699999999998</v>
      </c>
      <c r="J7179">
        <v>-187.62440000000001</v>
      </c>
      <c r="K7179">
        <v>1.110107</v>
      </c>
      <c r="L7179">
        <v>46.35745</v>
      </c>
      <c r="M7179">
        <v>-4.4116260000000001E-3</v>
      </c>
      <c r="N7179">
        <v>0</v>
      </c>
      <c r="O7179">
        <v>0.99988169999999998</v>
      </c>
      <c r="P7179">
        <v>2.7798150000000001E-2</v>
      </c>
      <c r="Q7179">
        <v>0.1675712</v>
      </c>
      <c r="R7179">
        <v>0.98546800000000001</v>
      </c>
      <c r="S7179">
        <v>0.60208130000000004</v>
      </c>
      <c r="T7179">
        <v>-0.7712909</v>
      </c>
      <c r="U7179">
        <v>3.1579899999999999</v>
      </c>
      <c r="V7179">
        <v>3.2225459999999997E-2</v>
      </c>
      <c r="W7179">
        <v>0.18205850000000001</v>
      </c>
      <c r="X7179">
        <v>0.98275950000000001</v>
      </c>
      <c r="Y7179">
        <v>0.1864479</v>
      </c>
      <c r="Z7179">
        <v>-0.23319300000000001</v>
      </c>
      <c r="AA7179">
        <v>0.95438889999999998</v>
      </c>
      <c r="AB7179">
        <v>37</v>
      </c>
      <c r="AC7179">
        <v>0.162399999999991</v>
      </c>
      <c r="AD7179">
        <v>-0.20596120000000001</v>
      </c>
      <c r="AE7179">
        <v>0.48324999999999801</v>
      </c>
      <c r="AF7179">
        <v>0.14144480164547499</v>
      </c>
      <c r="AG7179">
        <v>-0.20596120000000001</v>
      </c>
      <c r="AH7179">
        <v>0.41482374142329498</v>
      </c>
      <c r="AI7179">
        <v>115.170498396623</v>
      </c>
      <c r="AJ7179">
        <v>71.171872718999694</v>
      </c>
      <c r="AK7179">
        <v>0.484257559844334</v>
      </c>
      <c r="AL7179">
        <v>79.510315442818694</v>
      </c>
      <c r="AM7179">
        <v>88.121899089477907</v>
      </c>
      <c r="AN7179">
        <v>1.00000000626735</v>
      </c>
    </row>
    <row r="7180" spans="1:40" x14ac:dyDescent="0.25">
      <c r="A7180" t="str">
        <f>"20190312172547835"</f>
        <v>20190312172547835</v>
      </c>
      <c r="B7180" t="str">
        <f>"1552382747827929"</f>
        <v>1552382747827929</v>
      </c>
      <c r="C7180" t="s">
        <v>40</v>
      </c>
      <c r="D7180">
        <v>3.6779920000000002</v>
      </c>
      <c r="E7180">
        <v>0.570438</v>
      </c>
      <c r="F7180" t="s">
        <v>41</v>
      </c>
      <c r="G7180">
        <v>-187.4692</v>
      </c>
      <c r="H7180">
        <v>0.9113888</v>
      </c>
      <c r="I7180">
        <v>47.171239999999997</v>
      </c>
      <c r="J7180">
        <v>-187.6259</v>
      </c>
      <c r="K7180">
        <v>1.110107</v>
      </c>
      <c r="L7180">
        <v>46.737000000000002</v>
      </c>
      <c r="M7180">
        <v>-4.2401260000000003E-3</v>
      </c>
      <c r="N7180">
        <v>0</v>
      </c>
      <c r="O7180">
        <v>0.9998823</v>
      </c>
      <c r="P7180">
        <v>2.8024259999999999E-2</v>
      </c>
      <c r="Q7180">
        <v>0.16849439999999999</v>
      </c>
      <c r="R7180">
        <v>0.98530419999999996</v>
      </c>
      <c r="S7180">
        <v>0.602188099999999</v>
      </c>
      <c r="T7180">
        <v>-0.77124009999999998</v>
      </c>
      <c r="U7180">
        <v>3.1583860000000001</v>
      </c>
      <c r="V7180">
        <v>3.2282320000000003E-2</v>
      </c>
      <c r="W7180">
        <v>0.1829877</v>
      </c>
      <c r="X7180">
        <v>0.98258500000000004</v>
      </c>
      <c r="Y7180">
        <v>0.18629039999999999</v>
      </c>
      <c r="Z7180">
        <v>-0.23315440000000001</v>
      </c>
      <c r="AA7180">
        <v>0.95442910000000003</v>
      </c>
      <c r="AB7180">
        <v>37</v>
      </c>
      <c r="AC7180">
        <v>0.15670000000000001</v>
      </c>
      <c r="AD7180">
        <v>-0.19871819999999901</v>
      </c>
      <c r="AE7180">
        <v>0.43424000000000901</v>
      </c>
      <c r="AF7180">
        <v>0.13375628725039501</v>
      </c>
      <c r="AG7180">
        <v>-0.19871819999999901</v>
      </c>
      <c r="AH7180">
        <v>0.36579360585191301</v>
      </c>
      <c r="AI7180">
        <v>117.031237940015</v>
      </c>
      <c r="AJ7180">
        <v>69.914528130435102</v>
      </c>
      <c r="AK7180">
        <v>0.43724664603904601</v>
      </c>
      <c r="AL7180">
        <v>79.4561661399256</v>
      </c>
      <c r="AM7180">
        <v>88.118253781166004</v>
      </c>
      <c r="AN7180">
        <v>0.99999996438043504</v>
      </c>
    </row>
    <row r="7181" spans="1:40" x14ac:dyDescent="0.25">
      <c r="A7181" t="str">
        <f>"20190312172547858"</f>
        <v>20190312172547858</v>
      </c>
      <c r="B7181" t="str">
        <f>"1552382747847451"</f>
        <v>1552382747847451</v>
      </c>
      <c r="C7181" t="s">
        <v>40</v>
      </c>
      <c r="D7181">
        <v>3.6919019999999998</v>
      </c>
      <c r="E7181">
        <v>0.57045429999999997</v>
      </c>
      <c r="F7181" t="s">
        <v>41</v>
      </c>
      <c r="G7181">
        <v>-187.4796</v>
      </c>
      <c r="H7181">
        <v>0.92354519999999996</v>
      </c>
      <c r="I7181">
        <v>47.503349999999998</v>
      </c>
      <c r="J7181">
        <v>-187.62729999999999</v>
      </c>
      <c r="K7181">
        <v>1.110114</v>
      </c>
      <c r="L7181">
        <v>47.096469999999997</v>
      </c>
      <c r="M7181">
        <v>-4.0772930000000001E-3</v>
      </c>
      <c r="N7181">
        <v>0</v>
      </c>
      <c r="O7181">
        <v>0.99988290000000002</v>
      </c>
      <c r="P7181">
        <v>2.8220990000000001E-2</v>
      </c>
      <c r="Q7181">
        <v>0.1691329</v>
      </c>
      <c r="R7181">
        <v>0.98518910000000004</v>
      </c>
      <c r="S7181">
        <v>0.60252380000000005</v>
      </c>
      <c r="T7181">
        <v>-0.76905429999999997</v>
      </c>
      <c r="U7181">
        <v>3.159119</v>
      </c>
      <c r="V7181">
        <v>3.2318340000000001E-2</v>
      </c>
      <c r="W7181">
        <v>0.18362990000000001</v>
      </c>
      <c r="X7181">
        <v>0.982464</v>
      </c>
      <c r="Y7181">
        <v>0.18621799999999999</v>
      </c>
      <c r="Z7181">
        <v>-0.23247979999999999</v>
      </c>
      <c r="AA7181">
        <v>0.95460780000000001</v>
      </c>
      <c r="AB7181">
        <v>37</v>
      </c>
      <c r="AC7181">
        <v>0.14769999999998601</v>
      </c>
      <c r="AD7181">
        <v>-0.18656880000000001</v>
      </c>
      <c r="AE7181">
        <v>0.40687999999999303</v>
      </c>
      <c r="AF7181">
        <v>0.125958129064171</v>
      </c>
      <c r="AG7181">
        <v>-0.18656880000000001</v>
      </c>
      <c r="AH7181">
        <v>0.34262364309613802</v>
      </c>
      <c r="AI7181">
        <v>117.07099171866101</v>
      </c>
      <c r="AJ7181">
        <v>69.815146529499501</v>
      </c>
      <c r="AK7181">
        <v>0.40995649552026397</v>
      </c>
      <c r="AL7181">
        <v>79.418736546553305</v>
      </c>
      <c r="AM7181">
        <v>88.115923829918103</v>
      </c>
      <c r="AN7181">
        <v>0.99999996328518204</v>
      </c>
    </row>
    <row r="7182" spans="1:40" x14ac:dyDescent="0.25">
      <c r="A7182" t="str">
        <f>"20190312172547879"</f>
        <v>20190312172547879</v>
      </c>
      <c r="B7182" t="str">
        <f>"1552382747877705"</f>
        <v>1552382747877705</v>
      </c>
      <c r="C7182" t="s">
        <v>40</v>
      </c>
      <c r="D7182">
        <v>3.737142</v>
      </c>
      <c r="E7182">
        <v>0.57026650000000001</v>
      </c>
      <c r="F7182" t="s">
        <v>41</v>
      </c>
      <c r="G7182">
        <v>-187.48650000000001</v>
      </c>
      <c r="H7182">
        <v>0.93106350000000004</v>
      </c>
      <c r="I7182">
        <v>47.833309999999997</v>
      </c>
      <c r="J7182">
        <v>-187.62860000000001</v>
      </c>
      <c r="K7182">
        <v>1.1101219999999901</v>
      </c>
      <c r="L7182">
        <v>47.454619999999998</v>
      </c>
      <c r="M7182">
        <v>-3.91501E-3</v>
      </c>
      <c r="N7182">
        <v>0</v>
      </c>
      <c r="O7182">
        <v>0.99988350000000004</v>
      </c>
      <c r="P7182">
        <v>2.852973E-2</v>
      </c>
      <c r="Q7182">
        <v>0.17004449999999999</v>
      </c>
      <c r="R7182">
        <v>0.98502330000000005</v>
      </c>
      <c r="S7182">
        <v>0.60346979999999995</v>
      </c>
      <c r="T7182">
        <v>-0.76777799999999996</v>
      </c>
      <c r="U7182">
        <v>3.159637</v>
      </c>
      <c r="V7182">
        <v>3.2466870000000002E-2</v>
      </c>
      <c r="W7182">
        <v>0.1845434</v>
      </c>
      <c r="X7182">
        <v>0.98228789999999999</v>
      </c>
      <c r="Y7182">
        <v>0.18632399999999999</v>
      </c>
      <c r="Z7182">
        <v>-0.23207149999999999</v>
      </c>
      <c r="AA7182">
        <v>0.95468640000000005</v>
      </c>
      <c r="AB7182">
        <v>37</v>
      </c>
      <c r="AC7182">
        <v>0.142099999999999</v>
      </c>
      <c r="AD7182">
        <v>-0.17905849999999901</v>
      </c>
      <c r="AE7182">
        <v>0.37868999999999797</v>
      </c>
      <c r="AF7182">
        <v>0.120053609013478</v>
      </c>
      <c r="AG7182">
        <v>-0.17905849999999901</v>
      </c>
      <c r="AH7182">
        <v>0.31616824104784202</v>
      </c>
      <c r="AI7182">
        <v>117.899200762812</v>
      </c>
      <c r="AJ7182">
        <v>69.207513204204901</v>
      </c>
      <c r="AK7182">
        <v>0.38267110173972801</v>
      </c>
      <c r="AL7182">
        <v>79.365486574493104</v>
      </c>
      <c r="AM7182">
        <v>88.106932123581402</v>
      </c>
      <c r="AN7182">
        <v>0.999999941308781</v>
      </c>
    </row>
    <row r="7183" spans="1:40" x14ac:dyDescent="0.25">
      <c r="A7183" t="str">
        <f>"20190312172547903"</f>
        <v>20190312172547903</v>
      </c>
      <c r="B7183" t="str">
        <f>"1552382747897226"</f>
        <v>1552382747897226</v>
      </c>
      <c r="C7183" t="s">
        <v>40</v>
      </c>
      <c r="D7183">
        <v>3.7027800000000002</v>
      </c>
      <c r="E7183">
        <v>0.57031229999999999</v>
      </c>
      <c r="F7183" t="s">
        <v>41</v>
      </c>
      <c r="G7183">
        <v>-187.4932</v>
      </c>
      <c r="H7183">
        <v>0.93879290000000004</v>
      </c>
      <c r="I7183">
        <v>48.16337</v>
      </c>
      <c r="J7183">
        <v>-187.62989999999999</v>
      </c>
      <c r="K7183">
        <v>1.1101190000000001</v>
      </c>
      <c r="L7183">
        <v>47.822299999999998</v>
      </c>
      <c r="M7183">
        <v>-3.748304E-3</v>
      </c>
      <c r="N7183">
        <v>0</v>
      </c>
      <c r="O7183">
        <v>0.99988410000000005</v>
      </c>
      <c r="P7183">
        <v>2.8512570000000001E-2</v>
      </c>
      <c r="Q7183">
        <v>0.1702021</v>
      </c>
      <c r="R7183">
        <v>0.9849966</v>
      </c>
      <c r="S7183">
        <v>0.60282899999999995</v>
      </c>
      <c r="T7183">
        <v>-0.76387450000000001</v>
      </c>
      <c r="U7183">
        <v>3.1600039999999998</v>
      </c>
      <c r="V7183">
        <v>3.2285380000000002E-2</v>
      </c>
      <c r="W7183">
        <v>0.1847046</v>
      </c>
      <c r="X7183">
        <v>0.98226360000000001</v>
      </c>
      <c r="Y7183">
        <v>0.18600349999999999</v>
      </c>
      <c r="Z7183">
        <v>-0.2309425</v>
      </c>
      <c r="AA7183">
        <v>0.95502260000000005</v>
      </c>
      <c r="AB7183">
        <v>37</v>
      </c>
      <c r="AC7183">
        <v>0.13669999999999</v>
      </c>
      <c r="AD7183">
        <v>-0.17132610000000001</v>
      </c>
      <c r="AE7183">
        <v>0.34107000000000198</v>
      </c>
      <c r="AF7183">
        <v>0.11333778274395601</v>
      </c>
      <c r="AG7183">
        <v>-0.17132610000000001</v>
      </c>
      <c r="AH7183">
        <v>0.27973933852669602</v>
      </c>
      <c r="AI7183">
        <v>119.58054821445999</v>
      </c>
      <c r="AJ7183">
        <v>67.944425094988802</v>
      </c>
      <c r="AK7183">
        <v>0.34706221784844199</v>
      </c>
      <c r="AL7183">
        <v>79.356089115552294</v>
      </c>
      <c r="AM7183">
        <v>88.117460211994597</v>
      </c>
      <c r="AN7183">
        <v>0.999999957453931</v>
      </c>
    </row>
    <row r="7184" spans="1:40" x14ac:dyDescent="0.25">
      <c r="A7184" t="str">
        <f>"20190312172547925"</f>
        <v>20190312172547925</v>
      </c>
      <c r="B7184" t="str">
        <f>"1552382747917721"</f>
        <v>1552382747917721</v>
      </c>
      <c r="C7184" t="s">
        <v>40</v>
      </c>
      <c r="D7184">
        <v>3.7639550000000002</v>
      </c>
      <c r="E7184">
        <v>0.57050069999999997</v>
      </c>
      <c r="F7184" t="s">
        <v>41</v>
      </c>
      <c r="G7184">
        <v>-187.44470000000001</v>
      </c>
      <c r="H7184">
        <v>0.87601450000000003</v>
      </c>
      <c r="I7184">
        <v>48.790759999999999</v>
      </c>
      <c r="J7184">
        <v>-187.6311</v>
      </c>
      <c r="K7184">
        <v>1.1101259999999999</v>
      </c>
      <c r="L7184">
        <v>48.195189999999997</v>
      </c>
      <c r="M7184">
        <v>-3.5792509999999999E-3</v>
      </c>
      <c r="N7184">
        <v>0</v>
      </c>
      <c r="O7184">
        <v>0.99988469999999996</v>
      </c>
      <c r="P7184">
        <v>2.8330310000000001E-2</v>
      </c>
      <c r="Q7184">
        <v>0.17058229999999999</v>
      </c>
      <c r="R7184">
        <v>0.98493609999999998</v>
      </c>
      <c r="S7184">
        <v>0.60369869999999903</v>
      </c>
      <c r="T7184">
        <v>-0.76390519999999995</v>
      </c>
      <c r="U7184">
        <v>3.1602169999999998</v>
      </c>
      <c r="V7184">
        <v>3.193646E-2</v>
      </c>
      <c r="W7184">
        <v>0.18508649999999999</v>
      </c>
      <c r="X7184">
        <v>0.98220320000000005</v>
      </c>
      <c r="Y7184">
        <v>0.18607989999999999</v>
      </c>
      <c r="Z7184">
        <v>-0.23092969999999999</v>
      </c>
      <c r="AA7184">
        <v>0.95501080000000005</v>
      </c>
      <c r="AB7184">
        <v>36</v>
      </c>
      <c r="AC7184">
        <v>0.18639999999999099</v>
      </c>
      <c r="AD7184">
        <v>-0.234111499999999</v>
      </c>
      <c r="AE7184">
        <v>0.59556999999999505</v>
      </c>
      <c r="AF7184">
        <v>0.165271595992489</v>
      </c>
      <c r="AG7184">
        <v>-0.234111499999999</v>
      </c>
      <c r="AH7184">
        <v>0.52150594160681396</v>
      </c>
      <c r="AI7184">
        <v>113.167958775702</v>
      </c>
      <c r="AJ7184">
        <v>72.415956169266494</v>
      </c>
      <c r="AK7184">
        <v>0.59505574697280605</v>
      </c>
      <c r="AL7184">
        <v>79.333824833909802</v>
      </c>
      <c r="AM7184">
        <v>88.1376766753814</v>
      </c>
      <c r="AN7184">
        <v>1.0000000380249101</v>
      </c>
    </row>
    <row r="7185" spans="1:40" x14ac:dyDescent="0.25">
      <c r="A7185" t="str">
        <f>"20190312172547948"</f>
        <v>20190312172547948</v>
      </c>
      <c r="B7185" t="str">
        <f>"1552382747937240"</f>
        <v>1552382747937240</v>
      </c>
      <c r="C7185" t="s">
        <v>40</v>
      </c>
      <c r="D7185">
        <v>3.6876799999999998</v>
      </c>
      <c r="E7185">
        <v>0.57060630000000001</v>
      </c>
      <c r="F7185" t="s">
        <v>41</v>
      </c>
      <c r="G7185">
        <v>-187.4538</v>
      </c>
      <c r="H7185">
        <v>0.88668130000000001</v>
      </c>
      <c r="I7185">
        <v>49.120420000000003</v>
      </c>
      <c r="J7185">
        <v>-187.63229999999999</v>
      </c>
      <c r="K7185">
        <v>1.110131</v>
      </c>
      <c r="L7185">
        <v>48.570430000000002</v>
      </c>
      <c r="M7185">
        <v>-3.409132E-3</v>
      </c>
      <c r="N7185">
        <v>0</v>
      </c>
      <c r="O7185">
        <v>0.99988520000000003</v>
      </c>
      <c r="P7185">
        <v>2.8264330000000001E-2</v>
      </c>
      <c r="Q7185">
        <v>0.17098089999999999</v>
      </c>
      <c r="R7185">
        <v>0.98486890000000005</v>
      </c>
      <c r="S7185">
        <v>0.60551449999999996</v>
      </c>
      <c r="T7185">
        <v>-0.76328999999999902</v>
      </c>
      <c r="U7185">
        <v>3.1606450000000001</v>
      </c>
      <c r="V7185">
        <v>3.1702760000000003E-2</v>
      </c>
      <c r="W7185">
        <v>0.18548629999999999</v>
      </c>
      <c r="X7185">
        <v>0.98213530000000004</v>
      </c>
      <c r="Y7185">
        <v>0.18642839999999999</v>
      </c>
      <c r="Z7185">
        <v>-0.23070579999999999</v>
      </c>
      <c r="AA7185">
        <v>0.95499699999999998</v>
      </c>
      <c r="AB7185">
        <v>36</v>
      </c>
      <c r="AC7185">
        <v>0.178499999999985</v>
      </c>
      <c r="AD7185">
        <v>-0.2234497</v>
      </c>
      <c r="AE7185">
        <v>0.54999000000000098</v>
      </c>
      <c r="AF7185">
        <v>0.15693807767468701</v>
      </c>
      <c r="AG7185">
        <v>-0.2234497</v>
      </c>
      <c r="AH7185">
        <v>0.47799730245352101</v>
      </c>
      <c r="AI7185">
        <v>113.948136243902</v>
      </c>
      <c r="AJ7185">
        <v>71.823740603745804</v>
      </c>
      <c r="AK7185">
        <v>0.55049137123769598</v>
      </c>
      <c r="AL7185">
        <v>79.310513831300199</v>
      </c>
      <c r="AM7185">
        <v>88.151167302106401</v>
      </c>
      <c r="AN7185">
        <v>0.99999998999269801</v>
      </c>
    </row>
    <row r="7186" spans="1:40" x14ac:dyDescent="0.25">
      <c r="A7186" t="str">
        <f>"20190312172547971"</f>
        <v>20190312172547971</v>
      </c>
      <c r="B7186" t="str">
        <f>"1552382747967498"</f>
        <v>1552382747967498</v>
      </c>
      <c r="C7186" t="s">
        <v>40</v>
      </c>
      <c r="D7186">
        <v>3.6970740000000002</v>
      </c>
      <c r="E7186">
        <v>0.53326090000000004</v>
      </c>
      <c r="F7186" t="s">
        <v>41</v>
      </c>
      <c r="G7186">
        <v>-187.46369999999999</v>
      </c>
      <c r="H7186">
        <v>0.89793690000000004</v>
      </c>
      <c r="I7186">
        <v>49.449930000000002</v>
      </c>
      <c r="J7186">
        <v>-187.63329999999999</v>
      </c>
      <c r="K7186">
        <v>1.110136</v>
      </c>
      <c r="L7186">
        <v>48.938139999999997</v>
      </c>
      <c r="M7186">
        <v>-3.242385E-3</v>
      </c>
      <c r="N7186">
        <v>0</v>
      </c>
      <c r="O7186">
        <v>0.99988569999999999</v>
      </c>
      <c r="P7186">
        <v>2.808911E-2</v>
      </c>
      <c r="Q7186">
        <v>0.17103109999999999</v>
      </c>
      <c r="R7186">
        <v>0.98486510000000005</v>
      </c>
      <c r="S7186">
        <v>0.60519409999999996</v>
      </c>
      <c r="T7186">
        <v>-0.76267620000000003</v>
      </c>
      <c r="U7186">
        <v>3.161133</v>
      </c>
      <c r="V7186">
        <v>3.1363219999999997E-2</v>
      </c>
      <c r="W7186">
        <v>0.1855378</v>
      </c>
      <c r="X7186">
        <v>0.98213649999999997</v>
      </c>
      <c r="Y7186">
        <v>0.18615309999999999</v>
      </c>
      <c r="Z7186">
        <v>-0.2305056</v>
      </c>
      <c r="AA7186">
        <v>0.95509900000000003</v>
      </c>
      <c r="AB7186">
        <v>36</v>
      </c>
      <c r="AC7186">
        <v>0.169600000000002</v>
      </c>
      <c r="AD7186">
        <v>-0.2121991</v>
      </c>
      <c r="AE7186">
        <v>0.51178999999999697</v>
      </c>
      <c r="AF7186">
        <v>0.14828873940766199</v>
      </c>
      <c r="AG7186">
        <v>-0.2121991</v>
      </c>
      <c r="AH7186">
        <v>0.44266794383570002</v>
      </c>
      <c r="AI7186">
        <v>114.443621930969</v>
      </c>
      <c r="AJ7186">
        <v>71.479734923379397</v>
      </c>
      <c r="AK7186">
        <v>0.51280885013389799</v>
      </c>
      <c r="AL7186">
        <v>79.307511253285597</v>
      </c>
      <c r="AM7186">
        <v>88.170957211688204</v>
      </c>
      <c r="AN7186">
        <v>1.00000001571492</v>
      </c>
    </row>
    <row r="7187" spans="1:40" x14ac:dyDescent="0.25">
      <c r="A7187" t="str">
        <f>"20190312172547992"</f>
        <v>20190312172547992</v>
      </c>
      <c r="B7187" t="str">
        <f>"1552382747987017"</f>
        <v>1552382747987017</v>
      </c>
      <c r="C7187" t="s">
        <v>40</v>
      </c>
      <c r="D7187">
        <v>3.602678</v>
      </c>
      <c r="E7187">
        <v>0.49581249999999999</v>
      </c>
      <c r="F7187" t="s">
        <v>41</v>
      </c>
      <c r="G7187">
        <v>-187.5463</v>
      </c>
      <c r="H7187">
        <v>0.96415779999999995</v>
      </c>
      <c r="I7187">
        <v>49.801639999999999</v>
      </c>
      <c r="J7187">
        <v>-187.6343</v>
      </c>
      <c r="K7187">
        <v>1.110141</v>
      </c>
      <c r="L7187">
        <v>49.28275</v>
      </c>
      <c r="M7187">
        <v>-3.0860340000000001E-3</v>
      </c>
      <c r="N7187">
        <v>0</v>
      </c>
      <c r="O7187">
        <v>0.99988630000000001</v>
      </c>
      <c r="P7187">
        <v>2.8028959999999999E-2</v>
      </c>
      <c r="Q7187">
        <v>0.17133689999999999</v>
      </c>
      <c r="R7187">
        <v>0.98481370000000001</v>
      </c>
      <c r="S7187">
        <v>0.31503300000000001</v>
      </c>
      <c r="T7187">
        <v>-0.5289644</v>
      </c>
      <c r="U7187">
        <v>3.1289669999999998</v>
      </c>
      <c r="V7187">
        <v>3.114894E-2</v>
      </c>
      <c r="W7187">
        <v>0.1858428</v>
      </c>
      <c r="X7187">
        <v>0.9820856</v>
      </c>
      <c r="Y7187">
        <v>0.1018592</v>
      </c>
      <c r="Z7187">
        <v>-0.1658464</v>
      </c>
      <c r="AA7187">
        <v>0.980877</v>
      </c>
      <c r="AB7187">
        <v>36</v>
      </c>
      <c r="AC7187">
        <v>8.7999999999993805E-2</v>
      </c>
      <c r="AD7187">
        <v>-0.14598319999999901</v>
      </c>
      <c r="AE7187">
        <v>0.51888999999999896</v>
      </c>
      <c r="AF7187">
        <v>8.3199845590441995E-2</v>
      </c>
      <c r="AG7187">
        <v>-0.14598319999999901</v>
      </c>
      <c r="AH7187">
        <v>0.481565301951978</v>
      </c>
      <c r="AI7187">
        <v>106.631812425099</v>
      </c>
      <c r="AJ7187">
        <v>80.197796316663798</v>
      </c>
      <c r="AK7187">
        <v>0.51003769373705399</v>
      </c>
      <c r="AL7187">
        <v>79.289726180460505</v>
      </c>
      <c r="AM7187">
        <v>88.183351122470796</v>
      </c>
      <c r="AN7187">
        <v>0.999999964251161</v>
      </c>
    </row>
    <row r="7188" spans="1:40" x14ac:dyDescent="0.25">
      <c r="A7188" t="str">
        <f>"20190312172548014"</f>
        <v>20190312172548014</v>
      </c>
      <c r="B7188" t="str">
        <f>"1552382748007513"</f>
        <v>1552382748007513</v>
      </c>
      <c r="C7188" t="s">
        <v>40</v>
      </c>
      <c r="D7188">
        <v>3.7388409999999999</v>
      </c>
      <c r="E7188">
        <v>0.49542910000000001</v>
      </c>
      <c r="F7188" t="s">
        <v>43</v>
      </c>
      <c r="G7188">
        <v>-187.4932</v>
      </c>
      <c r="H7188" s="1">
        <v>-3.0003229999999999E-6</v>
      </c>
      <c r="I7188">
        <v>65.590059999999994</v>
      </c>
      <c r="J7188">
        <v>-187.6353</v>
      </c>
      <c r="K7188">
        <v>1.110142</v>
      </c>
      <c r="L7188">
        <v>49.649659999999997</v>
      </c>
      <c r="M7188">
        <v>-2.9193050000000001E-3</v>
      </c>
      <c r="N7188">
        <v>0</v>
      </c>
      <c r="O7188">
        <v>0.99988679999999996</v>
      </c>
      <c r="P7188">
        <v>2.7775890000000001E-2</v>
      </c>
      <c r="Q7188">
        <v>0.17118169999999999</v>
      </c>
      <c r="R7188">
        <v>0.98484780000000005</v>
      </c>
      <c r="S7188">
        <v>2.6672359999999999E-2</v>
      </c>
      <c r="T7188">
        <v>-0.20981169999999999</v>
      </c>
      <c r="U7188">
        <v>3.082001</v>
      </c>
      <c r="V7188">
        <v>3.073151E-2</v>
      </c>
      <c r="W7188">
        <v>0.18568770000000001</v>
      </c>
      <c r="X7188">
        <v>0.98212809999999995</v>
      </c>
      <c r="Y7188">
        <v>1.155341E-2</v>
      </c>
      <c r="Z7188">
        <v>-6.7915290000000003E-2</v>
      </c>
      <c r="AA7188">
        <v>0.99762419999999996</v>
      </c>
      <c r="AB7188">
        <v>36</v>
      </c>
      <c r="AC7188">
        <v>0.142099999999999</v>
      </c>
      <c r="AD7188">
        <v>-1.110145000323</v>
      </c>
      <c r="AE7188">
        <v>15.940399999999901</v>
      </c>
      <c r="AF7188">
        <v>0.18772890059741801</v>
      </c>
      <c r="AG7188">
        <v>-1.110145000323</v>
      </c>
      <c r="AH7188">
        <v>15.8629844116266</v>
      </c>
      <c r="AI7188">
        <v>94.002944980952705</v>
      </c>
      <c r="AJ7188">
        <v>89.321970486778696</v>
      </c>
      <c r="AK7188">
        <v>15.902890885162099</v>
      </c>
      <c r="AL7188">
        <v>79.298770304202804</v>
      </c>
      <c r="AM7188">
        <v>88.207757734754793</v>
      </c>
      <c r="AN7188">
        <v>0.99999997622388903</v>
      </c>
    </row>
    <row r="7189" spans="1:40" x14ac:dyDescent="0.25">
      <c r="A7189" t="str">
        <f>"20190312172548037"</f>
        <v>20190312172548037</v>
      </c>
      <c r="B7189" t="str">
        <f>"1552382748027033"</f>
        <v>1552382748027033</v>
      </c>
      <c r="C7189" t="s">
        <v>40</v>
      </c>
      <c r="D7189">
        <v>3.733508</v>
      </c>
      <c r="E7189">
        <v>0.49583179999999999</v>
      </c>
      <c r="F7189" t="s">
        <v>43</v>
      </c>
      <c r="G7189">
        <v>-187.48179999999999</v>
      </c>
      <c r="H7189" s="1">
        <v>-4.5136210000000002E-6</v>
      </c>
      <c r="I7189">
        <v>69.112919999999903</v>
      </c>
      <c r="J7189">
        <v>-187.6362</v>
      </c>
      <c r="K7189">
        <v>1.11015</v>
      </c>
      <c r="L7189">
        <v>50.023620000000001</v>
      </c>
      <c r="M7189">
        <v>-2.749348E-3</v>
      </c>
      <c r="N7189">
        <v>0</v>
      </c>
      <c r="O7189">
        <v>0.99988719999999998</v>
      </c>
      <c r="P7189">
        <v>2.7550310000000001E-2</v>
      </c>
      <c r="Q7189">
        <v>0.1712571</v>
      </c>
      <c r="R7189">
        <v>0.98484110000000002</v>
      </c>
      <c r="S7189">
        <v>2.4246219999999999E-2</v>
      </c>
      <c r="T7189">
        <v>-0.17544670000000001</v>
      </c>
      <c r="U7189">
        <v>3.075958</v>
      </c>
      <c r="V7189">
        <v>3.0338380000000002E-2</v>
      </c>
      <c r="W7189">
        <v>0.1857627</v>
      </c>
      <c r="X7189">
        <v>0.98212619999999895</v>
      </c>
      <c r="Y7189">
        <v>1.061899E-2</v>
      </c>
      <c r="Z7189">
        <v>-5.6942710000000001E-2</v>
      </c>
      <c r="AA7189">
        <v>0.99832100000000001</v>
      </c>
      <c r="AB7189">
        <v>36</v>
      </c>
      <c r="AC7189">
        <v>0.154400000000009</v>
      </c>
      <c r="AD7189">
        <v>-1.110154513621</v>
      </c>
      <c r="AE7189">
        <v>19.089299999999898</v>
      </c>
      <c r="AF7189">
        <v>0.20619095398031001</v>
      </c>
      <c r="AG7189">
        <v>-1.110154513621</v>
      </c>
      <c r="AH7189">
        <v>19.024464797670301</v>
      </c>
      <c r="AI7189">
        <v>93.339457637631</v>
      </c>
      <c r="AJ7189">
        <v>89.379041196862403</v>
      </c>
      <c r="AK7189">
        <v>19.057943713617501</v>
      </c>
      <c r="AL7189">
        <v>79.2943976739232</v>
      </c>
      <c r="AM7189">
        <v>88.2306667402123</v>
      </c>
      <c r="AN7189">
        <v>1.0000000353693701</v>
      </c>
    </row>
    <row r="7190" spans="1:40" x14ac:dyDescent="0.25">
      <c r="A7190" t="str">
        <f>"20190312172548060"</f>
        <v>20190312172548060</v>
      </c>
      <c r="B7190" t="str">
        <f>"1552382748057289"</f>
        <v>1552382748057289</v>
      </c>
      <c r="C7190" t="s">
        <v>40</v>
      </c>
      <c r="D7190">
        <v>3.726359</v>
      </c>
      <c r="E7190">
        <v>0.49666579999999999</v>
      </c>
      <c r="F7190" t="s">
        <v>43</v>
      </c>
      <c r="G7190">
        <v>-187.44909999999999</v>
      </c>
      <c r="H7190" s="1">
        <v>-1.055099E-6</v>
      </c>
      <c r="I7190">
        <v>70.754059999999996</v>
      </c>
      <c r="J7190">
        <v>-187.637</v>
      </c>
      <c r="K7190">
        <v>1.110152</v>
      </c>
      <c r="L7190">
        <v>50.383000000000003</v>
      </c>
      <c r="M7190">
        <v>-2.5862319999999999E-3</v>
      </c>
      <c r="N7190">
        <v>0</v>
      </c>
      <c r="O7190">
        <v>0.99988770000000005</v>
      </c>
      <c r="P7190">
        <v>2.746637E-2</v>
      </c>
      <c r="Q7190">
        <v>0.1715226</v>
      </c>
      <c r="R7190">
        <v>0.98479720000000004</v>
      </c>
      <c r="S7190">
        <v>2.7740480000000001E-2</v>
      </c>
      <c r="T7190">
        <v>-0.16461990000000001</v>
      </c>
      <c r="U7190">
        <v>3.074036</v>
      </c>
      <c r="V7190">
        <v>3.0093709999999999E-2</v>
      </c>
      <c r="W7190">
        <v>0.18602650000000001</v>
      </c>
      <c r="X7190">
        <v>0.98208379999999995</v>
      </c>
      <c r="Y7190">
        <v>1.159723E-2</v>
      </c>
      <c r="Z7190">
        <v>-5.3471959999999999E-2</v>
      </c>
      <c r="AA7190">
        <v>0.998502</v>
      </c>
      <c r="AB7190">
        <v>36</v>
      </c>
      <c r="AC7190">
        <v>0.187900000000013</v>
      </c>
      <c r="AD7190">
        <v>-1.110153055099</v>
      </c>
      <c r="AE7190">
        <v>20.37106</v>
      </c>
      <c r="AF7190">
        <v>0.23987705483528399</v>
      </c>
      <c r="AG7190">
        <v>-1.110153055099</v>
      </c>
      <c r="AH7190">
        <v>20.310192211233801</v>
      </c>
      <c r="AI7190">
        <v>93.128450399117199</v>
      </c>
      <c r="AJ7190">
        <v>89.323329700779098</v>
      </c>
      <c r="AK7190">
        <v>20.341924404157201</v>
      </c>
      <c r="AL7190">
        <v>79.279014973559697</v>
      </c>
      <c r="AM7190">
        <v>88.244851200322103</v>
      </c>
      <c r="AN7190">
        <v>1.0000000401531199</v>
      </c>
    </row>
    <row r="7191" spans="1:40" x14ac:dyDescent="0.25">
      <c r="A7191" t="str">
        <f>"20190312172548082"</f>
        <v>20190312172548082</v>
      </c>
      <c r="B7191" t="str">
        <f>"1552382748077784"</f>
        <v>1552382748077784</v>
      </c>
      <c r="C7191" t="s">
        <v>40</v>
      </c>
      <c r="D7191">
        <v>3.6974490000000002</v>
      </c>
      <c r="E7191">
        <v>0.49687239999999999</v>
      </c>
      <c r="F7191" t="s">
        <v>43</v>
      </c>
      <c r="G7191">
        <v>-187.39570000000001</v>
      </c>
      <c r="H7191" s="1">
        <v>-1.5211130000000001E-6</v>
      </c>
      <c r="I7191">
        <v>72.081669999999903</v>
      </c>
      <c r="J7191">
        <v>-187.6378</v>
      </c>
      <c r="K7191">
        <v>1.11016</v>
      </c>
      <c r="L7191">
        <v>50.736510000000003</v>
      </c>
      <c r="M7191">
        <v>-2.4256630000000002E-3</v>
      </c>
      <c r="N7191">
        <v>0</v>
      </c>
      <c r="O7191">
        <v>0.99988809999999995</v>
      </c>
      <c r="P7191">
        <v>2.7175660000000001E-2</v>
      </c>
      <c r="Q7191">
        <v>0.1714627</v>
      </c>
      <c r="R7191">
        <v>0.98481569999999996</v>
      </c>
      <c r="S7191">
        <v>3.4179689999999999E-2</v>
      </c>
      <c r="T7191">
        <v>-0.1572075</v>
      </c>
      <c r="U7191">
        <v>3.0727229999999999</v>
      </c>
      <c r="V7191">
        <v>2.9644759999999999E-2</v>
      </c>
      <c r="W7191">
        <v>0.18596509999999999</v>
      </c>
      <c r="X7191">
        <v>0.98210909999999996</v>
      </c>
      <c r="Y7191">
        <v>1.353411E-2</v>
      </c>
      <c r="Z7191">
        <v>-5.1091299999999999E-2</v>
      </c>
      <c r="AA7191">
        <v>0.99860230000000005</v>
      </c>
      <c r="AB7191">
        <v>36</v>
      </c>
      <c r="AC7191">
        <v>0.24209999999999299</v>
      </c>
      <c r="AD7191">
        <v>-1.110161521113</v>
      </c>
      <c r="AE7191">
        <v>21.34516</v>
      </c>
      <c r="AF7191">
        <v>0.293088380987716</v>
      </c>
      <c r="AG7191">
        <v>-1.110161521113</v>
      </c>
      <c r="AH7191">
        <v>21.286935292509799</v>
      </c>
      <c r="AI7191">
        <v>92.985116603503499</v>
      </c>
      <c r="AJ7191">
        <v>89.211175023120305</v>
      </c>
      <c r="AK7191">
        <v>21.317879199149399</v>
      </c>
      <c r="AL7191">
        <v>79.282595596467701</v>
      </c>
      <c r="AM7191">
        <v>88.271063711985505</v>
      </c>
      <c r="AN7191">
        <v>1.00000005725813</v>
      </c>
    </row>
    <row r="7192" spans="1:40" x14ac:dyDescent="0.25">
      <c r="A7192" t="str">
        <f>"20190312172548104"</f>
        <v>20190312172548104</v>
      </c>
      <c r="B7192" t="str">
        <f>"1552382748097304"</f>
        <v>1552382748097304</v>
      </c>
      <c r="C7192" t="s">
        <v>40</v>
      </c>
      <c r="D7192">
        <v>3.731036</v>
      </c>
      <c r="E7192">
        <v>0.49715900000000002</v>
      </c>
      <c r="F7192" t="s">
        <v>43</v>
      </c>
      <c r="G7192">
        <v>-187.38640000000001</v>
      </c>
      <c r="H7192" s="1">
        <v>-1.8046000000000001E-6</v>
      </c>
      <c r="I7192">
        <v>72.758669999999995</v>
      </c>
      <c r="J7192">
        <v>-187.63849999999999</v>
      </c>
      <c r="K7192">
        <v>1.1101570000000001</v>
      </c>
      <c r="L7192">
        <v>51.082210000000003</v>
      </c>
      <c r="M7192">
        <v>-2.2685930000000002E-3</v>
      </c>
      <c r="N7192">
        <v>0</v>
      </c>
      <c r="O7192">
        <v>0.99988849999999996</v>
      </c>
      <c r="P7192">
        <v>2.6981959999999999E-2</v>
      </c>
      <c r="Q7192">
        <v>0.1718353</v>
      </c>
      <c r="R7192">
        <v>0.98475610000000002</v>
      </c>
      <c r="S7192">
        <v>3.5064699999999997E-2</v>
      </c>
      <c r="T7192">
        <v>-0.1548764</v>
      </c>
      <c r="U7192">
        <v>3.0722659999999999</v>
      </c>
      <c r="V7192">
        <v>2.9296249999999999E-2</v>
      </c>
      <c r="W7192">
        <v>0.18633520000000001</v>
      </c>
      <c r="X7192">
        <v>0.98204930000000001</v>
      </c>
      <c r="Y7192">
        <v>1.366675E-2</v>
      </c>
      <c r="Z7192">
        <v>-5.0342999999999999E-2</v>
      </c>
      <c r="AA7192">
        <v>0.99863849999999998</v>
      </c>
      <c r="AB7192">
        <v>36</v>
      </c>
      <c r="AC7192">
        <v>0.252099999999984</v>
      </c>
      <c r="AD7192">
        <v>-1.1101588045999999</v>
      </c>
      <c r="AE7192">
        <v>21.676459999999999</v>
      </c>
      <c r="AF7192">
        <v>0.30049169917569502</v>
      </c>
      <c r="AG7192">
        <v>-1.1101588045999999</v>
      </c>
      <c r="AH7192">
        <v>21.619133541637201</v>
      </c>
      <c r="AI7192">
        <v>92.939316059952702</v>
      </c>
      <c r="AJ7192">
        <v>89.203677727606802</v>
      </c>
      <c r="AK7192">
        <v>21.649703991598798</v>
      </c>
      <c r="AL7192">
        <v>79.2610120572553</v>
      </c>
      <c r="AM7192">
        <v>88.291273347190099</v>
      </c>
      <c r="AN7192">
        <v>0.99999995232679495</v>
      </c>
    </row>
    <row r="7193" spans="1:40" x14ac:dyDescent="0.25">
      <c r="A7193" t="str">
        <f>"20190312172548126"</f>
        <v>20190312172548126</v>
      </c>
      <c r="B7193" t="str">
        <f>"1552382748117800"</f>
        <v>1552382748117800</v>
      </c>
      <c r="C7193" t="s">
        <v>40</v>
      </c>
      <c r="D7193">
        <v>3.7009379999999998</v>
      </c>
      <c r="E7193">
        <v>0.49729889999999999</v>
      </c>
      <c r="F7193" t="s">
        <v>43</v>
      </c>
      <c r="G7193">
        <v>-187.3664</v>
      </c>
      <c r="H7193" s="1">
        <v>-2.1434800000000002E-6</v>
      </c>
      <c r="I7193">
        <v>73.540319999999994</v>
      </c>
      <c r="J7193">
        <v>-187.63919999999999</v>
      </c>
      <c r="K7193">
        <v>1.11016</v>
      </c>
      <c r="L7193">
        <v>51.447879999999998</v>
      </c>
      <c r="M7193">
        <v>-2.1022860000000001E-3</v>
      </c>
      <c r="N7193">
        <v>0</v>
      </c>
      <c r="O7193">
        <v>0.99988900000000003</v>
      </c>
      <c r="P7193">
        <v>2.6967399999999999E-2</v>
      </c>
      <c r="Q7193">
        <v>0.172515</v>
      </c>
      <c r="R7193">
        <v>0.98463769999999995</v>
      </c>
      <c r="S7193">
        <v>3.7216190000000003E-2</v>
      </c>
      <c r="T7193">
        <v>-0.15185309999999999</v>
      </c>
      <c r="U7193">
        <v>3.07193</v>
      </c>
      <c r="V7193">
        <v>2.9117770000000001E-2</v>
      </c>
      <c r="W7193">
        <v>0.1870107</v>
      </c>
      <c r="X7193">
        <v>0.98192630000000003</v>
      </c>
      <c r="Y7193">
        <v>1.420159E-2</v>
      </c>
      <c r="Z7193">
        <v>-4.9367729999999999E-2</v>
      </c>
      <c r="AA7193">
        <v>0.99867969999999895</v>
      </c>
      <c r="AB7193">
        <v>36</v>
      </c>
      <c r="AC7193">
        <v>0.272799999999989</v>
      </c>
      <c r="AD7193">
        <v>-1.11016214348</v>
      </c>
      <c r="AE7193">
        <v>22.09244</v>
      </c>
      <c r="AF7193">
        <v>0.318445081790593</v>
      </c>
      <c r="AG7193">
        <v>-1.11016214348</v>
      </c>
      <c r="AH7193">
        <v>22.036181643075601</v>
      </c>
      <c r="AI7193">
        <v>92.883768673880695</v>
      </c>
      <c r="AJ7193">
        <v>89.172075745051202</v>
      </c>
      <c r="AK7193">
        <v>22.066426277527501</v>
      </c>
      <c r="AL7193">
        <v>79.221617353647005</v>
      </c>
      <c r="AM7193">
        <v>88.301464603335702</v>
      </c>
      <c r="AN7193">
        <v>1.00000005253797</v>
      </c>
    </row>
    <row r="7194" spans="1:40" x14ac:dyDescent="0.25">
      <c r="A7194" t="str">
        <f>"20190312172548150"</f>
        <v>20190312172548150</v>
      </c>
      <c r="B7194" t="str">
        <f>"1552382748137321"</f>
        <v>1552382748137321</v>
      </c>
      <c r="C7194" t="s">
        <v>40</v>
      </c>
      <c r="D7194">
        <v>3.684447</v>
      </c>
      <c r="E7194">
        <v>0.4974944</v>
      </c>
      <c r="F7194" t="s">
        <v>43</v>
      </c>
      <c r="G7194">
        <v>-187.351</v>
      </c>
      <c r="H7194" s="1">
        <v>-2.5684249999999999E-6</v>
      </c>
      <c r="I7194">
        <v>74.524500000000003</v>
      </c>
      <c r="J7194">
        <v>-187.63980000000001</v>
      </c>
      <c r="K7194">
        <v>1.110168</v>
      </c>
      <c r="L7194">
        <v>51.830350000000003</v>
      </c>
      <c r="M7194">
        <v>-1.928071E-3</v>
      </c>
      <c r="N7194">
        <v>0</v>
      </c>
      <c r="O7194">
        <v>0.99988929999999998</v>
      </c>
      <c r="P7194">
        <v>2.7107860000000001E-2</v>
      </c>
      <c r="Q7194">
        <v>0.1729184</v>
      </c>
      <c r="R7194">
        <v>0.98456310000000002</v>
      </c>
      <c r="S7194">
        <v>3.8360600000000002E-2</v>
      </c>
      <c r="T7194">
        <v>-0.14777019999999999</v>
      </c>
      <c r="U7194">
        <v>3.0716549999999998</v>
      </c>
      <c r="V7194">
        <v>2.908647E-2</v>
      </c>
      <c r="W7194">
        <v>0.1874112</v>
      </c>
      <c r="X7194">
        <v>0.98185080000000002</v>
      </c>
      <c r="Y7194">
        <v>1.4401290000000001E-2</v>
      </c>
      <c r="Z7194">
        <v>-4.8047609999999998E-2</v>
      </c>
      <c r="AA7194">
        <v>0.9987412</v>
      </c>
      <c r="AB7194">
        <v>36</v>
      </c>
      <c r="AC7194">
        <v>0.28880000000000899</v>
      </c>
      <c r="AD7194">
        <v>-1.1101705684250001</v>
      </c>
      <c r="AE7194">
        <v>22.69415</v>
      </c>
      <c r="AF7194">
        <v>0.33176635396387899</v>
      </c>
      <c r="AG7194">
        <v>-1.1101705684250001</v>
      </c>
      <c r="AH7194">
        <v>22.639382543277598</v>
      </c>
      <c r="AI7194">
        <v>92.807071441686205</v>
      </c>
      <c r="AJ7194">
        <v>89.160425365662803</v>
      </c>
      <c r="AK7194">
        <v>22.669013863542499</v>
      </c>
      <c r="AL7194">
        <v>79.198256668584804</v>
      </c>
      <c r="AM7194">
        <v>88.303158974276201</v>
      </c>
      <c r="AN7194">
        <v>0.99999998704157</v>
      </c>
    </row>
    <row r="7195" spans="1:40" x14ac:dyDescent="0.25">
      <c r="A7195" t="str">
        <f>"20190312172548172"</f>
        <v>20190312172548172</v>
      </c>
      <c r="B7195" t="str">
        <f>"1552382748167576"</f>
        <v>1552382748167576</v>
      </c>
      <c r="C7195" t="s">
        <v>40</v>
      </c>
      <c r="D7195">
        <v>3.720618</v>
      </c>
      <c r="E7195">
        <v>0.49766959999999999</v>
      </c>
      <c r="F7195" t="s">
        <v>43</v>
      </c>
      <c r="G7195">
        <v>-187.33</v>
      </c>
      <c r="H7195" s="1">
        <v>-2.8824819999999999E-6</v>
      </c>
      <c r="I7195">
        <v>75.247889999999998</v>
      </c>
      <c r="J7195">
        <v>-187.6403</v>
      </c>
      <c r="K7195">
        <v>1.1101730000000001</v>
      </c>
      <c r="L7195">
        <v>52.185760000000002</v>
      </c>
      <c r="M7195">
        <v>-1.766367E-3</v>
      </c>
      <c r="N7195">
        <v>0</v>
      </c>
      <c r="O7195">
        <v>0.99988969999999999</v>
      </c>
      <c r="P7195">
        <v>2.6899260000000001E-2</v>
      </c>
      <c r="Q7195">
        <v>0.1732282</v>
      </c>
      <c r="R7195">
        <v>0.98451429999999995</v>
      </c>
      <c r="S7195">
        <v>4.0634160000000002E-2</v>
      </c>
      <c r="T7195">
        <v>-0.14561279999999999</v>
      </c>
      <c r="U7195">
        <v>3.0715029999999999</v>
      </c>
      <c r="V7195">
        <v>2.8718569999999999E-2</v>
      </c>
      <c r="W7195">
        <v>0.18771750000000001</v>
      </c>
      <c r="X7195">
        <v>0.98180310000000004</v>
      </c>
      <c r="Y7195">
        <v>1.49798E-2</v>
      </c>
      <c r="Z7195">
        <v>-4.7349670000000003E-2</v>
      </c>
      <c r="AA7195">
        <v>0.99876609999999999</v>
      </c>
      <c r="AB7195">
        <v>36</v>
      </c>
      <c r="AC7195">
        <v>0.31029999999998298</v>
      </c>
      <c r="AD7195">
        <v>-1.1101758824819901</v>
      </c>
      <c r="AE7195">
        <v>23.06213</v>
      </c>
      <c r="AF7195">
        <v>0.35022868864545198</v>
      </c>
      <c r="AG7195">
        <v>-1.1101758824819901</v>
      </c>
      <c r="AH7195">
        <v>23.008238206643099</v>
      </c>
      <c r="AI7195">
        <v>92.762130071489693</v>
      </c>
      <c r="AJ7195">
        <v>89.127917752392506</v>
      </c>
      <c r="AK7195">
        <v>23.037668632004099</v>
      </c>
      <c r="AL7195">
        <v>79.180389707978193</v>
      </c>
      <c r="AM7195">
        <v>88.324527794083906</v>
      </c>
      <c r="AN7195">
        <v>0.99999997161935195</v>
      </c>
    </row>
    <row r="7196" spans="1:40" x14ac:dyDescent="0.25">
      <c r="A7196" t="str">
        <f>"20190312172548192"</f>
        <v>20190312172548192</v>
      </c>
      <c r="B7196" t="str">
        <f>"1552382748187097"</f>
        <v>1552382748187097</v>
      </c>
      <c r="C7196" t="s">
        <v>40</v>
      </c>
      <c r="D7196">
        <v>3.6514329999999999</v>
      </c>
      <c r="E7196">
        <v>0.4978707</v>
      </c>
      <c r="F7196" t="s">
        <v>43</v>
      </c>
      <c r="G7196">
        <v>-187.32149999999999</v>
      </c>
      <c r="H7196" s="1">
        <v>-3.05813E-6</v>
      </c>
      <c r="I7196">
        <v>75.653850000000006</v>
      </c>
      <c r="J7196">
        <v>-187.64070000000001</v>
      </c>
      <c r="K7196">
        <v>1.1101780000000001</v>
      </c>
      <c r="L7196">
        <v>52.525509999999997</v>
      </c>
      <c r="M7196">
        <v>-1.6117799999999999E-3</v>
      </c>
      <c r="N7196">
        <v>0</v>
      </c>
      <c r="O7196">
        <v>0.99988999999999995</v>
      </c>
      <c r="P7196">
        <v>2.6758799999999999E-2</v>
      </c>
      <c r="Q7196">
        <v>0.17368410000000001</v>
      </c>
      <c r="R7196">
        <v>0.98443780000000003</v>
      </c>
      <c r="S7196">
        <v>4.1717530000000003E-2</v>
      </c>
      <c r="T7196">
        <v>-0.14530560000000001</v>
      </c>
      <c r="U7196">
        <v>3.071625</v>
      </c>
      <c r="V7196">
        <v>2.8425840000000001E-2</v>
      </c>
      <c r="W7196">
        <v>0.18816949999999999</v>
      </c>
      <c r="X7196">
        <v>0.98172510000000002</v>
      </c>
      <c r="Y7196">
        <v>1.517695E-2</v>
      </c>
      <c r="Z7196">
        <v>-4.7247949999999997E-2</v>
      </c>
      <c r="AA7196">
        <v>0.99876790000000004</v>
      </c>
      <c r="AB7196">
        <v>36</v>
      </c>
      <c r="AC7196">
        <v>0.31920000000002302</v>
      </c>
      <c r="AD7196">
        <v>-1.11018105813</v>
      </c>
      <c r="AE7196">
        <v>23.128340000000001</v>
      </c>
      <c r="AF7196">
        <v>0.35566211364683198</v>
      </c>
      <c r="AG7196">
        <v>-1.11018105813</v>
      </c>
      <c r="AH7196">
        <v>23.0746395845098</v>
      </c>
      <c r="AI7196">
        <v>92.7541985560581</v>
      </c>
      <c r="AJ7196">
        <v>89.116938558455303</v>
      </c>
      <c r="AK7196">
        <v>23.104068677960999</v>
      </c>
      <c r="AL7196">
        <v>79.1540222383112</v>
      </c>
      <c r="AM7196">
        <v>88.341464700617095</v>
      </c>
      <c r="AN7196">
        <v>0.99999998053998196</v>
      </c>
    </row>
    <row r="7197" spans="1:40" x14ac:dyDescent="0.25">
      <c r="A7197" t="str">
        <f>"20190312172548215"</f>
        <v>20190312172548215</v>
      </c>
      <c r="B7197" t="str">
        <f>"1552382748207593"</f>
        <v>1552382748207593</v>
      </c>
      <c r="C7197" t="s">
        <v>40</v>
      </c>
      <c r="D7197">
        <v>3.6318679999999999</v>
      </c>
      <c r="E7197">
        <v>0.49804540000000003</v>
      </c>
      <c r="F7197" t="s">
        <v>43</v>
      </c>
      <c r="G7197">
        <v>-187.316</v>
      </c>
      <c r="H7197" s="1">
        <v>-3.1252289999999999E-6</v>
      </c>
      <c r="I7197">
        <v>75.807980000000001</v>
      </c>
      <c r="J7197">
        <v>-187.6412</v>
      </c>
      <c r="K7197">
        <v>1.110174</v>
      </c>
      <c r="L7197">
        <v>52.886839999999999</v>
      </c>
      <c r="M7197">
        <v>-1.4472930000000001E-3</v>
      </c>
      <c r="N7197">
        <v>0</v>
      </c>
      <c r="O7197">
        <v>0.99989030000000001</v>
      </c>
      <c r="P7197">
        <v>2.62569E-2</v>
      </c>
      <c r="Q7197">
        <v>0.1739108</v>
      </c>
      <c r="R7197">
        <v>0.98441129999999999</v>
      </c>
      <c r="S7197">
        <v>4.2846679999999998E-2</v>
      </c>
      <c r="T7197">
        <v>-0.14648810000000001</v>
      </c>
      <c r="U7197">
        <v>3.0721129999999999</v>
      </c>
      <c r="V7197">
        <v>2.7761899999999999E-2</v>
      </c>
      <c r="W7197">
        <v>0.18839330000000001</v>
      </c>
      <c r="X7197">
        <v>0.98170119999999905</v>
      </c>
      <c r="Y7197">
        <v>1.537709E-2</v>
      </c>
      <c r="Z7197">
        <v>-4.7623850000000002E-2</v>
      </c>
      <c r="AA7197">
        <v>0.99874700000000005</v>
      </c>
      <c r="AB7197">
        <v>36</v>
      </c>
      <c r="AC7197">
        <v>0.32520000000002303</v>
      </c>
      <c r="AD7197">
        <v>-1.110177125229</v>
      </c>
      <c r="AE7197">
        <v>22.921140000000001</v>
      </c>
      <c r="AF7197">
        <v>0.357538284265288</v>
      </c>
      <c r="AG7197">
        <v>-1.110177125229</v>
      </c>
      <c r="AH7197">
        <v>22.867012026053601</v>
      </c>
      <c r="AI7197">
        <v>92.779147666013998</v>
      </c>
      <c r="AJ7197">
        <v>89.104222031129098</v>
      </c>
      <c r="AK7197">
        <v>22.8967370136833</v>
      </c>
      <c r="AL7197">
        <v>79.140966171615503</v>
      </c>
      <c r="AM7197">
        <v>88.380142674009406</v>
      </c>
      <c r="AN7197">
        <v>1.0000000023289599</v>
      </c>
    </row>
    <row r="7198" spans="1:40" x14ac:dyDescent="0.25">
      <c r="A7198" t="str">
        <f>"20190312172548237"</f>
        <v>20190312172548237</v>
      </c>
      <c r="B7198" t="str">
        <f>"1552382748227113"</f>
        <v>1552382748227113</v>
      </c>
      <c r="C7198" t="s">
        <v>40</v>
      </c>
      <c r="D7198">
        <v>3.616244</v>
      </c>
      <c r="E7198">
        <v>0.49812719999999999</v>
      </c>
      <c r="F7198" t="s">
        <v>43</v>
      </c>
      <c r="G7198">
        <v>-187.32339999999999</v>
      </c>
      <c r="H7198" s="1">
        <v>-3.1444100000000002E-6</v>
      </c>
      <c r="I7198">
        <v>75.855719999999906</v>
      </c>
      <c r="J7198">
        <v>-187.64150000000001</v>
      </c>
      <c r="K7198">
        <v>1.1101780000000001</v>
      </c>
      <c r="L7198">
        <v>53.248019999999997</v>
      </c>
      <c r="M7198">
        <v>-1.282816E-3</v>
      </c>
      <c r="N7198">
        <v>0</v>
      </c>
      <c r="O7198">
        <v>0.99989050000000002</v>
      </c>
      <c r="P7198">
        <v>2.6123650000000002E-2</v>
      </c>
      <c r="Q7198">
        <v>0.17380179999999901</v>
      </c>
      <c r="R7198">
        <v>0.98443409999999998</v>
      </c>
      <c r="S7198">
        <v>4.2510989999999999E-2</v>
      </c>
      <c r="T7198">
        <v>-0.14851110000000001</v>
      </c>
      <c r="U7198">
        <v>3.0726010000000001</v>
      </c>
      <c r="V7198">
        <v>2.7466560000000001E-2</v>
      </c>
      <c r="W7198">
        <v>0.1882818</v>
      </c>
      <c r="X7198">
        <v>0.98173089999999996</v>
      </c>
      <c r="Y7198">
        <v>1.5100870000000001E-2</v>
      </c>
      <c r="Z7198">
        <v>-4.8272500000000003E-2</v>
      </c>
      <c r="AA7198">
        <v>0.99872000000000005</v>
      </c>
      <c r="AB7198">
        <v>36</v>
      </c>
      <c r="AC7198">
        <v>0.31810000000001498</v>
      </c>
      <c r="AD7198">
        <v>-1.11018114441</v>
      </c>
      <c r="AE7198">
        <v>22.607699999999902</v>
      </c>
      <c r="AF7198">
        <v>0.34626956956405902</v>
      </c>
      <c r="AG7198">
        <v>-1.11018114441</v>
      </c>
      <c r="AH7198">
        <v>22.552899278954801</v>
      </c>
      <c r="AI7198">
        <v>92.817815651457906</v>
      </c>
      <c r="AJ7198">
        <v>89.120369141531796</v>
      </c>
      <c r="AK7198">
        <v>22.582862322453501</v>
      </c>
      <c r="AL7198">
        <v>79.147471079333101</v>
      </c>
      <c r="AM7198">
        <v>88.397414659435995</v>
      </c>
      <c r="AN7198">
        <v>1.00000000407214</v>
      </c>
    </row>
    <row r="7199" spans="1:40" x14ac:dyDescent="0.25">
      <c r="A7199" t="str">
        <f>"20190312172548259"</f>
        <v>20190312172548259</v>
      </c>
      <c r="B7199" t="str">
        <f>"1552382748247612"</f>
        <v>1552382748247612</v>
      </c>
      <c r="C7199" t="s">
        <v>40</v>
      </c>
      <c r="D7199">
        <v>3.6340849999999998</v>
      </c>
      <c r="E7199">
        <v>0.50058190000000002</v>
      </c>
      <c r="F7199" t="s">
        <v>43</v>
      </c>
      <c r="G7199">
        <v>-187.32589999999999</v>
      </c>
      <c r="H7199" s="1">
        <v>-3.1974559999999999E-6</v>
      </c>
      <c r="I7199">
        <v>75.980419999999995</v>
      </c>
      <c r="J7199">
        <v>-187.64179999999999</v>
      </c>
      <c r="K7199">
        <v>1.1101780000000001</v>
      </c>
      <c r="L7199">
        <v>53.589289999999998</v>
      </c>
      <c r="M7199">
        <v>-1.12711E-3</v>
      </c>
      <c r="N7199">
        <v>0</v>
      </c>
      <c r="O7199">
        <v>0.99989070000000002</v>
      </c>
      <c r="P7199">
        <v>2.633978E-2</v>
      </c>
      <c r="Q7199">
        <v>0.17399439999999999</v>
      </c>
      <c r="R7199">
        <v>0.98439430000000006</v>
      </c>
      <c r="S7199">
        <v>4.2663569999999998E-2</v>
      </c>
      <c r="T7199">
        <v>-0.15006539999999999</v>
      </c>
      <c r="U7199">
        <v>3.072784</v>
      </c>
      <c r="V7199">
        <v>2.7529209999999998E-2</v>
      </c>
      <c r="W7199">
        <v>0.1884711</v>
      </c>
      <c r="X7199">
        <v>0.98169289999999998</v>
      </c>
      <c r="Y7199">
        <v>1.4993589999999999E-2</v>
      </c>
      <c r="Z7199">
        <v>-4.8773690000000001E-2</v>
      </c>
      <c r="AA7199">
        <v>0.99869730000000001</v>
      </c>
      <c r="AB7199">
        <v>36</v>
      </c>
      <c r="AC7199">
        <v>0.31589999999999901</v>
      </c>
      <c r="AD7199">
        <v>-1.1101811974560001</v>
      </c>
      <c r="AE7199">
        <v>22.391129999999901</v>
      </c>
      <c r="AF7199">
        <v>0.34030340555077498</v>
      </c>
      <c r="AG7199">
        <v>-1.1101811974560001</v>
      </c>
      <c r="AH7199">
        <v>22.335862253249399</v>
      </c>
      <c r="AI7199">
        <v>92.845156781694797</v>
      </c>
      <c r="AJ7199">
        <v>89.1271238956856</v>
      </c>
      <c r="AK7199">
        <v>22.366024485704699</v>
      </c>
      <c r="AL7199">
        <v>79.136428120366901</v>
      </c>
      <c r="AM7199">
        <v>88.3936990036552</v>
      </c>
      <c r="AN7199">
        <v>1.0000000814244101</v>
      </c>
    </row>
    <row r="7200" spans="1:40" x14ac:dyDescent="0.25">
      <c r="A7200" t="str">
        <f>"20190312172548280"</f>
        <v>20190312172548280</v>
      </c>
      <c r="B7200" t="str">
        <f>"1552382748277865"</f>
        <v>1552382748277865</v>
      </c>
      <c r="C7200" t="s">
        <v>40</v>
      </c>
      <c r="D7200">
        <v>3.611259</v>
      </c>
      <c r="E7200">
        <v>0.50056659999999997</v>
      </c>
      <c r="F7200" t="s">
        <v>43</v>
      </c>
      <c r="G7200">
        <v>-187.2766</v>
      </c>
      <c r="H7200" s="1">
        <v>-1.471675E-6</v>
      </c>
      <c r="I7200">
        <v>71.843279999999993</v>
      </c>
      <c r="J7200">
        <v>-187.642</v>
      </c>
      <c r="K7200">
        <v>1.1101760000000001</v>
      </c>
      <c r="L7200">
        <v>53.926879999999997</v>
      </c>
      <c r="M7200">
        <v>-9.7313580000000003E-4</v>
      </c>
      <c r="N7200">
        <v>0</v>
      </c>
      <c r="O7200">
        <v>0.99989099999999997</v>
      </c>
      <c r="P7200">
        <v>2.6264969999999999E-2</v>
      </c>
      <c r="Q7200">
        <v>0.17387569999999999</v>
      </c>
      <c r="R7200">
        <v>0.98441730000000005</v>
      </c>
      <c r="S7200">
        <v>6.1599729999999998E-2</v>
      </c>
      <c r="T7200">
        <v>-0.1872606</v>
      </c>
      <c r="U7200">
        <v>3.0790099999999998</v>
      </c>
      <c r="V7200">
        <v>2.7302610000000001E-2</v>
      </c>
      <c r="W7200">
        <v>0.1883502</v>
      </c>
      <c r="X7200">
        <v>0.9817224</v>
      </c>
      <c r="Y7200">
        <v>2.0938499999999999E-2</v>
      </c>
      <c r="Z7200">
        <v>-6.0693539999999997E-2</v>
      </c>
      <c r="AA7200">
        <v>0.99793679999999996</v>
      </c>
      <c r="AB7200">
        <v>36</v>
      </c>
      <c r="AC7200">
        <v>0.36539999999999401</v>
      </c>
      <c r="AD7200">
        <v>-1.1101774716749999</v>
      </c>
      <c r="AE7200">
        <v>17.916399999999999</v>
      </c>
      <c r="AF7200">
        <v>0.38137310718183198</v>
      </c>
      <c r="AG7200">
        <v>-1.1101774716749999</v>
      </c>
      <c r="AH7200">
        <v>17.847537399488299</v>
      </c>
      <c r="AI7200">
        <v>93.558595882415403</v>
      </c>
      <c r="AJ7200">
        <v>88.7758678358814</v>
      </c>
      <c r="AK7200">
        <v>17.886098811413</v>
      </c>
      <c r="AL7200">
        <v>79.143481163523802</v>
      </c>
      <c r="AM7200">
        <v>88.406961884450993</v>
      </c>
      <c r="AN7200">
        <v>1.0000000505072999</v>
      </c>
    </row>
    <row r="7201" spans="1:40" x14ac:dyDescent="0.25">
      <c r="A7201" t="str">
        <f>"20190312172548305"</f>
        <v>20190312172548305</v>
      </c>
      <c r="B7201" t="str">
        <f>"1552382748297385"</f>
        <v>1552382748297385</v>
      </c>
      <c r="C7201" t="s">
        <v>40</v>
      </c>
      <c r="D7201">
        <v>3.633572</v>
      </c>
      <c r="E7201">
        <v>0.50056849999999997</v>
      </c>
      <c r="F7201" t="s">
        <v>43</v>
      </c>
      <c r="G7201">
        <v>-187.26400000000001</v>
      </c>
      <c r="H7201" s="1">
        <v>-1.804351E-6</v>
      </c>
      <c r="I7201">
        <v>72.707470000000001</v>
      </c>
      <c r="J7201">
        <v>-187.6422</v>
      </c>
      <c r="K7201">
        <v>1.110177</v>
      </c>
      <c r="L7201">
        <v>54.308929999999997</v>
      </c>
      <c r="M7201">
        <v>-7.988432E-4</v>
      </c>
      <c r="N7201">
        <v>0</v>
      </c>
      <c r="O7201">
        <v>0.99989119999999998</v>
      </c>
      <c r="P7201">
        <v>2.6506169999999999E-2</v>
      </c>
      <c r="Q7201">
        <v>0.17351269999999999</v>
      </c>
      <c r="R7201">
        <v>0.98447479999999998</v>
      </c>
      <c r="S7201">
        <v>6.1950680000000001E-2</v>
      </c>
      <c r="T7201">
        <v>-0.18194830000000001</v>
      </c>
      <c r="U7201">
        <v>3.0779719999999999</v>
      </c>
      <c r="V7201">
        <v>2.7371949999999999E-2</v>
      </c>
      <c r="W7201">
        <v>0.1879845</v>
      </c>
      <c r="X7201">
        <v>0.98179050000000001</v>
      </c>
      <c r="Y7201">
        <v>2.0886749999999999E-2</v>
      </c>
      <c r="Z7201">
        <v>-5.8997620000000001E-2</v>
      </c>
      <c r="AA7201">
        <v>0.99803960000000003</v>
      </c>
      <c r="AB7201">
        <v>36</v>
      </c>
      <c r="AC7201">
        <v>0.37819999999999199</v>
      </c>
      <c r="AD7201">
        <v>-1.1101788043509999</v>
      </c>
      <c r="AE7201">
        <v>18.398540000000001</v>
      </c>
      <c r="AF7201">
        <v>0.39147427169703902</v>
      </c>
      <c r="AG7201">
        <v>-1.1101788043509999</v>
      </c>
      <c r="AH7201">
        <v>18.331515352985601</v>
      </c>
      <c r="AI7201">
        <v>93.464881013177305</v>
      </c>
      <c r="AJ7201">
        <v>88.776619697194704</v>
      </c>
      <c r="AK7201">
        <v>18.369273372122699</v>
      </c>
      <c r="AL7201">
        <v>79.164814667820195</v>
      </c>
      <c r="AM7201">
        <v>88.403028884964598</v>
      </c>
      <c r="AN7201">
        <v>0.99999999088865099</v>
      </c>
    </row>
    <row r="7202" spans="1:40" x14ac:dyDescent="0.25">
      <c r="A7202" t="str">
        <f>"20190312172548326"</f>
        <v>20190312172548326</v>
      </c>
      <c r="B7202" t="str">
        <f>"1552382748317884"</f>
        <v>1552382748317884</v>
      </c>
      <c r="C7202" t="s">
        <v>40</v>
      </c>
      <c r="D7202">
        <v>3.5837810000000001</v>
      </c>
      <c r="E7202">
        <v>0.49690679999999998</v>
      </c>
      <c r="F7202" t="s">
        <v>43</v>
      </c>
      <c r="G7202">
        <v>-187.25839999999999</v>
      </c>
      <c r="H7202" s="1">
        <v>-1.9504040000000001E-6</v>
      </c>
      <c r="I7202">
        <v>73.045590000000004</v>
      </c>
      <c r="J7202">
        <v>-187.64230000000001</v>
      </c>
      <c r="K7202">
        <v>1.1101799999999999</v>
      </c>
      <c r="L7202">
        <v>54.667140000000003</v>
      </c>
      <c r="M7202">
        <v>-6.3543729999999997E-4</v>
      </c>
      <c r="N7202">
        <v>0</v>
      </c>
      <c r="O7202">
        <v>0.99989130000000004</v>
      </c>
      <c r="P7202">
        <v>2.6644649999999999E-2</v>
      </c>
      <c r="Q7202">
        <v>0.17398069999999999</v>
      </c>
      <c r="R7202">
        <v>0.9843885</v>
      </c>
      <c r="S7202">
        <v>6.3049320000000006E-2</v>
      </c>
      <c r="T7202">
        <v>-0.18236240000000001</v>
      </c>
      <c r="U7202">
        <v>3.0777589999999999</v>
      </c>
      <c r="V7202">
        <v>2.734953E-2</v>
      </c>
      <c r="W7202">
        <v>0.18844759999999999</v>
      </c>
      <c r="X7202">
        <v>0.98170230000000003</v>
      </c>
      <c r="Y7202">
        <v>2.1080689999999999E-2</v>
      </c>
      <c r="Z7202">
        <v>-5.9135189999999997E-2</v>
      </c>
      <c r="AA7202">
        <v>0.99802740000000001</v>
      </c>
      <c r="AB7202">
        <v>36</v>
      </c>
      <c r="AC7202">
        <v>0.38390000000001101</v>
      </c>
      <c r="AD7202">
        <v>-1.110181950404</v>
      </c>
      <c r="AE7202">
        <v>18.378450000000001</v>
      </c>
      <c r="AF7202">
        <v>0.39414195653970102</v>
      </c>
      <c r="AG7202">
        <v>-1.110181950404</v>
      </c>
      <c r="AH7202">
        <v>18.3114136196589</v>
      </c>
      <c r="AI7202">
        <v>93.468672640614201</v>
      </c>
      <c r="AJ7202">
        <v>88.766933860734696</v>
      </c>
      <c r="AK7202">
        <v>18.3492703014353</v>
      </c>
      <c r="AL7202">
        <v>79.137797696535301</v>
      </c>
      <c r="AM7202">
        <v>88.404192979641905</v>
      </c>
      <c r="AN7202">
        <v>0.99999995028113398</v>
      </c>
    </row>
    <row r="7203" spans="1:40" x14ac:dyDescent="0.25">
      <c r="A7203" t="str">
        <f>"20190312172548352"</f>
        <v>20190312172548352</v>
      </c>
      <c r="B7203" t="str">
        <f>"1552382748347161"</f>
        <v>1552382748347161</v>
      </c>
      <c r="C7203" t="s">
        <v>40</v>
      </c>
      <c r="D7203">
        <v>3.5780240000000001</v>
      </c>
      <c r="E7203">
        <v>0.49449520000000002</v>
      </c>
      <c r="F7203" t="s">
        <v>43</v>
      </c>
      <c r="G7203">
        <v>-187.4049</v>
      </c>
      <c r="H7203" s="1">
        <v>-3.0515840000000001E-6</v>
      </c>
      <c r="I7203">
        <v>75.673059999999893</v>
      </c>
      <c r="J7203">
        <v>-187.64240000000001</v>
      </c>
      <c r="K7203">
        <v>1.110188</v>
      </c>
      <c r="L7203">
        <v>55.043460000000003</v>
      </c>
      <c r="M7203">
        <v>-4.6366199999999999E-4</v>
      </c>
      <c r="N7203">
        <v>0</v>
      </c>
      <c r="O7203">
        <v>0.99989150000000004</v>
      </c>
      <c r="P7203">
        <v>2.712927E-2</v>
      </c>
      <c r="Q7203">
        <v>0.174295899999999</v>
      </c>
      <c r="R7203">
        <v>0.98431950000000001</v>
      </c>
      <c r="S7203">
        <v>3.4759520000000002E-2</v>
      </c>
      <c r="T7203">
        <v>-0.16253509999999999</v>
      </c>
      <c r="U7203">
        <v>3.075348</v>
      </c>
      <c r="V7203">
        <v>2.7664950000000001E-2</v>
      </c>
      <c r="W7203">
        <v>0.18875810000000001</v>
      </c>
      <c r="X7203">
        <v>0.9816338</v>
      </c>
      <c r="Y7203">
        <v>1.1749839999999999E-2</v>
      </c>
      <c r="Z7203">
        <v>-5.2773790000000001E-2</v>
      </c>
      <c r="AA7203">
        <v>0.99853740000000002</v>
      </c>
      <c r="AB7203">
        <v>36</v>
      </c>
      <c r="AC7203">
        <v>0.23750000000001101</v>
      </c>
      <c r="AD7203">
        <v>-1.1101910515840001</v>
      </c>
      <c r="AE7203">
        <v>20.6296</v>
      </c>
      <c r="AF7203">
        <v>0.246352804701678</v>
      </c>
      <c r="AG7203">
        <v>-1.1101910515840001</v>
      </c>
      <c r="AH7203">
        <v>20.569922953195402</v>
      </c>
      <c r="AI7203">
        <v>93.089124755404896</v>
      </c>
      <c r="AJ7203">
        <v>89.3138379167126</v>
      </c>
      <c r="AK7203">
        <v>20.601333553335799</v>
      </c>
      <c r="AL7203">
        <v>79.119682171773405</v>
      </c>
      <c r="AM7203">
        <v>88.3856857611609</v>
      </c>
      <c r="AN7203">
        <v>0.99999994353827404</v>
      </c>
    </row>
    <row r="7204" spans="1:40" x14ac:dyDescent="0.25">
      <c r="A7204" t="str">
        <f>"20190312172548384"</f>
        <v>20190312172548384</v>
      </c>
      <c r="B7204" t="str">
        <f>"1552382748377417"</f>
        <v>1552382748377417</v>
      </c>
      <c r="C7204" t="s">
        <v>40</v>
      </c>
      <c r="D7204">
        <v>3.5577719999999999</v>
      </c>
      <c r="E7204">
        <v>0.49274410000000002</v>
      </c>
      <c r="F7204" t="s">
        <v>43</v>
      </c>
      <c r="G7204">
        <v>-187.52279999999999</v>
      </c>
      <c r="H7204" s="1">
        <v>-3.6194640000000001E-6</v>
      </c>
      <c r="I7204">
        <v>77.045559999999995</v>
      </c>
      <c r="J7204">
        <v>-187.64240000000001</v>
      </c>
      <c r="K7204">
        <v>1.11019</v>
      </c>
      <c r="L7204">
        <v>55.563200000000002</v>
      </c>
      <c r="M7204">
        <v>-2.262849E-4</v>
      </c>
      <c r="N7204">
        <v>0</v>
      </c>
      <c r="O7204">
        <v>0.99989159999999999</v>
      </c>
      <c r="P7204">
        <v>2.709141E-2</v>
      </c>
      <c r="Q7204">
        <v>0.17465919999999999</v>
      </c>
      <c r="R7204">
        <v>0.98425609999999997</v>
      </c>
      <c r="S7204">
        <v>1.670837E-2</v>
      </c>
      <c r="T7204">
        <v>-0.1551496</v>
      </c>
      <c r="U7204">
        <v>3.0747990000000001</v>
      </c>
      <c r="V7204">
        <v>2.7393279999999999E-2</v>
      </c>
      <c r="W7204">
        <v>0.1891159</v>
      </c>
      <c r="X7204">
        <v>0.98157260000000002</v>
      </c>
      <c r="Y7204">
        <v>5.653295E-3</v>
      </c>
      <c r="Z7204">
        <v>-5.0393559999999997E-2</v>
      </c>
      <c r="AA7204">
        <v>0.99871339999999997</v>
      </c>
      <c r="AB7204">
        <v>36</v>
      </c>
      <c r="AC7204">
        <v>0.119600000000019</v>
      </c>
      <c r="AD7204">
        <v>-1.1101936194640001</v>
      </c>
      <c r="AE7204">
        <v>21.48236</v>
      </c>
      <c r="AF7204">
        <v>0.12413014700580299</v>
      </c>
      <c r="AG7204">
        <v>-1.1101936194640001</v>
      </c>
      <c r="AH7204">
        <v>21.4251130050848</v>
      </c>
      <c r="AI7204">
        <v>92.966215596812802</v>
      </c>
      <c r="AJ7204">
        <v>89.668050574258402</v>
      </c>
      <c r="AK7204">
        <v>21.454216495755499</v>
      </c>
      <c r="AL7204">
        <v>79.098806276993201</v>
      </c>
      <c r="AM7204">
        <v>88.401430461797801</v>
      </c>
      <c r="AN7204">
        <v>0.99999999224636404</v>
      </c>
    </row>
    <row r="7205" spans="1:40" x14ac:dyDescent="0.25">
      <c r="A7205" t="str">
        <f>"20190312172548405"</f>
        <v>20190312172548405</v>
      </c>
      <c r="B7205" t="str">
        <f>"1552382748397914"</f>
        <v>1552382748397914</v>
      </c>
      <c r="C7205" t="s">
        <v>40</v>
      </c>
      <c r="D7205">
        <v>3.5553219999999999</v>
      </c>
      <c r="E7205">
        <v>0.49202360000000001</v>
      </c>
      <c r="F7205" t="s">
        <v>43</v>
      </c>
      <c r="G7205">
        <v>-187.61920000000001</v>
      </c>
      <c r="H7205" s="1">
        <v>-4.3223169999999999E-6</v>
      </c>
      <c r="I7205">
        <v>78.723749999999995</v>
      </c>
      <c r="J7205">
        <v>-187.64230000000001</v>
      </c>
      <c r="K7205">
        <v>1.1101909999999999</v>
      </c>
      <c r="L7205">
        <v>55.914790000000004</v>
      </c>
      <c r="M7205" s="1">
        <v>-6.5700569999999997E-5</v>
      </c>
      <c r="N7205">
        <v>0</v>
      </c>
      <c r="O7205">
        <v>0.99989170000000005</v>
      </c>
      <c r="P7205">
        <v>2.7145760000000001E-2</v>
      </c>
      <c r="Q7205">
        <v>0.17446489999999901</v>
      </c>
      <c r="R7205">
        <v>0.98428919999999998</v>
      </c>
      <c r="S7205">
        <v>3.0822750000000002E-3</v>
      </c>
      <c r="T7205">
        <v>-0.1473545</v>
      </c>
      <c r="U7205">
        <v>3.0740660000000002</v>
      </c>
      <c r="V7205">
        <v>2.7289330000000001E-2</v>
      </c>
      <c r="W7205">
        <v>0.18891869999999999</v>
      </c>
      <c r="X7205">
        <v>0.98161350000000003</v>
      </c>
      <c r="Y7205">
        <v>1.0672279999999999E-3</v>
      </c>
      <c r="Z7205">
        <v>-4.7879720000000001E-2</v>
      </c>
      <c r="AA7205">
        <v>0.99885259999999998</v>
      </c>
      <c r="AB7205">
        <v>35</v>
      </c>
      <c r="AC7205">
        <v>2.3099999999999399E-2</v>
      </c>
      <c r="AD7205">
        <v>-1.110195322317</v>
      </c>
      <c r="AE7205">
        <v>22.8089599999999</v>
      </c>
      <c r="AF7205">
        <v>2.4540584300612799E-2</v>
      </c>
      <c r="AG7205">
        <v>-1.110195322317</v>
      </c>
      <c r="AH7205">
        <v>22.755048952283701</v>
      </c>
      <c r="AI7205">
        <v>92.793185387157806</v>
      </c>
      <c r="AJ7205">
        <v>89.938208378939095</v>
      </c>
      <c r="AK7205">
        <v>22.782128713419201</v>
      </c>
      <c r="AL7205">
        <v>79.110312756972604</v>
      </c>
      <c r="AM7205">
        <v>88.407559785368306</v>
      </c>
      <c r="AN7205">
        <v>1.00000002306189</v>
      </c>
    </row>
    <row r="7206" spans="1:40" x14ac:dyDescent="0.25">
      <c r="A7206" t="str">
        <f>"20190312172548428"</f>
        <v>20190312172548428</v>
      </c>
      <c r="B7206" t="str">
        <f>"1552382748417437"</f>
        <v>1552382748417437</v>
      </c>
      <c r="C7206" t="s">
        <v>40</v>
      </c>
      <c r="D7206">
        <v>3.5599310000000002</v>
      </c>
      <c r="E7206">
        <v>0.49145270000000002</v>
      </c>
      <c r="F7206" t="s">
        <v>43</v>
      </c>
      <c r="G7206">
        <v>-187.65649999999999</v>
      </c>
      <c r="H7206" s="1">
        <v>-4.506065E-6</v>
      </c>
      <c r="I7206">
        <v>79.167509999999993</v>
      </c>
      <c r="J7206">
        <v>-187.6422</v>
      </c>
      <c r="K7206">
        <v>1.11019</v>
      </c>
      <c r="L7206">
        <v>56.259639999999997</v>
      </c>
      <c r="M7206" s="1">
        <v>9.1889879999999994E-5</v>
      </c>
      <c r="N7206">
        <v>0</v>
      </c>
      <c r="O7206">
        <v>0.9998918</v>
      </c>
      <c r="P7206">
        <v>2.7007529999999998E-2</v>
      </c>
      <c r="Q7206">
        <v>0.17458270000000001</v>
      </c>
      <c r="R7206">
        <v>0.98427209999999998</v>
      </c>
      <c r="S7206">
        <v>-1.876831E-3</v>
      </c>
      <c r="T7206">
        <v>-0.1467648</v>
      </c>
      <c r="U7206">
        <v>3.073944</v>
      </c>
      <c r="V7206">
        <v>2.6995849999999998E-2</v>
      </c>
      <c r="W7206">
        <v>0.18903300000000001</v>
      </c>
      <c r="X7206">
        <v>0.98159960000000002</v>
      </c>
      <c r="Y7206">
        <v>-7.017662E-4</v>
      </c>
      <c r="Z7206">
        <v>-4.7690440000000001E-2</v>
      </c>
      <c r="AA7206">
        <v>0.99886189999999997</v>
      </c>
      <c r="AB7206">
        <v>35</v>
      </c>
      <c r="AC7206">
        <v>-1.42999999999915E-2</v>
      </c>
      <c r="AD7206">
        <v>-1.110194506065</v>
      </c>
      <c r="AE7206">
        <v>22.9078699999999</v>
      </c>
      <c r="AF7206">
        <v>-1.6366788376531698E-2</v>
      </c>
      <c r="AG7206">
        <v>-1.110194506065</v>
      </c>
      <c r="AH7206">
        <v>22.854190826155801</v>
      </c>
      <c r="AI7206">
        <v>92.781086426355799</v>
      </c>
      <c r="AJ7206">
        <v>90.041031762838699</v>
      </c>
      <c r="AK7206">
        <v>22.881145907305498</v>
      </c>
      <c r="AL7206">
        <v>79.103643571922703</v>
      </c>
      <c r="AM7206">
        <v>88.4246545301976</v>
      </c>
      <c r="AN7206">
        <v>1.0000000128631901</v>
      </c>
    </row>
    <row r="7207" spans="1:40" x14ac:dyDescent="0.25">
      <c r="A7207" t="str">
        <f>"20190312172548449"</f>
        <v>20190312172548449</v>
      </c>
      <c r="B7207" t="str">
        <f>"1552382748447689"</f>
        <v>1552382748447689</v>
      </c>
      <c r="C7207" t="s">
        <v>40</v>
      </c>
      <c r="D7207">
        <v>3.554087</v>
      </c>
      <c r="E7207">
        <v>0.49071959999999998</v>
      </c>
      <c r="F7207" t="s">
        <v>43</v>
      </c>
      <c r="G7207">
        <v>-187.69479999999999</v>
      </c>
      <c r="H7207" s="1">
        <v>-6.3613669999999997E-7</v>
      </c>
      <c r="I7207">
        <v>79.715000000000003</v>
      </c>
      <c r="J7207">
        <v>-187.642</v>
      </c>
      <c r="K7207">
        <v>1.1101939999999999</v>
      </c>
      <c r="L7207">
        <v>56.608699999999999</v>
      </c>
      <c r="M7207">
        <v>2.5153890000000003E-4</v>
      </c>
      <c r="N7207">
        <v>0</v>
      </c>
      <c r="O7207">
        <v>0.9998918</v>
      </c>
      <c r="P7207">
        <v>2.7164270000000001E-2</v>
      </c>
      <c r="Q7207">
        <v>0.17482029999999901</v>
      </c>
      <c r="R7207">
        <v>0.98422560000000003</v>
      </c>
      <c r="S7207">
        <v>-6.8969729999999998E-3</v>
      </c>
      <c r="T7207">
        <v>-0.1454947</v>
      </c>
      <c r="U7207">
        <v>3.0739139999999998</v>
      </c>
      <c r="V7207">
        <v>2.699534E-2</v>
      </c>
      <c r="W7207">
        <v>0.18926660000000001</v>
      </c>
      <c r="X7207">
        <v>0.98155460000000005</v>
      </c>
      <c r="Y7207">
        <v>-2.492761E-3</v>
      </c>
      <c r="Z7207">
        <v>-4.7279010000000003E-2</v>
      </c>
      <c r="AA7207">
        <v>0.99887859999999995</v>
      </c>
      <c r="AB7207">
        <v>35</v>
      </c>
      <c r="AC7207">
        <v>-5.2799999999990598E-2</v>
      </c>
      <c r="AD7207">
        <v>-1.1101946361366899</v>
      </c>
      <c r="AE7207">
        <v>23.106300000000001</v>
      </c>
      <c r="AF7207">
        <v>-5.8477762812253503E-2</v>
      </c>
      <c r="AG7207">
        <v>-1.1101946361366899</v>
      </c>
      <c r="AH7207">
        <v>23.053067332303002</v>
      </c>
      <c r="AI7207">
        <v>92.757123625055698</v>
      </c>
      <c r="AJ7207">
        <v>90.145339523359695</v>
      </c>
      <c r="AK7207">
        <v>23.079858431250099</v>
      </c>
      <c r="AL7207">
        <v>79.0900132335384</v>
      </c>
      <c r="AM7207">
        <v>88.424612091335703</v>
      </c>
      <c r="AN7207">
        <v>1.00000001351921</v>
      </c>
    </row>
    <row r="7208" spans="1:40" x14ac:dyDescent="0.25">
      <c r="A7208" t="str">
        <f>"20190312172548471"</f>
        <v>20190312172548471</v>
      </c>
      <c r="B7208" t="str">
        <f>"1552382748467210"</f>
        <v>1552382748467210</v>
      </c>
      <c r="C7208" t="s">
        <v>40</v>
      </c>
      <c r="D7208">
        <v>3.573118</v>
      </c>
      <c r="E7208">
        <v>0.49036020000000002</v>
      </c>
      <c r="F7208" t="s">
        <v>43</v>
      </c>
      <c r="G7208">
        <v>-187.73750000000001</v>
      </c>
      <c r="H7208" s="1">
        <v>-8.7753059999999905E-7</v>
      </c>
      <c r="I7208">
        <v>80.457750000000004</v>
      </c>
      <c r="J7208">
        <v>-187.64169999999999</v>
      </c>
      <c r="K7208">
        <v>1.110195</v>
      </c>
      <c r="L7208">
        <v>56.949100000000001</v>
      </c>
      <c r="M7208">
        <v>4.0715800000000002E-4</v>
      </c>
      <c r="N7208">
        <v>0</v>
      </c>
      <c r="O7208">
        <v>0.9998918</v>
      </c>
      <c r="P7208">
        <v>2.7366850000000002E-2</v>
      </c>
      <c r="Q7208">
        <v>0.174654</v>
      </c>
      <c r="R7208">
        <v>0.9842495</v>
      </c>
      <c r="S7208">
        <v>-1.231384E-2</v>
      </c>
      <c r="T7208">
        <v>-0.143089299999999</v>
      </c>
      <c r="U7208">
        <v>3.0738219999999998</v>
      </c>
      <c r="V7208">
        <v>2.7044519999999999E-2</v>
      </c>
      <c r="W7208">
        <v>0.18909709999999999</v>
      </c>
      <c r="X7208">
        <v>0.98158590000000001</v>
      </c>
      <c r="Y7208">
        <v>-4.4088690000000002E-3</v>
      </c>
      <c r="Z7208">
        <v>-4.650017E-2</v>
      </c>
      <c r="AA7208">
        <v>0.99890860000000004</v>
      </c>
      <c r="AB7208">
        <v>35</v>
      </c>
      <c r="AC7208">
        <v>-9.5800000000025406E-2</v>
      </c>
      <c r="AD7208">
        <v>-1.1101958775306</v>
      </c>
      <c r="AE7208">
        <v>23.508649999999999</v>
      </c>
      <c r="AF7208">
        <v>-0.105138286426245</v>
      </c>
      <c r="AG7208">
        <v>-1.1101958775306</v>
      </c>
      <c r="AH7208">
        <v>23.456297671185599</v>
      </c>
      <c r="AI7208">
        <v>92.709782534401199</v>
      </c>
      <c r="AJ7208">
        <v>90.256815453984899</v>
      </c>
      <c r="AK7208">
        <v>23.482791345686</v>
      </c>
      <c r="AL7208">
        <v>79.0999033069983</v>
      </c>
      <c r="AM7208">
        <v>88.421793807031506</v>
      </c>
      <c r="AN7208">
        <v>0.99999999918462501</v>
      </c>
    </row>
    <row r="7209" spans="1:40" x14ac:dyDescent="0.25">
      <c r="A7209" t="str">
        <f>"20190312172548494"</f>
        <v>20190312172548494</v>
      </c>
      <c r="B7209" t="str">
        <f>"1552382748487705"</f>
        <v>1552382748487705</v>
      </c>
      <c r="C7209" t="s">
        <v>40</v>
      </c>
      <c r="D7209">
        <v>3.5801379999999998</v>
      </c>
      <c r="E7209">
        <v>0.49007970000000001</v>
      </c>
      <c r="F7209" t="s">
        <v>43</v>
      </c>
      <c r="G7209">
        <v>-187.755</v>
      </c>
      <c r="H7209" s="1">
        <v>-9.926510999999999E-7</v>
      </c>
      <c r="I7209">
        <v>80.80968</v>
      </c>
      <c r="J7209">
        <v>-187.6414</v>
      </c>
      <c r="K7209">
        <v>1.110195</v>
      </c>
      <c r="L7209">
        <v>57.310180000000003</v>
      </c>
      <c r="M7209">
        <v>5.7226179999999996E-4</v>
      </c>
      <c r="N7209">
        <v>0</v>
      </c>
      <c r="O7209">
        <v>0.9998918</v>
      </c>
      <c r="P7209">
        <v>2.742644E-2</v>
      </c>
      <c r="Q7209">
        <v>0.1752254</v>
      </c>
      <c r="R7209">
        <v>0.98414619999999997</v>
      </c>
      <c r="S7209">
        <v>-1.45874E-2</v>
      </c>
      <c r="T7209">
        <v>-0.1430187</v>
      </c>
      <c r="U7209">
        <v>3.0737920000000001</v>
      </c>
      <c r="V7209">
        <v>2.6941719999999999E-2</v>
      </c>
      <c r="W7209">
        <v>0.1896632</v>
      </c>
      <c r="X7209">
        <v>0.98147949999999995</v>
      </c>
      <c r="Y7209">
        <v>-5.3128719999999997E-3</v>
      </c>
      <c r="Z7209">
        <v>-4.6477560000000001E-2</v>
      </c>
      <c r="AA7209">
        <v>0.99890520000000005</v>
      </c>
      <c r="AB7209">
        <v>35</v>
      </c>
      <c r="AC7209">
        <v>-0.113599999999991</v>
      </c>
      <c r="AD7209">
        <v>-1.1101959926511</v>
      </c>
      <c r="AE7209">
        <v>23.499500000000001</v>
      </c>
      <c r="AF7209">
        <v>-0.126766372544276</v>
      </c>
      <c r="AG7209">
        <v>-1.1101959926511</v>
      </c>
      <c r="AH7209">
        <v>23.447099892192</v>
      </c>
      <c r="AI7209">
        <v>92.710831849127601</v>
      </c>
      <c r="AJ7209">
        <v>90.309765702277502</v>
      </c>
      <c r="AK7209">
        <v>23.473710789087701</v>
      </c>
      <c r="AL7209">
        <v>79.066870376308501</v>
      </c>
      <c r="AM7209">
        <v>88.427619418441907</v>
      </c>
      <c r="AN7209">
        <v>0.99999999731552403</v>
      </c>
    </row>
    <row r="7210" spans="1:40" x14ac:dyDescent="0.25">
      <c r="A7210" t="str">
        <f>"20190312172548516"</f>
        <v>20190312172548516</v>
      </c>
      <c r="B7210" t="str">
        <f>"1552382748507225"</f>
        <v>1552382748507225</v>
      </c>
      <c r="C7210" t="s">
        <v>40</v>
      </c>
      <c r="D7210">
        <v>3.584886</v>
      </c>
      <c r="E7210">
        <v>0.48983460000000001</v>
      </c>
      <c r="F7210" t="s">
        <v>43</v>
      </c>
      <c r="G7210">
        <v>-187.77209999999999</v>
      </c>
      <c r="H7210" s="1">
        <v>-1.2330830000000001E-6</v>
      </c>
      <c r="I7210">
        <v>81.529619999999994</v>
      </c>
      <c r="J7210">
        <v>-187.64109999999999</v>
      </c>
      <c r="K7210">
        <v>1.110193</v>
      </c>
      <c r="L7210">
        <v>57.671199999999999</v>
      </c>
      <c r="M7210">
        <v>7.3752529999999896E-4</v>
      </c>
      <c r="N7210">
        <v>0</v>
      </c>
      <c r="O7210">
        <v>0.99989170000000005</v>
      </c>
      <c r="P7210">
        <v>2.782463E-2</v>
      </c>
      <c r="Q7210">
        <v>0.17537359999999999</v>
      </c>
      <c r="R7210">
        <v>0.98410869999999995</v>
      </c>
      <c r="S7210">
        <v>-1.6586299999999998E-2</v>
      </c>
      <c r="T7210">
        <v>-0.1409039</v>
      </c>
      <c r="U7210">
        <v>3.0738829999999999</v>
      </c>
      <c r="V7210">
        <v>2.7177119999999999E-2</v>
      </c>
      <c r="W7210">
        <v>0.18980739999999999</v>
      </c>
      <c r="X7210">
        <v>0.98144509999999996</v>
      </c>
      <c r="Y7210">
        <v>-6.1277340000000001E-3</v>
      </c>
      <c r="Z7210">
        <v>-4.5790209999999998E-2</v>
      </c>
      <c r="AA7210">
        <v>0.9989323</v>
      </c>
      <c r="AB7210">
        <v>35</v>
      </c>
      <c r="AC7210">
        <v>-0.13100000000000001</v>
      </c>
      <c r="AD7210">
        <v>-1.1101942330829999</v>
      </c>
      <c r="AE7210">
        <v>23.858419999999899</v>
      </c>
      <c r="AF7210">
        <v>-0.14827700189343901</v>
      </c>
      <c r="AG7210">
        <v>-1.1101942330829999</v>
      </c>
      <c r="AH7210">
        <v>23.806770053908199</v>
      </c>
      <c r="AI7210">
        <v>92.669919632993498</v>
      </c>
      <c r="AJ7210">
        <v>90.356853808188404</v>
      </c>
      <c r="AK7210">
        <v>23.833103400609001</v>
      </c>
      <c r="AL7210">
        <v>79.058455108417704</v>
      </c>
      <c r="AM7210">
        <v>88.413832356529795</v>
      </c>
      <c r="AN7210">
        <v>0.99999996463013097</v>
      </c>
    </row>
    <row r="7211" spans="1:40" x14ac:dyDescent="0.25">
      <c r="A7211" t="str">
        <f>"20190312172548540"</f>
        <v>20190312172548540</v>
      </c>
      <c r="B7211" t="str">
        <f>"1552382748527721"</f>
        <v>1552382748527721</v>
      </c>
      <c r="C7211" t="s">
        <v>40</v>
      </c>
      <c r="D7211">
        <v>3.5806619999999998</v>
      </c>
      <c r="E7211">
        <v>0.4896259</v>
      </c>
      <c r="F7211" t="s">
        <v>43</v>
      </c>
      <c r="G7211">
        <v>-187.77709999999999</v>
      </c>
      <c r="H7211" s="1">
        <v>-1.4034420000000001E-6</v>
      </c>
      <c r="I7211">
        <v>81.985079999999996</v>
      </c>
      <c r="J7211">
        <v>-187.64060000000001</v>
      </c>
      <c r="K7211">
        <v>1.1101939999999999</v>
      </c>
      <c r="L7211">
        <v>58.027160000000002</v>
      </c>
      <c r="M7211">
        <v>9.0042649999999905E-4</v>
      </c>
      <c r="N7211">
        <v>0</v>
      </c>
      <c r="O7211">
        <v>0.99989159999999999</v>
      </c>
      <c r="P7211">
        <v>2.7583090000000001E-2</v>
      </c>
      <c r="Q7211">
        <v>0.17549200000000001</v>
      </c>
      <c r="R7211">
        <v>0.98409440000000004</v>
      </c>
      <c r="S7211">
        <v>-1.7196659999999999E-2</v>
      </c>
      <c r="T7211">
        <v>-0.14035919999999999</v>
      </c>
      <c r="U7211">
        <v>3.073944</v>
      </c>
      <c r="V7211">
        <v>2.6775150000000001E-2</v>
      </c>
      <c r="W7211">
        <v>0.1899216</v>
      </c>
      <c r="X7211">
        <v>0.98143409999999998</v>
      </c>
      <c r="Y7211">
        <v>-6.4889279999999997E-3</v>
      </c>
      <c r="Z7211">
        <v>-4.5612550000000002E-2</v>
      </c>
      <c r="AA7211">
        <v>0.99893810000000005</v>
      </c>
      <c r="AB7211">
        <v>35</v>
      </c>
      <c r="AC7211">
        <v>-0.136499999999983</v>
      </c>
      <c r="AD7211">
        <v>-1.1101954034420001</v>
      </c>
      <c r="AE7211">
        <v>23.957920000000001</v>
      </c>
      <c r="AF7211">
        <v>-0.157735919144359</v>
      </c>
      <c r="AG7211">
        <v>-1.1101954034420001</v>
      </c>
      <c r="AH7211">
        <v>23.906453768056199</v>
      </c>
      <c r="AI7211">
        <v>92.658799273634898</v>
      </c>
      <c r="AJ7211">
        <v>90.378034792919806</v>
      </c>
      <c r="AK7211">
        <v>23.9327379590849</v>
      </c>
      <c r="AL7211">
        <v>79.051791184329105</v>
      </c>
      <c r="AM7211">
        <v>88.437263739449705</v>
      </c>
      <c r="AN7211">
        <v>1.0000000077234401</v>
      </c>
    </row>
    <row r="7212" spans="1:40" x14ac:dyDescent="0.25">
      <c r="A7212" t="str">
        <f>"20190312172548562"</f>
        <v>20190312172548562</v>
      </c>
      <c r="B7212" t="str">
        <f>"1552382748557977"</f>
        <v>1552382748557977</v>
      </c>
      <c r="C7212" t="s">
        <v>40</v>
      </c>
      <c r="D7212">
        <v>3.5867040000000001</v>
      </c>
      <c r="E7212">
        <v>0.48934879999999997</v>
      </c>
      <c r="F7212" t="s">
        <v>43</v>
      </c>
      <c r="G7212">
        <v>-187.7903</v>
      </c>
      <c r="H7212" s="1">
        <v>-1.5883680000000001E-6</v>
      </c>
      <c r="I7212">
        <v>82.421619999999905</v>
      </c>
      <c r="J7212">
        <v>-187.64019999999999</v>
      </c>
      <c r="K7212">
        <v>1.110193</v>
      </c>
      <c r="L7212">
        <v>58.37744</v>
      </c>
      <c r="M7212">
        <v>1.0607749999999999E-3</v>
      </c>
      <c r="N7212">
        <v>0</v>
      </c>
      <c r="O7212">
        <v>0.99989150000000004</v>
      </c>
      <c r="P7212">
        <v>2.7614179999999999E-2</v>
      </c>
      <c r="Q7212">
        <v>0.1756066</v>
      </c>
      <c r="R7212">
        <v>0.98407299999999998</v>
      </c>
      <c r="S7212">
        <v>-1.8859859999999999E-2</v>
      </c>
      <c r="T7212">
        <v>-0.1398971</v>
      </c>
      <c r="U7212">
        <v>3.0739749999999999</v>
      </c>
      <c r="V7212">
        <v>2.664834E-2</v>
      </c>
      <c r="W7212">
        <v>0.1900326</v>
      </c>
      <c r="X7212">
        <v>0.98141599999999996</v>
      </c>
      <c r="Y7212">
        <v>-7.1897439999999996E-3</v>
      </c>
      <c r="Z7212">
        <v>-4.5462059999999999E-2</v>
      </c>
      <c r="AA7212">
        <v>0.99894019999999994</v>
      </c>
      <c r="AB7212">
        <v>35</v>
      </c>
      <c r="AC7212">
        <v>-0.150100000000009</v>
      </c>
      <c r="AD7212">
        <v>-1.110194588368</v>
      </c>
      <c r="AE7212">
        <v>24.044179999999901</v>
      </c>
      <c r="AF7212">
        <v>-0.17523455602697799</v>
      </c>
      <c r="AG7212">
        <v>-1.110194588368</v>
      </c>
      <c r="AH7212">
        <v>23.9928575026597</v>
      </c>
      <c r="AI7212">
        <v>92.649223083254498</v>
      </c>
      <c r="AJ7212">
        <v>90.418458783651005</v>
      </c>
      <c r="AK7212">
        <v>24.0191683935269</v>
      </c>
      <c r="AL7212">
        <v>79.045312676596396</v>
      </c>
      <c r="AM7212">
        <v>88.444632712335803</v>
      </c>
      <c r="AN7212">
        <v>0.99999994407175596</v>
      </c>
    </row>
    <row r="7213" spans="1:40" x14ac:dyDescent="0.25">
      <c r="A7213" t="str">
        <f>"20190312172548584"</f>
        <v>20190312172548584</v>
      </c>
      <c r="B7213" t="str">
        <f>"1552382748577497"</f>
        <v>1552382748577497</v>
      </c>
      <c r="C7213" t="s">
        <v>40</v>
      </c>
      <c r="D7213">
        <v>3.6121059999999998</v>
      </c>
      <c r="E7213">
        <v>0.48920049999999998</v>
      </c>
      <c r="F7213" t="s">
        <v>43</v>
      </c>
      <c r="G7213">
        <v>-187.8065</v>
      </c>
      <c r="H7213" s="1">
        <v>-1.7839640000000001E-6</v>
      </c>
      <c r="I7213">
        <v>82.884240000000005</v>
      </c>
      <c r="J7213">
        <v>-187.6396</v>
      </c>
      <c r="K7213">
        <v>1.110196</v>
      </c>
      <c r="L7213">
        <v>58.724580000000003</v>
      </c>
      <c r="M7213">
        <v>1.2197320000000001E-3</v>
      </c>
      <c r="N7213">
        <v>0</v>
      </c>
      <c r="O7213">
        <v>0.99989139999999999</v>
      </c>
      <c r="P7213">
        <v>2.762328E-2</v>
      </c>
      <c r="Q7213">
        <v>0.17607239999999999</v>
      </c>
      <c r="R7213">
        <v>0.98398949999999996</v>
      </c>
      <c r="S7213">
        <v>-2.085876E-2</v>
      </c>
      <c r="T7213">
        <v>-0.13925560000000001</v>
      </c>
      <c r="U7213">
        <v>3.0739749999999999</v>
      </c>
      <c r="V7213">
        <v>2.650112E-2</v>
      </c>
      <c r="W7213">
        <v>0.19049369999999999</v>
      </c>
      <c r="X7213">
        <v>0.98133060000000005</v>
      </c>
      <c r="Y7213">
        <v>-7.9983269999999995E-3</v>
      </c>
      <c r="Z7213">
        <v>-4.5253799999999997E-2</v>
      </c>
      <c r="AA7213">
        <v>0.99894349999999998</v>
      </c>
      <c r="AB7213">
        <v>35</v>
      </c>
      <c r="AC7213">
        <v>-0.16689999999999799</v>
      </c>
      <c r="AD7213">
        <v>-1.110197783964</v>
      </c>
      <c r="AE7213">
        <v>24.159659999999999</v>
      </c>
      <c r="AF7213">
        <v>-0.19595759353011</v>
      </c>
      <c r="AG7213">
        <v>-1.110197783964</v>
      </c>
      <c r="AH7213">
        <v>24.108532411453801</v>
      </c>
      <c r="AI7213">
        <v>92.636520681274405</v>
      </c>
      <c r="AJ7213">
        <v>90.465698020742593</v>
      </c>
      <c r="AK7213">
        <v>24.134876704307</v>
      </c>
      <c r="AL7213">
        <v>79.018402114304905</v>
      </c>
      <c r="AM7213">
        <v>88.453086683155504</v>
      </c>
      <c r="AN7213">
        <v>0.99999995279865095</v>
      </c>
    </row>
    <row r="7214" spans="1:40" x14ac:dyDescent="0.25">
      <c r="A7214" t="str">
        <f>"20190312172548606"</f>
        <v>20190312172548606</v>
      </c>
      <c r="B7214" t="str">
        <f>"1552382748597017"</f>
        <v>1552382748597017</v>
      </c>
      <c r="C7214" t="s">
        <v>40</v>
      </c>
      <c r="D7214">
        <v>3.5989930000000001</v>
      </c>
      <c r="E7214">
        <v>0.48898160000000002</v>
      </c>
      <c r="F7214" t="s">
        <v>43</v>
      </c>
      <c r="G7214">
        <v>-187.8175</v>
      </c>
      <c r="H7214" s="1">
        <v>-2.0499789999999999E-6</v>
      </c>
      <c r="I7214">
        <v>83.508899999999997</v>
      </c>
      <c r="J7214">
        <v>-187.63900000000001</v>
      </c>
      <c r="K7214">
        <v>1.1101989999999999</v>
      </c>
      <c r="L7214">
        <v>59.07779</v>
      </c>
      <c r="M7214">
        <v>1.381679E-3</v>
      </c>
      <c r="N7214">
        <v>0</v>
      </c>
      <c r="O7214">
        <v>0.99989130000000004</v>
      </c>
      <c r="P7214">
        <v>2.7337009999999998E-2</v>
      </c>
      <c r="Q7214">
        <v>0.17590149999999999</v>
      </c>
      <c r="R7214">
        <v>0.98402809999999996</v>
      </c>
      <c r="S7214">
        <v>-2.2064210000000001E-2</v>
      </c>
      <c r="T7214">
        <v>-0.13770079999999901</v>
      </c>
      <c r="U7214">
        <v>3.0740660000000002</v>
      </c>
      <c r="V7214">
        <v>2.6055140000000001E-2</v>
      </c>
      <c r="W7214">
        <v>0.19031999999999999</v>
      </c>
      <c r="X7214">
        <v>0.98137629999999998</v>
      </c>
      <c r="Y7214">
        <v>-8.5519440000000006E-3</v>
      </c>
      <c r="Z7214">
        <v>-4.4748030000000001E-2</v>
      </c>
      <c r="AA7214">
        <v>0.99896169999999995</v>
      </c>
      <c r="AB7214">
        <v>35</v>
      </c>
      <c r="AC7214">
        <v>-0.178499999999985</v>
      </c>
      <c r="AD7214">
        <v>-1.110201049979</v>
      </c>
      <c r="AE7214">
        <v>24.43111</v>
      </c>
      <c r="AF7214">
        <v>-0.211822032715349</v>
      </c>
      <c r="AG7214">
        <v>-1.110201049979</v>
      </c>
      <c r="AH7214">
        <v>24.380497348500199</v>
      </c>
      <c r="AI7214">
        <v>92.6071464494309</v>
      </c>
      <c r="AJ7214">
        <v>90.497783246605493</v>
      </c>
      <c r="AK7214">
        <v>24.406680763781601</v>
      </c>
      <c r="AL7214">
        <v>79.028540466205996</v>
      </c>
      <c r="AM7214">
        <v>88.479177717500704</v>
      </c>
      <c r="AN7214">
        <v>1.00000000746105</v>
      </c>
    </row>
    <row r="7215" spans="1:40" x14ac:dyDescent="0.25">
      <c r="A7215" t="str">
        <f>"20190312172548628"</f>
        <v>20190312172548628</v>
      </c>
      <c r="B7215" t="str">
        <f>"1552382748617516"</f>
        <v>1552382748617516</v>
      </c>
      <c r="C7215" t="s">
        <v>40</v>
      </c>
      <c r="D7215">
        <v>3.599958</v>
      </c>
      <c r="E7215">
        <v>0.4888517</v>
      </c>
      <c r="F7215" t="s">
        <v>43</v>
      </c>
      <c r="G7215">
        <v>-187.8432</v>
      </c>
      <c r="H7215" s="1">
        <v>-2.2135629999999999E-6</v>
      </c>
      <c r="I7215">
        <v>83.900840000000002</v>
      </c>
      <c r="J7215">
        <v>-187.63839999999999</v>
      </c>
      <c r="K7215">
        <v>1.1102000000000001</v>
      </c>
      <c r="L7215">
        <v>59.41769</v>
      </c>
      <c r="M7215">
        <v>1.537411E-3</v>
      </c>
      <c r="N7215">
        <v>0</v>
      </c>
      <c r="O7215">
        <v>0.99989110000000003</v>
      </c>
      <c r="P7215">
        <v>2.7224249999999998E-2</v>
      </c>
      <c r="Q7215">
        <v>0.175784</v>
      </c>
      <c r="R7215">
        <v>0.98405220000000004</v>
      </c>
      <c r="S7215">
        <v>-2.528381E-2</v>
      </c>
      <c r="T7215">
        <v>-0.137482299999999</v>
      </c>
      <c r="U7215">
        <v>3.0739749999999999</v>
      </c>
      <c r="V7215">
        <v>2.57889E-2</v>
      </c>
      <c r="W7215">
        <v>0.19019920000000001</v>
      </c>
      <c r="X7215">
        <v>0.98140669999999997</v>
      </c>
      <c r="Y7215">
        <v>-9.754146E-3</v>
      </c>
      <c r="Z7215">
        <v>-4.4678040000000002E-2</v>
      </c>
      <c r="AA7215">
        <v>0.9989538</v>
      </c>
      <c r="AB7215">
        <v>35</v>
      </c>
      <c r="AC7215">
        <v>-0.20480000000000501</v>
      </c>
      <c r="AD7215">
        <v>-1.1102022135629901</v>
      </c>
      <c r="AE7215">
        <v>24.483149999999998</v>
      </c>
      <c r="AF7215">
        <v>-0.24194701555465301</v>
      </c>
      <c r="AG7215">
        <v>-1.1102022135629901</v>
      </c>
      <c r="AH7215">
        <v>24.432570936131899</v>
      </c>
      <c r="AI7215">
        <v>92.6015708294874</v>
      </c>
      <c r="AJ7215">
        <v>90.567361076690801</v>
      </c>
      <c r="AK7215">
        <v>24.458978103397001</v>
      </c>
      <c r="AL7215">
        <v>79.035590013938901</v>
      </c>
      <c r="AM7215">
        <v>88.494757399856297</v>
      </c>
      <c r="AN7215">
        <v>0.99999995692436905</v>
      </c>
    </row>
    <row r="7216" spans="1:40" x14ac:dyDescent="0.25">
      <c r="A7216" t="str">
        <f>"20190312172548649"</f>
        <v>20190312172548649</v>
      </c>
      <c r="B7216" t="str">
        <f>"1552382748647769"</f>
        <v>1552382748647769</v>
      </c>
      <c r="C7216" t="s">
        <v>40</v>
      </c>
      <c r="D7216">
        <v>3.6064340000000001</v>
      </c>
      <c r="E7216">
        <v>0.48869859999999998</v>
      </c>
      <c r="F7216" t="s">
        <v>43</v>
      </c>
      <c r="G7216">
        <v>-187.84790000000001</v>
      </c>
      <c r="H7216" s="1">
        <v>-2.3305010000000002E-6</v>
      </c>
      <c r="I7216">
        <v>84.175380000000004</v>
      </c>
      <c r="J7216">
        <v>-187.6377</v>
      </c>
      <c r="K7216">
        <v>1.1102000000000001</v>
      </c>
      <c r="L7216">
        <v>59.755220000000001</v>
      </c>
      <c r="M7216">
        <v>1.692058E-3</v>
      </c>
      <c r="N7216">
        <v>0</v>
      </c>
      <c r="O7216">
        <v>0.99989090000000003</v>
      </c>
      <c r="P7216">
        <v>2.680459E-2</v>
      </c>
      <c r="Q7216">
        <v>0.176057399999999</v>
      </c>
      <c r="R7216">
        <v>0.98401490000000003</v>
      </c>
      <c r="S7216">
        <v>-2.601624E-2</v>
      </c>
      <c r="T7216">
        <v>-0.13784540000000001</v>
      </c>
      <c r="U7216">
        <v>3.0739749999999999</v>
      </c>
      <c r="V7216">
        <v>2.5217050000000001E-2</v>
      </c>
      <c r="W7216">
        <v>0.1904689</v>
      </c>
      <c r="X7216">
        <v>0.9813693</v>
      </c>
      <c r="Y7216">
        <v>-1.0146759999999999E-2</v>
      </c>
      <c r="Z7216">
        <v>-4.4795660000000001E-2</v>
      </c>
      <c r="AA7216">
        <v>0.99894459999999996</v>
      </c>
      <c r="AB7216">
        <v>35</v>
      </c>
      <c r="AC7216">
        <v>-0.21020000000001399</v>
      </c>
      <c r="AD7216">
        <v>-1.110202330501</v>
      </c>
      <c r="AE7216">
        <v>24.420159999999999</v>
      </c>
      <c r="AF7216">
        <v>-0.25100572476930599</v>
      </c>
      <c r="AG7216">
        <v>-1.110202330501</v>
      </c>
      <c r="AH7216">
        <v>24.369405348628099</v>
      </c>
      <c r="AI7216">
        <v>92.608294629620303</v>
      </c>
      <c r="AJ7216">
        <v>90.590127658262006</v>
      </c>
      <c r="AK7216">
        <v>24.395972416246501</v>
      </c>
      <c r="AL7216">
        <v>79.019850100590304</v>
      </c>
      <c r="AM7216">
        <v>88.528064136070896</v>
      </c>
      <c r="AN7216">
        <v>1.0000000022302</v>
      </c>
    </row>
    <row r="7217" spans="1:40" x14ac:dyDescent="0.25">
      <c r="A7217" t="str">
        <f>"20190312172548672"</f>
        <v>20190312172548672</v>
      </c>
      <c r="B7217" t="str">
        <f>"1552382748667289"</f>
        <v>1552382748667289</v>
      </c>
      <c r="C7217" t="s">
        <v>40</v>
      </c>
      <c r="D7217">
        <v>3.583037</v>
      </c>
      <c r="E7217">
        <v>0.48858990000000002</v>
      </c>
      <c r="F7217" t="s">
        <v>43</v>
      </c>
      <c r="G7217">
        <v>-187.86590000000001</v>
      </c>
      <c r="H7217" s="1">
        <v>-2.5298980000000001E-6</v>
      </c>
      <c r="I7217">
        <v>84.647619999999904</v>
      </c>
      <c r="J7217">
        <v>-187.6369</v>
      </c>
      <c r="K7217">
        <v>1.1101970000000001</v>
      </c>
      <c r="L7217">
        <v>60.105870000000003</v>
      </c>
      <c r="M7217">
        <v>1.8528819999999999E-3</v>
      </c>
      <c r="N7217">
        <v>0</v>
      </c>
      <c r="O7217">
        <v>0.99989070000000002</v>
      </c>
      <c r="P7217">
        <v>2.6685380000000002E-2</v>
      </c>
      <c r="Q7217">
        <v>0.17564080000000001</v>
      </c>
      <c r="R7217">
        <v>0.98409259999999998</v>
      </c>
      <c r="S7217">
        <v>-2.818298E-2</v>
      </c>
      <c r="T7217">
        <v>-0.1371021</v>
      </c>
      <c r="U7217">
        <v>3.074036</v>
      </c>
      <c r="V7217">
        <v>2.4939079999999999E-2</v>
      </c>
      <c r="W7217">
        <v>0.19004940000000001</v>
      </c>
      <c r="X7217">
        <v>0.98145769999999999</v>
      </c>
      <c r="Y7217">
        <v>-1.101157E-2</v>
      </c>
      <c r="Z7217">
        <v>-4.4553349999999999E-2</v>
      </c>
      <c r="AA7217">
        <v>0.99894629999999995</v>
      </c>
      <c r="AB7217">
        <v>35</v>
      </c>
      <c r="AC7217">
        <v>-0.229000000000013</v>
      </c>
      <c r="AD7217">
        <v>-1.1101995298980001</v>
      </c>
      <c r="AE7217">
        <v>24.54175</v>
      </c>
      <c r="AF7217">
        <v>-0.27391697076813498</v>
      </c>
      <c r="AG7217">
        <v>-1.1101995298980001</v>
      </c>
      <c r="AH7217">
        <v>24.4911690850182</v>
      </c>
      <c r="AI7217">
        <v>92.595313486369506</v>
      </c>
      <c r="AJ7217">
        <v>90.640787377804202</v>
      </c>
      <c r="AK7217">
        <v>24.517849348056799</v>
      </c>
      <c r="AL7217">
        <v>79.044332577833899</v>
      </c>
      <c r="AM7217">
        <v>88.544413468324905</v>
      </c>
      <c r="AN7217">
        <v>0.99999997452044698</v>
      </c>
    </row>
    <row r="7218" spans="1:40" x14ac:dyDescent="0.25">
      <c r="A7218" t="str">
        <f>"20190312172548695"</f>
        <v>20190312172548695</v>
      </c>
      <c r="B7218" t="str">
        <f>"1552382748687786"</f>
        <v>1552382748687786</v>
      </c>
      <c r="C7218" t="s">
        <v>40</v>
      </c>
      <c r="D7218">
        <v>3.618239</v>
      </c>
      <c r="E7218">
        <v>0.48850149999999998</v>
      </c>
      <c r="F7218" t="s">
        <v>43</v>
      </c>
      <c r="G7218">
        <v>-187.87139999999999</v>
      </c>
      <c r="H7218" s="1">
        <v>-2.5738799999999999E-6</v>
      </c>
      <c r="I7218">
        <v>84.752380000000002</v>
      </c>
      <c r="J7218">
        <v>-187.6361</v>
      </c>
      <c r="K7218">
        <v>1.110193</v>
      </c>
      <c r="L7218">
        <v>60.463380000000001</v>
      </c>
      <c r="M7218">
        <v>2.0167380000000001E-3</v>
      </c>
      <c r="N7218">
        <v>0</v>
      </c>
      <c r="O7218">
        <v>0.99989039999999996</v>
      </c>
      <c r="P7218">
        <v>2.680855E-2</v>
      </c>
      <c r="Q7218">
        <v>0.17585219999999999</v>
      </c>
      <c r="R7218">
        <v>0.98405149999999997</v>
      </c>
      <c r="S7218">
        <v>-2.9235839999999999E-2</v>
      </c>
      <c r="T7218">
        <v>-0.13846810000000001</v>
      </c>
      <c r="U7218">
        <v>3.0740050000000001</v>
      </c>
      <c r="V7218">
        <v>2.4901050000000001E-2</v>
      </c>
      <c r="W7218">
        <v>0.19025639999999999</v>
      </c>
      <c r="X7218">
        <v>0.98141860000000003</v>
      </c>
      <c r="Y7218">
        <v>-1.151745E-2</v>
      </c>
      <c r="Z7218">
        <v>-4.4996599999999998E-2</v>
      </c>
      <c r="AA7218">
        <v>0.99892069999999999</v>
      </c>
      <c r="AB7218">
        <v>35</v>
      </c>
      <c r="AC7218">
        <v>-0.23529999999999501</v>
      </c>
      <c r="AD7218">
        <v>-1.11019557388</v>
      </c>
      <c r="AE7218">
        <v>24.288999999999898</v>
      </c>
      <c r="AF7218">
        <v>-0.28369669720866098</v>
      </c>
      <c r="AG7218">
        <v>-1.11019557388</v>
      </c>
      <c r="AH7218">
        <v>24.237843090750498</v>
      </c>
      <c r="AI7218">
        <v>92.622376256089794</v>
      </c>
      <c r="AJ7218">
        <v>90.6705993234402</v>
      </c>
      <c r="AK7218">
        <v>24.2649140884552</v>
      </c>
      <c r="AL7218">
        <v>79.0322523745089</v>
      </c>
      <c r="AM7218">
        <v>88.546574284896394</v>
      </c>
      <c r="AN7218">
        <v>1.00000001422901</v>
      </c>
    </row>
    <row r="7219" spans="1:40" x14ac:dyDescent="0.25">
      <c r="A7219" t="str">
        <f>"20190312172548718"</f>
        <v>20190312172548718</v>
      </c>
      <c r="B7219" t="str">
        <f>"1552382748707309"</f>
        <v>1552382748707309</v>
      </c>
      <c r="C7219" t="s">
        <v>40</v>
      </c>
      <c r="D7219">
        <v>3.6092399999999998</v>
      </c>
      <c r="E7219">
        <v>0.48843769999999997</v>
      </c>
      <c r="F7219" t="s">
        <v>43</v>
      </c>
      <c r="G7219">
        <v>-187.87360000000001</v>
      </c>
      <c r="H7219" s="1">
        <v>-2.761462E-6</v>
      </c>
      <c r="I7219">
        <v>85.19059</v>
      </c>
      <c r="J7219">
        <v>-187.6353</v>
      </c>
      <c r="K7219">
        <v>1.1101939999999999</v>
      </c>
      <c r="L7219">
        <v>60.81888</v>
      </c>
      <c r="M7219">
        <v>2.1794570000000001E-3</v>
      </c>
      <c r="N7219">
        <v>0</v>
      </c>
      <c r="O7219">
        <v>0.9998901</v>
      </c>
      <c r="P7219">
        <v>2.678999E-2</v>
      </c>
      <c r="Q7219">
        <v>0.17623539999999999</v>
      </c>
      <c r="R7219">
        <v>0.98398339999999995</v>
      </c>
      <c r="S7219">
        <v>-2.9525760000000002E-2</v>
      </c>
      <c r="T7219">
        <v>-0.13802</v>
      </c>
      <c r="U7219">
        <v>3.0740970000000001</v>
      </c>
      <c r="V7219">
        <v>2.4722629999999999E-2</v>
      </c>
      <c r="W7219">
        <v>0.190635</v>
      </c>
      <c r="X7219">
        <v>0.98134960000000004</v>
      </c>
      <c r="Y7219">
        <v>-1.1774160000000001E-2</v>
      </c>
      <c r="Z7219">
        <v>-4.4849819999999999E-2</v>
      </c>
      <c r="AA7219">
        <v>0.99892440000000005</v>
      </c>
      <c r="AB7219">
        <v>35</v>
      </c>
      <c r="AC7219">
        <v>-0.238300000000009</v>
      </c>
      <c r="AD7219">
        <v>-1.1101967614620001</v>
      </c>
      <c r="AE7219">
        <v>24.37171</v>
      </c>
      <c r="AF7219">
        <v>-0.29081883486562199</v>
      </c>
      <c r="AG7219">
        <v>-1.1101967614620001</v>
      </c>
      <c r="AH7219">
        <v>24.3206709762167</v>
      </c>
      <c r="AI7219">
        <v>92.613452724752605</v>
      </c>
      <c r="AJ7219">
        <v>90.685092025097106</v>
      </c>
      <c r="AK7219">
        <v>24.3477339639085</v>
      </c>
      <c r="AL7219">
        <v>79.010155333035598</v>
      </c>
      <c r="AM7219">
        <v>88.556882475687104</v>
      </c>
      <c r="AN7219">
        <v>0.99999997453963796</v>
      </c>
    </row>
    <row r="7220" spans="1:40" x14ac:dyDescent="0.25">
      <c r="A7220" t="str">
        <f>"20190312172548739"</f>
        <v>20190312172548739</v>
      </c>
      <c r="B7220" t="str">
        <f>"1552382748727801"</f>
        <v>1552382748727801</v>
      </c>
      <c r="C7220" t="s">
        <v>40</v>
      </c>
      <c r="D7220">
        <v>3.643805</v>
      </c>
      <c r="E7220">
        <v>0.48837170000000002</v>
      </c>
      <c r="F7220" t="s">
        <v>43</v>
      </c>
      <c r="G7220">
        <v>-187.87559999999999</v>
      </c>
      <c r="H7220" s="1">
        <v>-2.9728390000000002E-6</v>
      </c>
      <c r="I7220">
        <v>85.684110000000004</v>
      </c>
      <c r="J7220">
        <v>-187.6344</v>
      </c>
      <c r="K7220">
        <v>1.1102000000000001</v>
      </c>
      <c r="L7220">
        <v>61.150849999999998</v>
      </c>
      <c r="M7220">
        <v>2.3315380000000002E-3</v>
      </c>
      <c r="N7220">
        <v>0</v>
      </c>
      <c r="O7220">
        <v>0.9998899</v>
      </c>
      <c r="P7220">
        <v>2.7420300000000002E-2</v>
      </c>
      <c r="Q7220">
        <v>0.1760351</v>
      </c>
      <c r="R7220">
        <v>0.98400189999999998</v>
      </c>
      <c r="S7220">
        <v>-2.970886E-2</v>
      </c>
      <c r="T7220">
        <v>-0.13725950000000001</v>
      </c>
      <c r="U7220">
        <v>3.0742189999999998</v>
      </c>
      <c r="V7220">
        <v>2.5203039999999999E-2</v>
      </c>
      <c r="W7220">
        <v>0.19043099999999999</v>
      </c>
      <c r="X7220">
        <v>0.98137700000000005</v>
      </c>
      <c r="Y7220">
        <v>-1.198546E-2</v>
      </c>
      <c r="Z7220">
        <v>-4.460132E-2</v>
      </c>
      <c r="AA7220">
        <v>0.99893299999999996</v>
      </c>
      <c r="AB7220">
        <v>35</v>
      </c>
      <c r="AC7220">
        <v>-0.241199999999992</v>
      </c>
      <c r="AD7220">
        <v>-1.1102029728389999</v>
      </c>
      <c r="AE7220">
        <v>24.533259999999999</v>
      </c>
      <c r="AF7220">
        <v>-0.29779593813387001</v>
      </c>
      <c r="AG7220">
        <v>-1.1102029728389999</v>
      </c>
      <c r="AH7220">
        <v>24.482499684125202</v>
      </c>
      <c r="AI7220">
        <v>92.596209649213407</v>
      </c>
      <c r="AJ7220">
        <v>90.696889991685197</v>
      </c>
      <c r="AK7220">
        <v>24.509468044917998</v>
      </c>
      <c r="AL7220">
        <v>79.022061933930701</v>
      </c>
      <c r="AM7220">
        <v>88.528893087057796</v>
      </c>
      <c r="AN7220">
        <v>0.99999998755761998</v>
      </c>
    </row>
    <row r="7221" spans="1:40" x14ac:dyDescent="0.25">
      <c r="A7221" t="str">
        <f>"20190312172548763"</f>
        <v>20190312172548763</v>
      </c>
      <c r="B7221" t="str">
        <f>"1552382748757081"</f>
        <v>1552382748757081</v>
      </c>
      <c r="C7221" t="s">
        <v>40</v>
      </c>
      <c r="D7221">
        <v>3.6835909999999998</v>
      </c>
      <c r="E7221">
        <v>0.48821189999999998</v>
      </c>
      <c r="F7221" t="s">
        <v>43</v>
      </c>
      <c r="G7221">
        <v>-187.85990000000001</v>
      </c>
      <c r="H7221" s="1">
        <v>-3.0521130000000001E-6</v>
      </c>
      <c r="I7221">
        <v>85.862430000000003</v>
      </c>
      <c r="J7221">
        <v>-187.63339999999999</v>
      </c>
      <c r="K7221">
        <v>1.1102019999999999</v>
      </c>
      <c r="L7221">
        <v>61.51529</v>
      </c>
      <c r="M7221">
        <v>2.498667E-3</v>
      </c>
      <c r="N7221">
        <v>0</v>
      </c>
      <c r="O7221">
        <v>0.99988949999999999</v>
      </c>
      <c r="P7221">
        <v>2.782097E-2</v>
      </c>
      <c r="Q7221">
        <v>0.17698229999999901</v>
      </c>
      <c r="R7221">
        <v>0.98382069999999999</v>
      </c>
      <c r="S7221">
        <v>-2.8060910000000001E-2</v>
      </c>
      <c r="T7221">
        <v>-0.13811499999999999</v>
      </c>
      <c r="U7221">
        <v>3.074249</v>
      </c>
      <c r="V7221">
        <v>2.5439920000000001E-2</v>
      </c>
      <c r="W7221">
        <v>0.19137180000000001</v>
      </c>
      <c r="X7221">
        <v>0.9811879</v>
      </c>
      <c r="Y7221">
        <v>-1.1616960000000001E-2</v>
      </c>
      <c r="Z7221">
        <v>-4.4878510000000003E-2</v>
      </c>
      <c r="AA7221">
        <v>0.9989249</v>
      </c>
      <c r="AB7221">
        <v>35</v>
      </c>
      <c r="AC7221">
        <v>-0.22650000000001499</v>
      </c>
      <c r="AD7221">
        <v>-1.110205052113</v>
      </c>
      <c r="AE7221">
        <v>24.34714</v>
      </c>
      <c r="AF7221">
        <v>-0.28674505288692498</v>
      </c>
      <c r="AG7221">
        <v>-1.110205052113</v>
      </c>
      <c r="AH7221">
        <v>24.295984476982799</v>
      </c>
      <c r="AI7221">
        <v>92.6161288321412</v>
      </c>
      <c r="AJ7221">
        <v>90.676182460904698</v>
      </c>
      <c r="AK7221">
        <v>24.323026943390101</v>
      </c>
      <c r="AL7221">
        <v>78.967148575091699</v>
      </c>
      <c r="AM7221">
        <v>88.514786456568402</v>
      </c>
      <c r="AN7221">
        <v>1.00000002523562</v>
      </c>
    </row>
    <row r="7222" spans="1:40" x14ac:dyDescent="0.25">
      <c r="A7222" t="str">
        <f>"20190312172548786"</f>
        <v>20190312172548786</v>
      </c>
      <c r="B7222" t="str">
        <f>"1552382748777579"</f>
        <v>1552382748777579</v>
      </c>
      <c r="C7222" t="s">
        <v>40</v>
      </c>
      <c r="D7222">
        <v>3.7190050000000001</v>
      </c>
      <c r="E7222">
        <v>0.4881549</v>
      </c>
      <c r="F7222" t="s">
        <v>43</v>
      </c>
      <c r="G7222">
        <v>-187.86359999999999</v>
      </c>
      <c r="H7222" s="1">
        <v>-3.5220490000000002E-6</v>
      </c>
      <c r="I7222">
        <v>86.959379999999996</v>
      </c>
      <c r="J7222">
        <v>-187.63229999999999</v>
      </c>
      <c r="K7222">
        <v>1.1102069999999999</v>
      </c>
      <c r="L7222">
        <v>61.875399999999999</v>
      </c>
      <c r="M7222">
        <v>2.6639659999999998E-3</v>
      </c>
      <c r="N7222">
        <v>0</v>
      </c>
      <c r="O7222">
        <v>0.99988909999999998</v>
      </c>
      <c r="P7222">
        <v>2.7869109999999999E-2</v>
      </c>
      <c r="Q7222">
        <v>0.1773951</v>
      </c>
      <c r="R7222">
        <v>0.98374499999999998</v>
      </c>
      <c r="S7222">
        <v>-2.7816770000000001E-2</v>
      </c>
      <c r="T7222">
        <v>-0.13413919999999999</v>
      </c>
      <c r="U7222">
        <v>3.074249</v>
      </c>
      <c r="V7222">
        <v>2.53256E-2</v>
      </c>
      <c r="W7222">
        <v>0.1917799</v>
      </c>
      <c r="X7222">
        <v>0.98111119999999996</v>
      </c>
      <c r="Y7222">
        <v>-1.1703460000000001E-2</v>
      </c>
      <c r="Z7222">
        <v>-4.3589070000000001E-2</v>
      </c>
      <c r="AA7222">
        <v>0.99898100000000001</v>
      </c>
      <c r="AB7222">
        <v>35</v>
      </c>
      <c r="AC7222">
        <v>-0.231300000000004</v>
      </c>
      <c r="AD7222">
        <v>-1.1102105220489999</v>
      </c>
      <c r="AE7222">
        <v>25.08398</v>
      </c>
      <c r="AF7222">
        <v>-0.29754640174173203</v>
      </c>
      <c r="AG7222">
        <v>-1.1102105220489999</v>
      </c>
      <c r="AH7222">
        <v>25.034238708173799</v>
      </c>
      <c r="AI7222">
        <v>92.5390922500128</v>
      </c>
      <c r="AJ7222">
        <v>90.680961403123206</v>
      </c>
      <c r="AK7222">
        <v>25.0606107060919</v>
      </c>
      <c r="AL7222">
        <v>78.943325194386603</v>
      </c>
      <c r="AM7222">
        <v>88.521342092089299</v>
      </c>
      <c r="AN7222">
        <v>1.0000000514123999</v>
      </c>
    </row>
    <row r="7223" spans="1:40" x14ac:dyDescent="0.25">
      <c r="A7223" t="str">
        <f>"20190312172548807"</f>
        <v>20190312172548807</v>
      </c>
      <c r="B7223" t="str">
        <f>"1552382748797097"</f>
        <v>1552382748797097</v>
      </c>
      <c r="C7223" t="s">
        <v>40</v>
      </c>
      <c r="D7223">
        <v>3.6510410000000002</v>
      </c>
      <c r="E7223">
        <v>0.48816589999999999</v>
      </c>
      <c r="F7223" t="s">
        <v>43</v>
      </c>
      <c r="G7223">
        <v>-187.86359999999999</v>
      </c>
      <c r="H7223" s="1">
        <v>-3.77918E-6</v>
      </c>
      <c r="I7223">
        <v>87.558779999999999</v>
      </c>
      <c r="J7223">
        <v>-187.63120000000001</v>
      </c>
      <c r="K7223">
        <v>1.110212</v>
      </c>
      <c r="L7223">
        <v>62.210079999999998</v>
      </c>
      <c r="M7223">
        <v>2.817829E-3</v>
      </c>
      <c r="N7223">
        <v>0</v>
      </c>
      <c r="O7223">
        <v>0.99988880000000002</v>
      </c>
      <c r="P7223">
        <v>2.8395130000000001E-2</v>
      </c>
      <c r="Q7223">
        <v>0.17753160000000001</v>
      </c>
      <c r="R7223">
        <v>0.9837053</v>
      </c>
      <c r="S7223">
        <v>-2.7694699999999999E-2</v>
      </c>
      <c r="T7223">
        <v>-0.1328926</v>
      </c>
      <c r="U7223">
        <v>3.0743100000000001</v>
      </c>
      <c r="V7223">
        <v>2.5700199999999999E-2</v>
      </c>
      <c r="W7223">
        <v>0.19191230000000001</v>
      </c>
      <c r="X7223">
        <v>0.98107549999999999</v>
      </c>
      <c r="Y7223">
        <v>-1.1817640000000001E-2</v>
      </c>
      <c r="Z7223">
        <v>-4.3183840000000001E-2</v>
      </c>
      <c r="AA7223">
        <v>0.99899729999999998</v>
      </c>
      <c r="AB7223">
        <v>35</v>
      </c>
      <c r="AC7223">
        <v>-0.23239999999998401</v>
      </c>
      <c r="AD7223">
        <v>-1.11021577918</v>
      </c>
      <c r="AE7223">
        <v>25.348699999999901</v>
      </c>
      <c r="AF7223">
        <v>-0.30325337468256203</v>
      </c>
      <c r="AG7223">
        <v>-1.11021577918</v>
      </c>
      <c r="AH7223">
        <v>25.299418079306601</v>
      </c>
      <c r="AI7223">
        <v>92.512521544323704</v>
      </c>
      <c r="AJ7223">
        <v>90.6867472749001</v>
      </c>
      <c r="AK7223">
        <v>25.325581865717201</v>
      </c>
      <c r="AL7223">
        <v>78.935594901592594</v>
      </c>
      <c r="AM7223">
        <v>88.499426083993001</v>
      </c>
      <c r="AN7223">
        <v>0.99999998393578904</v>
      </c>
    </row>
    <row r="7224" spans="1:40" x14ac:dyDescent="0.25">
      <c r="A7224" t="str">
        <f>"20190312172548828"</f>
        <v>20190312172548828</v>
      </c>
      <c r="B7224" t="str">
        <f>"1552382748817112"</f>
        <v>1552382748817112</v>
      </c>
      <c r="C7224" t="s">
        <v>40</v>
      </c>
      <c r="D7224">
        <v>3.7625479999999998</v>
      </c>
      <c r="E7224">
        <v>0.51298060000000001</v>
      </c>
      <c r="F7224" t="s">
        <v>43</v>
      </c>
      <c r="G7224">
        <v>-187.84620000000001</v>
      </c>
      <c r="H7224" s="1">
        <v>-3.9592890000000003E-6</v>
      </c>
      <c r="I7224">
        <v>87.971400000000003</v>
      </c>
      <c r="J7224">
        <v>-187.6302</v>
      </c>
      <c r="K7224">
        <v>1.1102179999999999</v>
      </c>
      <c r="L7224">
        <v>62.535829999999997</v>
      </c>
      <c r="M7224">
        <v>2.9676469999999999E-3</v>
      </c>
      <c r="N7224">
        <v>0</v>
      </c>
      <c r="O7224">
        <v>0.99988840000000001</v>
      </c>
      <c r="P7224">
        <v>2.839465E-2</v>
      </c>
      <c r="Q7224">
        <v>0.1776122</v>
      </c>
      <c r="R7224">
        <v>0.98369090000000003</v>
      </c>
      <c r="S7224">
        <v>-2.5650019999999999E-2</v>
      </c>
      <c r="T7224">
        <v>-0.13249250000000001</v>
      </c>
      <c r="U7224">
        <v>3.074341</v>
      </c>
      <c r="V7224">
        <v>2.5552229999999999E-2</v>
      </c>
      <c r="W7224">
        <v>0.19198899999999999</v>
      </c>
      <c r="X7224">
        <v>0.98106439999999995</v>
      </c>
      <c r="Y7224">
        <v>-1.130306E-2</v>
      </c>
      <c r="Z7224">
        <v>-4.3053880000000003E-2</v>
      </c>
      <c r="AA7224">
        <v>0.99900880000000003</v>
      </c>
      <c r="AB7224">
        <v>35</v>
      </c>
      <c r="AC7224">
        <v>-0.21600000000000799</v>
      </c>
      <c r="AD7224">
        <v>-1.1102219592889999</v>
      </c>
      <c r="AE7224">
        <v>25.435569999999998</v>
      </c>
      <c r="AF7224">
        <v>-0.29093668644800202</v>
      </c>
      <c r="AG7224">
        <v>-1.1102219592889999</v>
      </c>
      <c r="AH7224">
        <v>25.3864545389272</v>
      </c>
      <c r="AI7224">
        <v>92.503947792518304</v>
      </c>
      <c r="AJ7224">
        <v>90.656598757799003</v>
      </c>
      <c r="AK7224">
        <v>25.412384992586301</v>
      </c>
      <c r="AL7224">
        <v>78.931117505271601</v>
      </c>
      <c r="AM7224">
        <v>88.508044913816505</v>
      </c>
      <c r="AN7224">
        <v>1.00000002476316</v>
      </c>
    </row>
    <row r="7225" spans="1:40" x14ac:dyDescent="0.25">
      <c r="A7225" t="str">
        <f>"20190312172548851"</f>
        <v>20190312172548851</v>
      </c>
      <c r="B7225" t="str">
        <f>"1552382748847368"</f>
        <v>1552382748847368</v>
      </c>
      <c r="C7225" t="s">
        <v>40</v>
      </c>
      <c r="D7225">
        <v>3.6839550000000001</v>
      </c>
      <c r="E7225">
        <v>0.52121960000000001</v>
      </c>
      <c r="F7225" t="s">
        <v>43</v>
      </c>
      <c r="G7225">
        <v>-186.214</v>
      </c>
      <c r="H7225" s="1">
        <v>-4.1264479999999996E-6</v>
      </c>
      <c r="I7225">
        <v>87.686169999999905</v>
      </c>
      <c r="J7225">
        <v>-187.62899999999999</v>
      </c>
      <c r="K7225">
        <v>1.11022</v>
      </c>
      <c r="L7225">
        <v>62.886780000000002</v>
      </c>
      <c r="M7225">
        <v>3.1286999999999999E-3</v>
      </c>
      <c r="N7225">
        <v>0</v>
      </c>
      <c r="O7225">
        <v>0.99988790000000005</v>
      </c>
      <c r="P7225">
        <v>2.87333E-2</v>
      </c>
      <c r="Q7225">
        <v>0.17794299999999999</v>
      </c>
      <c r="R7225">
        <v>0.98362119999999997</v>
      </c>
      <c r="S7225">
        <v>0.172821</v>
      </c>
      <c r="T7225">
        <v>-0.13548560000000001</v>
      </c>
      <c r="U7225">
        <v>3.0692140000000001</v>
      </c>
      <c r="V7225">
        <v>2.5732700000000001E-2</v>
      </c>
      <c r="W7225">
        <v>0.19231519999999999</v>
      </c>
      <c r="X7225">
        <v>0.98099579999999997</v>
      </c>
      <c r="Y7225">
        <v>5.303998E-2</v>
      </c>
      <c r="Z7225">
        <v>-4.4034320000000002E-2</v>
      </c>
      <c r="AA7225">
        <v>0.99762110000000004</v>
      </c>
      <c r="AB7225">
        <v>35</v>
      </c>
      <c r="AC7225">
        <v>1.41499999999999</v>
      </c>
      <c r="AD7225">
        <v>-1.1102241264479999</v>
      </c>
      <c r="AE7225">
        <v>24.799389999999899</v>
      </c>
      <c r="AF7225">
        <v>1.3347285309258801</v>
      </c>
      <c r="AG7225">
        <v>-1.1102241264479999</v>
      </c>
      <c r="AH7225">
        <v>24.754244914954299</v>
      </c>
      <c r="AI7225">
        <v>92.564266264231094</v>
      </c>
      <c r="AJ7225">
        <v>86.913647327923201</v>
      </c>
      <c r="AK7225">
        <v>24.815050658254901</v>
      </c>
      <c r="AL7225">
        <v>78.9120728274671</v>
      </c>
      <c r="AM7225">
        <v>88.497407344351998</v>
      </c>
      <c r="AN7225">
        <v>1.0000000338089801</v>
      </c>
    </row>
    <row r="7226" spans="1:40" x14ac:dyDescent="0.25">
      <c r="A7226" t="str">
        <f>"20190312172548873"</f>
        <v>20190312172548873</v>
      </c>
      <c r="B7226" t="str">
        <f>"1552382748867865"</f>
        <v>1552382748867865</v>
      </c>
      <c r="C7226" t="s">
        <v>40</v>
      </c>
      <c r="D7226">
        <v>3.7383350000000002</v>
      </c>
      <c r="E7226">
        <v>0.52312420000000004</v>
      </c>
      <c r="F7226" t="s">
        <v>43</v>
      </c>
      <c r="G7226">
        <v>-185.57740000000001</v>
      </c>
      <c r="H7226" s="1">
        <v>-4.8330689999999997E-6</v>
      </c>
      <c r="I7226">
        <v>89.07011</v>
      </c>
      <c r="J7226">
        <v>-187.6277</v>
      </c>
      <c r="K7226">
        <v>1.110215</v>
      </c>
      <c r="L7226">
        <v>63.227139999999999</v>
      </c>
      <c r="M7226">
        <v>3.2851009999999999E-3</v>
      </c>
      <c r="N7226">
        <v>0</v>
      </c>
      <c r="O7226">
        <v>0.99988750000000004</v>
      </c>
      <c r="P7226">
        <v>2.925142E-2</v>
      </c>
      <c r="Q7226">
        <v>0.17789050000000001</v>
      </c>
      <c r="R7226">
        <v>0.98361549999999998</v>
      </c>
      <c r="S7226">
        <v>0.2402649</v>
      </c>
      <c r="T7226">
        <v>-0.13002420000000001</v>
      </c>
      <c r="U7226">
        <v>3.0664669999999998</v>
      </c>
      <c r="V7226">
        <v>2.6096790000000002E-2</v>
      </c>
      <c r="W7226">
        <v>0.1922586</v>
      </c>
      <c r="X7226">
        <v>0.98099729999999996</v>
      </c>
      <c r="Y7226">
        <v>7.4767410000000006E-2</v>
      </c>
      <c r="Z7226">
        <v>-4.2239649999999997E-2</v>
      </c>
      <c r="AA7226">
        <v>0.99630600000000002</v>
      </c>
      <c r="AB7226">
        <v>35</v>
      </c>
      <c r="AC7226">
        <v>2.0502999999999898</v>
      </c>
      <c r="AD7226">
        <v>-1.1102198330690001</v>
      </c>
      <c r="AE7226">
        <v>25.842969999999902</v>
      </c>
      <c r="AF7226">
        <v>1.96178508760389</v>
      </c>
      <c r="AG7226">
        <v>-1.1102198330690001</v>
      </c>
      <c r="AH7226">
        <v>25.802244416243301</v>
      </c>
      <c r="AI7226">
        <v>92.456723002240295</v>
      </c>
      <c r="AJ7226">
        <v>85.652077352976207</v>
      </c>
      <c r="AK7226">
        <v>25.9005213407615</v>
      </c>
      <c r="AL7226">
        <v>78.915377698770698</v>
      </c>
      <c r="AM7226">
        <v>88.4761595592405</v>
      </c>
      <c r="AN7226">
        <v>1.00000005716477</v>
      </c>
    </row>
    <row r="7227" spans="1:40" x14ac:dyDescent="0.25">
      <c r="A7227" t="str">
        <f>"20190312172548897"</f>
        <v>20190312172548897</v>
      </c>
      <c r="B7227" t="str">
        <f>"1552382748887388"</f>
        <v>1552382748887388</v>
      </c>
      <c r="C7227" t="s">
        <v>40</v>
      </c>
      <c r="D7227">
        <v>3.8217110000000001</v>
      </c>
      <c r="E7227">
        <v>0.52424950000000003</v>
      </c>
      <c r="F7227" t="s">
        <v>43</v>
      </c>
      <c r="G7227">
        <v>-185.47130000000001</v>
      </c>
      <c r="H7227" s="1">
        <v>-4.8275120000000003E-6</v>
      </c>
      <c r="I7227">
        <v>89.013260000000002</v>
      </c>
      <c r="J7227">
        <v>-187.62639999999999</v>
      </c>
      <c r="K7227">
        <v>1.1102110000000001</v>
      </c>
      <c r="L7227">
        <v>63.588839999999998</v>
      </c>
      <c r="M7227">
        <v>3.4514139999999999E-3</v>
      </c>
      <c r="N7227">
        <v>0</v>
      </c>
      <c r="O7227">
        <v>0.99988699999999997</v>
      </c>
      <c r="P7227">
        <v>2.9566760000000001E-2</v>
      </c>
      <c r="Q7227">
        <v>0.17759320000000001</v>
      </c>
      <c r="R7227">
        <v>0.98365970000000003</v>
      </c>
      <c r="S7227">
        <v>0.25642399999999999</v>
      </c>
      <c r="T7227">
        <v>-0.1320161</v>
      </c>
      <c r="U7227">
        <v>3.0662229999999999</v>
      </c>
      <c r="V7227">
        <v>2.624806E-2</v>
      </c>
      <c r="W7227">
        <v>0.1919582</v>
      </c>
      <c r="X7227">
        <v>0.98105200000000004</v>
      </c>
      <c r="Y7227">
        <v>7.9820799999999997E-2</v>
      </c>
      <c r="Z7227">
        <v>-4.2871399999999997E-2</v>
      </c>
      <c r="AA7227">
        <v>0.99588690000000002</v>
      </c>
      <c r="AB7227">
        <v>35</v>
      </c>
      <c r="AC7227">
        <v>2.1550999999999698</v>
      </c>
      <c r="AD7227">
        <v>-1.110215827512</v>
      </c>
      <c r="AE7227">
        <v>25.424420000000001</v>
      </c>
      <c r="AF7227">
        <v>2.0634210368926502</v>
      </c>
      <c r="AG7227">
        <v>-1.110215827512</v>
      </c>
      <c r="AH7227">
        <v>25.383650380549401</v>
      </c>
      <c r="AI7227">
        <v>92.496151284694903</v>
      </c>
      <c r="AJ7227">
        <v>85.352680440179697</v>
      </c>
      <c r="AK7227">
        <v>25.4915670801368</v>
      </c>
      <c r="AL7227">
        <v>78.932915035306095</v>
      </c>
      <c r="AM7227">
        <v>88.467416237106093</v>
      </c>
      <c r="AN7227">
        <v>0.99999996895250098</v>
      </c>
    </row>
    <row r="7228" spans="1:40" x14ac:dyDescent="0.25">
      <c r="A7228" t="str">
        <f>"20190312172548919"</f>
        <v>20190312172548919</v>
      </c>
      <c r="B7228" t="str">
        <f>"1552382748907885"</f>
        <v>1552382748907885</v>
      </c>
      <c r="C7228" t="s">
        <v>40</v>
      </c>
      <c r="D7228">
        <v>3.7115800000000001</v>
      </c>
      <c r="E7228">
        <v>0.52489030000000003</v>
      </c>
      <c r="F7228" t="s">
        <v>43</v>
      </c>
      <c r="G7228">
        <v>-185.41210000000001</v>
      </c>
      <c r="H7228" s="1">
        <v>-4.8461939999999997E-6</v>
      </c>
      <c r="I7228">
        <v>89.032359999999997</v>
      </c>
      <c r="J7228">
        <v>-187.625</v>
      </c>
      <c r="K7228">
        <v>1.1102129999999999</v>
      </c>
      <c r="L7228">
        <v>63.927430000000001</v>
      </c>
      <c r="M7228">
        <v>3.6071520000000002E-3</v>
      </c>
      <c r="N7228">
        <v>0</v>
      </c>
      <c r="O7228">
        <v>0.99988650000000001</v>
      </c>
      <c r="P7228">
        <v>2.965781E-2</v>
      </c>
      <c r="Q7228">
        <v>0.17741319999999999</v>
      </c>
      <c r="R7228">
        <v>0.98368949999999999</v>
      </c>
      <c r="S7228">
        <v>0.26681519999999997</v>
      </c>
      <c r="T7228">
        <v>-0.13378119999999999</v>
      </c>
      <c r="U7228">
        <v>3.0659480000000001</v>
      </c>
      <c r="V7228">
        <v>2.6185529999999999E-2</v>
      </c>
      <c r="W7228">
        <v>0.19177520000000001</v>
      </c>
      <c r="X7228">
        <v>0.98108949999999995</v>
      </c>
      <c r="Y7228">
        <v>8.3021319999999996E-2</v>
      </c>
      <c r="Z7228">
        <v>-4.3435439999999999E-2</v>
      </c>
      <c r="AA7228">
        <v>0.99560079999999995</v>
      </c>
      <c r="AB7228">
        <v>34</v>
      </c>
      <c r="AC7228">
        <v>2.2128999999999901</v>
      </c>
      <c r="AD7228">
        <v>-1.110217846194</v>
      </c>
      <c r="AE7228">
        <v>25.1049299999999</v>
      </c>
      <c r="AF7228">
        <v>2.1182080073570999</v>
      </c>
      <c r="AG7228">
        <v>-1.110217846194</v>
      </c>
      <c r="AH7228">
        <v>25.064110228988099</v>
      </c>
      <c r="AI7228">
        <v>92.527268362826604</v>
      </c>
      <c r="AJ7228">
        <v>85.169320868872305</v>
      </c>
      <c r="AK7228">
        <v>25.177946905959299</v>
      </c>
      <c r="AL7228">
        <v>78.943599093316294</v>
      </c>
      <c r="AM7228">
        <v>88.471123944803693</v>
      </c>
      <c r="AN7228">
        <v>1.00000000816333</v>
      </c>
    </row>
    <row r="7229" spans="1:40" x14ac:dyDescent="0.25">
      <c r="A7229" t="str">
        <f>"20190312172548940"</f>
        <v>20190312172548940</v>
      </c>
      <c r="B7229" t="str">
        <f>"1552382748937160"</f>
        <v>1552382748937160</v>
      </c>
      <c r="C7229" t="s">
        <v>40</v>
      </c>
      <c r="D7229">
        <v>3.734369</v>
      </c>
      <c r="E7229">
        <v>0.52540699999999996</v>
      </c>
      <c r="F7229" t="s">
        <v>43</v>
      </c>
      <c r="G7229">
        <v>-185.35929999999999</v>
      </c>
      <c r="H7229" s="1">
        <v>-5.0009930000000001E-6</v>
      </c>
      <c r="I7229">
        <v>89.371340000000004</v>
      </c>
      <c r="J7229">
        <v>-187.62370000000001</v>
      </c>
      <c r="K7229">
        <v>1.1102190000000001</v>
      </c>
      <c r="L7229">
        <v>64.253109999999893</v>
      </c>
      <c r="M7229">
        <v>3.7570390000000002E-3</v>
      </c>
      <c r="N7229">
        <v>0</v>
      </c>
      <c r="O7229">
        <v>0.99988600000000005</v>
      </c>
      <c r="P7229">
        <v>2.9962200000000001E-2</v>
      </c>
      <c r="Q7229">
        <v>0.17711370000000001</v>
      </c>
      <c r="R7229">
        <v>0.98373429999999995</v>
      </c>
      <c r="S7229">
        <v>0.27299499999999999</v>
      </c>
      <c r="T7229">
        <v>-0.1337661</v>
      </c>
      <c r="U7229">
        <v>3.0656430000000001</v>
      </c>
      <c r="V7229">
        <v>2.6341989999999999E-2</v>
      </c>
      <c r="W7229">
        <v>0.1914729</v>
      </c>
      <c r="X7229">
        <v>0.98114440000000003</v>
      </c>
      <c r="Y7229">
        <v>8.48719E-2</v>
      </c>
      <c r="Z7229">
        <v>-4.3427590000000002E-2</v>
      </c>
      <c r="AA7229">
        <v>0.99544500000000002</v>
      </c>
      <c r="AB7229">
        <v>34</v>
      </c>
      <c r="AC7229">
        <v>2.2644000000000202</v>
      </c>
      <c r="AD7229">
        <v>-1.110224000993</v>
      </c>
      <c r="AE7229">
        <v>25.118230000000001</v>
      </c>
      <c r="AF7229">
        <v>2.16580666869354</v>
      </c>
      <c r="AG7229">
        <v>-1.110224000993</v>
      </c>
      <c r="AH7229">
        <v>25.0779628344408</v>
      </c>
      <c r="AI7229">
        <v>92.525492050369706</v>
      </c>
      <c r="AJ7229">
        <v>85.064015336521805</v>
      </c>
      <c r="AK7229">
        <v>25.195784087504201</v>
      </c>
      <c r="AL7229">
        <v>78.961247143217903</v>
      </c>
      <c r="AM7229">
        <v>88.462079217799499</v>
      </c>
      <c r="AN7229">
        <v>1.0000000527614601</v>
      </c>
    </row>
    <row r="7230" spans="1:40" x14ac:dyDescent="0.25">
      <c r="A7230" t="str">
        <f>"20190312172548964"</f>
        <v>20190312172548964</v>
      </c>
      <c r="B7230" t="str">
        <f>"1552382748957657"</f>
        <v>1552382748957657</v>
      </c>
      <c r="C7230" t="s">
        <v>40</v>
      </c>
      <c r="D7230">
        <v>3.7501859999999998</v>
      </c>
      <c r="E7230">
        <v>0.52562629999999999</v>
      </c>
      <c r="F7230" t="s">
        <v>43</v>
      </c>
      <c r="G7230">
        <v>-185.3595</v>
      </c>
      <c r="H7230" s="1">
        <v>-4.929125E-6</v>
      </c>
      <c r="I7230">
        <v>89.203919999999997</v>
      </c>
      <c r="J7230">
        <v>-187.62219999999999</v>
      </c>
      <c r="K7230">
        <v>1.1102240000000001</v>
      </c>
      <c r="L7230">
        <v>64.620509999999996</v>
      </c>
      <c r="M7230">
        <v>3.9261330000000001E-3</v>
      </c>
      <c r="N7230">
        <v>0</v>
      </c>
      <c r="O7230">
        <v>0.99988540000000004</v>
      </c>
      <c r="P7230">
        <v>3.0207189999999998E-2</v>
      </c>
      <c r="Q7230">
        <v>0.1773855</v>
      </c>
      <c r="R7230">
        <v>0.98367769999999999</v>
      </c>
      <c r="S7230">
        <v>0.27819820000000001</v>
      </c>
      <c r="T7230">
        <v>-0.1364118</v>
      </c>
      <c r="U7230">
        <v>3.065674</v>
      </c>
      <c r="V7230">
        <v>2.642077E-2</v>
      </c>
      <c r="W7230">
        <v>0.1917401</v>
      </c>
      <c r="X7230">
        <v>0.98109009999999996</v>
      </c>
      <c r="Y7230">
        <v>8.637504E-2</v>
      </c>
      <c r="Z7230">
        <v>-4.4278159999999997E-2</v>
      </c>
      <c r="AA7230">
        <v>0.9952782</v>
      </c>
      <c r="AB7230">
        <v>34</v>
      </c>
      <c r="AC7230">
        <v>2.2626999999999899</v>
      </c>
      <c r="AD7230">
        <v>-1.11022892912499</v>
      </c>
      <c r="AE7230">
        <v>24.583410000000001</v>
      </c>
      <c r="AF7230">
        <v>2.1617824115877902</v>
      </c>
      <c r="AG7230">
        <v>-1.11022892912499</v>
      </c>
      <c r="AH7230">
        <v>24.542469258636601</v>
      </c>
      <c r="AI7230">
        <v>92.580149897931804</v>
      </c>
      <c r="AJ7230">
        <v>84.966188701199201</v>
      </c>
      <c r="AK7230">
        <v>24.662495996578301</v>
      </c>
      <c r="AL7230">
        <v>78.945648711344106</v>
      </c>
      <c r="AM7230">
        <v>88.457396702795606</v>
      </c>
      <c r="AN7230">
        <v>1.0000000536767</v>
      </c>
    </row>
    <row r="7231" spans="1:40" x14ac:dyDescent="0.25">
      <c r="A7231" t="str">
        <f>"20190312172548987"</f>
        <v>20190312172548987</v>
      </c>
      <c r="B7231" t="str">
        <f>"1552382748977176"</f>
        <v>1552382748977176</v>
      </c>
      <c r="C7231" t="s">
        <v>40</v>
      </c>
      <c r="D7231">
        <v>3.7584680000000001</v>
      </c>
      <c r="E7231">
        <v>0.52564330000000004</v>
      </c>
      <c r="F7231" t="s">
        <v>43</v>
      </c>
      <c r="G7231">
        <v>-185.33949999999999</v>
      </c>
      <c r="H7231" s="1">
        <v>-5.0783049999999997E-6</v>
      </c>
      <c r="I7231">
        <v>89.543369999999996</v>
      </c>
      <c r="J7231">
        <v>-187.6206</v>
      </c>
      <c r="K7231">
        <v>1.110225</v>
      </c>
      <c r="L7231">
        <v>64.979709999999997</v>
      </c>
      <c r="M7231">
        <v>4.091595E-3</v>
      </c>
      <c r="N7231">
        <v>0</v>
      </c>
      <c r="O7231">
        <v>0.99988480000000002</v>
      </c>
      <c r="P7231">
        <v>3.1182609999999999E-2</v>
      </c>
      <c r="Q7231">
        <v>0.17773699999999901</v>
      </c>
      <c r="R7231">
        <v>0.98358389999999996</v>
      </c>
      <c r="S7231">
        <v>0.28079219999999999</v>
      </c>
      <c r="T7231">
        <v>-0.13656949999999901</v>
      </c>
      <c r="U7231">
        <v>3.0657649999999999</v>
      </c>
      <c r="V7231">
        <v>2.7233710000000001E-2</v>
      </c>
      <c r="W7231">
        <v>0.19208639999999999</v>
      </c>
      <c r="X7231">
        <v>0.98100010000000004</v>
      </c>
      <c r="Y7231">
        <v>8.7042480000000005E-2</v>
      </c>
      <c r="Z7231">
        <v>-4.4324910000000002E-2</v>
      </c>
      <c r="AA7231">
        <v>0.99521800000000005</v>
      </c>
      <c r="AB7231">
        <v>34</v>
      </c>
      <c r="AC7231">
        <v>2.2810999999999999</v>
      </c>
      <c r="AD7231">
        <v>-1.1102300783050001</v>
      </c>
      <c r="AE7231">
        <v>24.563659999999999</v>
      </c>
      <c r="AF7231">
        <v>2.1761580272208398</v>
      </c>
      <c r="AG7231">
        <v>-1.1102300783050001</v>
      </c>
      <c r="AH7231">
        <v>24.5231195773259</v>
      </c>
      <c r="AI7231">
        <v>92.582037321929604</v>
      </c>
      <c r="AJ7231">
        <v>84.928910798934794</v>
      </c>
      <c r="AK7231">
        <v>24.6445058459291</v>
      </c>
      <c r="AL7231">
        <v>78.9254310953269</v>
      </c>
      <c r="AM7231">
        <v>88.409810583030094</v>
      </c>
      <c r="AN7231">
        <v>1.00000002811266</v>
      </c>
    </row>
    <row r="7232" spans="1:40" x14ac:dyDescent="0.25">
      <c r="A7232" t="str">
        <f>"20190312172549008"</f>
        <v>20190312172549008</v>
      </c>
      <c r="B7232" t="str">
        <f>"1552382748997672"</f>
        <v>1552382748997672</v>
      </c>
      <c r="C7232" t="s">
        <v>40</v>
      </c>
      <c r="D7232">
        <v>3.7499150000000001</v>
      </c>
      <c r="E7232">
        <v>0.52576239999999996</v>
      </c>
      <c r="F7232" t="s">
        <v>43</v>
      </c>
      <c r="G7232">
        <v>-185.3065</v>
      </c>
      <c r="H7232" s="1">
        <v>-1.3536310000000001E-6</v>
      </c>
      <c r="I7232">
        <v>89.956050000000005</v>
      </c>
      <c r="J7232">
        <v>-187.6191</v>
      </c>
      <c r="K7232">
        <v>1.1102259999999999</v>
      </c>
      <c r="L7232">
        <v>65.303190000000001</v>
      </c>
      <c r="M7232">
        <v>4.2406459999999998E-3</v>
      </c>
      <c r="N7232">
        <v>0</v>
      </c>
      <c r="O7232">
        <v>0.9998842</v>
      </c>
      <c r="P7232">
        <v>3.1652649999999997E-2</v>
      </c>
      <c r="Q7232">
        <v>0.17756229999999901</v>
      </c>
      <c r="R7232">
        <v>0.98360040000000004</v>
      </c>
      <c r="S7232">
        <v>0.28404239999999997</v>
      </c>
      <c r="T7232">
        <v>-0.13627400000000001</v>
      </c>
      <c r="U7232">
        <v>3.0657040000000002</v>
      </c>
      <c r="V7232">
        <v>2.7556810000000001E-2</v>
      </c>
      <c r="W7232">
        <v>0.1919081</v>
      </c>
      <c r="X7232">
        <v>0.98102590000000001</v>
      </c>
      <c r="Y7232">
        <v>8.7942350000000002E-2</v>
      </c>
      <c r="Z7232">
        <v>-4.4226120000000001E-2</v>
      </c>
      <c r="AA7232">
        <v>0.99514329999999995</v>
      </c>
      <c r="AB7232">
        <v>34</v>
      </c>
      <c r="AC7232">
        <v>2.3126000000000002</v>
      </c>
      <c r="AD7232">
        <v>-1.1102273536309999</v>
      </c>
      <c r="AE7232">
        <v>24.65286</v>
      </c>
      <c r="AF7232">
        <v>2.2035938585449402</v>
      </c>
      <c r="AG7232">
        <v>-1.1102273536309999</v>
      </c>
      <c r="AH7232">
        <v>24.612964139498601</v>
      </c>
      <c r="AI7232">
        <v>92.572438854216898</v>
      </c>
      <c r="AJ7232">
        <v>84.883960338154694</v>
      </c>
      <c r="AK7232">
        <v>24.736338338614502</v>
      </c>
      <c r="AL7232">
        <v>78.935839794667999</v>
      </c>
      <c r="AM7232">
        <v>88.390996772372503</v>
      </c>
      <c r="AN7232">
        <v>0.999999956546897</v>
      </c>
    </row>
    <row r="7233" spans="1:40" x14ac:dyDescent="0.25">
      <c r="A7233" t="str">
        <f>"20190312172549030"</f>
        <v>20190312172549030</v>
      </c>
      <c r="B7233" t="str">
        <f>"1552382749027929"</f>
        <v>1552382749027929</v>
      </c>
      <c r="C7233" t="s">
        <v>40</v>
      </c>
      <c r="D7233">
        <v>3.7478259999999999</v>
      </c>
      <c r="E7233">
        <v>0.52594549999999995</v>
      </c>
      <c r="F7233" t="s">
        <v>43</v>
      </c>
      <c r="G7233">
        <v>-185.30279999999999</v>
      </c>
      <c r="H7233" s="1">
        <v>-1.3847639999999999E-6</v>
      </c>
      <c r="I7233">
        <v>90.044650000000004</v>
      </c>
      <c r="J7233">
        <v>-187.61750000000001</v>
      </c>
      <c r="K7233">
        <v>1.1102299999999901</v>
      </c>
      <c r="L7233">
        <v>65.643280000000004</v>
      </c>
      <c r="M7233">
        <v>4.3970629999999997E-3</v>
      </c>
      <c r="N7233">
        <v>0</v>
      </c>
      <c r="O7233">
        <v>0.99988359999999998</v>
      </c>
      <c r="P7233">
        <v>3.234393E-2</v>
      </c>
      <c r="Q7233">
        <v>0.1775341</v>
      </c>
      <c r="R7233">
        <v>0.98358299999999999</v>
      </c>
      <c r="S7233">
        <v>0.2870026</v>
      </c>
      <c r="T7233">
        <v>-0.13756370000000001</v>
      </c>
      <c r="U7233">
        <v>3.0656129999999999</v>
      </c>
      <c r="V7233">
        <v>2.809418E-2</v>
      </c>
      <c r="W7233">
        <v>0.1918763</v>
      </c>
      <c r="X7233">
        <v>0.98101689999999997</v>
      </c>
      <c r="Y7233">
        <v>8.8740169999999993E-2</v>
      </c>
      <c r="Z7233">
        <v>-4.4641559999999997E-2</v>
      </c>
      <c r="AA7233">
        <v>0.99505390000000005</v>
      </c>
      <c r="AB7233">
        <v>34</v>
      </c>
      <c r="AC7233">
        <v>2.31470000000001</v>
      </c>
      <c r="AD7233">
        <v>-1.11023138476399</v>
      </c>
      <c r="AE7233">
        <v>24.40137</v>
      </c>
      <c r="AF7233">
        <v>2.2028522720962598</v>
      </c>
      <c r="AG7233">
        <v>-1.11023138476399</v>
      </c>
      <c r="AH7233">
        <v>24.361331540757</v>
      </c>
      <c r="AI7233">
        <v>92.598776051274697</v>
      </c>
      <c r="AJ7233">
        <v>84.833130608325604</v>
      </c>
      <c r="AK7233">
        <v>24.485907095696401</v>
      </c>
      <c r="AL7233">
        <v>78.937696539572798</v>
      </c>
      <c r="AM7233">
        <v>88.359622434747706</v>
      </c>
      <c r="AN7233">
        <v>0.99999997776858496</v>
      </c>
    </row>
    <row r="7234" spans="1:40" x14ac:dyDescent="0.25">
      <c r="A7234" t="str">
        <f>"20190312172549054"</f>
        <v>20190312172549054</v>
      </c>
      <c r="B7234" t="str">
        <f>"1552382749047449"</f>
        <v>1552382749047449</v>
      </c>
      <c r="C7234" t="s">
        <v>40</v>
      </c>
      <c r="D7234">
        <v>3.7155520000000002</v>
      </c>
      <c r="E7234">
        <v>0.52608449999999995</v>
      </c>
      <c r="F7234" t="s">
        <v>43</v>
      </c>
      <c r="G7234">
        <v>-185.279</v>
      </c>
      <c r="H7234" s="1">
        <v>-1.4783389999999999E-6</v>
      </c>
      <c r="I7234">
        <v>90.300979999999996</v>
      </c>
      <c r="J7234">
        <v>-187.61580000000001</v>
      </c>
      <c r="K7234">
        <v>1.110233</v>
      </c>
      <c r="L7234">
        <v>65.989440000000002</v>
      </c>
      <c r="M7234">
        <v>4.5565270000000003E-3</v>
      </c>
      <c r="N7234">
        <v>0</v>
      </c>
      <c r="O7234">
        <v>0.99988290000000002</v>
      </c>
      <c r="P7234">
        <v>3.2489999999999998E-2</v>
      </c>
      <c r="Q7234">
        <v>0.1777234</v>
      </c>
      <c r="R7234">
        <v>0.98354399999999997</v>
      </c>
      <c r="S7234">
        <v>0.29072569999999998</v>
      </c>
      <c r="T7234">
        <v>-0.13802329999999999</v>
      </c>
      <c r="U7234">
        <v>3.0654300000000001</v>
      </c>
      <c r="V7234">
        <v>2.8083440000000001E-2</v>
      </c>
      <c r="W7234">
        <v>0.19206110000000001</v>
      </c>
      <c r="X7234">
        <v>0.98098110000000005</v>
      </c>
      <c r="Y7234">
        <v>8.9784069999999994E-2</v>
      </c>
      <c r="Z7234">
        <v>-4.4788359999999999E-2</v>
      </c>
      <c r="AA7234">
        <v>0.99495370000000005</v>
      </c>
      <c r="AB7234">
        <v>34</v>
      </c>
      <c r="AC7234">
        <v>2.3367999999999798</v>
      </c>
      <c r="AD7234">
        <v>-1.1102344783389999</v>
      </c>
      <c r="AE7234">
        <v>24.311540000000001</v>
      </c>
      <c r="AF7234">
        <v>2.2213974701847699</v>
      </c>
      <c r="AG7234">
        <v>-1.1102344783389999</v>
      </c>
      <c r="AH7234">
        <v>24.271781634072902</v>
      </c>
      <c r="AI7234">
        <v>92.608100225597397</v>
      </c>
      <c r="AJ7234">
        <v>84.770754363386104</v>
      </c>
      <c r="AK7234">
        <v>24.3984960808972</v>
      </c>
      <c r="AL7234">
        <v>78.926908226343102</v>
      </c>
      <c r="AM7234">
        <v>88.360189376498795</v>
      </c>
      <c r="AN7234">
        <v>1.0000000321463201</v>
      </c>
    </row>
    <row r="7235" spans="1:40" x14ac:dyDescent="0.25">
      <c r="A7235" t="str">
        <f>"20190312172549076"</f>
        <v>20190312172549076</v>
      </c>
      <c r="B7235" t="str">
        <f>"1552382749067945"</f>
        <v>1552382749067945</v>
      </c>
      <c r="C7235" t="s">
        <v>40</v>
      </c>
      <c r="D7235">
        <v>3.7304330000000001</v>
      </c>
      <c r="E7235">
        <v>0.52616649999999998</v>
      </c>
      <c r="F7235" t="s">
        <v>43</v>
      </c>
      <c r="G7235">
        <v>-185.25559999999999</v>
      </c>
      <c r="H7235" s="1">
        <v>-1.6273679999999901E-6</v>
      </c>
      <c r="I7235">
        <v>90.720669999999998</v>
      </c>
      <c r="J7235">
        <v>-187.61410000000001</v>
      </c>
      <c r="K7235">
        <v>1.1102339999999999</v>
      </c>
      <c r="L7235">
        <v>66.332239999999999</v>
      </c>
      <c r="M7235">
        <v>4.7145709999999999E-3</v>
      </c>
      <c r="N7235">
        <v>0</v>
      </c>
      <c r="O7235">
        <v>0.9998823</v>
      </c>
      <c r="P7235">
        <v>3.2952009999999997E-2</v>
      </c>
      <c r="Q7235">
        <v>0.17795</v>
      </c>
      <c r="R7235">
        <v>0.98348769999999996</v>
      </c>
      <c r="S7235">
        <v>0.29254150000000001</v>
      </c>
      <c r="T7235">
        <v>-0.13761199999999901</v>
      </c>
      <c r="U7235">
        <v>3.0653990000000002</v>
      </c>
      <c r="V7235">
        <v>2.839013E-2</v>
      </c>
      <c r="W7235">
        <v>0.19228339999999999</v>
      </c>
      <c r="X7235">
        <v>0.98092869999999999</v>
      </c>
      <c r="Y7235">
        <v>9.0212239999999999E-2</v>
      </c>
      <c r="Z7235">
        <v>-4.4653459999999999E-2</v>
      </c>
      <c r="AA7235">
        <v>0.99492100000000006</v>
      </c>
      <c r="AB7235">
        <v>34</v>
      </c>
      <c r="AC7235">
        <v>2.3585000000000198</v>
      </c>
      <c r="AD7235">
        <v>-1.1102356273680001</v>
      </c>
      <c r="AE7235">
        <v>24.38843</v>
      </c>
      <c r="AF7235">
        <v>2.2388837845509801</v>
      </c>
      <c r="AG7235">
        <v>-1.1102356273680001</v>
      </c>
      <c r="AH7235">
        <v>24.349286740176598</v>
      </c>
      <c r="AI7235">
        <v>92.599711790304497</v>
      </c>
      <c r="AJ7235">
        <v>84.746503123146397</v>
      </c>
      <c r="AK7235">
        <v>24.477193231748199</v>
      </c>
      <c r="AL7235">
        <v>78.913929217290701</v>
      </c>
      <c r="AM7235">
        <v>88.342202979385902</v>
      </c>
      <c r="AN7235">
        <v>1.0000000099403299</v>
      </c>
    </row>
    <row r="7236" spans="1:40" x14ac:dyDescent="0.25">
      <c r="A7236" t="str">
        <f>"20190312172549097"</f>
        <v>20190312172549097</v>
      </c>
      <c r="B7236" t="str">
        <f>"1552382749087464"</f>
        <v>1552382749087464</v>
      </c>
      <c r="C7236" t="s">
        <v>40</v>
      </c>
      <c r="D7236">
        <v>3.7218330000000002</v>
      </c>
      <c r="E7236">
        <v>0.52627860000000004</v>
      </c>
      <c r="F7236" t="s">
        <v>43</v>
      </c>
      <c r="G7236">
        <v>-185.22190000000001</v>
      </c>
      <c r="H7236" s="1">
        <v>-1.7936240000000001E-6</v>
      </c>
      <c r="I7236">
        <v>91.182820000000007</v>
      </c>
      <c r="J7236">
        <v>-187.61240000000001</v>
      </c>
      <c r="K7236">
        <v>1.1102379999999901</v>
      </c>
      <c r="L7236">
        <v>66.663569999999893</v>
      </c>
      <c r="M7236">
        <v>4.8671529999999999E-3</v>
      </c>
      <c r="N7236">
        <v>0</v>
      </c>
      <c r="O7236">
        <v>0.99988160000000004</v>
      </c>
      <c r="P7236">
        <v>3.3232339999999999E-2</v>
      </c>
      <c r="Q7236">
        <v>0.17811009999999999</v>
      </c>
      <c r="R7236">
        <v>0.98344920000000002</v>
      </c>
      <c r="S7236">
        <v>0.29507450000000002</v>
      </c>
      <c r="T7236">
        <v>-0.13694439999999999</v>
      </c>
      <c r="U7236">
        <v>3.0652469999999998</v>
      </c>
      <c r="V7236">
        <v>2.8520509999999999E-2</v>
      </c>
      <c r="W7236">
        <v>0.19243969999999999</v>
      </c>
      <c r="X7236">
        <v>0.9808943</v>
      </c>
      <c r="Y7236">
        <v>9.0880500000000003E-2</v>
      </c>
      <c r="Z7236">
        <v>-4.4436320000000001E-2</v>
      </c>
      <c r="AA7236">
        <v>0.99486989999999997</v>
      </c>
      <c r="AB7236">
        <v>34</v>
      </c>
      <c r="AC7236">
        <v>2.3904999999999998</v>
      </c>
      <c r="AD7236">
        <v>-1.1102397936239901</v>
      </c>
      <c r="AE7236">
        <v>24.51925</v>
      </c>
      <c r="AF7236">
        <v>2.2665167176847398</v>
      </c>
      <c r="AG7236">
        <v>-1.1102397936239901</v>
      </c>
      <c r="AH7236">
        <v>24.480874946313001</v>
      </c>
      <c r="AI7236">
        <v>92.585616778337993</v>
      </c>
      <c r="AJ7236">
        <v>84.710454751811199</v>
      </c>
      <c r="AK7236">
        <v>24.6106271469848</v>
      </c>
      <c r="AL7236">
        <v>78.904803823510406</v>
      </c>
      <c r="AM7236">
        <v>88.334535548964197</v>
      </c>
      <c r="AN7236">
        <v>1.0000000426996101</v>
      </c>
    </row>
    <row r="7237" spans="1:40" x14ac:dyDescent="0.25">
      <c r="A7237" t="str">
        <f>"20190312172549119"</f>
        <v>20190312172549119</v>
      </c>
      <c r="B7237" t="str">
        <f>"1552382749107964"</f>
        <v>1552382749107964</v>
      </c>
      <c r="C7237" t="s">
        <v>40</v>
      </c>
      <c r="D7237">
        <v>3.7119610000000001</v>
      </c>
      <c r="E7237">
        <v>0.5263234</v>
      </c>
      <c r="F7237" t="s">
        <v>43</v>
      </c>
      <c r="G7237">
        <v>-185.19370000000001</v>
      </c>
      <c r="H7237" s="1">
        <v>-1.9367640000000001E-6</v>
      </c>
      <c r="I7237">
        <v>91.581379999999996</v>
      </c>
      <c r="J7237">
        <v>-187.61060000000001</v>
      </c>
      <c r="K7237">
        <v>1.110242</v>
      </c>
      <c r="L7237">
        <v>66.993589999999998</v>
      </c>
      <c r="M7237">
        <v>5.0195300000000003E-3</v>
      </c>
      <c r="N7237">
        <v>0</v>
      </c>
      <c r="O7237">
        <v>0.99988089999999996</v>
      </c>
      <c r="P7237">
        <v>3.3281720000000001E-2</v>
      </c>
      <c r="Q7237">
        <v>0.1782849</v>
      </c>
      <c r="R7237">
        <v>0.98341590000000001</v>
      </c>
      <c r="S7237">
        <v>0.29753109999999999</v>
      </c>
      <c r="T7237">
        <v>-0.13657259999999999</v>
      </c>
      <c r="U7237">
        <v>3.0651860000000002</v>
      </c>
      <c r="V7237">
        <v>2.8420000000000001E-2</v>
      </c>
      <c r="W7237">
        <v>0.19261049999999999</v>
      </c>
      <c r="X7237">
        <v>0.98086359999999995</v>
      </c>
      <c r="Y7237">
        <v>9.1521130000000006E-2</v>
      </c>
      <c r="Z7237">
        <v>-4.4313739999999997E-2</v>
      </c>
      <c r="AA7237">
        <v>0.9948167</v>
      </c>
      <c r="AB7237">
        <v>34</v>
      </c>
      <c r="AC7237">
        <v>2.4168999999999898</v>
      </c>
      <c r="AD7237">
        <v>-1.110243936764</v>
      </c>
      <c r="AE7237">
        <v>24.587789999999998</v>
      </c>
      <c r="AF7237">
        <v>2.2888152238010702</v>
      </c>
      <c r="AG7237">
        <v>-1.110243936764</v>
      </c>
      <c r="AH7237">
        <v>24.550036901996801</v>
      </c>
      <c r="AI7237">
        <v>92.578198515690005</v>
      </c>
      <c r="AJ7237">
        <v>84.673675247358503</v>
      </c>
      <c r="AK7237">
        <v>24.681483517350198</v>
      </c>
      <c r="AL7237">
        <v>78.894830110107407</v>
      </c>
      <c r="AM7237">
        <v>88.340349660302707</v>
      </c>
      <c r="AN7237">
        <v>0.99999995145760301</v>
      </c>
    </row>
    <row r="7238" spans="1:40" x14ac:dyDescent="0.25">
      <c r="A7238" t="str">
        <f>"20190312172549142"</f>
        <v>20190312172549142</v>
      </c>
      <c r="B7238" t="str">
        <f>"1552382749137242"</f>
        <v>1552382749137242</v>
      </c>
      <c r="C7238" t="s">
        <v>40</v>
      </c>
      <c r="D7238">
        <v>3.847248</v>
      </c>
      <c r="E7238">
        <v>0.52643700000000004</v>
      </c>
      <c r="F7238" t="s">
        <v>43</v>
      </c>
      <c r="G7238">
        <v>-185.18430000000001</v>
      </c>
      <c r="H7238" s="1">
        <v>-2.068096E-6</v>
      </c>
      <c r="I7238">
        <v>91.960009999999997</v>
      </c>
      <c r="J7238">
        <v>-187.6088</v>
      </c>
      <c r="K7238">
        <v>1.1102339999999999</v>
      </c>
      <c r="L7238">
        <v>67.326689999999999</v>
      </c>
      <c r="M7238">
        <v>5.1732319999999998E-3</v>
      </c>
      <c r="N7238">
        <v>0</v>
      </c>
      <c r="O7238">
        <v>0.99988010000000005</v>
      </c>
      <c r="P7238">
        <v>3.3042879999999997E-2</v>
      </c>
      <c r="Q7238">
        <v>0.17783579999999999</v>
      </c>
      <c r="R7238">
        <v>0.98350519999999997</v>
      </c>
      <c r="S7238">
        <v>0.29788209999999998</v>
      </c>
      <c r="T7238">
        <v>-0.1363087</v>
      </c>
      <c r="U7238">
        <v>3.0652159999999999</v>
      </c>
      <c r="V7238">
        <v>2.8029160000000001E-2</v>
      </c>
      <c r="W7238">
        <v>0.19215940000000001</v>
      </c>
      <c r="X7238">
        <v>0.98096329999999998</v>
      </c>
      <c r="Y7238">
        <v>9.1480300000000001E-2</v>
      </c>
      <c r="Z7238">
        <v>-4.4227610000000001E-2</v>
      </c>
      <c r="AA7238">
        <v>0.99482420000000005</v>
      </c>
      <c r="AB7238">
        <v>34</v>
      </c>
      <c r="AC7238">
        <v>2.4244999999999899</v>
      </c>
      <c r="AD7238">
        <v>-1.110236068096</v>
      </c>
      <c r="AE7238">
        <v>24.633320000000001</v>
      </c>
      <c r="AF7238">
        <v>2.2924080897651198</v>
      </c>
      <c r="AG7238">
        <v>-1.110236068096</v>
      </c>
      <c r="AH7238">
        <v>24.596050314355001</v>
      </c>
      <c r="AI7238">
        <v>92.573370320017005</v>
      </c>
      <c r="AJ7238">
        <v>84.675284885783398</v>
      </c>
      <c r="AK7238">
        <v>24.727584800040699</v>
      </c>
      <c r="AL7238">
        <v>78.921168032418706</v>
      </c>
      <c r="AM7238">
        <v>88.363327414684903</v>
      </c>
      <c r="AN7238">
        <v>0.99999993238277496</v>
      </c>
    </row>
    <row r="7239" spans="1:40" x14ac:dyDescent="0.25">
      <c r="A7239" t="str">
        <f>"20190312172549165"</f>
        <v>20190312172549165</v>
      </c>
      <c r="B7239" t="str">
        <f>"1552382749157737"</f>
        <v>1552382749157737</v>
      </c>
      <c r="C7239" t="s">
        <v>40</v>
      </c>
      <c r="D7239">
        <v>3.6988300000000001</v>
      </c>
      <c r="E7239">
        <v>0.52648989999999996</v>
      </c>
      <c r="F7239" t="s">
        <v>43</v>
      </c>
      <c r="G7239">
        <v>-185.2236</v>
      </c>
      <c r="H7239" s="1">
        <v>-2.0343429999999999E-6</v>
      </c>
      <c r="I7239">
        <v>91.891540000000006</v>
      </c>
      <c r="J7239">
        <v>-187.60669999999999</v>
      </c>
      <c r="K7239">
        <v>1.1102299999999901</v>
      </c>
      <c r="L7239">
        <v>67.686769999999996</v>
      </c>
      <c r="M7239">
        <v>5.339463E-3</v>
      </c>
      <c r="N7239">
        <v>0</v>
      </c>
      <c r="O7239">
        <v>0.99987939999999997</v>
      </c>
      <c r="P7239">
        <v>3.2920230000000002E-2</v>
      </c>
      <c r="Q7239">
        <v>0.1779155</v>
      </c>
      <c r="R7239">
        <v>0.98349500000000001</v>
      </c>
      <c r="S7239">
        <v>0.29763790000000001</v>
      </c>
      <c r="T7239">
        <v>-0.13854279999999999</v>
      </c>
      <c r="U7239">
        <v>3.065369</v>
      </c>
      <c r="V7239">
        <v>2.7742880000000001E-2</v>
      </c>
      <c r="W7239">
        <v>0.19223519999999999</v>
      </c>
      <c r="X7239">
        <v>0.98095670000000001</v>
      </c>
      <c r="Y7239">
        <v>9.1228370000000003E-2</v>
      </c>
      <c r="Z7239">
        <v>-4.4949450000000002E-2</v>
      </c>
      <c r="AA7239">
        <v>0.99481509999999995</v>
      </c>
      <c r="AB7239">
        <v>34</v>
      </c>
      <c r="AC7239">
        <v>2.3830999999999798</v>
      </c>
      <c r="AD7239">
        <v>-1.1102320343430001</v>
      </c>
      <c r="AE7239">
        <v>24.20477</v>
      </c>
      <c r="AF7239">
        <v>2.2491252912423398</v>
      </c>
      <c r="AG7239">
        <v>-1.1102320343430001</v>
      </c>
      <c r="AH7239">
        <v>24.166794270457999</v>
      </c>
      <c r="AI7239">
        <v>92.619039238203698</v>
      </c>
      <c r="AJ7239">
        <v>84.682983003060798</v>
      </c>
      <c r="AK7239">
        <v>24.296607274605801</v>
      </c>
      <c r="AL7239">
        <v>78.916743749747695</v>
      </c>
      <c r="AM7239">
        <v>88.380023967101096</v>
      </c>
      <c r="AN7239">
        <v>1.00000004339231</v>
      </c>
    </row>
    <row r="7240" spans="1:40" x14ac:dyDescent="0.25">
      <c r="A7240" t="str">
        <f>"20190312172549189"</f>
        <v>20190312172549189</v>
      </c>
      <c r="B7240" t="str">
        <f>"1552382749177256"</f>
        <v>1552382749177256</v>
      </c>
      <c r="C7240" t="s">
        <v>40</v>
      </c>
      <c r="D7240">
        <v>3.7267619999999999</v>
      </c>
      <c r="E7240">
        <v>0.52656890000000001</v>
      </c>
      <c r="F7240" t="s">
        <v>43</v>
      </c>
      <c r="G7240">
        <v>-185.2304</v>
      </c>
      <c r="H7240" s="1">
        <v>-2.1337680000000002E-6</v>
      </c>
      <c r="I7240">
        <v>92.189049999999995</v>
      </c>
      <c r="J7240">
        <v>-187.6046</v>
      </c>
      <c r="K7240">
        <v>1.1102320000000001</v>
      </c>
      <c r="L7240">
        <v>68.048680000000004</v>
      </c>
      <c r="M7240">
        <v>5.5065460000000002E-3</v>
      </c>
      <c r="N7240">
        <v>0</v>
      </c>
      <c r="O7240">
        <v>0.9998785</v>
      </c>
      <c r="P7240">
        <v>3.2619389999999998E-2</v>
      </c>
      <c r="Q7240">
        <v>0.1775632</v>
      </c>
      <c r="R7240">
        <v>0.98356869999999996</v>
      </c>
      <c r="S7240">
        <v>0.29730220000000002</v>
      </c>
      <c r="T7240">
        <v>-0.138903</v>
      </c>
      <c r="U7240">
        <v>3.0655209999999999</v>
      </c>
      <c r="V7240">
        <v>2.7276970000000001E-2</v>
      </c>
      <c r="W7240">
        <v>0.191881</v>
      </c>
      <c r="X7240">
        <v>0.98103899999999999</v>
      </c>
      <c r="Y7240">
        <v>9.0948780000000007E-2</v>
      </c>
      <c r="Z7240">
        <v>-4.506462E-2</v>
      </c>
      <c r="AA7240">
        <v>0.99483540000000004</v>
      </c>
      <c r="AB7240">
        <v>34</v>
      </c>
      <c r="AC7240">
        <v>2.3742000000000001</v>
      </c>
      <c r="AD7240">
        <v>-1.110234133768</v>
      </c>
      <c r="AE7240">
        <v>24.140369999999901</v>
      </c>
      <c r="AF7240">
        <v>2.2365345138265198</v>
      </c>
      <c r="AG7240">
        <v>-1.110234133768</v>
      </c>
      <c r="AH7240">
        <v>24.1025867512225</v>
      </c>
      <c r="AI7240">
        <v>92.626077683412205</v>
      </c>
      <c r="AJ7240">
        <v>84.698573751901193</v>
      </c>
      <c r="AK7240">
        <v>24.2315784579447</v>
      </c>
      <c r="AL7240">
        <v>78.937421676131294</v>
      </c>
      <c r="AM7240">
        <v>88.4073490323904</v>
      </c>
      <c r="AN7240">
        <v>0.99999993538718801</v>
      </c>
    </row>
    <row r="7241" spans="1:40" x14ac:dyDescent="0.25">
      <c r="A7241" t="str">
        <f>"20190312172549209"</f>
        <v>20190312172549209</v>
      </c>
      <c r="B7241" t="str">
        <f>"1552382749197753"</f>
        <v>1552382749197753</v>
      </c>
      <c r="C7241" t="s">
        <v>40</v>
      </c>
      <c r="D7241">
        <v>3.7034449999999999</v>
      </c>
      <c r="E7241">
        <v>0.52669960000000005</v>
      </c>
      <c r="F7241" t="s">
        <v>43</v>
      </c>
      <c r="G7241">
        <v>-185.2594</v>
      </c>
      <c r="H7241" s="1">
        <v>-2.1508199999999999E-6</v>
      </c>
      <c r="I7241">
        <v>92.261759999999995</v>
      </c>
      <c r="J7241">
        <v>-187.6027</v>
      </c>
      <c r="K7241">
        <v>1.110236</v>
      </c>
      <c r="L7241">
        <v>68.363280000000003</v>
      </c>
      <c r="M7241">
        <v>5.6518289999999997E-3</v>
      </c>
      <c r="N7241">
        <v>0</v>
      </c>
      <c r="O7241">
        <v>0.99987769999999998</v>
      </c>
      <c r="P7241">
        <v>3.241231E-2</v>
      </c>
      <c r="Q7241">
        <v>0.177561</v>
      </c>
      <c r="R7241">
        <v>0.98357589999999995</v>
      </c>
      <c r="S7241">
        <v>0.29693599999999998</v>
      </c>
      <c r="T7241">
        <v>-0.1405679</v>
      </c>
      <c r="U7241">
        <v>3.0656430000000001</v>
      </c>
      <c r="V7241">
        <v>2.6926769999999999E-2</v>
      </c>
      <c r="W7241">
        <v>0.1918753</v>
      </c>
      <c r="X7241">
        <v>0.98104979999999997</v>
      </c>
      <c r="Y7241">
        <v>9.0680200000000002E-2</v>
      </c>
      <c r="Z7241">
        <v>-4.5602610000000002E-2</v>
      </c>
      <c r="AA7241">
        <v>0.99483540000000004</v>
      </c>
      <c r="AB7241">
        <v>34</v>
      </c>
      <c r="AC7241">
        <v>2.3433000000000002</v>
      </c>
      <c r="AD7241">
        <v>-1.1102381508200001</v>
      </c>
      <c r="AE7241">
        <v>23.8984799999999</v>
      </c>
      <c r="AF7241">
        <v>2.2034678407337398</v>
      </c>
      <c r="AG7241">
        <v>-1.1102381508200001</v>
      </c>
      <c r="AH7241">
        <v>23.860338545010102</v>
      </c>
      <c r="AI7241">
        <v>92.652819190738498</v>
      </c>
      <c r="AJ7241">
        <v>84.723782442906895</v>
      </c>
      <c r="AK7241">
        <v>23.987572923478101</v>
      </c>
      <c r="AL7241">
        <v>78.937754562972302</v>
      </c>
      <c r="AM7241">
        <v>88.427803521451096</v>
      </c>
      <c r="AN7241">
        <v>0.99999994588637997</v>
      </c>
    </row>
    <row r="7242" spans="1:40" x14ac:dyDescent="0.25">
      <c r="A7242" t="str">
        <f>"20190312172549231"</f>
        <v>20190312172549231</v>
      </c>
      <c r="B7242" t="str">
        <f>"1552382749227033"</f>
        <v>1552382749227033</v>
      </c>
      <c r="C7242" t="s">
        <v>40</v>
      </c>
      <c r="D7242">
        <v>3.7366160000000002</v>
      </c>
      <c r="E7242">
        <v>0.52688829999999998</v>
      </c>
      <c r="F7242" t="s">
        <v>43</v>
      </c>
      <c r="G7242">
        <v>-185.26429999999999</v>
      </c>
      <c r="H7242" s="1">
        <v>-2.233987E-6</v>
      </c>
      <c r="I7242">
        <v>92.510040000000004</v>
      </c>
      <c r="J7242">
        <v>-187.60069999999999</v>
      </c>
      <c r="K7242">
        <v>1.110239</v>
      </c>
      <c r="L7242">
        <v>68.689850000000007</v>
      </c>
      <c r="M7242">
        <v>5.8026340000000001E-3</v>
      </c>
      <c r="N7242">
        <v>0</v>
      </c>
      <c r="O7242">
        <v>0.99987689999999996</v>
      </c>
      <c r="P7242">
        <v>3.2030919999999997E-2</v>
      </c>
      <c r="Q7242">
        <v>0.17741189999999901</v>
      </c>
      <c r="R7242">
        <v>0.98361529999999997</v>
      </c>
      <c r="S7242">
        <v>0.2968903</v>
      </c>
      <c r="T7242">
        <v>-0.1409588</v>
      </c>
      <c r="U7242">
        <v>3.0657350000000001</v>
      </c>
      <c r="V7242">
        <v>2.6396570000000001E-2</v>
      </c>
      <c r="W7242">
        <v>0.19172420000000001</v>
      </c>
      <c r="X7242">
        <v>0.98109380000000002</v>
      </c>
      <c r="Y7242">
        <v>9.051186E-2</v>
      </c>
      <c r="Z7242">
        <v>-4.5728119999999997E-2</v>
      </c>
      <c r="AA7242">
        <v>0.99484499999999998</v>
      </c>
      <c r="AB7242">
        <v>34</v>
      </c>
      <c r="AC7242">
        <v>2.33639999999999</v>
      </c>
      <c r="AD7242">
        <v>-1.110241233987</v>
      </c>
      <c r="AE7242">
        <v>23.82019</v>
      </c>
      <c r="AF7242">
        <v>2.1934065239943901</v>
      </c>
      <c r="AG7242">
        <v>-1.110241233987</v>
      </c>
      <c r="AH7242">
        <v>23.782174991363899</v>
      </c>
      <c r="AI7242">
        <v>92.661562002065395</v>
      </c>
      <c r="AJ7242">
        <v>84.730573986184197</v>
      </c>
      <c r="AK7242">
        <v>23.9089003322403</v>
      </c>
      <c r="AL7242">
        <v>78.946576290665007</v>
      </c>
      <c r="AM7242">
        <v>88.458814771921197</v>
      </c>
      <c r="AN7242">
        <v>0.99999999608592205</v>
      </c>
    </row>
    <row r="7243" spans="1:40" x14ac:dyDescent="0.25">
      <c r="A7243" t="str">
        <f>"20190312172549254"</f>
        <v>20190312172549254</v>
      </c>
      <c r="B7243" t="str">
        <f>"1552382749247528"</f>
        <v>1552382749247528</v>
      </c>
      <c r="C7243" t="s">
        <v>40</v>
      </c>
      <c r="D7243">
        <v>3.7339280000000001</v>
      </c>
      <c r="E7243">
        <v>0.52701709999999902</v>
      </c>
      <c r="F7243" t="s">
        <v>43</v>
      </c>
      <c r="G7243">
        <v>-185.28399999999999</v>
      </c>
      <c r="H7243" s="1">
        <v>-2.2679680000000001E-6</v>
      </c>
      <c r="I7243">
        <v>92.625299999999996</v>
      </c>
      <c r="J7243">
        <v>-187.5986</v>
      </c>
      <c r="K7243">
        <v>1.110241</v>
      </c>
      <c r="L7243">
        <v>69.026579999999996</v>
      </c>
      <c r="M7243">
        <v>5.958339E-3</v>
      </c>
      <c r="N7243">
        <v>0</v>
      </c>
      <c r="O7243">
        <v>0.99987599999999999</v>
      </c>
      <c r="P7243">
        <v>3.106103E-2</v>
      </c>
      <c r="Q7243">
        <v>0.17789379999999999</v>
      </c>
      <c r="R7243">
        <v>0.98355939999999997</v>
      </c>
      <c r="S7243">
        <v>0.29675289999999999</v>
      </c>
      <c r="T7243">
        <v>-0.14221349999999999</v>
      </c>
      <c r="U7243">
        <v>3.0659480000000001</v>
      </c>
      <c r="V7243">
        <v>2.5273839999999999E-2</v>
      </c>
      <c r="W7243">
        <v>0.1922015</v>
      </c>
      <c r="X7243">
        <v>0.98102999999999996</v>
      </c>
      <c r="Y7243">
        <v>9.0304200000000001E-2</v>
      </c>
      <c r="Z7243">
        <v>-4.6131569999999997E-2</v>
      </c>
      <c r="AA7243">
        <v>0.99484519999999999</v>
      </c>
      <c r="AB7243">
        <v>34</v>
      </c>
      <c r="AC7243">
        <v>2.31459999999998</v>
      </c>
      <c r="AD7243">
        <v>-1.1102432679680001</v>
      </c>
      <c r="AE7243">
        <v>23.598719999999901</v>
      </c>
      <c r="AF7243">
        <v>2.1691792821624198</v>
      </c>
      <c r="AG7243">
        <v>-1.1102432679680001</v>
      </c>
      <c r="AH7243">
        <v>23.560441913466502</v>
      </c>
      <c r="AI7243">
        <v>92.686618295116602</v>
      </c>
      <c r="AJ7243">
        <v>84.7396818422108</v>
      </c>
      <c r="AK7243">
        <v>23.6861225621683</v>
      </c>
      <c r="AL7243">
        <v>78.918711070797301</v>
      </c>
      <c r="AM7243">
        <v>88.524240723933303</v>
      </c>
      <c r="AN7243">
        <v>1.0000000222452901</v>
      </c>
    </row>
    <row r="7244" spans="1:40" x14ac:dyDescent="0.25">
      <c r="A7244" t="str">
        <f>"20190312172549276"</f>
        <v>20190312172549276</v>
      </c>
      <c r="B7244" t="str">
        <f>"1552382749268025"</f>
        <v>1552382749268025</v>
      </c>
      <c r="C7244" t="s">
        <v>40</v>
      </c>
      <c r="D7244">
        <v>3.8005849999999999</v>
      </c>
      <c r="E7244">
        <v>0.52704700000000004</v>
      </c>
      <c r="F7244" t="s">
        <v>43</v>
      </c>
      <c r="G7244">
        <v>-185.28620000000001</v>
      </c>
      <c r="H7244" s="1">
        <v>-2.4327340000000001E-6</v>
      </c>
      <c r="I7244">
        <v>93.111140000000006</v>
      </c>
      <c r="J7244">
        <v>-187.59639999999999</v>
      </c>
      <c r="K7244">
        <v>1.110242</v>
      </c>
      <c r="L7244">
        <v>69.376459999999994</v>
      </c>
      <c r="M7244">
        <v>6.1199269999999998E-3</v>
      </c>
      <c r="N7244">
        <v>0</v>
      </c>
      <c r="O7244">
        <v>0.99987510000000002</v>
      </c>
      <c r="P7244">
        <v>2.88291E-2</v>
      </c>
      <c r="Q7244">
        <v>0.17749819999999999</v>
      </c>
      <c r="R7244">
        <v>0.98369879999999998</v>
      </c>
      <c r="S7244">
        <v>0.29441830000000002</v>
      </c>
      <c r="T7244">
        <v>-0.14135429999999999</v>
      </c>
      <c r="U7244">
        <v>3.0664060000000002</v>
      </c>
      <c r="V7244">
        <v>2.28819E-2</v>
      </c>
      <c r="W7244">
        <v>0.19180510000000001</v>
      </c>
      <c r="X7244">
        <v>0.98116619999999999</v>
      </c>
      <c r="Y7244">
        <v>8.9379760000000003E-2</v>
      </c>
      <c r="Z7244">
        <v>-4.5850170000000003E-2</v>
      </c>
      <c r="AA7244">
        <v>0.99494170000000004</v>
      </c>
      <c r="AB7244">
        <v>34</v>
      </c>
      <c r="AC7244">
        <v>2.31019999999998</v>
      </c>
      <c r="AD7244">
        <v>-1.110244432734</v>
      </c>
      <c r="AE7244">
        <v>23.734680000000001</v>
      </c>
      <c r="AF7244">
        <v>2.16020437764938</v>
      </c>
      <c r="AG7244">
        <v>-1.110244432734</v>
      </c>
      <c r="AH7244">
        <v>23.6970099979617</v>
      </c>
      <c r="AI7244">
        <v>92.671380717085498</v>
      </c>
      <c r="AJ7244">
        <v>84.791349317238399</v>
      </c>
      <c r="AK7244">
        <v>23.821154642399801</v>
      </c>
      <c r="AL7244">
        <v>78.941852836452696</v>
      </c>
      <c r="AM7244">
        <v>88.664040103640303</v>
      </c>
      <c r="AN7244">
        <v>0.99999994487802801</v>
      </c>
    </row>
    <row r="7245" spans="1:40" x14ac:dyDescent="0.25">
      <c r="A7245" t="str">
        <f>"20190312172549298"</f>
        <v>20190312172549298</v>
      </c>
      <c r="B7245" t="str">
        <f>"1552382749287547"</f>
        <v>1552382749287547</v>
      </c>
      <c r="C7245" t="s">
        <v>40</v>
      </c>
      <c r="D7245">
        <v>3.7098460000000002</v>
      </c>
      <c r="E7245">
        <v>0.49373289999999997</v>
      </c>
      <c r="F7245" t="s">
        <v>43</v>
      </c>
      <c r="G7245">
        <v>-185.36770000000001</v>
      </c>
      <c r="H7245" s="1">
        <v>-2.4349990000000002E-6</v>
      </c>
      <c r="I7245">
        <v>93.18159</v>
      </c>
      <c r="J7245">
        <v>-187.5942</v>
      </c>
      <c r="K7245">
        <v>1.1102399999999999</v>
      </c>
      <c r="L7245">
        <v>69.701840000000004</v>
      </c>
      <c r="M7245">
        <v>6.2702359999999898E-3</v>
      </c>
      <c r="N7245">
        <v>0</v>
      </c>
      <c r="O7245">
        <v>0.99987420000000005</v>
      </c>
      <c r="P7245">
        <v>2.4794900000000002E-2</v>
      </c>
      <c r="Q7245">
        <v>0.17733209999999999</v>
      </c>
      <c r="R7245">
        <v>0.98383869999999896</v>
      </c>
      <c r="S7245">
        <v>0.2871399</v>
      </c>
      <c r="T7245">
        <v>-0.14304649999999999</v>
      </c>
      <c r="U7245">
        <v>3.0671080000000002</v>
      </c>
      <c r="V7245">
        <v>1.8698860000000001E-2</v>
      </c>
      <c r="W7245">
        <v>0.19163849999999999</v>
      </c>
      <c r="X7245">
        <v>0.98128740000000003</v>
      </c>
      <c r="Y7245">
        <v>8.6865689999999995E-2</v>
      </c>
      <c r="Z7245">
        <v>-4.6397599999999997E-2</v>
      </c>
      <c r="AA7245">
        <v>0.995139</v>
      </c>
      <c r="AB7245">
        <v>34</v>
      </c>
      <c r="AC7245">
        <v>2.2264999999999802</v>
      </c>
      <c r="AD7245">
        <v>-1.1102424349990001</v>
      </c>
      <c r="AE7245">
        <v>23.479749999999999</v>
      </c>
      <c r="AF7245">
        <v>2.0746197559047701</v>
      </c>
      <c r="AG7245">
        <v>-1.1102424349990001</v>
      </c>
      <c r="AH7245">
        <v>23.441305614681699</v>
      </c>
      <c r="AI7245">
        <v>92.701111566310004</v>
      </c>
      <c r="AJ7245">
        <v>84.942344194960498</v>
      </c>
      <c r="AK7245">
        <v>23.559106398948401</v>
      </c>
      <c r="AL7245">
        <v>78.951578924463504</v>
      </c>
      <c r="AM7245">
        <v>88.908336014986304</v>
      </c>
      <c r="AN7245">
        <v>0.99999996172315397</v>
      </c>
    </row>
    <row r="7246" spans="1:40" x14ac:dyDescent="0.25">
      <c r="A7246" t="str">
        <f>"20190312172549320"</f>
        <v>20190312172549320</v>
      </c>
      <c r="B7246" t="str">
        <f>"1552382749317801"</f>
        <v>1552382749317801</v>
      </c>
      <c r="C7246" t="s">
        <v>40</v>
      </c>
      <c r="D7246">
        <v>3.831048</v>
      </c>
      <c r="E7246">
        <v>0.4818307</v>
      </c>
      <c r="F7246" t="s">
        <v>43</v>
      </c>
      <c r="G7246">
        <v>-187.53460000000001</v>
      </c>
      <c r="H7246" s="1">
        <v>-1.9797319999999999E-6</v>
      </c>
      <c r="I7246">
        <v>93.228160000000003</v>
      </c>
      <c r="J7246">
        <v>-187.59200000000001</v>
      </c>
      <c r="K7246">
        <v>1.110242</v>
      </c>
      <c r="L7246">
        <v>70.030180000000001</v>
      </c>
      <c r="M7246">
        <v>6.4219359999999996E-3</v>
      </c>
      <c r="N7246">
        <v>0</v>
      </c>
      <c r="O7246">
        <v>0.99987329999999996</v>
      </c>
      <c r="P7246">
        <v>1.9048229999999999E-2</v>
      </c>
      <c r="Q7246">
        <v>0.1769849</v>
      </c>
      <c r="R7246">
        <v>0.98402920000000005</v>
      </c>
      <c r="S7246">
        <v>7.7972409999999999E-3</v>
      </c>
      <c r="T7246">
        <v>-0.1451259</v>
      </c>
      <c r="U7246">
        <v>3.075256</v>
      </c>
      <c r="V7246">
        <v>1.280163E-2</v>
      </c>
      <c r="W7246">
        <v>0.19129270000000001</v>
      </c>
      <c r="X7246">
        <v>0.98144949999999997</v>
      </c>
      <c r="Y7246">
        <v>-3.8899989999999999E-3</v>
      </c>
      <c r="Z7246">
        <v>-4.71373E-2</v>
      </c>
      <c r="AA7246">
        <v>0.99888089999999996</v>
      </c>
      <c r="AB7246">
        <v>34</v>
      </c>
      <c r="AC7246">
        <v>5.74000000000012E-2</v>
      </c>
      <c r="AD7246">
        <v>-1.1102439797319901</v>
      </c>
      <c r="AE7246">
        <v>23.197979999999902</v>
      </c>
      <c r="AF7246">
        <v>-9.13836154830137E-2</v>
      </c>
      <c r="AG7246">
        <v>-1.1102439797319901</v>
      </c>
      <c r="AH7246">
        <v>23.144856466583299</v>
      </c>
      <c r="AI7246">
        <v>92.746315365017907</v>
      </c>
      <c r="AJ7246">
        <v>90.226221678392605</v>
      </c>
      <c r="AK7246">
        <v>23.171650211377901</v>
      </c>
      <c r="AL7246">
        <v>78.971765135170699</v>
      </c>
      <c r="AM7246">
        <v>89.252699423450395</v>
      </c>
      <c r="AN7246">
        <v>0.99999994992709695</v>
      </c>
    </row>
    <row r="7247" spans="1:40" x14ac:dyDescent="0.25">
      <c r="A7247" t="str">
        <f>"20190312172549342"</f>
        <v>20190312172549342</v>
      </c>
      <c r="B7247" t="str">
        <f>"1552382749337321"</f>
        <v>1552382749337321</v>
      </c>
      <c r="C7247" t="s">
        <v>40</v>
      </c>
      <c r="D7247">
        <v>3.6802459999999999</v>
      </c>
      <c r="E7247">
        <v>0.4788577</v>
      </c>
      <c r="F7247" t="s">
        <v>43</v>
      </c>
      <c r="G7247">
        <v>-188.51609999999999</v>
      </c>
      <c r="H7247" s="1">
        <v>-3.2957870000000001E-6</v>
      </c>
      <c r="I7247">
        <v>96.701750000000004</v>
      </c>
      <c r="J7247">
        <v>-187.5898</v>
      </c>
      <c r="K7247">
        <v>1.1102430000000001</v>
      </c>
      <c r="L7247">
        <v>70.354029999999995</v>
      </c>
      <c r="M7247">
        <v>6.5716019999999898E-3</v>
      </c>
      <c r="N7247">
        <v>0</v>
      </c>
      <c r="O7247">
        <v>0.99987239999999999</v>
      </c>
      <c r="P7247">
        <v>1.2599890000000001E-2</v>
      </c>
      <c r="Q7247">
        <v>0.17604359999999999</v>
      </c>
      <c r="R7247">
        <v>0.98430169999999995</v>
      </c>
      <c r="S7247">
        <v>-0.10649110000000001</v>
      </c>
      <c r="T7247">
        <v>-0.12795010000000001</v>
      </c>
      <c r="U7247">
        <v>3.0737610000000002</v>
      </c>
      <c r="V7247">
        <v>6.2039349999999998E-3</v>
      </c>
      <c r="W7247">
        <v>0.19035369999999999</v>
      </c>
      <c r="X7247">
        <v>0.98169600000000001</v>
      </c>
      <c r="Y7247">
        <v>-4.1162129999999998E-2</v>
      </c>
      <c r="Z7247">
        <v>-4.1559119999999998E-2</v>
      </c>
      <c r="AA7247">
        <v>0.99828779999999995</v>
      </c>
      <c r="AB7247">
        <v>34</v>
      </c>
      <c r="AC7247">
        <v>-0.92629999999999701</v>
      </c>
      <c r="AD7247">
        <v>-1.1102462957870001</v>
      </c>
      <c r="AE7247">
        <v>26.347719999999899</v>
      </c>
      <c r="AF7247">
        <v>-1.09749873319066</v>
      </c>
      <c r="AG7247">
        <v>-1.1102462957870001</v>
      </c>
      <c r="AH7247">
        <v>26.2944314702121</v>
      </c>
      <c r="AI7247">
        <v>92.415698703673002</v>
      </c>
      <c r="AJ7247">
        <v>92.390071350270304</v>
      </c>
      <c r="AK7247">
        <v>26.340734170640399</v>
      </c>
      <c r="AL7247">
        <v>79.0265738726455</v>
      </c>
      <c r="AM7247">
        <v>89.637917889102198</v>
      </c>
      <c r="AN7247">
        <v>1.00000002816458</v>
      </c>
    </row>
    <row r="7248" spans="1:40" x14ac:dyDescent="0.25">
      <c r="A7248" t="str">
        <f>"20190312172549365"</f>
        <v>20190312172549365</v>
      </c>
      <c r="B7248" t="str">
        <f>"1552382749357817"</f>
        <v>1552382749357817</v>
      </c>
      <c r="C7248" t="s">
        <v>40</v>
      </c>
      <c r="D7248">
        <v>3.7307250000000001</v>
      </c>
      <c r="E7248">
        <v>0.47765039999999997</v>
      </c>
      <c r="F7248" t="s">
        <v>43</v>
      </c>
      <c r="G7248">
        <v>-188.90530000000001</v>
      </c>
      <c r="H7248" s="1">
        <v>-3.3398370000000002E-6</v>
      </c>
      <c r="I7248">
        <v>96.965389999999999</v>
      </c>
      <c r="J7248">
        <v>-187.5873</v>
      </c>
      <c r="K7248">
        <v>1.110239</v>
      </c>
      <c r="L7248">
        <v>70.704130000000006</v>
      </c>
      <c r="M7248">
        <v>6.7336490000000004E-3</v>
      </c>
      <c r="N7248">
        <v>0</v>
      </c>
      <c r="O7248">
        <v>0.99987139999999997</v>
      </c>
      <c r="P7248">
        <v>4.5282459999999997E-3</v>
      </c>
      <c r="Q7248">
        <v>0.17533470000000001</v>
      </c>
      <c r="R7248">
        <v>0.9844984</v>
      </c>
      <c r="S7248">
        <v>-0.15190119999999999</v>
      </c>
      <c r="T7248">
        <v>-0.12819639999999999</v>
      </c>
      <c r="U7248">
        <v>3.0727229999999999</v>
      </c>
      <c r="V7248">
        <v>-2.028466E-3</v>
      </c>
      <c r="W7248">
        <v>0.18964629999999999</v>
      </c>
      <c r="X7248">
        <v>0.98185040000000001</v>
      </c>
      <c r="Y7248">
        <v>-5.6057320000000001E-2</v>
      </c>
      <c r="Z7248">
        <v>-4.1624939999999999E-2</v>
      </c>
      <c r="AA7248">
        <v>0.99755950000000004</v>
      </c>
      <c r="AB7248">
        <v>34</v>
      </c>
      <c r="AC7248">
        <v>-1.3180000000000101</v>
      </c>
      <c r="AD7248">
        <v>-1.110242339837</v>
      </c>
      <c r="AE7248">
        <v>26.261259999999901</v>
      </c>
      <c r="AF7248">
        <v>-1.49216266895619</v>
      </c>
      <c r="AG7248">
        <v>-1.110242339837</v>
      </c>
      <c r="AH7248">
        <v>26.2050692118146</v>
      </c>
      <c r="AI7248">
        <v>92.422107211082505</v>
      </c>
      <c r="AJ7248">
        <v>93.259003072265898</v>
      </c>
      <c r="AK7248">
        <v>26.270988559241299</v>
      </c>
      <c r="AL7248">
        <v>79.067856834408602</v>
      </c>
      <c r="AM7248">
        <v>90.118370757227893</v>
      </c>
      <c r="AN7248">
        <v>1.00000002087908</v>
      </c>
    </row>
    <row r="7249" spans="1:40" x14ac:dyDescent="0.25">
      <c r="A7249" t="str">
        <f>"20190312172549390"</f>
        <v>20190312172549390</v>
      </c>
      <c r="B7249" t="str">
        <f>"1552382749377336"</f>
        <v>1552382749377336</v>
      </c>
      <c r="C7249" t="s">
        <v>40</v>
      </c>
      <c r="D7249">
        <v>3.8206009999999999</v>
      </c>
      <c r="E7249">
        <v>0.4768522</v>
      </c>
      <c r="F7249" t="s">
        <v>43</v>
      </c>
      <c r="G7249">
        <v>-189.1772</v>
      </c>
      <c r="H7249" s="1">
        <v>-3.1999419999999999E-6</v>
      </c>
      <c r="I7249">
        <v>96.7517</v>
      </c>
      <c r="J7249">
        <v>-187.5848</v>
      </c>
      <c r="K7249">
        <v>1.1102369999999999</v>
      </c>
      <c r="L7249">
        <v>71.060550000000006</v>
      </c>
      <c r="M7249">
        <v>6.8984600000000004E-3</v>
      </c>
      <c r="N7249">
        <v>0</v>
      </c>
      <c r="O7249">
        <v>0.99987040000000005</v>
      </c>
      <c r="P7249">
        <v>-9.5094719999999997E-3</v>
      </c>
      <c r="Q7249">
        <v>0.17449410000000001</v>
      </c>
      <c r="R7249">
        <v>0.9846123</v>
      </c>
      <c r="S7249">
        <v>-0.18746950000000001</v>
      </c>
      <c r="T7249">
        <v>-0.13091469999999999</v>
      </c>
      <c r="U7249">
        <v>3.0714109999999999</v>
      </c>
      <c r="V7249">
        <v>-1.6229480000000001E-2</v>
      </c>
      <c r="W7249">
        <v>0.1888078</v>
      </c>
      <c r="X7249">
        <v>0.98187990000000003</v>
      </c>
      <c r="Y7249">
        <v>-6.7753430000000003E-2</v>
      </c>
      <c r="Z7249">
        <v>-4.2495049999999999E-2</v>
      </c>
      <c r="AA7249">
        <v>0.99679669999999998</v>
      </c>
      <c r="AB7249">
        <v>34</v>
      </c>
      <c r="AC7249">
        <v>-1.59239999999999</v>
      </c>
      <c r="AD7249">
        <v>-1.110240199942</v>
      </c>
      <c r="AE7249">
        <v>25.69115</v>
      </c>
      <c r="AF7249">
        <v>-1.766324192208</v>
      </c>
      <c r="AG7249">
        <v>-1.110240199942</v>
      </c>
      <c r="AH7249">
        <v>25.631867290526301</v>
      </c>
      <c r="AI7249">
        <v>92.474346365210394</v>
      </c>
      <c r="AJ7249">
        <v>93.942092046758304</v>
      </c>
      <c r="AK7249">
        <v>25.7166318800246</v>
      </c>
      <c r="AL7249">
        <v>79.116782608609498</v>
      </c>
      <c r="AM7249">
        <v>90.946954956648298</v>
      </c>
      <c r="AN7249">
        <v>0.99999995969295896</v>
      </c>
    </row>
    <row r="7250" spans="1:40" x14ac:dyDescent="0.25">
      <c r="A7250" t="str">
        <f>"20190312172549421"</f>
        <v>20190312172549421</v>
      </c>
      <c r="B7250" t="str">
        <f>"1552382749417353"</f>
        <v>1552382749417353</v>
      </c>
      <c r="C7250" t="s">
        <v>40</v>
      </c>
      <c r="D7250">
        <v>3.8566189999999998</v>
      </c>
      <c r="E7250">
        <v>0.47698020000000002</v>
      </c>
      <c r="F7250" t="s">
        <v>43</v>
      </c>
      <c r="G7250">
        <v>-189.53399999999999</v>
      </c>
      <c r="H7250" s="1">
        <v>-2.842971E-6</v>
      </c>
      <c r="I7250">
        <v>96.067120000000003</v>
      </c>
      <c r="J7250">
        <v>-187.5813</v>
      </c>
      <c r="K7250">
        <v>1.110239</v>
      </c>
      <c r="L7250">
        <v>71.537629999999993</v>
      </c>
      <c r="M7250">
        <v>7.1191850000000001E-3</v>
      </c>
      <c r="N7250">
        <v>0</v>
      </c>
      <c r="O7250">
        <v>0.99986889999999995</v>
      </c>
      <c r="P7250">
        <v>-2.470524E-2</v>
      </c>
      <c r="Q7250">
        <v>0.1745438</v>
      </c>
      <c r="R7250">
        <v>0.98433939999999998</v>
      </c>
      <c r="S7250">
        <v>-0.23919679999999999</v>
      </c>
      <c r="T7250">
        <v>-0.136245</v>
      </c>
      <c r="U7250">
        <v>3.0687259999999998</v>
      </c>
      <c r="V7250">
        <v>-3.1640550000000003E-2</v>
      </c>
      <c r="W7250">
        <v>0.1888522</v>
      </c>
      <c r="X7250">
        <v>0.98149569999999997</v>
      </c>
      <c r="Y7250">
        <v>-8.4731360000000006E-2</v>
      </c>
      <c r="Z7250">
        <v>-4.4205870000000001E-2</v>
      </c>
      <c r="AA7250">
        <v>0.99542269999999999</v>
      </c>
      <c r="AB7250">
        <v>34</v>
      </c>
      <c r="AC7250">
        <v>-1.9527000000000201</v>
      </c>
      <c r="AD7250">
        <v>-1.1102418429709999</v>
      </c>
      <c r="AE7250">
        <v>24.5294899999999</v>
      </c>
      <c r="AF7250">
        <v>-2.1229771988094899</v>
      </c>
      <c r="AG7250">
        <v>-1.1102418429709999</v>
      </c>
      <c r="AH7250">
        <v>24.465161318392301</v>
      </c>
      <c r="AI7250">
        <v>92.588615281577503</v>
      </c>
      <c r="AJ7250">
        <v>94.959448000736899</v>
      </c>
      <c r="AK7250">
        <v>24.5821843511008</v>
      </c>
      <c r="AL7250">
        <v>79.114192994859195</v>
      </c>
      <c r="AM7250">
        <v>91.846408875855005</v>
      </c>
      <c r="AN7250">
        <v>1.0000000434838101</v>
      </c>
    </row>
    <row r="7251" spans="1:40" x14ac:dyDescent="0.25">
      <c r="A7251" t="str">
        <f>"20190312172549444"</f>
        <v>20190312172549444</v>
      </c>
      <c r="B7251" t="str">
        <f>"1552382749437849"</f>
        <v>1552382749437849</v>
      </c>
      <c r="C7251" t="s">
        <v>40</v>
      </c>
      <c r="D7251">
        <v>3.7244790000000001</v>
      </c>
      <c r="E7251">
        <v>0.4774234</v>
      </c>
      <c r="F7251" t="s">
        <v>43</v>
      </c>
      <c r="G7251">
        <v>-189.79169999999999</v>
      </c>
      <c r="H7251" s="1">
        <v>-2.4353689999999998E-6</v>
      </c>
      <c r="I7251">
        <v>95.223529999999997</v>
      </c>
      <c r="J7251">
        <v>-187.5787</v>
      </c>
      <c r="K7251">
        <v>1.110241</v>
      </c>
      <c r="L7251">
        <v>71.882689999999997</v>
      </c>
      <c r="M7251">
        <v>7.2789169999999898E-3</v>
      </c>
      <c r="N7251">
        <v>0</v>
      </c>
      <c r="O7251">
        <v>0.99986779999999997</v>
      </c>
      <c r="P7251">
        <v>-3.4340059999999999E-2</v>
      </c>
      <c r="Q7251">
        <v>0.17429020000000001</v>
      </c>
      <c r="R7251">
        <v>0.98409539999999995</v>
      </c>
      <c r="S7251">
        <v>-0.28611760000000003</v>
      </c>
      <c r="T7251">
        <v>-0.14371610000000001</v>
      </c>
      <c r="U7251">
        <v>3.0660400000000001</v>
      </c>
      <c r="V7251">
        <v>-4.1430809999999998E-2</v>
      </c>
      <c r="W7251">
        <v>0.18859419999999999</v>
      </c>
      <c r="X7251">
        <v>0.98118079999999996</v>
      </c>
      <c r="Y7251">
        <v>-0.10005940000000001</v>
      </c>
      <c r="Z7251">
        <v>-4.6601749999999997E-2</v>
      </c>
      <c r="AA7251">
        <v>0.99388949999999998</v>
      </c>
      <c r="AB7251">
        <v>33</v>
      </c>
      <c r="AC7251">
        <v>-2.2129999999999899</v>
      </c>
      <c r="AD7251">
        <v>-1.1102434353690001</v>
      </c>
      <c r="AE7251">
        <v>23.34084</v>
      </c>
      <c r="AF7251">
        <v>-2.3775239533013899</v>
      </c>
      <c r="AG7251">
        <v>-1.1102434353690001</v>
      </c>
      <c r="AH7251">
        <v>23.271926163364402</v>
      </c>
      <c r="AI7251">
        <v>92.717240528921906</v>
      </c>
      <c r="AJ7251">
        <v>95.833256183375298</v>
      </c>
      <c r="AK7251">
        <v>23.419389573329799</v>
      </c>
      <c r="AL7251">
        <v>79.129245577204301</v>
      </c>
      <c r="AM7251">
        <v>92.4179042596583</v>
      </c>
      <c r="AN7251">
        <v>1.0000000232897599</v>
      </c>
    </row>
    <row r="7252" spans="1:40" x14ac:dyDescent="0.25">
      <c r="A7252" t="str">
        <f>"20190312172549466"</f>
        <v>20190312172549466</v>
      </c>
      <c r="B7252" t="str">
        <f>"1552382749457368"</f>
        <v>1552382749457368</v>
      </c>
      <c r="C7252" t="s">
        <v>40</v>
      </c>
      <c r="D7252">
        <v>3.809059</v>
      </c>
      <c r="E7252">
        <v>0.47804590000000002</v>
      </c>
      <c r="F7252" t="s">
        <v>43</v>
      </c>
      <c r="G7252">
        <v>-189.92449999999999</v>
      </c>
      <c r="H7252" s="1">
        <v>-2.2786789999999999E-6</v>
      </c>
      <c r="I7252">
        <v>94.913200000000003</v>
      </c>
      <c r="J7252">
        <v>-187.5762</v>
      </c>
      <c r="K7252">
        <v>1.1102510000000001</v>
      </c>
      <c r="L7252">
        <v>72.220609999999994</v>
      </c>
      <c r="M7252">
        <v>7.4353750000000001E-3</v>
      </c>
      <c r="N7252">
        <v>0</v>
      </c>
      <c r="O7252">
        <v>0.9998667</v>
      </c>
      <c r="P7252">
        <v>-4.2257820000000001E-2</v>
      </c>
      <c r="Q7252">
        <v>0.174732</v>
      </c>
      <c r="R7252">
        <v>0.98370880000000005</v>
      </c>
      <c r="S7252">
        <v>-0.31205749999999999</v>
      </c>
      <c r="T7252">
        <v>-0.14769579999999999</v>
      </c>
      <c r="U7252">
        <v>3.0637509999999999</v>
      </c>
      <c r="V7252">
        <v>-4.9499500000000002E-2</v>
      </c>
      <c r="W7252">
        <v>0.1890288</v>
      </c>
      <c r="X7252">
        <v>0.98072309999999996</v>
      </c>
      <c r="Y7252">
        <v>-0.10860930000000001</v>
      </c>
      <c r="Z7252">
        <v>-4.788357E-2</v>
      </c>
      <c r="AA7252">
        <v>0.9929306</v>
      </c>
      <c r="AB7252">
        <v>33</v>
      </c>
      <c r="AC7252">
        <v>-2.3482999999999898</v>
      </c>
      <c r="AD7252">
        <v>-1.110253278679</v>
      </c>
      <c r="AE7252">
        <v>22.692589999999999</v>
      </c>
      <c r="AF7252">
        <v>-2.5110337551039299</v>
      </c>
      <c r="AG7252">
        <v>-1.110253278679</v>
      </c>
      <c r="AH7252">
        <v>22.620925472399101</v>
      </c>
      <c r="AI7252">
        <v>92.792742169735703</v>
      </c>
      <c r="AJ7252">
        <v>96.334180903446594</v>
      </c>
      <c r="AK7252">
        <v>22.786930949338601</v>
      </c>
      <c r="AL7252">
        <v>79.103887865131995</v>
      </c>
      <c r="AM7252">
        <v>92.889406612371701</v>
      </c>
      <c r="AN7252">
        <v>0.99999994330164799</v>
      </c>
    </row>
    <row r="7253" spans="1:40" x14ac:dyDescent="0.25">
      <c r="A7253" t="str">
        <f>"20190312172549489"</f>
        <v>20190312172549489</v>
      </c>
      <c r="B7253" t="str">
        <f>"1552382749477865"</f>
        <v>1552382749477865</v>
      </c>
      <c r="C7253" t="s">
        <v>40</v>
      </c>
      <c r="D7253">
        <v>3.7836249999999998</v>
      </c>
      <c r="E7253">
        <v>0.47884490000000002</v>
      </c>
      <c r="F7253" t="s">
        <v>43</v>
      </c>
      <c r="G7253">
        <v>-190.03749999999999</v>
      </c>
      <c r="H7253" s="1">
        <v>-2.318502E-6</v>
      </c>
      <c r="I7253">
        <v>94.970330000000004</v>
      </c>
      <c r="J7253">
        <v>-187.5735</v>
      </c>
      <c r="K7253">
        <v>1.1102540000000001</v>
      </c>
      <c r="L7253">
        <v>72.55386</v>
      </c>
      <c r="M7253">
        <v>7.58977099999999E-3</v>
      </c>
      <c r="N7253">
        <v>0</v>
      </c>
      <c r="O7253">
        <v>0.99986560000000002</v>
      </c>
      <c r="P7253">
        <v>-4.7906780000000003E-2</v>
      </c>
      <c r="Q7253">
        <v>0.17488570000000001</v>
      </c>
      <c r="R7253">
        <v>0.98342260000000004</v>
      </c>
      <c r="S7253">
        <v>-0.33128360000000001</v>
      </c>
      <c r="T7253">
        <v>-0.1494337</v>
      </c>
      <c r="U7253">
        <v>3.0619809999999998</v>
      </c>
      <c r="V7253">
        <v>-5.529767E-2</v>
      </c>
      <c r="W7253">
        <v>0.18917580000000001</v>
      </c>
      <c r="X7253">
        <v>0.9803849</v>
      </c>
      <c r="Y7253">
        <v>-0.114982</v>
      </c>
      <c r="Z7253">
        <v>-4.8440169999999998E-2</v>
      </c>
      <c r="AA7253">
        <v>0.99218580000000001</v>
      </c>
      <c r="AB7253">
        <v>33</v>
      </c>
      <c r="AC7253">
        <v>-2.4639999999999902</v>
      </c>
      <c r="AD7253">
        <v>-1.110256318502</v>
      </c>
      <c r="AE7253">
        <v>22.41647</v>
      </c>
      <c r="AF7253">
        <v>-2.6277138111705201</v>
      </c>
      <c r="AG7253">
        <v>-1.110256318502</v>
      </c>
      <c r="AH7253">
        <v>22.342966220760701</v>
      </c>
      <c r="AI7253">
        <v>92.825334802568406</v>
      </c>
      <c r="AJ7253">
        <v>96.707635109156897</v>
      </c>
      <c r="AK7253">
        <v>22.524335473177601</v>
      </c>
      <c r="AL7253">
        <v>79.095310525345397</v>
      </c>
      <c r="AM7253">
        <v>93.228292876789993</v>
      </c>
      <c r="AN7253">
        <v>0.99999993388053698</v>
      </c>
    </row>
    <row r="7254" spans="1:40" x14ac:dyDescent="0.25">
      <c r="A7254" t="str">
        <f>"20190312172549512"</f>
        <v>20190312172549512</v>
      </c>
      <c r="B7254" t="str">
        <f>"1552382749507145"</f>
        <v>1552382749507145</v>
      </c>
      <c r="C7254" t="s">
        <v>40</v>
      </c>
      <c r="D7254">
        <v>3.8631350000000002</v>
      </c>
      <c r="E7254">
        <v>0.49094320000000002</v>
      </c>
      <c r="F7254" t="s">
        <v>43</v>
      </c>
      <c r="G7254">
        <v>-190.0575</v>
      </c>
      <c r="H7254" s="1">
        <v>-2.2628409999999998E-6</v>
      </c>
      <c r="I7254">
        <v>94.828199999999995</v>
      </c>
      <c r="J7254">
        <v>-187.57089999999999</v>
      </c>
      <c r="K7254">
        <v>1.110252</v>
      </c>
      <c r="L7254">
        <v>72.883939999999996</v>
      </c>
      <c r="M7254">
        <v>7.7427900000000003E-3</v>
      </c>
      <c r="N7254">
        <v>0</v>
      </c>
      <c r="O7254">
        <v>0.99986450000000004</v>
      </c>
      <c r="P7254">
        <v>-5.0817599999999997E-2</v>
      </c>
      <c r="Q7254">
        <v>0.1738915</v>
      </c>
      <c r="R7254">
        <v>0.98345269999999996</v>
      </c>
      <c r="S7254">
        <v>-0.3413544</v>
      </c>
      <c r="T7254">
        <v>-0.15257760000000001</v>
      </c>
      <c r="U7254">
        <v>3.0610659999999998</v>
      </c>
      <c r="V7254">
        <v>-5.8359559999999998E-2</v>
      </c>
      <c r="W7254">
        <v>0.18818029999999999</v>
      </c>
      <c r="X7254">
        <v>0.98039909999999997</v>
      </c>
      <c r="Y7254">
        <v>-0.1183849</v>
      </c>
      <c r="Z7254">
        <v>-4.9452629999999997E-2</v>
      </c>
      <c r="AA7254">
        <v>0.99173560000000005</v>
      </c>
      <c r="AB7254">
        <v>33</v>
      </c>
      <c r="AC7254">
        <v>-2.4866000000000099</v>
      </c>
      <c r="AD7254">
        <v>-1.1102542628409999</v>
      </c>
      <c r="AE7254">
        <v>21.94426</v>
      </c>
      <c r="AF7254">
        <v>-2.6497563629619401</v>
      </c>
      <c r="AG7254">
        <v>-1.1102542628409999</v>
      </c>
      <c r="AH7254">
        <v>21.869076416869099</v>
      </c>
      <c r="AI7254">
        <v>92.885244307440402</v>
      </c>
      <c r="AJ7254">
        <v>96.9085398041058</v>
      </c>
      <c r="AK7254">
        <v>22.056980224819402</v>
      </c>
      <c r="AL7254">
        <v>79.153392724939906</v>
      </c>
      <c r="AM7254">
        <v>93.406587636895793</v>
      </c>
      <c r="AN7254">
        <v>1.00000002941614</v>
      </c>
    </row>
    <row r="7255" spans="1:40" x14ac:dyDescent="0.25">
      <c r="A7255" t="str">
        <f>"20190312172549534"</f>
        <v>20190312172549534</v>
      </c>
      <c r="B7255" t="str">
        <f>"1552382749527641"</f>
        <v>1552382749527641</v>
      </c>
      <c r="C7255" t="s">
        <v>40</v>
      </c>
      <c r="D7255">
        <v>3.880363</v>
      </c>
      <c r="E7255">
        <v>0.49137629999999999</v>
      </c>
      <c r="F7255" t="s">
        <v>43</v>
      </c>
      <c r="G7255">
        <v>-188.94649999999999</v>
      </c>
      <c r="H7255" s="1">
        <v>-4.4094480000000001E-6</v>
      </c>
      <c r="I7255">
        <v>89.475700000000003</v>
      </c>
      <c r="J7255">
        <v>-187.56809999999999</v>
      </c>
      <c r="K7255">
        <v>1.1102479999999999</v>
      </c>
      <c r="L7255">
        <v>73.219939999999994</v>
      </c>
      <c r="M7255">
        <v>7.8987669999999992E-3</v>
      </c>
      <c r="N7255">
        <v>0</v>
      </c>
      <c r="O7255">
        <v>0.99986330000000001</v>
      </c>
      <c r="P7255">
        <v>-5.1755719999999998E-2</v>
      </c>
      <c r="Q7255">
        <v>0.1730563</v>
      </c>
      <c r="R7255">
        <v>0.98355110000000001</v>
      </c>
      <c r="S7255">
        <v>-0.25483699999999998</v>
      </c>
      <c r="T7255">
        <v>-0.2056781</v>
      </c>
      <c r="U7255">
        <v>3.0736690000000002</v>
      </c>
      <c r="V7255">
        <v>-5.9452400000000002E-2</v>
      </c>
      <c r="W7255">
        <v>0.18734239999999999</v>
      </c>
      <c r="X7255">
        <v>0.98049390000000003</v>
      </c>
      <c r="Y7255">
        <v>-9.0313199999999996E-2</v>
      </c>
      <c r="Z7255">
        <v>-6.6513660000000002E-2</v>
      </c>
      <c r="AA7255">
        <v>0.99368979999999996</v>
      </c>
      <c r="AB7255">
        <v>33</v>
      </c>
      <c r="AC7255">
        <v>-1.3783999999999901</v>
      </c>
      <c r="AD7255">
        <v>-1.110252409448</v>
      </c>
      <c r="AE7255">
        <v>16.255759999999899</v>
      </c>
      <c r="AF7255">
        <v>-1.4998246290914501</v>
      </c>
      <c r="AG7255">
        <v>-1.110252409448</v>
      </c>
      <c r="AH7255">
        <v>16.1694757760473</v>
      </c>
      <c r="AI7255">
        <v>93.911224926275196</v>
      </c>
      <c r="AJ7255">
        <v>95.299394718874495</v>
      </c>
      <c r="AK7255">
        <v>16.2767957904158</v>
      </c>
      <c r="AL7255">
        <v>79.202270114859402</v>
      </c>
      <c r="AM7255">
        <v>93.469890164500598</v>
      </c>
      <c r="AN7255">
        <v>1.00000002532036</v>
      </c>
    </row>
    <row r="7256" spans="1:40" x14ac:dyDescent="0.25">
      <c r="A7256" t="str">
        <f>"20190312172549556"</f>
        <v>20190312172549556</v>
      </c>
      <c r="B7256" t="str">
        <f>"1552382749547161"</f>
        <v>1552382749547161</v>
      </c>
      <c r="C7256" t="s">
        <v>40</v>
      </c>
      <c r="D7256">
        <v>3.8743910000000001</v>
      </c>
      <c r="E7256">
        <v>0.49242849999999999</v>
      </c>
      <c r="F7256" t="s">
        <v>43</v>
      </c>
      <c r="G7256">
        <v>-188.91329999999999</v>
      </c>
      <c r="H7256" s="1">
        <v>-4.4490269999999998E-6</v>
      </c>
      <c r="I7256">
        <v>89.554239999999993</v>
      </c>
      <c r="J7256">
        <v>-187.56540000000001</v>
      </c>
      <c r="K7256">
        <v>1.110249</v>
      </c>
      <c r="L7256">
        <v>73.552090000000007</v>
      </c>
      <c r="M7256">
        <v>8.0529539999999993E-3</v>
      </c>
      <c r="N7256">
        <v>0</v>
      </c>
      <c r="O7256">
        <v>0.99986209999999998</v>
      </c>
      <c r="P7256">
        <v>-4.8908199999999999E-2</v>
      </c>
      <c r="Q7256">
        <v>0.17152529999999999</v>
      </c>
      <c r="R7256">
        <v>0.98396499999999998</v>
      </c>
      <c r="S7256">
        <v>-0.25312810000000002</v>
      </c>
      <c r="T7256">
        <v>-0.20891499999999999</v>
      </c>
      <c r="U7256">
        <v>3.0736080000000001</v>
      </c>
      <c r="V7256">
        <v>-5.6760970000000001E-2</v>
      </c>
      <c r="W7256">
        <v>0.18581329999999999</v>
      </c>
      <c r="X7256">
        <v>0.98094429999999999</v>
      </c>
      <c r="Y7256">
        <v>-8.9913889999999996E-2</v>
      </c>
      <c r="Z7256">
        <v>-6.7559649999999999E-2</v>
      </c>
      <c r="AA7256">
        <v>0.99365539999999997</v>
      </c>
      <c r="AB7256">
        <v>33</v>
      </c>
      <c r="AC7256">
        <v>-1.3478999999999799</v>
      </c>
      <c r="AD7256">
        <v>-1.110253449027</v>
      </c>
      <c r="AE7256">
        <v>16.00215</v>
      </c>
      <c r="AF7256">
        <v>-1.46970941869128</v>
      </c>
      <c r="AG7256">
        <v>-1.110253449027</v>
      </c>
      <c r="AH7256">
        <v>15.914704891277699</v>
      </c>
      <c r="AI7256">
        <v>93.9737906356564</v>
      </c>
      <c r="AJ7256">
        <v>95.2762510501951</v>
      </c>
      <c r="AK7256">
        <v>16.020940680026399</v>
      </c>
      <c r="AL7256">
        <v>79.291447350346203</v>
      </c>
      <c r="AM7256">
        <v>93.311647428273801</v>
      </c>
      <c r="AN7256">
        <v>1.00000005493735</v>
      </c>
    </row>
    <row r="7257" spans="1:40" x14ac:dyDescent="0.25">
      <c r="A7257" t="str">
        <f>"20190312172549578"</f>
        <v>20190312172549578</v>
      </c>
      <c r="B7257" t="str">
        <f>"1552382749567660"</f>
        <v>1552382749567660</v>
      </c>
      <c r="C7257" t="s">
        <v>40</v>
      </c>
      <c r="D7257">
        <v>3.8007710000000001</v>
      </c>
      <c r="E7257">
        <v>0.49804549999999997</v>
      </c>
      <c r="F7257" t="s">
        <v>43</v>
      </c>
      <c r="G7257">
        <v>-188.75620000000001</v>
      </c>
      <c r="H7257" s="1">
        <v>-4.3148179999999998E-6</v>
      </c>
      <c r="I7257">
        <v>89.176429999999996</v>
      </c>
      <c r="J7257">
        <v>-187.5626</v>
      </c>
      <c r="K7257">
        <v>1.1102510000000001</v>
      </c>
      <c r="L7257">
        <v>73.873440000000002</v>
      </c>
      <c r="M7257">
        <v>8.2022680000000004E-3</v>
      </c>
      <c r="N7257">
        <v>0</v>
      </c>
      <c r="O7257">
        <v>0.99986090000000005</v>
      </c>
      <c r="P7257">
        <v>-4.4753639999999997E-2</v>
      </c>
      <c r="Q7257">
        <v>0.1697929</v>
      </c>
      <c r="R7257">
        <v>0.98446299999999998</v>
      </c>
      <c r="S7257">
        <v>-0.2343903</v>
      </c>
      <c r="T7257">
        <v>-0.21852969999999999</v>
      </c>
      <c r="U7257">
        <v>3.0753170000000001</v>
      </c>
      <c r="V7257">
        <v>-5.275813E-2</v>
      </c>
      <c r="W7257">
        <v>0.1840841</v>
      </c>
      <c r="X7257">
        <v>0.98149359999999997</v>
      </c>
      <c r="Y7257">
        <v>-8.3983119999999994E-2</v>
      </c>
      <c r="Z7257">
        <v>-7.0649770000000001E-2</v>
      </c>
      <c r="AA7257">
        <v>0.9939595</v>
      </c>
      <c r="AB7257">
        <v>33</v>
      </c>
      <c r="AC7257">
        <v>-1.1936</v>
      </c>
      <c r="AD7257">
        <v>-1.1102553148180001</v>
      </c>
      <c r="AE7257">
        <v>15.302989999999999</v>
      </c>
      <c r="AF7257">
        <v>-1.31222686984596</v>
      </c>
      <c r="AG7257">
        <v>-1.1102553148180001</v>
      </c>
      <c r="AH7257">
        <v>15.213090556389099</v>
      </c>
      <c r="AI7257">
        <v>94.158673433019899</v>
      </c>
      <c r="AJ7257">
        <v>94.929927017003095</v>
      </c>
      <c r="AK7257">
        <v>15.3098899571134</v>
      </c>
      <c r="AL7257">
        <v>79.392262213831103</v>
      </c>
      <c r="AM7257">
        <v>93.076853348293994</v>
      </c>
      <c r="AN7257">
        <v>1.00000003149743</v>
      </c>
    </row>
    <row r="7258" spans="1:40" x14ac:dyDescent="0.25">
      <c r="A7258" t="str">
        <f>"20190312172549602"</f>
        <v>20190312172549602</v>
      </c>
      <c r="B7258" t="str">
        <f>"1552382749597913"</f>
        <v>1552382749597913</v>
      </c>
      <c r="C7258" t="s">
        <v>40</v>
      </c>
      <c r="D7258">
        <v>3.8942350000000001</v>
      </c>
      <c r="E7258">
        <v>0.49772810000000001</v>
      </c>
      <c r="F7258" t="s">
        <v>43</v>
      </c>
      <c r="G7258">
        <v>-188.4691</v>
      </c>
      <c r="H7258" s="1">
        <v>-4.8425939999999996E-7</v>
      </c>
      <c r="I7258">
        <v>89.874080000000006</v>
      </c>
      <c r="J7258">
        <v>-187.55959999999999</v>
      </c>
      <c r="K7258">
        <v>1.1102510000000001</v>
      </c>
      <c r="L7258">
        <v>74.227450000000005</v>
      </c>
      <c r="M7258">
        <v>8.3666290000000004E-3</v>
      </c>
      <c r="N7258">
        <v>0</v>
      </c>
      <c r="O7258">
        <v>0.99985959999999996</v>
      </c>
      <c r="P7258">
        <v>-3.9860810000000003E-2</v>
      </c>
      <c r="Q7258">
        <v>0.16874229999999901</v>
      </c>
      <c r="R7258">
        <v>0.98485389999999995</v>
      </c>
      <c r="S7258">
        <v>-0.1742706</v>
      </c>
      <c r="T7258">
        <v>-0.2134557</v>
      </c>
      <c r="U7258">
        <v>3.076263</v>
      </c>
      <c r="V7258">
        <v>-4.8031310000000001E-2</v>
      </c>
      <c r="W7258">
        <v>0.18303369999999999</v>
      </c>
      <c r="X7258">
        <v>0.98193260000000004</v>
      </c>
      <c r="Y7258">
        <v>-6.4776390000000003E-2</v>
      </c>
      <c r="Z7258">
        <v>-6.9090079999999998E-2</v>
      </c>
      <c r="AA7258">
        <v>0.99550519999999998</v>
      </c>
      <c r="AB7258">
        <v>33</v>
      </c>
      <c r="AC7258">
        <v>-0.90950000000000797</v>
      </c>
      <c r="AD7258">
        <v>-1.1102514842594</v>
      </c>
      <c r="AE7258">
        <v>15.64663</v>
      </c>
      <c r="AF7258">
        <v>-1.0351968233978499</v>
      </c>
      <c r="AG7258">
        <v>-1.1102514842594</v>
      </c>
      <c r="AH7258">
        <v>15.5603889642199</v>
      </c>
      <c r="AI7258">
        <v>94.072231374999404</v>
      </c>
      <c r="AJ7258">
        <v>93.806147548614305</v>
      </c>
      <c r="AK7258">
        <v>15.6342571150435</v>
      </c>
      <c r="AL7258">
        <v>79.453485492371797</v>
      </c>
      <c r="AM7258">
        <v>92.8003954756241</v>
      </c>
      <c r="AN7258">
        <v>0.99999998650938304</v>
      </c>
    </row>
    <row r="7259" spans="1:40" x14ac:dyDescent="0.25">
      <c r="A7259" t="str">
        <f>"20190312172549623"</f>
        <v>20190312172549623</v>
      </c>
      <c r="B7259" t="str">
        <f>"1552382749617432"</f>
        <v>1552382749617432</v>
      </c>
      <c r="C7259" t="s">
        <v>40</v>
      </c>
      <c r="D7259">
        <v>3.8508040000000001</v>
      </c>
      <c r="E7259">
        <v>0.49804680000000001</v>
      </c>
      <c r="F7259" t="s">
        <v>43</v>
      </c>
      <c r="G7259">
        <v>-188.38740000000001</v>
      </c>
      <c r="H7259" s="1">
        <v>-6.0272439999999996E-7</v>
      </c>
      <c r="I7259">
        <v>90.158360000000002</v>
      </c>
      <c r="J7259">
        <v>-187.55680000000001</v>
      </c>
      <c r="K7259">
        <v>1.110252</v>
      </c>
      <c r="L7259">
        <v>74.537289999999999</v>
      </c>
      <c r="M7259">
        <v>8.5102259999999992E-3</v>
      </c>
      <c r="N7259">
        <v>0</v>
      </c>
      <c r="O7259">
        <v>0.99985840000000004</v>
      </c>
      <c r="P7259">
        <v>-3.6813039999999998E-2</v>
      </c>
      <c r="Q7259">
        <v>0.166847</v>
      </c>
      <c r="R7259">
        <v>0.98529529999999999</v>
      </c>
      <c r="S7259">
        <v>-0.15986629999999999</v>
      </c>
      <c r="T7259">
        <v>-0.21439839999999999</v>
      </c>
      <c r="U7259">
        <v>3.0763850000000001</v>
      </c>
      <c r="V7259">
        <v>-4.5129219999999998E-2</v>
      </c>
      <c r="W7259">
        <v>0.18114079999999999</v>
      </c>
      <c r="X7259">
        <v>0.98242119999999999</v>
      </c>
      <c r="Y7259">
        <v>-6.0268210000000003E-2</v>
      </c>
      <c r="Z7259">
        <v>-6.9409440000000003E-2</v>
      </c>
      <c r="AA7259">
        <v>0.99576600000000004</v>
      </c>
      <c r="AB7259">
        <v>33</v>
      </c>
      <c r="AC7259">
        <v>-0.830600000000004</v>
      </c>
      <c r="AD7259">
        <v>-1.1102526027244</v>
      </c>
      <c r="AE7259">
        <v>15.62107</v>
      </c>
      <c r="AF7259">
        <v>-0.95869355657124999</v>
      </c>
      <c r="AG7259">
        <v>-1.1102526027244</v>
      </c>
      <c r="AH7259">
        <v>15.535179842021099</v>
      </c>
      <c r="AI7259">
        <v>94.080071718171595</v>
      </c>
      <c r="AJ7259">
        <v>93.531309320214007</v>
      </c>
      <c r="AK7259">
        <v>15.6042804031845</v>
      </c>
      <c r="AL7259">
        <v>79.563785039710694</v>
      </c>
      <c r="AM7259">
        <v>92.630131924283205</v>
      </c>
      <c r="AN7259">
        <v>1.00000002506594</v>
      </c>
    </row>
    <row r="7260" spans="1:40" x14ac:dyDescent="0.25">
      <c r="A7260" t="str">
        <f>"20190312172549645"</f>
        <v>20190312172549645</v>
      </c>
      <c r="B7260" t="str">
        <f>"1552382749637929"</f>
        <v>1552382749637929</v>
      </c>
      <c r="C7260" t="s">
        <v>40</v>
      </c>
      <c r="D7260">
        <v>3.8256109999999999</v>
      </c>
      <c r="E7260">
        <v>0.49796849999999998</v>
      </c>
      <c r="F7260" t="s">
        <v>43</v>
      </c>
      <c r="G7260">
        <v>-188.3201</v>
      </c>
      <c r="H7260" s="1">
        <v>-7.2473260000000001E-7</v>
      </c>
      <c r="I7260">
        <v>90.464230000000001</v>
      </c>
      <c r="J7260">
        <v>-187.5538</v>
      </c>
      <c r="K7260">
        <v>1.110258</v>
      </c>
      <c r="L7260">
        <v>74.869959999999907</v>
      </c>
      <c r="M7260">
        <v>8.6647479999999999E-3</v>
      </c>
      <c r="N7260">
        <v>0</v>
      </c>
      <c r="O7260">
        <v>0.9998572</v>
      </c>
      <c r="P7260">
        <v>-3.6044930000000003E-2</v>
      </c>
      <c r="Q7260">
        <v>0.16624259999999999</v>
      </c>
      <c r="R7260">
        <v>0.98542589999999997</v>
      </c>
      <c r="S7260">
        <v>-0.1473846</v>
      </c>
      <c r="T7260">
        <v>-0.21439469999999999</v>
      </c>
      <c r="U7260">
        <v>3.0755620000000001</v>
      </c>
      <c r="V7260">
        <v>-4.4514949999999998E-2</v>
      </c>
      <c r="W7260">
        <v>0.1805349</v>
      </c>
      <c r="X7260">
        <v>0.98256069999999995</v>
      </c>
      <c r="Y7260">
        <v>-5.6404650000000001E-2</v>
      </c>
      <c r="Z7260">
        <v>-6.9441429999999998E-2</v>
      </c>
      <c r="AA7260">
        <v>0.99599020000000005</v>
      </c>
      <c r="AB7260">
        <v>33</v>
      </c>
      <c r="AC7260">
        <v>-0.76630000000000098</v>
      </c>
      <c r="AD7260">
        <v>-1.1102587247325999</v>
      </c>
      <c r="AE7260">
        <v>15.59427</v>
      </c>
      <c r="AF7260">
        <v>-0.89687062693811503</v>
      </c>
      <c r="AG7260">
        <v>-1.1102587247325999</v>
      </c>
      <c r="AH7260">
        <v>15.508620873340099</v>
      </c>
      <c r="AI7260">
        <v>94.087999288862505</v>
      </c>
      <c r="AJ7260">
        <v>93.309754705198699</v>
      </c>
      <c r="AK7260">
        <v>15.574157208347099</v>
      </c>
      <c r="AL7260">
        <v>79.599082030651303</v>
      </c>
      <c r="AM7260">
        <v>92.594013669276706</v>
      </c>
      <c r="AN7260">
        <v>0.99999998003800095</v>
      </c>
    </row>
    <row r="7261" spans="1:40" x14ac:dyDescent="0.25">
      <c r="A7261" t="str">
        <f>"20190312172549667"</f>
        <v>20190312172549667</v>
      </c>
      <c r="B7261" t="str">
        <f>"1552382749657449"</f>
        <v>1552382749657449</v>
      </c>
      <c r="C7261" t="s">
        <v>40</v>
      </c>
      <c r="D7261">
        <v>3.8461789999999998</v>
      </c>
      <c r="E7261">
        <v>0.49798680000000001</v>
      </c>
      <c r="F7261" t="s">
        <v>43</v>
      </c>
      <c r="G7261">
        <v>-188.31129999999999</v>
      </c>
      <c r="H7261" s="1">
        <v>-8.7095699999999998E-7</v>
      </c>
      <c r="I7261">
        <v>90.887029999999996</v>
      </c>
      <c r="J7261">
        <v>-187.55080000000001</v>
      </c>
      <c r="K7261">
        <v>1.110263</v>
      </c>
      <c r="L7261">
        <v>75.198580000000007</v>
      </c>
      <c r="M7261">
        <v>8.8172010000000002E-3</v>
      </c>
      <c r="N7261">
        <v>0</v>
      </c>
      <c r="O7261">
        <v>0.99985590000000002</v>
      </c>
      <c r="P7261">
        <v>-3.7560030000000001E-2</v>
      </c>
      <c r="Q7261">
        <v>0.16734250000000001</v>
      </c>
      <c r="R7261">
        <v>0.98518309999999998</v>
      </c>
      <c r="S7261">
        <v>-0.145416299999999</v>
      </c>
      <c r="T7261">
        <v>-0.21315129999999999</v>
      </c>
      <c r="U7261">
        <v>3.0750120000000001</v>
      </c>
      <c r="V7261">
        <v>-4.6177599999999999E-2</v>
      </c>
      <c r="W7261">
        <v>0.18162809999999999</v>
      </c>
      <c r="X7261">
        <v>0.98228249999999995</v>
      </c>
      <c r="Y7261">
        <v>-5.5930529999999999E-2</v>
      </c>
      <c r="Z7261">
        <v>-6.9054749999999998E-2</v>
      </c>
      <c r="AA7261">
        <v>0.99604380000000003</v>
      </c>
      <c r="AB7261">
        <v>33</v>
      </c>
      <c r="AC7261">
        <v>-0.76049999999997897</v>
      </c>
      <c r="AD7261">
        <v>-1.1102638709569901</v>
      </c>
      <c r="AE7261">
        <v>15.68845</v>
      </c>
      <c r="AF7261">
        <v>-0.89434453959735405</v>
      </c>
      <c r="AG7261">
        <v>-1.1102638709569901</v>
      </c>
      <c r="AH7261">
        <v>15.6031713149158</v>
      </c>
      <c r="AI7261">
        <v>94.063448324282504</v>
      </c>
      <c r="AJ7261">
        <v>93.2804973055527</v>
      </c>
      <c r="AK7261">
        <v>15.6681681475938</v>
      </c>
      <c r="AL7261">
        <v>79.5353938461882</v>
      </c>
      <c r="AM7261">
        <v>92.691522163877494</v>
      </c>
      <c r="AN7261">
        <v>1.0000000236288</v>
      </c>
    </row>
    <row r="7262" spans="1:40" x14ac:dyDescent="0.25">
      <c r="A7262" t="str">
        <f>"20190312172549689"</f>
        <v>20190312172549689</v>
      </c>
      <c r="B7262" t="str">
        <f>"1552382749677945"</f>
        <v>1552382749677945</v>
      </c>
      <c r="C7262" t="s">
        <v>40</v>
      </c>
      <c r="D7262">
        <v>3.838721</v>
      </c>
      <c r="E7262">
        <v>0.49786409999999998</v>
      </c>
      <c r="F7262" t="s">
        <v>43</v>
      </c>
      <c r="G7262">
        <v>-188.35730000000001</v>
      </c>
      <c r="H7262" s="1">
        <v>-1.182058E-6</v>
      </c>
      <c r="I7262">
        <v>91.708939999999998</v>
      </c>
      <c r="J7262">
        <v>-187.5479</v>
      </c>
      <c r="K7262">
        <v>1.110276</v>
      </c>
      <c r="L7262">
        <v>75.519469999999998</v>
      </c>
      <c r="M7262">
        <v>8.9663290000000003E-3</v>
      </c>
      <c r="N7262">
        <v>0</v>
      </c>
      <c r="O7262">
        <v>0.99985460000000004</v>
      </c>
      <c r="P7262">
        <v>-4.1020139999999997E-2</v>
      </c>
      <c r="Q7262">
        <v>0.168287299999999</v>
      </c>
      <c r="R7262">
        <v>0.98488410000000004</v>
      </c>
      <c r="S7262">
        <v>-0.150177</v>
      </c>
      <c r="T7262">
        <v>-0.20674899999999999</v>
      </c>
      <c r="U7262">
        <v>3.0744929999999999</v>
      </c>
      <c r="V7262">
        <v>-4.978163E-2</v>
      </c>
      <c r="W7262">
        <v>0.18256530000000001</v>
      </c>
      <c r="X7262">
        <v>0.98193260000000004</v>
      </c>
      <c r="Y7262">
        <v>-5.7632929999999999E-2</v>
      </c>
      <c r="Z7262">
        <v>-6.6995399999999997E-2</v>
      </c>
      <c r="AA7262">
        <v>0.99608739999999996</v>
      </c>
      <c r="AB7262">
        <v>33</v>
      </c>
      <c r="AC7262">
        <v>-0.80940000000001</v>
      </c>
      <c r="AD7262">
        <v>-1.110277182058</v>
      </c>
      <c r="AE7262">
        <v>16.18947</v>
      </c>
      <c r="AF7262">
        <v>-0.95008549988425794</v>
      </c>
      <c r="AG7262">
        <v>-1.110277182058</v>
      </c>
      <c r="AH7262">
        <v>16.1059993780055</v>
      </c>
      <c r="AI7262">
        <v>93.936659999550201</v>
      </c>
      <c r="AJ7262">
        <v>93.375939497087202</v>
      </c>
      <c r="AK7262">
        <v>16.172154891739101</v>
      </c>
      <c r="AL7262">
        <v>79.480782563024903</v>
      </c>
      <c r="AM7262">
        <v>92.9022739158913</v>
      </c>
      <c r="AN7262">
        <v>0.99999996519615297</v>
      </c>
    </row>
    <row r="7263" spans="1:40" x14ac:dyDescent="0.25">
      <c r="A7263" t="str">
        <f>"20190312172549711"</f>
        <v>20190312172549711</v>
      </c>
      <c r="B7263" t="str">
        <f>"1552382749707318"</f>
        <v>1552382749707318</v>
      </c>
      <c r="C7263" t="s">
        <v>40</v>
      </c>
      <c r="D7263">
        <v>3.8588520000000002</v>
      </c>
      <c r="E7263">
        <v>0.49781439999999999</v>
      </c>
      <c r="F7263" t="s">
        <v>43</v>
      </c>
      <c r="G7263">
        <v>-188.4494</v>
      </c>
      <c r="H7263" s="1">
        <v>-1.517007E-6</v>
      </c>
      <c r="I7263">
        <v>92.527799999999999</v>
      </c>
      <c r="J7263">
        <v>-187.54480000000001</v>
      </c>
      <c r="K7263">
        <v>1.110282</v>
      </c>
      <c r="L7263">
        <v>75.839290000000005</v>
      </c>
      <c r="M7263">
        <v>9.1149690000000005E-3</v>
      </c>
      <c r="N7263">
        <v>0</v>
      </c>
      <c r="O7263">
        <v>0.99985329999999994</v>
      </c>
      <c r="P7263">
        <v>-4.5542470000000002E-2</v>
      </c>
      <c r="Q7263">
        <v>0.1689205</v>
      </c>
      <c r="R7263">
        <v>0.98457689999999998</v>
      </c>
      <c r="S7263">
        <v>-0.16291810000000001</v>
      </c>
      <c r="T7263">
        <v>-0.20063639999999999</v>
      </c>
      <c r="U7263">
        <v>3.073547</v>
      </c>
      <c r="V7263">
        <v>-5.4447460000000003E-2</v>
      </c>
      <c r="W7263">
        <v>0.18319170000000001</v>
      </c>
      <c r="X7263">
        <v>0.98156829999999995</v>
      </c>
      <c r="Y7263">
        <v>-6.1921120000000003E-2</v>
      </c>
      <c r="Z7263">
        <v>-6.5027790000000002E-2</v>
      </c>
      <c r="AA7263">
        <v>0.99596039999999997</v>
      </c>
      <c r="AB7263">
        <v>33</v>
      </c>
      <c r="AC7263">
        <v>-0.90459999999998797</v>
      </c>
      <c r="AD7263">
        <v>-1.110283517007</v>
      </c>
      <c r="AE7263">
        <v>16.688509999999901</v>
      </c>
      <c r="AF7263">
        <v>-1.0520506990841001</v>
      </c>
      <c r="AG7263">
        <v>-1.110283517007</v>
      </c>
      <c r="AH7263">
        <v>16.606282637843702</v>
      </c>
      <c r="AI7263">
        <v>93.817429437438093</v>
      </c>
      <c r="AJ7263">
        <v>93.6249904252455</v>
      </c>
      <c r="AK7263">
        <v>16.676575284198201</v>
      </c>
      <c r="AL7263">
        <v>79.444277486117898</v>
      </c>
      <c r="AM7263">
        <v>93.174935432872402</v>
      </c>
      <c r="AN7263">
        <v>1.00000002620711</v>
      </c>
    </row>
    <row r="7264" spans="1:40" x14ac:dyDescent="0.25">
      <c r="A7264" t="str">
        <f>"20190312172549734"</f>
        <v>20190312172549734</v>
      </c>
      <c r="B7264" t="str">
        <f>"1552382749727798"</f>
        <v>1552382749727798</v>
      </c>
      <c r="C7264" t="s">
        <v>40</v>
      </c>
      <c r="D7264">
        <v>3.8193549999999998</v>
      </c>
      <c r="E7264">
        <v>0.49779000000000001</v>
      </c>
      <c r="F7264" t="s">
        <v>43</v>
      </c>
      <c r="G7264">
        <v>-188.55350000000001</v>
      </c>
      <c r="H7264" s="1">
        <v>-1.837002E-6</v>
      </c>
      <c r="I7264">
        <v>93.316749999999999</v>
      </c>
      <c r="J7264">
        <v>-187.54150000000001</v>
      </c>
      <c r="K7264">
        <v>1.1102860000000001</v>
      </c>
      <c r="L7264">
        <v>76.183589999999995</v>
      </c>
      <c r="M7264">
        <v>9.2737280000000002E-3</v>
      </c>
      <c r="N7264">
        <v>0</v>
      </c>
      <c r="O7264">
        <v>0.99985190000000002</v>
      </c>
      <c r="P7264">
        <v>-4.8839689999999998E-2</v>
      </c>
      <c r="Q7264">
        <v>0.16941619999999999</v>
      </c>
      <c r="R7264">
        <v>0.98433369999999998</v>
      </c>
      <c r="S7264">
        <v>-0.1773071</v>
      </c>
      <c r="T7264">
        <v>-0.1951706</v>
      </c>
      <c r="U7264">
        <v>3.0722659999999999</v>
      </c>
      <c r="V7264">
        <v>-5.7898280000000003E-2</v>
      </c>
      <c r="W7264">
        <v>0.18368100000000001</v>
      </c>
      <c r="X7264">
        <v>0.98127929999999997</v>
      </c>
      <c r="Y7264">
        <v>-6.6757659999999996E-2</v>
      </c>
      <c r="Z7264">
        <v>-6.3271569999999999E-2</v>
      </c>
      <c r="AA7264">
        <v>0.99576109999999896</v>
      </c>
      <c r="AB7264">
        <v>33</v>
      </c>
      <c r="AC7264">
        <v>-1.012</v>
      </c>
      <c r="AD7264">
        <v>-1.110287837002</v>
      </c>
      <c r="AE7264">
        <v>17.13316</v>
      </c>
      <c r="AF7264">
        <v>-1.16598193660963</v>
      </c>
      <c r="AG7264">
        <v>-1.110287837002</v>
      </c>
      <c r="AH7264">
        <v>17.0516777549288</v>
      </c>
      <c r="AI7264">
        <v>93.716792799606694</v>
      </c>
      <c r="AJ7264">
        <v>93.911756603916601</v>
      </c>
      <c r="AK7264">
        <v>17.127520755072101</v>
      </c>
      <c r="AL7264">
        <v>79.415758384084498</v>
      </c>
      <c r="AM7264">
        <v>93.376699710711094</v>
      </c>
      <c r="AN7264">
        <v>0.99999999259822403</v>
      </c>
    </row>
    <row r="7265" spans="1:40" x14ac:dyDescent="0.25">
      <c r="A7265" t="str">
        <f>"20190312172549757"</f>
        <v>20190312172549757</v>
      </c>
      <c r="B7265" t="str">
        <f>"1552382749747321"</f>
        <v>1552382749747321</v>
      </c>
      <c r="C7265" t="s">
        <v>40</v>
      </c>
      <c r="D7265">
        <v>3.839941</v>
      </c>
      <c r="E7265">
        <v>0.49794470000000002</v>
      </c>
      <c r="F7265" t="s">
        <v>43</v>
      </c>
      <c r="G7265">
        <v>-188.62639999999999</v>
      </c>
      <c r="H7265" s="1">
        <v>-2.0790220000000001E-6</v>
      </c>
      <c r="I7265">
        <v>93.911069999999995</v>
      </c>
      <c r="J7265">
        <v>-187.53829999999999</v>
      </c>
      <c r="K7265">
        <v>1.1102909999999999</v>
      </c>
      <c r="L7265">
        <v>76.512389999999996</v>
      </c>
      <c r="M7265">
        <v>9.4229280000000006E-3</v>
      </c>
      <c r="N7265">
        <v>0</v>
      </c>
      <c r="O7265">
        <v>0.99985060000000003</v>
      </c>
      <c r="P7265">
        <v>-5.1444240000000002E-2</v>
      </c>
      <c r="Q7265">
        <v>0.16932659999999999</v>
      </c>
      <c r="R7265">
        <v>0.98421650000000005</v>
      </c>
      <c r="S7265">
        <v>-0.187973</v>
      </c>
      <c r="T7265">
        <v>-0.19237290000000001</v>
      </c>
      <c r="U7265">
        <v>3.0715330000000001</v>
      </c>
      <c r="V7265">
        <v>-6.0649509999999997E-2</v>
      </c>
      <c r="W7265">
        <v>0.18358679999999999</v>
      </c>
      <c r="X7265">
        <v>0.98113070000000002</v>
      </c>
      <c r="Y7265">
        <v>-7.0368810000000004E-2</v>
      </c>
      <c r="Z7265">
        <v>-6.2368659999999999E-2</v>
      </c>
      <c r="AA7265">
        <v>0.99556929999999999</v>
      </c>
      <c r="AB7265">
        <v>33</v>
      </c>
      <c r="AC7265">
        <v>-1.0880999999999901</v>
      </c>
      <c r="AD7265">
        <v>-1.11029307902199</v>
      </c>
      <c r="AE7265">
        <v>17.398679999999999</v>
      </c>
      <c r="AF7265">
        <v>-1.24695717255353</v>
      </c>
      <c r="AG7265">
        <v>-1.11029307902199</v>
      </c>
      <c r="AH7265">
        <v>17.317405833679</v>
      </c>
      <c r="AI7265">
        <v>93.659009184880205</v>
      </c>
      <c r="AJ7265">
        <v>94.118531863881998</v>
      </c>
      <c r="AK7265">
        <v>17.397706679900299</v>
      </c>
      <c r="AL7265">
        <v>79.421248703296698</v>
      </c>
      <c r="AM7265">
        <v>93.537291095066493</v>
      </c>
      <c r="AN7265">
        <v>0.99999996333998398</v>
      </c>
    </row>
    <row r="7266" spans="1:40" x14ac:dyDescent="0.25">
      <c r="A7266" t="str">
        <f>"20190312172549778"</f>
        <v>20190312172549778</v>
      </c>
      <c r="B7266" t="str">
        <f>"1552382749767817"</f>
        <v>1552382749767817</v>
      </c>
      <c r="C7266" t="s">
        <v>40</v>
      </c>
      <c r="D7266">
        <v>3.823537</v>
      </c>
      <c r="E7266">
        <v>0.49819659999999899</v>
      </c>
      <c r="F7266" t="s">
        <v>43</v>
      </c>
      <c r="G7266">
        <v>-188.6669</v>
      </c>
      <c r="H7266" s="1">
        <v>-2.231248E-6</v>
      </c>
      <c r="I7266">
        <v>94.282629999999997</v>
      </c>
      <c r="J7266">
        <v>-187.5352</v>
      </c>
      <c r="K7266">
        <v>1.1102909999999999</v>
      </c>
      <c r="L7266">
        <v>76.830109999999905</v>
      </c>
      <c r="M7266">
        <v>9.5655259999999995E-3</v>
      </c>
      <c r="N7266">
        <v>0</v>
      </c>
      <c r="O7266">
        <v>0.99984930000000005</v>
      </c>
      <c r="P7266">
        <v>-5.2266739999999999E-2</v>
      </c>
      <c r="Q7266">
        <v>0.16947290000000001</v>
      </c>
      <c r="R7266">
        <v>0.98414789999999996</v>
      </c>
      <c r="S7266">
        <v>-0.19502259999999999</v>
      </c>
      <c r="T7266">
        <v>-0.19187270000000001</v>
      </c>
      <c r="U7266">
        <v>3.0709230000000001</v>
      </c>
      <c r="V7266">
        <v>-6.1612510000000002E-2</v>
      </c>
      <c r="W7266">
        <v>0.18372839999999999</v>
      </c>
      <c r="X7266">
        <v>0.98104420000000003</v>
      </c>
      <c r="Y7266">
        <v>-7.2800139999999999E-2</v>
      </c>
      <c r="Z7266">
        <v>-6.2209439999999998E-2</v>
      </c>
      <c r="AA7266">
        <v>0.99540450000000003</v>
      </c>
      <c r="AB7266">
        <v>33</v>
      </c>
      <c r="AC7266">
        <v>-1.1316999999999899</v>
      </c>
      <c r="AD7266">
        <v>-1.1102932312479901</v>
      </c>
      <c r="AE7266">
        <v>17.45252</v>
      </c>
      <c r="AF7266">
        <v>-1.29339550345669</v>
      </c>
      <c r="AG7266">
        <v>-1.1102932312479901</v>
      </c>
      <c r="AH7266">
        <v>17.3708851400628</v>
      </c>
      <c r="AI7266">
        <v>93.647125637546907</v>
      </c>
      <c r="AJ7266">
        <v>94.258252244921593</v>
      </c>
      <c r="AK7266">
        <v>17.454319624006299</v>
      </c>
      <c r="AL7266">
        <v>79.412995349290298</v>
      </c>
      <c r="AM7266">
        <v>93.593626601089596</v>
      </c>
      <c r="AN7266">
        <v>0.99999997435434895</v>
      </c>
    </row>
    <row r="7267" spans="1:40" x14ac:dyDescent="0.25">
      <c r="A7267" t="str">
        <f>"20190312172549803"</f>
        <v>20190312172549803</v>
      </c>
      <c r="B7267" t="str">
        <f>"1552382749797094"</f>
        <v>1552382749797094</v>
      </c>
      <c r="C7267" t="s">
        <v>40</v>
      </c>
      <c r="D7267">
        <v>3.8069389999999999</v>
      </c>
      <c r="E7267">
        <v>0.4985271</v>
      </c>
      <c r="F7267" t="s">
        <v>43</v>
      </c>
      <c r="G7267">
        <v>-188.65880000000001</v>
      </c>
      <c r="H7267" s="1">
        <v>-2.317239E-6</v>
      </c>
      <c r="I7267">
        <v>94.479749999999996</v>
      </c>
      <c r="J7267">
        <v>-187.5316</v>
      </c>
      <c r="K7267">
        <v>1.1102970000000001</v>
      </c>
      <c r="L7267">
        <v>77.186430000000001</v>
      </c>
      <c r="M7267">
        <v>9.7235629999999993E-3</v>
      </c>
      <c r="N7267">
        <v>0</v>
      </c>
      <c r="O7267">
        <v>0.99984779999999995</v>
      </c>
      <c r="P7267">
        <v>-5.152735E-2</v>
      </c>
      <c r="Q7267">
        <v>0.17003499999999999</v>
      </c>
      <c r="R7267">
        <v>0.98409000000000002</v>
      </c>
      <c r="S7267">
        <v>-0.19552610000000001</v>
      </c>
      <c r="T7267">
        <v>-0.19320109999999999</v>
      </c>
      <c r="U7267">
        <v>3.0711979999999999</v>
      </c>
      <c r="V7267">
        <v>-6.1028760000000001E-2</v>
      </c>
      <c r="W7267">
        <v>0.18428520000000001</v>
      </c>
      <c r="X7267">
        <v>0.98097630000000002</v>
      </c>
      <c r="Y7267">
        <v>-7.3112990000000003E-2</v>
      </c>
      <c r="Z7267">
        <v>-6.263167E-2</v>
      </c>
      <c r="AA7267">
        <v>0.99535510000000005</v>
      </c>
      <c r="AB7267">
        <v>33</v>
      </c>
      <c r="AC7267">
        <v>-1.12720000000001</v>
      </c>
      <c r="AD7267">
        <v>-1.1102993172390001</v>
      </c>
      <c r="AE7267">
        <v>17.293319999999898</v>
      </c>
      <c r="AF7267">
        <v>-1.2900218696849599</v>
      </c>
      <c r="AG7267">
        <v>-1.1102993172390001</v>
      </c>
      <c r="AH7267">
        <v>17.210895056476598</v>
      </c>
      <c r="AI7267">
        <v>93.680820850810406</v>
      </c>
      <c r="AJ7267">
        <v>94.286520676521206</v>
      </c>
      <c r="AK7267">
        <v>17.294849801116399</v>
      </c>
      <c r="AL7267">
        <v>79.380539383164901</v>
      </c>
      <c r="AM7267">
        <v>93.559912371473104</v>
      </c>
      <c r="AN7267">
        <v>1.0000000228239301</v>
      </c>
    </row>
    <row r="7268" spans="1:40" x14ac:dyDescent="0.25">
      <c r="A7268" t="str">
        <f>"20190312172549824"</f>
        <v>20190312172549824</v>
      </c>
      <c r="B7268" t="str">
        <f>"1552382749817590"</f>
        <v>1552382749817590</v>
      </c>
      <c r="C7268" t="s">
        <v>40</v>
      </c>
      <c r="D7268">
        <v>3.7936580000000002</v>
      </c>
      <c r="E7268">
        <v>0.49873830000000002</v>
      </c>
      <c r="F7268" t="s">
        <v>43</v>
      </c>
      <c r="G7268">
        <v>-188.62129999999999</v>
      </c>
      <c r="H7268" s="1">
        <v>-2.4759190000000002E-6</v>
      </c>
      <c r="I7268">
        <v>94.834140000000005</v>
      </c>
      <c r="J7268">
        <v>-187.5284</v>
      </c>
      <c r="K7268">
        <v>1.110295</v>
      </c>
      <c r="L7268">
        <v>77.495760000000004</v>
      </c>
      <c r="M7268">
        <v>9.8593900000000009E-3</v>
      </c>
      <c r="N7268">
        <v>0</v>
      </c>
      <c r="O7268">
        <v>0.99984649999999997</v>
      </c>
      <c r="P7268">
        <v>-4.9582309999999997E-2</v>
      </c>
      <c r="Q7268">
        <v>0.17110839999999999</v>
      </c>
      <c r="R7268">
        <v>0.98400379999999998</v>
      </c>
      <c r="S7268">
        <v>-0.18969730000000001</v>
      </c>
      <c r="T7268">
        <v>-0.19327330000000001</v>
      </c>
      <c r="U7268">
        <v>3.0719910000000001</v>
      </c>
      <c r="V7268">
        <v>-5.921705E-2</v>
      </c>
      <c r="W7268">
        <v>0.1853532</v>
      </c>
      <c r="X7268">
        <v>0.98088609999999998</v>
      </c>
      <c r="Y7268">
        <v>-7.1350800000000006E-2</v>
      </c>
      <c r="Z7268">
        <v>-6.2646489999999999E-2</v>
      </c>
      <c r="AA7268">
        <v>0.99548199999999998</v>
      </c>
      <c r="AB7268">
        <v>33</v>
      </c>
      <c r="AC7268">
        <v>-1.09289999999998</v>
      </c>
      <c r="AD7268">
        <v>-1.1102974759190001</v>
      </c>
      <c r="AE7268">
        <v>17.338379999999901</v>
      </c>
      <c r="AF7268">
        <v>-1.2586696076981101</v>
      </c>
      <c r="AG7268">
        <v>-1.1102974759190001</v>
      </c>
      <c r="AH7268">
        <v>17.256277266207299</v>
      </c>
      <c r="AI7268">
        <v>93.6717034274659</v>
      </c>
      <c r="AJ7268">
        <v>94.1717555996469</v>
      </c>
      <c r="AK7268">
        <v>17.337707886413298</v>
      </c>
      <c r="AL7268">
        <v>79.318274630184703</v>
      </c>
      <c r="AM7268">
        <v>93.454808936113096</v>
      </c>
      <c r="AN7268">
        <v>1.00000000446707</v>
      </c>
    </row>
    <row r="7269" spans="1:40" x14ac:dyDescent="0.25">
      <c r="A7269" t="str">
        <f>"20190312172549846"</f>
        <v>20190312172549846</v>
      </c>
      <c r="B7269" t="str">
        <f>"1552382749837110"</f>
        <v>1552382749837110</v>
      </c>
      <c r="C7269" t="s">
        <v>40</v>
      </c>
      <c r="D7269">
        <v>3.8020640000000001</v>
      </c>
      <c r="E7269">
        <v>0.49891849999999999</v>
      </c>
      <c r="F7269" t="s">
        <v>43</v>
      </c>
      <c r="G7269">
        <v>-188.5864</v>
      </c>
      <c r="H7269" s="1">
        <v>-2.7200409999999999E-6</v>
      </c>
      <c r="I7269">
        <v>95.388750000000002</v>
      </c>
      <c r="J7269">
        <v>-187.52510000000001</v>
      </c>
      <c r="K7269">
        <v>1.110293</v>
      </c>
      <c r="L7269">
        <v>77.818759999999997</v>
      </c>
      <c r="M7269">
        <v>1.000005E-2</v>
      </c>
      <c r="N7269">
        <v>0</v>
      </c>
      <c r="O7269">
        <v>0.99984519999999999</v>
      </c>
      <c r="P7269">
        <v>-4.6207980000000003E-2</v>
      </c>
      <c r="Q7269">
        <v>0.1695315</v>
      </c>
      <c r="R7269">
        <v>0.98444089999999995</v>
      </c>
      <c r="S7269">
        <v>-0.1816864</v>
      </c>
      <c r="T7269">
        <v>-0.1906728</v>
      </c>
      <c r="U7269">
        <v>3.072784</v>
      </c>
      <c r="V7269">
        <v>-5.5986649999999999E-2</v>
      </c>
      <c r="W7269">
        <v>0.183778</v>
      </c>
      <c r="X7269">
        <v>0.98137209999999997</v>
      </c>
      <c r="Y7269">
        <v>-6.8892380000000003E-2</v>
      </c>
      <c r="Z7269">
        <v>-6.180099E-2</v>
      </c>
      <c r="AA7269">
        <v>0.99570800000000004</v>
      </c>
      <c r="AB7269">
        <v>33</v>
      </c>
      <c r="AC7269">
        <v>-1.0612999999999799</v>
      </c>
      <c r="AD7269">
        <v>-1.110295720041</v>
      </c>
      <c r="AE7269">
        <v>17.569990000000001</v>
      </c>
      <c r="AF7269">
        <v>-1.2320639730532801</v>
      </c>
      <c r="AG7269">
        <v>-1.110295720041</v>
      </c>
      <c r="AH7269">
        <v>17.488912158866398</v>
      </c>
      <c r="AI7269">
        <v>93.623630418245199</v>
      </c>
      <c r="AJ7269">
        <v>94.029732079503404</v>
      </c>
      <c r="AK7269">
        <v>17.5673784817252</v>
      </c>
      <c r="AL7269">
        <v>79.410104829694603</v>
      </c>
      <c r="AM7269">
        <v>93.265148325166393</v>
      </c>
      <c r="AN7269">
        <v>1.0000000284603101</v>
      </c>
    </row>
    <row r="7270" spans="1:40" x14ac:dyDescent="0.25">
      <c r="A7270" t="str">
        <f>"20190312172549868"</f>
        <v>20190312172549868</v>
      </c>
      <c r="B7270" t="str">
        <f>"1552382749857609"</f>
        <v>1552382749857609</v>
      </c>
      <c r="C7270" t="s">
        <v>40</v>
      </c>
      <c r="D7270">
        <v>3.8518309999999998</v>
      </c>
      <c r="E7270">
        <v>0.499108</v>
      </c>
      <c r="F7270" t="s">
        <v>43</v>
      </c>
      <c r="G7270">
        <v>-188.48249999999999</v>
      </c>
      <c r="H7270" s="1">
        <v>-2.6420650000000002E-6</v>
      </c>
      <c r="I7270">
        <v>95.164010000000005</v>
      </c>
      <c r="J7270">
        <v>-187.52170000000001</v>
      </c>
      <c r="K7270">
        <v>1.1102909999999999</v>
      </c>
      <c r="L7270">
        <v>78.139309999999995</v>
      </c>
      <c r="M7270">
        <v>1.0138950000000001E-2</v>
      </c>
      <c r="N7270">
        <v>0</v>
      </c>
      <c r="O7270">
        <v>0.99984379999999995</v>
      </c>
      <c r="P7270">
        <v>-4.229778E-2</v>
      </c>
      <c r="Q7270">
        <v>0.16902609999999901</v>
      </c>
      <c r="R7270">
        <v>0.98470349999999995</v>
      </c>
      <c r="S7270">
        <v>-0.16963200000000001</v>
      </c>
      <c r="T7270">
        <v>-0.19672870000000001</v>
      </c>
      <c r="U7270">
        <v>3.073334</v>
      </c>
      <c r="V7270">
        <v>-5.2216270000000002E-2</v>
      </c>
      <c r="W7270">
        <v>0.1832723</v>
      </c>
      <c r="X7270">
        <v>0.98167439999999995</v>
      </c>
      <c r="Y7270">
        <v>-6.5120499999999998E-2</v>
      </c>
      <c r="Z7270">
        <v>-6.3759709999999997E-2</v>
      </c>
      <c r="AA7270">
        <v>0.99583829999999995</v>
      </c>
      <c r="AB7270">
        <v>33</v>
      </c>
      <c r="AC7270">
        <v>-0.96079999999997701</v>
      </c>
      <c r="AD7270">
        <v>-1.11029364206499</v>
      </c>
      <c r="AE7270">
        <v>17.024699999999999</v>
      </c>
      <c r="AF7270">
        <v>-1.1285963599903199</v>
      </c>
      <c r="AG7270">
        <v>-1.11029364206499</v>
      </c>
      <c r="AH7270">
        <v>16.942252046082199</v>
      </c>
      <c r="AI7270">
        <v>93.741192571291606</v>
      </c>
      <c r="AJ7270">
        <v>93.811088046043594</v>
      </c>
      <c r="AK7270">
        <v>17.016062591221498</v>
      </c>
      <c r="AL7270">
        <v>79.439579114006705</v>
      </c>
      <c r="AM7270">
        <v>93.044752055752596</v>
      </c>
      <c r="AN7270">
        <v>0.99999995120768004</v>
      </c>
    </row>
    <row r="7271" spans="1:40" x14ac:dyDescent="0.25">
      <c r="A7271" t="str">
        <f>"20190312172549889"</f>
        <v>20190312172549889</v>
      </c>
      <c r="B7271" t="str">
        <f>"1552382749877126"</f>
        <v>1552382749877126</v>
      </c>
      <c r="C7271" t="s">
        <v>40</v>
      </c>
      <c r="D7271">
        <v>3.8553039999999998</v>
      </c>
      <c r="E7271">
        <v>0.49923459999999997</v>
      </c>
      <c r="F7271" t="s">
        <v>43</v>
      </c>
      <c r="G7271">
        <v>-188.39510000000001</v>
      </c>
      <c r="H7271" s="1">
        <v>-2.7332259999999998E-6</v>
      </c>
      <c r="I7271">
        <v>95.340389999999999</v>
      </c>
      <c r="J7271">
        <v>-187.51840000000001</v>
      </c>
      <c r="K7271">
        <v>1.1102879999999999</v>
      </c>
      <c r="L7271">
        <v>78.448300000000003</v>
      </c>
      <c r="M7271">
        <v>1.0273050000000001E-2</v>
      </c>
      <c r="N7271">
        <v>0</v>
      </c>
      <c r="O7271">
        <v>0.99984249999999997</v>
      </c>
      <c r="P7271">
        <v>-3.7825200000000003E-2</v>
      </c>
      <c r="Q7271">
        <v>0.16902239999999999</v>
      </c>
      <c r="R7271">
        <v>0.98488609999999999</v>
      </c>
      <c r="S7271">
        <v>-0.1560822</v>
      </c>
      <c r="T7271">
        <v>-0.1984186</v>
      </c>
      <c r="U7271">
        <v>3.0739749999999999</v>
      </c>
      <c r="V7271">
        <v>-4.7877950000000002E-2</v>
      </c>
      <c r="W7271">
        <v>0.18326709999999999</v>
      </c>
      <c r="X7271">
        <v>0.98189660000000001</v>
      </c>
      <c r="Y7271">
        <v>-6.0863269999999997E-2</v>
      </c>
      <c r="Z7271">
        <v>-6.4307790000000004E-2</v>
      </c>
      <c r="AA7271">
        <v>0.99607239999999997</v>
      </c>
      <c r="AB7271">
        <v>33</v>
      </c>
      <c r="AC7271">
        <v>-0.87669999999999904</v>
      </c>
      <c r="AD7271">
        <v>-1.1102907332259999</v>
      </c>
      <c r="AE7271">
        <v>16.8920899999999</v>
      </c>
      <c r="AF7271">
        <v>-1.0456996632650699</v>
      </c>
      <c r="AG7271">
        <v>-1.1102907332259999</v>
      </c>
      <c r="AH7271">
        <v>16.80976418342</v>
      </c>
      <c r="AI7271">
        <v>93.771647407238902</v>
      </c>
      <c r="AJ7271">
        <v>93.5596615135983</v>
      </c>
      <c r="AK7271">
        <v>16.8788152783372</v>
      </c>
      <c r="AL7271">
        <v>79.439883032936393</v>
      </c>
      <c r="AM7271">
        <v>92.791570393479503</v>
      </c>
      <c r="AN7271">
        <v>1.00000003056508</v>
      </c>
    </row>
    <row r="7272" spans="1:40" x14ac:dyDescent="0.25">
      <c r="A7272" t="str">
        <f>"20190312172549913"</f>
        <v>20190312172549913</v>
      </c>
      <c r="B7272" t="str">
        <f>"1552382749907382"</f>
        <v>1552382749907382</v>
      </c>
      <c r="C7272" t="s">
        <v>40</v>
      </c>
      <c r="D7272">
        <v>3.8717139999999999</v>
      </c>
      <c r="E7272">
        <v>0.4992489</v>
      </c>
      <c r="F7272" t="s">
        <v>43</v>
      </c>
      <c r="G7272">
        <v>-188.30119999999999</v>
      </c>
      <c r="H7272" s="1">
        <v>-2.8874480000000001E-6</v>
      </c>
      <c r="I7272">
        <v>95.661060000000006</v>
      </c>
      <c r="J7272">
        <v>-187.51490000000001</v>
      </c>
      <c r="K7272">
        <v>1.110293</v>
      </c>
      <c r="L7272">
        <v>78.779240000000001</v>
      </c>
      <c r="M7272">
        <v>1.041684E-2</v>
      </c>
      <c r="N7272">
        <v>0</v>
      </c>
      <c r="O7272">
        <v>0.99984110000000004</v>
      </c>
      <c r="P7272">
        <v>-3.4811549999999997E-2</v>
      </c>
      <c r="Q7272">
        <v>0.16872760000000001</v>
      </c>
      <c r="R7272">
        <v>0.98504780000000003</v>
      </c>
      <c r="S7272">
        <v>-0.1398315</v>
      </c>
      <c r="T7272">
        <v>-0.1983308</v>
      </c>
      <c r="U7272">
        <v>3.0747070000000001</v>
      </c>
      <c r="V7272">
        <v>-4.500784E-2</v>
      </c>
      <c r="W7272">
        <v>0.18297089999999999</v>
      </c>
      <c r="X7272">
        <v>0.98208759999999995</v>
      </c>
      <c r="Y7272">
        <v>-5.5741770000000003E-2</v>
      </c>
      <c r="Z7272">
        <v>-6.4281790000000005E-2</v>
      </c>
      <c r="AA7272">
        <v>0.99637379999999998</v>
      </c>
      <c r="AB7272">
        <v>33</v>
      </c>
      <c r="AC7272">
        <v>-0.78629999999998201</v>
      </c>
      <c r="AD7272">
        <v>-1.110295887448</v>
      </c>
      <c r="AE7272">
        <v>16.881819999999902</v>
      </c>
      <c r="AF7272">
        <v>-0.95799608296143202</v>
      </c>
      <c r="AG7272">
        <v>-1.110295887448</v>
      </c>
      <c r="AH7272">
        <v>16.8001998429229</v>
      </c>
      <c r="AI7272">
        <v>93.774965047171605</v>
      </c>
      <c r="AJ7272">
        <v>93.263637096902301</v>
      </c>
      <c r="AK7272">
        <v>16.864081007122799</v>
      </c>
      <c r="AL7272">
        <v>79.457146205646595</v>
      </c>
      <c r="AM7272">
        <v>92.6239575593046</v>
      </c>
      <c r="AN7272">
        <v>1.00000005499101</v>
      </c>
    </row>
    <row r="7273" spans="1:40" x14ac:dyDescent="0.25">
      <c r="A7273" t="str">
        <f>"20190312172549935"</f>
        <v>20190312172549935</v>
      </c>
      <c r="B7273" t="str">
        <f>"1552382749927879"</f>
        <v>1552382749927879</v>
      </c>
      <c r="C7273" t="s">
        <v>40</v>
      </c>
      <c r="D7273">
        <v>3.859931</v>
      </c>
      <c r="E7273">
        <v>0.49916660000000002</v>
      </c>
      <c r="F7273" t="s">
        <v>43</v>
      </c>
      <c r="G7273">
        <v>-188.23679999999999</v>
      </c>
      <c r="H7273" s="1">
        <v>-3.0261059999999999E-6</v>
      </c>
      <c r="I7273">
        <v>95.957629999999995</v>
      </c>
      <c r="J7273">
        <v>-187.5112</v>
      </c>
      <c r="K7273">
        <v>1.1102959999999999</v>
      </c>
      <c r="L7273">
        <v>79.111660000000001</v>
      </c>
      <c r="M7273">
        <v>1.056148E-2</v>
      </c>
      <c r="N7273">
        <v>0</v>
      </c>
      <c r="O7273">
        <v>0.99983960000000005</v>
      </c>
      <c r="P7273">
        <v>-3.058659E-2</v>
      </c>
      <c r="Q7273">
        <v>0.16894210000000001</v>
      </c>
      <c r="R7273">
        <v>0.98515129999999995</v>
      </c>
      <c r="S7273">
        <v>-0.1292267</v>
      </c>
      <c r="T7273">
        <v>-0.19874810000000001</v>
      </c>
      <c r="U7273">
        <v>3.0750120000000001</v>
      </c>
      <c r="V7273">
        <v>-4.092697E-2</v>
      </c>
      <c r="W7273">
        <v>0.18318229999999999</v>
      </c>
      <c r="X7273">
        <v>0.98222670000000001</v>
      </c>
      <c r="Y7273">
        <v>-5.2451409999999997E-2</v>
      </c>
      <c r="Z7273">
        <v>-6.442059E-2</v>
      </c>
      <c r="AA7273">
        <v>0.99654350000000003</v>
      </c>
      <c r="AB7273">
        <v>33</v>
      </c>
      <c r="AC7273">
        <v>-0.72559999999998503</v>
      </c>
      <c r="AD7273">
        <v>-1.110299026106</v>
      </c>
      <c r="AE7273">
        <v>16.845970000000001</v>
      </c>
      <c r="AF7273">
        <v>-0.899595922346204</v>
      </c>
      <c r="AG7273">
        <v>-1.110299026106</v>
      </c>
      <c r="AH7273">
        <v>16.7646754598637</v>
      </c>
      <c r="AI7273">
        <v>93.783651536244605</v>
      </c>
      <c r="AJ7273">
        <v>93.071557437135795</v>
      </c>
      <c r="AK7273">
        <v>16.825468196321602</v>
      </c>
      <c r="AL7273">
        <v>79.444825388819595</v>
      </c>
      <c r="AM7273">
        <v>92.385993963851107</v>
      </c>
      <c r="AN7273">
        <v>1.0000000310497701</v>
      </c>
    </row>
    <row r="7274" spans="1:40" x14ac:dyDescent="0.25">
      <c r="A7274" t="str">
        <f>"20190312172549958"</f>
        <v>20190312172549958</v>
      </c>
      <c r="B7274" t="str">
        <f>"1552382749947402"</f>
        <v>1552382749947402</v>
      </c>
      <c r="C7274" t="s">
        <v>40</v>
      </c>
      <c r="D7274">
        <v>3.8672200000000001</v>
      </c>
      <c r="E7274">
        <v>0.49907380000000001</v>
      </c>
      <c r="F7274" t="s">
        <v>43</v>
      </c>
      <c r="G7274">
        <v>-188.1584</v>
      </c>
      <c r="H7274" s="1">
        <v>-3.2222389999999998E-6</v>
      </c>
      <c r="I7274">
        <v>96.382429999999999</v>
      </c>
      <c r="J7274">
        <v>-187.5076</v>
      </c>
      <c r="K7274">
        <v>1.1103050000000001</v>
      </c>
      <c r="L7274">
        <v>79.442989999999995</v>
      </c>
      <c r="M7274">
        <v>1.070577E-2</v>
      </c>
      <c r="N7274">
        <v>0</v>
      </c>
      <c r="O7274">
        <v>0.99983809999999995</v>
      </c>
      <c r="P7274">
        <v>-2.535697E-2</v>
      </c>
      <c r="Q7274">
        <v>0.1701144</v>
      </c>
      <c r="R7274">
        <v>0.98509800000000003</v>
      </c>
      <c r="S7274">
        <v>-0.11524959999999999</v>
      </c>
      <c r="T7274">
        <v>-0.19771900000000001</v>
      </c>
      <c r="U7274">
        <v>3.0755309999999998</v>
      </c>
      <c r="V7274">
        <v>-3.5839099999999999E-2</v>
      </c>
      <c r="W7274">
        <v>0.18434890000000001</v>
      </c>
      <c r="X7274">
        <v>0.98220719999999995</v>
      </c>
      <c r="Y7274">
        <v>-4.8067039999999998E-2</v>
      </c>
      <c r="Z7274">
        <v>-6.4090320000000006E-2</v>
      </c>
      <c r="AA7274">
        <v>0.99678580000000006</v>
      </c>
      <c r="AB7274">
        <v>32</v>
      </c>
      <c r="AC7274">
        <v>-0.65080000000000304</v>
      </c>
      <c r="AD7274">
        <v>-1.1103082222389999</v>
      </c>
      <c r="AE7274">
        <v>16.939439999999902</v>
      </c>
      <c r="AF7274">
        <v>-0.82857689050936001</v>
      </c>
      <c r="AG7274">
        <v>-1.1103082222389999</v>
      </c>
      <c r="AH7274">
        <v>16.859176585458801</v>
      </c>
      <c r="AI7274">
        <v>93.763403307169497</v>
      </c>
      <c r="AJ7274">
        <v>92.813648144782505</v>
      </c>
      <c r="AK7274">
        <v>16.916003048933899</v>
      </c>
      <c r="AL7274">
        <v>79.376825462193395</v>
      </c>
      <c r="AM7274">
        <v>92.089700206042394</v>
      </c>
      <c r="AN7274">
        <v>0.99999997087592896</v>
      </c>
    </row>
    <row r="7275" spans="1:40" x14ac:dyDescent="0.25">
      <c r="A7275" t="str">
        <f>"20190312172549979"</f>
        <v>20190312172549979</v>
      </c>
      <c r="B7275" t="str">
        <f>"1552382749967898"</f>
        <v>1552382749967898</v>
      </c>
      <c r="C7275" t="s">
        <v>40</v>
      </c>
      <c r="D7275">
        <v>3.8476020000000002</v>
      </c>
      <c r="E7275">
        <v>0.49901069999999997</v>
      </c>
      <c r="F7275" t="s">
        <v>43</v>
      </c>
      <c r="G7275">
        <v>-188.07339999999999</v>
      </c>
      <c r="H7275" s="1">
        <v>-3.5225000000000002E-6</v>
      </c>
      <c r="I7275">
        <v>97.047179999999997</v>
      </c>
      <c r="J7275">
        <v>-187.50409999999999</v>
      </c>
      <c r="K7275">
        <v>1.110311</v>
      </c>
      <c r="L7275">
        <v>79.750730000000004</v>
      </c>
      <c r="M7275">
        <v>1.08396E-2</v>
      </c>
      <c r="N7275">
        <v>0</v>
      </c>
      <c r="O7275">
        <v>0.99983670000000002</v>
      </c>
      <c r="P7275">
        <v>-1.959764E-2</v>
      </c>
      <c r="Q7275">
        <v>0.17106749999999901</v>
      </c>
      <c r="R7275">
        <v>0.98506439999999995</v>
      </c>
      <c r="S7275">
        <v>-9.8876950000000005E-2</v>
      </c>
      <c r="T7275">
        <v>-0.1940279</v>
      </c>
      <c r="U7275">
        <v>3.076355</v>
      </c>
      <c r="V7275">
        <v>-3.0210959999999999E-2</v>
      </c>
      <c r="W7275">
        <v>0.18529689999999999</v>
      </c>
      <c r="X7275">
        <v>0.98221809999999998</v>
      </c>
      <c r="Y7275">
        <v>-4.289399E-2</v>
      </c>
      <c r="Z7275">
        <v>-6.2894950000000005E-2</v>
      </c>
      <c r="AA7275">
        <v>0.99709800000000004</v>
      </c>
      <c r="AB7275">
        <v>32</v>
      </c>
      <c r="AC7275">
        <v>-0.56929999999999803</v>
      </c>
      <c r="AD7275">
        <v>-1.1103145225</v>
      </c>
      <c r="AE7275">
        <v>17.29645</v>
      </c>
      <c r="AF7275">
        <v>-0.75367040907934701</v>
      </c>
      <c r="AG7275">
        <v>-1.1103145225</v>
      </c>
      <c r="AH7275">
        <v>17.218385810972901</v>
      </c>
      <c r="AI7275">
        <v>93.6860467904243</v>
      </c>
      <c r="AJ7275">
        <v>92.506308537593398</v>
      </c>
      <c r="AK7275">
        <v>17.270600086850202</v>
      </c>
      <c r="AL7275">
        <v>79.321557410025406</v>
      </c>
      <c r="AM7275">
        <v>91.761742076851704</v>
      </c>
      <c r="AN7275">
        <v>1.00000001961067</v>
      </c>
    </row>
    <row r="7276" spans="1:40" x14ac:dyDescent="0.25">
      <c r="A7276" t="str">
        <f>"20190312172550004"</f>
        <v>20190312172550004</v>
      </c>
      <c r="B7276" t="str">
        <f>"1552382749997175"</f>
        <v>1552382749997175</v>
      </c>
      <c r="C7276" t="s">
        <v>40</v>
      </c>
      <c r="D7276">
        <v>3.9011830000000001</v>
      </c>
      <c r="E7276">
        <v>0.49353930000000001</v>
      </c>
      <c r="F7276" t="s">
        <v>43</v>
      </c>
      <c r="G7276">
        <v>-187.97280000000001</v>
      </c>
      <c r="H7276" s="1">
        <v>-3.7942480000000001E-6</v>
      </c>
      <c r="I7276">
        <v>97.639030000000005</v>
      </c>
      <c r="J7276">
        <v>-187.50020000000001</v>
      </c>
      <c r="K7276">
        <v>1.1103190000000001</v>
      </c>
      <c r="L7276">
        <v>80.092590000000001</v>
      </c>
      <c r="M7276">
        <v>1.098875E-2</v>
      </c>
      <c r="N7276">
        <v>0</v>
      </c>
      <c r="O7276">
        <v>0.99983520000000004</v>
      </c>
      <c r="P7276">
        <v>-1.33711E-2</v>
      </c>
      <c r="Q7276">
        <v>0.17124029999999901</v>
      </c>
      <c r="R7276">
        <v>0.98513850000000003</v>
      </c>
      <c r="S7276">
        <v>-8.0612180000000005E-2</v>
      </c>
      <c r="T7276">
        <v>-0.19099089999999999</v>
      </c>
      <c r="U7276">
        <v>3.0770569999999999</v>
      </c>
      <c r="V7276">
        <v>-2.4132689999999998E-2</v>
      </c>
      <c r="W7276">
        <v>0.18546609999999999</v>
      </c>
      <c r="X7276">
        <v>0.98235430000000001</v>
      </c>
      <c r="Y7276">
        <v>-3.7123139999999999E-2</v>
      </c>
      <c r="Z7276">
        <v>-6.1912599999999998E-2</v>
      </c>
      <c r="AA7276">
        <v>0.99739089999999997</v>
      </c>
      <c r="AB7276">
        <v>32</v>
      </c>
      <c r="AC7276">
        <v>-0.47259999999999902</v>
      </c>
      <c r="AD7276">
        <v>-1.1103227942479901</v>
      </c>
      <c r="AE7276">
        <v>17.54644</v>
      </c>
      <c r="AF7276">
        <v>-0.66275313559837601</v>
      </c>
      <c r="AG7276">
        <v>-1.1103227942479901</v>
      </c>
      <c r="AH7276">
        <v>17.470281981093599</v>
      </c>
      <c r="AI7276">
        <v>93.633932130804396</v>
      </c>
      <c r="AJ7276">
        <v>92.172532596750301</v>
      </c>
      <c r="AK7276">
        <v>17.518070981848901</v>
      </c>
      <c r="AL7276">
        <v>79.311691922193106</v>
      </c>
      <c r="AM7276">
        <v>91.407255237660706</v>
      </c>
      <c r="AN7276">
        <v>1.00000001585216</v>
      </c>
    </row>
    <row r="7277" spans="1:40" x14ac:dyDescent="0.25">
      <c r="A7277" t="str">
        <f>"20190312172550026"</f>
        <v>20190312172550026</v>
      </c>
      <c r="B7277" t="str">
        <f>"1552382750017670"</f>
        <v>1552382750017670</v>
      </c>
      <c r="C7277" t="s">
        <v>40</v>
      </c>
      <c r="D7277">
        <v>3.9646080000000001</v>
      </c>
      <c r="E7277">
        <v>0.52566789999999997</v>
      </c>
      <c r="F7277" t="s">
        <v>43</v>
      </c>
      <c r="G7277">
        <v>-188.0615</v>
      </c>
      <c r="H7277" s="1">
        <v>-3.3826750000000002E-6</v>
      </c>
      <c r="I7277">
        <v>96.716319999999996</v>
      </c>
      <c r="J7277">
        <v>-187.4965</v>
      </c>
      <c r="K7277">
        <v>1.110317</v>
      </c>
      <c r="L7277">
        <v>80.417819999999907</v>
      </c>
      <c r="M7277">
        <v>1.1130839999999999E-2</v>
      </c>
      <c r="N7277">
        <v>0</v>
      </c>
      <c r="O7277">
        <v>0.99983359999999999</v>
      </c>
      <c r="P7277">
        <v>-6.8326510000000003E-3</v>
      </c>
      <c r="Q7277">
        <v>0.17089660000000001</v>
      </c>
      <c r="R7277">
        <v>0.98526530000000001</v>
      </c>
      <c r="S7277">
        <v>-0.10397339999999999</v>
      </c>
      <c r="T7277">
        <v>-0.20569000000000001</v>
      </c>
      <c r="U7277">
        <v>3.07959</v>
      </c>
      <c r="V7277">
        <v>-1.7736620000000002E-2</v>
      </c>
      <c r="W7277">
        <v>0.1851189</v>
      </c>
      <c r="X7277">
        <v>0.98255599999999998</v>
      </c>
      <c r="Y7277">
        <v>-4.4791539999999998E-2</v>
      </c>
      <c r="Z7277">
        <v>-6.6584359999999995E-2</v>
      </c>
      <c r="AA7277">
        <v>0.99677490000000002</v>
      </c>
      <c r="AB7277">
        <v>32</v>
      </c>
      <c r="AC7277">
        <v>-0.56499999999999695</v>
      </c>
      <c r="AD7277">
        <v>-1.1103203826749899</v>
      </c>
      <c r="AE7277">
        <v>16.298500000000001</v>
      </c>
      <c r="AF7277">
        <v>-0.74295609698009502</v>
      </c>
      <c r="AG7277">
        <v>-1.1103203826749899</v>
      </c>
      <c r="AH7277">
        <v>16.216034005499999</v>
      </c>
      <c r="AI7277">
        <v>93.91286676979</v>
      </c>
      <c r="AJ7277">
        <v>92.623237031558105</v>
      </c>
      <c r="AK7277">
        <v>16.270972742333399</v>
      </c>
      <c r="AL7277">
        <v>79.331934791770493</v>
      </c>
      <c r="AM7277">
        <v>91.034163048344496</v>
      </c>
      <c r="AN7277">
        <v>0.99999994398111502</v>
      </c>
    </row>
    <row r="7278" spans="1:40" x14ac:dyDescent="0.25">
      <c r="A7278" t="str">
        <f>"20190312172550047"</f>
        <v>20190312172550047</v>
      </c>
      <c r="B7278" t="str">
        <f>"1552382750037191"</f>
        <v>1552382750037191</v>
      </c>
      <c r="C7278" t="s">
        <v>40</v>
      </c>
      <c r="D7278">
        <v>3.9088970000000001</v>
      </c>
      <c r="E7278">
        <v>0.54191020000000001</v>
      </c>
      <c r="F7278" t="s">
        <v>41</v>
      </c>
      <c r="G7278">
        <v>-187.44239999999999</v>
      </c>
      <c r="H7278">
        <v>1.0445359999999999</v>
      </c>
      <c r="I7278">
        <v>81.374889999999994</v>
      </c>
      <c r="J7278">
        <v>-187.49270000000001</v>
      </c>
      <c r="K7278">
        <v>1.110304</v>
      </c>
      <c r="L7278">
        <v>80.741910000000004</v>
      </c>
      <c r="M7278">
        <v>1.127234E-2</v>
      </c>
      <c r="N7278">
        <v>0</v>
      </c>
      <c r="O7278">
        <v>0.9998321</v>
      </c>
      <c r="P7278">
        <v>5.6187320000000002E-4</v>
      </c>
      <c r="Q7278">
        <v>0.16961950000000001</v>
      </c>
      <c r="R7278">
        <v>0.98550950000000004</v>
      </c>
      <c r="S7278">
        <v>0.1737976</v>
      </c>
      <c r="T7278">
        <v>-0.2119182</v>
      </c>
      <c r="U7278">
        <v>3.0828549999999999</v>
      </c>
      <c r="V7278">
        <v>-1.0485609999999999E-2</v>
      </c>
      <c r="W7278">
        <v>0.18384030000000001</v>
      </c>
      <c r="X7278">
        <v>0.9829002</v>
      </c>
      <c r="Y7278">
        <v>4.4894789999999997E-2</v>
      </c>
      <c r="Z7278">
        <v>-6.8483859999999994E-2</v>
      </c>
      <c r="AA7278">
        <v>0.99664160000000002</v>
      </c>
      <c r="AB7278">
        <v>32</v>
      </c>
      <c r="AC7278">
        <v>5.03000000000213E-2</v>
      </c>
      <c r="AD7278">
        <v>-6.5767999999999993E-2</v>
      </c>
      <c r="AE7278">
        <v>0.63298000000000298</v>
      </c>
      <c r="AF7278">
        <v>4.2702781117390398E-2</v>
      </c>
      <c r="AG7278">
        <v>-6.5767999999999993E-2</v>
      </c>
      <c r="AH7278">
        <v>0.62678275897503999</v>
      </c>
      <c r="AI7278">
        <v>95.976343918063293</v>
      </c>
      <c r="AJ7278">
        <v>86.102454964596006</v>
      </c>
      <c r="AK7278">
        <v>0.63166888817443201</v>
      </c>
      <c r="AL7278">
        <v>79.406473163743897</v>
      </c>
      <c r="AM7278">
        <v>90.611209977537001</v>
      </c>
      <c r="AN7278">
        <v>1.0000000035406</v>
      </c>
    </row>
    <row r="7279" spans="1:40" x14ac:dyDescent="0.25">
      <c r="A7279" t="str">
        <f>"20190312172550070"</f>
        <v>20190312172550070</v>
      </c>
      <c r="B7279" t="str">
        <f>"1552382750057686"</f>
        <v>1552382750057686</v>
      </c>
      <c r="C7279" t="s">
        <v>40</v>
      </c>
      <c r="D7279">
        <v>3.9159280000000001</v>
      </c>
      <c r="E7279">
        <v>0.54937369999999996</v>
      </c>
      <c r="F7279" t="s">
        <v>41</v>
      </c>
      <c r="G7279">
        <v>-187.39439999999999</v>
      </c>
      <c r="H7279">
        <v>1.0477650000000001</v>
      </c>
      <c r="I7279">
        <v>81.665109999999999</v>
      </c>
      <c r="J7279">
        <v>-187.48910000000001</v>
      </c>
      <c r="K7279">
        <v>1.1102989999999999</v>
      </c>
      <c r="L7279">
        <v>81.051879999999997</v>
      </c>
      <c r="M7279">
        <v>1.140766E-2</v>
      </c>
      <c r="N7279">
        <v>0</v>
      </c>
      <c r="O7279">
        <v>0.99983069999999996</v>
      </c>
      <c r="P7279">
        <v>8.1014739999999991E-3</v>
      </c>
      <c r="Q7279">
        <v>0.16826340000000001</v>
      </c>
      <c r="R7279">
        <v>0.98570880000000005</v>
      </c>
      <c r="S7279">
        <v>0.32788089999999998</v>
      </c>
      <c r="T7279">
        <v>-0.20863499999999999</v>
      </c>
      <c r="U7279">
        <v>3.079834</v>
      </c>
      <c r="V7279">
        <v>-3.082385E-3</v>
      </c>
      <c r="W7279">
        <v>0.1824829</v>
      </c>
      <c r="X7279">
        <v>0.98320419999999997</v>
      </c>
      <c r="Y7279">
        <v>9.4271149999999998E-2</v>
      </c>
      <c r="Z7279">
        <v>-6.7241209999999996E-2</v>
      </c>
      <c r="AA7279">
        <v>0.99327310000000002</v>
      </c>
      <c r="AB7279">
        <v>32</v>
      </c>
      <c r="AC7279">
        <v>9.4700000000017298E-2</v>
      </c>
      <c r="AD7279">
        <v>-6.2533999999999798E-2</v>
      </c>
      <c r="AE7279">
        <v>0.61322999999998695</v>
      </c>
      <c r="AF7279">
        <v>8.6815830859225701E-2</v>
      </c>
      <c r="AG7279">
        <v>-6.2533999999999798E-2</v>
      </c>
      <c r="AH7279">
        <v>0.60809431129131697</v>
      </c>
      <c r="AI7279">
        <v>95.812898871299794</v>
      </c>
      <c r="AJ7279">
        <v>81.874956419211898</v>
      </c>
      <c r="AK7279">
        <v>0.61743516345332805</v>
      </c>
      <c r="AL7279">
        <v>79.485584816487503</v>
      </c>
      <c r="AM7279">
        <v>90.179624001548106</v>
      </c>
      <c r="AN7279">
        <v>1.0000000043936601</v>
      </c>
    </row>
    <row r="7280" spans="1:40" x14ac:dyDescent="0.25">
      <c r="A7280" t="str">
        <f>"20190312172550091"</f>
        <v>20190312172550091</v>
      </c>
      <c r="B7280" t="str">
        <f>"1552382750087942"</f>
        <v>1552382750087942</v>
      </c>
      <c r="C7280" t="s">
        <v>40</v>
      </c>
      <c r="D7280">
        <v>3.8964120000000002</v>
      </c>
      <c r="E7280">
        <v>0.55464749999999996</v>
      </c>
      <c r="F7280" t="s">
        <v>43</v>
      </c>
      <c r="G7280">
        <v>-185.261</v>
      </c>
      <c r="H7280" s="1">
        <v>-4.280256E-6</v>
      </c>
      <c r="I7280">
        <v>97.650670000000005</v>
      </c>
      <c r="J7280">
        <v>-187.48519999999999</v>
      </c>
      <c r="K7280">
        <v>1.1102939999999999</v>
      </c>
      <c r="L7280">
        <v>81.372010000000003</v>
      </c>
      <c r="M7280">
        <v>1.154734E-2</v>
      </c>
      <c r="N7280">
        <v>0</v>
      </c>
      <c r="O7280">
        <v>0.99982910000000003</v>
      </c>
      <c r="P7280">
        <v>1.549241E-2</v>
      </c>
      <c r="Q7280">
        <v>0.167208299999999</v>
      </c>
      <c r="R7280">
        <v>0.9857998</v>
      </c>
      <c r="S7280">
        <v>0.4127808</v>
      </c>
      <c r="T7280">
        <v>-0.20570369999999999</v>
      </c>
      <c r="U7280">
        <v>3.0752259999999998</v>
      </c>
      <c r="V7280">
        <v>4.1687470000000004E-3</v>
      </c>
      <c r="W7280">
        <v>0.181425</v>
      </c>
      <c r="X7280">
        <v>0.98339589999999999</v>
      </c>
      <c r="Y7280">
        <v>0.1212882</v>
      </c>
      <c r="Z7280">
        <v>-6.6192979999999998E-2</v>
      </c>
      <c r="AA7280">
        <v>0.99040779999999995</v>
      </c>
      <c r="AB7280">
        <v>32</v>
      </c>
      <c r="AC7280">
        <v>2.22419999999999</v>
      </c>
      <c r="AD7280">
        <v>-1.110298280256</v>
      </c>
      <c r="AE7280">
        <v>16.278659999999899</v>
      </c>
      <c r="AF7280">
        <v>2.02680092732539</v>
      </c>
      <c r="AG7280">
        <v>-1.110298280256</v>
      </c>
      <c r="AH7280">
        <v>16.229145925289199</v>
      </c>
      <c r="AI7280">
        <v>93.883650833254293</v>
      </c>
      <c r="AJ7280">
        <v>82.8813878254402</v>
      </c>
      <c r="AK7280">
        <v>16.392860084026701</v>
      </c>
      <c r="AL7280">
        <v>79.5472264671359</v>
      </c>
      <c r="AM7280">
        <v>89.757116967610202</v>
      </c>
      <c r="AN7280">
        <v>0.99999995260667895</v>
      </c>
    </row>
    <row r="7281" spans="1:40" x14ac:dyDescent="0.25">
      <c r="A7281" t="str">
        <f>"20190312172550115"</f>
        <v>20190312172550115</v>
      </c>
      <c r="B7281" t="str">
        <f>"1552382750107463"</f>
        <v>1552382750107463</v>
      </c>
      <c r="C7281" t="s">
        <v>40</v>
      </c>
      <c r="D7281">
        <v>3.9131269999999998</v>
      </c>
      <c r="E7281">
        <v>0.55641049999999903</v>
      </c>
      <c r="F7281" t="s">
        <v>43</v>
      </c>
      <c r="G7281">
        <v>-184.88390000000001</v>
      </c>
      <c r="H7281" s="1">
        <v>-4.5211020000000003E-6</v>
      </c>
      <c r="I7281">
        <v>98.056120000000007</v>
      </c>
      <c r="J7281">
        <v>-187.48140000000001</v>
      </c>
      <c r="K7281">
        <v>1.1102890000000001</v>
      </c>
      <c r="L7281">
        <v>81.693969999999993</v>
      </c>
      <c r="M7281">
        <v>1.1687650000000001E-2</v>
      </c>
      <c r="N7281">
        <v>0</v>
      </c>
      <c r="O7281">
        <v>0.99982749999999998</v>
      </c>
      <c r="P7281">
        <v>2.2495350000000001E-2</v>
      </c>
      <c r="Q7281">
        <v>0.16623789999999999</v>
      </c>
      <c r="R7281">
        <v>0.98582910000000001</v>
      </c>
      <c r="S7281">
        <v>0.47872920000000002</v>
      </c>
      <c r="T7281">
        <v>-0.20432600000000001</v>
      </c>
      <c r="U7281">
        <v>3.0703429999999998</v>
      </c>
      <c r="V7281">
        <v>1.1032109999999999E-2</v>
      </c>
      <c r="W7281">
        <v>0.1804501</v>
      </c>
      <c r="X7281">
        <v>0.98352229999999996</v>
      </c>
      <c r="Y7281">
        <v>0.14216679999999901</v>
      </c>
      <c r="Z7281">
        <v>-6.5662499999999999E-2</v>
      </c>
      <c r="AA7281">
        <v>0.98766240000000005</v>
      </c>
      <c r="AB7281">
        <v>32</v>
      </c>
      <c r="AC7281">
        <v>2.5974999999999899</v>
      </c>
      <c r="AD7281">
        <v>-1.110293521102</v>
      </c>
      <c r="AE7281">
        <v>16.36215</v>
      </c>
      <c r="AF7281">
        <v>2.39530915109464</v>
      </c>
      <c r="AG7281">
        <v>-1.110293521102</v>
      </c>
      <c r="AH7281">
        <v>16.3181022520357</v>
      </c>
      <c r="AI7281">
        <v>93.8512957578819</v>
      </c>
      <c r="AJ7281">
        <v>81.649277063579305</v>
      </c>
      <c r="AK7281">
        <v>16.530296994918501</v>
      </c>
      <c r="AL7281">
        <v>79.604022371079296</v>
      </c>
      <c r="AM7281">
        <v>89.357343667563399</v>
      </c>
      <c r="AN7281">
        <v>1.0000000303191701</v>
      </c>
    </row>
    <row r="7282" spans="1:40" x14ac:dyDescent="0.25">
      <c r="A7282" t="str">
        <f>"20190312172550136"</f>
        <v>20190312172550136</v>
      </c>
      <c r="B7282" t="str">
        <f>"1552382750127962"</f>
        <v>1552382750127962</v>
      </c>
      <c r="C7282" t="s">
        <v>40</v>
      </c>
      <c r="D7282">
        <v>3.9425789999999998</v>
      </c>
      <c r="E7282">
        <v>0.55708919999999995</v>
      </c>
      <c r="F7282" t="s">
        <v>43</v>
      </c>
      <c r="G7282">
        <v>-184.672</v>
      </c>
      <c r="H7282" s="1">
        <v>-4.7091399999999998E-6</v>
      </c>
      <c r="I7282">
        <v>98.406850000000006</v>
      </c>
      <c r="J7282">
        <v>-187.47749999999999</v>
      </c>
      <c r="K7282">
        <v>1.110277</v>
      </c>
      <c r="L7282">
        <v>82.011870000000002</v>
      </c>
      <c r="M7282">
        <v>1.182629E-2</v>
      </c>
      <c r="N7282">
        <v>0</v>
      </c>
      <c r="O7282">
        <v>0.99982590000000005</v>
      </c>
      <c r="P7282">
        <v>2.8885870000000001E-2</v>
      </c>
      <c r="Q7282">
        <v>0.16455529999999999</v>
      </c>
      <c r="R7282">
        <v>0.98594479999999995</v>
      </c>
      <c r="S7282">
        <v>0.51533509999999905</v>
      </c>
      <c r="T7282">
        <v>-0.20366529999999999</v>
      </c>
      <c r="U7282">
        <v>3.0657040000000002</v>
      </c>
      <c r="V7282">
        <v>1.7283400000000001E-2</v>
      </c>
      <c r="W7282">
        <v>0.1787646</v>
      </c>
      <c r="X7282">
        <v>0.98373999999999995</v>
      </c>
      <c r="Y7282">
        <v>0.1537405</v>
      </c>
      <c r="Z7282">
        <v>-6.5429429999999997E-2</v>
      </c>
      <c r="AA7282">
        <v>0.9859426</v>
      </c>
      <c r="AB7282">
        <v>32</v>
      </c>
      <c r="AC7282">
        <v>2.8054999999999901</v>
      </c>
      <c r="AD7282">
        <v>-1.1102817091399999</v>
      </c>
      <c r="AE7282">
        <v>16.39498</v>
      </c>
      <c r="AF7282">
        <v>2.59980796326803</v>
      </c>
      <c r="AG7282">
        <v>-1.1102817091399999</v>
      </c>
      <c r="AH7282">
        <v>16.3541471027055</v>
      </c>
      <c r="AI7282">
        <v>93.835826995437003</v>
      </c>
      <c r="AJ7282">
        <v>80.967310805864301</v>
      </c>
      <c r="AK7282">
        <v>16.596682029142201</v>
      </c>
      <c r="AL7282">
        <v>79.702189884628794</v>
      </c>
      <c r="AM7282">
        <v>88.993469813896695</v>
      </c>
      <c r="AN7282">
        <v>0.999999942864358</v>
      </c>
    </row>
    <row r="7283" spans="1:40" x14ac:dyDescent="0.25">
      <c r="A7283" t="str">
        <f>"20190312172550158"</f>
        <v>20190312172550158</v>
      </c>
      <c r="B7283" t="str">
        <f>"1552382750147482"</f>
        <v>1552382750147482</v>
      </c>
      <c r="C7283" t="s">
        <v>40</v>
      </c>
      <c r="D7283">
        <v>3.9306950000000001</v>
      </c>
      <c r="E7283">
        <v>0.55751539999999999</v>
      </c>
      <c r="F7283" t="s">
        <v>43</v>
      </c>
      <c r="G7283">
        <v>-184.57310000000001</v>
      </c>
      <c r="H7283" s="1">
        <v>-4.7431819999999997E-6</v>
      </c>
      <c r="I7283">
        <v>98.445310000000006</v>
      </c>
      <c r="J7283">
        <v>-187.4736</v>
      </c>
      <c r="K7283">
        <v>1.110271</v>
      </c>
      <c r="L7283">
        <v>82.325739999999996</v>
      </c>
      <c r="M7283">
        <v>1.196355E-2</v>
      </c>
      <c r="N7283">
        <v>0</v>
      </c>
      <c r="O7283">
        <v>0.9998243</v>
      </c>
      <c r="P7283">
        <v>3.4925289999999998E-2</v>
      </c>
      <c r="Q7283">
        <v>0.1628733</v>
      </c>
      <c r="R7283">
        <v>0.98602869999999998</v>
      </c>
      <c r="S7283">
        <v>0.54106140000000003</v>
      </c>
      <c r="T7283">
        <v>-0.20683750000000001</v>
      </c>
      <c r="U7283">
        <v>3.0614319999999999</v>
      </c>
      <c r="V7283">
        <v>2.3185219999999999E-2</v>
      </c>
      <c r="W7283">
        <v>0.17708009999999999</v>
      </c>
      <c r="X7283">
        <v>0.98392329999999995</v>
      </c>
      <c r="Y7283">
        <v>0.16185849999999999</v>
      </c>
      <c r="Z7283">
        <v>-6.6444580000000003E-2</v>
      </c>
      <c r="AA7283">
        <v>0.98457450000000002</v>
      </c>
      <c r="AB7283">
        <v>32</v>
      </c>
      <c r="AC7283">
        <v>2.9004999999999899</v>
      </c>
      <c r="AD7283">
        <v>-1.1102757431820001</v>
      </c>
      <c r="AE7283">
        <v>16.1195699999999</v>
      </c>
      <c r="AF7283">
        <v>2.69504042411288</v>
      </c>
      <c r="AG7283">
        <v>-1.1102757431820001</v>
      </c>
      <c r="AH7283">
        <v>16.079230718920101</v>
      </c>
      <c r="AI7283">
        <v>93.895847653843006</v>
      </c>
      <c r="AJ7283">
        <v>80.485095663265099</v>
      </c>
      <c r="AK7283">
        <v>16.341285617287401</v>
      </c>
      <c r="AL7283">
        <v>79.800270019015102</v>
      </c>
      <c r="AM7283">
        <v>88.650129069007306</v>
      </c>
      <c r="AN7283">
        <v>0.999999988262674</v>
      </c>
    </row>
    <row r="7284" spans="1:40" x14ac:dyDescent="0.25">
      <c r="A7284" t="str">
        <f>"20190312172550180"</f>
        <v>20190312172550180</v>
      </c>
      <c r="B7284" t="str">
        <f>"1552382750177735"</f>
        <v>1552382750177735</v>
      </c>
      <c r="C7284" t="s">
        <v>40</v>
      </c>
      <c r="D7284">
        <v>3.8962370000000002</v>
      </c>
      <c r="E7284">
        <v>0.55754150000000002</v>
      </c>
      <c r="F7284" t="s">
        <v>43</v>
      </c>
      <c r="G7284">
        <v>-184.5069</v>
      </c>
      <c r="H7284" s="1">
        <v>-4.7432629999999996E-6</v>
      </c>
      <c r="I7284">
        <v>98.418109999999999</v>
      </c>
      <c r="J7284">
        <v>-187.46969999999999</v>
      </c>
      <c r="K7284">
        <v>1.110274</v>
      </c>
      <c r="L7284">
        <v>82.640500000000003</v>
      </c>
      <c r="M7284">
        <v>1.210144E-2</v>
      </c>
      <c r="N7284">
        <v>0</v>
      </c>
      <c r="O7284">
        <v>0.99982269999999895</v>
      </c>
      <c r="P7284">
        <v>4.0096819999999998E-2</v>
      </c>
      <c r="Q7284">
        <v>0.16174549999999999</v>
      </c>
      <c r="R7284">
        <v>0.98601760000000005</v>
      </c>
      <c r="S7284">
        <v>0.56364440000000005</v>
      </c>
      <c r="T7284">
        <v>-0.21094019999999999</v>
      </c>
      <c r="U7284">
        <v>3.0573730000000001</v>
      </c>
      <c r="V7284">
        <v>2.8219879999999999E-2</v>
      </c>
      <c r="W7284">
        <v>0.17594849999999901</v>
      </c>
      <c r="X7284">
        <v>0.98399479999999995</v>
      </c>
      <c r="Y7284">
        <v>0.1689687</v>
      </c>
      <c r="Z7284">
        <v>-6.7759780000000006E-2</v>
      </c>
      <c r="AA7284">
        <v>0.98328950000000004</v>
      </c>
      <c r="AB7284">
        <v>32</v>
      </c>
      <c r="AC7284">
        <v>2.9627999999999801</v>
      </c>
      <c r="AD7284">
        <v>-1.1102787432629999</v>
      </c>
      <c r="AE7284">
        <v>15.7776099999999</v>
      </c>
      <c r="AF7284">
        <v>2.7584368028528101</v>
      </c>
      <c r="AG7284">
        <v>-1.1102787432629999</v>
      </c>
      <c r="AH7284">
        <v>15.737036797165</v>
      </c>
      <c r="AI7284">
        <v>93.975235176570607</v>
      </c>
      <c r="AJ7284">
        <v>80.058016069431005</v>
      </c>
      <c r="AK7284">
        <v>16.0154931125582</v>
      </c>
      <c r="AL7284">
        <v>79.866140350726496</v>
      </c>
      <c r="AM7284">
        <v>88.357270833336202</v>
      </c>
      <c r="AN7284">
        <v>1.00000000135325</v>
      </c>
    </row>
    <row r="7285" spans="1:40" x14ac:dyDescent="0.25">
      <c r="A7285" t="str">
        <f>"20190312172550204"</f>
        <v>20190312172550204</v>
      </c>
      <c r="B7285" t="str">
        <f>"1552382750197255"</f>
        <v>1552382750197255</v>
      </c>
      <c r="C7285" t="s">
        <v>40</v>
      </c>
      <c r="D7285">
        <v>3.8968349999999998</v>
      </c>
      <c r="E7285">
        <v>0.55753790000000003</v>
      </c>
      <c r="F7285" t="s">
        <v>43</v>
      </c>
      <c r="G7285">
        <v>-184.4359</v>
      </c>
      <c r="H7285" s="1">
        <v>-4.8403330000000003E-6</v>
      </c>
      <c r="I7285">
        <v>98.615049999999997</v>
      </c>
      <c r="J7285">
        <v>-187.46549999999999</v>
      </c>
      <c r="K7285">
        <v>1.110277</v>
      </c>
      <c r="L7285">
        <v>82.968689999999995</v>
      </c>
      <c r="M7285">
        <v>1.2244720000000001E-2</v>
      </c>
      <c r="N7285">
        <v>0</v>
      </c>
      <c r="O7285">
        <v>0.99982099999999996</v>
      </c>
      <c r="P7285">
        <v>4.432461E-2</v>
      </c>
      <c r="Q7285">
        <v>0.1620442</v>
      </c>
      <c r="R7285">
        <v>0.98578750000000004</v>
      </c>
      <c r="S7285">
        <v>0.57994080000000003</v>
      </c>
      <c r="T7285">
        <v>-0.2122462</v>
      </c>
      <c r="U7285">
        <v>3.0537719999999999</v>
      </c>
      <c r="V7285">
        <v>3.23086E-2</v>
      </c>
      <c r="W7285">
        <v>0.17623949999999999</v>
      </c>
      <c r="X7285">
        <v>0.98381689999999999</v>
      </c>
      <c r="Y7285">
        <v>0.174095899999999</v>
      </c>
      <c r="Z7285">
        <v>-6.8192069999999994E-2</v>
      </c>
      <c r="AA7285">
        <v>0.98236469999999998</v>
      </c>
      <c r="AB7285">
        <v>32</v>
      </c>
      <c r="AC7285">
        <v>3.0295999999999799</v>
      </c>
      <c r="AD7285">
        <v>-1.1102818403329999</v>
      </c>
      <c r="AE7285">
        <v>15.6463599999999</v>
      </c>
      <c r="AF7285">
        <v>2.8240610214109201</v>
      </c>
      <c r="AG7285">
        <v>-1.1102818403329999</v>
      </c>
      <c r="AH7285">
        <v>15.606540900227399</v>
      </c>
      <c r="AI7285">
        <v>94.004468428275302</v>
      </c>
      <c r="AJ7285">
        <v>79.743108040427899</v>
      </c>
      <c r="AK7285">
        <v>15.8988101846678</v>
      </c>
      <c r="AL7285">
        <v>79.849202070378496</v>
      </c>
      <c r="AM7285">
        <v>88.119079491151894</v>
      </c>
      <c r="AN7285">
        <v>0.99999994985990803</v>
      </c>
    </row>
    <row r="7286" spans="1:40" x14ac:dyDescent="0.25">
      <c r="A7286" t="str">
        <f>"20190312172550227"</f>
        <v>20190312172550227</v>
      </c>
      <c r="B7286" t="str">
        <f>"1552382750217704"</f>
        <v>1552382750217704</v>
      </c>
      <c r="C7286" t="s">
        <v>40</v>
      </c>
      <c r="D7286">
        <v>3.8918370000000002</v>
      </c>
      <c r="E7286">
        <v>0.55725999999999998</v>
      </c>
      <c r="F7286" t="s">
        <v>43</v>
      </c>
      <c r="G7286">
        <v>-184.31649999999999</v>
      </c>
      <c r="H7286" s="1">
        <v>-5.0964970000000004E-6</v>
      </c>
      <c r="I7286">
        <v>99.162779999999998</v>
      </c>
      <c r="J7286">
        <v>-187.46119999999999</v>
      </c>
      <c r="K7286">
        <v>1.1102829999999999</v>
      </c>
      <c r="L7286">
        <v>83.301879999999997</v>
      </c>
      <c r="M7286">
        <v>1.238741E-2</v>
      </c>
      <c r="N7286">
        <v>0</v>
      </c>
      <c r="O7286">
        <v>0.99981929999999997</v>
      </c>
      <c r="P7286">
        <v>4.7557080000000002E-2</v>
      </c>
      <c r="Q7286">
        <v>0.1622701</v>
      </c>
      <c r="R7286">
        <v>0.98559969999999997</v>
      </c>
      <c r="S7286">
        <v>0.59327700000000005</v>
      </c>
      <c r="T7286">
        <v>-0.2091769</v>
      </c>
      <c r="U7286">
        <v>3.050964</v>
      </c>
      <c r="V7286">
        <v>3.5401839999999997E-2</v>
      </c>
      <c r="W7286">
        <v>0.17645920000000001</v>
      </c>
      <c r="X7286">
        <v>0.98367110000000002</v>
      </c>
      <c r="Y7286">
        <v>0.17827309999999999</v>
      </c>
      <c r="Z7286">
        <v>-6.7218109999999998E-2</v>
      </c>
      <c r="AA7286">
        <v>0.98168239999999996</v>
      </c>
      <c r="AB7286">
        <v>32</v>
      </c>
      <c r="AC7286">
        <v>3.1446999999999998</v>
      </c>
      <c r="AD7286">
        <v>-1.1102880964970001</v>
      </c>
      <c r="AE7286">
        <v>15.8608999999999</v>
      </c>
      <c r="AF7286">
        <v>2.9341287028390401</v>
      </c>
      <c r="AG7286">
        <v>-1.1102880964970001</v>
      </c>
      <c r="AH7286">
        <v>15.8240331150141</v>
      </c>
      <c r="AI7286">
        <v>93.946509856951295</v>
      </c>
      <c r="AJ7286">
        <v>79.495388015032105</v>
      </c>
      <c r="AK7286">
        <v>16.1320139761627</v>
      </c>
      <c r="AL7286">
        <v>79.836414137884503</v>
      </c>
      <c r="AM7286">
        <v>87.938842616046699</v>
      </c>
      <c r="AN7286">
        <v>0.99999998625761699</v>
      </c>
    </row>
    <row r="7287" spans="1:40" x14ac:dyDescent="0.25">
      <c r="A7287" t="str">
        <f>"20190312172550247"</f>
        <v>20190312172550247</v>
      </c>
      <c r="B7287" t="str">
        <f>"1552382750237225"</f>
        <v>1552382750237225</v>
      </c>
      <c r="C7287" t="s">
        <v>40</v>
      </c>
      <c r="D7287">
        <v>3.8890199999999999</v>
      </c>
      <c r="E7287">
        <v>0.55692739999999996</v>
      </c>
      <c r="F7287" t="s">
        <v>43</v>
      </c>
      <c r="G7287">
        <v>-184.2242</v>
      </c>
      <c r="H7287" s="1">
        <v>-1.558999E-6</v>
      </c>
      <c r="I7287">
        <v>99.713329999999999</v>
      </c>
      <c r="J7287">
        <v>-187.4573</v>
      </c>
      <c r="K7287">
        <v>1.1102909999999999</v>
      </c>
      <c r="L7287">
        <v>83.608760000000004</v>
      </c>
      <c r="M7287">
        <v>1.2516609999999999E-2</v>
      </c>
      <c r="N7287">
        <v>0</v>
      </c>
      <c r="O7287">
        <v>0.99981779999999998</v>
      </c>
      <c r="P7287">
        <v>4.8997600000000002E-2</v>
      </c>
      <c r="Q7287">
        <v>0.1623549</v>
      </c>
      <c r="R7287">
        <v>0.98551520000000004</v>
      </c>
      <c r="S7287">
        <v>0.60134889999999996</v>
      </c>
      <c r="T7287">
        <v>-0.20626040000000001</v>
      </c>
      <c r="U7287">
        <v>3.0487980000000001</v>
      </c>
      <c r="V7287">
        <v>3.6715060000000001E-2</v>
      </c>
      <c r="W7287">
        <v>0.17653949999999999</v>
      </c>
      <c r="X7287">
        <v>0.98360860000000006</v>
      </c>
      <c r="Y7287">
        <v>0.18079100000000001</v>
      </c>
      <c r="Z7287">
        <v>-6.6298999999999997E-2</v>
      </c>
      <c r="AA7287">
        <v>0.98128439999999995</v>
      </c>
      <c r="AB7287">
        <v>32</v>
      </c>
      <c r="AC7287">
        <v>3.2330999999999999</v>
      </c>
      <c r="AD7287">
        <v>-1.11029255899899</v>
      </c>
      <c r="AE7287">
        <v>16.104569999999899</v>
      </c>
      <c r="AF7287">
        <v>3.0174644692916801</v>
      </c>
      <c r="AG7287">
        <v>-1.11029255899899</v>
      </c>
      <c r="AH7287">
        <v>16.070355139488399</v>
      </c>
      <c r="AI7287">
        <v>93.884584310681007</v>
      </c>
      <c r="AJ7287">
        <v>79.365628679577</v>
      </c>
      <c r="AK7287">
        <v>16.388842414865302</v>
      </c>
      <c r="AL7287">
        <v>79.831740398938393</v>
      </c>
      <c r="AM7287">
        <v>87.862318599127804</v>
      </c>
      <c r="AN7287">
        <v>1.0000000343425</v>
      </c>
    </row>
    <row r="7288" spans="1:40" x14ac:dyDescent="0.25">
      <c r="A7288" t="str">
        <f>"20190312172550269"</f>
        <v>20190312172550269</v>
      </c>
      <c r="B7288" t="str">
        <f>"1552382750257724"</f>
        <v>1552382750257724</v>
      </c>
      <c r="C7288" t="s">
        <v>40</v>
      </c>
      <c r="D7288">
        <v>3.8448150000000001</v>
      </c>
      <c r="E7288">
        <v>0.55655650000000001</v>
      </c>
      <c r="F7288" t="s">
        <v>43</v>
      </c>
      <c r="G7288">
        <v>-184.172</v>
      </c>
      <c r="H7288" s="1">
        <v>-1.7417599999999999E-6</v>
      </c>
      <c r="I7288">
        <v>100.20950000000001</v>
      </c>
      <c r="J7288">
        <v>-187.45339999999999</v>
      </c>
      <c r="K7288">
        <v>1.1103069999999999</v>
      </c>
      <c r="L7288">
        <v>83.910519999999906</v>
      </c>
      <c r="M7288">
        <v>1.264155E-2</v>
      </c>
      <c r="N7288">
        <v>0</v>
      </c>
      <c r="O7288">
        <v>0.99981620000000004</v>
      </c>
      <c r="P7288">
        <v>4.9699970000000003E-2</v>
      </c>
      <c r="Q7288">
        <v>0.163159</v>
      </c>
      <c r="R7288">
        <v>0.98534719999999998</v>
      </c>
      <c r="S7288">
        <v>0.60313419999999995</v>
      </c>
      <c r="T7288">
        <v>-0.20383390000000001</v>
      </c>
      <c r="U7288">
        <v>3.0476679999999998</v>
      </c>
      <c r="V7288">
        <v>3.729561E-2</v>
      </c>
      <c r="W7288">
        <v>0.1773382</v>
      </c>
      <c r="X7288">
        <v>0.98344299999999996</v>
      </c>
      <c r="Y7288">
        <v>0.18129999999999999</v>
      </c>
      <c r="Z7288">
        <v>-6.5539260000000002E-2</v>
      </c>
      <c r="AA7288">
        <v>0.98124149999999999</v>
      </c>
      <c r="AB7288">
        <v>32</v>
      </c>
      <c r="AC7288">
        <v>3.2813999999999899</v>
      </c>
      <c r="AD7288">
        <v>-1.1103087417599999</v>
      </c>
      <c r="AE7288">
        <v>16.29898</v>
      </c>
      <c r="AF7288">
        <v>3.0614187738329499</v>
      </c>
      <c r="AG7288">
        <v>-1.1103087417599999</v>
      </c>
      <c r="AH7288">
        <v>16.266618435524499</v>
      </c>
      <c r="AI7288">
        <v>93.837608575347204</v>
      </c>
      <c r="AJ7288">
        <v>79.341464621421594</v>
      </c>
      <c r="AK7288">
        <v>16.589392566870899</v>
      </c>
      <c r="AL7288">
        <v>79.785243947406997</v>
      </c>
      <c r="AM7288">
        <v>87.828183722944203</v>
      </c>
      <c r="AN7288">
        <v>0.99999996697675497</v>
      </c>
    </row>
    <row r="7289" spans="1:40" x14ac:dyDescent="0.25">
      <c r="A7289" t="str">
        <f>"20190312172550291"</f>
        <v>20190312172550291</v>
      </c>
      <c r="B7289" t="str">
        <f>"1552382750287978"</f>
        <v>1552382750287978</v>
      </c>
      <c r="C7289" t="s">
        <v>40</v>
      </c>
      <c r="D7289">
        <v>3.8673320000000002</v>
      </c>
      <c r="E7289">
        <v>0.55602280000000004</v>
      </c>
      <c r="F7289" t="s">
        <v>43</v>
      </c>
      <c r="G7289">
        <v>-184.10890000000001</v>
      </c>
      <c r="H7289" s="1">
        <v>-1.9710740000000002E-6</v>
      </c>
      <c r="I7289">
        <v>100.83410000000001</v>
      </c>
      <c r="J7289">
        <v>-187.44919999999999</v>
      </c>
      <c r="K7289">
        <v>1.1103160000000001</v>
      </c>
      <c r="L7289">
        <v>84.227719999999906</v>
      </c>
      <c r="M7289">
        <v>1.2770470000000001E-2</v>
      </c>
      <c r="N7289">
        <v>0</v>
      </c>
      <c r="O7289">
        <v>0.9998146</v>
      </c>
      <c r="P7289">
        <v>4.9675570000000002E-2</v>
      </c>
      <c r="Q7289">
        <v>0.164459299999999</v>
      </c>
      <c r="R7289">
        <v>0.98513220000000001</v>
      </c>
      <c r="S7289">
        <v>0.60223389999999999</v>
      </c>
      <c r="T7289">
        <v>-0.19992960000000001</v>
      </c>
      <c r="U7289">
        <v>3.0473629999999998</v>
      </c>
      <c r="V7289">
        <v>3.71463E-2</v>
      </c>
      <c r="W7289">
        <v>0.17863229999999999</v>
      </c>
      <c r="X7289">
        <v>0.98321440000000004</v>
      </c>
      <c r="Y7289">
        <v>0.18092859999999999</v>
      </c>
      <c r="Z7289">
        <v>-6.429936E-2</v>
      </c>
      <c r="AA7289">
        <v>0.98139209999999999</v>
      </c>
      <c r="AB7289">
        <v>32</v>
      </c>
      <c r="AC7289">
        <v>3.3402999999999801</v>
      </c>
      <c r="AD7289">
        <v>-1.1103179710740001</v>
      </c>
      <c r="AE7289">
        <v>16.606380000000001</v>
      </c>
      <c r="AF7289">
        <v>3.1145524316639599</v>
      </c>
      <c r="AG7289">
        <v>-1.1103179710740001</v>
      </c>
      <c r="AH7289">
        <v>16.576465601365602</v>
      </c>
      <c r="AI7289">
        <v>93.766328788140697</v>
      </c>
      <c r="AJ7289">
        <v>79.358758760089501</v>
      </c>
      <c r="AK7289">
        <v>16.903030931751001</v>
      </c>
      <c r="AL7289">
        <v>79.709894212631497</v>
      </c>
      <c r="AM7289">
        <v>87.836367684418207</v>
      </c>
      <c r="AN7289">
        <v>0.99999995128716801</v>
      </c>
    </row>
    <row r="7290" spans="1:40" x14ac:dyDescent="0.25">
      <c r="A7290" t="str">
        <f>"20190312172550315"</f>
        <v>20190312172550315</v>
      </c>
      <c r="B7290" t="str">
        <f>"1552382750307497"</f>
        <v>1552382750307497</v>
      </c>
      <c r="C7290" t="s">
        <v>40</v>
      </c>
      <c r="D7290">
        <v>3.828354</v>
      </c>
      <c r="E7290">
        <v>0.55573300000000003</v>
      </c>
      <c r="F7290" t="s">
        <v>43</v>
      </c>
      <c r="G7290">
        <v>-184.04060000000001</v>
      </c>
      <c r="H7290" s="1">
        <v>-2.259841E-6</v>
      </c>
      <c r="I7290">
        <v>101.6292</v>
      </c>
      <c r="J7290">
        <v>-187.44470000000001</v>
      </c>
      <c r="K7290">
        <v>1.110322</v>
      </c>
      <c r="L7290">
        <v>84.56711</v>
      </c>
      <c r="M7290">
        <v>1.290584E-2</v>
      </c>
      <c r="N7290">
        <v>0</v>
      </c>
      <c r="O7290">
        <v>0.99981299999999995</v>
      </c>
      <c r="P7290">
        <v>5.0248939999999999E-2</v>
      </c>
      <c r="Q7290">
        <v>0.16423260000000001</v>
      </c>
      <c r="R7290">
        <v>0.98514100000000004</v>
      </c>
      <c r="S7290">
        <v>0.59698490000000004</v>
      </c>
      <c r="T7290">
        <v>-0.19445779999999999</v>
      </c>
      <c r="U7290">
        <v>3.0476380000000001</v>
      </c>
      <c r="V7290">
        <v>3.7585029999999998E-2</v>
      </c>
      <c r="W7290">
        <v>0.17840200000000001</v>
      </c>
      <c r="X7290">
        <v>0.98323959999999999</v>
      </c>
      <c r="Y7290">
        <v>0.17917230000000001</v>
      </c>
      <c r="Z7290">
        <v>-6.2561400000000003E-2</v>
      </c>
      <c r="AA7290">
        <v>0.98182650000000005</v>
      </c>
      <c r="AB7290">
        <v>32</v>
      </c>
      <c r="AC7290">
        <v>3.4041000000000001</v>
      </c>
      <c r="AD7290">
        <v>-1.1103242598409999</v>
      </c>
      <c r="AE7290">
        <v>17.062089999999898</v>
      </c>
      <c r="AF7290">
        <v>3.1706797416585202</v>
      </c>
      <c r="AG7290">
        <v>-1.1103242598409999</v>
      </c>
      <c r="AH7290">
        <v>17.035226543670198</v>
      </c>
      <c r="AI7290">
        <v>93.666368001356702</v>
      </c>
      <c r="AJ7290">
        <v>79.456475577932594</v>
      </c>
      <c r="AK7290">
        <v>17.363322648051</v>
      </c>
      <c r="AL7290">
        <v>79.723305454294206</v>
      </c>
      <c r="AM7290">
        <v>87.810894082438395</v>
      </c>
      <c r="AN7290">
        <v>1.0000000095461301</v>
      </c>
    </row>
    <row r="7291" spans="1:40" x14ac:dyDescent="0.25">
      <c r="A7291" t="str">
        <f>"20190312172550337"</f>
        <v>20190312172550337</v>
      </c>
      <c r="B7291" t="str">
        <f>"1552382750327597"</f>
        <v>1552382750327597</v>
      </c>
      <c r="C7291" t="s">
        <v>40</v>
      </c>
      <c r="D7291">
        <v>3.822673</v>
      </c>
      <c r="E7291">
        <v>0.55546019999999996</v>
      </c>
      <c r="F7291" t="s">
        <v>43</v>
      </c>
      <c r="G7291">
        <v>-184.0401</v>
      </c>
      <c r="H7291" s="1">
        <v>-2.3690149999999999E-6</v>
      </c>
      <c r="I7291">
        <v>101.9496</v>
      </c>
      <c r="J7291">
        <v>-187.44059999999999</v>
      </c>
      <c r="K7291">
        <v>1.1103270000000001</v>
      </c>
      <c r="L7291">
        <v>84.875460000000004</v>
      </c>
      <c r="M7291">
        <v>1.3026879999999999E-2</v>
      </c>
      <c r="N7291">
        <v>0</v>
      </c>
      <c r="O7291">
        <v>0.99981140000000002</v>
      </c>
      <c r="P7291">
        <v>5.1842010000000001E-2</v>
      </c>
      <c r="Q7291">
        <v>0.163379</v>
      </c>
      <c r="R7291">
        <v>0.98520030000000003</v>
      </c>
      <c r="S7291">
        <v>0.59686280000000003</v>
      </c>
      <c r="T7291">
        <v>-0.1946474</v>
      </c>
      <c r="U7291">
        <v>3.047272</v>
      </c>
      <c r="V7291">
        <v>3.905691E-2</v>
      </c>
      <c r="W7291">
        <v>0.17754610000000001</v>
      </c>
      <c r="X7291">
        <v>0.98333720000000002</v>
      </c>
      <c r="Y7291">
        <v>0.1790368</v>
      </c>
      <c r="Z7291">
        <v>-6.2630409999999997E-2</v>
      </c>
      <c r="AA7291">
        <v>0.98184689999999997</v>
      </c>
      <c r="AB7291">
        <v>32</v>
      </c>
      <c r="AC7291">
        <v>3.4004999999999899</v>
      </c>
      <c r="AD7291">
        <v>-1.110329369015</v>
      </c>
      <c r="AE7291">
        <v>17.07414</v>
      </c>
      <c r="AF7291">
        <v>3.1648922006551401</v>
      </c>
      <c r="AG7291">
        <v>-1.110329369015</v>
      </c>
      <c r="AH7291">
        <v>17.047651285535601</v>
      </c>
      <c r="AI7291">
        <v>93.664031901812507</v>
      </c>
      <c r="AJ7291">
        <v>79.482790068563006</v>
      </c>
      <c r="AK7291">
        <v>17.3744579283122</v>
      </c>
      <c r="AL7291">
        <v>79.773140984390196</v>
      </c>
      <c r="AM7291">
        <v>87.7254796721692</v>
      </c>
      <c r="AN7291">
        <v>1.0000000543738901</v>
      </c>
    </row>
    <row r="7292" spans="1:40" x14ac:dyDescent="0.25">
      <c r="A7292" t="str">
        <f>"20190312172550359"</f>
        <v>20190312172550359</v>
      </c>
      <c r="B7292" t="str">
        <f>"1552382750348093"</f>
        <v>1552382750348093</v>
      </c>
      <c r="C7292" t="s">
        <v>40</v>
      </c>
      <c r="D7292">
        <v>3.803105</v>
      </c>
      <c r="E7292">
        <v>0.55518469999999998</v>
      </c>
      <c r="F7292" t="s">
        <v>43</v>
      </c>
      <c r="G7292">
        <v>-184.0444</v>
      </c>
      <c r="H7292" s="1">
        <v>-2.4169530000000001E-6</v>
      </c>
      <c r="I7292">
        <v>102.0938</v>
      </c>
      <c r="J7292">
        <v>-187.4365</v>
      </c>
      <c r="K7292">
        <v>1.110328</v>
      </c>
      <c r="L7292">
        <v>85.183869999999999</v>
      </c>
      <c r="M7292">
        <v>1.3147290000000001E-2</v>
      </c>
      <c r="N7292">
        <v>0</v>
      </c>
      <c r="O7292">
        <v>0.99980990000000003</v>
      </c>
      <c r="P7292">
        <v>5.452767E-2</v>
      </c>
      <c r="Q7292">
        <v>0.16348019999999999</v>
      </c>
      <c r="R7292">
        <v>0.98503859999999999</v>
      </c>
      <c r="S7292">
        <v>0.60081479999999998</v>
      </c>
      <c r="T7292">
        <v>-0.19642309999999999</v>
      </c>
      <c r="U7292">
        <v>3.0460210000000001</v>
      </c>
      <c r="V7292">
        <v>4.162515E-2</v>
      </c>
      <c r="W7292">
        <v>0.177642299999999</v>
      </c>
      <c r="X7292">
        <v>0.98321440000000004</v>
      </c>
      <c r="Y7292">
        <v>0.1802136</v>
      </c>
      <c r="Z7292">
        <v>-6.3210000000000002E-2</v>
      </c>
      <c r="AA7292">
        <v>0.98159439999999998</v>
      </c>
      <c r="AB7292">
        <v>32</v>
      </c>
      <c r="AC7292">
        <v>3.3920999999999899</v>
      </c>
      <c r="AD7292">
        <v>-1.1103304169529999</v>
      </c>
      <c r="AE7292">
        <v>16.909929999999999</v>
      </c>
      <c r="AF7292">
        <v>3.1563818738034302</v>
      </c>
      <c r="AG7292">
        <v>-1.1103304169529999</v>
      </c>
      <c r="AH7292">
        <v>16.8830952705888</v>
      </c>
      <c r="AI7292">
        <v>93.698782168248201</v>
      </c>
      <c r="AJ7292">
        <v>79.410504213445407</v>
      </c>
      <c r="AK7292">
        <v>17.211463798406601</v>
      </c>
      <c r="AL7292">
        <v>79.767539516057397</v>
      </c>
      <c r="AM7292">
        <v>87.575786027535003</v>
      </c>
      <c r="AN7292">
        <v>0.99999999811458595</v>
      </c>
    </row>
    <row r="7293" spans="1:40" x14ac:dyDescent="0.25">
      <c r="A7293" t="str">
        <f>"20190312172550381"</f>
        <v>20190312172550381</v>
      </c>
      <c r="B7293" t="str">
        <f>"1552382750377373"</f>
        <v>1552382750377373</v>
      </c>
      <c r="C7293" t="s">
        <v>40</v>
      </c>
      <c r="D7293">
        <v>3.8313540000000001</v>
      </c>
      <c r="E7293">
        <v>0.55471219999999999</v>
      </c>
      <c r="F7293" t="s">
        <v>43</v>
      </c>
      <c r="G7293">
        <v>-183.9716</v>
      </c>
      <c r="H7293" s="1">
        <v>-2.5837459999999999E-6</v>
      </c>
      <c r="I7293">
        <v>102.5271</v>
      </c>
      <c r="J7293">
        <v>-187.4323</v>
      </c>
      <c r="K7293">
        <v>1.1103369999999999</v>
      </c>
      <c r="L7293">
        <v>85.489469999999997</v>
      </c>
      <c r="M7293">
        <v>1.326599E-2</v>
      </c>
      <c r="N7293">
        <v>0</v>
      </c>
      <c r="O7293">
        <v>0.99980840000000004</v>
      </c>
      <c r="P7293">
        <v>5.7702740000000002E-2</v>
      </c>
      <c r="Q7293">
        <v>0.16384789999999999</v>
      </c>
      <c r="R7293">
        <v>0.98479660000000002</v>
      </c>
      <c r="S7293">
        <v>0.60818479999999997</v>
      </c>
      <c r="T7293">
        <v>-0.19489600000000001</v>
      </c>
      <c r="U7293">
        <v>3.0442499999999999</v>
      </c>
      <c r="V7293">
        <v>4.4685830000000003E-2</v>
      </c>
      <c r="W7293">
        <v>0.17800270000000001</v>
      </c>
      <c r="X7293">
        <v>0.98301490000000002</v>
      </c>
      <c r="Y7293">
        <v>0.18249699999999999</v>
      </c>
      <c r="Z7293">
        <v>-6.2728129999999993E-2</v>
      </c>
      <c r="AA7293">
        <v>0.98120339999999995</v>
      </c>
      <c r="AB7293">
        <v>32</v>
      </c>
      <c r="AC7293">
        <v>3.4607000000000001</v>
      </c>
      <c r="AD7293">
        <v>-1.1103395837459999</v>
      </c>
      <c r="AE7293">
        <v>17.03763</v>
      </c>
      <c r="AF7293">
        <v>3.22121220437861</v>
      </c>
      <c r="AG7293">
        <v>-1.1103395837459999</v>
      </c>
      <c r="AH7293">
        <v>17.012653191441402</v>
      </c>
      <c r="AI7293">
        <v>93.669134556512105</v>
      </c>
      <c r="AJ7293">
        <v>79.278416467801804</v>
      </c>
      <c r="AK7293">
        <v>17.350487908676602</v>
      </c>
      <c r="AL7293">
        <v>79.746556113808396</v>
      </c>
      <c r="AM7293">
        <v>87.397243841718605</v>
      </c>
      <c r="AN7293">
        <v>1.00000003911604</v>
      </c>
    </row>
    <row r="7294" spans="1:40" x14ac:dyDescent="0.25">
      <c r="A7294" t="str">
        <f>"20190312172550404"</f>
        <v>20190312172550404</v>
      </c>
      <c r="B7294" t="str">
        <f>"1552382750397869"</f>
        <v>1552382750397869</v>
      </c>
      <c r="C7294" t="s">
        <v>40</v>
      </c>
      <c r="D7294">
        <v>3.7913730000000001</v>
      </c>
      <c r="E7294">
        <v>0.55440710000000004</v>
      </c>
      <c r="F7294" t="s">
        <v>43</v>
      </c>
      <c r="G7294">
        <v>-183.89089999999999</v>
      </c>
      <c r="H7294" s="1">
        <v>-2.7716560000000001E-6</v>
      </c>
      <c r="I7294">
        <v>103.0162</v>
      </c>
      <c r="J7294">
        <v>-187.42789999999999</v>
      </c>
      <c r="K7294">
        <v>1.1103449999999999</v>
      </c>
      <c r="L7294">
        <v>85.814149999999998</v>
      </c>
      <c r="M7294">
        <v>1.339189E-2</v>
      </c>
      <c r="N7294">
        <v>0</v>
      </c>
      <c r="O7294">
        <v>0.9998068</v>
      </c>
      <c r="P7294">
        <v>6.1280710000000002E-2</v>
      </c>
      <c r="Q7294">
        <v>0.16427739999999999</v>
      </c>
      <c r="R7294">
        <v>0.98450879999999996</v>
      </c>
      <c r="S7294">
        <v>0.61473080000000002</v>
      </c>
      <c r="T7294">
        <v>-0.19273750000000001</v>
      </c>
      <c r="U7294">
        <v>3.0423580000000001</v>
      </c>
      <c r="V7294">
        <v>4.8143039999999998E-2</v>
      </c>
      <c r="W7294">
        <v>0.178425</v>
      </c>
      <c r="X7294">
        <v>0.98277499999999995</v>
      </c>
      <c r="Y7294">
        <v>0.18452760000000001</v>
      </c>
      <c r="Z7294">
        <v>-6.2048800000000001E-2</v>
      </c>
      <c r="AA7294">
        <v>0.98086669999999998</v>
      </c>
      <c r="AB7294">
        <v>32</v>
      </c>
      <c r="AC7294">
        <v>3.5369999999999999</v>
      </c>
      <c r="AD7294">
        <v>-1.110347771656</v>
      </c>
      <c r="AE7294">
        <v>17.20205</v>
      </c>
      <c r="AF7294">
        <v>3.2931270972664999</v>
      </c>
      <c r="AG7294">
        <v>-1.110347771656</v>
      </c>
      <c r="AH7294">
        <v>17.179207464350899</v>
      </c>
      <c r="AI7294">
        <v>93.632118750687695</v>
      </c>
      <c r="AJ7294">
        <v>79.148461666899394</v>
      </c>
      <c r="AK7294">
        <v>17.527199643867299</v>
      </c>
      <c r="AL7294">
        <v>79.721965718879702</v>
      </c>
      <c r="AM7294">
        <v>87.195502807522303</v>
      </c>
      <c r="AN7294">
        <v>0.99999996677521996</v>
      </c>
    </row>
    <row r="7295" spans="1:40" x14ac:dyDescent="0.25">
      <c r="A7295" t="str">
        <f>"20190312172550428"</f>
        <v>20190312172550428</v>
      </c>
      <c r="B7295" t="str">
        <f>"1552382750417475"</f>
        <v>1552382750417475</v>
      </c>
      <c r="C7295" t="s">
        <v>40</v>
      </c>
      <c r="D7295">
        <v>3.8178809999999999</v>
      </c>
      <c r="E7295">
        <v>0.55413009999999996</v>
      </c>
      <c r="F7295" t="s">
        <v>43</v>
      </c>
      <c r="G7295">
        <v>-183.78559999999999</v>
      </c>
      <c r="H7295" s="1">
        <v>-2.9801559999999999E-6</v>
      </c>
      <c r="I7295">
        <v>103.54649999999999</v>
      </c>
      <c r="J7295">
        <v>-187.42310000000001</v>
      </c>
      <c r="K7295">
        <v>1.110349</v>
      </c>
      <c r="L7295">
        <v>86.156130000000005</v>
      </c>
      <c r="M7295">
        <v>1.352453E-2</v>
      </c>
      <c r="N7295">
        <v>0</v>
      </c>
      <c r="O7295">
        <v>0.99980500000000005</v>
      </c>
      <c r="P7295">
        <v>6.6691169999999994E-2</v>
      </c>
      <c r="Q7295">
        <v>0.1646716</v>
      </c>
      <c r="R7295">
        <v>0.98409120000000005</v>
      </c>
      <c r="S7295">
        <v>0.62445069999999903</v>
      </c>
      <c r="T7295">
        <v>-0.19036230000000001</v>
      </c>
      <c r="U7295">
        <v>3.0400999999999998</v>
      </c>
      <c r="V7295">
        <v>5.3427799999999998E-2</v>
      </c>
      <c r="W7295">
        <v>0.17880869999999999</v>
      </c>
      <c r="X7295">
        <v>0.98243210000000003</v>
      </c>
      <c r="Y7295">
        <v>0.18755820000000001</v>
      </c>
      <c r="Z7295">
        <v>-6.1294349999999997E-2</v>
      </c>
      <c r="AA7295">
        <v>0.98033919999999997</v>
      </c>
      <c r="AB7295">
        <v>32</v>
      </c>
      <c r="AC7295">
        <v>3.6375000000000099</v>
      </c>
      <c r="AD7295">
        <v>-1.110351980156</v>
      </c>
      <c r="AE7295">
        <v>17.390369999999901</v>
      </c>
      <c r="AF7295">
        <v>3.38871078150853</v>
      </c>
      <c r="AG7295">
        <v>-1.110351980156</v>
      </c>
      <c r="AH7295">
        <v>17.370135934417501</v>
      </c>
      <c r="AI7295">
        <v>93.5900467019827</v>
      </c>
      <c r="AJ7295">
        <v>78.960915628728799</v>
      </c>
      <c r="AK7295">
        <v>17.7323959086382</v>
      </c>
      <c r="AL7295">
        <v>79.699621900077105</v>
      </c>
      <c r="AM7295">
        <v>86.887138623577997</v>
      </c>
      <c r="AN7295">
        <v>0.99999995605946901</v>
      </c>
    </row>
    <row r="7296" spans="1:40" x14ac:dyDescent="0.25">
      <c r="A7296" t="str">
        <f>"20190312172550459"</f>
        <v>20190312172550459</v>
      </c>
      <c r="B7296" t="str">
        <f>"1552382750447734"</f>
        <v>1552382750447734</v>
      </c>
      <c r="C7296" t="s">
        <v>40</v>
      </c>
      <c r="D7296">
        <v>3.799588</v>
      </c>
      <c r="E7296">
        <v>0.55370769999999903</v>
      </c>
      <c r="F7296" t="s">
        <v>43</v>
      </c>
      <c r="G7296">
        <v>-183.64160000000001</v>
      </c>
      <c r="H7296" s="1">
        <v>-3.2015390000000002E-6</v>
      </c>
      <c r="I7296">
        <v>104.08450000000001</v>
      </c>
      <c r="J7296">
        <v>-187.417</v>
      </c>
      <c r="K7296">
        <v>1.1103099999999999</v>
      </c>
      <c r="L7296">
        <v>86.593109999999996</v>
      </c>
      <c r="M7296">
        <v>1.369425E-2</v>
      </c>
      <c r="N7296">
        <v>0</v>
      </c>
      <c r="O7296">
        <v>0.99980279999999999</v>
      </c>
      <c r="P7296">
        <v>7.2830010000000001E-2</v>
      </c>
      <c r="Q7296">
        <v>0.1595106</v>
      </c>
      <c r="R7296">
        <v>0.98450610000000005</v>
      </c>
      <c r="S7296">
        <v>0.64047240000000005</v>
      </c>
      <c r="T7296">
        <v>-0.18806220000000001</v>
      </c>
      <c r="U7296">
        <v>3.0365600000000001</v>
      </c>
      <c r="V7296">
        <v>5.9391390000000002E-2</v>
      </c>
      <c r="W7296">
        <v>0.17364939999999901</v>
      </c>
      <c r="X7296">
        <v>0.98301510000000003</v>
      </c>
      <c r="Y7296">
        <v>0.1925809</v>
      </c>
      <c r="Z7296">
        <v>-6.056334E-2</v>
      </c>
      <c r="AA7296">
        <v>0.97941040000000001</v>
      </c>
      <c r="AB7296">
        <v>32</v>
      </c>
      <c r="AC7296">
        <v>3.7753999999999901</v>
      </c>
      <c r="AD7296">
        <v>-1.110313201539</v>
      </c>
      <c r="AE7296">
        <v>17.491389999999999</v>
      </c>
      <c r="AF7296">
        <v>3.5219300529497799</v>
      </c>
      <c r="AG7296">
        <v>-1.110313201539</v>
      </c>
      <c r="AH7296">
        <v>17.474179620628799</v>
      </c>
      <c r="AI7296">
        <v>93.564215880739795</v>
      </c>
      <c r="AJ7296">
        <v>78.604671454958705</v>
      </c>
      <c r="AK7296">
        <v>17.860115904365902</v>
      </c>
      <c r="AL7296">
        <v>79.999929582948795</v>
      </c>
      <c r="AM7296">
        <v>86.542530685644095</v>
      </c>
      <c r="AN7296">
        <v>1.0000000690772399</v>
      </c>
    </row>
    <row r="7297" spans="1:40" x14ac:dyDescent="0.25">
      <c r="A7297" t="str">
        <f>"20190312172550481"</f>
        <v>20190312172550481</v>
      </c>
      <c r="B7297" t="str">
        <f>"1552382750477987"</f>
        <v>1552382750477987</v>
      </c>
      <c r="C7297" t="s">
        <v>40</v>
      </c>
      <c r="D7297">
        <v>3.779433</v>
      </c>
      <c r="E7297">
        <v>0.55326319999999996</v>
      </c>
      <c r="F7297" t="s">
        <v>43</v>
      </c>
      <c r="G7297">
        <v>-183.81180000000001</v>
      </c>
      <c r="H7297" s="1">
        <v>-2.8558369999999998E-6</v>
      </c>
      <c r="I7297">
        <v>103.2017</v>
      </c>
      <c r="J7297">
        <v>-187.4126</v>
      </c>
      <c r="K7297">
        <v>1.110301</v>
      </c>
      <c r="L7297">
        <v>86.901340000000005</v>
      </c>
      <c r="M7297">
        <v>1.3814409999999999E-2</v>
      </c>
      <c r="N7297">
        <v>0</v>
      </c>
      <c r="O7297">
        <v>0.99980119999999895</v>
      </c>
      <c r="P7297">
        <v>7.7621910000000002E-2</v>
      </c>
      <c r="Q7297">
        <v>0.15695529999999999</v>
      </c>
      <c r="R7297">
        <v>0.98455060000000005</v>
      </c>
      <c r="S7297">
        <v>0.65800479999999995</v>
      </c>
      <c r="T7297">
        <v>-0.2026522</v>
      </c>
      <c r="U7297">
        <v>3.0313720000000002</v>
      </c>
      <c r="V7297">
        <v>6.4062830000000001E-2</v>
      </c>
      <c r="W7297">
        <v>0.1710914</v>
      </c>
      <c r="X7297">
        <v>0.98317019999999999</v>
      </c>
      <c r="Y7297">
        <v>0.1981513</v>
      </c>
      <c r="Z7297">
        <v>-6.5275330000000006E-2</v>
      </c>
      <c r="AA7297">
        <v>0.97799550000000002</v>
      </c>
      <c r="AB7297">
        <v>32</v>
      </c>
      <c r="AC7297">
        <v>3.6007999999999898</v>
      </c>
      <c r="AD7297">
        <v>-1.110303855837</v>
      </c>
      <c r="AE7297">
        <v>16.300359999999898</v>
      </c>
      <c r="AF7297">
        <v>3.3603874464232901</v>
      </c>
      <c r="AG7297">
        <v>-1.110303855837</v>
      </c>
      <c r="AH7297">
        <v>16.276547804132601</v>
      </c>
      <c r="AI7297">
        <v>93.822024612503597</v>
      </c>
      <c r="AJ7297">
        <v>78.334850384485506</v>
      </c>
      <c r="AK7297">
        <v>16.6568600541212</v>
      </c>
      <c r="AL7297">
        <v>80.148718366446104</v>
      </c>
      <c r="AM7297">
        <v>86.271908715488095</v>
      </c>
      <c r="AN7297">
        <v>0.99999997775480398</v>
      </c>
    </row>
    <row r="7298" spans="1:40" x14ac:dyDescent="0.25">
      <c r="A7298" t="str">
        <f>"20190312172550505"</f>
        <v>20190312172550505</v>
      </c>
      <c r="B7298" t="str">
        <f>"1552382750497507"</f>
        <v>1552382750497507</v>
      </c>
      <c r="C7298" t="s">
        <v>40</v>
      </c>
      <c r="D7298">
        <v>3.8372329999999999</v>
      </c>
      <c r="E7298">
        <v>0.55286880000000005</v>
      </c>
      <c r="F7298" t="s">
        <v>43</v>
      </c>
      <c r="G7298">
        <v>-183.8631</v>
      </c>
      <c r="H7298" s="1">
        <v>-2.748307E-6</v>
      </c>
      <c r="I7298">
        <v>102.9258</v>
      </c>
      <c r="J7298">
        <v>-187.40799999999999</v>
      </c>
      <c r="K7298">
        <v>1.1102909999999999</v>
      </c>
      <c r="L7298">
        <v>87.22681</v>
      </c>
      <c r="M7298">
        <v>1.394109E-2</v>
      </c>
      <c r="N7298">
        <v>0</v>
      </c>
      <c r="O7298">
        <v>0.99979949999999995</v>
      </c>
      <c r="P7298">
        <v>8.1957559999999999E-2</v>
      </c>
      <c r="Q7298">
        <v>0.1539691</v>
      </c>
      <c r="R7298">
        <v>0.98467079999999996</v>
      </c>
      <c r="S7298">
        <v>0.67063899999999999</v>
      </c>
      <c r="T7298">
        <v>-0.20977960000000001</v>
      </c>
      <c r="U7298">
        <v>3.0276489999999998</v>
      </c>
      <c r="V7298">
        <v>6.8270520000000001E-2</v>
      </c>
      <c r="W7298">
        <v>0.16810359999999999</v>
      </c>
      <c r="X7298">
        <v>0.98340240000000001</v>
      </c>
      <c r="Y7298">
        <v>0.20213519999999999</v>
      </c>
      <c r="Z7298">
        <v>-6.7583679999999993E-2</v>
      </c>
      <c r="AA7298">
        <v>0.97702290000000003</v>
      </c>
      <c r="AB7298">
        <v>31</v>
      </c>
      <c r="AC7298">
        <v>3.5448999999999802</v>
      </c>
      <c r="AD7298">
        <v>-1.1102937483069999</v>
      </c>
      <c r="AE7298">
        <v>15.698989999999901</v>
      </c>
      <c r="AF7298">
        <v>3.3099191873517002</v>
      </c>
      <c r="AG7298">
        <v>-1.1102937483069999</v>
      </c>
      <c r="AH7298">
        <v>15.672301150029</v>
      </c>
      <c r="AI7298">
        <v>93.965134451319599</v>
      </c>
      <c r="AJ7298">
        <v>78.074633724654802</v>
      </c>
      <c r="AK7298">
        <v>16.056442338560799</v>
      </c>
      <c r="AL7298">
        <v>80.322423205548205</v>
      </c>
      <c r="AM7298">
        <v>86.028739875869505</v>
      </c>
      <c r="AN7298">
        <v>0.99999998227989495</v>
      </c>
    </row>
    <row r="7299" spans="1:40" x14ac:dyDescent="0.25">
      <c r="A7299" t="str">
        <f>"20190312172550526"</f>
        <v>20190312172550526</v>
      </c>
      <c r="B7299" t="str">
        <f>"1552382750518010"</f>
        <v>1552382750518010</v>
      </c>
      <c r="C7299" t="s">
        <v>40</v>
      </c>
      <c r="D7299">
        <v>3.835153</v>
      </c>
      <c r="E7299">
        <v>0.54003639999999997</v>
      </c>
      <c r="F7299" t="s">
        <v>43</v>
      </c>
      <c r="G7299">
        <v>-183.9599</v>
      </c>
      <c r="H7299" s="1">
        <v>-2.592991E-6</v>
      </c>
      <c r="I7299">
        <v>102.54510000000001</v>
      </c>
      <c r="J7299">
        <v>-187.4034</v>
      </c>
      <c r="K7299">
        <v>1.1102909999999999</v>
      </c>
      <c r="L7299">
        <v>87.542879999999997</v>
      </c>
      <c r="M7299">
        <v>1.4064480000000001E-2</v>
      </c>
      <c r="N7299">
        <v>0</v>
      </c>
      <c r="O7299">
        <v>0.99979779999999996</v>
      </c>
      <c r="P7299">
        <v>8.5575709999999999E-2</v>
      </c>
      <c r="Q7299">
        <v>0.152111</v>
      </c>
      <c r="R7299">
        <v>0.98465170000000002</v>
      </c>
      <c r="S7299">
        <v>0.68075559999999902</v>
      </c>
      <c r="T7299">
        <v>-0.2192076</v>
      </c>
      <c r="U7299">
        <v>3.0243229999999999</v>
      </c>
      <c r="V7299">
        <v>7.1766220000000006E-2</v>
      </c>
      <c r="W7299">
        <v>0.16624239999999901</v>
      </c>
      <c r="X7299">
        <v>0.98346990000000001</v>
      </c>
      <c r="Y7299">
        <v>0.20530670000000001</v>
      </c>
      <c r="Z7299">
        <v>-7.0632299999999995E-2</v>
      </c>
      <c r="AA7299">
        <v>0.97614559999999995</v>
      </c>
      <c r="AB7299">
        <v>31</v>
      </c>
      <c r="AC7299">
        <v>3.4434999999999998</v>
      </c>
      <c r="AD7299">
        <v>-1.1102935929909901</v>
      </c>
      <c r="AE7299">
        <v>15.0022199999999</v>
      </c>
      <c r="AF7299">
        <v>3.2154088728820498</v>
      </c>
      <c r="AG7299">
        <v>-1.1102935929909901</v>
      </c>
      <c r="AH7299">
        <v>14.971274133034999</v>
      </c>
      <c r="AI7299">
        <v>94.147153802482194</v>
      </c>
      <c r="AJ7299">
        <v>77.878612583528707</v>
      </c>
      <c r="AK7299">
        <v>15.352871237945299</v>
      </c>
      <c r="AL7299">
        <v>80.430584243715501</v>
      </c>
      <c r="AM7299">
        <v>85.826383552639498</v>
      </c>
      <c r="AN7299">
        <v>0.99999998504842902</v>
      </c>
    </row>
    <row r="7300" spans="1:40" x14ac:dyDescent="0.25">
      <c r="A7300" t="str">
        <f>"20190312172550549"</f>
        <v>20190312172550549</v>
      </c>
      <c r="B7300" t="str">
        <f>"1552382750537527"</f>
        <v>1552382750537527</v>
      </c>
      <c r="C7300" t="s">
        <v>40</v>
      </c>
      <c r="D7300">
        <v>3.844233</v>
      </c>
      <c r="E7300">
        <v>0.53990909999999903</v>
      </c>
      <c r="F7300" t="s">
        <v>43</v>
      </c>
      <c r="G7300">
        <v>-184.45869999999999</v>
      </c>
      <c r="H7300" s="1">
        <v>-2.5030430000000001E-6</v>
      </c>
      <c r="I7300">
        <v>102.6708</v>
      </c>
      <c r="J7300">
        <v>-187.399</v>
      </c>
      <c r="K7300">
        <v>1.1103019999999999</v>
      </c>
      <c r="L7300">
        <v>87.849950000000007</v>
      </c>
      <c r="M7300">
        <v>1.418413E-2</v>
      </c>
      <c r="N7300">
        <v>0</v>
      </c>
      <c r="O7300">
        <v>0.99979620000000002</v>
      </c>
      <c r="P7300">
        <v>8.860999E-2</v>
      </c>
      <c r="Q7300">
        <v>0.15255659999999999</v>
      </c>
      <c r="R7300">
        <v>0.98431440000000003</v>
      </c>
      <c r="S7300">
        <v>0.5897675</v>
      </c>
      <c r="T7300">
        <v>-0.2223716</v>
      </c>
      <c r="U7300">
        <v>3.029846</v>
      </c>
      <c r="V7300">
        <v>7.468706E-2</v>
      </c>
      <c r="W7300">
        <v>0.1666792</v>
      </c>
      <c r="X7300">
        <v>0.98317849999999996</v>
      </c>
      <c r="Y7300">
        <v>0.17662829999999999</v>
      </c>
      <c r="Z7300">
        <v>-7.193898E-2</v>
      </c>
      <c r="AA7300">
        <v>0.9816452</v>
      </c>
      <c r="AB7300">
        <v>31</v>
      </c>
      <c r="AC7300">
        <v>2.9403000000000001</v>
      </c>
      <c r="AD7300">
        <v>-1.1103045030429901</v>
      </c>
      <c r="AE7300">
        <v>14.820849999999901</v>
      </c>
      <c r="AF7300">
        <v>2.7151007554027902</v>
      </c>
      <c r="AG7300">
        <v>-1.1103045030429901</v>
      </c>
      <c r="AH7300">
        <v>14.7812537259608</v>
      </c>
      <c r="AI7300">
        <v>94.225318362983202</v>
      </c>
      <c r="AJ7300">
        <v>79.591626477730003</v>
      </c>
      <c r="AK7300">
        <v>15.0695059611354</v>
      </c>
      <c r="AL7300">
        <v>80.405203844487104</v>
      </c>
      <c r="AM7300">
        <v>85.655874976678405</v>
      </c>
      <c r="AN7300">
        <v>1.0000000377531599</v>
      </c>
    </row>
    <row r="7301" spans="1:40" x14ac:dyDescent="0.25">
      <c r="A7301" t="str">
        <f>"20190312172550570"</f>
        <v>20190312172550570</v>
      </c>
      <c r="B7301" t="str">
        <f>"1552382750567779"</f>
        <v>1552382750567779</v>
      </c>
      <c r="C7301" t="s">
        <v>40</v>
      </c>
      <c r="D7301">
        <v>3.8312179999999998</v>
      </c>
      <c r="E7301">
        <v>0.53927720000000001</v>
      </c>
      <c r="F7301" t="s">
        <v>43</v>
      </c>
      <c r="G7301">
        <v>-184.4323</v>
      </c>
      <c r="H7301" s="1">
        <v>-2.5764360000000002E-6</v>
      </c>
      <c r="I7301">
        <v>102.86579999999999</v>
      </c>
      <c r="J7301">
        <v>-187.3946</v>
      </c>
      <c r="K7301">
        <v>1.110312</v>
      </c>
      <c r="L7301">
        <v>88.150090000000006</v>
      </c>
      <c r="M7301">
        <v>1.4301019999999999E-2</v>
      </c>
      <c r="N7301">
        <v>0</v>
      </c>
      <c r="O7301">
        <v>0.99979450000000003</v>
      </c>
      <c r="P7301">
        <v>8.924224E-2</v>
      </c>
      <c r="Q7301">
        <v>0.15430350000000001</v>
      </c>
      <c r="R7301">
        <v>0.98398490000000005</v>
      </c>
      <c r="S7301">
        <v>0.59837340000000006</v>
      </c>
      <c r="T7301">
        <v>-0.22394559999999999</v>
      </c>
      <c r="U7301">
        <v>3.0286559999999998</v>
      </c>
      <c r="V7301">
        <v>7.5209189999999995E-2</v>
      </c>
      <c r="W7301">
        <v>0.16841800000000001</v>
      </c>
      <c r="X7301">
        <v>0.98284229999999995</v>
      </c>
      <c r="Y7301">
        <v>0.179263899999999</v>
      </c>
      <c r="Z7301">
        <v>-7.2436189999999998E-2</v>
      </c>
      <c r="AA7301">
        <v>0.98113070000000002</v>
      </c>
      <c r="AB7301">
        <v>31</v>
      </c>
      <c r="AC7301">
        <v>2.9622999999999902</v>
      </c>
      <c r="AD7301">
        <v>-1.1103145764360001</v>
      </c>
      <c r="AE7301">
        <v>14.7157099999999</v>
      </c>
      <c r="AF7301">
        <v>2.7365535296108598</v>
      </c>
      <c r="AG7301">
        <v>-1.1103145764360001</v>
      </c>
      <c r="AH7301">
        <v>14.6762770417927</v>
      </c>
      <c r="AI7301">
        <v>94.253363809264897</v>
      </c>
      <c r="AJ7301">
        <v>79.4378631692434</v>
      </c>
      <c r="AK7301">
        <v>14.9704586264591</v>
      </c>
      <c r="AL7301">
        <v>80.304149194316906</v>
      </c>
      <c r="AM7301">
        <v>85.624132560452196</v>
      </c>
      <c r="AN7301">
        <v>1.00000001582687</v>
      </c>
    </row>
    <row r="7302" spans="1:40" x14ac:dyDescent="0.25">
      <c r="A7302" t="str">
        <f>"20190312172550594"</f>
        <v>20190312172550594</v>
      </c>
      <c r="B7302" t="str">
        <f>"1552382750587300"</f>
        <v>1552382750587300</v>
      </c>
      <c r="C7302" t="s">
        <v>40</v>
      </c>
      <c r="D7302">
        <v>3.7775799999999999</v>
      </c>
      <c r="E7302">
        <v>0.53939939999999997</v>
      </c>
      <c r="F7302" t="s">
        <v>43</v>
      </c>
      <c r="G7302">
        <v>-184.3691</v>
      </c>
      <c r="H7302" s="1">
        <v>-2.8277099999999902E-6</v>
      </c>
      <c r="I7302">
        <v>103.5547</v>
      </c>
      <c r="J7302">
        <v>-187.38980000000001</v>
      </c>
      <c r="K7302">
        <v>1.1103130000000001</v>
      </c>
      <c r="L7302">
        <v>88.477689999999996</v>
      </c>
      <c r="M7302">
        <v>1.4428740000000001E-2</v>
      </c>
      <c r="N7302">
        <v>0</v>
      </c>
      <c r="O7302">
        <v>0.99979280000000004</v>
      </c>
      <c r="P7302">
        <v>8.7587180000000001E-2</v>
      </c>
      <c r="Q7302">
        <v>0.15455039999999901</v>
      </c>
      <c r="R7302">
        <v>0.98409489999999999</v>
      </c>
      <c r="S7302">
        <v>0.59492489999999998</v>
      </c>
      <c r="T7302">
        <v>-0.21832799999999999</v>
      </c>
      <c r="U7302">
        <v>3.0291139999999999</v>
      </c>
      <c r="V7302">
        <v>7.3426779999999997E-2</v>
      </c>
      <c r="W7302">
        <v>0.16866339999999999</v>
      </c>
      <c r="X7302">
        <v>0.982935</v>
      </c>
      <c r="Y7302">
        <v>0.17805960000000001</v>
      </c>
      <c r="Z7302">
        <v>-7.0633290000000001E-2</v>
      </c>
      <c r="AA7302">
        <v>0.98148139999999995</v>
      </c>
      <c r="AB7302">
        <v>31</v>
      </c>
      <c r="AC7302">
        <v>3.0207000000000002</v>
      </c>
      <c r="AD7302">
        <v>-1.11031582770999</v>
      </c>
      <c r="AE7302">
        <v>15.07701</v>
      </c>
      <c r="AF7302">
        <v>2.7882827058098898</v>
      </c>
      <c r="AG7302">
        <v>-1.11031582770999</v>
      </c>
      <c r="AH7302">
        <v>15.040607912346699</v>
      </c>
      <c r="AI7302">
        <v>94.151504050699899</v>
      </c>
      <c r="AJ7302">
        <v>79.497529532383894</v>
      </c>
      <c r="AK7302">
        <v>15.337118636097401</v>
      </c>
      <c r="AL7302">
        <v>80.289884836821997</v>
      </c>
      <c r="AM7302">
        <v>85.727850632772302</v>
      </c>
      <c r="AN7302">
        <v>1.00000002437286</v>
      </c>
    </row>
    <row r="7303" spans="1:40" x14ac:dyDescent="0.25">
      <c r="A7303" t="str">
        <f>"20190312172550629"</f>
        <v>20190312172550629</v>
      </c>
      <c r="B7303" t="str">
        <f>"1552382750617555"</f>
        <v>1552382750617555</v>
      </c>
      <c r="C7303" t="s">
        <v>40</v>
      </c>
      <c r="D7303">
        <v>3.7945120000000001</v>
      </c>
      <c r="E7303">
        <v>0.53944159999999997</v>
      </c>
      <c r="F7303" t="s">
        <v>43</v>
      </c>
      <c r="G7303">
        <v>-184.3604</v>
      </c>
      <c r="H7303" s="1">
        <v>-3.0012339999999998E-6</v>
      </c>
      <c r="I7303">
        <v>104.0579</v>
      </c>
      <c r="J7303">
        <v>-187.3826</v>
      </c>
      <c r="K7303">
        <v>1.110325</v>
      </c>
      <c r="L7303">
        <v>88.960239999999999</v>
      </c>
      <c r="M7303">
        <v>1.4616999999999899E-2</v>
      </c>
      <c r="N7303">
        <v>0</v>
      </c>
      <c r="O7303">
        <v>0.99979010000000001</v>
      </c>
      <c r="P7303">
        <v>8.2759390000000002E-2</v>
      </c>
      <c r="Q7303">
        <v>0.1541999</v>
      </c>
      <c r="R7303">
        <v>0.98456759999999999</v>
      </c>
      <c r="S7303">
        <v>0.58912659999999994</v>
      </c>
      <c r="T7303">
        <v>-0.21592720000000001</v>
      </c>
      <c r="U7303">
        <v>3.029938</v>
      </c>
      <c r="V7303">
        <v>6.8406800000000004E-2</v>
      </c>
      <c r="W7303">
        <v>0.16831599999999999</v>
      </c>
      <c r="X7303">
        <v>0.98335660000000003</v>
      </c>
      <c r="Y7303">
        <v>0.1760246</v>
      </c>
      <c r="Z7303">
        <v>-6.9867159999999998E-2</v>
      </c>
      <c r="AA7303">
        <v>0.98190319999999998</v>
      </c>
      <c r="AB7303">
        <v>31</v>
      </c>
      <c r="AC7303">
        <v>3.02219999999999</v>
      </c>
      <c r="AD7303">
        <v>-1.110328001234</v>
      </c>
      <c r="AE7303">
        <v>15.097659999999999</v>
      </c>
      <c r="AF7303">
        <v>2.7866805096904499</v>
      </c>
      <c r="AG7303">
        <v>-1.110328001234</v>
      </c>
      <c r="AH7303">
        <v>15.0619018021616</v>
      </c>
      <c r="AI7303">
        <v>94.145973171358193</v>
      </c>
      <c r="AJ7303">
        <v>79.517940755645895</v>
      </c>
      <c r="AK7303">
        <v>15.357711497204599</v>
      </c>
      <c r="AL7303">
        <v>80.310077694184599</v>
      </c>
      <c r="AM7303">
        <v>86.020653245858199</v>
      </c>
      <c r="AN7303">
        <v>0.99999998445289995</v>
      </c>
    </row>
    <row r="7304" spans="1:40" x14ac:dyDescent="0.25">
      <c r="A7304" t="str">
        <f>"20190312172550649"</f>
        <v>20190312172550649</v>
      </c>
      <c r="B7304" t="str">
        <f>"1552382750638051"</f>
        <v>1552382750638051</v>
      </c>
      <c r="C7304" t="s">
        <v>40</v>
      </c>
      <c r="D7304">
        <v>3.7923300000000002</v>
      </c>
      <c r="E7304">
        <v>0.53938929999999996</v>
      </c>
      <c r="F7304" t="s">
        <v>43</v>
      </c>
      <c r="G7304">
        <v>-184.43090000000001</v>
      </c>
      <c r="H7304" s="1">
        <v>-3.1591529999999999E-6</v>
      </c>
      <c r="I7304">
        <v>104.5771</v>
      </c>
      <c r="J7304">
        <v>-187.37819999999999</v>
      </c>
      <c r="K7304">
        <v>1.1103259999999999</v>
      </c>
      <c r="L7304">
        <v>89.249790000000004</v>
      </c>
      <c r="M7304">
        <v>1.4730160000000001E-2</v>
      </c>
      <c r="N7304">
        <v>0</v>
      </c>
      <c r="O7304">
        <v>0.99978849999999997</v>
      </c>
      <c r="P7304">
        <v>7.8808260000000005E-2</v>
      </c>
      <c r="Q7304">
        <v>0.15529780000000001</v>
      </c>
      <c r="R7304">
        <v>0.98471920000000002</v>
      </c>
      <c r="S7304">
        <v>0.57318119999999995</v>
      </c>
      <c r="T7304">
        <v>-0.21561379999999999</v>
      </c>
      <c r="U7304">
        <v>3.0326230000000001</v>
      </c>
      <c r="V7304">
        <v>6.4342490000000002E-2</v>
      </c>
      <c r="W7304">
        <v>0.16941300000000001</v>
      </c>
      <c r="X7304">
        <v>0.9834425</v>
      </c>
      <c r="Y7304">
        <v>0.17076910000000001</v>
      </c>
      <c r="Z7304">
        <v>-6.9772280000000006E-2</v>
      </c>
      <c r="AA7304">
        <v>0.98283759999999998</v>
      </c>
      <c r="AB7304">
        <v>31</v>
      </c>
      <c r="AC7304">
        <v>2.9472999999999798</v>
      </c>
      <c r="AD7304">
        <v>-1.110329159153</v>
      </c>
      <c r="AE7304">
        <v>15.327309999999899</v>
      </c>
      <c r="AF7304">
        <v>2.7074816698901301</v>
      </c>
      <c r="AG7304">
        <v>-1.110329159153</v>
      </c>
      <c r="AH7304">
        <v>15.2916801427568</v>
      </c>
      <c r="AI7304">
        <v>94.089573283265395</v>
      </c>
      <c r="AJ7304">
        <v>79.959502285003396</v>
      </c>
      <c r="AK7304">
        <v>15.569160845172</v>
      </c>
      <c r="AL7304">
        <v>80.246307966712095</v>
      </c>
      <c r="AM7304">
        <v>86.256714091275597</v>
      </c>
      <c r="AN7304">
        <v>0.99999993569732204</v>
      </c>
    </row>
    <row r="7305" spans="1:40" x14ac:dyDescent="0.25">
      <c r="A7305" t="str">
        <f>"20190312172550671"</f>
        <v>20190312172550671</v>
      </c>
      <c r="B7305" t="str">
        <f>"1552382750667332"</f>
        <v>1552382750667332</v>
      </c>
      <c r="C7305" t="s">
        <v>40</v>
      </c>
      <c r="D7305">
        <v>3.7337060000000002</v>
      </c>
      <c r="E7305">
        <v>0.50925670000000001</v>
      </c>
      <c r="F7305" t="s">
        <v>43</v>
      </c>
      <c r="G7305">
        <v>-184.4358</v>
      </c>
      <c r="H7305" s="1">
        <v>-3.3730140000000001E-6</v>
      </c>
      <c r="I7305">
        <v>105.19459999999999</v>
      </c>
      <c r="J7305">
        <v>-187.37370000000001</v>
      </c>
      <c r="K7305">
        <v>1.11032</v>
      </c>
      <c r="L7305">
        <v>89.551730000000006</v>
      </c>
      <c r="M7305">
        <v>1.4848149999999999E-2</v>
      </c>
      <c r="N7305">
        <v>0</v>
      </c>
      <c r="O7305">
        <v>0.99978679999999998</v>
      </c>
      <c r="P7305">
        <v>7.5504749999999995E-2</v>
      </c>
      <c r="Q7305">
        <v>0.15604960000000001</v>
      </c>
      <c r="R7305">
        <v>0.98485919999999905</v>
      </c>
      <c r="S7305">
        <v>0.56008910000000001</v>
      </c>
      <c r="T7305">
        <v>-0.2113488</v>
      </c>
      <c r="U7305">
        <v>3.0350649999999999</v>
      </c>
      <c r="V7305">
        <v>6.0921040000000003E-2</v>
      </c>
      <c r="W7305">
        <v>0.17016439999999999</v>
      </c>
      <c r="X7305">
        <v>0.98353080000000004</v>
      </c>
      <c r="Y7305">
        <v>0.166427399999999</v>
      </c>
      <c r="Z7305">
        <v>-6.8397029999999998E-2</v>
      </c>
      <c r="AA7305">
        <v>0.98367870000000002</v>
      </c>
      <c r="AB7305">
        <v>31</v>
      </c>
      <c r="AC7305">
        <v>2.9379000000000102</v>
      </c>
      <c r="AD7305">
        <v>-1.1103233730140001</v>
      </c>
      <c r="AE7305">
        <v>15.642869999999901</v>
      </c>
      <c r="AF7305">
        <v>2.6921831214801002</v>
      </c>
      <c r="AG7305">
        <v>-1.1103233730140001</v>
      </c>
      <c r="AH7305">
        <v>15.608812719868199</v>
      </c>
      <c r="AI7305">
        <v>94.009837241377198</v>
      </c>
      <c r="AJ7305">
        <v>80.213997889840897</v>
      </c>
      <c r="AK7305">
        <v>15.878151733629601</v>
      </c>
      <c r="AL7305">
        <v>80.202622892263193</v>
      </c>
      <c r="AM7305">
        <v>86.455561238133797</v>
      </c>
      <c r="AN7305">
        <v>1.00000006534533</v>
      </c>
    </row>
    <row r="7306" spans="1:40" x14ac:dyDescent="0.25">
      <c r="A7306" t="str">
        <f>"20190312172550694"</f>
        <v>20190312172550694</v>
      </c>
      <c r="B7306" t="str">
        <f>"1552382750687829"</f>
        <v>1552382750687829</v>
      </c>
      <c r="C7306" t="s">
        <v>40</v>
      </c>
      <c r="D7306">
        <v>3.743131</v>
      </c>
      <c r="E7306">
        <v>0.4917359</v>
      </c>
      <c r="F7306" t="s">
        <v>41</v>
      </c>
      <c r="G7306">
        <v>-187.28370000000001</v>
      </c>
      <c r="H7306">
        <v>1.052818</v>
      </c>
      <c r="I7306">
        <v>90.435869999999994</v>
      </c>
      <c r="J7306">
        <v>-187.36869999999999</v>
      </c>
      <c r="K7306">
        <v>1.110325</v>
      </c>
      <c r="L7306">
        <v>89.879390000000001</v>
      </c>
      <c r="M7306">
        <v>1.497589E-2</v>
      </c>
      <c r="N7306">
        <v>0</v>
      </c>
      <c r="O7306">
        <v>0.99978489999999998</v>
      </c>
      <c r="P7306">
        <v>7.2339210000000001E-2</v>
      </c>
      <c r="Q7306">
        <v>0.15642120000000001</v>
      </c>
      <c r="R7306">
        <v>0.98503779999999996</v>
      </c>
      <c r="S7306">
        <v>0.3105927</v>
      </c>
      <c r="T7306">
        <v>-0.19863220000000001</v>
      </c>
      <c r="U7306">
        <v>3.0537719999999999</v>
      </c>
      <c r="V7306">
        <v>5.7627280000000003E-2</v>
      </c>
      <c r="W7306">
        <v>0.17053460000000001</v>
      </c>
      <c r="X7306">
        <v>0.98366509999999996</v>
      </c>
      <c r="Y7306">
        <v>8.606258E-2</v>
      </c>
      <c r="Z7306">
        <v>-6.4610500000000001E-2</v>
      </c>
      <c r="AA7306">
        <v>0.99419250000000003</v>
      </c>
      <c r="AB7306">
        <v>31</v>
      </c>
      <c r="AC7306">
        <v>8.4999999999979495E-2</v>
      </c>
      <c r="AD7306">
        <v>-5.7506999999999898E-2</v>
      </c>
      <c r="AE7306">
        <v>0.55647999999999298</v>
      </c>
      <c r="AF7306">
        <v>7.5864121105874593E-2</v>
      </c>
      <c r="AG7306">
        <v>-5.7506999999999898E-2</v>
      </c>
      <c r="AH7306">
        <v>0.55193081878530004</v>
      </c>
      <c r="AI7306">
        <v>95.893306481849194</v>
      </c>
      <c r="AJ7306">
        <v>82.1736098156412</v>
      </c>
      <c r="AK7306">
        <v>0.56008039480522598</v>
      </c>
      <c r="AL7306">
        <v>80.181096636203193</v>
      </c>
      <c r="AM7306">
        <v>86.6472020774561</v>
      </c>
      <c r="AN7306">
        <v>0.999999991077684</v>
      </c>
    </row>
    <row r="7307" spans="1:40" x14ac:dyDescent="0.25">
      <c r="A7307" t="str">
        <f>"20190312172550717"</f>
        <v>20190312172550717</v>
      </c>
      <c r="B7307" t="str">
        <f>"1552382750707347"</f>
        <v>1552382750707347</v>
      </c>
      <c r="C7307" t="s">
        <v>40</v>
      </c>
      <c r="D7307">
        <v>3.8442750000000001</v>
      </c>
      <c r="E7307">
        <v>0.48245179999999999</v>
      </c>
      <c r="F7307" t="s">
        <v>43</v>
      </c>
      <c r="G7307">
        <v>-186.3956</v>
      </c>
      <c r="H7307" s="1">
        <v>-4.3925340000000004E-6</v>
      </c>
      <c r="I7307">
        <v>108.3815</v>
      </c>
      <c r="J7307">
        <v>-187.3639</v>
      </c>
      <c r="K7307">
        <v>1.1103229999999999</v>
      </c>
      <c r="L7307">
        <v>90.19211</v>
      </c>
      <c r="M7307">
        <v>1.509807E-2</v>
      </c>
      <c r="N7307">
        <v>0</v>
      </c>
      <c r="O7307">
        <v>0.99978319999999998</v>
      </c>
      <c r="P7307">
        <v>6.9174879999999994E-2</v>
      </c>
      <c r="Q7307">
        <v>0.15648339999999999</v>
      </c>
      <c r="R7307">
        <v>0.9852552</v>
      </c>
      <c r="S7307">
        <v>0.16108699999999901</v>
      </c>
      <c r="T7307">
        <v>-0.18380920000000001</v>
      </c>
      <c r="U7307">
        <v>3.0629270000000002</v>
      </c>
      <c r="V7307">
        <v>5.4339430000000001E-2</v>
      </c>
      <c r="W7307">
        <v>0.1705972</v>
      </c>
      <c r="X7307">
        <v>0.98384139999999998</v>
      </c>
      <c r="Y7307">
        <v>3.7341069999999997E-2</v>
      </c>
      <c r="Z7307">
        <v>-5.9830889999999998E-2</v>
      </c>
      <c r="AA7307">
        <v>0.9975098</v>
      </c>
      <c r="AB7307">
        <v>31</v>
      </c>
      <c r="AC7307">
        <v>0.96829999999999905</v>
      </c>
      <c r="AD7307">
        <v>-1.110327392534</v>
      </c>
      <c r="AE7307">
        <v>18.18939</v>
      </c>
      <c r="AF7307">
        <v>0.69096927672966302</v>
      </c>
      <c r="AG7307">
        <v>-1.110327392534</v>
      </c>
      <c r="AH7307">
        <v>18.134555292044698</v>
      </c>
      <c r="AI7307">
        <v>93.501150079907703</v>
      </c>
      <c r="AJ7307">
        <v>87.817951377144496</v>
      </c>
      <c r="AK7307">
        <v>18.181649020378298</v>
      </c>
      <c r="AL7307">
        <v>80.177457058606294</v>
      </c>
      <c r="AM7307">
        <v>86.838657239065995</v>
      </c>
      <c r="AN7307">
        <v>1.0000000393272599</v>
      </c>
    </row>
    <row r="7308" spans="1:40" x14ac:dyDescent="0.25">
      <c r="A7308" t="str">
        <f>"20190312172550738"</f>
        <v>20190312172550738</v>
      </c>
      <c r="B7308" t="str">
        <f>"1552382750727844"</f>
        <v>1552382750727844</v>
      </c>
      <c r="C7308" t="s">
        <v>40</v>
      </c>
      <c r="D7308">
        <v>3.7963079999999998</v>
      </c>
      <c r="E7308">
        <v>0.47778890000000002</v>
      </c>
      <c r="F7308" t="s">
        <v>43</v>
      </c>
      <c r="G7308">
        <v>-186.91290000000001</v>
      </c>
      <c r="H7308" s="1">
        <v>-4.1539729999999998E-6</v>
      </c>
      <c r="I7308">
        <v>108.0393</v>
      </c>
      <c r="J7308">
        <v>-187.35929999999999</v>
      </c>
      <c r="K7308">
        <v>1.1103190000000001</v>
      </c>
      <c r="L7308">
        <v>90.486329999999995</v>
      </c>
      <c r="M7308">
        <v>1.521281E-2</v>
      </c>
      <c r="N7308">
        <v>0</v>
      </c>
      <c r="O7308">
        <v>0.99978140000000004</v>
      </c>
      <c r="P7308">
        <v>6.6201560000000007E-2</v>
      </c>
      <c r="Q7308">
        <v>0.15590029999999999</v>
      </c>
      <c r="R7308">
        <v>0.98555179999999998</v>
      </c>
      <c r="S7308">
        <v>7.7575679999999994E-2</v>
      </c>
      <c r="T7308">
        <v>-0.19098109999999999</v>
      </c>
      <c r="U7308">
        <v>3.0697939999999999</v>
      </c>
      <c r="V7308">
        <v>5.1248599999999998E-2</v>
      </c>
      <c r="W7308">
        <v>0.17001540000000001</v>
      </c>
      <c r="X7308">
        <v>0.98410790000000004</v>
      </c>
      <c r="Y7308">
        <v>1.000142E-2</v>
      </c>
      <c r="Z7308">
        <v>-6.2070800000000002E-2</v>
      </c>
      <c r="AA7308">
        <v>0.99802170000000001</v>
      </c>
      <c r="AB7308">
        <v>31</v>
      </c>
      <c r="AC7308">
        <v>0.44639999999998198</v>
      </c>
      <c r="AD7308">
        <v>-1.1103231539730001</v>
      </c>
      <c r="AE7308">
        <v>17.552969999999899</v>
      </c>
      <c r="AF7308">
        <v>0.17857679080884301</v>
      </c>
      <c r="AG7308">
        <v>-1.1103231539730001</v>
      </c>
      <c r="AH7308">
        <v>17.4878018794385</v>
      </c>
      <c r="AI7308">
        <v>93.632717885373097</v>
      </c>
      <c r="AJ7308">
        <v>89.414944148560593</v>
      </c>
      <c r="AK7308">
        <v>17.523924268010202</v>
      </c>
      <c r="AL7308">
        <v>80.211285623457897</v>
      </c>
      <c r="AM7308">
        <v>87.018946374028999</v>
      </c>
      <c r="AN7308">
        <v>1.00000000704076</v>
      </c>
    </row>
    <row r="7309" spans="1:40" x14ac:dyDescent="0.25">
      <c r="A7309" t="str">
        <f>"20190312172550761"</f>
        <v>20190312172550761</v>
      </c>
      <c r="B7309" t="str">
        <f>"1552382750758100"</f>
        <v>1552382750758100</v>
      </c>
      <c r="C7309" t="s">
        <v>40</v>
      </c>
      <c r="D7309">
        <v>3.8262849999999999</v>
      </c>
      <c r="E7309">
        <v>0.47399390000000002</v>
      </c>
      <c r="F7309" t="s">
        <v>43</v>
      </c>
      <c r="G7309">
        <v>-187.18260000000001</v>
      </c>
      <c r="H7309" s="1">
        <v>-4.1085679999999999E-6</v>
      </c>
      <c r="I7309">
        <v>108.045</v>
      </c>
      <c r="J7309">
        <v>-187.3545</v>
      </c>
      <c r="K7309">
        <v>1.1103179999999999</v>
      </c>
      <c r="L7309">
        <v>90.791290000000004</v>
      </c>
      <c r="M7309">
        <v>1.5331890000000001E-2</v>
      </c>
      <c r="N7309">
        <v>0</v>
      </c>
      <c r="O7309">
        <v>0.99977959999999999</v>
      </c>
      <c r="P7309">
        <v>6.3131709999999994E-2</v>
      </c>
      <c r="Q7309">
        <v>0.1560474</v>
      </c>
      <c r="R7309">
        <v>0.98573</v>
      </c>
      <c r="S7309">
        <v>3.091431E-2</v>
      </c>
      <c r="T7309">
        <v>-0.19429979999999999</v>
      </c>
      <c r="U7309">
        <v>3.0726619999999998</v>
      </c>
      <c r="V7309">
        <v>4.8058860000000002E-2</v>
      </c>
      <c r="W7309">
        <v>0.17016210000000001</v>
      </c>
      <c r="X7309">
        <v>0.98424350000000005</v>
      </c>
      <c r="Y7309">
        <v>-5.2933519999999899E-3</v>
      </c>
      <c r="Z7309">
        <v>-6.3095810000000002E-2</v>
      </c>
      <c r="AA7309">
        <v>0.99799340000000003</v>
      </c>
      <c r="AB7309">
        <v>31</v>
      </c>
      <c r="AC7309">
        <v>0.171899999999993</v>
      </c>
      <c r="AD7309">
        <v>-1.110322108568</v>
      </c>
      <c r="AE7309">
        <v>17.253709999999899</v>
      </c>
      <c r="AF7309">
        <v>-9.2297213173409595E-2</v>
      </c>
      <c r="AG7309">
        <v>-1.110322108568</v>
      </c>
      <c r="AH7309">
        <v>17.183164430089501</v>
      </c>
      <c r="AI7309">
        <v>93.697080227967305</v>
      </c>
      <c r="AJ7309">
        <v>90.307754135733603</v>
      </c>
      <c r="AK7309">
        <v>17.219247190043699</v>
      </c>
      <c r="AL7309">
        <v>80.202756281069298</v>
      </c>
      <c r="AM7309">
        <v>87.2045691721857</v>
      </c>
      <c r="AN7309">
        <v>1.00000003079657</v>
      </c>
    </row>
    <row r="7310" spans="1:40" x14ac:dyDescent="0.25">
      <c r="A7310" t="str">
        <f>"20190312172550784"</f>
        <v>20190312172550784</v>
      </c>
      <c r="B7310" t="str">
        <f>"1552382750777620"</f>
        <v>1552382750777620</v>
      </c>
      <c r="C7310" t="s">
        <v>40</v>
      </c>
      <c r="D7310">
        <v>3.7796829999999999</v>
      </c>
      <c r="E7310">
        <v>0.47243269999999998</v>
      </c>
      <c r="F7310" t="s">
        <v>43</v>
      </c>
      <c r="G7310">
        <v>-187.4068</v>
      </c>
      <c r="H7310" s="1">
        <v>-3.9912570000000001E-6</v>
      </c>
      <c r="I7310">
        <v>107.8642</v>
      </c>
      <c r="J7310">
        <v>-187.34950000000001</v>
      </c>
      <c r="K7310">
        <v>1.110314</v>
      </c>
      <c r="L7310">
        <v>91.114350000000002</v>
      </c>
      <c r="M7310">
        <v>1.545815E-2</v>
      </c>
      <c r="N7310">
        <v>0</v>
      </c>
      <c r="O7310">
        <v>0.99977780000000005</v>
      </c>
      <c r="P7310">
        <v>6.0556069999999997E-2</v>
      </c>
      <c r="Q7310">
        <v>0.1555579</v>
      </c>
      <c r="R7310">
        <v>0.98596890000000004</v>
      </c>
      <c r="S7310">
        <v>-9.4146730000000001E-3</v>
      </c>
      <c r="T7310">
        <v>-0.20002600000000001</v>
      </c>
      <c r="U7310">
        <v>3.0757140000000001</v>
      </c>
      <c r="V7310">
        <v>4.5355029999999998E-2</v>
      </c>
      <c r="W7310">
        <v>0.16967289999999999</v>
      </c>
      <c r="X7310">
        <v>0.9844562</v>
      </c>
      <c r="Y7310">
        <v>-1.8513809999999999E-2</v>
      </c>
      <c r="Z7310">
        <v>-6.4879590000000001E-2</v>
      </c>
      <c r="AA7310">
        <v>0.99772130000000003</v>
      </c>
      <c r="AB7310">
        <v>31</v>
      </c>
      <c r="AC7310">
        <v>-5.7299999999997901E-2</v>
      </c>
      <c r="AD7310">
        <v>-1.110317991257</v>
      </c>
      <c r="AE7310">
        <v>16.749849999999899</v>
      </c>
      <c r="AF7310">
        <v>-0.31485793027132603</v>
      </c>
      <c r="AG7310">
        <v>-1.110317991257</v>
      </c>
      <c r="AH7310">
        <v>16.673696865467299</v>
      </c>
      <c r="AI7310">
        <v>93.809081004792105</v>
      </c>
      <c r="AJ7310">
        <v>91.081816880504903</v>
      </c>
      <c r="AK7310">
        <v>16.713590539422</v>
      </c>
      <c r="AL7310">
        <v>80.231198586059307</v>
      </c>
      <c r="AM7310">
        <v>87.362182749846497</v>
      </c>
      <c r="AN7310">
        <v>0.99999999072957502</v>
      </c>
    </row>
    <row r="7311" spans="1:40" x14ac:dyDescent="0.25">
      <c r="A7311" t="str">
        <f>"20190312172550805"</f>
        <v>20190312172550805</v>
      </c>
      <c r="B7311" t="str">
        <f>"1552382750797139"</f>
        <v>1552382750797139</v>
      </c>
      <c r="C7311" t="s">
        <v>40</v>
      </c>
      <c r="D7311">
        <v>3.777771</v>
      </c>
      <c r="E7311">
        <v>0.47112369999999998</v>
      </c>
      <c r="F7311" t="s">
        <v>43</v>
      </c>
      <c r="G7311">
        <v>-187.51140000000001</v>
      </c>
      <c r="H7311" s="1">
        <v>-3.9285190000000001E-6</v>
      </c>
      <c r="I7311">
        <v>107.76130000000001</v>
      </c>
      <c r="J7311">
        <v>-187.34460000000001</v>
      </c>
      <c r="K7311">
        <v>1.1103289999999999</v>
      </c>
      <c r="L7311">
        <v>91.420839999999998</v>
      </c>
      <c r="M7311">
        <v>1.5578E-2</v>
      </c>
      <c r="N7311">
        <v>0</v>
      </c>
      <c r="O7311">
        <v>0.99977590000000005</v>
      </c>
      <c r="P7311">
        <v>5.8984979999999999E-2</v>
      </c>
      <c r="Q7311">
        <v>0.15656999999999999</v>
      </c>
      <c r="R7311">
        <v>0.985904</v>
      </c>
      <c r="S7311">
        <v>-2.9937740000000001E-2</v>
      </c>
      <c r="T7311">
        <v>-0.20522580000000001</v>
      </c>
      <c r="U7311">
        <v>3.0769350000000002</v>
      </c>
      <c r="V7311">
        <v>4.3667020000000001E-2</v>
      </c>
      <c r="W7311">
        <v>0.17068129999999901</v>
      </c>
      <c r="X7311">
        <v>0.98435819999999996</v>
      </c>
      <c r="Y7311">
        <v>-2.5285390000000001E-2</v>
      </c>
      <c r="Z7311">
        <v>-6.6525959999999995E-2</v>
      </c>
      <c r="AA7311">
        <v>0.99746420000000002</v>
      </c>
      <c r="AB7311">
        <v>31</v>
      </c>
      <c r="AC7311">
        <v>-0.16679999999999401</v>
      </c>
      <c r="AD7311">
        <v>-1.110332928519</v>
      </c>
      <c r="AE7311">
        <v>16.34046</v>
      </c>
      <c r="AF7311">
        <v>-0.41942125114665602</v>
      </c>
      <c r="AG7311">
        <v>-1.110332928519</v>
      </c>
      <c r="AH7311">
        <v>16.2608066565715</v>
      </c>
      <c r="AI7311">
        <v>93.904956332928705</v>
      </c>
      <c r="AJ7311">
        <v>91.477524509271007</v>
      </c>
      <c r="AK7311">
        <v>16.3040665639118</v>
      </c>
      <c r="AL7311">
        <v>80.172566274499403</v>
      </c>
      <c r="AM7311">
        <v>87.459972694007703</v>
      </c>
      <c r="AN7311">
        <v>0.99999999035630505</v>
      </c>
    </row>
    <row r="7312" spans="1:40" x14ac:dyDescent="0.25">
      <c r="A7312" t="str">
        <f>"20190312172550831"</f>
        <v>20190312172550831</v>
      </c>
      <c r="B7312" t="str">
        <f>"1552382750827396"</f>
        <v>1552382750827396</v>
      </c>
      <c r="C7312" t="s">
        <v>40</v>
      </c>
      <c r="D7312">
        <v>3.7594989999999999</v>
      </c>
      <c r="E7312">
        <v>0.4694431</v>
      </c>
      <c r="F7312" t="s">
        <v>43</v>
      </c>
      <c r="G7312">
        <v>-187.5967</v>
      </c>
      <c r="H7312" s="1">
        <v>-4.2151179999999997E-6</v>
      </c>
      <c r="I7312">
        <v>108.4646</v>
      </c>
      <c r="J7312">
        <v>-187.33920000000001</v>
      </c>
      <c r="K7312">
        <v>1.1103449999999999</v>
      </c>
      <c r="L7312">
        <v>91.758849999999995</v>
      </c>
      <c r="M7312">
        <v>1.5710169999999999E-2</v>
      </c>
      <c r="N7312">
        <v>0</v>
      </c>
      <c r="O7312">
        <v>0.99977389999999999</v>
      </c>
      <c r="P7312">
        <v>5.7377820000000003E-2</v>
      </c>
      <c r="Q7312">
        <v>0.158808</v>
      </c>
      <c r="R7312">
        <v>0.98564079999999998</v>
      </c>
      <c r="S7312">
        <v>-4.5516969999999997E-2</v>
      </c>
      <c r="T7312">
        <v>-0.200484</v>
      </c>
      <c r="U7312">
        <v>3.0774539999999999</v>
      </c>
      <c r="V7312">
        <v>4.1934310000000002E-2</v>
      </c>
      <c r="W7312">
        <v>0.17291110000000001</v>
      </c>
      <c r="X7312">
        <v>0.98404429999999998</v>
      </c>
      <c r="Y7312">
        <v>-3.0465820000000001E-2</v>
      </c>
      <c r="Z7312">
        <v>-6.497762E-2</v>
      </c>
      <c r="AA7312">
        <v>0.99742160000000002</v>
      </c>
      <c r="AB7312">
        <v>31</v>
      </c>
      <c r="AC7312">
        <v>-0.25749999999999301</v>
      </c>
      <c r="AD7312">
        <v>-1.1103492151180001</v>
      </c>
      <c r="AE7312">
        <v>16.705749999999998</v>
      </c>
      <c r="AF7312">
        <v>-0.51765906521656202</v>
      </c>
      <c r="AG7312">
        <v>-1.1103492151180001</v>
      </c>
      <c r="AH7312">
        <v>16.626211450035299</v>
      </c>
      <c r="AI7312">
        <v>93.818868840598498</v>
      </c>
      <c r="AJ7312">
        <v>91.783334786490499</v>
      </c>
      <c r="AK7312">
        <v>16.6712852974388</v>
      </c>
      <c r="AL7312">
        <v>80.042879695964004</v>
      </c>
      <c r="AM7312">
        <v>87.5598596796723</v>
      </c>
      <c r="AN7312">
        <v>0.99999995961043697</v>
      </c>
    </row>
    <row r="7313" spans="1:40" x14ac:dyDescent="0.25">
      <c r="A7313" t="str">
        <f>"20190312172550850"</f>
        <v>20190312172550850</v>
      </c>
      <c r="B7313" t="str">
        <f>"1552382750847893"</f>
        <v>1552382750847893</v>
      </c>
      <c r="C7313" t="s">
        <v>40</v>
      </c>
      <c r="D7313">
        <v>3.7606920000000001</v>
      </c>
      <c r="E7313">
        <v>0.468555</v>
      </c>
      <c r="F7313" t="s">
        <v>43</v>
      </c>
      <c r="G7313">
        <v>-187.70150000000001</v>
      </c>
      <c r="H7313" s="1">
        <v>-4.6076729999999901E-6</v>
      </c>
      <c r="I7313">
        <v>109.423</v>
      </c>
      <c r="J7313">
        <v>-187.3349</v>
      </c>
      <c r="K7313">
        <v>1.1103529999999999</v>
      </c>
      <c r="L7313">
        <v>92.027889999999999</v>
      </c>
      <c r="M7313">
        <v>1.5815300000000001E-2</v>
      </c>
      <c r="N7313">
        <v>0</v>
      </c>
      <c r="O7313">
        <v>0.99977229999999995</v>
      </c>
      <c r="P7313">
        <v>5.5795169999999998E-2</v>
      </c>
      <c r="Q7313">
        <v>0.16053429999999999</v>
      </c>
      <c r="R7313">
        <v>0.98545199999999999</v>
      </c>
      <c r="S7313">
        <v>-6.3140870000000002E-2</v>
      </c>
      <c r="T7313">
        <v>-0.19351470000000001</v>
      </c>
      <c r="U7313">
        <v>3.0785520000000002</v>
      </c>
      <c r="V7313">
        <v>4.0251580000000002E-2</v>
      </c>
      <c r="W7313">
        <v>0.17463210000000001</v>
      </c>
      <c r="X7313">
        <v>0.98381070000000004</v>
      </c>
      <c r="Y7313">
        <v>-3.6276299999999997E-2</v>
      </c>
      <c r="Z7313">
        <v>-6.2696210000000002E-2</v>
      </c>
      <c r="AA7313">
        <v>0.99737319999999996</v>
      </c>
      <c r="AB7313">
        <v>31</v>
      </c>
      <c r="AC7313">
        <v>-0.36660000000000498</v>
      </c>
      <c r="AD7313">
        <v>-1.110357607673</v>
      </c>
      <c r="AE7313">
        <v>17.395109999999899</v>
      </c>
      <c r="AF7313">
        <v>-0.63908846479182002</v>
      </c>
      <c r="AG7313">
        <v>-1.110357607673</v>
      </c>
      <c r="AH7313">
        <v>17.3166107387237</v>
      </c>
      <c r="AI7313">
        <v>93.666348201131896</v>
      </c>
      <c r="AJ7313">
        <v>92.113604158072107</v>
      </c>
      <c r="AK7313">
        <v>17.3639377895461</v>
      </c>
      <c r="AL7313">
        <v>79.942750952899004</v>
      </c>
      <c r="AM7313">
        <v>87.657110157333605</v>
      </c>
      <c r="AN7313">
        <v>1.0000000267386899</v>
      </c>
    </row>
    <row r="7314" spans="1:40" x14ac:dyDescent="0.25">
      <c r="A7314" t="str">
        <f>"20190312172550873"</f>
        <v>20190312172550873</v>
      </c>
      <c r="B7314" t="str">
        <f>"1552382750867412"</f>
        <v>1552382750867412</v>
      </c>
      <c r="C7314" t="s">
        <v>40</v>
      </c>
      <c r="D7314">
        <v>3.8393660000000001</v>
      </c>
      <c r="E7314">
        <v>0.46784249999999999</v>
      </c>
      <c r="F7314" t="s">
        <v>43</v>
      </c>
      <c r="G7314">
        <v>-187.77539999999999</v>
      </c>
      <c r="H7314" s="1">
        <v>-7.7604179999999997E-7</v>
      </c>
      <c r="I7314">
        <v>110.1892</v>
      </c>
      <c r="J7314">
        <v>-187.32980000000001</v>
      </c>
      <c r="K7314">
        <v>1.1103540000000001</v>
      </c>
      <c r="L7314">
        <v>92.338290000000001</v>
      </c>
      <c r="M7314">
        <v>1.5936700000000002E-2</v>
      </c>
      <c r="N7314">
        <v>0</v>
      </c>
      <c r="O7314">
        <v>0.99977050000000001</v>
      </c>
      <c r="P7314">
        <v>5.4334250000000001E-2</v>
      </c>
      <c r="Q7314">
        <v>0.16108789999999901</v>
      </c>
      <c r="R7314">
        <v>0.98544330000000002</v>
      </c>
      <c r="S7314">
        <v>-7.4691770000000005E-2</v>
      </c>
      <c r="T7314">
        <v>-0.18825729999999999</v>
      </c>
      <c r="U7314">
        <v>3.0791930000000001</v>
      </c>
      <c r="V7314">
        <v>3.8671280000000002E-2</v>
      </c>
      <c r="W7314">
        <v>0.17518239999999999</v>
      </c>
      <c r="X7314">
        <v>0.98377619999999999</v>
      </c>
      <c r="Y7314">
        <v>-4.0135219999999999E-2</v>
      </c>
      <c r="Z7314">
        <v>-6.0979440000000003E-2</v>
      </c>
      <c r="AA7314">
        <v>0.99733179999999999</v>
      </c>
      <c r="AB7314">
        <v>31</v>
      </c>
      <c r="AC7314">
        <v>-0.44559999999998401</v>
      </c>
      <c r="AD7314">
        <v>-1.1103547760418</v>
      </c>
      <c r="AE7314">
        <v>17.850909999999999</v>
      </c>
      <c r="AF7314">
        <v>-0.72724516975023201</v>
      </c>
      <c r="AG7314">
        <v>-1.1103547760418</v>
      </c>
      <c r="AH7314">
        <v>17.772819533454701</v>
      </c>
      <c r="AI7314">
        <v>93.571919388408503</v>
      </c>
      <c r="AJ7314">
        <v>92.343176126699504</v>
      </c>
      <c r="AK7314">
        <v>17.822314311961598</v>
      </c>
      <c r="AL7314">
        <v>79.910726927749096</v>
      </c>
      <c r="AM7314">
        <v>87.748917938790001</v>
      </c>
      <c r="AN7314">
        <v>0.99999997642651794</v>
      </c>
    </row>
    <row r="7315" spans="1:40" x14ac:dyDescent="0.25">
      <c r="A7315" t="str">
        <f>"20190312172550895"</f>
        <v>20190312172550895</v>
      </c>
      <c r="B7315" t="str">
        <f>"1552382750887908"</f>
        <v>1552382750887908</v>
      </c>
      <c r="C7315" t="s">
        <v>40</v>
      </c>
      <c r="D7315">
        <v>3.8653909999999998</v>
      </c>
      <c r="E7315">
        <v>0.46738990000000002</v>
      </c>
      <c r="F7315" t="s">
        <v>43</v>
      </c>
      <c r="G7315">
        <v>-187.828</v>
      </c>
      <c r="H7315" s="1">
        <v>-8.7082989999999897E-7</v>
      </c>
      <c r="I7315">
        <v>110.50879999999999</v>
      </c>
      <c r="J7315">
        <v>-187.32480000000001</v>
      </c>
      <c r="K7315">
        <v>1.1103590000000001</v>
      </c>
      <c r="L7315">
        <v>92.646510000000006</v>
      </c>
      <c r="M7315">
        <v>1.6057310000000002E-2</v>
      </c>
      <c r="N7315">
        <v>0</v>
      </c>
      <c r="O7315">
        <v>0.99976860000000001</v>
      </c>
      <c r="P7315">
        <v>5.347449E-2</v>
      </c>
      <c r="Q7315">
        <v>0.16160869999999999</v>
      </c>
      <c r="R7315">
        <v>0.98540510000000003</v>
      </c>
      <c r="S7315">
        <v>-8.4426879999999996E-2</v>
      </c>
      <c r="T7315">
        <v>-0.18819559999999999</v>
      </c>
      <c r="U7315">
        <v>3.079742</v>
      </c>
      <c r="V7315">
        <v>3.7693329999999997E-2</v>
      </c>
      <c r="W7315">
        <v>0.1756992</v>
      </c>
      <c r="X7315">
        <v>0.98372199999999999</v>
      </c>
      <c r="Y7315">
        <v>-4.3401759999999998E-2</v>
      </c>
      <c r="Z7315">
        <v>-6.094186E-2</v>
      </c>
      <c r="AA7315">
        <v>0.99719729999999995</v>
      </c>
      <c r="AB7315">
        <v>31</v>
      </c>
      <c r="AC7315">
        <v>-0.50319999999999199</v>
      </c>
      <c r="AD7315">
        <v>-1.1103598708298901</v>
      </c>
      <c r="AE7315">
        <v>17.862289999999899</v>
      </c>
      <c r="AF7315">
        <v>-0.786946366790235</v>
      </c>
      <c r="AG7315">
        <v>-1.1103598708298901</v>
      </c>
      <c r="AH7315">
        <v>17.783243219687201</v>
      </c>
      <c r="AI7315">
        <v>93.569342993389597</v>
      </c>
      <c r="AJ7315">
        <v>92.533807125625898</v>
      </c>
      <c r="AK7315">
        <v>17.835243845753901</v>
      </c>
      <c r="AL7315">
        <v>79.880650057768804</v>
      </c>
      <c r="AM7315">
        <v>87.805667947455305</v>
      </c>
      <c r="AN7315">
        <v>0.99999998464556406</v>
      </c>
    </row>
    <row r="7316" spans="1:40" x14ac:dyDescent="0.25">
      <c r="A7316" t="str">
        <f>"20190312172550918"</f>
        <v>20190312172550918</v>
      </c>
      <c r="B7316" t="str">
        <f>"1552382750907431"</f>
        <v>1552382750907431</v>
      </c>
      <c r="C7316" t="s">
        <v>40</v>
      </c>
      <c r="D7316">
        <v>3.8933300000000002</v>
      </c>
      <c r="E7316">
        <v>0.46695989999999998</v>
      </c>
      <c r="F7316" t="s">
        <v>43</v>
      </c>
      <c r="G7316">
        <v>-187.85929999999999</v>
      </c>
      <c r="H7316" s="1">
        <v>-9.9619410000000008E-7</v>
      </c>
      <c r="I7316">
        <v>110.90170000000001</v>
      </c>
      <c r="J7316">
        <v>-187.31970000000001</v>
      </c>
      <c r="K7316">
        <v>1.110358</v>
      </c>
      <c r="L7316">
        <v>92.955110000000005</v>
      </c>
      <c r="M7316">
        <v>1.617816E-2</v>
      </c>
      <c r="N7316">
        <v>0</v>
      </c>
      <c r="O7316">
        <v>0.99976659999999995</v>
      </c>
      <c r="P7316">
        <v>5.3209319999999997E-2</v>
      </c>
      <c r="Q7316">
        <v>0.16212389999999999</v>
      </c>
      <c r="R7316">
        <v>0.98533479999999996</v>
      </c>
      <c r="S7316">
        <v>-9.017944E-2</v>
      </c>
      <c r="T7316">
        <v>-0.18734229999999999</v>
      </c>
      <c r="U7316">
        <v>3.0800480000000001</v>
      </c>
      <c r="V7316">
        <v>3.731015E-2</v>
      </c>
      <c r="W7316">
        <v>0.17621039999999999</v>
      </c>
      <c r="X7316">
        <v>0.9836452</v>
      </c>
      <c r="Y7316">
        <v>-4.5381190000000002E-2</v>
      </c>
      <c r="Z7316">
        <v>-6.0656120000000001E-2</v>
      </c>
      <c r="AA7316">
        <v>0.99712659999999997</v>
      </c>
      <c r="AB7316">
        <v>31</v>
      </c>
      <c r="AC7316">
        <v>-0.53959999999997799</v>
      </c>
      <c r="AD7316">
        <v>-1.1103589961941001</v>
      </c>
      <c r="AE7316">
        <v>17.94659</v>
      </c>
      <c r="AF7316">
        <v>-0.826740099116125</v>
      </c>
      <c r="AG7316">
        <v>-1.1103589961941001</v>
      </c>
      <c r="AH7316">
        <v>17.867177760258699</v>
      </c>
      <c r="AI7316">
        <v>93.552292371775195</v>
      </c>
      <c r="AJ7316">
        <v>92.649268744177206</v>
      </c>
      <c r="AK7316">
        <v>17.9207264754696</v>
      </c>
      <c r="AL7316">
        <v>79.850896563570601</v>
      </c>
      <c r="AM7316">
        <v>87.827784022532398</v>
      </c>
      <c r="AN7316">
        <v>1.0000000159221101</v>
      </c>
    </row>
    <row r="7317" spans="1:40" x14ac:dyDescent="0.25">
      <c r="A7317" t="str">
        <f>"20190312172550939"</f>
        <v>20190312172550939</v>
      </c>
      <c r="B7317" t="str">
        <f>"1552382750927924"</f>
        <v>1552382750927924</v>
      </c>
      <c r="C7317" t="s">
        <v>40</v>
      </c>
      <c r="D7317">
        <v>3.7822819999999999</v>
      </c>
      <c r="E7317">
        <v>0.46677980000000002</v>
      </c>
      <c r="F7317" t="s">
        <v>43</v>
      </c>
      <c r="G7317">
        <v>-187.88079999999999</v>
      </c>
      <c r="H7317" s="1">
        <v>-1.149365E-6</v>
      </c>
      <c r="I7317">
        <v>111.3686</v>
      </c>
      <c r="J7317">
        <v>-187.31489999999999</v>
      </c>
      <c r="K7317">
        <v>1.1103590000000001</v>
      </c>
      <c r="L7317">
        <v>93.248570000000001</v>
      </c>
      <c r="M7317">
        <v>1.6293129999999999E-2</v>
      </c>
      <c r="N7317">
        <v>0</v>
      </c>
      <c r="O7317">
        <v>0.99976489999999996</v>
      </c>
      <c r="P7317">
        <v>5.3122009999999997E-2</v>
      </c>
      <c r="Q7317">
        <v>0.1615337</v>
      </c>
      <c r="R7317">
        <v>0.98543639999999999</v>
      </c>
      <c r="S7317">
        <v>-9.3856809999999999E-2</v>
      </c>
      <c r="T7317">
        <v>-0.18574599999999999</v>
      </c>
      <c r="U7317">
        <v>3.080292</v>
      </c>
      <c r="V7317">
        <v>3.710753E-2</v>
      </c>
      <c r="W7317">
        <v>0.175619</v>
      </c>
      <c r="X7317">
        <v>0.98375860000000004</v>
      </c>
      <c r="Y7317">
        <v>-4.6684030000000001E-2</v>
      </c>
      <c r="Z7317">
        <v>-6.0133359999999997E-2</v>
      </c>
      <c r="AA7317">
        <v>0.99709809999999999</v>
      </c>
      <c r="AB7317">
        <v>31</v>
      </c>
      <c r="AC7317">
        <v>-0.56589999999999896</v>
      </c>
      <c r="AD7317">
        <v>-1.1103601493649999</v>
      </c>
      <c r="AE7317">
        <v>18.12003</v>
      </c>
      <c r="AF7317">
        <v>-0.85786893013154697</v>
      </c>
      <c r="AG7317">
        <v>-1.1103601493649999</v>
      </c>
      <c r="AH7317">
        <v>18.040726082708598</v>
      </c>
      <c r="AI7317">
        <v>93.517999577847803</v>
      </c>
      <c r="AJ7317">
        <v>92.722466477312594</v>
      </c>
      <c r="AK7317">
        <v>18.095210315271402</v>
      </c>
      <c r="AL7317">
        <v>79.885317837529996</v>
      </c>
      <c r="AM7317">
        <v>87.839818255100894</v>
      </c>
      <c r="AN7317">
        <v>0.99999999250882998</v>
      </c>
    </row>
    <row r="7318" spans="1:40" x14ac:dyDescent="0.25">
      <c r="A7318" t="str">
        <f>"20190312172550962"</f>
        <v>20190312172550962</v>
      </c>
      <c r="B7318" t="str">
        <f>"1552382750957204"</f>
        <v>1552382750957204</v>
      </c>
      <c r="C7318" t="s">
        <v>40</v>
      </c>
      <c r="D7318">
        <v>3.9109699999999998</v>
      </c>
      <c r="E7318">
        <v>0.4667482</v>
      </c>
      <c r="F7318" t="s">
        <v>43</v>
      </c>
      <c r="G7318">
        <v>-187.87430000000001</v>
      </c>
      <c r="H7318" s="1">
        <v>-1.1673339999999999E-6</v>
      </c>
      <c r="I7318">
        <v>111.41630000000001</v>
      </c>
      <c r="J7318">
        <v>-187.3098</v>
      </c>
      <c r="K7318">
        <v>1.11036</v>
      </c>
      <c r="L7318">
        <v>93.55386</v>
      </c>
      <c r="M7318">
        <v>1.6412510000000002E-2</v>
      </c>
      <c r="N7318">
        <v>0</v>
      </c>
      <c r="O7318">
        <v>0.99976299999999996</v>
      </c>
      <c r="P7318">
        <v>5.3168920000000001E-2</v>
      </c>
      <c r="Q7318">
        <v>0.16117319999999999</v>
      </c>
      <c r="R7318">
        <v>0.98549290000000001</v>
      </c>
      <c r="S7318">
        <v>-9.4848630000000003E-2</v>
      </c>
      <c r="T7318">
        <v>-0.1882588</v>
      </c>
      <c r="U7318">
        <v>3.080292</v>
      </c>
      <c r="V7318">
        <v>3.703559E-2</v>
      </c>
      <c r="W7318">
        <v>0.1752561</v>
      </c>
      <c r="X7318">
        <v>0.98382599999999998</v>
      </c>
      <c r="Y7318">
        <v>-4.7122539999999997E-2</v>
      </c>
      <c r="Z7318">
        <v>-6.0942759999999999E-2</v>
      </c>
      <c r="AA7318">
        <v>0.99702829999999998</v>
      </c>
      <c r="AB7318">
        <v>31</v>
      </c>
      <c r="AC7318">
        <v>-0.56450000000000899</v>
      </c>
      <c r="AD7318">
        <v>-1.1103611673339999</v>
      </c>
      <c r="AE7318">
        <v>17.862439999999999</v>
      </c>
      <c r="AF7318">
        <v>-0.85432352908227904</v>
      </c>
      <c r="AG7318">
        <v>-1.1103611673339999</v>
      </c>
      <c r="AH7318">
        <v>17.782124597357999</v>
      </c>
      <c r="AI7318">
        <v>93.568949480145903</v>
      </c>
      <c r="AJ7318">
        <v>92.750600613052498</v>
      </c>
      <c r="AK7318">
        <v>17.837228647136602</v>
      </c>
      <c r="AL7318">
        <v>79.906437777417906</v>
      </c>
      <c r="AM7318">
        <v>87.844149785826502</v>
      </c>
      <c r="AN7318">
        <v>0.99999996689492798</v>
      </c>
    </row>
    <row r="7319" spans="1:40" x14ac:dyDescent="0.25">
      <c r="A7319" t="str">
        <f>"20190312172550985"</f>
        <v>20190312172550985</v>
      </c>
      <c r="B7319" t="str">
        <f>"1552382750977700"</f>
        <v>1552382750977700</v>
      </c>
      <c r="C7319" t="s">
        <v>40</v>
      </c>
      <c r="D7319">
        <v>3.8882599999999998</v>
      </c>
      <c r="E7319">
        <v>0.46666069999999998</v>
      </c>
      <c r="F7319" t="s">
        <v>43</v>
      </c>
      <c r="G7319">
        <v>-187.85749999999999</v>
      </c>
      <c r="H7319" s="1">
        <v>-1.179696E-6</v>
      </c>
      <c r="I7319">
        <v>111.4395</v>
      </c>
      <c r="J7319">
        <v>-187.30439999999999</v>
      </c>
      <c r="K7319">
        <v>1.1103639999999999</v>
      </c>
      <c r="L7319">
        <v>93.874020000000002</v>
      </c>
      <c r="M7319">
        <v>1.653808E-2</v>
      </c>
      <c r="N7319">
        <v>0</v>
      </c>
      <c r="O7319">
        <v>0.99976089999999995</v>
      </c>
      <c r="P7319">
        <v>5.37587E-2</v>
      </c>
      <c r="Q7319">
        <v>0.1605577</v>
      </c>
      <c r="R7319">
        <v>0.98556140000000003</v>
      </c>
      <c r="S7319">
        <v>-9.4345090000000006E-2</v>
      </c>
      <c r="T7319">
        <v>-0.1912431</v>
      </c>
      <c r="U7319">
        <v>3.0805359999999999</v>
      </c>
      <c r="V7319">
        <v>3.7499959999999999E-2</v>
      </c>
      <c r="W7319">
        <v>0.174638299999999</v>
      </c>
      <c r="X7319">
        <v>0.98391830000000002</v>
      </c>
      <c r="Y7319">
        <v>-4.7080950000000003E-2</v>
      </c>
      <c r="Z7319">
        <v>-6.1900280000000002E-2</v>
      </c>
      <c r="AA7319">
        <v>0.9969713</v>
      </c>
      <c r="AB7319">
        <v>31</v>
      </c>
      <c r="AC7319">
        <v>-0.55310000000000004</v>
      </c>
      <c r="AD7319">
        <v>-1.1103651796959999</v>
      </c>
      <c r="AE7319">
        <v>17.565479999999901</v>
      </c>
      <c r="AF7319">
        <v>-0.84019937769825204</v>
      </c>
      <c r="AG7319">
        <v>-1.1103651796959999</v>
      </c>
      <c r="AH7319">
        <v>17.484133876415001</v>
      </c>
      <c r="AI7319">
        <v>93.629626768605803</v>
      </c>
      <c r="AJ7319">
        <v>92.751229986525999</v>
      </c>
      <c r="AK7319">
        <v>17.539492103107499</v>
      </c>
      <c r="AL7319">
        <v>79.942389923177899</v>
      </c>
      <c r="AM7319">
        <v>87.817349260926306</v>
      </c>
      <c r="AN7319">
        <v>1.0000000019508899</v>
      </c>
    </row>
    <row r="7320" spans="1:40" x14ac:dyDescent="0.25">
      <c r="A7320" t="str">
        <f>"20190312172551006"</f>
        <v>20190312172551006</v>
      </c>
      <c r="B7320" t="str">
        <f>"1552382750997220"</f>
        <v>1552382750997220</v>
      </c>
      <c r="C7320" t="s">
        <v>40</v>
      </c>
      <c r="D7320">
        <v>3.8131430000000002</v>
      </c>
      <c r="E7320">
        <v>0.4666709</v>
      </c>
      <c r="F7320" t="s">
        <v>43</v>
      </c>
      <c r="G7320">
        <v>-187.83590000000001</v>
      </c>
      <c r="H7320" s="1">
        <v>-1.1903569999999999E-6</v>
      </c>
      <c r="I7320">
        <v>111.4539</v>
      </c>
      <c r="J7320">
        <v>-187.29920000000001</v>
      </c>
      <c r="K7320">
        <v>1.110363</v>
      </c>
      <c r="L7320">
        <v>94.176699999999997</v>
      </c>
      <c r="M7320">
        <v>1.6656560000000001E-2</v>
      </c>
      <c r="N7320">
        <v>0</v>
      </c>
      <c r="O7320">
        <v>0.99975899999999995</v>
      </c>
      <c r="P7320">
        <v>5.3863800000000003E-2</v>
      </c>
      <c r="Q7320">
        <v>0.1601649</v>
      </c>
      <c r="R7320">
        <v>0.98561949999999998</v>
      </c>
      <c r="S7320">
        <v>-9.3139650000000004E-2</v>
      </c>
      <c r="T7320">
        <v>-0.19458349999999999</v>
      </c>
      <c r="U7320">
        <v>3.0807500000000001</v>
      </c>
      <c r="V7320">
        <v>3.7486999999999999E-2</v>
      </c>
      <c r="W7320">
        <v>0.17424339999999999</v>
      </c>
      <c r="X7320">
        <v>0.9839888</v>
      </c>
      <c r="Y7320">
        <v>-4.6805439999999997E-2</v>
      </c>
      <c r="Z7320">
        <v>-6.2973500000000002E-2</v>
      </c>
      <c r="AA7320">
        <v>0.9969171</v>
      </c>
      <c r="AB7320">
        <v>31</v>
      </c>
      <c r="AC7320">
        <v>-0.53669999999999596</v>
      </c>
      <c r="AD7320">
        <v>-1.1103641903569901</v>
      </c>
      <c r="AE7320">
        <v>17.277200000000001</v>
      </c>
      <c r="AF7320">
        <v>-0.82104576060801304</v>
      </c>
      <c r="AG7320">
        <v>-1.1103641903569901</v>
      </c>
      <c r="AH7320">
        <v>17.1949100605549</v>
      </c>
      <c r="AI7320">
        <v>93.690561379746299</v>
      </c>
      <c r="AJ7320">
        <v>92.733759773194095</v>
      </c>
      <c r="AK7320">
        <v>17.2502741070052</v>
      </c>
      <c r="AL7320">
        <v>79.965368300291402</v>
      </c>
      <c r="AM7320">
        <v>87.818259032290598</v>
      </c>
      <c r="AN7320">
        <v>0.99999999806899997</v>
      </c>
    </row>
    <row r="7321" spans="1:40" x14ac:dyDescent="0.25">
      <c r="A7321" t="str">
        <f>"20190312172551020"</f>
        <v>20190312172551020</v>
      </c>
      <c r="B7321" t="str">
        <f>"1552382751017716"</f>
        <v>1552382751017716</v>
      </c>
      <c r="C7321" t="s">
        <v>40</v>
      </c>
      <c r="D7321">
        <v>3.8086720000000001</v>
      </c>
      <c r="E7321">
        <v>0.46664739999999999</v>
      </c>
      <c r="F7321" t="s">
        <v>43</v>
      </c>
      <c r="G7321">
        <v>-187.8203</v>
      </c>
      <c r="H7321" s="1">
        <v>-1.2378039999999999E-6</v>
      </c>
      <c r="I7321">
        <v>111.58110000000001</v>
      </c>
      <c r="J7321">
        <v>-187.2961</v>
      </c>
      <c r="K7321">
        <v>1.1103620000000001</v>
      </c>
      <c r="L7321">
        <v>94.362089999999995</v>
      </c>
      <c r="M7321">
        <v>1.6729399999999998E-2</v>
      </c>
      <c r="N7321">
        <v>0</v>
      </c>
      <c r="O7321">
        <v>0.99975780000000003</v>
      </c>
      <c r="P7321">
        <v>5.4009269999999998E-2</v>
      </c>
      <c r="Q7321">
        <v>0.1602557</v>
      </c>
      <c r="R7321">
        <v>0.98559680000000005</v>
      </c>
      <c r="S7321">
        <v>-9.2224120000000007E-2</v>
      </c>
      <c r="T7321">
        <v>-0.1965451</v>
      </c>
      <c r="U7321">
        <v>3.0807500000000001</v>
      </c>
      <c r="V7321">
        <v>3.7560879999999998E-2</v>
      </c>
      <c r="W7321">
        <v>0.17433209999999999</v>
      </c>
      <c r="X7321">
        <v>0.98397029999999996</v>
      </c>
      <c r="Y7321">
        <v>-4.6581020000000001E-2</v>
      </c>
      <c r="Z7321">
        <v>-6.3606280000000001E-2</v>
      </c>
      <c r="AA7321">
        <v>0.99688739999999998</v>
      </c>
      <c r="AB7321">
        <v>30</v>
      </c>
      <c r="AC7321">
        <v>-0.52420000000000699</v>
      </c>
      <c r="AD7321">
        <v>-1.110363237804</v>
      </c>
      <c r="AE7321">
        <v>17.219009999999901</v>
      </c>
      <c r="AF7321">
        <v>-0.80885943539512795</v>
      </c>
      <c r="AG7321">
        <v>-1.110363237804</v>
      </c>
      <c r="AH7321">
        <v>17.1366363616199</v>
      </c>
      <c r="AI7321">
        <v>93.7031692166874</v>
      </c>
      <c r="AJ7321">
        <v>92.702389203506897</v>
      </c>
      <c r="AK7321">
        <v>17.191610334593101</v>
      </c>
      <c r="AL7321">
        <v>79.960207456088</v>
      </c>
      <c r="AM7321">
        <v>87.813922327944596</v>
      </c>
      <c r="AN7321">
        <v>1.0000000260394299</v>
      </c>
    </row>
    <row r="7322" spans="1:40" x14ac:dyDescent="0.25">
      <c r="A7322" t="str">
        <f>"20190312172551043"</f>
        <v>20190312172551043</v>
      </c>
      <c r="B7322" t="str">
        <f>"1552382751037237"</f>
        <v>1552382751037237</v>
      </c>
      <c r="C7322" t="s">
        <v>40</v>
      </c>
      <c r="D7322">
        <v>3.784097</v>
      </c>
      <c r="E7322">
        <v>0.46659040000000002</v>
      </c>
      <c r="F7322" t="s">
        <v>43</v>
      </c>
      <c r="G7322">
        <v>-187.8141</v>
      </c>
      <c r="H7322" s="1">
        <v>-1.284393E-6</v>
      </c>
      <c r="I7322">
        <v>111.7132</v>
      </c>
      <c r="J7322">
        <v>-187.2911</v>
      </c>
      <c r="K7322">
        <v>1.1103670000000001</v>
      </c>
      <c r="L7322">
        <v>94.650670000000005</v>
      </c>
      <c r="M7322">
        <v>1.6842389999999999E-2</v>
      </c>
      <c r="N7322">
        <v>0</v>
      </c>
      <c r="O7322">
        <v>0.99975599999999998</v>
      </c>
      <c r="P7322">
        <v>5.421633E-2</v>
      </c>
      <c r="Q7322">
        <v>0.16068829999999901</v>
      </c>
      <c r="R7322">
        <v>0.98551500000000003</v>
      </c>
      <c r="S7322">
        <v>-9.1979980000000003E-2</v>
      </c>
      <c r="T7322">
        <v>-0.19716049999999999</v>
      </c>
      <c r="U7322">
        <v>3.0809329999999999</v>
      </c>
      <c r="V7322">
        <v>3.7657879999999998E-2</v>
      </c>
      <c r="W7322">
        <v>0.17476129999999901</v>
      </c>
      <c r="X7322">
        <v>0.98389040000000005</v>
      </c>
      <c r="Y7322">
        <v>-4.6612849999999997E-2</v>
      </c>
      <c r="Z7322">
        <v>-6.3800679999999999E-2</v>
      </c>
      <c r="AA7322">
        <v>0.99687349999999997</v>
      </c>
      <c r="AB7322">
        <v>30</v>
      </c>
      <c r="AC7322">
        <v>-0.52299999999999602</v>
      </c>
      <c r="AD7322">
        <v>-1.1103682843930001</v>
      </c>
      <c r="AE7322">
        <v>17.062529999999999</v>
      </c>
      <c r="AF7322">
        <v>-0.80691491313419605</v>
      </c>
      <c r="AG7322">
        <v>-1.1103682843930001</v>
      </c>
      <c r="AH7322">
        <v>16.979460337306101</v>
      </c>
      <c r="AI7322">
        <v>93.737312283901801</v>
      </c>
      <c r="AJ7322">
        <v>92.720820361903293</v>
      </c>
      <c r="AK7322">
        <v>17.0348496544635</v>
      </c>
      <c r="AL7322">
        <v>79.935232184469001</v>
      </c>
      <c r="AM7322">
        <v>87.808104525595297</v>
      </c>
      <c r="AN7322">
        <v>0.99999997355797099</v>
      </c>
    </row>
    <row r="7323" spans="1:40" x14ac:dyDescent="0.25">
      <c r="A7323" t="str">
        <f>"20190312172551065"</f>
        <v>20190312172551065</v>
      </c>
      <c r="B7323" t="str">
        <f>"1552382751057733"</f>
        <v>1552382751057733</v>
      </c>
      <c r="C7323" t="s">
        <v>40</v>
      </c>
      <c r="D7323">
        <v>3.804548</v>
      </c>
      <c r="E7323">
        <v>0.46660010000000002</v>
      </c>
      <c r="F7323" t="s">
        <v>43</v>
      </c>
      <c r="G7323">
        <v>-187.80879999999999</v>
      </c>
      <c r="H7323" s="1">
        <v>-1.41878899999999E-6</v>
      </c>
      <c r="I7323">
        <v>112.03400000000001</v>
      </c>
      <c r="J7323">
        <v>-187.2859</v>
      </c>
      <c r="K7323">
        <v>1.1103749999999999</v>
      </c>
      <c r="L7323">
        <v>94.955839999999995</v>
      </c>
      <c r="M7323">
        <v>1.696226E-2</v>
      </c>
      <c r="N7323">
        <v>0</v>
      </c>
      <c r="O7323">
        <v>0.99975400000000003</v>
      </c>
      <c r="P7323">
        <v>5.4719749999999998E-2</v>
      </c>
      <c r="Q7323">
        <v>0.1611513</v>
      </c>
      <c r="R7323">
        <v>0.98541160000000005</v>
      </c>
      <c r="S7323">
        <v>-9.1766360000000005E-2</v>
      </c>
      <c r="T7323">
        <v>-0.19681360000000001</v>
      </c>
      <c r="U7323">
        <v>3.081207</v>
      </c>
      <c r="V7323">
        <v>3.8044710000000002E-2</v>
      </c>
      <c r="W7323">
        <v>0.1752195</v>
      </c>
      <c r="X7323">
        <v>0.98379399999999995</v>
      </c>
      <c r="Y7323">
        <v>-4.6661139999999997E-2</v>
      </c>
      <c r="Z7323">
        <v>-6.3683030000000002E-2</v>
      </c>
      <c r="AA7323">
        <v>0.99687870000000001</v>
      </c>
      <c r="AB7323">
        <v>30</v>
      </c>
      <c r="AC7323">
        <v>-0.52289999999999204</v>
      </c>
      <c r="AD7323">
        <v>-1.110376418789</v>
      </c>
      <c r="AE7323">
        <v>17.078159999999901</v>
      </c>
      <c r="AF7323">
        <v>-0.80912137210506296</v>
      </c>
      <c r="AG7323">
        <v>-1.110376418789</v>
      </c>
      <c r="AH7323">
        <v>16.995056871600699</v>
      </c>
      <c r="AI7323">
        <v>93.733904263358397</v>
      </c>
      <c r="AJ7323">
        <v>92.725749087571103</v>
      </c>
      <c r="AK7323">
        <v>17.050500615968499</v>
      </c>
      <c r="AL7323">
        <v>79.9085676284557</v>
      </c>
      <c r="AM7323">
        <v>87.785394427773596</v>
      </c>
      <c r="AN7323">
        <v>0.99999995378761597</v>
      </c>
    </row>
    <row r="7324" spans="1:40" x14ac:dyDescent="0.25">
      <c r="A7324" t="str">
        <f>"20190312172551087"</f>
        <v>20190312172551087</v>
      </c>
      <c r="B7324" t="str">
        <f>"1552382751077252"</f>
        <v>1552382751077252</v>
      </c>
      <c r="C7324" t="s">
        <v>40</v>
      </c>
      <c r="D7324">
        <v>3.7780320000000001</v>
      </c>
      <c r="E7324">
        <v>0.46656779999999998</v>
      </c>
      <c r="F7324" t="s">
        <v>43</v>
      </c>
      <c r="G7324">
        <v>-187.80029999999999</v>
      </c>
      <c r="H7324" s="1">
        <v>-1.6052370000000001E-6</v>
      </c>
      <c r="I7324">
        <v>112.46510000000001</v>
      </c>
      <c r="J7324">
        <v>-187.2807</v>
      </c>
      <c r="K7324">
        <v>1.110385</v>
      </c>
      <c r="L7324">
        <v>95.252529999999993</v>
      </c>
      <c r="M7324">
        <v>1.707854E-2</v>
      </c>
      <c r="N7324">
        <v>0</v>
      </c>
      <c r="O7324">
        <v>0.99975199999999997</v>
      </c>
      <c r="P7324">
        <v>5.5397979999999999E-2</v>
      </c>
      <c r="Q7324">
        <v>0.16195479999999901</v>
      </c>
      <c r="R7324">
        <v>0.9852419</v>
      </c>
      <c r="S7324">
        <v>-9.0530399999999997E-2</v>
      </c>
      <c r="T7324">
        <v>-0.19541159999999999</v>
      </c>
      <c r="U7324">
        <v>3.0813899999999999</v>
      </c>
      <c r="V7324">
        <v>3.8611159999999999E-2</v>
      </c>
      <c r="W7324">
        <v>0.17601749999999999</v>
      </c>
      <c r="X7324">
        <v>0.98362950000000005</v>
      </c>
      <c r="Y7324">
        <v>-4.6376899999999999E-2</v>
      </c>
      <c r="Z7324">
        <v>-6.3228060000000003E-2</v>
      </c>
      <c r="AA7324">
        <v>0.9969209</v>
      </c>
      <c r="AB7324">
        <v>30</v>
      </c>
      <c r="AC7324">
        <v>-0.51959999999999695</v>
      </c>
      <c r="AD7324">
        <v>-1.1103866052369999</v>
      </c>
      <c r="AE7324">
        <v>17.212569999999999</v>
      </c>
      <c r="AF7324">
        <v>-0.81015136387097397</v>
      </c>
      <c r="AG7324">
        <v>-1.1103866052369999</v>
      </c>
      <c r="AH7324">
        <v>17.1299615409993</v>
      </c>
      <c r="AI7324">
        <v>93.704669575001901</v>
      </c>
      <c r="AJ7324">
        <v>92.707752223122796</v>
      </c>
      <c r="AK7324">
        <v>17.185019233087399</v>
      </c>
      <c r="AL7324">
        <v>79.8621241230706</v>
      </c>
      <c r="AM7324">
        <v>87.752079109312405</v>
      </c>
      <c r="AN7324">
        <v>0.99999998762652198</v>
      </c>
    </row>
    <row r="7325" spans="1:40" x14ac:dyDescent="0.25">
      <c r="A7325" t="str">
        <f>"20190312172551108"</f>
        <v>20190312172551108</v>
      </c>
      <c r="B7325" t="str">
        <f>"1552382751097748"</f>
        <v>1552382751097748</v>
      </c>
      <c r="C7325" t="s">
        <v>40</v>
      </c>
      <c r="D7325">
        <v>3.7268599999999998</v>
      </c>
      <c r="E7325">
        <v>0.46654210000000002</v>
      </c>
      <c r="F7325" t="s">
        <v>43</v>
      </c>
      <c r="G7325">
        <v>-187.79220000000001</v>
      </c>
      <c r="H7325" s="1">
        <v>-1.826445E-6</v>
      </c>
      <c r="I7325">
        <v>112.9774</v>
      </c>
      <c r="J7325">
        <v>-187.27539999999999</v>
      </c>
      <c r="K7325">
        <v>1.1103860000000001</v>
      </c>
      <c r="L7325">
        <v>95.554900000000004</v>
      </c>
      <c r="M7325">
        <v>1.7197270000000001E-2</v>
      </c>
      <c r="N7325">
        <v>0</v>
      </c>
      <c r="O7325">
        <v>0.99975009999999997</v>
      </c>
      <c r="P7325">
        <v>5.5855349999999998E-2</v>
      </c>
      <c r="Q7325">
        <v>0.16318389999999999</v>
      </c>
      <c r="R7325">
        <v>0.98501329999999998</v>
      </c>
      <c r="S7325">
        <v>-8.8928220000000002E-2</v>
      </c>
      <c r="T7325">
        <v>-0.19305549999999999</v>
      </c>
      <c r="U7325">
        <v>3.081696</v>
      </c>
      <c r="V7325">
        <v>3.895552E-2</v>
      </c>
      <c r="W7325">
        <v>0.17724010000000001</v>
      </c>
      <c r="X7325">
        <v>0.98339639999999995</v>
      </c>
      <c r="Y7325">
        <v>-4.5976160000000002E-2</v>
      </c>
      <c r="Z7325">
        <v>-6.246343E-2</v>
      </c>
      <c r="AA7325">
        <v>0.99698770000000003</v>
      </c>
      <c r="AB7325">
        <v>30</v>
      </c>
      <c r="AC7325">
        <v>-0.51680000000001702</v>
      </c>
      <c r="AD7325">
        <v>-1.110387826445</v>
      </c>
      <c r="AE7325">
        <v>17.422499999999999</v>
      </c>
      <c r="AF7325">
        <v>-0.81307384383598702</v>
      </c>
      <c r="AG7325">
        <v>-1.110387826445</v>
      </c>
      <c r="AH7325">
        <v>17.340660529687501</v>
      </c>
      <c r="AI7325">
        <v>93.659852461832401</v>
      </c>
      <c r="AJ7325">
        <v>92.684534700303203</v>
      </c>
      <c r="AK7325">
        <v>17.395187777270699</v>
      </c>
      <c r="AL7325">
        <v>79.790955812322494</v>
      </c>
      <c r="AM7325">
        <v>87.731514475642399</v>
      </c>
      <c r="AN7325">
        <v>1.00000003255971</v>
      </c>
    </row>
    <row r="7326" spans="1:40" x14ac:dyDescent="0.25">
      <c r="A7326" t="str">
        <f>"20190312172551129"</f>
        <v>20190312172551129</v>
      </c>
      <c r="B7326" t="str">
        <f>"1552382751117268"</f>
        <v>1552382751117268</v>
      </c>
      <c r="C7326" t="s">
        <v>40</v>
      </c>
      <c r="D7326">
        <v>3.741695</v>
      </c>
      <c r="E7326">
        <v>0.46651429999999999</v>
      </c>
      <c r="F7326" t="s">
        <v>43</v>
      </c>
      <c r="G7326">
        <v>-187.7885</v>
      </c>
      <c r="H7326" s="1">
        <v>-2.095894E-6</v>
      </c>
      <c r="I7326">
        <v>113.6039</v>
      </c>
      <c r="J7326">
        <v>-187.2704</v>
      </c>
      <c r="K7326">
        <v>1.110395</v>
      </c>
      <c r="L7326">
        <v>95.837370000000007</v>
      </c>
      <c r="M7326">
        <v>1.7307980000000001E-2</v>
      </c>
      <c r="N7326">
        <v>0</v>
      </c>
      <c r="O7326">
        <v>0.99974819999999998</v>
      </c>
      <c r="P7326">
        <v>5.6273980000000001E-2</v>
      </c>
      <c r="Q7326">
        <v>0.16316520000000001</v>
      </c>
      <c r="R7326">
        <v>0.9849926</v>
      </c>
      <c r="S7326">
        <v>-8.7615970000000001E-2</v>
      </c>
      <c r="T7326">
        <v>-0.18960669999999999</v>
      </c>
      <c r="U7326">
        <v>3.082001</v>
      </c>
      <c r="V7326">
        <v>3.9265179999999997E-2</v>
      </c>
      <c r="W7326">
        <v>0.17721809999999999</v>
      </c>
      <c r="X7326">
        <v>0.98338800000000004</v>
      </c>
      <c r="Y7326">
        <v>-4.5661760000000003E-2</v>
      </c>
      <c r="Z7326">
        <v>-6.1346390000000001E-2</v>
      </c>
      <c r="AA7326">
        <v>0.9970715</v>
      </c>
      <c r="AB7326">
        <v>30</v>
      </c>
      <c r="AC7326">
        <v>-0.518100000000004</v>
      </c>
      <c r="AD7326">
        <v>-1.1103970958939999</v>
      </c>
      <c r="AE7326">
        <v>17.766529999999999</v>
      </c>
      <c r="AF7326">
        <v>-0.82234698741955403</v>
      </c>
      <c r="AG7326">
        <v>-1.1103970958939999</v>
      </c>
      <c r="AH7326">
        <v>17.685874576709399</v>
      </c>
      <c r="AI7326">
        <v>93.588698682754</v>
      </c>
      <c r="AJ7326">
        <v>92.662186689017204</v>
      </c>
      <c r="AK7326">
        <v>17.7397687645974</v>
      </c>
      <c r="AL7326">
        <v>79.792236093039605</v>
      </c>
      <c r="AM7326">
        <v>87.7134816878104</v>
      </c>
      <c r="AN7326">
        <v>0.99999998393602096</v>
      </c>
    </row>
    <row r="7327" spans="1:40" x14ac:dyDescent="0.25">
      <c r="A7327" t="str">
        <f>"20190312172551151"</f>
        <v>20190312172551151</v>
      </c>
      <c r="B7327" t="str">
        <f>"1552382751147524"</f>
        <v>1552382751147524</v>
      </c>
      <c r="C7327" t="s">
        <v>40</v>
      </c>
      <c r="D7327">
        <v>3.7295470000000002</v>
      </c>
      <c r="E7327">
        <v>0.46655180000000002</v>
      </c>
      <c r="F7327" t="s">
        <v>43</v>
      </c>
      <c r="G7327">
        <v>-187.77690000000001</v>
      </c>
      <c r="H7327" s="1">
        <v>-2.2180740000000001E-6</v>
      </c>
      <c r="I7327">
        <v>113.8839</v>
      </c>
      <c r="J7327">
        <v>-187.26519999999999</v>
      </c>
      <c r="K7327">
        <v>1.1104000000000001</v>
      </c>
      <c r="L7327">
        <v>96.13449</v>
      </c>
      <c r="M7327">
        <v>1.7424479999999999E-2</v>
      </c>
      <c r="N7327">
        <v>0</v>
      </c>
      <c r="O7327">
        <v>0.99974620000000003</v>
      </c>
      <c r="P7327">
        <v>5.6684369999999998E-2</v>
      </c>
      <c r="Q7327">
        <v>0.16312739999999901</v>
      </c>
      <c r="R7327">
        <v>0.9849753</v>
      </c>
      <c r="S7327">
        <v>-8.6502079999999995E-2</v>
      </c>
      <c r="T7327">
        <v>-0.1896378</v>
      </c>
      <c r="U7327">
        <v>3.0820620000000001</v>
      </c>
      <c r="V7327">
        <v>3.9560860000000003E-2</v>
      </c>
      <c r="W7327">
        <v>0.17717729999999901</v>
      </c>
      <c r="X7327">
        <v>0.98338349999999997</v>
      </c>
      <c r="Y7327">
        <v>-4.5417520000000003E-2</v>
      </c>
      <c r="Z7327">
        <v>-6.1355670000000001E-2</v>
      </c>
      <c r="AA7327">
        <v>0.99708209999999997</v>
      </c>
      <c r="AB7327">
        <v>30</v>
      </c>
      <c r="AC7327">
        <v>-0.51170000000001803</v>
      </c>
      <c r="AD7327">
        <v>-1.1104022180740001</v>
      </c>
      <c r="AE7327">
        <v>17.749409999999902</v>
      </c>
      <c r="AF7327">
        <v>-0.81773034509309905</v>
      </c>
      <c r="AG7327">
        <v>-1.1104022180740001</v>
      </c>
      <c r="AH7327">
        <v>17.668704336904</v>
      </c>
      <c r="AI7327">
        <v>93.592229378116599</v>
      </c>
      <c r="AJ7327">
        <v>92.649831451673904</v>
      </c>
      <c r="AK7327">
        <v>17.722437443763798</v>
      </c>
      <c r="AL7327">
        <v>79.794611335646195</v>
      </c>
      <c r="AM7327">
        <v>87.696271387958504</v>
      </c>
      <c r="AN7327">
        <v>0.99999998267573897</v>
      </c>
    </row>
    <row r="7328" spans="1:40" x14ac:dyDescent="0.25">
      <c r="A7328" t="str">
        <f>"20190312172551174"</f>
        <v>20190312172551174</v>
      </c>
      <c r="B7328" t="str">
        <f>"1552382751168020"</f>
        <v>1552382751168020</v>
      </c>
      <c r="C7328" t="s">
        <v>40</v>
      </c>
      <c r="D7328">
        <v>3.689133</v>
      </c>
      <c r="E7328">
        <v>0.4664218</v>
      </c>
      <c r="F7328" t="s">
        <v>43</v>
      </c>
      <c r="G7328">
        <v>-187.7655</v>
      </c>
      <c r="H7328" s="1">
        <v>-2.3812620000000002E-6</v>
      </c>
      <c r="I7328">
        <v>114.25960000000001</v>
      </c>
      <c r="J7328">
        <v>-187.25960000000001</v>
      </c>
      <c r="K7328">
        <v>1.1104050000000001</v>
      </c>
      <c r="L7328">
        <v>96.446110000000004</v>
      </c>
      <c r="M7328">
        <v>1.7546659999999999E-2</v>
      </c>
      <c r="N7328">
        <v>0</v>
      </c>
      <c r="O7328">
        <v>0.99974410000000002</v>
      </c>
      <c r="P7328">
        <v>5.6660509999999997E-2</v>
      </c>
      <c r="Q7328">
        <v>0.16328210000000001</v>
      </c>
      <c r="R7328">
        <v>0.98495100000000002</v>
      </c>
      <c r="S7328">
        <v>-8.5067749999999998E-2</v>
      </c>
      <c r="T7328">
        <v>-0.18880949999999999</v>
      </c>
      <c r="U7328">
        <v>3.0819399999999999</v>
      </c>
      <c r="V7328">
        <v>3.9416920000000001E-2</v>
      </c>
      <c r="W7328">
        <v>0.1773284</v>
      </c>
      <c r="X7328">
        <v>0.98336210000000002</v>
      </c>
      <c r="Y7328">
        <v>-4.507746E-2</v>
      </c>
      <c r="Z7328">
        <v>-6.1091769999999997E-2</v>
      </c>
      <c r="AA7328">
        <v>0.99711380000000005</v>
      </c>
      <c r="AB7328">
        <v>30</v>
      </c>
      <c r="AC7328">
        <v>-0.50589999999999602</v>
      </c>
      <c r="AD7328">
        <v>-1.1104073812619999</v>
      </c>
      <c r="AE7328">
        <v>17.813489999999899</v>
      </c>
      <c r="AF7328">
        <v>-0.81525594615358399</v>
      </c>
      <c r="AG7328">
        <v>-1.1104073812619999</v>
      </c>
      <c r="AH7328">
        <v>17.733019963565599</v>
      </c>
      <c r="AI7328">
        <v>93.579301816991304</v>
      </c>
      <c r="AJ7328">
        <v>92.632256517015904</v>
      </c>
      <c r="AK7328">
        <v>17.786445508822599</v>
      </c>
      <c r="AL7328">
        <v>79.7858152154095</v>
      </c>
      <c r="AM7328">
        <v>87.704594496993593</v>
      </c>
      <c r="AN7328">
        <v>1.0000000373726201</v>
      </c>
    </row>
    <row r="7329" spans="1:40" x14ac:dyDescent="0.25">
      <c r="A7329" t="str">
        <f>"20190312172551197"</f>
        <v>20190312172551197</v>
      </c>
      <c r="B7329" t="str">
        <f>"1552382751187543"</f>
        <v>1552382751187543</v>
      </c>
      <c r="C7329" t="s">
        <v>40</v>
      </c>
      <c r="D7329">
        <v>3.6851240000000001</v>
      </c>
      <c r="E7329">
        <v>0.46631089999999997</v>
      </c>
      <c r="F7329" t="s">
        <v>43</v>
      </c>
      <c r="G7329">
        <v>-187.7681</v>
      </c>
      <c r="H7329" s="1">
        <v>-2.5374180000000001E-6</v>
      </c>
      <c r="I7329">
        <v>114.6247</v>
      </c>
      <c r="J7329">
        <v>-187.2542</v>
      </c>
      <c r="K7329">
        <v>1.1104019999999999</v>
      </c>
      <c r="L7329">
        <v>96.748320000000007</v>
      </c>
      <c r="M7329">
        <v>1.7665090000000001E-2</v>
      </c>
      <c r="N7329">
        <v>0</v>
      </c>
      <c r="O7329">
        <v>0.99974209999999997</v>
      </c>
      <c r="P7329">
        <v>5.697605E-2</v>
      </c>
      <c r="Q7329">
        <v>0.16323789999999999</v>
      </c>
      <c r="R7329">
        <v>0.98494020000000004</v>
      </c>
      <c r="S7329">
        <v>-8.6212159999999996E-2</v>
      </c>
      <c r="T7329">
        <v>-0.1882586</v>
      </c>
      <c r="U7329">
        <v>3.082001</v>
      </c>
      <c r="V7329">
        <v>3.9615740000000003E-2</v>
      </c>
      <c r="W7329">
        <v>0.17728099999999999</v>
      </c>
      <c r="X7329">
        <v>0.98336259999999998</v>
      </c>
      <c r="Y7329">
        <v>-4.556553E-2</v>
      </c>
      <c r="Z7329">
        <v>-6.0911819999999998E-2</v>
      </c>
      <c r="AA7329">
        <v>0.99710259999999995</v>
      </c>
      <c r="AB7329">
        <v>30</v>
      </c>
      <c r="AC7329">
        <v>-0.51390000000000602</v>
      </c>
      <c r="AD7329">
        <v>-1.110404537418</v>
      </c>
      <c r="AE7329">
        <v>17.876380000000001</v>
      </c>
      <c r="AF7329">
        <v>-0.82645369391771195</v>
      </c>
      <c r="AG7329">
        <v>-1.110404537418</v>
      </c>
      <c r="AH7329">
        <v>17.795904592619099</v>
      </c>
      <c r="AI7329">
        <v>93.5666008224199</v>
      </c>
      <c r="AJ7329">
        <v>92.658943816278807</v>
      </c>
      <c r="AK7329">
        <v>17.8496566973852</v>
      </c>
      <c r="AL7329">
        <v>79.788574180225197</v>
      </c>
      <c r="AM7329">
        <v>87.693030060176099</v>
      </c>
      <c r="AN7329">
        <v>0.99999998144775304</v>
      </c>
    </row>
    <row r="7330" spans="1:40" x14ac:dyDescent="0.25">
      <c r="A7330" t="str">
        <f>"20190312172551218"</f>
        <v>20190312172551218</v>
      </c>
      <c r="B7330" t="str">
        <f>"1552382751208039"</f>
        <v>1552382751208039</v>
      </c>
      <c r="C7330" t="s">
        <v>40</v>
      </c>
      <c r="D7330">
        <v>3.662382</v>
      </c>
      <c r="E7330">
        <v>0.46618150000000003</v>
      </c>
      <c r="F7330" t="s">
        <v>43</v>
      </c>
      <c r="G7330">
        <v>-187.76089999999999</v>
      </c>
      <c r="H7330" s="1">
        <v>-2.6602430000000001E-6</v>
      </c>
      <c r="I7330">
        <v>114.908</v>
      </c>
      <c r="J7330">
        <v>-187.24889999999999</v>
      </c>
      <c r="K7330">
        <v>1.110403</v>
      </c>
      <c r="L7330">
        <v>97.039090000000002</v>
      </c>
      <c r="M7330">
        <v>1.777923E-2</v>
      </c>
      <c r="N7330">
        <v>0</v>
      </c>
      <c r="O7330">
        <v>0.99974010000000002</v>
      </c>
      <c r="P7330">
        <v>5.7841839999999999E-2</v>
      </c>
      <c r="Q7330">
        <v>0.1634014</v>
      </c>
      <c r="R7330">
        <v>0.98486260000000003</v>
      </c>
      <c r="S7330">
        <v>-8.5998539999999998E-2</v>
      </c>
      <c r="T7330">
        <v>-0.18845780000000001</v>
      </c>
      <c r="U7330">
        <v>3.0820620000000001</v>
      </c>
      <c r="V7330">
        <v>4.037015E-2</v>
      </c>
      <c r="W7330">
        <v>0.1774405</v>
      </c>
      <c r="X7330">
        <v>0.98330320000000004</v>
      </c>
      <c r="Y7330">
        <v>-4.5609860000000002E-2</v>
      </c>
      <c r="Z7330">
        <v>-6.0974630000000002E-2</v>
      </c>
      <c r="AA7330">
        <v>0.99709669999999895</v>
      </c>
      <c r="AB7330">
        <v>30</v>
      </c>
      <c r="AC7330">
        <v>-0.51200000000000001</v>
      </c>
      <c r="AD7330">
        <v>-1.1104056602429999</v>
      </c>
      <c r="AE7330">
        <v>17.8689099999999</v>
      </c>
      <c r="AF7330">
        <v>-0.82645803556474695</v>
      </c>
      <c r="AG7330">
        <v>-1.1104056602429999</v>
      </c>
      <c r="AH7330">
        <v>17.7883460028489</v>
      </c>
      <c r="AI7330">
        <v>93.568112724387007</v>
      </c>
      <c r="AJ7330">
        <v>92.660085981274506</v>
      </c>
      <c r="AK7330">
        <v>17.842121150017999</v>
      </c>
      <c r="AL7330">
        <v>79.779288801734594</v>
      </c>
      <c r="AM7330">
        <v>87.649004973779796</v>
      </c>
      <c r="AN7330">
        <v>1.00000003159075</v>
      </c>
    </row>
    <row r="7331" spans="1:40" x14ac:dyDescent="0.25">
      <c r="A7331" t="str">
        <f>"20190312172551243"</f>
        <v>20190312172551243</v>
      </c>
      <c r="B7331" t="str">
        <f>"1552382751237318"</f>
        <v>1552382751237318</v>
      </c>
      <c r="C7331" t="s">
        <v>40</v>
      </c>
      <c r="D7331">
        <v>3.7627920000000001</v>
      </c>
      <c r="E7331">
        <v>0.46602169999999998</v>
      </c>
      <c r="F7331" t="s">
        <v>43</v>
      </c>
      <c r="G7331">
        <v>-187.74709999999999</v>
      </c>
      <c r="H7331" s="1">
        <v>-2.8275130000000002E-6</v>
      </c>
      <c r="I7331">
        <v>115.29219999999999</v>
      </c>
      <c r="J7331">
        <v>-187.2431</v>
      </c>
      <c r="K7331">
        <v>1.1104050000000001</v>
      </c>
      <c r="L7331">
        <v>97.357060000000004</v>
      </c>
      <c r="M7331">
        <v>1.790396E-2</v>
      </c>
      <c r="N7331">
        <v>0</v>
      </c>
      <c r="O7331">
        <v>0.99973789999999996</v>
      </c>
      <c r="P7331">
        <v>5.8934750000000001E-2</v>
      </c>
      <c r="Q7331">
        <v>0.16326179999999901</v>
      </c>
      <c r="R7331">
        <v>0.98482099999999995</v>
      </c>
      <c r="S7331">
        <v>-8.4121699999999994E-2</v>
      </c>
      <c r="T7331">
        <v>-0.18750069999999999</v>
      </c>
      <c r="U7331">
        <v>3.0821839999999998</v>
      </c>
      <c r="V7331">
        <v>4.134053E-2</v>
      </c>
      <c r="W7331">
        <v>0.17729690000000001</v>
      </c>
      <c r="X7331">
        <v>0.98328879999999996</v>
      </c>
      <c r="Y7331">
        <v>-4.5127210000000001E-2</v>
      </c>
      <c r="Z7331">
        <v>-6.0664679999999999E-2</v>
      </c>
      <c r="AA7331">
        <v>0.99713750000000001</v>
      </c>
      <c r="AB7331">
        <v>30</v>
      </c>
      <c r="AC7331">
        <v>-0.50399999999999001</v>
      </c>
      <c r="AD7331">
        <v>-1.1104078275129901</v>
      </c>
      <c r="AE7331">
        <v>17.935139999999901</v>
      </c>
      <c r="AF7331">
        <v>-0.82191388698348999</v>
      </c>
      <c r="AG7331">
        <v>-1.1104078275129901</v>
      </c>
      <c r="AH7331">
        <v>17.854853821159399</v>
      </c>
      <c r="AI7331">
        <v>93.5549328362127</v>
      </c>
      <c r="AJ7331">
        <v>92.635640485377195</v>
      </c>
      <c r="AK7331">
        <v>17.908220262102802</v>
      </c>
      <c r="AL7331">
        <v>79.787649192246604</v>
      </c>
      <c r="AM7331">
        <v>87.592524444788395</v>
      </c>
      <c r="AN7331">
        <v>1.0000000471878601</v>
      </c>
    </row>
    <row r="7332" spans="1:40" x14ac:dyDescent="0.25">
      <c r="A7332" t="str">
        <f>"20190312172551264"</f>
        <v>20190312172551264</v>
      </c>
      <c r="B7332" t="str">
        <f>"1552382751257812"</f>
        <v>1552382751257812</v>
      </c>
      <c r="C7332" t="s">
        <v>40</v>
      </c>
      <c r="D7332">
        <v>3.6412270000000002</v>
      </c>
      <c r="E7332">
        <v>0.46591329999999997</v>
      </c>
      <c r="F7332" t="s">
        <v>43</v>
      </c>
      <c r="G7332">
        <v>-187.72569999999999</v>
      </c>
      <c r="H7332" s="1">
        <v>-2.9448920000000002E-6</v>
      </c>
      <c r="I7332">
        <v>115.557</v>
      </c>
      <c r="J7332">
        <v>-187.23769999999999</v>
      </c>
      <c r="K7332">
        <v>1.1103989999999999</v>
      </c>
      <c r="L7332">
        <v>97.650909999999996</v>
      </c>
      <c r="M7332">
        <v>1.8019440000000001E-2</v>
      </c>
      <c r="N7332">
        <v>0</v>
      </c>
      <c r="O7332">
        <v>0.99973590000000001</v>
      </c>
      <c r="P7332">
        <v>6.0344019999999998E-2</v>
      </c>
      <c r="Q7332">
        <v>0.1626206</v>
      </c>
      <c r="R7332">
        <v>0.98484170000000004</v>
      </c>
      <c r="S7332">
        <v>-8.1726069999999998E-2</v>
      </c>
      <c r="T7332">
        <v>-0.18805659999999999</v>
      </c>
      <c r="U7332">
        <v>3.082306</v>
      </c>
      <c r="V7332">
        <v>4.2635050000000001E-2</v>
      </c>
      <c r="W7332">
        <v>0.176653</v>
      </c>
      <c r="X7332">
        <v>0.98334940000000004</v>
      </c>
      <c r="Y7332">
        <v>-4.4466789999999999E-2</v>
      </c>
      <c r="Z7332">
        <v>-6.0842809999999997E-2</v>
      </c>
      <c r="AA7332">
        <v>0.99715640000000005</v>
      </c>
      <c r="AB7332">
        <v>30</v>
      </c>
      <c r="AC7332">
        <v>-0.48799999999999899</v>
      </c>
      <c r="AD7332">
        <v>-1.1104019448919999</v>
      </c>
      <c r="AE7332">
        <v>17.906089999999999</v>
      </c>
      <c r="AF7332">
        <v>-0.80750827726679197</v>
      </c>
      <c r="AG7332">
        <v>-1.1104019448919999</v>
      </c>
      <c r="AH7332">
        <v>17.825888199260898</v>
      </c>
      <c r="AI7332">
        <v>93.560794338492201</v>
      </c>
      <c r="AJ7332">
        <v>92.593711295633796</v>
      </c>
      <c r="AK7332">
        <v>17.878684296939198</v>
      </c>
      <c r="AL7332">
        <v>79.825133508872696</v>
      </c>
      <c r="AM7332">
        <v>87.5173834825341</v>
      </c>
      <c r="AN7332">
        <v>1.0000000361889301</v>
      </c>
    </row>
    <row r="7333" spans="1:40" x14ac:dyDescent="0.25">
      <c r="A7333" t="str">
        <f>"20190312172551287"</f>
        <v>20190312172551287</v>
      </c>
      <c r="B7333" t="str">
        <f>"1552382751277335"</f>
        <v>1552382751277335</v>
      </c>
      <c r="C7333" t="s">
        <v>40</v>
      </c>
      <c r="D7333">
        <v>3.6480860000000002</v>
      </c>
      <c r="E7333">
        <v>0.46578120000000001</v>
      </c>
      <c r="F7333" t="s">
        <v>43</v>
      </c>
      <c r="G7333">
        <v>-187.69479999999999</v>
      </c>
      <c r="H7333" s="1">
        <v>-3.0025059999999998E-6</v>
      </c>
      <c r="I7333">
        <v>115.6785</v>
      </c>
      <c r="J7333">
        <v>-187.2321</v>
      </c>
      <c r="K7333">
        <v>1.110401</v>
      </c>
      <c r="L7333">
        <v>97.954930000000004</v>
      </c>
      <c r="M7333">
        <v>1.8138830000000002E-2</v>
      </c>
      <c r="N7333">
        <v>0</v>
      </c>
      <c r="O7333">
        <v>0.99973369999999995</v>
      </c>
      <c r="P7333">
        <v>6.2484329999999998E-2</v>
      </c>
      <c r="Q7333">
        <v>0.16207569999999999</v>
      </c>
      <c r="R7333">
        <v>0.98479799999999995</v>
      </c>
      <c r="S7333">
        <v>-7.8155520000000006E-2</v>
      </c>
      <c r="T7333">
        <v>-0.18985299999999999</v>
      </c>
      <c r="U7333">
        <v>3.082306</v>
      </c>
      <c r="V7333">
        <v>4.4657830000000003E-2</v>
      </c>
      <c r="W7333">
        <v>0.17610479999999901</v>
      </c>
      <c r="X7333">
        <v>0.98335790000000001</v>
      </c>
      <c r="Y7333">
        <v>-4.3430839999999998E-2</v>
      </c>
      <c r="Z7333">
        <v>-6.1423940000000003E-2</v>
      </c>
      <c r="AA7333">
        <v>0.99716640000000001</v>
      </c>
      <c r="AB7333">
        <v>30</v>
      </c>
      <c r="AC7333">
        <v>-0.46269999999998301</v>
      </c>
      <c r="AD7333">
        <v>-1.110404002506</v>
      </c>
      <c r="AE7333">
        <v>17.723569999999899</v>
      </c>
      <c r="AF7333">
        <v>-0.78107761885243798</v>
      </c>
      <c r="AG7333">
        <v>-1.110404002506</v>
      </c>
      <c r="AH7333">
        <v>17.643054789238001</v>
      </c>
      <c r="AI7333">
        <v>93.597769738793602</v>
      </c>
      <c r="AJ7333">
        <v>92.534892548881004</v>
      </c>
      <c r="AK7333">
        <v>17.695210131318301</v>
      </c>
      <c r="AL7333">
        <v>79.857042861554902</v>
      </c>
      <c r="AM7333">
        <v>87.399778520340902</v>
      </c>
      <c r="AN7333">
        <v>0.99999999092787895</v>
      </c>
    </row>
    <row r="7334" spans="1:40" x14ac:dyDescent="0.25">
      <c r="A7334" t="str">
        <f>"20190312172551308"</f>
        <v>20190312172551308</v>
      </c>
      <c r="B7334" t="str">
        <f>"1552382751297831"</f>
        <v>1552382751297831</v>
      </c>
      <c r="C7334" t="s">
        <v>40</v>
      </c>
      <c r="D7334">
        <v>3.6690839999999998</v>
      </c>
      <c r="E7334">
        <v>0.46567269999999999</v>
      </c>
      <c r="F7334" t="s">
        <v>43</v>
      </c>
      <c r="G7334">
        <v>-187.649</v>
      </c>
      <c r="H7334" s="1">
        <v>-3.0594840000000001E-6</v>
      </c>
      <c r="I7334">
        <v>115.7924</v>
      </c>
      <c r="J7334">
        <v>-187.2268</v>
      </c>
      <c r="K7334">
        <v>1.110403</v>
      </c>
      <c r="L7334">
        <v>98.242099999999994</v>
      </c>
      <c r="M7334">
        <v>1.8251839999999998E-2</v>
      </c>
      <c r="N7334">
        <v>0</v>
      </c>
      <c r="O7334">
        <v>0.99973179999999995</v>
      </c>
      <c r="P7334">
        <v>6.5327209999999997E-2</v>
      </c>
      <c r="Q7334">
        <v>0.16255049999999999</v>
      </c>
      <c r="R7334">
        <v>0.9845353</v>
      </c>
      <c r="S7334">
        <v>-7.2036740000000002E-2</v>
      </c>
      <c r="T7334">
        <v>-0.1918868</v>
      </c>
      <c r="U7334">
        <v>3.0824579999999999</v>
      </c>
      <c r="V7334">
        <v>4.7393600000000001E-2</v>
      </c>
      <c r="W7334">
        <v>0.176572799999999</v>
      </c>
      <c r="X7334">
        <v>0.98314590000000002</v>
      </c>
      <c r="Y7334">
        <v>-4.1563250000000003E-2</v>
      </c>
      <c r="Z7334">
        <v>-6.2080129999999997E-2</v>
      </c>
      <c r="AA7334">
        <v>0.99720540000000002</v>
      </c>
      <c r="AB7334">
        <v>30</v>
      </c>
      <c r="AC7334">
        <v>-0.42220000000000302</v>
      </c>
      <c r="AD7334">
        <v>-1.110406059484</v>
      </c>
      <c r="AE7334">
        <v>17.5503</v>
      </c>
      <c r="AF7334">
        <v>-0.73952879085187095</v>
      </c>
      <c r="AG7334">
        <v>-1.110406059484</v>
      </c>
      <c r="AH7334">
        <v>17.4697766777916</v>
      </c>
      <c r="AI7334">
        <v>93.633670379424601</v>
      </c>
      <c r="AJ7334">
        <v>92.423991818335296</v>
      </c>
      <c r="AK7334">
        <v>17.520645011567002</v>
      </c>
      <c r="AL7334">
        <v>79.829801479438203</v>
      </c>
      <c r="AM7334">
        <v>87.240132140134193</v>
      </c>
      <c r="AN7334">
        <v>0.99999998385380395</v>
      </c>
    </row>
    <row r="7335" spans="1:40" x14ac:dyDescent="0.25">
      <c r="A7335" t="str">
        <f>"20190312172551330"</f>
        <v>20190312172551330</v>
      </c>
      <c r="B7335" t="str">
        <f>"1552382751328084"</f>
        <v>1552382751328084</v>
      </c>
      <c r="C7335" t="s">
        <v>40</v>
      </c>
      <c r="D7335">
        <v>3.721498</v>
      </c>
      <c r="E7335">
        <v>0.46566570000000002</v>
      </c>
      <c r="F7335" t="s">
        <v>43</v>
      </c>
      <c r="G7335">
        <v>-187.59309999999999</v>
      </c>
      <c r="H7335" s="1">
        <v>-3.235156E-6</v>
      </c>
      <c r="I7335">
        <v>116.1788</v>
      </c>
      <c r="J7335">
        <v>-187.22130000000001</v>
      </c>
      <c r="K7335">
        <v>1.1104080000000001</v>
      </c>
      <c r="L7335">
        <v>98.534059999999997</v>
      </c>
      <c r="M7335">
        <v>1.8366670000000002E-2</v>
      </c>
      <c r="N7335">
        <v>0</v>
      </c>
      <c r="O7335">
        <v>0.99972969999999906</v>
      </c>
      <c r="P7335">
        <v>6.9332539999999998E-2</v>
      </c>
      <c r="Q7335">
        <v>0.1631956</v>
      </c>
      <c r="R7335">
        <v>0.98415459999999999</v>
      </c>
      <c r="S7335">
        <v>-6.2957760000000001E-2</v>
      </c>
      <c r="T7335">
        <v>-0.19084670000000001</v>
      </c>
      <c r="U7335">
        <v>3.0827939999999998</v>
      </c>
      <c r="V7335">
        <v>5.1292079999999997E-2</v>
      </c>
      <c r="W7335">
        <v>0.17720920000000001</v>
      </c>
      <c r="X7335">
        <v>0.98283569999999998</v>
      </c>
      <c r="Y7335">
        <v>-3.8740330000000003E-2</v>
      </c>
      <c r="Z7335">
        <v>-6.1743510000000001E-2</v>
      </c>
      <c r="AA7335">
        <v>0.99733989999999995</v>
      </c>
      <c r="AB7335">
        <v>30</v>
      </c>
      <c r="AC7335">
        <v>-0.37179999999997898</v>
      </c>
      <c r="AD7335">
        <v>-1.110411235156</v>
      </c>
      <c r="AE7335">
        <v>17.644739999999999</v>
      </c>
      <c r="AF7335">
        <v>-0.69310158870246197</v>
      </c>
      <c r="AG7335">
        <v>-1.110411235156</v>
      </c>
      <c r="AH7335">
        <v>17.565398802050801</v>
      </c>
      <c r="AI7335">
        <v>93.614381735162496</v>
      </c>
      <c r="AJ7335">
        <v>92.259624479846494</v>
      </c>
      <c r="AK7335">
        <v>17.614103383326398</v>
      </c>
      <c r="AL7335">
        <v>79.792754346775894</v>
      </c>
      <c r="AM7335">
        <v>87.012566770392596</v>
      </c>
      <c r="AN7335">
        <v>0.99999999561492803</v>
      </c>
    </row>
    <row r="7336" spans="1:40" x14ac:dyDescent="0.25">
      <c r="A7336" t="str">
        <f>"20190312172551352"</f>
        <v>20190312172551352</v>
      </c>
      <c r="B7336" t="str">
        <f>"1552382751347605"</f>
        <v>1552382751347605</v>
      </c>
      <c r="C7336" t="s">
        <v>40</v>
      </c>
      <c r="D7336">
        <v>3.7905329999999999</v>
      </c>
      <c r="E7336">
        <v>0.50033229999999995</v>
      </c>
      <c r="F7336" t="s">
        <v>43</v>
      </c>
      <c r="G7336">
        <v>-187.51740000000001</v>
      </c>
      <c r="H7336" s="1">
        <v>-3.4553979999999999E-6</v>
      </c>
      <c r="I7336">
        <v>116.6609</v>
      </c>
      <c r="J7336">
        <v>-187.2157</v>
      </c>
      <c r="K7336">
        <v>1.110414</v>
      </c>
      <c r="L7336">
        <v>98.831450000000004</v>
      </c>
      <c r="M7336">
        <v>1.848373E-2</v>
      </c>
      <c r="N7336">
        <v>0</v>
      </c>
      <c r="O7336">
        <v>0.99972760000000005</v>
      </c>
      <c r="P7336">
        <v>7.4904879999999993E-2</v>
      </c>
      <c r="Q7336">
        <v>0.164023</v>
      </c>
      <c r="R7336">
        <v>0.9836085</v>
      </c>
      <c r="S7336">
        <v>-5.0369259999999999E-2</v>
      </c>
      <c r="T7336">
        <v>-0.1888697</v>
      </c>
      <c r="U7336">
        <v>3.0831909999999998</v>
      </c>
      <c r="V7336">
        <v>5.6758320000000001E-2</v>
      </c>
      <c r="W7336">
        <v>0.17802570000000001</v>
      </c>
      <c r="X7336">
        <v>0.98238760000000003</v>
      </c>
      <c r="Y7336">
        <v>-3.478436E-2</v>
      </c>
      <c r="Z7336">
        <v>-6.1105029999999998E-2</v>
      </c>
      <c r="AA7336">
        <v>0.997525</v>
      </c>
      <c r="AB7336">
        <v>30</v>
      </c>
      <c r="AC7336">
        <v>-0.30170000000001002</v>
      </c>
      <c r="AD7336">
        <v>-1.110417455398</v>
      </c>
      <c r="AE7336">
        <v>17.829449999999898</v>
      </c>
      <c r="AF7336">
        <v>-0.62879837408330297</v>
      </c>
      <c r="AG7336">
        <v>-1.110417455398</v>
      </c>
      <c r="AH7336">
        <v>17.7519897196585</v>
      </c>
      <c r="AI7336">
        <v>93.577048589854897</v>
      </c>
      <c r="AJ7336">
        <v>92.028642275571499</v>
      </c>
      <c r="AK7336">
        <v>17.7977963053678</v>
      </c>
      <c r="AL7336">
        <v>79.745216792453405</v>
      </c>
      <c r="AM7336">
        <v>86.693361200395799</v>
      </c>
      <c r="AN7336">
        <v>1.0000000266917299</v>
      </c>
    </row>
    <row r="7337" spans="1:40" x14ac:dyDescent="0.25">
      <c r="A7337" t="str">
        <f>"20190312172551375"</f>
        <v>20190312172551375</v>
      </c>
      <c r="B7337" t="str">
        <f>"1552382751367124"</f>
        <v>1552382751367124</v>
      </c>
      <c r="C7337" t="s">
        <v>40</v>
      </c>
      <c r="D7337">
        <v>3.820754</v>
      </c>
      <c r="E7337">
        <v>0.51772890000000005</v>
      </c>
      <c r="F7337" t="s">
        <v>41</v>
      </c>
      <c r="G7337">
        <v>-187.1481</v>
      </c>
      <c r="H7337">
        <v>1.044584</v>
      </c>
      <c r="I7337">
        <v>99.679349999999999</v>
      </c>
      <c r="J7337">
        <v>-187.2099</v>
      </c>
      <c r="K7337">
        <v>1.110422</v>
      </c>
      <c r="L7337">
        <v>99.13843</v>
      </c>
      <c r="M7337">
        <v>1.8604639999999999E-2</v>
      </c>
      <c r="N7337">
        <v>0</v>
      </c>
      <c r="O7337">
        <v>0.99972539999999999</v>
      </c>
      <c r="P7337">
        <v>8.1213530000000006E-2</v>
      </c>
      <c r="Q7337">
        <v>0.1654844</v>
      </c>
      <c r="R7337">
        <v>0.98286280000000004</v>
      </c>
      <c r="S7337">
        <v>0.24447630000000001</v>
      </c>
      <c r="T7337">
        <v>-0.2384937</v>
      </c>
      <c r="U7337">
        <v>3.0711360000000001</v>
      </c>
      <c r="V7337">
        <v>6.2960940000000007E-2</v>
      </c>
      <c r="W7337">
        <v>0.17947349999999901</v>
      </c>
      <c r="X7337">
        <v>0.98174600000000001</v>
      </c>
      <c r="Y7337">
        <v>6.0555020000000001E-2</v>
      </c>
      <c r="Z7337">
        <v>-7.7210959999999995E-2</v>
      </c>
      <c r="AA7337">
        <v>0.99517409999999995</v>
      </c>
      <c r="AB7337">
        <v>30</v>
      </c>
      <c r="AC7337">
        <v>6.1800000000005101E-2</v>
      </c>
      <c r="AD7337">
        <v>-6.5837999999999994E-2</v>
      </c>
      <c r="AE7337">
        <v>0.54091999999999896</v>
      </c>
      <c r="AF7337">
        <v>5.0979157934518203E-2</v>
      </c>
      <c r="AG7337">
        <v>-6.5837999999999994E-2</v>
      </c>
      <c r="AH7337">
        <v>0.53416481599783205</v>
      </c>
      <c r="AI7337">
        <v>96.995034131512696</v>
      </c>
      <c r="AJ7337">
        <v>84.548366735293996</v>
      </c>
      <c r="AK7337">
        <v>0.54061591489495597</v>
      </c>
      <c r="AL7337">
        <v>79.660905954584905</v>
      </c>
      <c r="AM7337">
        <v>86.330555224376894</v>
      </c>
      <c r="AN7337">
        <v>1.0000000128419599</v>
      </c>
    </row>
    <row r="7338" spans="1:40" x14ac:dyDescent="0.25">
      <c r="A7338" t="str">
        <f>"20190312172551398"</f>
        <v>20190312172551398</v>
      </c>
      <c r="B7338" t="str">
        <f>"1552382751387624"</f>
        <v>1552382751387624</v>
      </c>
      <c r="C7338" t="s">
        <v>40</v>
      </c>
      <c r="D7338">
        <v>3.8077269999999999</v>
      </c>
      <c r="E7338">
        <v>0.52380859999999996</v>
      </c>
      <c r="F7338" t="s">
        <v>41</v>
      </c>
      <c r="G7338">
        <v>-187.10329999999999</v>
      </c>
      <c r="H7338">
        <v>1.0457749999999999</v>
      </c>
      <c r="I7338">
        <v>99.946479999999994</v>
      </c>
      <c r="J7338">
        <v>-187.20419999999999</v>
      </c>
      <c r="K7338">
        <v>1.110441</v>
      </c>
      <c r="L7338">
        <v>99.434939999999997</v>
      </c>
      <c r="M7338">
        <v>1.8721229999999998E-2</v>
      </c>
      <c r="N7338">
        <v>0</v>
      </c>
      <c r="O7338">
        <v>0.99972329999999998</v>
      </c>
      <c r="P7338">
        <v>8.7314970000000006E-2</v>
      </c>
      <c r="Q7338">
        <v>0.1667119</v>
      </c>
      <c r="R7338">
        <v>0.98213200000000001</v>
      </c>
      <c r="S7338">
        <v>0.40373229999999999</v>
      </c>
      <c r="T7338">
        <v>-0.2447926</v>
      </c>
      <c r="U7338">
        <v>3.060181</v>
      </c>
      <c r="V7338">
        <v>6.8960419999999995E-2</v>
      </c>
      <c r="W7338">
        <v>0.1806874</v>
      </c>
      <c r="X7338">
        <v>0.98111999999999999</v>
      </c>
      <c r="Y7338">
        <v>0.11180229999999999</v>
      </c>
      <c r="Z7338">
        <v>-7.9126760000000004E-2</v>
      </c>
      <c r="AA7338">
        <v>0.99057519999999999</v>
      </c>
      <c r="AB7338">
        <v>30</v>
      </c>
      <c r="AC7338">
        <v>0.10089999999999499</v>
      </c>
      <c r="AD7338">
        <v>-6.4666000000000098E-2</v>
      </c>
      <c r="AE7338">
        <v>0.51154000000000999</v>
      </c>
      <c r="AF7338">
        <v>8.9921499891166906E-2</v>
      </c>
      <c r="AG7338">
        <v>-6.4666000000000098E-2</v>
      </c>
      <c r="AH7338">
        <v>0.50556286378353898</v>
      </c>
      <c r="AI7338">
        <v>97.177613971678198</v>
      </c>
      <c r="AJ7338">
        <v>79.914605938581005</v>
      </c>
      <c r="AK7338">
        <v>0.51755325999909396</v>
      </c>
      <c r="AL7338">
        <v>79.590198171920804</v>
      </c>
      <c r="AM7338">
        <v>85.979438195043301</v>
      </c>
      <c r="AN7338">
        <v>0.99999996522266699</v>
      </c>
    </row>
    <row r="7339" spans="1:40" x14ac:dyDescent="0.25">
      <c r="A7339" t="str">
        <f>"20190312172551419"</f>
        <v>20190312172551419</v>
      </c>
      <c r="B7339" t="str">
        <f>"1552382751407140"</f>
        <v>1552382751407140</v>
      </c>
      <c r="C7339" t="s">
        <v>40</v>
      </c>
      <c r="D7339">
        <v>3.82735</v>
      </c>
      <c r="E7339">
        <v>0.52686409999999995</v>
      </c>
      <c r="F7339" t="s">
        <v>41</v>
      </c>
      <c r="G7339">
        <v>-187.08320000000001</v>
      </c>
      <c r="H7339">
        <v>1.048481</v>
      </c>
      <c r="I7339">
        <v>100.21559999999999</v>
      </c>
      <c r="J7339">
        <v>-187.1987</v>
      </c>
      <c r="K7339">
        <v>1.11046</v>
      </c>
      <c r="L7339">
        <v>99.720119999999994</v>
      </c>
      <c r="M7339">
        <v>1.883367E-2</v>
      </c>
      <c r="N7339">
        <v>0</v>
      </c>
      <c r="O7339">
        <v>0.99972119999999998</v>
      </c>
      <c r="P7339">
        <v>9.3598730000000005E-2</v>
      </c>
      <c r="Q7339">
        <v>0.16797599999999999</v>
      </c>
      <c r="R7339">
        <v>0.98133749999999997</v>
      </c>
      <c r="S7339">
        <v>0.47270200000000001</v>
      </c>
      <c r="T7339">
        <v>-0.2424347</v>
      </c>
      <c r="U7339">
        <v>3.0537109999999998</v>
      </c>
      <c r="V7339">
        <v>7.5147619999999998E-2</v>
      </c>
      <c r="W7339">
        <v>0.18193709999999999</v>
      </c>
      <c r="X7339">
        <v>0.98043449999999999</v>
      </c>
      <c r="Y7339">
        <v>0.1338635</v>
      </c>
      <c r="Z7339">
        <v>-7.8300830000000002E-2</v>
      </c>
      <c r="AA7339">
        <v>0.98790160000000005</v>
      </c>
      <c r="AB7339">
        <v>30</v>
      </c>
      <c r="AC7339">
        <v>0.11549999999999699</v>
      </c>
      <c r="AD7339">
        <v>-6.1978999999999999E-2</v>
      </c>
      <c r="AE7339">
        <v>0.49547999999999998</v>
      </c>
      <c r="AF7339">
        <v>0.10459459157201199</v>
      </c>
      <c r="AG7339">
        <v>-6.1978999999999999E-2</v>
      </c>
      <c r="AH7339">
        <v>0.490291305523613</v>
      </c>
      <c r="AI7339">
        <v>97.047753317952598</v>
      </c>
      <c r="AJ7339">
        <v>77.957523993719207</v>
      </c>
      <c r="AK7339">
        <v>0.50514056390193496</v>
      </c>
      <c r="AL7339">
        <v>79.517389659073501</v>
      </c>
      <c r="AM7339">
        <v>85.617005047712496</v>
      </c>
      <c r="AN7339">
        <v>1.0000000409691601</v>
      </c>
    </row>
    <row r="7340" spans="1:40" x14ac:dyDescent="0.25">
      <c r="A7340" t="str">
        <f>"20190312172551444"</f>
        <v>20190312172551444</v>
      </c>
      <c r="B7340" t="str">
        <f>"1552382751437398"</f>
        <v>1552382751437398</v>
      </c>
      <c r="C7340" t="s">
        <v>40</v>
      </c>
      <c r="D7340">
        <v>3.8174950000000001</v>
      </c>
      <c r="E7340">
        <v>0.52910990000000002</v>
      </c>
      <c r="F7340" t="s">
        <v>43</v>
      </c>
      <c r="G7340">
        <v>-184.8058</v>
      </c>
      <c r="H7340" s="1">
        <v>-2.8060319999999999E-6</v>
      </c>
      <c r="I7340">
        <v>113.8325</v>
      </c>
      <c r="J7340">
        <v>-187.1926</v>
      </c>
      <c r="K7340">
        <v>1.1104750000000001</v>
      </c>
      <c r="L7340">
        <v>100.03570000000001</v>
      </c>
      <c r="M7340">
        <v>1.895666E-2</v>
      </c>
      <c r="N7340">
        <v>0</v>
      </c>
      <c r="O7340">
        <v>0.99971889999999997</v>
      </c>
      <c r="P7340">
        <v>9.9639340000000007E-2</v>
      </c>
      <c r="Q7340">
        <v>0.16881380000000001</v>
      </c>
      <c r="R7340">
        <v>0.98059870000000005</v>
      </c>
      <c r="S7340">
        <v>0.51696779999999998</v>
      </c>
      <c r="T7340">
        <v>-0.23990149999999999</v>
      </c>
      <c r="U7340">
        <v>3.0487980000000001</v>
      </c>
      <c r="V7340">
        <v>8.1080189999999996E-2</v>
      </c>
      <c r="W7340">
        <v>0.18276129999999999</v>
      </c>
      <c r="X7340">
        <v>0.97980829999999997</v>
      </c>
      <c r="Y7340">
        <v>0.14795449999999999</v>
      </c>
      <c r="Z7340">
        <v>-7.7442849999999994E-2</v>
      </c>
      <c r="AA7340">
        <v>0.98595739999999998</v>
      </c>
      <c r="AB7340">
        <v>30</v>
      </c>
      <c r="AC7340">
        <v>2.3867999999999898</v>
      </c>
      <c r="AD7340">
        <v>-1.110477806032</v>
      </c>
      <c r="AE7340">
        <v>13.7967999999999</v>
      </c>
      <c r="AF7340">
        <v>2.1115216119011899</v>
      </c>
      <c r="AG7340">
        <v>-1.110477806032</v>
      </c>
      <c r="AH7340">
        <v>13.753062766383</v>
      </c>
      <c r="AI7340">
        <v>94.563041324470504</v>
      </c>
      <c r="AJ7340">
        <v>81.271477516600598</v>
      </c>
      <c r="AK7340">
        <v>13.9584533502564</v>
      </c>
      <c r="AL7340">
        <v>79.469360760923195</v>
      </c>
      <c r="AM7340">
        <v>85.269490778641199</v>
      </c>
      <c r="AN7340">
        <v>0.99999999736850798</v>
      </c>
    </row>
    <row r="7341" spans="1:40" x14ac:dyDescent="0.25">
      <c r="A7341" t="str">
        <f>"20190312172551465"</f>
        <v>20190312172551465</v>
      </c>
      <c r="B7341" t="str">
        <f>"1552382751457892"</f>
        <v>1552382751457892</v>
      </c>
      <c r="C7341" t="s">
        <v>40</v>
      </c>
      <c r="D7341">
        <v>3.8060969999999998</v>
      </c>
      <c r="E7341">
        <v>0.5299353</v>
      </c>
      <c r="F7341" t="s">
        <v>43</v>
      </c>
      <c r="G7341">
        <v>-184.64570000000001</v>
      </c>
      <c r="H7341" s="1">
        <v>-2.9234869999999999E-6</v>
      </c>
      <c r="I7341">
        <v>114.05240000000001</v>
      </c>
      <c r="J7341">
        <v>-187.18680000000001</v>
      </c>
      <c r="K7341">
        <v>1.11049</v>
      </c>
      <c r="L7341">
        <v>100.33580000000001</v>
      </c>
      <c r="M7341">
        <v>1.907149E-2</v>
      </c>
      <c r="N7341">
        <v>0</v>
      </c>
      <c r="O7341">
        <v>0.99971679999999996</v>
      </c>
      <c r="P7341">
        <v>0.1048723</v>
      </c>
      <c r="Q7341">
        <v>0.16891979999999901</v>
      </c>
      <c r="R7341">
        <v>0.98003459999999998</v>
      </c>
      <c r="S7341">
        <v>0.55323789999999995</v>
      </c>
      <c r="T7341">
        <v>-0.2412125</v>
      </c>
      <c r="U7341">
        <v>3.0446469999999999</v>
      </c>
      <c r="V7341">
        <v>8.6209740000000007E-2</v>
      </c>
      <c r="W7341">
        <v>0.18285599999999999</v>
      </c>
      <c r="X7341">
        <v>0.97935260000000002</v>
      </c>
      <c r="Y7341">
        <v>0.15944040000000001</v>
      </c>
      <c r="Z7341">
        <v>-7.7817979999999995E-2</v>
      </c>
      <c r="AA7341">
        <v>0.98413569999999995</v>
      </c>
      <c r="AB7341">
        <v>30</v>
      </c>
      <c r="AC7341">
        <v>2.5411000000000001</v>
      </c>
      <c r="AD7341">
        <v>-1.110492923487</v>
      </c>
      <c r="AE7341">
        <v>13.7166</v>
      </c>
      <c r="AF7341">
        <v>2.2646640614909299</v>
      </c>
      <c r="AG7341">
        <v>-1.110492923487</v>
      </c>
      <c r="AH7341">
        <v>13.675908018023</v>
      </c>
      <c r="AI7341">
        <v>94.580168055911997</v>
      </c>
      <c r="AJ7341">
        <v>80.597422164415207</v>
      </c>
      <c r="AK7341">
        <v>13.906558091848201</v>
      </c>
      <c r="AL7341">
        <v>79.463841616374694</v>
      </c>
      <c r="AM7341">
        <v>84.969375725682596</v>
      </c>
      <c r="AN7341">
        <v>0.99999997556681297</v>
      </c>
    </row>
    <row r="7342" spans="1:40" x14ac:dyDescent="0.25">
      <c r="A7342" t="str">
        <f>"20190312172551488"</f>
        <v>20190312172551488</v>
      </c>
      <c r="B7342" t="str">
        <f>"1552382751477412"</f>
        <v>1552382751477412</v>
      </c>
      <c r="C7342" t="s">
        <v>40</v>
      </c>
      <c r="D7342">
        <v>3.827483</v>
      </c>
      <c r="E7342">
        <v>0.53031399999999995</v>
      </c>
      <c r="F7342" t="s">
        <v>43</v>
      </c>
      <c r="G7342">
        <v>-184.5558</v>
      </c>
      <c r="H7342" s="1">
        <v>-3.008043E-6</v>
      </c>
      <c r="I7342">
        <v>114.2307</v>
      </c>
      <c r="J7342">
        <v>-187.18100000000001</v>
      </c>
      <c r="K7342">
        <v>1.110514</v>
      </c>
      <c r="L7342">
        <v>100.62949999999999</v>
      </c>
      <c r="M7342">
        <v>1.918274E-2</v>
      </c>
      <c r="N7342">
        <v>0</v>
      </c>
      <c r="O7342">
        <v>0.99971469999999996</v>
      </c>
      <c r="P7342">
        <v>0.11218640000000001</v>
      </c>
      <c r="Q7342">
        <v>0.16952739999999999</v>
      </c>
      <c r="R7342">
        <v>0.97911930000000003</v>
      </c>
      <c r="S7342">
        <v>0.57588200000000001</v>
      </c>
      <c r="T7342">
        <v>-0.2430708</v>
      </c>
      <c r="U7342">
        <v>3.041382</v>
      </c>
      <c r="V7342">
        <v>9.3430299999999994E-2</v>
      </c>
      <c r="W7342">
        <v>0.18344849999999999</v>
      </c>
      <c r="X7342">
        <v>0.97857930000000004</v>
      </c>
      <c r="Y7342">
        <v>0.16658680000000001</v>
      </c>
      <c r="Z7342">
        <v>-7.8396709999999994E-2</v>
      </c>
      <c r="AA7342">
        <v>0.98290529999999998</v>
      </c>
      <c r="AB7342">
        <v>30</v>
      </c>
      <c r="AC7342">
        <v>2.6251999999999698</v>
      </c>
      <c r="AD7342">
        <v>-1.110517008043</v>
      </c>
      <c r="AE7342">
        <v>13.6012</v>
      </c>
      <c r="AF7342">
        <v>2.3486870371084301</v>
      </c>
      <c r="AG7342">
        <v>-1.110517008043</v>
      </c>
      <c r="AH7342">
        <v>13.561897577029701</v>
      </c>
      <c r="AI7342">
        <v>94.612863929976598</v>
      </c>
      <c r="AJ7342">
        <v>80.174811070678004</v>
      </c>
      <c r="AK7342">
        <v>13.8084990029068</v>
      </c>
      <c r="AL7342">
        <v>79.429310109280095</v>
      </c>
      <c r="AM7342">
        <v>84.546191030694601</v>
      </c>
      <c r="AN7342">
        <v>1.0000000097494099</v>
      </c>
    </row>
    <row r="7343" spans="1:40" x14ac:dyDescent="0.25">
      <c r="A7343" t="str">
        <f>"20190312172551520"</f>
        <v>20190312172551520</v>
      </c>
      <c r="B7343" t="str">
        <f>"1552382751517428"</f>
        <v>1552382751517428</v>
      </c>
      <c r="C7343" t="s">
        <v>40</v>
      </c>
      <c r="D7343">
        <v>3.8090579999999998</v>
      </c>
      <c r="E7343">
        <v>0.53027049999999998</v>
      </c>
      <c r="F7343" t="s">
        <v>43</v>
      </c>
      <c r="G7343">
        <v>-184.43860000000001</v>
      </c>
      <c r="H7343" s="1">
        <v>-3.1215110000000002E-6</v>
      </c>
      <c r="I7343">
        <v>114.47239999999999</v>
      </c>
      <c r="J7343">
        <v>-187.17259999999999</v>
      </c>
      <c r="K7343">
        <v>1.1105130000000001</v>
      </c>
      <c r="L7343">
        <v>101.05540000000001</v>
      </c>
      <c r="M7343">
        <v>1.9341959999999998E-2</v>
      </c>
      <c r="N7343">
        <v>0</v>
      </c>
      <c r="O7343">
        <v>0.99971169999999998</v>
      </c>
      <c r="P7343">
        <v>0.1181748</v>
      </c>
      <c r="Q7343">
        <v>0.16998379999999999</v>
      </c>
      <c r="R7343">
        <v>0.97833539999999997</v>
      </c>
      <c r="S7343">
        <v>0.60171509999999995</v>
      </c>
      <c r="T7343">
        <v>-0.24365580000000001</v>
      </c>
      <c r="U7343">
        <v>3.0372309999999998</v>
      </c>
      <c r="V7343">
        <v>9.9275840000000004E-2</v>
      </c>
      <c r="W7343">
        <v>0.1838891</v>
      </c>
      <c r="X7343">
        <v>0.97792080000000003</v>
      </c>
      <c r="Y7343">
        <v>0.17472409999999999</v>
      </c>
      <c r="Z7343">
        <v>-7.8570210000000001E-2</v>
      </c>
      <c r="AA7343">
        <v>0.98147759999999995</v>
      </c>
      <c r="AB7343">
        <v>30</v>
      </c>
      <c r="AC7343">
        <v>2.73399999999998</v>
      </c>
      <c r="AD7343">
        <v>-1.11051612151099</v>
      </c>
      <c r="AE7343">
        <v>13.4169999999999</v>
      </c>
      <c r="AF7343">
        <v>2.4577846698280399</v>
      </c>
      <c r="AG7343">
        <v>-1.11051612151099</v>
      </c>
      <c r="AH7343">
        <v>13.3793711087547</v>
      </c>
      <c r="AI7343">
        <v>94.667055587106802</v>
      </c>
      <c r="AJ7343">
        <v>79.5908422493969</v>
      </c>
      <c r="AK7343">
        <v>13.648498921315801</v>
      </c>
      <c r="AL7343">
        <v>79.403628514340795</v>
      </c>
      <c r="AM7343">
        <v>84.2033479862028</v>
      </c>
      <c r="AN7343">
        <v>0.99999999228957703</v>
      </c>
    </row>
    <row r="7344" spans="1:40" x14ac:dyDescent="0.25">
      <c r="A7344" t="str">
        <f>"20190312172551542"</f>
        <v>20190312172551542</v>
      </c>
      <c r="B7344" t="str">
        <f>"1552382751537924"</f>
        <v>1552382751537924</v>
      </c>
      <c r="C7344" t="s">
        <v>40</v>
      </c>
      <c r="D7344">
        <v>3.8059120000000002</v>
      </c>
      <c r="E7344">
        <v>0.53007199999999999</v>
      </c>
      <c r="F7344" t="s">
        <v>43</v>
      </c>
      <c r="G7344">
        <v>-184.40940000000001</v>
      </c>
      <c r="H7344" s="1">
        <v>-3.1764600000000002E-6</v>
      </c>
      <c r="I7344">
        <v>114.61109999999999</v>
      </c>
      <c r="J7344">
        <v>-187.1669</v>
      </c>
      <c r="K7344">
        <v>1.1105160000000001</v>
      </c>
      <c r="L7344">
        <v>101.3456</v>
      </c>
      <c r="M7344">
        <v>1.9449330000000001E-2</v>
      </c>
      <c r="N7344">
        <v>0</v>
      </c>
      <c r="O7344">
        <v>0.99970970000000003</v>
      </c>
      <c r="P7344">
        <v>0.1213809</v>
      </c>
      <c r="Q7344">
        <v>0.1692668</v>
      </c>
      <c r="R7344">
        <v>0.97806720000000003</v>
      </c>
      <c r="S7344">
        <v>0.61863710000000005</v>
      </c>
      <c r="T7344">
        <v>-0.24862690000000001</v>
      </c>
      <c r="U7344">
        <v>3.0349119999999998</v>
      </c>
      <c r="V7344">
        <v>0.10238079999999999</v>
      </c>
      <c r="W7344">
        <v>0.1831663</v>
      </c>
      <c r="X7344">
        <v>0.9777363</v>
      </c>
      <c r="Y7344">
        <v>0.17999370000000001</v>
      </c>
      <c r="Z7344">
        <v>-8.0140589999999998E-2</v>
      </c>
      <c r="AA7344">
        <v>0.98039779999999999</v>
      </c>
      <c r="AB7344">
        <v>30</v>
      </c>
      <c r="AC7344">
        <v>2.7574999999999901</v>
      </c>
      <c r="AD7344">
        <v>-1.11051917646</v>
      </c>
      <c r="AE7344">
        <v>13.2654999999999</v>
      </c>
      <c r="AF7344">
        <v>2.4822714790745799</v>
      </c>
      <c r="AG7344">
        <v>-1.11051917646</v>
      </c>
      <c r="AH7344">
        <v>13.227764472308699</v>
      </c>
      <c r="AI7344">
        <v>94.716982539607201</v>
      </c>
      <c r="AJ7344">
        <v>79.371701560384594</v>
      </c>
      <c r="AK7344">
        <v>13.5043947465995</v>
      </c>
      <c r="AL7344">
        <v>79.445757535431795</v>
      </c>
      <c r="AM7344">
        <v>84.022224343968205</v>
      </c>
      <c r="AN7344">
        <v>0.99999999700100894</v>
      </c>
    </row>
    <row r="7345" spans="1:40" x14ac:dyDescent="0.25">
      <c r="A7345" t="str">
        <f>"20190312172551566"</f>
        <v>20190312172551566</v>
      </c>
      <c r="B7345" t="str">
        <f>"1552382751557448"</f>
        <v>1552382751557448</v>
      </c>
      <c r="C7345" t="s">
        <v>40</v>
      </c>
      <c r="D7345">
        <v>3.83832</v>
      </c>
      <c r="E7345">
        <v>0.52989560000000002</v>
      </c>
      <c r="F7345" t="s">
        <v>43</v>
      </c>
      <c r="G7345">
        <v>-184.42939999999999</v>
      </c>
      <c r="H7345" s="1">
        <v>-3.1714479999999999E-6</v>
      </c>
      <c r="I7345">
        <v>114.61199999999999</v>
      </c>
      <c r="J7345">
        <v>-187.16059999999999</v>
      </c>
      <c r="K7345">
        <v>1.1105339999999999</v>
      </c>
      <c r="L7345">
        <v>101.6585</v>
      </c>
      <c r="M7345">
        <v>1.9564640000000001E-2</v>
      </c>
      <c r="N7345">
        <v>0</v>
      </c>
      <c r="O7345">
        <v>0.99970749999999997</v>
      </c>
      <c r="P7345">
        <v>0.1237082</v>
      </c>
      <c r="Q7345">
        <v>0.1683093</v>
      </c>
      <c r="R7345">
        <v>0.97794080000000005</v>
      </c>
      <c r="S7345">
        <v>0.625946</v>
      </c>
      <c r="T7345">
        <v>-0.25393179999999999</v>
      </c>
      <c r="U7345">
        <v>3.0335079999999999</v>
      </c>
      <c r="V7345">
        <v>0.1045966</v>
      </c>
      <c r="W7345">
        <v>0.18220430000000001</v>
      </c>
      <c r="X7345">
        <v>0.97768149999999998</v>
      </c>
      <c r="Y7345">
        <v>0.18220749999999999</v>
      </c>
      <c r="Z7345">
        <v>-8.1839259999999997E-2</v>
      </c>
      <c r="AA7345">
        <v>0.97984830000000001</v>
      </c>
      <c r="AB7345">
        <v>30</v>
      </c>
      <c r="AC7345">
        <v>2.7311999999999999</v>
      </c>
      <c r="AD7345">
        <v>-1.1105371714479999</v>
      </c>
      <c r="AE7345">
        <v>12.9535</v>
      </c>
      <c r="AF7345">
        <v>2.4599099940501499</v>
      </c>
      <c r="AG7345">
        <v>-1.1105371714479999</v>
      </c>
      <c r="AH7345">
        <v>12.9135846151488</v>
      </c>
      <c r="AI7345">
        <v>94.828798165812003</v>
      </c>
      <c r="AJ7345">
        <v>79.214933210828605</v>
      </c>
      <c r="AK7345">
        <v>13.1926160256639</v>
      </c>
      <c r="AL7345">
        <v>79.501819398864299</v>
      </c>
      <c r="AM7345">
        <v>83.893476449011402</v>
      </c>
      <c r="AN7345">
        <v>0.999999985556149</v>
      </c>
    </row>
    <row r="7346" spans="1:40" x14ac:dyDescent="0.25">
      <c r="A7346" t="str">
        <f>"20190312172551587"</f>
        <v>20190312172551587</v>
      </c>
      <c r="B7346" t="str">
        <f>"1552382751577940"</f>
        <v>1552382751577940</v>
      </c>
      <c r="C7346" t="s">
        <v>40</v>
      </c>
      <c r="D7346">
        <v>3.8329499999999999</v>
      </c>
      <c r="E7346">
        <v>0.52965660000000003</v>
      </c>
      <c r="F7346" t="s">
        <v>43</v>
      </c>
      <c r="G7346">
        <v>-184.45760000000001</v>
      </c>
      <c r="H7346" s="1">
        <v>-3.170518E-6</v>
      </c>
      <c r="I7346">
        <v>114.6313</v>
      </c>
      <c r="J7346">
        <v>-187.1549</v>
      </c>
      <c r="K7346">
        <v>1.110555</v>
      </c>
      <c r="L7346">
        <v>101.94499999999999</v>
      </c>
      <c r="M7346">
        <v>1.9669699999999998E-2</v>
      </c>
      <c r="N7346">
        <v>0</v>
      </c>
      <c r="O7346">
        <v>0.99970539999999997</v>
      </c>
      <c r="P7346">
        <v>0.1261591</v>
      </c>
      <c r="Q7346">
        <v>0.16815150000000001</v>
      </c>
      <c r="R7346">
        <v>0.97765480000000005</v>
      </c>
      <c r="S7346">
        <v>0.63183590000000001</v>
      </c>
      <c r="T7346">
        <v>-0.25958999999999999</v>
      </c>
      <c r="U7346">
        <v>3.03241</v>
      </c>
      <c r="V7346">
        <v>0.10694960000000001</v>
      </c>
      <c r="W7346">
        <v>0.18203929999999999</v>
      </c>
      <c r="X7346">
        <v>0.97745760000000004</v>
      </c>
      <c r="Y7346">
        <v>0.1839682</v>
      </c>
      <c r="Z7346">
        <v>-8.3649180000000004E-2</v>
      </c>
      <c r="AA7346">
        <v>0.97936639999999997</v>
      </c>
      <c r="AB7346">
        <v>29</v>
      </c>
      <c r="AC7346">
        <v>2.6972999999999798</v>
      </c>
      <c r="AD7346">
        <v>-1.1105581705180001</v>
      </c>
      <c r="AE7346">
        <v>12.686299999999999</v>
      </c>
      <c r="AF7346">
        <v>2.42940517320464</v>
      </c>
      <c r="AG7346">
        <v>-1.1105581705180001</v>
      </c>
      <c r="AH7346">
        <v>12.644200711154401</v>
      </c>
      <c r="AI7346">
        <v>94.929775907168107</v>
      </c>
      <c r="AJ7346">
        <v>79.123963922148803</v>
      </c>
      <c r="AK7346">
        <v>12.9232797915102</v>
      </c>
      <c r="AL7346">
        <v>79.511433532630406</v>
      </c>
      <c r="AM7346">
        <v>83.755758557795801</v>
      </c>
      <c r="AN7346">
        <v>0.99999994174120299</v>
      </c>
    </row>
    <row r="7347" spans="1:40" x14ac:dyDescent="0.25">
      <c r="A7347" t="str">
        <f>"20190312172551609"</f>
        <v>20190312172551609</v>
      </c>
      <c r="B7347" t="str">
        <f>"1552382751597460"</f>
        <v>1552382751597460</v>
      </c>
      <c r="C7347" t="s">
        <v>40</v>
      </c>
      <c r="D7347">
        <v>3.8173599999999999</v>
      </c>
      <c r="E7347">
        <v>0.52938580000000002</v>
      </c>
      <c r="F7347" t="s">
        <v>43</v>
      </c>
      <c r="G7347">
        <v>-184.45920000000001</v>
      </c>
      <c r="H7347" s="1">
        <v>-3.2192910000000002E-6</v>
      </c>
      <c r="I7347">
        <v>114.77589999999999</v>
      </c>
      <c r="J7347">
        <v>-187.1491</v>
      </c>
      <c r="K7347">
        <v>1.1105700000000001</v>
      </c>
      <c r="L7347">
        <v>102.22799999999999</v>
      </c>
      <c r="M7347">
        <v>1.9773700000000002E-2</v>
      </c>
      <c r="N7347">
        <v>0</v>
      </c>
      <c r="O7347">
        <v>0.99970340000000002</v>
      </c>
      <c r="P7347">
        <v>0.1286081</v>
      </c>
      <c r="Q7347">
        <v>0.16810729999999999</v>
      </c>
      <c r="R7347">
        <v>0.97734330000000003</v>
      </c>
      <c r="S7347">
        <v>0.63690190000000002</v>
      </c>
      <c r="T7347">
        <v>-0.26238979999999901</v>
      </c>
      <c r="U7347">
        <v>3.0315249999999998</v>
      </c>
      <c r="V7347">
        <v>0.1093022</v>
      </c>
      <c r="W7347">
        <v>0.1819877</v>
      </c>
      <c r="X7347">
        <v>0.97720700000000005</v>
      </c>
      <c r="Y7347">
        <v>0.18547530000000001</v>
      </c>
      <c r="Z7347">
        <v>-8.4542270000000003E-2</v>
      </c>
      <c r="AA7347">
        <v>0.97900540000000003</v>
      </c>
      <c r="AB7347">
        <v>29</v>
      </c>
      <c r="AC7347">
        <v>2.68989999999999</v>
      </c>
      <c r="AD7347">
        <v>-1.1105732192910001</v>
      </c>
      <c r="AE7347">
        <v>12.547899999999901</v>
      </c>
      <c r="AF7347">
        <v>2.4230833576766999</v>
      </c>
      <c r="AG7347">
        <v>-1.1105732192910001</v>
      </c>
      <c r="AH7347">
        <v>12.504987594773</v>
      </c>
      <c r="AI7347">
        <v>94.982942677944806</v>
      </c>
      <c r="AJ7347">
        <v>79.033734582926201</v>
      </c>
      <c r="AK7347">
        <v>12.785907108182901</v>
      </c>
      <c r="AL7347">
        <v>79.514440914482094</v>
      </c>
      <c r="AM7347">
        <v>83.6179002393704</v>
      </c>
      <c r="AN7347">
        <v>1.0000000073625599</v>
      </c>
    </row>
    <row r="7348" spans="1:40" x14ac:dyDescent="0.25">
      <c r="A7348" t="str">
        <f>"20190312172551633"</f>
        <v>20190312172551633</v>
      </c>
      <c r="B7348" t="str">
        <f>"1552382751627716"</f>
        <v>1552382751627716</v>
      </c>
      <c r="C7348" t="s">
        <v>40</v>
      </c>
      <c r="D7348">
        <v>3.8099780000000001</v>
      </c>
      <c r="E7348">
        <v>0.52895599999999998</v>
      </c>
      <c r="F7348" t="s">
        <v>43</v>
      </c>
      <c r="G7348">
        <v>-184.4658</v>
      </c>
      <c r="H7348" s="1">
        <v>-3.2666990000000002E-6</v>
      </c>
      <c r="I7348">
        <v>114.9204</v>
      </c>
      <c r="J7348">
        <v>-187.14279999999999</v>
      </c>
      <c r="K7348">
        <v>1.1105799999999999</v>
      </c>
      <c r="L7348">
        <v>102.54</v>
      </c>
      <c r="M7348">
        <v>1.9888610000000001E-2</v>
      </c>
      <c r="N7348">
        <v>0</v>
      </c>
      <c r="O7348">
        <v>0.99970119999999896</v>
      </c>
      <c r="P7348">
        <v>0.13110810000000001</v>
      </c>
      <c r="Q7348">
        <v>0.16805149999999999</v>
      </c>
      <c r="R7348">
        <v>0.97702069999999996</v>
      </c>
      <c r="S7348">
        <v>0.64076230000000001</v>
      </c>
      <c r="T7348">
        <v>-0.26519549999999997</v>
      </c>
      <c r="U7348">
        <v>3.0308229999999998</v>
      </c>
      <c r="V7348">
        <v>0.1116954</v>
      </c>
      <c r="W7348">
        <v>0.18192439999999999</v>
      </c>
      <c r="X7348">
        <v>0.97694809999999999</v>
      </c>
      <c r="Y7348">
        <v>0.186586</v>
      </c>
      <c r="Z7348">
        <v>-8.5438449999999999E-2</v>
      </c>
      <c r="AA7348">
        <v>0.97871649999999999</v>
      </c>
      <c r="AB7348">
        <v>29</v>
      </c>
      <c r="AC7348">
        <v>2.6769999999999898</v>
      </c>
      <c r="AD7348">
        <v>-1.1105832666990001</v>
      </c>
      <c r="AE7348">
        <v>12.3803999999999</v>
      </c>
      <c r="AF7348">
        <v>2.41167669123368</v>
      </c>
      <c r="AG7348">
        <v>-1.1105832666990001</v>
      </c>
      <c r="AH7348">
        <v>12.3363614927139</v>
      </c>
      <c r="AI7348">
        <v>95.049125993944998</v>
      </c>
      <c r="AJ7348">
        <v>78.938561872003206</v>
      </c>
      <c r="AK7348">
        <v>12.618850761231201</v>
      </c>
      <c r="AL7348">
        <v>79.518128911734806</v>
      </c>
      <c r="AM7348">
        <v>83.477640114918799</v>
      </c>
      <c r="AN7348">
        <v>0.99999996989506401</v>
      </c>
    </row>
    <row r="7349" spans="1:40" x14ac:dyDescent="0.25">
      <c r="A7349" t="str">
        <f>"20190312172551656"</f>
        <v>20190312172551656</v>
      </c>
      <c r="B7349" t="str">
        <f>"1552382751647237"</f>
        <v>1552382751647237</v>
      </c>
      <c r="C7349" t="s">
        <v>40</v>
      </c>
      <c r="D7349">
        <v>3.822962</v>
      </c>
      <c r="E7349">
        <v>0.52866289999999905</v>
      </c>
      <c r="F7349" t="s">
        <v>43</v>
      </c>
      <c r="G7349">
        <v>-184.48660000000001</v>
      </c>
      <c r="H7349" s="1">
        <v>-3.3074330000000002E-6</v>
      </c>
      <c r="I7349">
        <v>115.05629999999999</v>
      </c>
      <c r="J7349">
        <v>-187.13669999999999</v>
      </c>
      <c r="K7349">
        <v>1.1105860000000001</v>
      </c>
      <c r="L7349">
        <v>102.8428</v>
      </c>
      <c r="M7349">
        <v>2.000041E-2</v>
      </c>
      <c r="N7349">
        <v>0</v>
      </c>
      <c r="O7349">
        <v>0.999699</v>
      </c>
      <c r="P7349">
        <v>0.13312869999999999</v>
      </c>
      <c r="Q7349">
        <v>0.1665835</v>
      </c>
      <c r="R7349">
        <v>0.97699879999999995</v>
      </c>
      <c r="S7349">
        <v>0.64314269999999996</v>
      </c>
      <c r="T7349">
        <v>-0.268901</v>
      </c>
      <c r="U7349">
        <v>3.0305179999999998</v>
      </c>
      <c r="V7349">
        <v>0.113606</v>
      </c>
      <c r="W7349">
        <v>0.1804538</v>
      </c>
      <c r="X7349">
        <v>0.9770006</v>
      </c>
      <c r="Y7349">
        <v>0.18721070000000001</v>
      </c>
      <c r="Z7349">
        <v>-8.6619269999999998E-2</v>
      </c>
      <c r="AA7349">
        <v>0.97849330000000001</v>
      </c>
      <c r="AB7349">
        <v>29</v>
      </c>
      <c r="AC7349">
        <v>2.6500999999999801</v>
      </c>
      <c r="AD7349">
        <v>-1.110589307433</v>
      </c>
      <c r="AE7349">
        <v>12.2134999999999</v>
      </c>
      <c r="AF7349">
        <v>2.38642520748534</v>
      </c>
      <c r="AG7349">
        <v>-1.110589307433</v>
      </c>
      <c r="AH7349">
        <v>12.167977841696599</v>
      </c>
      <c r="AI7349">
        <v>95.118051252517105</v>
      </c>
      <c r="AJ7349">
        <v>78.903795788039503</v>
      </c>
      <c r="AK7349">
        <v>12.4494224218124</v>
      </c>
      <c r="AL7349">
        <v>79.603806885423694</v>
      </c>
      <c r="AM7349">
        <v>83.367411375050494</v>
      </c>
      <c r="AN7349">
        <v>1.0000000347853899</v>
      </c>
    </row>
    <row r="7350" spans="1:40" x14ac:dyDescent="0.25">
      <c r="A7350" t="str">
        <f>"20190312172551677"</f>
        <v>20190312172551677</v>
      </c>
      <c r="B7350" t="str">
        <f>"1552382751667735"</f>
        <v>1552382751667735</v>
      </c>
      <c r="C7350" t="s">
        <v>40</v>
      </c>
      <c r="D7350">
        <v>3.783331</v>
      </c>
      <c r="E7350">
        <v>0.52833989999999997</v>
      </c>
      <c r="F7350" t="s">
        <v>43</v>
      </c>
      <c r="G7350">
        <v>-184.53489999999999</v>
      </c>
      <c r="H7350" s="1">
        <v>-3.2889470000000002E-6</v>
      </c>
      <c r="I7350">
        <v>115.03959999999999</v>
      </c>
      <c r="J7350">
        <v>-187.1309</v>
      </c>
      <c r="K7350">
        <v>1.1105799999999999</v>
      </c>
      <c r="L7350">
        <v>103.1221</v>
      </c>
      <c r="M7350">
        <v>2.010371E-2</v>
      </c>
      <c r="N7350">
        <v>0</v>
      </c>
      <c r="O7350">
        <v>0.99969699999999995</v>
      </c>
      <c r="P7350">
        <v>0.13511870000000001</v>
      </c>
      <c r="Q7350">
        <v>0.16542560000000001</v>
      </c>
      <c r="R7350">
        <v>0.97692239999999997</v>
      </c>
      <c r="S7350">
        <v>0.64627080000000003</v>
      </c>
      <c r="T7350">
        <v>-0.2758622</v>
      </c>
      <c r="U7350">
        <v>3.0296020000000001</v>
      </c>
      <c r="V7350">
        <v>0.1154956</v>
      </c>
      <c r="W7350">
        <v>0.17929239999999999</v>
      </c>
      <c r="X7350">
        <v>0.97699279999999999</v>
      </c>
      <c r="Y7350">
        <v>0.1880946</v>
      </c>
      <c r="Z7350">
        <v>-8.8852689999999998E-2</v>
      </c>
      <c r="AA7350">
        <v>0.97812350000000003</v>
      </c>
      <c r="AB7350">
        <v>29</v>
      </c>
      <c r="AC7350">
        <v>2.5960000000000001</v>
      </c>
      <c r="AD7350">
        <v>-1.110583288947</v>
      </c>
      <c r="AE7350">
        <v>11.917499999999899</v>
      </c>
      <c r="AF7350">
        <v>2.3364936128395799</v>
      </c>
      <c r="AG7350">
        <v>-1.110583288947</v>
      </c>
      <c r="AH7350">
        <v>11.8688824817567</v>
      </c>
      <c r="AI7350">
        <v>95.245560987248794</v>
      </c>
      <c r="AJ7350">
        <v>78.863228517549103</v>
      </c>
      <c r="AK7350">
        <v>12.1475499179991</v>
      </c>
      <c r="AL7350">
        <v>79.671452803486005</v>
      </c>
      <c r="AM7350">
        <v>83.258046007123198</v>
      </c>
      <c r="AN7350">
        <v>0.99999996478447895</v>
      </c>
    </row>
    <row r="7351" spans="1:40" x14ac:dyDescent="0.25">
      <c r="A7351" t="str">
        <f>"20190312172551698"</f>
        <v>20190312172551698</v>
      </c>
      <c r="B7351" t="str">
        <f>"1552382751687252"</f>
        <v>1552382751687252</v>
      </c>
      <c r="C7351" t="s">
        <v>40</v>
      </c>
      <c r="D7351">
        <v>3.8040349999999998</v>
      </c>
      <c r="E7351">
        <v>0.52397050000000001</v>
      </c>
      <c r="F7351" t="s">
        <v>43</v>
      </c>
      <c r="G7351">
        <v>-184.572</v>
      </c>
      <c r="H7351" s="1">
        <v>-3.2916349999999999E-6</v>
      </c>
      <c r="I7351">
        <v>115.0613</v>
      </c>
      <c r="J7351">
        <v>-187.12520000000001</v>
      </c>
      <c r="K7351">
        <v>1.1105670000000001</v>
      </c>
      <c r="L7351">
        <v>103.4011</v>
      </c>
      <c r="M7351">
        <v>2.0206720000000001E-2</v>
      </c>
      <c r="N7351">
        <v>0</v>
      </c>
      <c r="O7351">
        <v>0.99969490000000005</v>
      </c>
      <c r="P7351">
        <v>0.13774029999999901</v>
      </c>
      <c r="Q7351">
        <v>0.16482369999999999</v>
      </c>
      <c r="R7351">
        <v>0.97665789999999997</v>
      </c>
      <c r="S7351">
        <v>0.64915469999999997</v>
      </c>
      <c r="T7351">
        <v>-0.28173819999999999</v>
      </c>
      <c r="U7351">
        <v>3.0287929999999998</v>
      </c>
      <c r="V7351">
        <v>0.118020899999999</v>
      </c>
      <c r="W7351">
        <v>0.17868489999999901</v>
      </c>
      <c r="X7351">
        <v>0.97680230000000001</v>
      </c>
      <c r="Y7351">
        <v>0.18890170000000001</v>
      </c>
      <c r="Z7351">
        <v>-9.0736849999999994E-2</v>
      </c>
      <c r="AA7351">
        <v>0.97779490000000002</v>
      </c>
      <c r="AB7351">
        <v>29</v>
      </c>
      <c r="AC7351">
        <v>2.5531999999999999</v>
      </c>
      <c r="AD7351">
        <v>-1.110570291635</v>
      </c>
      <c r="AE7351">
        <v>11.6602</v>
      </c>
      <c r="AF7351">
        <v>2.2971551573298199</v>
      </c>
      <c r="AG7351">
        <v>-1.110570291635</v>
      </c>
      <c r="AH7351">
        <v>11.6089234555413</v>
      </c>
      <c r="AI7351">
        <v>95.361252824997393</v>
      </c>
      <c r="AJ7351">
        <v>78.806998660147698</v>
      </c>
      <c r="AK7351">
        <v>11.8860166576581</v>
      </c>
      <c r="AL7351">
        <v>79.7068314703684</v>
      </c>
      <c r="AM7351">
        <v>83.110704704057397</v>
      </c>
      <c r="AN7351">
        <v>0.99999997980505395</v>
      </c>
    </row>
    <row r="7352" spans="1:40" x14ac:dyDescent="0.25">
      <c r="A7352" t="str">
        <f>"20190312172551721"</f>
        <v>20190312172551721</v>
      </c>
      <c r="B7352" t="str">
        <f>"1552382751717508"</f>
        <v>1552382751717508</v>
      </c>
      <c r="C7352" t="s">
        <v>40</v>
      </c>
      <c r="D7352">
        <v>3.7805559999999998</v>
      </c>
      <c r="E7352">
        <v>0.52314669999999996</v>
      </c>
      <c r="F7352" t="s">
        <v>41</v>
      </c>
      <c r="G7352">
        <v>-186.97020000000001</v>
      </c>
      <c r="H7352">
        <v>1.0285010000000001</v>
      </c>
      <c r="I7352">
        <v>104.1574</v>
      </c>
      <c r="J7352">
        <v>-187.11920000000001</v>
      </c>
      <c r="K7352">
        <v>1.1105449999999999</v>
      </c>
      <c r="L7352">
        <v>103.6914</v>
      </c>
      <c r="M7352">
        <v>2.0314080000000002E-2</v>
      </c>
      <c r="N7352">
        <v>0</v>
      </c>
      <c r="O7352">
        <v>0.99969280000000005</v>
      </c>
      <c r="P7352">
        <v>0.14048640000000001</v>
      </c>
      <c r="Q7352">
        <v>0.1645218</v>
      </c>
      <c r="R7352">
        <v>0.97631760000000001</v>
      </c>
      <c r="S7352">
        <v>0.62301640000000003</v>
      </c>
      <c r="T7352">
        <v>-0.32978980000000002</v>
      </c>
      <c r="U7352">
        <v>3.0394899999999998</v>
      </c>
      <c r="V7352">
        <v>0.120668</v>
      </c>
      <c r="W7352">
        <v>0.178374799999999</v>
      </c>
      <c r="X7352">
        <v>0.97653559999999995</v>
      </c>
      <c r="Y7352">
        <v>0.17972759999999999</v>
      </c>
      <c r="Z7352">
        <v>-0.1058698</v>
      </c>
      <c r="AA7352">
        <v>0.97800279999999995</v>
      </c>
      <c r="AB7352">
        <v>29</v>
      </c>
      <c r="AC7352">
        <v>0.14899999999999999</v>
      </c>
      <c r="AD7352">
        <v>-8.2044000000000006E-2</v>
      </c>
      <c r="AE7352">
        <v>0.46599999999999397</v>
      </c>
      <c r="AF7352">
        <v>0.13568615390344299</v>
      </c>
      <c r="AG7352">
        <v>-8.2044000000000006E-2</v>
      </c>
      <c r="AH7352">
        <v>0.45610431910543597</v>
      </c>
      <c r="AI7352">
        <v>99.782328423724096</v>
      </c>
      <c r="AJ7352">
        <v>73.432821657743801</v>
      </c>
      <c r="AK7352">
        <v>0.48288000600950798</v>
      </c>
      <c r="AL7352">
        <v>79.724889794832094</v>
      </c>
      <c r="AM7352">
        <v>82.955814967854394</v>
      </c>
      <c r="AN7352">
        <v>1.0000000567831899</v>
      </c>
    </row>
    <row r="7353" spans="1:40" x14ac:dyDescent="0.25">
      <c r="A7353" t="str">
        <f>"20190312172551743"</f>
        <v>20190312172551743</v>
      </c>
      <c r="B7353" t="str">
        <f>"1552382751737029"</f>
        <v>1552382751737029</v>
      </c>
      <c r="C7353" t="s">
        <v>40</v>
      </c>
      <c r="D7353">
        <v>3.7759170000000002</v>
      </c>
      <c r="E7353">
        <v>0.52306249999999999</v>
      </c>
      <c r="F7353" t="s">
        <v>41</v>
      </c>
      <c r="G7353">
        <v>-186.9692</v>
      </c>
      <c r="H7353">
        <v>1.0333239999999999</v>
      </c>
      <c r="I7353">
        <v>104.4216</v>
      </c>
      <c r="J7353">
        <v>-187.1131</v>
      </c>
      <c r="K7353">
        <v>1.110525</v>
      </c>
      <c r="L7353">
        <v>103.9854</v>
      </c>
      <c r="M7353">
        <v>2.0422840000000001E-2</v>
      </c>
      <c r="N7353">
        <v>0</v>
      </c>
      <c r="O7353">
        <v>0.99969070000000004</v>
      </c>
      <c r="P7353">
        <v>0.14334729999999901</v>
      </c>
      <c r="Q7353">
        <v>0.16328909999999999</v>
      </c>
      <c r="R7353">
        <v>0.97610870000000005</v>
      </c>
      <c r="S7353">
        <v>0.62318419999999997</v>
      </c>
      <c r="T7353">
        <v>-0.3212662</v>
      </c>
      <c r="U7353">
        <v>3.0372620000000001</v>
      </c>
      <c r="V7353">
        <v>0.1234257</v>
      </c>
      <c r="W7353">
        <v>0.17713690000000001</v>
      </c>
      <c r="X7353">
        <v>0.97641619999999996</v>
      </c>
      <c r="Y7353">
        <v>0.17986920000000001</v>
      </c>
      <c r="Z7353">
        <v>-0.1032346</v>
      </c>
      <c r="AA7353">
        <v>0.97825850000000003</v>
      </c>
      <c r="AB7353">
        <v>29</v>
      </c>
      <c r="AC7353">
        <v>0.143900000000002</v>
      </c>
      <c r="AD7353">
        <v>-7.7201000000000006E-2</v>
      </c>
      <c r="AE7353">
        <v>0.43619999999999898</v>
      </c>
      <c r="AF7353">
        <v>0.131252825891363</v>
      </c>
      <c r="AG7353">
        <v>-7.7201000000000006E-2</v>
      </c>
      <c r="AH7353">
        <v>0.426986042690852</v>
      </c>
      <c r="AI7353">
        <v>99.805210551890596</v>
      </c>
      <c r="AJ7353">
        <v>72.912900826867201</v>
      </c>
      <c r="AK7353">
        <v>0.453325908545124</v>
      </c>
      <c r="AL7353">
        <v>79.796963364481201</v>
      </c>
      <c r="AM7353">
        <v>82.795630751986394</v>
      </c>
      <c r="AN7353">
        <v>0.99999999019227004</v>
      </c>
    </row>
    <row r="7354" spans="1:40" x14ac:dyDescent="0.25">
      <c r="A7354" t="str">
        <f>"20190312172551766"</f>
        <v>20190312172551766</v>
      </c>
      <c r="B7354" t="str">
        <f>"1552382751757524"</f>
        <v>1552382751757524</v>
      </c>
      <c r="C7354" t="s">
        <v>40</v>
      </c>
      <c r="D7354">
        <v>3.8231830000000002</v>
      </c>
      <c r="E7354">
        <v>0.52305900000000005</v>
      </c>
      <c r="F7354" t="s">
        <v>41</v>
      </c>
      <c r="G7354">
        <v>-186.91669999999999</v>
      </c>
      <c r="H7354">
        <v>1.009468</v>
      </c>
      <c r="I7354">
        <v>104.9316</v>
      </c>
      <c r="J7354">
        <v>-187.10679999999999</v>
      </c>
      <c r="K7354">
        <v>1.1105179999999999</v>
      </c>
      <c r="L7354">
        <v>104.2839</v>
      </c>
      <c r="M7354">
        <v>2.0533409999999998E-2</v>
      </c>
      <c r="N7354">
        <v>0</v>
      </c>
      <c r="O7354">
        <v>0.99968840000000003</v>
      </c>
      <c r="P7354">
        <v>0.14621049999999999</v>
      </c>
      <c r="Q7354">
        <v>0.16228799999999999</v>
      </c>
      <c r="R7354">
        <v>0.97585089999999997</v>
      </c>
      <c r="S7354">
        <v>0.6294708</v>
      </c>
      <c r="T7354">
        <v>-0.32416899999999998</v>
      </c>
      <c r="U7354">
        <v>3.0352169999999998</v>
      </c>
      <c r="V7354">
        <v>0.12618499999999999</v>
      </c>
      <c r="W7354">
        <v>0.17612920000000001</v>
      </c>
      <c r="X7354">
        <v>0.97624580000000005</v>
      </c>
      <c r="Y7354">
        <v>0.18181320000000001</v>
      </c>
      <c r="Z7354">
        <v>-0.1041846</v>
      </c>
      <c r="AA7354">
        <v>0.97779830000000001</v>
      </c>
      <c r="AB7354">
        <v>29</v>
      </c>
      <c r="AC7354">
        <v>0.19010000000000099</v>
      </c>
      <c r="AD7354">
        <v>-0.10105</v>
      </c>
      <c r="AE7354">
        <v>0.64770000000000005</v>
      </c>
      <c r="AF7354">
        <v>0.17288476867034999</v>
      </c>
      <c r="AG7354">
        <v>-0.10105</v>
      </c>
      <c r="AH7354">
        <v>0.63718795167550601</v>
      </c>
      <c r="AI7354">
        <v>98.701807105591698</v>
      </c>
      <c r="AJ7354">
        <v>74.8197110267608</v>
      </c>
      <c r="AK7354">
        <v>0.66791371560900603</v>
      </c>
      <c r="AL7354">
        <v>79.855622796573996</v>
      </c>
      <c r="AM7354">
        <v>82.635047670978906</v>
      </c>
      <c r="AN7354">
        <v>1.0000000056676399</v>
      </c>
    </row>
    <row r="7355" spans="1:40" x14ac:dyDescent="0.25">
      <c r="A7355" t="str">
        <f>"20190312172551787"</f>
        <v>20190312172551787</v>
      </c>
      <c r="B7355" t="str">
        <f>"1552382751777047"</f>
        <v>1552382751777047</v>
      </c>
      <c r="C7355" t="s">
        <v>40</v>
      </c>
      <c r="D7355">
        <v>3.8092990000000002</v>
      </c>
      <c r="E7355">
        <v>0.52304830000000002</v>
      </c>
      <c r="F7355" t="s">
        <v>41</v>
      </c>
      <c r="G7355">
        <v>-186.916</v>
      </c>
      <c r="H7355">
        <v>1.0125189999999999</v>
      </c>
      <c r="I7355">
        <v>105.193</v>
      </c>
      <c r="J7355">
        <v>-187.1009</v>
      </c>
      <c r="K7355">
        <v>1.1105179999999999</v>
      </c>
      <c r="L7355">
        <v>104.56659999999999</v>
      </c>
      <c r="M7355">
        <v>2.0638170000000001E-2</v>
      </c>
      <c r="N7355">
        <v>0</v>
      </c>
      <c r="O7355">
        <v>0.99968630000000003</v>
      </c>
      <c r="P7355">
        <v>0.14853160000000001</v>
      </c>
      <c r="Q7355">
        <v>0.16224040000000001</v>
      </c>
      <c r="R7355">
        <v>0.97550829999999999</v>
      </c>
      <c r="S7355">
        <v>0.63682559999999999</v>
      </c>
      <c r="T7355">
        <v>-0.32697500000000002</v>
      </c>
      <c r="U7355">
        <v>3.0332029999999999</v>
      </c>
      <c r="V7355">
        <v>0.12841</v>
      </c>
      <c r="W7355">
        <v>0.17607429999999999</v>
      </c>
      <c r="X7355">
        <v>0.97596550000000004</v>
      </c>
      <c r="Y7355">
        <v>0.184091</v>
      </c>
      <c r="Z7355">
        <v>-0.1050956</v>
      </c>
      <c r="AA7355">
        <v>0.97727450000000005</v>
      </c>
      <c r="AB7355">
        <v>29</v>
      </c>
      <c r="AC7355">
        <v>0.18489999999999801</v>
      </c>
      <c r="AD7355">
        <v>-9.79990000000001E-2</v>
      </c>
      <c r="AE7355">
        <v>0.62640000000000295</v>
      </c>
      <c r="AF7355">
        <v>0.16814587513031201</v>
      </c>
      <c r="AG7355">
        <v>-9.79990000000001E-2</v>
      </c>
      <c r="AH7355">
        <v>0.61620942552845304</v>
      </c>
      <c r="AI7355">
        <v>98.722633863480297</v>
      </c>
      <c r="AJ7355">
        <v>74.737200023787494</v>
      </c>
      <c r="AK7355">
        <v>0.64621273233699505</v>
      </c>
      <c r="AL7355">
        <v>79.858817930933398</v>
      </c>
      <c r="AM7355">
        <v>82.504518219782099</v>
      </c>
      <c r="AN7355">
        <v>0.99999997220536896</v>
      </c>
    </row>
    <row r="7356" spans="1:40" x14ac:dyDescent="0.25">
      <c r="A7356" t="str">
        <f>"20190312172551810"</f>
        <v>20190312172551810</v>
      </c>
      <c r="B7356" t="str">
        <f>"1552382751797541"</f>
        <v>1552382751797541</v>
      </c>
      <c r="C7356" t="s">
        <v>40</v>
      </c>
      <c r="D7356">
        <v>3.808068</v>
      </c>
      <c r="E7356">
        <v>0.52302970000000004</v>
      </c>
      <c r="F7356" t="s">
        <v>41</v>
      </c>
      <c r="G7356">
        <v>-186.91249999999999</v>
      </c>
      <c r="H7356">
        <v>1.014956</v>
      </c>
      <c r="I7356">
        <v>105.4543</v>
      </c>
      <c r="J7356">
        <v>-187.0949</v>
      </c>
      <c r="K7356">
        <v>1.1105240000000001</v>
      </c>
      <c r="L7356">
        <v>104.8507</v>
      </c>
      <c r="M7356">
        <v>2.074345E-2</v>
      </c>
      <c r="N7356">
        <v>0</v>
      </c>
      <c r="O7356">
        <v>0.99968420000000002</v>
      </c>
      <c r="P7356">
        <v>0.15052389999999999</v>
      </c>
      <c r="Q7356">
        <v>0.16264339999999999</v>
      </c>
      <c r="R7356">
        <v>0.97513570000000005</v>
      </c>
      <c r="S7356">
        <v>0.64331050000000001</v>
      </c>
      <c r="T7356">
        <v>-0.32637450000000001</v>
      </c>
      <c r="U7356">
        <v>3.031647</v>
      </c>
      <c r="V7356">
        <v>0.13030649999999999</v>
      </c>
      <c r="W7356">
        <v>0.1764695</v>
      </c>
      <c r="X7356">
        <v>0.97564269999999997</v>
      </c>
      <c r="Y7356">
        <v>0.18609329999999999</v>
      </c>
      <c r="Z7356">
        <v>-0.1049139</v>
      </c>
      <c r="AA7356">
        <v>0.97691470000000002</v>
      </c>
      <c r="AB7356">
        <v>29</v>
      </c>
      <c r="AC7356">
        <v>0.18240000000000101</v>
      </c>
      <c r="AD7356">
        <v>-9.5568000000000097E-2</v>
      </c>
      <c r="AE7356">
        <v>0.60360000000000003</v>
      </c>
      <c r="AF7356">
        <v>0.16602501582361301</v>
      </c>
      <c r="AG7356">
        <v>-9.5568000000000097E-2</v>
      </c>
      <c r="AH7356">
        <v>0.59361821370649703</v>
      </c>
      <c r="AI7356">
        <v>98.813116665498299</v>
      </c>
      <c r="AJ7356">
        <v>74.374588931087402</v>
      </c>
      <c r="AK7356">
        <v>0.62376288134781099</v>
      </c>
      <c r="AL7356">
        <v>79.8358144485982</v>
      </c>
      <c r="AM7356">
        <v>82.392616375044497</v>
      </c>
      <c r="AN7356">
        <v>0.99999997321789402</v>
      </c>
    </row>
    <row r="7357" spans="1:40" x14ac:dyDescent="0.25">
      <c r="A7357" t="str">
        <f>"20190312172551834"</f>
        <v>20190312172551834</v>
      </c>
      <c r="B7357" t="str">
        <f>"1552382751827796"</f>
        <v>1552382751827796</v>
      </c>
      <c r="C7357" t="s">
        <v>40</v>
      </c>
      <c r="D7357">
        <v>3.8277190000000001</v>
      </c>
      <c r="E7357">
        <v>0.51678179999999996</v>
      </c>
      <c r="F7357" t="s">
        <v>41</v>
      </c>
      <c r="G7357">
        <v>-186.90969999999999</v>
      </c>
      <c r="H7357">
        <v>1.018184</v>
      </c>
      <c r="I7357">
        <v>105.7159</v>
      </c>
      <c r="J7357">
        <v>-187.0883</v>
      </c>
      <c r="K7357">
        <v>1.11053</v>
      </c>
      <c r="L7357">
        <v>105.16240000000001</v>
      </c>
      <c r="M7357">
        <v>2.0858979999999999E-2</v>
      </c>
      <c r="N7357">
        <v>0</v>
      </c>
      <c r="O7357">
        <v>0.99968179999999995</v>
      </c>
      <c r="P7357">
        <v>0.15208169999999999</v>
      </c>
      <c r="Q7357">
        <v>0.16286049999999999</v>
      </c>
      <c r="R7357">
        <v>0.97485770000000005</v>
      </c>
      <c r="S7357">
        <v>0.64880369999999998</v>
      </c>
      <c r="T7357">
        <v>-0.32338879999999998</v>
      </c>
      <c r="U7357">
        <v>3.0302889999999998</v>
      </c>
      <c r="V7357">
        <v>0.1317567</v>
      </c>
      <c r="W7357">
        <v>0.176679799999999</v>
      </c>
      <c r="X7357">
        <v>0.97540990000000005</v>
      </c>
      <c r="Y7357">
        <v>0.18778300000000001</v>
      </c>
      <c r="Z7357">
        <v>-0.10397339999999999</v>
      </c>
      <c r="AA7357">
        <v>0.97669189999999995</v>
      </c>
      <c r="AB7357">
        <v>29</v>
      </c>
      <c r="AC7357">
        <v>0.178600000000017</v>
      </c>
      <c r="AD7357">
        <v>-9.2345999999999998E-2</v>
      </c>
      <c r="AE7357">
        <v>0.55349999999999899</v>
      </c>
      <c r="AF7357">
        <v>0.16290751092277</v>
      </c>
      <c r="AG7357">
        <v>-9.2345999999999998E-2</v>
      </c>
      <c r="AH7357">
        <v>0.54340568910309905</v>
      </c>
      <c r="AI7357">
        <v>99.245614517533994</v>
      </c>
      <c r="AJ7357">
        <v>73.311802839173097</v>
      </c>
      <c r="AK7357">
        <v>0.574766373216689</v>
      </c>
      <c r="AL7357">
        <v>79.823573342457394</v>
      </c>
      <c r="AM7357">
        <v>82.307146955000505</v>
      </c>
      <c r="AN7357">
        <v>1.00000002637046</v>
      </c>
    </row>
    <row r="7358" spans="1:40" x14ac:dyDescent="0.25">
      <c r="A7358" t="str">
        <f>"20190312172551857"</f>
        <v>20190312172551857</v>
      </c>
      <c r="B7358" t="str">
        <f>"1552382751847317"</f>
        <v>1552382751847317</v>
      </c>
      <c r="C7358" t="s">
        <v>40</v>
      </c>
      <c r="D7358">
        <v>3.8816359999999999</v>
      </c>
      <c r="E7358">
        <v>0.51628790000000002</v>
      </c>
      <c r="F7358" t="s">
        <v>43</v>
      </c>
      <c r="G7358">
        <v>-184.5848</v>
      </c>
      <c r="H7358" s="1">
        <v>-4.4365029999999997E-6</v>
      </c>
      <c r="I7358">
        <v>117.7353</v>
      </c>
      <c r="J7358">
        <v>-187.08199999999999</v>
      </c>
      <c r="K7358">
        <v>1.110536</v>
      </c>
      <c r="L7358">
        <v>105.4628</v>
      </c>
      <c r="M7358">
        <v>2.0970289999999999E-2</v>
      </c>
      <c r="N7358">
        <v>0</v>
      </c>
      <c r="O7358">
        <v>0.99967950000000005</v>
      </c>
      <c r="P7358">
        <v>0.1532731</v>
      </c>
      <c r="Q7358">
        <v>0.16253889999999999</v>
      </c>
      <c r="R7358">
        <v>0.97472479999999995</v>
      </c>
      <c r="S7358">
        <v>0.60293580000000002</v>
      </c>
      <c r="T7358">
        <v>-0.26745560000000002</v>
      </c>
      <c r="U7358">
        <v>3.0279850000000001</v>
      </c>
      <c r="V7358">
        <v>0.1328416</v>
      </c>
      <c r="W7358">
        <v>0.1763536</v>
      </c>
      <c r="X7358">
        <v>0.97532180000000002</v>
      </c>
      <c r="Y7358">
        <v>0.17394509999999999</v>
      </c>
      <c r="Z7358">
        <v>-8.6444060000000003E-2</v>
      </c>
      <c r="AA7358">
        <v>0.98095390000000005</v>
      </c>
      <c r="AB7358">
        <v>29</v>
      </c>
      <c r="AC7358">
        <v>2.4971999999999901</v>
      </c>
      <c r="AD7358">
        <v>-1.1105404365030001</v>
      </c>
      <c r="AE7358">
        <v>12.2724999999999</v>
      </c>
      <c r="AF7358">
        <v>2.2217971834052999</v>
      </c>
      <c r="AG7358">
        <v>-1.1105404365030001</v>
      </c>
      <c r="AH7358">
        <v>12.2260407005417</v>
      </c>
      <c r="AI7358">
        <v>95.106973271073599</v>
      </c>
      <c r="AJ7358">
        <v>79.700231249523597</v>
      </c>
      <c r="AK7358">
        <v>12.475806747324899</v>
      </c>
      <c r="AL7358">
        <v>79.842561606743601</v>
      </c>
      <c r="AM7358">
        <v>82.2438788880076</v>
      </c>
      <c r="AN7358">
        <v>1.0000000482393701</v>
      </c>
    </row>
    <row r="7359" spans="1:40" x14ac:dyDescent="0.25">
      <c r="A7359" t="str">
        <f>"20190312172551877"</f>
        <v>20190312172551877</v>
      </c>
      <c r="B7359" t="str">
        <f>"1552382751867815"</f>
        <v>1552382751867815</v>
      </c>
      <c r="C7359" t="s">
        <v>40</v>
      </c>
      <c r="D7359">
        <v>3.8602810000000001</v>
      </c>
      <c r="E7359">
        <v>0.51626649999999996</v>
      </c>
      <c r="F7359" t="s">
        <v>41</v>
      </c>
      <c r="G7359">
        <v>-186.92410000000001</v>
      </c>
      <c r="H7359">
        <v>1.039817</v>
      </c>
      <c r="I7359">
        <v>106.25620000000001</v>
      </c>
      <c r="J7359">
        <v>-187.0762</v>
      </c>
      <c r="K7359">
        <v>1.110528</v>
      </c>
      <c r="L7359">
        <v>105.73050000000001</v>
      </c>
      <c r="M7359">
        <v>2.1069540000000001E-2</v>
      </c>
      <c r="N7359">
        <v>0</v>
      </c>
      <c r="O7359">
        <v>0.9996775</v>
      </c>
      <c r="P7359">
        <v>0.1553321</v>
      </c>
      <c r="Q7359">
        <v>0.162431399999999</v>
      </c>
      <c r="R7359">
        <v>0.97441670000000002</v>
      </c>
      <c r="S7359">
        <v>0.602188099999999</v>
      </c>
      <c r="T7359">
        <v>-0.26993539999999999</v>
      </c>
      <c r="U7359">
        <v>3.0281069999999999</v>
      </c>
      <c r="V7359">
        <v>0.1348095</v>
      </c>
      <c r="W7359">
        <v>0.17623949999999999</v>
      </c>
      <c r="X7359">
        <v>0.9750723</v>
      </c>
      <c r="Y7359">
        <v>0.17359330000000001</v>
      </c>
      <c r="Z7359">
        <v>-8.7240490000000004E-2</v>
      </c>
      <c r="AA7359">
        <v>0.98094570000000003</v>
      </c>
      <c r="AB7359">
        <v>29</v>
      </c>
      <c r="AC7359">
        <v>0.15209999999998999</v>
      </c>
      <c r="AD7359">
        <v>-7.0710999999999899E-2</v>
      </c>
      <c r="AE7359">
        <v>0.52569999999999995</v>
      </c>
      <c r="AF7359">
        <v>0.13867371108634899</v>
      </c>
      <c r="AG7359">
        <v>-7.0710999999999899E-2</v>
      </c>
      <c r="AH7359">
        <v>0.52010515915614597</v>
      </c>
      <c r="AI7359">
        <v>97.483863009192504</v>
      </c>
      <c r="AJ7359">
        <v>75.070742453577907</v>
      </c>
      <c r="AK7359">
        <v>0.54289945685025298</v>
      </c>
      <c r="AL7359">
        <v>79.849202343035103</v>
      </c>
      <c r="AM7359">
        <v>82.128421495073795</v>
      </c>
      <c r="AN7359">
        <v>0.99999997643889404</v>
      </c>
    </row>
    <row r="7360" spans="1:40" x14ac:dyDescent="0.25">
      <c r="A7360" t="str">
        <f>"20190312172551900"</f>
        <v>20190312172551900</v>
      </c>
      <c r="B7360" t="str">
        <f>"1552382751887333"</f>
        <v>1552382751887333</v>
      </c>
      <c r="C7360" t="s">
        <v>40</v>
      </c>
      <c r="D7360">
        <v>3.8783660000000002</v>
      </c>
      <c r="E7360">
        <v>0.516063099999999</v>
      </c>
      <c r="F7360" t="s">
        <v>43</v>
      </c>
      <c r="G7360">
        <v>-184.56950000000001</v>
      </c>
      <c r="H7360" s="1">
        <v>-4.6449350000000001E-6</v>
      </c>
      <c r="I7360">
        <v>118.2148</v>
      </c>
      <c r="J7360">
        <v>-187.0702</v>
      </c>
      <c r="K7360">
        <v>1.1105130000000001</v>
      </c>
      <c r="L7360">
        <v>106.0082</v>
      </c>
      <c r="M7360">
        <v>2.1172469999999999E-2</v>
      </c>
      <c r="N7360">
        <v>0</v>
      </c>
      <c r="O7360">
        <v>0.99967530000000004</v>
      </c>
      <c r="P7360">
        <v>0.15776899999999999</v>
      </c>
      <c r="Q7360">
        <v>0.1617142</v>
      </c>
      <c r="R7360">
        <v>0.97414449999999997</v>
      </c>
      <c r="S7360">
        <v>0.60774229999999996</v>
      </c>
      <c r="T7360">
        <v>-0.26924300000000001</v>
      </c>
      <c r="U7360">
        <v>3.0267490000000001</v>
      </c>
      <c r="V7360">
        <v>0.13715069999999999</v>
      </c>
      <c r="W7360">
        <v>0.1755157</v>
      </c>
      <c r="X7360">
        <v>0.97487630000000003</v>
      </c>
      <c r="Y7360">
        <v>0.17531050000000001</v>
      </c>
      <c r="Z7360">
        <v>-8.7027450000000006E-2</v>
      </c>
      <c r="AA7360">
        <v>0.98065919999999895</v>
      </c>
      <c r="AB7360">
        <v>29</v>
      </c>
      <c r="AC7360">
        <v>2.5006999999999899</v>
      </c>
      <c r="AD7360">
        <v>-1.1105176449349901</v>
      </c>
      <c r="AE7360">
        <v>12.2065999999999</v>
      </c>
      <c r="AF7360">
        <v>2.2240033226208502</v>
      </c>
      <c r="AG7360">
        <v>-1.1105176449349901</v>
      </c>
      <c r="AH7360">
        <v>12.160221000357</v>
      </c>
      <c r="AI7360">
        <v>95.133313933621096</v>
      </c>
      <c r="AJ7360">
        <v>79.635625765113303</v>
      </c>
      <c r="AK7360">
        <v>12.4117047578592</v>
      </c>
      <c r="AL7360">
        <v>79.891329315992607</v>
      </c>
      <c r="AM7360">
        <v>81.991886963576107</v>
      </c>
      <c r="AN7360">
        <v>0.99999993787933295</v>
      </c>
    </row>
    <row r="7361" spans="1:40" x14ac:dyDescent="0.25">
      <c r="A7361" t="str">
        <f>"20190312172551922"</f>
        <v>20190312172551922</v>
      </c>
      <c r="B7361" t="str">
        <f>"1552382751917589"</f>
        <v>1552382751917589</v>
      </c>
      <c r="C7361" t="s">
        <v>40</v>
      </c>
      <c r="D7361">
        <v>3.8887010000000002</v>
      </c>
      <c r="E7361">
        <v>0.51596540000000002</v>
      </c>
      <c r="F7361" t="s">
        <v>43</v>
      </c>
      <c r="G7361">
        <v>-184.57089999999999</v>
      </c>
      <c r="H7361" s="1">
        <v>-4.699675E-6</v>
      </c>
      <c r="I7361">
        <v>118.343</v>
      </c>
      <c r="J7361">
        <v>-187.0641</v>
      </c>
      <c r="K7361">
        <v>1.110503</v>
      </c>
      <c r="L7361">
        <v>106.29389999999999</v>
      </c>
      <c r="M7361">
        <v>2.1278180000000001E-2</v>
      </c>
      <c r="N7361">
        <v>0</v>
      </c>
      <c r="O7361">
        <v>0.99967309999999998</v>
      </c>
      <c r="P7361">
        <v>0.16016830000000001</v>
      </c>
      <c r="Q7361">
        <v>0.1603879</v>
      </c>
      <c r="R7361">
        <v>0.97397219999999995</v>
      </c>
      <c r="S7361">
        <v>0.61305240000000005</v>
      </c>
      <c r="T7361">
        <v>-0.27239570000000002</v>
      </c>
      <c r="U7361">
        <v>3.0255740000000002</v>
      </c>
      <c r="V7361">
        <v>0.1394494</v>
      </c>
      <c r="W7361">
        <v>0.1741847</v>
      </c>
      <c r="X7361">
        <v>0.97478900000000002</v>
      </c>
      <c r="Y7361">
        <v>0.17691570000000001</v>
      </c>
      <c r="Z7361">
        <v>-8.8043730000000001E-2</v>
      </c>
      <c r="AA7361">
        <v>0.98028020000000005</v>
      </c>
      <c r="AB7361">
        <v>29</v>
      </c>
      <c r="AC7361">
        <v>2.4931999999999999</v>
      </c>
      <c r="AD7361">
        <v>-1.1105076996750001</v>
      </c>
      <c r="AE7361">
        <v>12.0490999999999</v>
      </c>
      <c r="AF7361">
        <v>2.2181583662441802</v>
      </c>
      <c r="AG7361">
        <v>-1.1105076996750001</v>
      </c>
      <c r="AH7361">
        <v>12.0016660575135</v>
      </c>
      <c r="AI7361">
        <v>95.198940480382205</v>
      </c>
      <c r="AJ7361">
        <v>79.528705907640699</v>
      </c>
      <c r="AK7361">
        <v>12.2553434078711</v>
      </c>
      <c r="AL7361">
        <v>79.968784012136098</v>
      </c>
      <c r="AM7361">
        <v>81.858733029902197</v>
      </c>
      <c r="AN7361">
        <v>1.0000000196977199</v>
      </c>
    </row>
    <row r="7362" spans="1:40" x14ac:dyDescent="0.25">
      <c r="A7362" t="str">
        <f>"20190312172551944"</f>
        <v>20190312172551944</v>
      </c>
      <c r="B7362" t="str">
        <f>"1552382751937108"</f>
        <v>1552382751937108</v>
      </c>
      <c r="C7362" t="s">
        <v>40</v>
      </c>
      <c r="D7362">
        <v>3.8841389999999998</v>
      </c>
      <c r="E7362">
        <v>0.51597709999999997</v>
      </c>
      <c r="F7362" t="s">
        <v>43</v>
      </c>
      <c r="G7362">
        <v>-184.59180000000001</v>
      </c>
      <c r="H7362" s="1">
        <v>-4.7079700000000001E-6</v>
      </c>
      <c r="I7362">
        <v>118.371</v>
      </c>
      <c r="J7362">
        <v>-187.05760000000001</v>
      </c>
      <c r="K7362">
        <v>1.110479</v>
      </c>
      <c r="L7362">
        <v>106.5894</v>
      </c>
      <c r="M7362">
        <v>2.1390050000000001E-2</v>
      </c>
      <c r="N7362">
        <v>0</v>
      </c>
      <c r="O7362">
        <v>0.99967079999999997</v>
      </c>
      <c r="P7362">
        <v>0.16214999999999999</v>
      </c>
      <c r="Q7362">
        <v>0.15850899999999901</v>
      </c>
      <c r="R7362">
        <v>0.97395189999999998</v>
      </c>
      <c r="S7362">
        <v>0.61906430000000001</v>
      </c>
      <c r="T7362">
        <v>-0.27807490000000001</v>
      </c>
      <c r="U7362">
        <v>3.0241389999999999</v>
      </c>
      <c r="V7362">
        <v>0.14132140000000001</v>
      </c>
      <c r="W7362">
        <v>0.1723034</v>
      </c>
      <c r="X7362">
        <v>0.97485379999999999</v>
      </c>
      <c r="Y7362">
        <v>0.17873420000000001</v>
      </c>
      <c r="Z7362">
        <v>-8.9873140000000004E-2</v>
      </c>
      <c r="AA7362">
        <v>0.97978410000000005</v>
      </c>
      <c r="AB7362">
        <v>29</v>
      </c>
      <c r="AC7362">
        <v>2.4658000000000002</v>
      </c>
      <c r="AD7362">
        <v>-1.1104837079700001</v>
      </c>
      <c r="AE7362">
        <v>11.781599999999999</v>
      </c>
      <c r="AF7362">
        <v>2.1945231162891199</v>
      </c>
      <c r="AG7362">
        <v>-1.1104837079700001</v>
      </c>
      <c r="AH7362">
        <v>11.7317996326627</v>
      </c>
      <c r="AI7362">
        <v>95.315614312739498</v>
      </c>
      <c r="AJ7362">
        <v>79.404829541690006</v>
      </c>
      <c r="AK7362">
        <v>11.9868356289114</v>
      </c>
      <c r="AL7362">
        <v>80.078229970990293</v>
      </c>
      <c r="AM7362">
        <v>81.751477893036807</v>
      </c>
      <c r="AN7362">
        <v>1.0000000655619701</v>
      </c>
    </row>
    <row r="7363" spans="1:40" x14ac:dyDescent="0.25">
      <c r="A7363" t="str">
        <f>"20190312172551967"</f>
        <v>20190312172551967</v>
      </c>
      <c r="B7363" t="str">
        <f>"1552382751957608"</f>
        <v>1552382751957608</v>
      </c>
      <c r="C7363" t="s">
        <v>40</v>
      </c>
      <c r="D7363">
        <v>3.9211100000000001</v>
      </c>
      <c r="E7363">
        <v>0.51595100000000005</v>
      </c>
      <c r="F7363" t="s">
        <v>41</v>
      </c>
      <c r="G7363">
        <v>-186.8622</v>
      </c>
      <c r="H7363">
        <v>1.0217459999999901</v>
      </c>
      <c r="I7363">
        <v>107.5331</v>
      </c>
      <c r="J7363">
        <v>-187.05119999999999</v>
      </c>
      <c r="K7363">
        <v>1.1104540000000001</v>
      </c>
      <c r="L7363">
        <v>106.8844</v>
      </c>
      <c r="M7363">
        <v>2.1504720000000001E-2</v>
      </c>
      <c r="N7363">
        <v>0</v>
      </c>
      <c r="O7363">
        <v>0.99966840000000001</v>
      </c>
      <c r="P7363">
        <v>0.16440270000000001</v>
      </c>
      <c r="Q7363">
        <v>0.1568938</v>
      </c>
      <c r="R7363">
        <v>0.97383580000000003</v>
      </c>
      <c r="S7363">
        <v>0.62553409999999998</v>
      </c>
      <c r="T7363">
        <v>-0.28420869999999998</v>
      </c>
      <c r="U7363">
        <v>3.0223689999999999</v>
      </c>
      <c r="V7363">
        <v>0.14346410000000001</v>
      </c>
      <c r="W7363">
        <v>0.1706831</v>
      </c>
      <c r="X7363">
        <v>0.97482579999999996</v>
      </c>
      <c r="Y7363">
        <v>0.18070910000000001</v>
      </c>
      <c r="Z7363">
        <v>-9.185451E-2</v>
      </c>
      <c r="AA7363">
        <v>0.97923800000000005</v>
      </c>
      <c r="AB7363">
        <v>29</v>
      </c>
      <c r="AC7363">
        <v>0.18899999999999201</v>
      </c>
      <c r="AD7363">
        <v>-8.8708000000000203E-2</v>
      </c>
      <c r="AE7363">
        <v>0.64870000000000505</v>
      </c>
      <c r="AF7363">
        <v>0.17203938450124201</v>
      </c>
      <c r="AG7363">
        <v>-8.8708000000000203E-2</v>
      </c>
      <c r="AH7363">
        <v>0.64155645062065503</v>
      </c>
      <c r="AI7363">
        <v>97.606926269471401</v>
      </c>
      <c r="AJ7363">
        <v>74.9887640763869</v>
      </c>
      <c r="AK7363">
        <v>0.67012039098697695</v>
      </c>
      <c r="AL7363">
        <v>80.172461746385395</v>
      </c>
      <c r="AM7363">
        <v>81.627937151823303</v>
      </c>
      <c r="AN7363">
        <v>1.0000000044800299</v>
      </c>
    </row>
    <row r="7364" spans="1:40" x14ac:dyDescent="0.25">
      <c r="A7364" t="str">
        <f>"20190312172551990"</f>
        <v>20190312172551990</v>
      </c>
      <c r="B7364" t="str">
        <f>"1552382751987861"</f>
        <v>1552382751987861</v>
      </c>
      <c r="C7364" t="s">
        <v>40</v>
      </c>
      <c r="D7364">
        <v>3.8708279999999999</v>
      </c>
      <c r="E7364">
        <v>0.51600239999999997</v>
      </c>
      <c r="F7364" t="s">
        <v>41</v>
      </c>
      <c r="G7364">
        <v>-186.8622</v>
      </c>
      <c r="H7364">
        <v>1.0240819999999999</v>
      </c>
      <c r="I7364">
        <v>107.7869</v>
      </c>
      <c r="J7364">
        <v>-187.04470000000001</v>
      </c>
      <c r="K7364">
        <v>1.11042</v>
      </c>
      <c r="L7364">
        <v>107.1785</v>
      </c>
      <c r="M7364">
        <v>2.162526E-2</v>
      </c>
      <c r="N7364">
        <v>0</v>
      </c>
      <c r="O7364">
        <v>0.9996659</v>
      </c>
      <c r="P7364">
        <v>0.1667843</v>
      </c>
      <c r="Q7364">
        <v>0.15551989999999999</v>
      </c>
      <c r="R7364">
        <v>0.97365119999999905</v>
      </c>
      <c r="S7364">
        <v>0.63195800000000002</v>
      </c>
      <c r="T7364">
        <v>-0.28904940000000001</v>
      </c>
      <c r="U7364">
        <v>3.0204770000000001</v>
      </c>
      <c r="V7364">
        <v>0.14573229999999901</v>
      </c>
      <c r="W7364">
        <v>0.16930300000000001</v>
      </c>
      <c r="X7364">
        <v>0.97472999999999999</v>
      </c>
      <c r="Y7364">
        <v>0.18267820000000001</v>
      </c>
      <c r="Z7364">
        <v>-9.3424670000000001E-2</v>
      </c>
      <c r="AA7364">
        <v>0.97872389999999998</v>
      </c>
      <c r="AB7364">
        <v>29</v>
      </c>
      <c r="AC7364">
        <v>0.18250000000000399</v>
      </c>
      <c r="AD7364">
        <v>-8.6337999999999998E-2</v>
      </c>
      <c r="AE7364">
        <v>0.60840000000000305</v>
      </c>
      <c r="AF7364">
        <v>0.16622796571503201</v>
      </c>
      <c r="AG7364">
        <v>-8.6337999999999998E-2</v>
      </c>
      <c r="AH7364">
        <v>0.60109882526138503</v>
      </c>
      <c r="AI7364">
        <v>97.881796729692894</v>
      </c>
      <c r="AJ7364">
        <v>74.541740698418707</v>
      </c>
      <c r="AK7364">
        <v>0.62960764334653396</v>
      </c>
      <c r="AL7364">
        <v>80.252703424141401</v>
      </c>
      <c r="AM7364">
        <v>81.496669491895602</v>
      </c>
      <c r="AN7364">
        <v>0.999999990986145</v>
      </c>
    </row>
    <row r="7365" spans="1:40" x14ac:dyDescent="0.25">
      <c r="A7365" t="str">
        <f>"20190312172552012"</f>
        <v>20190312172552012</v>
      </c>
      <c r="B7365" t="str">
        <f>"1552382752007381"</f>
        <v>1552382752007381</v>
      </c>
      <c r="C7365" t="s">
        <v>40</v>
      </c>
      <c r="D7365">
        <v>3.9164439999999998</v>
      </c>
      <c r="E7365">
        <v>0.51605939999999995</v>
      </c>
      <c r="F7365" t="s">
        <v>41</v>
      </c>
      <c r="G7365">
        <v>-186.86109999999999</v>
      </c>
      <c r="H7365">
        <v>1.026289</v>
      </c>
      <c r="I7365">
        <v>108.04470000000001</v>
      </c>
      <c r="J7365">
        <v>-187.03880000000001</v>
      </c>
      <c r="K7365">
        <v>1.1103799999999999</v>
      </c>
      <c r="L7365">
        <v>107.44670000000001</v>
      </c>
      <c r="M7365">
        <v>2.1747120000000002E-2</v>
      </c>
      <c r="N7365">
        <v>0</v>
      </c>
      <c r="O7365">
        <v>0.99966319999999997</v>
      </c>
      <c r="P7365">
        <v>0.16982529999999901</v>
      </c>
      <c r="Q7365">
        <v>0.15397279999999999</v>
      </c>
      <c r="R7365">
        <v>0.97337130000000005</v>
      </c>
      <c r="S7365">
        <v>0.63938899999999999</v>
      </c>
      <c r="T7365">
        <v>-0.29319499999999998</v>
      </c>
      <c r="U7365">
        <v>3.018494</v>
      </c>
      <c r="V7365">
        <v>0.14866199999999999</v>
      </c>
      <c r="W7365">
        <v>0.16774729999999999</v>
      </c>
      <c r="X7365">
        <v>0.9745566</v>
      </c>
      <c r="Y7365">
        <v>0.18496760000000001</v>
      </c>
      <c r="Z7365">
        <v>-9.4768420000000006E-2</v>
      </c>
      <c r="AA7365">
        <v>0.97816460000000005</v>
      </c>
      <c r="AB7365">
        <v>29</v>
      </c>
      <c r="AC7365">
        <v>0.17770000000001501</v>
      </c>
      <c r="AD7365">
        <v>-8.4090999999999902E-2</v>
      </c>
      <c r="AE7365">
        <v>0.59799999999999898</v>
      </c>
      <c r="AF7365">
        <v>0.161713601075928</v>
      </c>
      <c r="AG7365">
        <v>-8.4090999999999902E-2</v>
      </c>
      <c r="AH7365">
        <v>0.59098538698769498</v>
      </c>
      <c r="AI7365">
        <v>97.814686321180503</v>
      </c>
      <c r="AJ7365">
        <v>74.696545948325195</v>
      </c>
      <c r="AK7365">
        <v>0.61845477820689498</v>
      </c>
      <c r="AL7365">
        <v>80.343132486082794</v>
      </c>
      <c r="AM7365">
        <v>81.326778625022101</v>
      </c>
      <c r="AN7365">
        <v>1.0000000567524201</v>
      </c>
    </row>
    <row r="7366" spans="1:40" x14ac:dyDescent="0.25">
      <c r="A7366" t="str">
        <f>"20190312172552035"</f>
        <v>20190312172552035</v>
      </c>
      <c r="B7366" t="str">
        <f>"1552382752027881"</f>
        <v>1552382752027881</v>
      </c>
      <c r="C7366" t="s">
        <v>40</v>
      </c>
      <c r="D7366">
        <v>3.9304960000000002</v>
      </c>
      <c r="E7366">
        <v>0.51596750000000002</v>
      </c>
      <c r="F7366" t="s">
        <v>41</v>
      </c>
      <c r="G7366">
        <v>-186.85480000000001</v>
      </c>
      <c r="H7366">
        <v>1.0261290000000001</v>
      </c>
      <c r="I7366">
        <v>108.30119999999999</v>
      </c>
      <c r="J7366">
        <v>-187.0318</v>
      </c>
      <c r="K7366">
        <v>1.110352</v>
      </c>
      <c r="L7366">
        <v>107.75879999999999</v>
      </c>
      <c r="M7366">
        <v>2.1918340000000001E-2</v>
      </c>
      <c r="N7366">
        <v>0</v>
      </c>
      <c r="O7366">
        <v>0.99965950000000003</v>
      </c>
      <c r="P7366">
        <v>0.171283399999999</v>
      </c>
      <c r="Q7366">
        <v>0.15419079999999999</v>
      </c>
      <c r="R7366">
        <v>0.97308130000000004</v>
      </c>
      <c r="S7366">
        <v>0.64930730000000003</v>
      </c>
      <c r="T7366">
        <v>-0.29736839999999998</v>
      </c>
      <c r="U7366">
        <v>3.0158230000000001</v>
      </c>
      <c r="V7366">
        <v>0.14996599999999999</v>
      </c>
      <c r="W7366">
        <v>0.1679522</v>
      </c>
      <c r="X7366">
        <v>0.9743214</v>
      </c>
      <c r="Y7366">
        <v>0.1880231</v>
      </c>
      <c r="Z7366">
        <v>-9.6126210000000004E-2</v>
      </c>
      <c r="AA7366">
        <v>0.97744920000000002</v>
      </c>
      <c r="AB7366">
        <v>29</v>
      </c>
      <c r="AC7366">
        <v>0.176999999999992</v>
      </c>
      <c r="AD7366">
        <v>-8.4222999999999895E-2</v>
      </c>
      <c r="AE7366">
        <v>0.54239999999999999</v>
      </c>
      <c r="AF7366">
        <v>0.1615475083622</v>
      </c>
      <c r="AG7366">
        <v>-8.4222999999999895E-2</v>
      </c>
      <c r="AH7366">
        <v>0.53450233037733996</v>
      </c>
      <c r="AI7366">
        <v>98.577495626800697</v>
      </c>
      <c r="AJ7366">
        <v>73.183129774179307</v>
      </c>
      <c r="AK7366">
        <v>0.56469801873730896</v>
      </c>
      <c r="AL7366">
        <v>80.331222745298305</v>
      </c>
      <c r="AM7366">
        <v>81.249793571807203</v>
      </c>
      <c r="AN7366">
        <v>0.99999996656939905</v>
      </c>
    </row>
    <row r="7367" spans="1:40" x14ac:dyDescent="0.25">
      <c r="A7367" t="str">
        <f>"20190312172552060"</f>
        <v>20190312172552060</v>
      </c>
      <c r="B7367" t="str">
        <f>"1552382752047401"</f>
        <v>1552382752047401</v>
      </c>
      <c r="C7367" t="s">
        <v>40</v>
      </c>
      <c r="D7367">
        <v>3.9483670000000002</v>
      </c>
      <c r="E7367">
        <v>0.51594119999999999</v>
      </c>
      <c r="F7367" t="s">
        <v>41</v>
      </c>
      <c r="G7367">
        <v>-186.85769999999999</v>
      </c>
      <c r="H7367">
        <v>1.031531</v>
      </c>
      <c r="I7367">
        <v>108.5613</v>
      </c>
      <c r="J7367">
        <v>-187.02529999999999</v>
      </c>
      <c r="K7367">
        <v>1.110311</v>
      </c>
      <c r="L7367">
        <v>108.0483</v>
      </c>
      <c r="M7367">
        <v>2.2127129999999998E-2</v>
      </c>
      <c r="N7367">
        <v>0</v>
      </c>
      <c r="O7367">
        <v>0.99965499999999996</v>
      </c>
      <c r="P7367">
        <v>0.17381940000000001</v>
      </c>
      <c r="Q7367">
        <v>0.15461620000000001</v>
      </c>
      <c r="R7367">
        <v>0.97256399999999998</v>
      </c>
      <c r="S7367">
        <v>0.65342709999999904</v>
      </c>
      <c r="T7367">
        <v>-0.29615059999999999</v>
      </c>
      <c r="U7367">
        <v>3.0148929999999998</v>
      </c>
      <c r="V7367">
        <v>0.1523216</v>
      </c>
      <c r="W7367">
        <v>0.16835649999999999</v>
      </c>
      <c r="X7367">
        <v>0.97388609999999998</v>
      </c>
      <c r="Y7367">
        <v>0.189164</v>
      </c>
      <c r="Z7367">
        <v>-9.5740060000000002E-2</v>
      </c>
      <c r="AA7367">
        <v>0.977267</v>
      </c>
      <c r="AB7367">
        <v>29</v>
      </c>
      <c r="AC7367">
        <v>0.167599999999993</v>
      </c>
      <c r="AD7367">
        <v>-7.8780000000000003E-2</v>
      </c>
      <c r="AE7367">
        <v>0.51300000000000501</v>
      </c>
      <c r="AF7367">
        <v>0.15294752011027701</v>
      </c>
      <c r="AG7367">
        <v>-7.8780000000000003E-2</v>
      </c>
      <c r="AH7367">
        <v>0.50580529878334002</v>
      </c>
      <c r="AI7367">
        <v>98.479476654555896</v>
      </c>
      <c r="AJ7367">
        <v>73.175513923072202</v>
      </c>
      <c r="AK7367">
        <v>0.53426419736417596</v>
      </c>
      <c r="AL7367">
        <v>80.3077233661176</v>
      </c>
      <c r="AM7367">
        <v>81.110617617181802</v>
      </c>
      <c r="AN7367">
        <v>0.99999995834600897</v>
      </c>
    </row>
    <row r="7368" spans="1:40" x14ac:dyDescent="0.25">
      <c r="A7368" t="str">
        <f>"20190312172552080"</f>
        <v>20190312172552080</v>
      </c>
      <c r="B7368" t="str">
        <f>"1552382752077657"</f>
        <v>1552382752077657</v>
      </c>
      <c r="C7368" t="s">
        <v>40</v>
      </c>
      <c r="D7368">
        <v>3.9310070000000001</v>
      </c>
      <c r="E7368">
        <v>0.51556979999999997</v>
      </c>
      <c r="F7368" t="s">
        <v>43</v>
      </c>
      <c r="G7368">
        <v>-184.52809999999999</v>
      </c>
      <c r="H7368" s="1">
        <v>-5.1737180000000002E-6</v>
      </c>
      <c r="I7368">
        <v>119.4303</v>
      </c>
      <c r="J7368">
        <v>-187.01859999999999</v>
      </c>
      <c r="K7368">
        <v>1.11026</v>
      </c>
      <c r="L7368">
        <v>108.3347</v>
      </c>
      <c r="M7368">
        <v>2.240982E-2</v>
      </c>
      <c r="N7368">
        <v>0</v>
      </c>
      <c r="O7368">
        <v>0.99964869999999995</v>
      </c>
      <c r="P7368">
        <v>0.1757339</v>
      </c>
      <c r="Q7368">
        <v>0.1562067</v>
      </c>
      <c r="R7368">
        <v>0.97196559999999999</v>
      </c>
      <c r="S7368">
        <v>0.66107179999999999</v>
      </c>
      <c r="T7368">
        <v>-0.2939389</v>
      </c>
      <c r="U7368">
        <v>3.0132140000000001</v>
      </c>
      <c r="V7368">
        <v>0.15399470000000001</v>
      </c>
      <c r="W7368">
        <v>0.16991629999999899</v>
      </c>
      <c r="X7368">
        <v>0.97335199999999999</v>
      </c>
      <c r="Y7368">
        <v>0.19137979999999999</v>
      </c>
      <c r="Z7368">
        <v>-9.5036250000000003E-2</v>
      </c>
      <c r="AA7368">
        <v>0.9769042</v>
      </c>
      <c r="AB7368">
        <v>29</v>
      </c>
      <c r="AC7368">
        <v>2.4904999999999902</v>
      </c>
      <c r="AD7368">
        <v>-1.110265173718</v>
      </c>
      <c r="AE7368">
        <v>11.095599999999999</v>
      </c>
      <c r="AF7368">
        <v>2.2200367292493102</v>
      </c>
      <c r="AG7368">
        <v>-1.110265173718</v>
      </c>
      <c r="AH7368">
        <v>11.043359900924001</v>
      </c>
      <c r="AI7368">
        <v>95.629175496088905</v>
      </c>
      <c r="AJ7368">
        <v>78.633383350207197</v>
      </c>
      <c r="AK7368">
        <v>11.3188802333325</v>
      </c>
      <c r="AL7368">
        <v>80.217047561477699</v>
      </c>
      <c r="AM7368">
        <v>81.009711314560306</v>
      </c>
      <c r="AN7368">
        <v>1.00000001626888</v>
      </c>
    </row>
    <row r="7369" spans="1:40" x14ac:dyDescent="0.25">
      <c r="A7369" t="str">
        <f>"20190312172552102"</f>
        <v>20190312172552102</v>
      </c>
      <c r="B7369" t="str">
        <f>"1552382752097177"</f>
        <v>1552382752097177</v>
      </c>
      <c r="C7369" t="s">
        <v>40</v>
      </c>
      <c r="D7369">
        <v>3.9374370000000001</v>
      </c>
      <c r="E7369">
        <v>0.51596439999999999</v>
      </c>
      <c r="F7369" t="s">
        <v>49</v>
      </c>
      <c r="G7369">
        <v>-184.2807</v>
      </c>
      <c r="H7369" s="1">
        <v>-1.8396529999999999E-6</v>
      </c>
      <c r="I7369">
        <v>120.7338</v>
      </c>
      <c r="J7369">
        <v>-187.01230000000001</v>
      </c>
      <c r="K7369">
        <v>1.110209</v>
      </c>
      <c r="L7369">
        <v>108.6007</v>
      </c>
      <c r="M7369">
        <v>2.2774490000000001E-2</v>
      </c>
      <c r="N7369">
        <v>0</v>
      </c>
      <c r="O7369">
        <v>0.99964050000000004</v>
      </c>
      <c r="P7369">
        <v>0.1773284</v>
      </c>
      <c r="Q7369">
        <v>0.15972030000000001</v>
      </c>
      <c r="R7369">
        <v>0.97110459999999998</v>
      </c>
      <c r="S7369">
        <v>0.66458130000000004</v>
      </c>
      <c r="T7369">
        <v>-0.2694975</v>
      </c>
      <c r="U7369">
        <v>3.0096889999999998</v>
      </c>
      <c r="V7369">
        <v>0.15528449999999999</v>
      </c>
      <c r="W7369">
        <v>0.17338919999999999</v>
      </c>
      <c r="X7369">
        <v>0.97253420000000002</v>
      </c>
      <c r="Y7369">
        <v>0.1925007</v>
      </c>
      <c r="Z7369">
        <v>-8.72753E-2</v>
      </c>
      <c r="AA7369">
        <v>0.9774081</v>
      </c>
      <c r="AB7369">
        <v>29</v>
      </c>
      <c r="AC7369">
        <v>2.73160000000001</v>
      </c>
      <c r="AD7369">
        <v>-1.1102108396529999</v>
      </c>
      <c r="AE7369">
        <v>12.133100000000001</v>
      </c>
      <c r="AF7369">
        <v>2.4351333764508398</v>
      </c>
      <c r="AG7369">
        <v>-1.1102108396529999</v>
      </c>
      <c r="AH7369">
        <v>12.0957802459106</v>
      </c>
      <c r="AI7369">
        <v>95.141607375144304</v>
      </c>
      <c r="AJ7369">
        <v>78.617314845744204</v>
      </c>
      <c r="AK7369">
        <v>12.388314753304799</v>
      </c>
      <c r="AL7369">
        <v>80.015066181140497</v>
      </c>
      <c r="AM7369">
        <v>80.928161733922906</v>
      </c>
      <c r="AN7369">
        <v>0.99999993039326196</v>
      </c>
    </row>
    <row r="7370" spans="1:40" x14ac:dyDescent="0.25">
      <c r="A7370" t="str">
        <f>"20190312172552123"</f>
        <v>20190312172552123</v>
      </c>
      <c r="B7370" t="str">
        <f>"1552382752117673"</f>
        <v>1552382752117673</v>
      </c>
      <c r="C7370" t="s">
        <v>40</v>
      </c>
      <c r="D7370">
        <v>3.9327610000000002</v>
      </c>
      <c r="E7370">
        <v>0.51605349999999905</v>
      </c>
      <c r="F7370" t="s">
        <v>49</v>
      </c>
      <c r="G7370">
        <v>-184.1454</v>
      </c>
      <c r="H7370" s="1">
        <v>-2.0765470000000002E-6</v>
      </c>
      <c r="I7370">
        <v>121.41589999999999</v>
      </c>
      <c r="J7370">
        <v>-187.00550000000001</v>
      </c>
      <c r="K7370">
        <v>1.1101240000000001</v>
      </c>
      <c r="L7370">
        <v>108.8777</v>
      </c>
      <c r="M7370">
        <v>2.3301019999999999E-2</v>
      </c>
      <c r="N7370">
        <v>0</v>
      </c>
      <c r="O7370">
        <v>0.99962839999999997</v>
      </c>
      <c r="P7370">
        <v>0.17997729999999901</v>
      </c>
      <c r="Q7370">
        <v>0.16212560000000001</v>
      </c>
      <c r="R7370">
        <v>0.97021820000000003</v>
      </c>
      <c r="S7370">
        <v>0.67318730000000004</v>
      </c>
      <c r="T7370">
        <v>-0.26069499999999901</v>
      </c>
      <c r="U7370">
        <v>3.0092159999999999</v>
      </c>
      <c r="V7370">
        <v>0.1574855</v>
      </c>
      <c r="W7370">
        <v>0.17574049999999999</v>
      </c>
      <c r="X7370">
        <v>0.97175800000000001</v>
      </c>
      <c r="Y7370">
        <v>0.1947333</v>
      </c>
      <c r="Z7370">
        <v>-8.4412559999999998E-2</v>
      </c>
      <c r="AA7370">
        <v>0.97721720000000001</v>
      </c>
      <c r="AB7370">
        <v>29</v>
      </c>
      <c r="AC7370">
        <v>2.8601000000000099</v>
      </c>
      <c r="AD7370">
        <v>-1.11012607654699</v>
      </c>
      <c r="AE7370">
        <v>12.5381999999999</v>
      </c>
      <c r="AF7370">
        <v>2.5481536357599799</v>
      </c>
      <c r="AG7370">
        <v>-1.11012607654699</v>
      </c>
      <c r="AH7370">
        <v>12.508239787064101</v>
      </c>
      <c r="AI7370">
        <v>94.970242822344403</v>
      </c>
      <c r="AJ7370">
        <v>78.485382147184893</v>
      </c>
      <c r="AK7370">
        <v>12.813334048090701</v>
      </c>
      <c r="AL7370">
        <v>79.878246582734107</v>
      </c>
      <c r="AM7370">
        <v>80.794539230164702</v>
      </c>
      <c r="AN7370">
        <v>1.00000000830725</v>
      </c>
    </row>
    <row r="7371" spans="1:40" x14ac:dyDescent="0.25">
      <c r="A7371" t="str">
        <f>"20190312172552136"</f>
        <v>20190312172552136</v>
      </c>
      <c r="B7371" t="str">
        <f>"1552382752127334"</f>
        <v>1552382752127334</v>
      </c>
      <c r="C7371" t="s">
        <v>40</v>
      </c>
      <c r="D7371">
        <v>3.9416229999999999</v>
      </c>
      <c r="E7371">
        <v>0.51614970000000004</v>
      </c>
      <c r="F7371" t="s">
        <v>49</v>
      </c>
      <c r="G7371">
        <v>-184.05619999999999</v>
      </c>
      <c r="H7371" s="1">
        <v>-2.2395680000000001E-6</v>
      </c>
      <c r="I7371">
        <v>121.8888</v>
      </c>
      <c r="J7371">
        <v>-187.00110000000001</v>
      </c>
      <c r="K7371">
        <v>1.1100680000000001</v>
      </c>
      <c r="L7371">
        <v>109.04640000000001</v>
      </c>
      <c r="M7371">
        <v>2.3687779999999999E-2</v>
      </c>
      <c r="N7371">
        <v>0</v>
      </c>
      <c r="O7371">
        <v>0.99961940000000005</v>
      </c>
      <c r="P7371">
        <v>0.1814269</v>
      </c>
      <c r="Q7371">
        <v>0.163041299999999</v>
      </c>
      <c r="R7371">
        <v>0.96979479999999996</v>
      </c>
      <c r="S7371">
        <v>0.68194580000000005</v>
      </c>
      <c r="T7371">
        <v>-0.2566891</v>
      </c>
      <c r="U7371">
        <v>3.0084840000000002</v>
      </c>
      <c r="V7371">
        <v>0.15859719999999999</v>
      </c>
      <c r="W7371">
        <v>0.17662349999999999</v>
      </c>
      <c r="X7371">
        <v>0.97141710000000003</v>
      </c>
      <c r="Y7371">
        <v>0.19713600000000001</v>
      </c>
      <c r="Z7371">
        <v>-8.3096929999999999E-2</v>
      </c>
      <c r="AA7371">
        <v>0.9768481</v>
      </c>
      <c r="AB7371">
        <v>29</v>
      </c>
      <c r="AC7371">
        <v>2.9449000000000098</v>
      </c>
      <c r="AD7371">
        <v>-1.110070239568</v>
      </c>
      <c r="AE7371">
        <v>12.8423999999999</v>
      </c>
      <c r="AF7371">
        <v>2.6212289786857599</v>
      </c>
      <c r="AG7371">
        <v>-1.110070239568</v>
      </c>
      <c r="AH7371">
        <v>12.8175783593499</v>
      </c>
      <c r="AI7371">
        <v>94.849885714483506</v>
      </c>
      <c r="AJ7371">
        <v>78.442222235946701</v>
      </c>
      <c r="AK7371">
        <v>13.1298671849167</v>
      </c>
      <c r="AL7371">
        <v>79.826850954202499</v>
      </c>
      <c r="AM7371">
        <v>80.727484984463501</v>
      </c>
      <c r="AN7371">
        <v>1.00000005738624</v>
      </c>
    </row>
    <row r="7372" spans="1:40" x14ac:dyDescent="0.25">
      <c r="A7372" t="str">
        <f>"20190312172552157"</f>
        <v>20190312172552157</v>
      </c>
      <c r="B7372" t="str">
        <f>"1552382752147833"</f>
        <v>1552382752147833</v>
      </c>
      <c r="C7372" t="s">
        <v>40</v>
      </c>
      <c r="D7372">
        <v>3.981649</v>
      </c>
      <c r="E7372">
        <v>0.51629009999999997</v>
      </c>
      <c r="F7372" t="s">
        <v>49</v>
      </c>
      <c r="G7372">
        <v>-184.01779999999999</v>
      </c>
      <c r="H7372" s="1">
        <v>-2.3131660000000001E-6</v>
      </c>
      <c r="I7372">
        <v>122.104</v>
      </c>
      <c r="J7372">
        <v>-186.994</v>
      </c>
      <c r="K7372">
        <v>1.1099680000000001</v>
      </c>
      <c r="L7372">
        <v>109.3155</v>
      </c>
      <c r="M7372">
        <v>2.4411059999999998E-2</v>
      </c>
      <c r="N7372">
        <v>0</v>
      </c>
      <c r="O7372">
        <v>0.99960199999999999</v>
      </c>
      <c r="P7372">
        <v>0.1844451</v>
      </c>
      <c r="Q7372">
        <v>0.1641957</v>
      </c>
      <c r="R7372">
        <v>0.96903030000000001</v>
      </c>
      <c r="S7372">
        <v>0.68722530000000004</v>
      </c>
      <c r="T7372">
        <v>-0.25571050000000001</v>
      </c>
      <c r="U7372">
        <v>3.0078740000000002</v>
      </c>
      <c r="V7372">
        <v>0.16097829999999999</v>
      </c>
      <c r="W7372">
        <v>0.17772209999999999</v>
      </c>
      <c r="X7372">
        <v>0.97082480000000004</v>
      </c>
      <c r="Y7372">
        <v>0.19810559999999999</v>
      </c>
      <c r="Z7372">
        <v>-8.2772460000000006E-2</v>
      </c>
      <c r="AA7372">
        <v>0.97667950000000003</v>
      </c>
      <c r="AB7372">
        <v>29</v>
      </c>
      <c r="AC7372">
        <v>2.9762000000000302</v>
      </c>
      <c r="AD7372">
        <v>-1.1099703131659999</v>
      </c>
      <c r="AE7372">
        <v>12.788500000000001</v>
      </c>
      <c r="AF7372">
        <v>2.6442047964738302</v>
      </c>
      <c r="AG7372">
        <v>-1.1099703131659999</v>
      </c>
      <c r="AH7372">
        <v>12.766118252035801</v>
      </c>
      <c r="AI7372">
        <v>94.866395572757099</v>
      </c>
      <c r="AJ7372">
        <v>78.297982508562498</v>
      </c>
      <c r="AK7372">
        <v>13.0842511565151</v>
      </c>
      <c r="AL7372">
        <v>79.762893145036401</v>
      </c>
      <c r="AM7372">
        <v>80.585105787320899</v>
      </c>
      <c r="AN7372">
        <v>0.99999997509716898</v>
      </c>
    </row>
    <row r="7373" spans="1:40" x14ac:dyDescent="0.25">
      <c r="A7373" t="str">
        <f>"20190312172552179"</f>
        <v>20190312172552179</v>
      </c>
      <c r="B7373" t="str">
        <f>"1552382752167350"</f>
        <v>1552382752167350</v>
      </c>
      <c r="C7373" t="s">
        <v>40</v>
      </c>
      <c r="D7373">
        <v>3.947193</v>
      </c>
      <c r="E7373">
        <v>0.51636269999999995</v>
      </c>
      <c r="F7373" t="s">
        <v>49</v>
      </c>
      <c r="G7373">
        <v>-183.95779999999999</v>
      </c>
      <c r="H7373" s="1">
        <v>-2.4144429999999998E-6</v>
      </c>
      <c r="I7373">
        <v>122.3937</v>
      </c>
      <c r="J7373">
        <v>-186.9863</v>
      </c>
      <c r="K7373">
        <v>1.109826</v>
      </c>
      <c r="L7373">
        <v>109.5929</v>
      </c>
      <c r="M7373">
        <v>2.5365160000000001E-2</v>
      </c>
      <c r="N7373">
        <v>0</v>
      </c>
      <c r="O7373">
        <v>0.99957819999999997</v>
      </c>
      <c r="P7373">
        <v>0.18845580000000001</v>
      </c>
      <c r="Q7373">
        <v>0.16415879999999999</v>
      </c>
      <c r="R7373">
        <v>0.96826460000000003</v>
      </c>
      <c r="S7373">
        <v>0.69793700000000003</v>
      </c>
      <c r="T7373">
        <v>-0.2551503</v>
      </c>
      <c r="U7373">
        <v>3.0062869999999999</v>
      </c>
      <c r="V7373">
        <v>0.1641386</v>
      </c>
      <c r="W7373">
        <v>0.177616</v>
      </c>
      <c r="X7373">
        <v>0.97031489999999998</v>
      </c>
      <c r="Y7373">
        <v>0.20058980000000001</v>
      </c>
      <c r="Z7373">
        <v>-8.2578170000000006E-2</v>
      </c>
      <c r="AA7373">
        <v>0.97618879999999997</v>
      </c>
      <c r="AB7373">
        <v>28</v>
      </c>
      <c r="AC7373">
        <v>3.0285000000000002</v>
      </c>
      <c r="AD7373">
        <v>-1.109828414443</v>
      </c>
      <c r="AE7373">
        <v>12.800799999999899</v>
      </c>
      <c r="AF7373">
        <v>2.6836948663442901</v>
      </c>
      <c r="AG7373">
        <v>-1.109828414443</v>
      </c>
      <c r="AH7373">
        <v>12.7825151210371</v>
      </c>
      <c r="AI7373">
        <v>94.856836345278197</v>
      </c>
      <c r="AJ7373">
        <v>78.142939722861399</v>
      </c>
      <c r="AK7373">
        <v>13.108265715367899</v>
      </c>
      <c r="AL7373">
        <v>79.769070395905899</v>
      </c>
      <c r="AM7373">
        <v>80.398730227422703</v>
      </c>
      <c r="AN7373">
        <v>0.99999996431398397</v>
      </c>
    </row>
    <row r="7374" spans="1:40" x14ac:dyDescent="0.25">
      <c r="A7374" t="str">
        <f>"20190312172552201"</f>
        <v>20190312172552201</v>
      </c>
      <c r="B7374" t="str">
        <f>"1552382752197606"</f>
        <v>1552382752197606</v>
      </c>
      <c r="C7374" t="s">
        <v>40</v>
      </c>
      <c r="D7374">
        <v>3.9552969999999998</v>
      </c>
      <c r="E7374">
        <v>0.51659169999999999</v>
      </c>
      <c r="F7374" t="s">
        <v>49</v>
      </c>
      <c r="G7374">
        <v>-183.91990000000001</v>
      </c>
      <c r="H7374" s="1">
        <v>-2.4719329999999999E-6</v>
      </c>
      <c r="I7374">
        <v>122.55459999999999</v>
      </c>
      <c r="J7374">
        <v>-186.97800000000001</v>
      </c>
      <c r="K7374">
        <v>1.1096410000000001</v>
      </c>
      <c r="L7374">
        <v>109.8702</v>
      </c>
      <c r="M7374">
        <v>2.6576929999999999E-2</v>
      </c>
      <c r="N7374">
        <v>0</v>
      </c>
      <c r="O7374">
        <v>0.99954679999999996</v>
      </c>
      <c r="P7374">
        <v>0.19331860000000001</v>
      </c>
      <c r="Q7374">
        <v>0.16314679999999901</v>
      </c>
      <c r="R7374">
        <v>0.96747660000000002</v>
      </c>
      <c r="S7374">
        <v>0.71057130000000002</v>
      </c>
      <c r="T7374">
        <v>-0.25718150000000001</v>
      </c>
      <c r="U7374">
        <v>3.0036320000000001</v>
      </c>
      <c r="V7374">
        <v>0.16791589999999901</v>
      </c>
      <c r="W7374">
        <v>0.17651829999999999</v>
      </c>
      <c r="X7374">
        <v>0.96986879999999998</v>
      </c>
      <c r="Y7374">
        <v>0.20347119999999999</v>
      </c>
      <c r="Z7374">
        <v>-8.3233970000000004E-2</v>
      </c>
      <c r="AA7374">
        <v>0.97553659999999998</v>
      </c>
      <c r="AB7374">
        <v>28</v>
      </c>
      <c r="AC7374">
        <v>3.0580999999999601</v>
      </c>
      <c r="AD7374">
        <v>-1.1096434719329999</v>
      </c>
      <c r="AE7374">
        <v>12.684399999999901</v>
      </c>
      <c r="AF7374">
        <v>2.70034316585064</v>
      </c>
      <c r="AG7374">
        <v>-1.1096434719329999</v>
      </c>
      <c r="AH7374">
        <v>12.6695686421691</v>
      </c>
      <c r="AI7374">
        <v>94.895967795138006</v>
      </c>
      <c r="AJ7374">
        <v>77.968230912054594</v>
      </c>
      <c r="AK7374">
        <v>13.0015818817094</v>
      </c>
      <c r="AL7374">
        <v>79.832973834329707</v>
      </c>
      <c r="AM7374">
        <v>80.177602519882896</v>
      </c>
      <c r="AN7374">
        <v>0.99999997446056899</v>
      </c>
    </row>
    <row r="7375" spans="1:40" x14ac:dyDescent="0.25">
      <c r="A7375" t="str">
        <f>"20190312172552223"</f>
        <v>20190312172552223</v>
      </c>
      <c r="B7375" t="str">
        <f>"1552382752218102"</f>
        <v>1552382752218102</v>
      </c>
      <c r="C7375" t="s">
        <v>40</v>
      </c>
      <c r="D7375">
        <v>3.9513699999999998</v>
      </c>
      <c r="E7375">
        <v>0.51675459999999995</v>
      </c>
      <c r="F7375" t="s">
        <v>49</v>
      </c>
      <c r="G7375">
        <v>-183.99870000000001</v>
      </c>
      <c r="H7375" s="1">
        <v>-2.3361750000000001E-6</v>
      </c>
      <c r="I7375">
        <v>122.1648</v>
      </c>
      <c r="J7375">
        <v>-186.96899999999999</v>
      </c>
      <c r="K7375">
        <v>1.1094109999999999</v>
      </c>
      <c r="L7375">
        <v>110.1493</v>
      </c>
      <c r="M7375">
        <v>2.8098720000000001E-2</v>
      </c>
      <c r="N7375">
        <v>0</v>
      </c>
      <c r="O7375">
        <v>0.99950510000000004</v>
      </c>
      <c r="P7375">
        <v>0.1987051</v>
      </c>
      <c r="Q7375">
        <v>0.16125030000000001</v>
      </c>
      <c r="R7375">
        <v>0.96670290000000003</v>
      </c>
      <c r="S7375">
        <v>0.72727969999999997</v>
      </c>
      <c r="T7375">
        <v>-0.27087090000000003</v>
      </c>
      <c r="U7375">
        <v>3.0012050000000001</v>
      </c>
      <c r="V7375">
        <v>0.17192839999999901</v>
      </c>
      <c r="W7375">
        <v>0.17452039999999999</v>
      </c>
      <c r="X7375">
        <v>0.96952740000000004</v>
      </c>
      <c r="Y7375">
        <v>0.2072041</v>
      </c>
      <c r="Z7375">
        <v>-8.7603130000000001E-2</v>
      </c>
      <c r="AA7375">
        <v>0.9743676</v>
      </c>
      <c r="AB7375">
        <v>28</v>
      </c>
      <c r="AC7375">
        <v>2.9702999999999999</v>
      </c>
      <c r="AD7375">
        <v>-1.109413336175</v>
      </c>
      <c r="AE7375">
        <v>12.015499999999999</v>
      </c>
      <c r="AF7375">
        <v>2.6104997459872701</v>
      </c>
      <c r="AG7375">
        <v>-1.109413336175</v>
      </c>
      <c r="AH7375">
        <v>11.9978318168936</v>
      </c>
      <c r="AI7375">
        <v>95.162872756011197</v>
      </c>
      <c r="AJ7375">
        <v>77.724850661411807</v>
      </c>
      <c r="AK7375">
        <v>12.328563386735199</v>
      </c>
      <c r="AL7375">
        <v>79.9492510622526</v>
      </c>
      <c r="AM7375">
        <v>79.944153027351206</v>
      </c>
      <c r="AN7375">
        <v>1.00000006204673</v>
      </c>
    </row>
    <row r="7376" spans="1:40" x14ac:dyDescent="0.25">
      <c r="A7376" t="str">
        <f>"20190312172552247"</f>
        <v>20190312172552247</v>
      </c>
      <c r="B7376" t="str">
        <f>"1552382752237622"</f>
        <v>1552382752237622</v>
      </c>
      <c r="C7376" t="s">
        <v>40</v>
      </c>
      <c r="D7376">
        <v>3.9448259999999999</v>
      </c>
      <c r="E7376">
        <v>0.5168488</v>
      </c>
      <c r="F7376" t="s">
        <v>49</v>
      </c>
      <c r="G7376">
        <v>-184.0248</v>
      </c>
      <c r="H7376" s="1">
        <v>-2.2762380000000001E-6</v>
      </c>
      <c r="I7376">
        <v>121.9849</v>
      </c>
      <c r="J7376">
        <v>-186.95820000000001</v>
      </c>
      <c r="K7376">
        <v>1.1091489999999999</v>
      </c>
      <c r="L7376">
        <v>110.45650000000001</v>
      </c>
      <c r="M7376">
        <v>3.0113569999999999E-2</v>
      </c>
      <c r="N7376">
        <v>0</v>
      </c>
      <c r="O7376">
        <v>0.99944639999999996</v>
      </c>
      <c r="P7376">
        <v>0.2049049</v>
      </c>
      <c r="Q7376">
        <v>0.1593251</v>
      </c>
      <c r="R7376">
        <v>0.96572740000000001</v>
      </c>
      <c r="S7376">
        <v>0.74551389999999995</v>
      </c>
      <c r="T7376">
        <v>-0.28091909999999998</v>
      </c>
      <c r="U7376">
        <v>2.9969480000000002</v>
      </c>
      <c r="V7376">
        <v>0.17629500000000001</v>
      </c>
      <c r="W7376">
        <v>0.1724744</v>
      </c>
      <c r="X7376">
        <v>0.9691092</v>
      </c>
      <c r="Y7376">
        <v>0.21106829999999999</v>
      </c>
      <c r="Z7376">
        <v>-9.0839790000000004E-2</v>
      </c>
      <c r="AA7376">
        <v>0.97324120000000003</v>
      </c>
      <c r="AB7376">
        <v>28</v>
      </c>
      <c r="AC7376">
        <v>2.9333999999999998</v>
      </c>
      <c r="AD7376">
        <v>-1.109151276238</v>
      </c>
      <c r="AE7376">
        <v>11.5283999999999</v>
      </c>
      <c r="AF7376">
        <v>2.5625952825578899</v>
      </c>
      <c r="AG7376">
        <v>-1.109151276238</v>
      </c>
      <c r="AH7376">
        <v>11.5114391554488</v>
      </c>
      <c r="AI7376">
        <v>95.372856726223603</v>
      </c>
      <c r="AJ7376">
        <v>77.4498612077616</v>
      </c>
      <c r="AK7376">
        <v>11.845266673459401</v>
      </c>
      <c r="AL7376">
        <v>80.068282762240102</v>
      </c>
      <c r="AM7376">
        <v>79.689812483173597</v>
      </c>
      <c r="AN7376">
        <v>0.99999999360249903</v>
      </c>
    </row>
    <row r="7377" spans="1:40" x14ac:dyDescent="0.25">
      <c r="A7377" t="str">
        <f>"20190312172552268"</f>
        <v>20190312172552268</v>
      </c>
      <c r="B7377" t="str">
        <f>"1552382752258118"</f>
        <v>1552382752258118</v>
      </c>
      <c r="C7377" t="s">
        <v>40</v>
      </c>
      <c r="D7377">
        <v>4.030589</v>
      </c>
      <c r="E7377">
        <v>0.51671859999999903</v>
      </c>
      <c r="F7377" t="s">
        <v>49</v>
      </c>
      <c r="G7377">
        <v>-184.03550000000001</v>
      </c>
      <c r="H7377" s="1">
        <v>-2.2433760000000002E-6</v>
      </c>
      <c r="I7377">
        <v>121.883</v>
      </c>
      <c r="J7377">
        <v>-186.9479</v>
      </c>
      <c r="K7377">
        <v>1.1089450000000001</v>
      </c>
      <c r="L7377">
        <v>110.7282</v>
      </c>
      <c r="M7377">
        <v>3.2139710000000002E-2</v>
      </c>
      <c r="N7377">
        <v>0</v>
      </c>
      <c r="O7377">
        <v>0.99938320000000003</v>
      </c>
      <c r="P7377">
        <v>0.21148639999999999</v>
      </c>
      <c r="Q7377">
        <v>0.1583251</v>
      </c>
      <c r="R7377">
        <v>0.9644722</v>
      </c>
      <c r="S7377">
        <v>0.765304599999999</v>
      </c>
      <c r="T7377">
        <v>-0.29042770000000001</v>
      </c>
      <c r="U7377">
        <v>2.9920040000000001</v>
      </c>
      <c r="V7377">
        <v>0.18102399999999999</v>
      </c>
      <c r="W7377">
        <v>0.171364299999999</v>
      </c>
      <c r="X7377">
        <v>0.96843409999999996</v>
      </c>
      <c r="Y7377">
        <v>0.21544289999999999</v>
      </c>
      <c r="Z7377">
        <v>-9.3907909999999997E-2</v>
      </c>
      <c r="AA7377">
        <v>0.97199060000000004</v>
      </c>
      <c r="AB7377">
        <v>28</v>
      </c>
      <c r="AC7377">
        <v>2.9123999999999901</v>
      </c>
      <c r="AD7377">
        <v>-1.1089472433759999</v>
      </c>
      <c r="AE7377">
        <v>11.1547999999999</v>
      </c>
      <c r="AF7377">
        <v>2.5289480975423002</v>
      </c>
      <c r="AG7377">
        <v>-1.1089472433759999</v>
      </c>
      <c r="AH7377">
        <v>11.1395802970373</v>
      </c>
      <c r="AI7377">
        <v>95.544891458385393</v>
      </c>
      <c r="AJ7377">
        <v>77.209305200492906</v>
      </c>
      <c r="AK7377">
        <v>11.476741334664499</v>
      </c>
      <c r="AL7377">
        <v>80.132848276148707</v>
      </c>
      <c r="AM7377">
        <v>79.412205325978306</v>
      </c>
      <c r="AN7377">
        <v>1.0000000089666401</v>
      </c>
    </row>
    <row r="7378" spans="1:40" x14ac:dyDescent="0.25">
      <c r="A7378" t="str">
        <f>"20190312172552282"</f>
        <v>20190312172552282</v>
      </c>
      <c r="B7378" t="str">
        <f>"1552382752277638"</f>
        <v>1552382752277638</v>
      </c>
      <c r="C7378" t="s">
        <v>40</v>
      </c>
      <c r="D7378">
        <v>4.0402670000000001</v>
      </c>
      <c r="E7378">
        <v>0.51662529999999995</v>
      </c>
      <c r="F7378" t="s">
        <v>49</v>
      </c>
      <c r="G7378">
        <v>-184.00919999999999</v>
      </c>
      <c r="H7378" s="1">
        <v>-2.2606340000000001E-6</v>
      </c>
      <c r="I7378">
        <v>121.9178</v>
      </c>
      <c r="J7378">
        <v>-186.94120000000001</v>
      </c>
      <c r="K7378">
        <v>1.1088279999999999</v>
      </c>
      <c r="L7378">
        <v>110.8963</v>
      </c>
      <c r="M7378">
        <v>3.3489150000000002E-2</v>
      </c>
      <c r="N7378">
        <v>0</v>
      </c>
      <c r="O7378">
        <v>0.99933890000000003</v>
      </c>
      <c r="P7378">
        <v>0.215308</v>
      </c>
      <c r="Q7378">
        <v>0.157972</v>
      </c>
      <c r="R7378">
        <v>0.96368430000000005</v>
      </c>
      <c r="S7378">
        <v>0.78450010000000003</v>
      </c>
      <c r="T7378">
        <v>-0.29603559999999901</v>
      </c>
      <c r="U7378">
        <v>2.9870909999999999</v>
      </c>
      <c r="V7378">
        <v>0.18360489999999999</v>
      </c>
      <c r="W7378">
        <v>0.17094719999999999</v>
      </c>
      <c r="X7378">
        <v>0.96802189999999999</v>
      </c>
      <c r="Y7378">
        <v>0.22031419999999999</v>
      </c>
      <c r="Z7378">
        <v>-9.5721000000000001E-2</v>
      </c>
      <c r="AA7378">
        <v>0.9707209</v>
      </c>
      <c r="AB7378">
        <v>28</v>
      </c>
      <c r="AC7378">
        <v>2.9320000000000102</v>
      </c>
      <c r="AD7378">
        <v>-1.1088302606339999</v>
      </c>
      <c r="AE7378">
        <v>11.0215</v>
      </c>
      <c r="AF7378">
        <v>2.53723389362198</v>
      </c>
      <c r="AG7378">
        <v>-1.1088302606339999</v>
      </c>
      <c r="AH7378">
        <v>11.009448359579499</v>
      </c>
      <c r="AI7378">
        <v>95.605267165821999</v>
      </c>
      <c r="AJ7378">
        <v>77.022223799202294</v>
      </c>
      <c r="AK7378">
        <v>11.352313136981801</v>
      </c>
      <c r="AL7378">
        <v>80.157104692204598</v>
      </c>
      <c r="AM7378">
        <v>79.260272200325304</v>
      </c>
      <c r="AN7378">
        <v>1.0000000516857199</v>
      </c>
    </row>
    <row r="7379" spans="1:40" x14ac:dyDescent="0.25">
      <c r="A7379" t="str">
        <f>"20190312172552294"</f>
        <v>20190312172552294</v>
      </c>
      <c r="B7379" t="str">
        <f>"1552382752287398"</f>
        <v>1552382752287398</v>
      </c>
      <c r="C7379" t="s">
        <v>40</v>
      </c>
      <c r="D7379">
        <v>4.0205199999999897</v>
      </c>
      <c r="E7379">
        <v>0.51660790000000001</v>
      </c>
      <c r="F7379" t="s">
        <v>49</v>
      </c>
      <c r="G7379">
        <v>-183.98490000000001</v>
      </c>
      <c r="H7379" s="1">
        <v>-2.2885039999999999E-6</v>
      </c>
      <c r="I7379">
        <v>121.9906</v>
      </c>
      <c r="J7379">
        <v>-186.93430000000001</v>
      </c>
      <c r="K7379">
        <v>1.1087279999999999</v>
      </c>
      <c r="L7379">
        <v>111.0565</v>
      </c>
      <c r="M7379">
        <v>3.489838E-2</v>
      </c>
      <c r="N7379">
        <v>0</v>
      </c>
      <c r="O7379">
        <v>0.99929060000000003</v>
      </c>
      <c r="P7379">
        <v>0.21960389999999999</v>
      </c>
      <c r="Q7379">
        <v>0.1577897</v>
      </c>
      <c r="R7379">
        <v>0.9627443</v>
      </c>
      <c r="S7379">
        <v>0.79521180000000002</v>
      </c>
      <c r="T7379">
        <v>-0.2982689</v>
      </c>
      <c r="U7379">
        <v>2.984283</v>
      </c>
      <c r="V7379">
        <v>0.18660209999999999</v>
      </c>
      <c r="W7379">
        <v>0.17070289999999999</v>
      </c>
      <c r="X7379">
        <v>0.96749169999999995</v>
      </c>
      <c r="Y7379">
        <v>0.22240109999999999</v>
      </c>
      <c r="Z7379">
        <v>-9.6449889999999996E-2</v>
      </c>
      <c r="AA7379">
        <v>0.97017279999999995</v>
      </c>
      <c r="AB7379">
        <v>28</v>
      </c>
      <c r="AC7379">
        <v>2.94939999999999</v>
      </c>
      <c r="AD7379">
        <v>-1.108730288504</v>
      </c>
      <c r="AE7379">
        <v>10.934100000000001</v>
      </c>
      <c r="AF7379">
        <v>2.5416215351394098</v>
      </c>
      <c r="AG7379">
        <v>-1.108730288504</v>
      </c>
      <c r="AH7379">
        <v>10.925657797689</v>
      </c>
      <c r="AI7379">
        <v>95.644798062127407</v>
      </c>
      <c r="AJ7379">
        <v>76.904271782861301</v>
      </c>
      <c r="AK7379">
        <v>11.272050443141801</v>
      </c>
      <c r="AL7379">
        <v>80.171310414840605</v>
      </c>
      <c r="AM7379">
        <v>79.083294513257798</v>
      </c>
      <c r="AN7379">
        <v>1.0000000066808501</v>
      </c>
    </row>
    <row r="7380" spans="1:40" x14ac:dyDescent="0.25">
      <c r="A7380" t="str">
        <f>"20190312172552312"</f>
        <v>20190312172552312</v>
      </c>
      <c r="B7380" t="str">
        <f>"1552382752307894"</f>
        <v>1552382752307894</v>
      </c>
      <c r="C7380" t="s">
        <v>40</v>
      </c>
      <c r="D7380">
        <v>4.02311</v>
      </c>
      <c r="E7380">
        <v>0.51657839999999999</v>
      </c>
      <c r="F7380" t="s">
        <v>49</v>
      </c>
      <c r="G7380">
        <v>-183.94739999999999</v>
      </c>
      <c r="H7380" s="1">
        <v>-2.3253220000000002E-6</v>
      </c>
      <c r="I7380">
        <v>122.08159999999999</v>
      </c>
      <c r="J7380">
        <v>-186.92439999999999</v>
      </c>
      <c r="K7380">
        <v>1.108603</v>
      </c>
      <c r="L7380">
        <v>111.2801</v>
      </c>
      <c r="M7380">
        <v>3.6965909999999998E-2</v>
      </c>
      <c r="N7380">
        <v>0</v>
      </c>
      <c r="O7380">
        <v>0.99921629999999995</v>
      </c>
      <c r="P7380">
        <v>0.22783239999999999</v>
      </c>
      <c r="Q7380">
        <v>0.15788460000000001</v>
      </c>
      <c r="R7380">
        <v>0.96081470000000002</v>
      </c>
      <c r="S7380">
        <v>0.80763240000000003</v>
      </c>
      <c r="T7380">
        <v>-0.29978250000000001</v>
      </c>
      <c r="U7380">
        <v>2.9810029999999998</v>
      </c>
      <c r="V7380">
        <v>0.192943</v>
      </c>
      <c r="W7380">
        <v>0.1706954</v>
      </c>
      <c r="X7380">
        <v>0.96624849999999995</v>
      </c>
      <c r="Y7380">
        <v>0.22440669999999999</v>
      </c>
      <c r="Z7380">
        <v>-9.6952209999999997E-2</v>
      </c>
      <c r="AA7380">
        <v>0.96966070000000004</v>
      </c>
      <c r="AB7380">
        <v>28</v>
      </c>
      <c r="AC7380">
        <v>2.9769999999999999</v>
      </c>
      <c r="AD7380">
        <v>-1.1086053253219901</v>
      </c>
      <c r="AE7380">
        <v>10.8014999999999</v>
      </c>
      <c r="AF7380">
        <v>2.5506662166274299</v>
      </c>
      <c r="AG7380">
        <v>-1.1086053253219901</v>
      </c>
      <c r="AH7380">
        <v>10.7984560253305</v>
      </c>
      <c r="AI7380">
        <v>95.705707264396395</v>
      </c>
      <c r="AJ7380">
        <v>76.709953256851193</v>
      </c>
      <c r="AK7380">
        <v>11.1508545164473</v>
      </c>
      <c r="AL7380">
        <v>80.171746887480893</v>
      </c>
      <c r="AM7380">
        <v>78.707555549691193</v>
      </c>
      <c r="AN7380">
        <v>1.0000000422912001</v>
      </c>
    </row>
    <row r="7381" spans="1:40" x14ac:dyDescent="0.25">
      <c r="A7381" t="str">
        <f>"20190312172552325"</f>
        <v>20190312172552325</v>
      </c>
      <c r="B7381" t="str">
        <f>"1552382752317655"</f>
        <v>1552382752317655</v>
      </c>
      <c r="C7381" t="s">
        <v>40</v>
      </c>
      <c r="D7381">
        <v>4.0470230000000003</v>
      </c>
      <c r="E7381">
        <v>0.51657839999999999</v>
      </c>
      <c r="F7381" t="s">
        <v>49</v>
      </c>
      <c r="G7381">
        <v>-183.86349999999999</v>
      </c>
      <c r="H7381" s="1">
        <v>-2.3921989999999999E-6</v>
      </c>
      <c r="I7381">
        <v>122.2329</v>
      </c>
      <c r="J7381">
        <v>-186.91669999999999</v>
      </c>
      <c r="K7381">
        <v>1.1085130000000001</v>
      </c>
      <c r="L7381">
        <v>111.4457</v>
      </c>
      <c r="M7381">
        <v>3.8575900000000003E-2</v>
      </c>
      <c r="N7381">
        <v>0</v>
      </c>
      <c r="O7381">
        <v>0.99915529999999997</v>
      </c>
      <c r="P7381">
        <v>0.23258139999999999</v>
      </c>
      <c r="Q7381">
        <v>0.15812219999999999</v>
      </c>
      <c r="R7381">
        <v>0.95963699999999996</v>
      </c>
      <c r="S7381">
        <v>0.83131409999999994</v>
      </c>
      <c r="T7381">
        <v>-0.301087099999999</v>
      </c>
      <c r="U7381">
        <v>2.974701</v>
      </c>
      <c r="V7381">
        <v>0.1962112</v>
      </c>
      <c r="W7381">
        <v>0.17086680000000001</v>
      </c>
      <c r="X7381">
        <v>0.96555979999999997</v>
      </c>
      <c r="Y7381">
        <v>0.23051450000000001</v>
      </c>
      <c r="Z7381">
        <v>-9.7387570000000007E-2</v>
      </c>
      <c r="AA7381">
        <v>0.96818320000000002</v>
      </c>
      <c r="AB7381">
        <v>28</v>
      </c>
      <c r="AC7381">
        <v>3.0531999999999999</v>
      </c>
      <c r="AD7381">
        <v>-1.1085153921990001</v>
      </c>
      <c r="AE7381">
        <v>10.7872</v>
      </c>
      <c r="AF7381">
        <v>2.6092491209499298</v>
      </c>
      <c r="AG7381">
        <v>-1.1085153921990001</v>
      </c>
      <c r="AH7381">
        <v>10.791454844108401</v>
      </c>
      <c r="AI7381">
        <v>95.701771970511501</v>
      </c>
      <c r="AJ7381">
        <v>76.407416428636907</v>
      </c>
      <c r="AK7381">
        <v>11.157620042031899</v>
      </c>
      <c r="AL7381">
        <v>80.161779674800599</v>
      </c>
      <c r="AM7381">
        <v>78.513343353948002</v>
      </c>
      <c r="AN7381">
        <v>1.00000001286186</v>
      </c>
    </row>
    <row r="7382" spans="1:40" x14ac:dyDescent="0.25">
      <c r="A7382" t="str">
        <f>"20190312172552347"</f>
        <v>20190312172552347</v>
      </c>
      <c r="B7382" t="str">
        <f>"1552382752337687"</f>
        <v>1552382752337687</v>
      </c>
      <c r="C7382" t="s">
        <v>40</v>
      </c>
      <c r="D7382">
        <v>4.0623769999999997</v>
      </c>
      <c r="E7382">
        <v>0.5445856</v>
      </c>
      <c r="F7382" t="s">
        <v>49</v>
      </c>
      <c r="G7382">
        <v>-183.7987</v>
      </c>
      <c r="H7382" s="1">
        <v>-2.4600780000000002E-6</v>
      </c>
      <c r="I7382">
        <v>122.4049</v>
      </c>
      <c r="J7382">
        <v>-186.90299999999999</v>
      </c>
      <c r="K7382">
        <v>1.108374</v>
      </c>
      <c r="L7382">
        <v>111.7218</v>
      </c>
      <c r="M7382">
        <v>4.1416469999999997E-2</v>
      </c>
      <c r="N7382">
        <v>0</v>
      </c>
      <c r="O7382">
        <v>0.99904159999999997</v>
      </c>
      <c r="P7382">
        <v>0.24235229999999999</v>
      </c>
      <c r="Q7382">
        <v>0.15913929999999901</v>
      </c>
      <c r="R7382">
        <v>0.9570476</v>
      </c>
      <c r="S7382">
        <v>0.84521480000000004</v>
      </c>
      <c r="T7382">
        <v>-0.30049769999999998</v>
      </c>
      <c r="U7382">
        <v>2.9708399999999999</v>
      </c>
      <c r="V7382">
        <v>0.2033915</v>
      </c>
      <c r="W7382">
        <v>0.17176129999999901</v>
      </c>
      <c r="X7382">
        <v>0.96391389999999999</v>
      </c>
      <c r="Y7382">
        <v>0.23227510000000001</v>
      </c>
      <c r="Z7382">
        <v>-9.7221829999999995E-2</v>
      </c>
      <c r="AA7382">
        <v>0.96777899999999994</v>
      </c>
      <c r="AB7382">
        <v>28</v>
      </c>
      <c r="AC7382">
        <v>3.1042999999999901</v>
      </c>
      <c r="AD7382">
        <v>-1.1083764600779999</v>
      </c>
      <c r="AE7382">
        <v>10.6830999999999</v>
      </c>
      <c r="AF7382">
        <v>2.6329999741507799</v>
      </c>
      <c r="AG7382">
        <v>-1.1083764600779999</v>
      </c>
      <c r="AH7382">
        <v>10.696341552337101</v>
      </c>
      <c r="AI7382">
        <v>95.745671843179196</v>
      </c>
      <c r="AJ7382">
        <v>76.171074473448797</v>
      </c>
      <c r="AK7382">
        <v>11.071265051717701</v>
      </c>
      <c r="AL7382">
        <v>80.109759694475301</v>
      </c>
      <c r="AM7382">
        <v>78.085033673804205</v>
      </c>
      <c r="AN7382">
        <v>1.0000000265315701</v>
      </c>
    </row>
    <row r="7383" spans="1:40" x14ac:dyDescent="0.25">
      <c r="A7383" t="str">
        <f>"20190312172552368"</f>
        <v>20190312172552368</v>
      </c>
      <c r="B7383" t="str">
        <f>"1552382752357204"</f>
        <v>1552382752357204</v>
      </c>
      <c r="C7383" t="s">
        <v>40</v>
      </c>
      <c r="D7383">
        <v>4.0732229999999996</v>
      </c>
      <c r="E7383">
        <v>0.55207069999999903</v>
      </c>
      <c r="F7383" t="s">
        <v>49</v>
      </c>
      <c r="G7383">
        <v>-182.57679999999999</v>
      </c>
      <c r="H7383" s="1">
        <v>-3.0322660000000001E-6</v>
      </c>
      <c r="I7383">
        <v>123.24379999999999</v>
      </c>
      <c r="J7383">
        <v>-186.8886</v>
      </c>
      <c r="K7383">
        <v>1.10826</v>
      </c>
      <c r="L7383">
        <v>111.9936</v>
      </c>
      <c r="M7383">
        <v>4.4349359999999997E-2</v>
      </c>
      <c r="N7383">
        <v>0</v>
      </c>
      <c r="O7383">
        <v>0.99891569999999996</v>
      </c>
      <c r="P7383">
        <v>0.25263229999999998</v>
      </c>
      <c r="Q7383">
        <v>0.15976189999999901</v>
      </c>
      <c r="R7383">
        <v>0.95428139999999995</v>
      </c>
      <c r="S7383">
        <v>1.0906979999999999</v>
      </c>
      <c r="T7383">
        <v>-0.27944200000000002</v>
      </c>
      <c r="U7383">
        <v>2.9049070000000001</v>
      </c>
      <c r="V7383">
        <v>0.21100050000000001</v>
      </c>
      <c r="W7383">
        <v>0.1722611</v>
      </c>
      <c r="X7383">
        <v>0.96218749999999997</v>
      </c>
      <c r="Y7383">
        <v>0.3082066</v>
      </c>
      <c r="Z7383">
        <v>-9.02366E-2</v>
      </c>
      <c r="AA7383">
        <v>0.94703009999999999</v>
      </c>
      <c r="AB7383">
        <v>28</v>
      </c>
      <c r="AC7383">
        <v>4.3117999999999999</v>
      </c>
      <c r="AD7383">
        <v>-1.1082630322660001</v>
      </c>
      <c r="AE7383">
        <v>11.2501999999999</v>
      </c>
      <c r="AF7383">
        <v>3.7766120130332301</v>
      </c>
      <c r="AG7383">
        <v>-1.1082630322660001</v>
      </c>
      <c r="AH7383">
        <v>11.3344676598789</v>
      </c>
      <c r="AI7383">
        <v>95.299833663921007</v>
      </c>
      <c r="AJ7383">
        <v>71.572075322560195</v>
      </c>
      <c r="AK7383">
        <v>11.9983833235364</v>
      </c>
      <c r="AL7383">
        <v>80.080689126714802</v>
      </c>
      <c r="AM7383">
        <v>77.631252701721493</v>
      </c>
      <c r="AN7383">
        <v>0.99999994136485304</v>
      </c>
    </row>
    <row r="7384" spans="1:40" x14ac:dyDescent="0.25">
      <c r="A7384" t="str">
        <f>"20190312172552381"</f>
        <v>20190312172552381</v>
      </c>
      <c r="B7384" t="str">
        <f>"1552382752377700"</f>
        <v>1552382752377700</v>
      </c>
      <c r="C7384" t="s">
        <v>40</v>
      </c>
      <c r="D7384">
        <v>4.0812999999999997</v>
      </c>
      <c r="E7384">
        <v>0.55484809999999996</v>
      </c>
      <c r="F7384" t="s">
        <v>49</v>
      </c>
      <c r="G7384">
        <v>-181.97460000000001</v>
      </c>
      <c r="H7384" s="1">
        <v>-3.5092459999999998E-6</v>
      </c>
      <c r="I7384">
        <v>123.99</v>
      </c>
      <c r="J7384">
        <v>-186.87989999999999</v>
      </c>
      <c r="K7384">
        <v>1.108198</v>
      </c>
      <c r="L7384">
        <v>112.15049999999999</v>
      </c>
      <c r="M7384">
        <v>4.6082480000000002E-2</v>
      </c>
      <c r="N7384">
        <v>0</v>
      </c>
      <c r="O7384">
        <v>0.99883719999999998</v>
      </c>
      <c r="P7384">
        <v>0.25802340000000001</v>
      </c>
      <c r="Q7384">
        <v>0.16002130000000001</v>
      </c>
      <c r="R7384">
        <v>0.95279440000000004</v>
      </c>
      <c r="S7384">
        <v>1.1781919999999999</v>
      </c>
      <c r="T7384">
        <v>-0.2657195</v>
      </c>
      <c r="U7384">
        <v>2.8762970000000001</v>
      </c>
      <c r="V7384">
        <v>0.21480830000000001</v>
      </c>
      <c r="W7384">
        <v>0.172456</v>
      </c>
      <c r="X7384">
        <v>0.96130970000000004</v>
      </c>
      <c r="Y7384">
        <v>0.33460909999999999</v>
      </c>
      <c r="Z7384">
        <v>-8.5765229999999998E-2</v>
      </c>
      <c r="AA7384">
        <v>0.93844609999999995</v>
      </c>
      <c r="AB7384">
        <v>28</v>
      </c>
      <c r="AC7384">
        <v>4.90529999999998</v>
      </c>
      <c r="AD7384">
        <v>-1.108201509246</v>
      </c>
      <c r="AE7384">
        <v>11.839499999999999</v>
      </c>
      <c r="AF7384">
        <v>4.3221198334957904</v>
      </c>
      <c r="AG7384">
        <v>-1.108201509246</v>
      </c>
      <c r="AH7384">
        <v>11.963530650043699</v>
      </c>
      <c r="AI7384">
        <v>94.979065498115204</v>
      </c>
      <c r="AJ7384">
        <v>70.136499074769006</v>
      </c>
      <c r="AK7384">
        <v>12.7685118966436</v>
      </c>
      <c r="AL7384">
        <v>80.069353191515305</v>
      </c>
      <c r="AM7384">
        <v>77.403966623317601</v>
      </c>
      <c r="AN7384">
        <v>1.00000000849949</v>
      </c>
    </row>
    <row r="7385" spans="1:40" x14ac:dyDescent="0.25">
      <c r="A7385" t="str">
        <f>"20190312172552401"</f>
        <v>20190312172552401</v>
      </c>
      <c r="B7385" t="str">
        <f>"1552382752398197"</f>
        <v>1552382752398197</v>
      </c>
      <c r="C7385" t="s">
        <v>40</v>
      </c>
      <c r="D7385">
        <v>4.0682289999999997</v>
      </c>
      <c r="E7385">
        <v>0.55581400000000003</v>
      </c>
      <c r="F7385" t="s">
        <v>49</v>
      </c>
      <c r="G7385">
        <v>-181.7062</v>
      </c>
      <c r="H7385" s="1">
        <v>-3.7391700000000001E-6</v>
      </c>
      <c r="I7385">
        <v>124.3413</v>
      </c>
      <c r="J7385">
        <v>-186.8655</v>
      </c>
      <c r="K7385">
        <v>1.1081219999999901</v>
      </c>
      <c r="L7385">
        <v>112.3976</v>
      </c>
      <c r="M7385">
        <v>4.889226E-2</v>
      </c>
      <c r="N7385">
        <v>0</v>
      </c>
      <c r="O7385">
        <v>0.99870349999999997</v>
      </c>
      <c r="P7385">
        <v>0.26876630000000001</v>
      </c>
      <c r="Q7385">
        <v>0.16033800000000001</v>
      </c>
      <c r="R7385">
        <v>0.94976649999999996</v>
      </c>
      <c r="S7385">
        <v>1.2151639999999999</v>
      </c>
      <c r="T7385">
        <v>-0.26028479999999998</v>
      </c>
      <c r="U7385">
        <v>2.8632659999999999</v>
      </c>
      <c r="V7385">
        <v>0.22301009999999999</v>
      </c>
      <c r="W7385">
        <v>0.17265800000000001</v>
      </c>
      <c r="X7385">
        <v>0.95940380000000003</v>
      </c>
      <c r="Y7385">
        <v>0.34381479999999998</v>
      </c>
      <c r="Z7385">
        <v>-8.4014249999999999E-2</v>
      </c>
      <c r="AA7385">
        <v>0.93527159999999998</v>
      </c>
      <c r="AB7385">
        <v>28</v>
      </c>
      <c r="AC7385">
        <v>5.1593</v>
      </c>
      <c r="AD7385">
        <v>-1.1081257391699999</v>
      </c>
      <c r="AE7385">
        <v>11.9437</v>
      </c>
      <c r="AF7385">
        <v>4.5362082511459798</v>
      </c>
      <c r="AG7385">
        <v>-1.1081257391699999</v>
      </c>
      <c r="AH7385">
        <v>12.093954816859</v>
      </c>
      <c r="AI7385">
        <v>94.903410983648698</v>
      </c>
      <c r="AJ7385">
        <v>69.439904442307395</v>
      </c>
      <c r="AK7385">
        <v>12.9641378835541</v>
      </c>
      <c r="AL7385">
        <v>80.057602807572906</v>
      </c>
      <c r="AM7385">
        <v>76.9141728394833</v>
      </c>
      <c r="AN7385">
        <v>0.99999997056022405</v>
      </c>
    </row>
    <row r="7386" spans="1:40" x14ac:dyDescent="0.25">
      <c r="A7386" t="str">
        <f>"20190312172552425"</f>
        <v>20190312172552425</v>
      </c>
      <c r="B7386" t="str">
        <f>"1552382752417719"</f>
        <v>1552382752417719</v>
      </c>
      <c r="C7386" t="s">
        <v>40</v>
      </c>
      <c r="D7386">
        <v>4.1154929999999998</v>
      </c>
      <c r="E7386">
        <v>0.55645199999999995</v>
      </c>
      <c r="F7386" t="s">
        <v>49</v>
      </c>
      <c r="G7386">
        <v>-181.49590000000001</v>
      </c>
      <c r="H7386" s="1">
        <v>-3.9124979999999998E-6</v>
      </c>
      <c r="I7386">
        <v>124.6041</v>
      </c>
      <c r="J7386">
        <v>-186.84719999999999</v>
      </c>
      <c r="K7386">
        <v>1.108047</v>
      </c>
      <c r="L7386">
        <v>112.6934</v>
      </c>
      <c r="M7386">
        <v>5.2348369999999998E-2</v>
      </c>
      <c r="N7386">
        <v>0</v>
      </c>
      <c r="O7386">
        <v>0.99852830000000004</v>
      </c>
      <c r="P7386">
        <v>0.27998899999999999</v>
      </c>
      <c r="Q7386">
        <v>0.15958989999999901</v>
      </c>
      <c r="R7386">
        <v>0.94664530000000002</v>
      </c>
      <c r="S7386">
        <v>1.2527469999999901</v>
      </c>
      <c r="T7386">
        <v>-0.25853039999999999</v>
      </c>
      <c r="U7386">
        <v>2.8478089999999998</v>
      </c>
      <c r="V7386">
        <v>0.231077</v>
      </c>
      <c r="W7386">
        <v>0.17179839999999999</v>
      </c>
      <c r="X7386">
        <v>0.95764749999999998</v>
      </c>
      <c r="Y7386">
        <v>0.352784599999999</v>
      </c>
      <c r="Z7386">
        <v>-8.3490560000000005E-2</v>
      </c>
      <c r="AA7386">
        <v>0.93197229999999998</v>
      </c>
      <c r="AB7386">
        <v>28</v>
      </c>
      <c r="AC7386">
        <v>5.3512999999999797</v>
      </c>
      <c r="AD7386">
        <v>-1.108050912498</v>
      </c>
      <c r="AE7386">
        <v>11.9107</v>
      </c>
      <c r="AF7386">
        <v>4.6866444409558197</v>
      </c>
      <c r="AG7386">
        <v>-1.108050912498</v>
      </c>
      <c r="AH7386">
        <v>12.087483925141299</v>
      </c>
      <c r="AI7386">
        <v>94.885180378967206</v>
      </c>
      <c r="AJ7386">
        <v>68.807340900293497</v>
      </c>
      <c r="AK7386">
        <v>13.0115210710039</v>
      </c>
      <c r="AL7386">
        <v>80.107601704000501</v>
      </c>
      <c r="AM7386">
        <v>76.434048592342293</v>
      </c>
      <c r="AN7386">
        <v>1.0000000022139</v>
      </c>
    </row>
    <row r="7387" spans="1:40" x14ac:dyDescent="0.25">
      <c r="A7387" t="str">
        <f>"20190312172552436"</f>
        <v>20190312172552436</v>
      </c>
      <c r="B7387" t="str">
        <f>"1552382752427475"</f>
        <v>1552382752427475</v>
      </c>
      <c r="C7387" t="s">
        <v>40</v>
      </c>
      <c r="D7387">
        <v>4.08561</v>
      </c>
      <c r="E7387">
        <v>0.55648790000000004</v>
      </c>
      <c r="F7387" t="s">
        <v>49</v>
      </c>
      <c r="G7387">
        <v>-181.38149999999999</v>
      </c>
      <c r="H7387" s="1">
        <v>-3.9564809999999998E-6</v>
      </c>
      <c r="I7387">
        <v>124.69840000000001</v>
      </c>
      <c r="J7387">
        <v>-186.83750000000001</v>
      </c>
      <c r="K7387">
        <v>1.108009</v>
      </c>
      <c r="L7387">
        <v>112.84399999999999</v>
      </c>
      <c r="M7387">
        <v>5.4141700000000001E-2</v>
      </c>
      <c r="N7387">
        <v>0</v>
      </c>
      <c r="O7387">
        <v>0.99843269999999995</v>
      </c>
      <c r="P7387">
        <v>0.28535969999999999</v>
      </c>
      <c r="Q7387">
        <v>0.158726799999999</v>
      </c>
      <c r="R7387">
        <v>0.94518550000000001</v>
      </c>
      <c r="S7387">
        <v>1.289291</v>
      </c>
      <c r="T7387">
        <v>-0.2613742</v>
      </c>
      <c r="U7387">
        <v>2.8318180000000002</v>
      </c>
      <c r="V7387">
        <v>0.23480210000000001</v>
      </c>
      <c r="W7387">
        <v>0.17088519999999999</v>
      </c>
      <c r="X7387">
        <v>0.95690450000000005</v>
      </c>
      <c r="Y7387">
        <v>0.36299910000000002</v>
      </c>
      <c r="Z7387">
        <v>-8.4438750000000007E-2</v>
      </c>
      <c r="AA7387">
        <v>0.92795570000000005</v>
      </c>
      <c r="AB7387">
        <v>28</v>
      </c>
      <c r="AC7387">
        <v>5.4560000000000102</v>
      </c>
      <c r="AD7387">
        <v>-1.108012956481</v>
      </c>
      <c r="AE7387">
        <v>11.8544</v>
      </c>
      <c r="AF7387">
        <v>4.7717137007552104</v>
      </c>
      <c r="AG7387">
        <v>-1.108012956481</v>
      </c>
      <c r="AH7387">
        <v>12.0455966012149</v>
      </c>
      <c r="AI7387">
        <v>94.887999476247998</v>
      </c>
      <c r="AJ7387">
        <v>68.389619532249</v>
      </c>
      <c r="AK7387">
        <v>13.0035895749176</v>
      </c>
      <c r="AL7387">
        <v>80.160709567312296</v>
      </c>
      <c r="AM7387">
        <v>76.213338162212594</v>
      </c>
      <c r="AN7387">
        <v>0.99999999993184996</v>
      </c>
    </row>
    <row r="7388" spans="1:40" x14ac:dyDescent="0.25">
      <c r="A7388" t="str">
        <f>"20190312172552458"</f>
        <v>20190312172552458</v>
      </c>
      <c r="B7388" t="str">
        <f>"1552382752447972"</f>
        <v>1552382752447972</v>
      </c>
      <c r="C7388" t="s">
        <v>40</v>
      </c>
      <c r="D7388">
        <v>4.0581909999999999</v>
      </c>
      <c r="E7388">
        <v>0.55647139999999995</v>
      </c>
      <c r="F7388" t="s">
        <v>49</v>
      </c>
      <c r="G7388">
        <v>-181.36199999999999</v>
      </c>
      <c r="H7388" s="1">
        <v>-3.9584180000000002E-6</v>
      </c>
      <c r="I7388">
        <v>124.6955</v>
      </c>
      <c r="J7388">
        <v>-186.81899999999999</v>
      </c>
      <c r="K7388">
        <v>1.1079509999999999</v>
      </c>
      <c r="L7388">
        <v>113.1182</v>
      </c>
      <c r="M7388">
        <v>5.7444660000000002E-2</v>
      </c>
      <c r="N7388">
        <v>0</v>
      </c>
      <c r="O7388">
        <v>0.99824809999999997</v>
      </c>
      <c r="P7388">
        <v>0.2960739</v>
      </c>
      <c r="Q7388">
        <v>0.15707769999999999</v>
      </c>
      <c r="R7388">
        <v>0.94216080000000002</v>
      </c>
      <c r="S7388">
        <v>1.3048709999999999</v>
      </c>
      <c r="T7388">
        <v>-0.26405479999999998</v>
      </c>
      <c r="U7388">
        <v>2.8243559999999999</v>
      </c>
      <c r="V7388">
        <v>0.24250669999999999</v>
      </c>
      <c r="W7388">
        <v>0.1691395</v>
      </c>
      <c r="X7388">
        <v>0.95529169999999997</v>
      </c>
      <c r="Y7388">
        <v>0.36503629999999998</v>
      </c>
      <c r="Z7388">
        <v>-8.5348999999999994E-2</v>
      </c>
      <c r="AA7388">
        <v>0.92707280000000003</v>
      </c>
      <c r="AB7388">
        <v>28</v>
      </c>
      <c r="AC7388">
        <v>5.4570000000000203</v>
      </c>
      <c r="AD7388">
        <v>-1.107954958418</v>
      </c>
      <c r="AE7388">
        <v>11.5772999999999</v>
      </c>
      <c r="AF7388">
        <v>4.7472913438377997</v>
      </c>
      <c r="AG7388">
        <v>-1.107954958418</v>
      </c>
      <c r="AH7388">
        <v>11.783384260862301</v>
      </c>
      <c r="AI7388">
        <v>94.984432633308501</v>
      </c>
      <c r="AJ7388">
        <v>68.056474099859798</v>
      </c>
      <c r="AK7388">
        <v>12.751960003556199</v>
      </c>
      <c r="AL7388">
        <v>80.262207970878407</v>
      </c>
      <c r="AM7388">
        <v>75.755999845776998</v>
      </c>
      <c r="AN7388">
        <v>0.999999951047013</v>
      </c>
    </row>
    <row r="7389" spans="1:40" x14ac:dyDescent="0.25">
      <c r="A7389" t="str">
        <f>"20190312172552479"</f>
        <v>20190312172552479</v>
      </c>
      <c r="B7389" t="str">
        <f>"1552382752467491"</f>
        <v>1552382752467491</v>
      </c>
      <c r="C7389" t="s">
        <v>40</v>
      </c>
      <c r="D7389">
        <v>4.0196009999999998</v>
      </c>
      <c r="E7389">
        <v>0.55634289999999997</v>
      </c>
      <c r="F7389" t="s">
        <v>49</v>
      </c>
      <c r="G7389">
        <v>-181.31729999999999</v>
      </c>
      <c r="H7389" s="1">
        <v>-3.9631549999999998E-6</v>
      </c>
      <c r="I7389">
        <v>124.6897</v>
      </c>
      <c r="J7389">
        <v>-186.80109999999999</v>
      </c>
      <c r="K7389">
        <v>1.107904</v>
      </c>
      <c r="L7389">
        <v>113.3723</v>
      </c>
      <c r="M7389">
        <v>6.0552439999999999E-2</v>
      </c>
      <c r="N7389">
        <v>0</v>
      </c>
      <c r="O7389">
        <v>0.99806439999999996</v>
      </c>
      <c r="P7389">
        <v>0.30459219999999998</v>
      </c>
      <c r="Q7389">
        <v>0.15592800000000001</v>
      </c>
      <c r="R7389">
        <v>0.93963300000000005</v>
      </c>
      <c r="S7389">
        <v>1.335693</v>
      </c>
      <c r="T7389">
        <v>-0.26898480000000002</v>
      </c>
      <c r="U7389">
        <v>2.8092800000000002</v>
      </c>
      <c r="V7389">
        <v>0.24818770000000001</v>
      </c>
      <c r="W7389">
        <v>0.1679156</v>
      </c>
      <c r="X7389">
        <v>0.9540478</v>
      </c>
      <c r="Y7389">
        <v>0.37229099999999998</v>
      </c>
      <c r="Z7389">
        <v>-8.7002780000000002E-2</v>
      </c>
      <c r="AA7389">
        <v>0.9240292</v>
      </c>
      <c r="AB7389">
        <v>28</v>
      </c>
      <c r="AC7389">
        <v>5.4837999999999996</v>
      </c>
      <c r="AD7389">
        <v>-1.107907963155</v>
      </c>
      <c r="AE7389">
        <v>11.317399999999999</v>
      </c>
      <c r="AF7389">
        <v>4.7514935077565204</v>
      </c>
      <c r="AG7389">
        <v>-1.107907963155</v>
      </c>
      <c r="AH7389">
        <v>11.5391629213121</v>
      </c>
      <c r="AI7389">
        <v>95.073462408555798</v>
      </c>
      <c r="AJ7389">
        <v>67.619552983288202</v>
      </c>
      <c r="AK7389">
        <v>12.5282253944307</v>
      </c>
      <c r="AL7389">
        <v>80.3333502482824</v>
      </c>
      <c r="AM7389">
        <v>75.418174639699401</v>
      </c>
      <c r="AN7389">
        <v>0.99999999391974403</v>
      </c>
    </row>
    <row r="7390" spans="1:40" x14ac:dyDescent="0.25">
      <c r="A7390" t="str">
        <f>"20190312172552502"</f>
        <v>20190312172552502</v>
      </c>
      <c r="B7390" t="str">
        <f>"1552382752497748"</f>
        <v>1552382752497748</v>
      </c>
      <c r="C7390" t="s">
        <v>40</v>
      </c>
      <c r="D7390">
        <v>4.050859</v>
      </c>
      <c r="E7390">
        <v>0.55540159999999905</v>
      </c>
      <c r="F7390" t="s">
        <v>49</v>
      </c>
      <c r="G7390">
        <v>-181.26769999999999</v>
      </c>
      <c r="H7390" s="1">
        <v>-3.9876109999999998E-6</v>
      </c>
      <c r="I7390">
        <v>124.7573</v>
      </c>
      <c r="J7390">
        <v>-186.77979999999999</v>
      </c>
      <c r="K7390">
        <v>1.1078520000000001</v>
      </c>
      <c r="L7390">
        <v>113.65900000000001</v>
      </c>
      <c r="M7390">
        <v>6.4118069999999999E-2</v>
      </c>
      <c r="N7390">
        <v>0</v>
      </c>
      <c r="O7390">
        <v>0.99784170000000005</v>
      </c>
      <c r="P7390">
        <v>0.31475829999999999</v>
      </c>
      <c r="Q7390">
        <v>0.15483060000000001</v>
      </c>
      <c r="R7390">
        <v>0.93645860000000003</v>
      </c>
      <c r="S7390">
        <v>1.3595120000000001</v>
      </c>
      <c r="T7390">
        <v>-0.27220519999999998</v>
      </c>
      <c r="U7390">
        <v>2.7972109999999999</v>
      </c>
      <c r="V7390">
        <v>0.25512839999999998</v>
      </c>
      <c r="W7390">
        <v>0.1667257</v>
      </c>
      <c r="X7390">
        <v>0.9524243</v>
      </c>
      <c r="Y7390">
        <v>0.37686170000000002</v>
      </c>
      <c r="Z7390">
        <v>-8.8107480000000002E-2</v>
      </c>
      <c r="AA7390">
        <v>0.92206960000000004</v>
      </c>
      <c r="AB7390">
        <v>28</v>
      </c>
      <c r="AC7390">
        <v>5.5121000000000002</v>
      </c>
      <c r="AD7390">
        <v>-1.1078559876109999</v>
      </c>
      <c r="AE7390">
        <v>11.0983</v>
      </c>
      <c r="AF7390">
        <v>4.7511076898421303</v>
      </c>
      <c r="AG7390">
        <v>-1.1078559876109999</v>
      </c>
      <c r="AH7390">
        <v>11.3382941674218</v>
      </c>
      <c r="AI7390">
        <v>95.1494299197944</v>
      </c>
      <c r="AJ7390">
        <v>67.264758037887802</v>
      </c>
      <c r="AK7390">
        <v>12.343309272506801</v>
      </c>
      <c r="AL7390">
        <v>80.402501448517498</v>
      </c>
      <c r="AM7390">
        <v>75.004093047869105</v>
      </c>
      <c r="AN7390">
        <v>1.0000000033787699</v>
      </c>
    </row>
    <row r="7391" spans="1:40" x14ac:dyDescent="0.25">
      <c r="A7391" t="str">
        <f>"20190312172552514"</f>
        <v>20190312172552514</v>
      </c>
      <c r="B7391" t="str">
        <f>"1552382752507507"</f>
        <v>1552382752507507</v>
      </c>
      <c r="C7391" t="s">
        <v>40</v>
      </c>
      <c r="D7391">
        <v>4.0505399999999998</v>
      </c>
      <c r="E7391">
        <v>0.55501299999999998</v>
      </c>
      <c r="F7391" t="s">
        <v>49</v>
      </c>
      <c r="G7391">
        <v>-181.22210000000001</v>
      </c>
      <c r="H7391" s="1">
        <v>-4.021286E-6</v>
      </c>
      <c r="I7391">
        <v>124.8625</v>
      </c>
      <c r="J7391">
        <v>-186.7679</v>
      </c>
      <c r="K7391">
        <v>1.1078269999999999</v>
      </c>
      <c r="L7391">
        <v>113.81180000000001</v>
      </c>
      <c r="M7391">
        <v>6.6055760000000005E-2</v>
      </c>
      <c r="N7391">
        <v>0</v>
      </c>
      <c r="O7391">
        <v>0.99771520000000002</v>
      </c>
      <c r="P7391">
        <v>0.31928450000000003</v>
      </c>
      <c r="Q7391">
        <v>0.15449689999999999</v>
      </c>
      <c r="R7391">
        <v>0.93498029999999999</v>
      </c>
      <c r="S7391">
        <v>1.3814390000000001</v>
      </c>
      <c r="T7391">
        <v>-0.27537159999999999</v>
      </c>
      <c r="U7391">
        <v>2.7847599999999999</v>
      </c>
      <c r="V7391">
        <v>0.25789669999999998</v>
      </c>
      <c r="W7391">
        <v>0.16634860000000001</v>
      </c>
      <c r="X7391">
        <v>0.95174440000000005</v>
      </c>
      <c r="Y7391">
        <v>0.38247809999999999</v>
      </c>
      <c r="Z7391">
        <v>-8.920836E-2</v>
      </c>
      <c r="AA7391">
        <v>0.91964800000000002</v>
      </c>
      <c r="AB7391">
        <v>28</v>
      </c>
      <c r="AC7391">
        <v>5.5457999999999803</v>
      </c>
      <c r="AD7391">
        <v>-1.1078310212860001</v>
      </c>
      <c r="AE7391">
        <v>11.0506999999999</v>
      </c>
      <c r="AF7391">
        <v>4.7653922640812496</v>
      </c>
      <c r="AG7391">
        <v>-1.1078310212860001</v>
      </c>
      <c r="AH7391">
        <v>11.302193184578099</v>
      </c>
      <c r="AI7391">
        <v>95.1608995146171</v>
      </c>
      <c r="AJ7391">
        <v>67.138043448252702</v>
      </c>
      <c r="AK7391">
        <v>12.315673907010201</v>
      </c>
      <c r="AL7391">
        <v>80.424413497886903</v>
      </c>
      <c r="AM7391">
        <v>74.838495568874507</v>
      </c>
      <c r="AN7391">
        <v>0.99999998376210397</v>
      </c>
    </row>
    <row r="7392" spans="1:40" x14ac:dyDescent="0.25">
      <c r="A7392" t="str">
        <f>"20190312172552526"</f>
        <v>20190312172552526</v>
      </c>
      <c r="B7392" t="str">
        <f>"1552382752517268"</f>
        <v>1552382752517268</v>
      </c>
      <c r="C7392" t="s">
        <v>40</v>
      </c>
      <c r="D7392">
        <v>4.0530759999999999</v>
      </c>
      <c r="E7392">
        <v>0.55468609999999996</v>
      </c>
      <c r="F7392" t="s">
        <v>49</v>
      </c>
      <c r="G7392">
        <v>-181.1902</v>
      </c>
      <c r="H7392" s="1">
        <v>-4.0477719999999997E-6</v>
      </c>
      <c r="I7392">
        <v>124.9474</v>
      </c>
      <c r="J7392">
        <v>-186.75640000000001</v>
      </c>
      <c r="K7392">
        <v>1.107799</v>
      </c>
      <c r="L7392">
        <v>113.9558</v>
      </c>
      <c r="M7392">
        <v>6.7893149999999999E-2</v>
      </c>
      <c r="N7392">
        <v>0</v>
      </c>
      <c r="O7392">
        <v>0.99759189999999998</v>
      </c>
      <c r="P7392">
        <v>0.3238355</v>
      </c>
      <c r="Q7392">
        <v>0.15465409999999999</v>
      </c>
      <c r="R7392">
        <v>0.93338779999999999</v>
      </c>
      <c r="S7392">
        <v>1.391953</v>
      </c>
      <c r="T7392">
        <v>-0.27646799999999999</v>
      </c>
      <c r="U7392">
        <v>2.7789760000000001</v>
      </c>
      <c r="V7392">
        <v>0.26079920000000001</v>
      </c>
      <c r="W7392">
        <v>0.1664601</v>
      </c>
      <c r="X7392">
        <v>0.95093360000000005</v>
      </c>
      <c r="Y7392">
        <v>0.3843086</v>
      </c>
      <c r="Z7392">
        <v>-8.9602490000000007E-2</v>
      </c>
      <c r="AA7392">
        <v>0.91884619999999995</v>
      </c>
      <c r="AB7392">
        <v>28</v>
      </c>
      <c r="AC7392">
        <v>5.5662000000000003</v>
      </c>
      <c r="AD7392">
        <v>-1.107803047772</v>
      </c>
      <c r="AE7392">
        <v>10.9916</v>
      </c>
      <c r="AF7392">
        <v>4.76847334369078</v>
      </c>
      <c r="AG7392">
        <v>-1.107803047772</v>
      </c>
      <c r="AH7392">
        <v>11.2531998623658</v>
      </c>
      <c r="AI7392">
        <v>95.179218172481896</v>
      </c>
      <c r="AJ7392">
        <v>67.035500402688399</v>
      </c>
      <c r="AK7392">
        <v>12.2719221299881</v>
      </c>
      <c r="AL7392">
        <v>80.417934357885201</v>
      </c>
      <c r="AM7392">
        <v>74.663389796870305</v>
      </c>
      <c r="AN7392">
        <v>0.99999994961080296</v>
      </c>
    </row>
    <row r="7393" spans="1:40" x14ac:dyDescent="0.25">
      <c r="A7393" t="str">
        <f>"20190312172552537"</f>
        <v>20190312172552537</v>
      </c>
      <c r="B7393" t="str">
        <f>"1552382752528005"</f>
        <v>1552382752528005</v>
      </c>
      <c r="C7393" t="s">
        <v>40</v>
      </c>
      <c r="D7393">
        <v>3.9984959999999998</v>
      </c>
      <c r="E7393">
        <v>0.55440179999999994</v>
      </c>
      <c r="F7393" t="s">
        <v>49</v>
      </c>
      <c r="G7393">
        <v>-181.11109999999999</v>
      </c>
      <c r="H7393" s="1">
        <v>-4.1024209999999998E-6</v>
      </c>
      <c r="I7393">
        <v>125.11539999999999</v>
      </c>
      <c r="J7393">
        <v>-186.74369999999999</v>
      </c>
      <c r="K7393">
        <v>1.1077669999999999</v>
      </c>
      <c r="L7393">
        <v>114.1125</v>
      </c>
      <c r="M7393">
        <v>6.9913450000000002E-2</v>
      </c>
      <c r="N7393">
        <v>0</v>
      </c>
      <c r="O7393">
        <v>0.99745229999999996</v>
      </c>
      <c r="P7393">
        <v>0.32800790000000002</v>
      </c>
      <c r="Q7393">
        <v>0.1544024</v>
      </c>
      <c r="R7393">
        <v>0.93197140000000001</v>
      </c>
      <c r="S7393">
        <v>1.4027860000000001</v>
      </c>
      <c r="T7393">
        <v>-0.27527380000000001</v>
      </c>
      <c r="U7393">
        <v>2.7730100000000002</v>
      </c>
      <c r="V7393">
        <v>0.26313910000000001</v>
      </c>
      <c r="W7393">
        <v>0.1661676</v>
      </c>
      <c r="X7393">
        <v>0.95033999999999996</v>
      </c>
      <c r="Y7393">
        <v>0.3861076</v>
      </c>
      <c r="Z7393">
        <v>-8.9261199999999999E-2</v>
      </c>
      <c r="AA7393">
        <v>0.91812490000000002</v>
      </c>
      <c r="AB7393">
        <v>28</v>
      </c>
      <c r="AC7393">
        <v>5.6325999999999903</v>
      </c>
      <c r="AD7393">
        <v>-1.107771102421</v>
      </c>
      <c r="AE7393">
        <v>11.002899999999901</v>
      </c>
      <c r="AF7393">
        <v>4.8108474919456503</v>
      </c>
      <c r="AG7393">
        <v>-1.107771102421</v>
      </c>
      <c r="AH7393">
        <v>11.279214456777501</v>
      </c>
      <c r="AI7393">
        <v>95.162048573153697</v>
      </c>
      <c r="AJ7393">
        <v>66.900623938128305</v>
      </c>
      <c r="AK7393">
        <v>12.3122739235324</v>
      </c>
      <c r="AL7393">
        <v>80.434930431300003</v>
      </c>
      <c r="AM7393">
        <v>74.523152419120706</v>
      </c>
      <c r="AN7393">
        <v>0.999999986419284</v>
      </c>
    </row>
    <row r="7394" spans="1:40" x14ac:dyDescent="0.25">
      <c r="A7394" t="str">
        <f>"20190312172552549"</f>
        <v>20190312172552549</v>
      </c>
      <c r="B7394" t="str">
        <f>"1552382752537764"</f>
        <v>1552382752537764</v>
      </c>
      <c r="C7394" t="s">
        <v>40</v>
      </c>
      <c r="D7394">
        <v>4.0084530000000003</v>
      </c>
      <c r="E7394">
        <v>0.55414069999999904</v>
      </c>
      <c r="F7394" t="s">
        <v>49</v>
      </c>
      <c r="G7394">
        <v>-181.06110000000001</v>
      </c>
      <c r="H7394" s="1">
        <v>-4.1421170000000004E-6</v>
      </c>
      <c r="I7394">
        <v>125.2414</v>
      </c>
      <c r="J7394">
        <v>-186.73179999999999</v>
      </c>
      <c r="K7394">
        <v>1.1077349999999999</v>
      </c>
      <c r="L7394">
        <v>114.25449999999999</v>
      </c>
      <c r="M7394">
        <v>7.1776880000000001E-2</v>
      </c>
      <c r="N7394">
        <v>0</v>
      </c>
      <c r="O7394">
        <v>0.99731990000000004</v>
      </c>
      <c r="P7394">
        <v>0.33198220000000001</v>
      </c>
      <c r="Q7394">
        <v>0.15419279999999999</v>
      </c>
      <c r="R7394">
        <v>0.93059780000000003</v>
      </c>
      <c r="S7394">
        <v>1.4130400000000001</v>
      </c>
      <c r="T7394">
        <v>-0.27545829999999999</v>
      </c>
      <c r="U7394">
        <v>2.7673030000000001</v>
      </c>
      <c r="V7394">
        <v>0.26543240000000001</v>
      </c>
      <c r="W7394">
        <v>0.16591600000000001</v>
      </c>
      <c r="X7394">
        <v>0.94974599999999998</v>
      </c>
      <c r="Y7394">
        <v>0.38784570000000002</v>
      </c>
      <c r="Z7394">
        <v>-8.9360880000000004E-2</v>
      </c>
      <c r="AA7394">
        <v>0.91738229999999998</v>
      </c>
      <c r="AB7394">
        <v>28</v>
      </c>
      <c r="AC7394">
        <v>5.6706999999999796</v>
      </c>
      <c r="AD7394">
        <v>-1.107739142117</v>
      </c>
      <c r="AE7394">
        <v>10.9869</v>
      </c>
      <c r="AF7394">
        <v>4.8286263474153897</v>
      </c>
      <c r="AG7394">
        <v>-1.107739142117</v>
      </c>
      <c r="AH7394">
        <v>11.2751160622137</v>
      </c>
      <c r="AI7394">
        <v>95.160553284697002</v>
      </c>
      <c r="AJ7394">
        <v>66.816721464224699</v>
      </c>
      <c r="AK7394">
        <v>12.3154764676939</v>
      </c>
      <c r="AL7394">
        <v>80.449548827790906</v>
      </c>
      <c r="AM7394">
        <v>74.385531221775096</v>
      </c>
      <c r="AN7394">
        <v>0.99999997127087903</v>
      </c>
    </row>
    <row r="7395" spans="1:40" x14ac:dyDescent="0.25">
      <c r="A7395" t="str">
        <f>"20190312172552562"</f>
        <v>20190312172552562</v>
      </c>
      <c r="B7395" t="str">
        <f>"1552382752557284"</f>
        <v>1552382752557284</v>
      </c>
      <c r="C7395" t="s">
        <v>40</v>
      </c>
      <c r="D7395">
        <v>4.0058959999999999</v>
      </c>
      <c r="E7395">
        <v>0.55354599999999998</v>
      </c>
      <c r="F7395" t="s">
        <v>49</v>
      </c>
      <c r="G7395">
        <v>-181.00540000000001</v>
      </c>
      <c r="H7395" s="1">
        <v>-4.1828930000000002E-6</v>
      </c>
      <c r="I7395">
        <v>125.3686</v>
      </c>
      <c r="J7395">
        <v>-186.71870000000001</v>
      </c>
      <c r="K7395">
        <v>1.1076969999999999</v>
      </c>
      <c r="L7395">
        <v>114.40819999999999</v>
      </c>
      <c r="M7395">
        <v>7.3810580000000001E-2</v>
      </c>
      <c r="N7395">
        <v>0</v>
      </c>
      <c r="O7395">
        <v>0.99717149999999999</v>
      </c>
      <c r="P7395">
        <v>0.33856510000000001</v>
      </c>
      <c r="Q7395">
        <v>0.15409539999999999</v>
      </c>
      <c r="R7395">
        <v>0.92823929999999999</v>
      </c>
      <c r="S7395">
        <v>1.4229430000000001</v>
      </c>
      <c r="T7395">
        <v>-0.27526119999999998</v>
      </c>
      <c r="U7395">
        <v>2.7617189999999998</v>
      </c>
      <c r="V7395">
        <v>0.27024290000000001</v>
      </c>
      <c r="W7395">
        <v>0.16574529999999901</v>
      </c>
      <c r="X7395">
        <v>0.94841830000000005</v>
      </c>
      <c r="Y7395">
        <v>0.38932240000000001</v>
      </c>
      <c r="Z7395">
        <v>-8.933895E-2</v>
      </c>
      <c r="AA7395">
        <v>0.91675879999999998</v>
      </c>
      <c r="AB7395">
        <v>28</v>
      </c>
      <c r="AC7395">
        <v>5.7133000000000003</v>
      </c>
      <c r="AD7395">
        <v>-1.1077011828929999</v>
      </c>
      <c r="AE7395">
        <v>10.9604</v>
      </c>
      <c r="AF7395">
        <v>4.8496871259310197</v>
      </c>
      <c r="AG7395">
        <v>-1.1077011828929999</v>
      </c>
      <c r="AH7395">
        <v>11.2617914584365</v>
      </c>
      <c r="AI7395">
        <v>95.162023638095107</v>
      </c>
      <c r="AJ7395">
        <v>66.701744676542006</v>
      </c>
      <c r="AK7395">
        <v>12.3115561154274</v>
      </c>
      <c r="AL7395">
        <v>80.459466818467106</v>
      </c>
      <c r="AM7395">
        <v>74.095594668252204</v>
      </c>
      <c r="AN7395">
        <v>1.00000000062369</v>
      </c>
    </row>
    <row r="7396" spans="1:40" x14ac:dyDescent="0.25">
      <c r="A7396" t="str">
        <f>"20190312172552591"</f>
        <v>20190312172552591</v>
      </c>
      <c r="B7396" t="str">
        <f>"1552382752587540"</f>
        <v>1552382752587540</v>
      </c>
      <c r="C7396" t="s">
        <v>40</v>
      </c>
      <c r="D7396">
        <v>3.9769060000000001</v>
      </c>
      <c r="E7396">
        <v>0.55269179999999996</v>
      </c>
      <c r="F7396" t="s">
        <v>49</v>
      </c>
      <c r="G7396">
        <v>-180.9179</v>
      </c>
      <c r="H7396" s="1">
        <v>-4.2318669999999998E-6</v>
      </c>
      <c r="I7396">
        <v>125.5102</v>
      </c>
      <c r="J7396">
        <v>-186.68629999999999</v>
      </c>
      <c r="K7396">
        <v>1.107586</v>
      </c>
      <c r="L7396">
        <v>114.7679</v>
      </c>
      <c r="M7396">
        <v>7.8785869999999994E-2</v>
      </c>
      <c r="N7396">
        <v>0</v>
      </c>
      <c r="O7396">
        <v>0.99679059999999997</v>
      </c>
      <c r="P7396">
        <v>0.34809040000000002</v>
      </c>
      <c r="Q7396">
        <v>0.15355839999999901</v>
      </c>
      <c r="R7396">
        <v>0.92479880000000003</v>
      </c>
      <c r="S7396">
        <v>1.4383699999999999</v>
      </c>
      <c r="T7396">
        <v>-0.27466869999999999</v>
      </c>
      <c r="U7396">
        <v>2.7528990000000002</v>
      </c>
      <c r="V7396">
        <v>0.27530529999999998</v>
      </c>
      <c r="W7396">
        <v>0.16508129999999999</v>
      </c>
      <c r="X7396">
        <v>0.94707719999999995</v>
      </c>
      <c r="Y7396">
        <v>0.3899743</v>
      </c>
      <c r="Z7396">
        <v>-8.9226949999999999E-2</v>
      </c>
      <c r="AA7396">
        <v>0.91649259999999999</v>
      </c>
      <c r="AB7396">
        <v>28</v>
      </c>
      <c r="AC7396">
        <v>5.7683999999999802</v>
      </c>
      <c r="AD7396">
        <v>-1.1075902318669999</v>
      </c>
      <c r="AE7396">
        <v>10.7423</v>
      </c>
      <c r="AF7396">
        <v>4.8639047261072497</v>
      </c>
      <c r="AG7396">
        <v>-1.1075902318669999</v>
      </c>
      <c r="AH7396">
        <v>11.0720550626109</v>
      </c>
      <c r="AI7396">
        <v>95.232953775456807</v>
      </c>
      <c r="AJ7396">
        <v>66.284328744097493</v>
      </c>
      <c r="AK7396">
        <v>12.1439173505036</v>
      </c>
      <c r="AL7396">
        <v>80.498042937430597</v>
      </c>
      <c r="AM7396">
        <v>73.791412389733097</v>
      </c>
      <c r="AN7396">
        <v>1.0000000332887999</v>
      </c>
    </row>
    <row r="7397" spans="1:40" x14ac:dyDescent="0.25">
      <c r="A7397" t="str">
        <f>"20190312172552613"</f>
        <v>20190312172552613</v>
      </c>
      <c r="B7397" t="str">
        <f>"1552382752608036"</f>
        <v>1552382752608036</v>
      </c>
      <c r="C7397" t="s">
        <v>40</v>
      </c>
      <c r="D7397">
        <v>3.9610020000000001</v>
      </c>
      <c r="E7397">
        <v>0.55207209999999995</v>
      </c>
      <c r="F7397" t="s">
        <v>49</v>
      </c>
      <c r="G7397">
        <v>-180.77199999999999</v>
      </c>
      <c r="H7397" s="1">
        <v>-4.3403279999999997E-6</v>
      </c>
      <c r="I7397">
        <v>125.8496</v>
      </c>
      <c r="J7397">
        <v>-186.65960000000001</v>
      </c>
      <c r="K7397">
        <v>1.107483</v>
      </c>
      <c r="L7397">
        <v>115.0492</v>
      </c>
      <c r="M7397">
        <v>8.2839179999999998E-2</v>
      </c>
      <c r="N7397">
        <v>0</v>
      </c>
      <c r="O7397">
        <v>0.99646190000000001</v>
      </c>
      <c r="P7397">
        <v>0.35494100000000001</v>
      </c>
      <c r="Q7397">
        <v>0.1528832</v>
      </c>
      <c r="R7397">
        <v>0.9223034</v>
      </c>
      <c r="S7397">
        <v>1.4618990000000001</v>
      </c>
      <c r="T7397">
        <v>-0.27377360000000001</v>
      </c>
      <c r="U7397">
        <v>2.739166</v>
      </c>
      <c r="V7397">
        <v>0.27851369999999998</v>
      </c>
      <c r="W7397">
        <v>0.164304799999999</v>
      </c>
      <c r="X7397">
        <v>0.94627380000000005</v>
      </c>
      <c r="Y7397">
        <v>0.3942696</v>
      </c>
      <c r="Z7397">
        <v>-8.9032710000000001E-2</v>
      </c>
      <c r="AA7397">
        <v>0.91467189999999998</v>
      </c>
      <c r="AB7397">
        <v>28</v>
      </c>
      <c r="AC7397">
        <v>5.8875999999999902</v>
      </c>
      <c r="AD7397">
        <v>-1.1074873403279999</v>
      </c>
      <c r="AE7397">
        <v>10.8003999999999</v>
      </c>
      <c r="AF7397">
        <v>4.9325902196725897</v>
      </c>
      <c r="AG7397">
        <v>-1.1074873403279999</v>
      </c>
      <c r="AH7397">
        <v>11.160576981179201</v>
      </c>
      <c r="AI7397">
        <v>95.186111949282903</v>
      </c>
      <c r="AJ7397">
        <v>66.156223992093103</v>
      </c>
      <c r="AK7397">
        <v>12.2521611578131</v>
      </c>
      <c r="AL7397">
        <v>80.543148974716303</v>
      </c>
      <c r="AM7397">
        <v>73.599433016255304</v>
      </c>
      <c r="AN7397">
        <v>1.00000002647858</v>
      </c>
    </row>
    <row r="7398" spans="1:40" x14ac:dyDescent="0.25">
      <c r="A7398" t="str">
        <f>"20190312172552636"</f>
        <v>20190312172552636</v>
      </c>
      <c r="B7398" t="str">
        <f>"1552382752627559"</f>
        <v>1552382752627559</v>
      </c>
      <c r="C7398" t="s">
        <v>40</v>
      </c>
      <c r="D7398">
        <v>3.9543810000000001</v>
      </c>
      <c r="E7398">
        <v>0.54223290000000002</v>
      </c>
      <c r="F7398" t="s">
        <v>49</v>
      </c>
      <c r="G7398">
        <v>-180.69630000000001</v>
      </c>
      <c r="H7398" s="1">
        <v>-4.4054829999999997E-6</v>
      </c>
      <c r="I7398">
        <v>126.0599</v>
      </c>
      <c r="J7398">
        <v>-186.6318</v>
      </c>
      <c r="K7398">
        <v>1.107361</v>
      </c>
      <c r="L7398">
        <v>115.3291</v>
      </c>
      <c r="M7398">
        <v>8.7045600000000001E-2</v>
      </c>
      <c r="N7398">
        <v>0</v>
      </c>
      <c r="O7398">
        <v>0.99610319999999997</v>
      </c>
      <c r="P7398">
        <v>0.36210409999999998</v>
      </c>
      <c r="Q7398">
        <v>0.1522019</v>
      </c>
      <c r="R7398">
        <v>0.9196278</v>
      </c>
      <c r="S7398">
        <v>1.4781949999999999</v>
      </c>
      <c r="T7398">
        <v>-0.27452599999999999</v>
      </c>
      <c r="U7398">
        <v>2.729355</v>
      </c>
      <c r="V7398">
        <v>0.28191719999999998</v>
      </c>
      <c r="W7398">
        <v>0.16351079999999901</v>
      </c>
      <c r="X7398">
        <v>0.94540299999999999</v>
      </c>
      <c r="Y7398">
        <v>0.39597670000000001</v>
      </c>
      <c r="Z7398">
        <v>-8.9354260000000005E-2</v>
      </c>
      <c r="AA7398">
        <v>0.91390280000000002</v>
      </c>
      <c r="AB7398">
        <v>28</v>
      </c>
      <c r="AC7398">
        <v>5.9354999999999896</v>
      </c>
      <c r="AD7398">
        <v>-1.107365405483</v>
      </c>
      <c r="AE7398">
        <v>10.7308</v>
      </c>
      <c r="AF7398">
        <v>4.9385325144024002</v>
      </c>
      <c r="AG7398">
        <v>-1.107365405483</v>
      </c>
      <c r="AH7398">
        <v>11.116127225266901</v>
      </c>
      <c r="AI7398">
        <v>95.201753227434494</v>
      </c>
      <c r="AJ7398">
        <v>66.045984094849402</v>
      </c>
      <c r="AK7398">
        <v>12.214075733570301</v>
      </c>
      <c r="AL7398">
        <v>80.589264896606807</v>
      </c>
      <c r="AM7398">
        <v>73.395529358612393</v>
      </c>
      <c r="AN7398">
        <v>0.99999996089073895</v>
      </c>
    </row>
    <row r="7399" spans="1:40" x14ac:dyDescent="0.25">
      <c r="A7399" t="str">
        <f>"20190312172552658"</f>
        <v>20190312172552658</v>
      </c>
      <c r="B7399" t="str">
        <f>"1552382752648052"</f>
        <v>1552382752648052</v>
      </c>
      <c r="C7399" t="s">
        <v>40</v>
      </c>
      <c r="D7399">
        <v>3.935136</v>
      </c>
      <c r="E7399">
        <v>0.54127780000000003</v>
      </c>
      <c r="F7399" t="s">
        <v>49</v>
      </c>
      <c r="G7399">
        <v>-180.45840000000001</v>
      </c>
      <c r="H7399" s="1">
        <v>-4.736796E-6</v>
      </c>
      <c r="I7399">
        <v>127.208</v>
      </c>
      <c r="J7399">
        <v>-186.60239999999999</v>
      </c>
      <c r="K7399">
        <v>1.107216</v>
      </c>
      <c r="L7399">
        <v>115.6103</v>
      </c>
      <c r="M7399">
        <v>9.1476399999999999E-2</v>
      </c>
      <c r="N7399">
        <v>0</v>
      </c>
      <c r="O7399">
        <v>0.99570599999999998</v>
      </c>
      <c r="P7399">
        <v>0.36955589999999999</v>
      </c>
      <c r="Q7399">
        <v>0.15109529999999999</v>
      </c>
      <c r="R7399">
        <v>0.91684169999999998</v>
      </c>
      <c r="S7399">
        <v>1.425613</v>
      </c>
      <c r="T7399">
        <v>-0.25572309999999998</v>
      </c>
      <c r="U7399">
        <v>2.743179</v>
      </c>
      <c r="V7399">
        <v>0.28541830000000001</v>
      </c>
      <c r="W7399">
        <v>0.1622796</v>
      </c>
      <c r="X7399">
        <v>0.94456430000000002</v>
      </c>
      <c r="Y7399">
        <v>0.37641859999999999</v>
      </c>
      <c r="Z7399">
        <v>-8.3568539999999997E-2</v>
      </c>
      <c r="AA7399">
        <v>0.92267290000000002</v>
      </c>
      <c r="AB7399">
        <v>28</v>
      </c>
      <c r="AC7399">
        <v>6.1439999999999699</v>
      </c>
      <c r="AD7399">
        <v>-1.1072207367960001</v>
      </c>
      <c r="AE7399">
        <v>11.5977</v>
      </c>
      <c r="AF7399">
        <v>5.0214739679451199</v>
      </c>
      <c r="AG7399">
        <v>-1.1072207367960001</v>
      </c>
      <c r="AH7399">
        <v>12.0255658363627</v>
      </c>
      <c r="AI7399">
        <v>94.856334699352203</v>
      </c>
      <c r="AJ7399">
        <v>67.336217006835199</v>
      </c>
      <c r="AK7399">
        <v>13.078813870356701</v>
      </c>
      <c r="AL7399">
        <v>80.660762761695807</v>
      </c>
      <c r="AM7399">
        <v>73.186796696027201</v>
      </c>
      <c r="AN7399">
        <v>0.99999999569276998</v>
      </c>
    </row>
    <row r="7400" spans="1:40" x14ac:dyDescent="0.25">
      <c r="A7400" t="str">
        <f>"20190312172552681"</f>
        <v>20190312172552681</v>
      </c>
      <c r="B7400" t="str">
        <f>"1552382752677332"</f>
        <v>1552382752677332</v>
      </c>
      <c r="C7400" t="s">
        <v>40</v>
      </c>
      <c r="D7400">
        <v>3.9501189999999999</v>
      </c>
      <c r="E7400">
        <v>0.5403483</v>
      </c>
      <c r="F7400" t="s">
        <v>49</v>
      </c>
      <c r="G7400">
        <v>-180.5478</v>
      </c>
      <c r="H7400" s="1">
        <v>-4.6970990000000001E-6</v>
      </c>
      <c r="I7400">
        <v>127.1031</v>
      </c>
      <c r="J7400">
        <v>-186.57259999999999</v>
      </c>
      <c r="K7400">
        <v>1.107065</v>
      </c>
      <c r="L7400">
        <v>115.88209999999999</v>
      </c>
      <c r="M7400">
        <v>9.5975909999999998E-2</v>
      </c>
      <c r="N7400">
        <v>0</v>
      </c>
      <c r="O7400">
        <v>0.99528220000000001</v>
      </c>
      <c r="P7400">
        <v>0.37674809999999997</v>
      </c>
      <c r="Q7400">
        <v>0.14982229999999999</v>
      </c>
      <c r="R7400">
        <v>0.91411929999999997</v>
      </c>
      <c r="S7400">
        <v>1.44072</v>
      </c>
      <c r="T7400">
        <v>-0.26347100000000001</v>
      </c>
      <c r="U7400">
        <v>2.7348020000000002</v>
      </c>
      <c r="V7400">
        <v>0.28860219999999998</v>
      </c>
      <c r="W7400">
        <v>0.1608791</v>
      </c>
      <c r="X7400">
        <v>0.94383620000000001</v>
      </c>
      <c r="Y7400">
        <v>0.37728640000000002</v>
      </c>
      <c r="Z7400">
        <v>-8.6137320000000003E-2</v>
      </c>
      <c r="AA7400">
        <v>0.92208210000000002</v>
      </c>
      <c r="AB7400">
        <v>28</v>
      </c>
      <c r="AC7400">
        <v>6.0247999999999902</v>
      </c>
      <c r="AD7400">
        <v>-1.1070696970989999</v>
      </c>
      <c r="AE7400">
        <v>11.221</v>
      </c>
      <c r="AF7400">
        <v>4.8830326290218604</v>
      </c>
      <c r="AG7400">
        <v>-1.1070696970989999</v>
      </c>
      <c r="AH7400">
        <v>11.6593887225572</v>
      </c>
      <c r="AI7400">
        <v>95.005211050451507</v>
      </c>
      <c r="AJ7400">
        <v>67.275727392441397</v>
      </c>
      <c r="AK7400">
        <v>12.6890092739355</v>
      </c>
      <c r="AL7400">
        <v>80.742074407091593</v>
      </c>
      <c r="AM7400">
        <v>72.997639742877197</v>
      </c>
      <c r="AN7400">
        <v>1.0000000435460401</v>
      </c>
    </row>
    <row r="7401" spans="1:40" x14ac:dyDescent="0.25">
      <c r="A7401" t="str">
        <f>"20190312172552703"</f>
        <v>20190312172552703</v>
      </c>
      <c r="B7401" t="str">
        <f>"1552382752697827"</f>
        <v>1552382752697827</v>
      </c>
      <c r="C7401" t="s">
        <v>40</v>
      </c>
      <c r="D7401">
        <v>3.9705910000000002</v>
      </c>
      <c r="E7401">
        <v>0.55637009999999998</v>
      </c>
      <c r="F7401" t="s">
        <v>49</v>
      </c>
      <c r="G7401">
        <v>-180.56970000000001</v>
      </c>
      <c r="H7401" s="1">
        <v>-4.698744E-6</v>
      </c>
      <c r="I7401">
        <v>127.1211</v>
      </c>
      <c r="J7401">
        <v>-186.54079999999999</v>
      </c>
      <c r="K7401">
        <v>1.1068990000000001</v>
      </c>
      <c r="L7401">
        <v>116.15649999999999</v>
      </c>
      <c r="M7401">
        <v>0.10076359999999999</v>
      </c>
      <c r="N7401">
        <v>0</v>
      </c>
      <c r="O7401">
        <v>0.99480869999999999</v>
      </c>
      <c r="P7401">
        <v>0.38479279999999999</v>
      </c>
      <c r="Q7401">
        <v>0.14784430000000001</v>
      </c>
      <c r="R7401">
        <v>0.91108540000000005</v>
      </c>
      <c r="S7401">
        <v>1.4558869999999999</v>
      </c>
      <c r="T7401">
        <v>-0.26849840000000003</v>
      </c>
      <c r="U7401">
        <v>2.7258149999999999</v>
      </c>
      <c r="V7401">
        <v>0.29240100000000002</v>
      </c>
      <c r="W7401">
        <v>0.15875629999999999</v>
      </c>
      <c r="X7401">
        <v>0.94302600000000003</v>
      </c>
      <c r="Y7401">
        <v>0.37801780000000001</v>
      </c>
      <c r="Z7401">
        <v>-8.7836559999999994E-2</v>
      </c>
      <c r="AA7401">
        <v>0.9216221</v>
      </c>
      <c r="AB7401">
        <v>28</v>
      </c>
      <c r="AC7401">
        <v>5.9710999999999697</v>
      </c>
      <c r="AD7401">
        <v>-1.106903698744</v>
      </c>
      <c r="AE7401">
        <v>10.964600000000001</v>
      </c>
      <c r="AF7401">
        <v>4.7980448691309601</v>
      </c>
      <c r="AG7401">
        <v>-1.106903698744</v>
      </c>
      <c r="AH7401">
        <v>11.420743168121399</v>
      </c>
      <c r="AI7401">
        <v>95.106115433242707</v>
      </c>
      <c r="AJ7401">
        <v>67.2119109757285</v>
      </c>
      <c r="AK7401">
        <v>12.4370352124885</v>
      </c>
      <c r="AL7401">
        <v>80.865284939161498</v>
      </c>
      <c r="AM7401">
        <v>72.773075079122407</v>
      </c>
      <c r="AN7401">
        <v>0.99999997213334402</v>
      </c>
    </row>
    <row r="7402" spans="1:40" x14ac:dyDescent="0.25">
      <c r="A7402" t="str">
        <f>"20190312172552725"</f>
        <v>20190312172552725</v>
      </c>
      <c r="B7402" t="str">
        <f>"1552382752717348"</f>
        <v>1552382752717348</v>
      </c>
      <c r="C7402" t="s">
        <v>40</v>
      </c>
      <c r="D7402">
        <v>3.9473159999999998</v>
      </c>
      <c r="E7402">
        <v>0.56832609999999995</v>
      </c>
      <c r="F7402" t="s">
        <v>49</v>
      </c>
      <c r="G7402">
        <v>-180.40199999999999</v>
      </c>
      <c r="H7402" s="1">
        <v>-4.5312559999999998E-6</v>
      </c>
      <c r="I7402">
        <v>126.38639999999999</v>
      </c>
      <c r="J7402">
        <v>-186.50810000000001</v>
      </c>
      <c r="K7402">
        <v>1.106735</v>
      </c>
      <c r="L7402">
        <v>116.4259</v>
      </c>
      <c r="M7402">
        <v>0.10568900000000001</v>
      </c>
      <c r="N7402">
        <v>0</v>
      </c>
      <c r="O7402">
        <v>0.99429730000000005</v>
      </c>
      <c r="P7402">
        <v>0.3930303</v>
      </c>
      <c r="Q7402">
        <v>0.14649699999999999</v>
      </c>
      <c r="R7402">
        <v>0.9077807</v>
      </c>
      <c r="S7402">
        <v>1.598816</v>
      </c>
      <c r="T7402">
        <v>-0.28828569999999998</v>
      </c>
      <c r="U7402">
        <v>2.664307</v>
      </c>
      <c r="V7402">
        <v>0.29630679999999998</v>
      </c>
      <c r="W7402">
        <v>0.1572566</v>
      </c>
      <c r="X7402">
        <v>0.9420577</v>
      </c>
      <c r="Y7402">
        <v>0.418763</v>
      </c>
      <c r="Z7402">
        <v>-9.4016409999999995E-2</v>
      </c>
      <c r="AA7402">
        <v>0.90321560000000001</v>
      </c>
      <c r="AB7402">
        <v>28</v>
      </c>
      <c r="AC7402">
        <v>6.1060999999999899</v>
      </c>
      <c r="AD7402">
        <v>-1.106739531256</v>
      </c>
      <c r="AE7402">
        <v>9.9604999999999908</v>
      </c>
      <c r="AF7402">
        <v>4.9744332029548097</v>
      </c>
      <c r="AG7402">
        <v>-1.106739531256</v>
      </c>
      <c r="AH7402">
        <v>10.4562838373236</v>
      </c>
      <c r="AI7402">
        <v>95.459723103534998</v>
      </c>
      <c r="AJ7402">
        <v>64.557873603406705</v>
      </c>
      <c r="AK7402">
        <v>11.6320131433634</v>
      </c>
      <c r="AL7402">
        <v>80.952305129525101</v>
      </c>
      <c r="AM7402">
        <v>72.539997140747005</v>
      </c>
      <c r="AN7402">
        <v>1.0000000340495401</v>
      </c>
    </row>
    <row r="7403" spans="1:40" x14ac:dyDescent="0.25">
      <c r="A7403" t="str">
        <f>"20190312172552736"</f>
        <v>20190312172552736</v>
      </c>
      <c r="B7403" t="str">
        <f>"1552382752728084"</f>
        <v>1552382752728084</v>
      </c>
      <c r="C7403" t="s">
        <v>40</v>
      </c>
      <c r="D7403">
        <v>3.9703979999999999</v>
      </c>
      <c r="E7403">
        <v>0.57083339999999905</v>
      </c>
      <c r="F7403" t="s">
        <v>49</v>
      </c>
      <c r="G7403">
        <v>-179.90719999999999</v>
      </c>
      <c r="H7403">
        <v>1.5961320000000001E-2</v>
      </c>
      <c r="I7403">
        <v>126.49769999999999</v>
      </c>
      <c r="J7403">
        <v>-186.489</v>
      </c>
      <c r="K7403">
        <v>1.106649</v>
      </c>
      <c r="L7403">
        <v>116.5784</v>
      </c>
      <c r="M7403">
        <v>0.10855910000000001</v>
      </c>
      <c r="N7403">
        <v>0</v>
      </c>
      <c r="O7403">
        <v>0.99398799999999998</v>
      </c>
      <c r="P7403">
        <v>0.39731109999999997</v>
      </c>
      <c r="Q7403">
        <v>0.1463827</v>
      </c>
      <c r="R7403">
        <v>0.90593380000000001</v>
      </c>
      <c r="S7403">
        <v>1.7104490000000001</v>
      </c>
      <c r="T7403">
        <v>-0.28264460000000002</v>
      </c>
      <c r="U7403">
        <v>2.6098330000000001</v>
      </c>
      <c r="V7403">
        <v>0.29806719999999998</v>
      </c>
      <c r="W7403">
        <v>0.15706400000000001</v>
      </c>
      <c r="X7403">
        <v>0.94153430000000005</v>
      </c>
      <c r="Y7403">
        <v>0.45178859999999899</v>
      </c>
      <c r="Z7403">
        <v>-9.2024149999999999E-2</v>
      </c>
      <c r="AA7403">
        <v>0.88736610000000005</v>
      </c>
      <c r="AB7403">
        <v>27</v>
      </c>
      <c r="AC7403">
        <v>6.5818000000000101</v>
      </c>
      <c r="AD7403">
        <v>-1.09068768</v>
      </c>
      <c r="AE7403">
        <v>9.9192999999999891</v>
      </c>
      <c r="AF7403">
        <v>5.42045242618196</v>
      </c>
      <c r="AG7403">
        <v>-1.09068768</v>
      </c>
      <c r="AH7403">
        <v>10.4872172800388</v>
      </c>
      <c r="AI7403">
        <v>95.278591893563302</v>
      </c>
      <c r="AJ7403">
        <v>62.667239818812199</v>
      </c>
      <c r="AK7403">
        <v>11.8554894626308</v>
      </c>
      <c r="AL7403">
        <v>80.963478816605502</v>
      </c>
      <c r="AM7403">
        <v>72.433460642828607</v>
      </c>
      <c r="AN7403">
        <v>0.99999999694416497</v>
      </c>
    </row>
    <row r="7404" spans="1:40" x14ac:dyDescent="0.25">
      <c r="A7404" t="str">
        <f>"20190312172552769"</f>
        <v>20190312172552769</v>
      </c>
      <c r="B7404" t="str">
        <f>"1552382752757368"</f>
        <v>1552382752757368</v>
      </c>
      <c r="C7404" t="s">
        <v>40</v>
      </c>
      <c r="D7404">
        <v>4.1157050000000002</v>
      </c>
      <c r="E7404">
        <v>0.57447060000000005</v>
      </c>
      <c r="F7404" t="s">
        <v>49</v>
      </c>
      <c r="G7404">
        <v>-179.91480000000001</v>
      </c>
      <c r="H7404">
        <v>5.1955349999999997E-2</v>
      </c>
      <c r="I7404">
        <v>126.3711</v>
      </c>
      <c r="J7404">
        <v>-186.4383</v>
      </c>
      <c r="K7404">
        <v>1.106449</v>
      </c>
      <c r="L7404">
        <v>116.9624</v>
      </c>
      <c r="M7404">
        <v>0.1160799</v>
      </c>
      <c r="N7404">
        <v>0</v>
      </c>
      <c r="O7404">
        <v>0.99313750000000001</v>
      </c>
      <c r="P7404">
        <v>0.41080709999999998</v>
      </c>
      <c r="Q7404">
        <v>0.14678239999999901</v>
      </c>
      <c r="R7404">
        <v>0.89982909999999905</v>
      </c>
      <c r="S7404">
        <v>1.7408600000000001</v>
      </c>
      <c r="T7404">
        <v>-0.27928700000000001</v>
      </c>
      <c r="U7404">
        <v>2.5931549999999999</v>
      </c>
      <c r="V7404">
        <v>0.30510900000000002</v>
      </c>
      <c r="W7404">
        <v>0.15723309999999999</v>
      </c>
      <c r="X7404">
        <v>0.93924770000000002</v>
      </c>
      <c r="Y7404">
        <v>0.45492009999999999</v>
      </c>
      <c r="Z7404">
        <v>-9.0959620000000005E-2</v>
      </c>
      <c r="AA7404">
        <v>0.88587469999999902</v>
      </c>
      <c r="AB7404">
        <v>27</v>
      </c>
      <c r="AC7404">
        <v>6.5234999999999799</v>
      </c>
      <c r="AD7404">
        <v>-1.0544936499999999</v>
      </c>
      <c r="AE7404">
        <v>9.4086999999999907</v>
      </c>
      <c r="AF7404">
        <v>5.3418044762095196</v>
      </c>
      <c r="AG7404">
        <v>-1.0544936499999999</v>
      </c>
      <c r="AH7404">
        <v>10.017428853567999</v>
      </c>
      <c r="AI7404">
        <v>95.306683447002001</v>
      </c>
      <c r="AJ7404">
        <v>61.931183541638902</v>
      </c>
      <c r="AK7404">
        <v>11.401566241365201</v>
      </c>
      <c r="AL7404">
        <v>80.953668192573502</v>
      </c>
      <c r="AM7404">
        <v>72.003921896786807</v>
      </c>
      <c r="AN7404">
        <v>0.99999999578595</v>
      </c>
    </row>
    <row r="7405" spans="1:40" x14ac:dyDescent="0.25">
      <c r="A7405" t="str">
        <f>"20190312172552791"</f>
        <v>20190312172552791</v>
      </c>
      <c r="B7405" t="str">
        <f>"1552382752787619"</f>
        <v>1552382752787619</v>
      </c>
      <c r="C7405" t="s">
        <v>40</v>
      </c>
      <c r="D7405">
        <v>3.961128</v>
      </c>
      <c r="E7405">
        <v>0.57584480000000005</v>
      </c>
      <c r="F7405" t="s">
        <v>49</v>
      </c>
      <c r="G7405">
        <v>-179.65199999999999</v>
      </c>
      <c r="H7405">
        <v>7.9988180000000006E-2</v>
      </c>
      <c r="I7405">
        <v>126.5642</v>
      </c>
      <c r="J7405">
        <v>-186.3999</v>
      </c>
      <c r="K7405">
        <v>1.106306</v>
      </c>
      <c r="L7405">
        <v>117.2377</v>
      </c>
      <c r="M7405">
        <v>0.1217353</v>
      </c>
      <c r="N7405">
        <v>0</v>
      </c>
      <c r="O7405">
        <v>0.99246000000000001</v>
      </c>
      <c r="P7405">
        <v>0.41985670000000003</v>
      </c>
      <c r="Q7405">
        <v>0.14765490000000001</v>
      </c>
      <c r="R7405">
        <v>0.89549899999999905</v>
      </c>
      <c r="S7405">
        <v>1.8052980000000001</v>
      </c>
      <c r="T7405">
        <v>-0.27306269999999999</v>
      </c>
      <c r="U7405">
        <v>2.5543209999999998</v>
      </c>
      <c r="V7405">
        <v>0.30931389999999997</v>
      </c>
      <c r="W7405">
        <v>0.1579479</v>
      </c>
      <c r="X7405">
        <v>0.93775120000000001</v>
      </c>
      <c r="Y7405">
        <v>0.47116580000000002</v>
      </c>
      <c r="Z7405">
        <v>-8.8981710000000006E-2</v>
      </c>
      <c r="AA7405">
        <v>0.87754489999999996</v>
      </c>
      <c r="AB7405">
        <v>27</v>
      </c>
      <c r="AC7405">
        <v>6.74789999999998</v>
      </c>
      <c r="AD7405">
        <v>-1.02631782</v>
      </c>
      <c r="AE7405">
        <v>9.3264999999999905</v>
      </c>
      <c r="AF7405">
        <v>5.5183598664196998</v>
      </c>
      <c r="AG7405">
        <v>-1.02631782</v>
      </c>
      <c r="AH7405">
        <v>9.9991828831626908</v>
      </c>
      <c r="AI7405">
        <v>95.1350050276221</v>
      </c>
      <c r="AJ7405">
        <v>61.106524928742097</v>
      </c>
      <c r="AK7405">
        <v>11.466877613975599</v>
      </c>
      <c r="AL7405">
        <v>80.912194709285004</v>
      </c>
      <c r="AM7405">
        <v>71.745044435902201</v>
      </c>
      <c r="AN7405">
        <v>0.99999997047452904</v>
      </c>
    </row>
    <row r="7406" spans="1:40" x14ac:dyDescent="0.25">
      <c r="A7406" t="str">
        <f>"20190312172552814"</f>
        <v>20190312172552814</v>
      </c>
      <c r="B7406" t="str">
        <f>"1552382752808116"</f>
        <v>1552382752808116</v>
      </c>
      <c r="C7406" t="s">
        <v>40</v>
      </c>
      <c r="D7406">
        <v>3.9716879999999999</v>
      </c>
      <c r="E7406">
        <v>0.57621339999999999</v>
      </c>
      <c r="F7406" t="s">
        <v>49</v>
      </c>
      <c r="G7406">
        <v>-179.26310000000001</v>
      </c>
      <c r="H7406">
        <v>7.9988139999999999E-2</v>
      </c>
      <c r="I7406">
        <v>127.04649999999999</v>
      </c>
      <c r="J7406">
        <v>-186.3587</v>
      </c>
      <c r="K7406">
        <v>1.1061620000000001</v>
      </c>
      <c r="L7406">
        <v>117.5194</v>
      </c>
      <c r="M7406">
        <v>0.12773319999999999</v>
      </c>
      <c r="N7406">
        <v>0</v>
      </c>
      <c r="O7406">
        <v>0.99170570000000002</v>
      </c>
      <c r="P7406">
        <v>0.42833280000000001</v>
      </c>
      <c r="Q7406">
        <v>0.14715500000000001</v>
      </c>
      <c r="R7406">
        <v>0.89155839999999997</v>
      </c>
      <c r="S7406">
        <v>1.8411709999999999</v>
      </c>
      <c r="T7406">
        <v>-0.26477339999999999</v>
      </c>
      <c r="U7406">
        <v>2.5305179999999998</v>
      </c>
      <c r="V7406">
        <v>0.31258599999999997</v>
      </c>
      <c r="W7406">
        <v>0.15730459999999999</v>
      </c>
      <c r="X7406">
        <v>0.93677379999999999</v>
      </c>
      <c r="Y7406">
        <v>0.4780298</v>
      </c>
      <c r="Z7406">
        <v>-8.6365129999999998E-2</v>
      </c>
      <c r="AA7406">
        <v>0.87408730000000001</v>
      </c>
      <c r="AB7406">
        <v>27</v>
      </c>
      <c r="AC7406">
        <v>7.0955999999999904</v>
      </c>
      <c r="AD7406">
        <v>-1.0261738600000001</v>
      </c>
      <c r="AE7406">
        <v>9.5270999999999901</v>
      </c>
      <c r="AF7406">
        <v>5.7773016869714899</v>
      </c>
      <c r="AG7406">
        <v>-1.0261738600000001</v>
      </c>
      <c r="AH7406">
        <v>10.278775960418701</v>
      </c>
      <c r="AI7406">
        <v>94.973884912423998</v>
      </c>
      <c r="AJ7406">
        <v>60.661346269593899</v>
      </c>
      <c r="AK7406">
        <v>11.8356868333744</v>
      </c>
      <c r="AL7406">
        <v>80.949519490710699</v>
      </c>
      <c r="AM7406">
        <v>71.546994124111905</v>
      </c>
      <c r="AN7406">
        <v>0.99999994847179796</v>
      </c>
    </row>
    <row r="7407" spans="1:40" x14ac:dyDescent="0.25">
      <c r="A7407" t="str">
        <f>"20190312172552837"</f>
        <v>20190312172552837</v>
      </c>
      <c r="B7407" t="str">
        <f>"1552382752827636"</f>
        <v>1552382752827636</v>
      </c>
      <c r="C7407" t="s">
        <v>40</v>
      </c>
      <c r="D7407">
        <v>3.9559679999999999</v>
      </c>
      <c r="E7407">
        <v>0.57642819999999995</v>
      </c>
      <c r="F7407" t="s">
        <v>49</v>
      </c>
      <c r="G7407">
        <v>-179.09979999999999</v>
      </c>
      <c r="H7407">
        <v>7.9988080000000003E-2</v>
      </c>
      <c r="I7407">
        <v>127.27630000000001</v>
      </c>
      <c r="J7407">
        <v>-186.3176</v>
      </c>
      <c r="K7407">
        <v>1.1060190000000001</v>
      </c>
      <c r="L7407">
        <v>117.78879999999999</v>
      </c>
      <c r="M7407">
        <v>0.1336842</v>
      </c>
      <c r="N7407">
        <v>0</v>
      </c>
      <c r="O7407">
        <v>0.99092080000000005</v>
      </c>
      <c r="P7407">
        <v>0.43715549999999997</v>
      </c>
      <c r="Q7407">
        <v>0.147555399999999</v>
      </c>
      <c r="R7407">
        <v>0.88719930000000002</v>
      </c>
      <c r="S7407">
        <v>1.8681179999999999</v>
      </c>
      <c r="T7407">
        <v>-0.26409139999999998</v>
      </c>
      <c r="U7407">
        <v>2.5109859999999999</v>
      </c>
      <c r="V7407">
        <v>0.31633060000000002</v>
      </c>
      <c r="W7407">
        <v>0.15754760000000001</v>
      </c>
      <c r="X7407">
        <v>0.9354751</v>
      </c>
      <c r="Y7407">
        <v>0.48206139999999997</v>
      </c>
      <c r="Z7407">
        <v>-8.622726E-2</v>
      </c>
      <c r="AA7407">
        <v>0.87188399999999999</v>
      </c>
      <c r="AB7407">
        <v>27</v>
      </c>
      <c r="AC7407">
        <v>7.2178000000000102</v>
      </c>
      <c r="AD7407">
        <v>-1.02603092</v>
      </c>
      <c r="AE7407">
        <v>9.4875000000000096</v>
      </c>
      <c r="AF7407">
        <v>5.8412691686722802</v>
      </c>
      <c r="AG7407">
        <v>-1.02603092</v>
      </c>
      <c r="AH7407">
        <v>10.291091082494599</v>
      </c>
      <c r="AI7407">
        <v>94.955556002117405</v>
      </c>
      <c r="AJ7407">
        <v>60.4205626964347</v>
      </c>
      <c r="AK7407">
        <v>11.8776984562615</v>
      </c>
      <c r="AL7407">
        <v>80.935421092596798</v>
      </c>
      <c r="AM7407">
        <v>71.317050676484698</v>
      </c>
      <c r="AN7407">
        <v>0.99999997874106406</v>
      </c>
    </row>
    <row r="7408" spans="1:40" x14ac:dyDescent="0.25">
      <c r="A7408" t="str">
        <f>"20190312172552859"</f>
        <v>20190312172552859</v>
      </c>
      <c r="B7408" t="str">
        <f>"1552382752848132"</f>
        <v>1552382752848132</v>
      </c>
      <c r="C7408" t="s">
        <v>40</v>
      </c>
      <c r="D7408">
        <v>3.9620479999999998</v>
      </c>
      <c r="E7408">
        <v>0.57631589999999999</v>
      </c>
      <c r="F7408" t="s">
        <v>49</v>
      </c>
      <c r="G7408">
        <v>-178.8717</v>
      </c>
      <c r="H7408">
        <v>7.9988000000000004E-2</v>
      </c>
      <c r="I7408">
        <v>127.57640000000001</v>
      </c>
      <c r="J7408">
        <v>-186.2739</v>
      </c>
      <c r="K7408">
        <v>1.1058619999999999</v>
      </c>
      <c r="L7408">
        <v>118.062</v>
      </c>
      <c r="M7408">
        <v>0.13994909999999999</v>
      </c>
      <c r="N7408">
        <v>0</v>
      </c>
      <c r="O7408">
        <v>0.99005520000000002</v>
      </c>
      <c r="P7408">
        <v>0.44543769999999999</v>
      </c>
      <c r="Q7408">
        <v>0.1483622</v>
      </c>
      <c r="R7408">
        <v>0.88293480000000002</v>
      </c>
      <c r="S7408">
        <v>1.895081</v>
      </c>
      <c r="T7408">
        <v>-0.26114120000000002</v>
      </c>
      <c r="U7408">
        <v>2.491104</v>
      </c>
      <c r="V7408">
        <v>0.31926179999999998</v>
      </c>
      <c r="W7408">
        <v>0.158197</v>
      </c>
      <c r="X7408">
        <v>0.93436909999999895</v>
      </c>
      <c r="Y7408">
        <v>0.4859002</v>
      </c>
      <c r="Z7408">
        <v>-8.5351609999999994E-2</v>
      </c>
      <c r="AA7408">
        <v>0.86983679999999997</v>
      </c>
      <c r="AB7408">
        <v>27</v>
      </c>
      <c r="AC7408">
        <v>7.4021999999999899</v>
      </c>
      <c r="AD7408">
        <v>-1.025874</v>
      </c>
      <c r="AE7408">
        <v>9.5143999999999895</v>
      </c>
      <c r="AF7408">
        <v>5.9545452243538204</v>
      </c>
      <c r="AG7408">
        <v>-1.025874</v>
      </c>
      <c r="AH7408">
        <v>10.381597913494</v>
      </c>
      <c r="AI7408">
        <v>94.899288609494405</v>
      </c>
      <c r="AJ7408">
        <v>60.162826833115098</v>
      </c>
      <c r="AK7408">
        <v>12.011935794459299</v>
      </c>
      <c r="AL7408">
        <v>80.897740889969896</v>
      </c>
      <c r="AM7408">
        <v>71.135367828693205</v>
      </c>
      <c r="AN7408">
        <v>1.00000000139152</v>
      </c>
    </row>
    <row r="7409" spans="1:40" x14ac:dyDescent="0.25">
      <c r="A7409" t="str">
        <f>"20190312172552883"</f>
        <v>20190312172552883</v>
      </c>
      <c r="B7409" t="str">
        <f>"1552382752877412"</f>
        <v>1552382752877412</v>
      </c>
      <c r="C7409" t="s">
        <v>40</v>
      </c>
      <c r="D7409">
        <v>3.9298709999999999</v>
      </c>
      <c r="E7409">
        <v>0.57579799999999903</v>
      </c>
      <c r="F7409" t="s">
        <v>49</v>
      </c>
      <c r="G7409">
        <v>-178.62979999999999</v>
      </c>
      <c r="H7409">
        <v>7.9988000000000004E-2</v>
      </c>
      <c r="I7409">
        <v>127.9164</v>
      </c>
      <c r="J7409">
        <v>-186.22710000000001</v>
      </c>
      <c r="K7409">
        <v>1.105691</v>
      </c>
      <c r="L7409">
        <v>118.3411</v>
      </c>
      <c r="M7409">
        <v>0.14661250000000001</v>
      </c>
      <c r="N7409">
        <v>0</v>
      </c>
      <c r="O7409">
        <v>0.98909009999999997</v>
      </c>
      <c r="P7409">
        <v>0.45371129999999998</v>
      </c>
      <c r="Q7409">
        <v>0.14906520000000001</v>
      </c>
      <c r="R7409">
        <v>0.87859299999999996</v>
      </c>
      <c r="S7409">
        <v>1.918442</v>
      </c>
      <c r="T7409">
        <v>-0.25746409999999997</v>
      </c>
      <c r="U7409">
        <v>2.4731749999999999</v>
      </c>
      <c r="V7409">
        <v>0.32184600000000002</v>
      </c>
      <c r="W7409">
        <v>0.1587356</v>
      </c>
      <c r="X7409">
        <v>0.93339070000000002</v>
      </c>
      <c r="Y7409">
        <v>0.4882629</v>
      </c>
      <c r="Z7409">
        <v>-8.4237870000000006E-2</v>
      </c>
      <c r="AA7409">
        <v>0.86862150000000005</v>
      </c>
      <c r="AB7409">
        <v>27</v>
      </c>
      <c r="AC7409">
        <v>7.5973000000000104</v>
      </c>
      <c r="AD7409">
        <v>-1.025703</v>
      </c>
      <c r="AE7409">
        <v>9.5753000000000004</v>
      </c>
      <c r="AF7409">
        <v>6.0684514739998798</v>
      </c>
      <c r="AG7409">
        <v>-1.025703</v>
      </c>
      <c r="AH7409">
        <v>10.511760982130999</v>
      </c>
      <c r="AI7409">
        <v>94.830343793214396</v>
      </c>
      <c r="AJ7409">
        <v>60.002111724857301</v>
      </c>
      <c r="AK7409">
        <v>12.1809395730359</v>
      </c>
      <c r="AL7409">
        <v>80.866486622749306</v>
      </c>
      <c r="AM7409">
        <v>70.975099594343604</v>
      </c>
      <c r="AN7409">
        <v>1.0000000186349201</v>
      </c>
    </row>
    <row r="7410" spans="1:40" x14ac:dyDescent="0.25">
      <c r="A7410" t="str">
        <f>"20190312172552903"</f>
        <v>20190312172552903</v>
      </c>
      <c r="B7410" t="str">
        <f>"1552382752897908"</f>
        <v>1552382752897908</v>
      </c>
      <c r="C7410" t="s">
        <v>40</v>
      </c>
      <c r="D7410">
        <v>3.883813</v>
      </c>
      <c r="E7410">
        <v>0.57563169999999897</v>
      </c>
      <c r="F7410" t="s">
        <v>49</v>
      </c>
      <c r="G7410">
        <v>-178.38220000000001</v>
      </c>
      <c r="H7410">
        <v>7.998798E-2</v>
      </c>
      <c r="I7410">
        <v>128.2764</v>
      </c>
      <c r="J7410">
        <v>-186.18260000000001</v>
      </c>
      <c r="K7410">
        <v>1.1055299999999999</v>
      </c>
      <c r="L7410">
        <v>118.5941</v>
      </c>
      <c r="M7410">
        <v>0.15289629999999901</v>
      </c>
      <c r="N7410">
        <v>0</v>
      </c>
      <c r="O7410">
        <v>0.98813799999999996</v>
      </c>
      <c r="P7410">
        <v>0.461918</v>
      </c>
      <c r="Q7410">
        <v>0.14974279999999901</v>
      </c>
      <c r="R7410">
        <v>0.87419040000000003</v>
      </c>
      <c r="S7410">
        <v>1.939316</v>
      </c>
      <c r="T7410">
        <v>-0.25356390000000001</v>
      </c>
      <c r="U7410">
        <v>2.4561000000000002</v>
      </c>
      <c r="V7410">
        <v>0.32474940000000002</v>
      </c>
      <c r="W7410">
        <v>0.15924820000000001</v>
      </c>
      <c r="X7410">
        <v>0.93229709999999999</v>
      </c>
      <c r="Y7410">
        <v>0.49026609999999998</v>
      </c>
      <c r="Z7410">
        <v>-8.3056430000000001E-2</v>
      </c>
      <c r="AA7410">
        <v>0.86760630000000005</v>
      </c>
      <c r="AB7410">
        <v>27</v>
      </c>
      <c r="AC7410">
        <v>7.80039999999999</v>
      </c>
      <c r="AD7410">
        <v>-1.0255420199999901</v>
      </c>
      <c r="AE7410">
        <v>9.6822999999999908</v>
      </c>
      <c r="AF7410">
        <v>6.1860401894933599</v>
      </c>
      <c r="AG7410">
        <v>-1.0255420199999901</v>
      </c>
      <c r="AH7410">
        <v>10.688492876358399</v>
      </c>
      <c r="AI7410">
        <v>94.747119873889801</v>
      </c>
      <c r="AJ7410">
        <v>59.9395865449141</v>
      </c>
      <c r="AK7410">
        <v>12.392042189598</v>
      </c>
      <c r="AL7410">
        <v>80.836738439907506</v>
      </c>
      <c r="AM7410">
        <v>70.795111096343206</v>
      </c>
      <c r="AN7410">
        <v>1.0000000223359999</v>
      </c>
    </row>
    <row r="7411" spans="1:40" x14ac:dyDescent="0.25">
      <c r="A7411" t="str">
        <f>"20190312172552926"</f>
        <v>20190312172552926</v>
      </c>
      <c r="B7411" t="str">
        <f>"1552382752917432"</f>
        <v>1552382752917432</v>
      </c>
      <c r="C7411" t="s">
        <v>40</v>
      </c>
      <c r="D7411">
        <v>3.8774519999999999</v>
      </c>
      <c r="E7411">
        <v>0.57537910000000003</v>
      </c>
      <c r="F7411" t="s">
        <v>49</v>
      </c>
      <c r="G7411">
        <v>-178.16970000000001</v>
      </c>
      <c r="H7411">
        <v>7.9987959999999997E-2</v>
      </c>
      <c r="I7411">
        <v>128.5548</v>
      </c>
      <c r="J7411">
        <v>-186.13200000000001</v>
      </c>
      <c r="K7411">
        <v>1.105364</v>
      </c>
      <c r="L7411">
        <v>118.86960000000001</v>
      </c>
      <c r="M7411">
        <v>0.1599651</v>
      </c>
      <c r="N7411">
        <v>0</v>
      </c>
      <c r="O7411">
        <v>0.98701799999999995</v>
      </c>
      <c r="P7411">
        <v>0.4701399</v>
      </c>
      <c r="Q7411">
        <v>0.15022149999999901</v>
      </c>
      <c r="R7411">
        <v>0.86971369999999903</v>
      </c>
      <c r="S7411">
        <v>1.961487</v>
      </c>
      <c r="T7411">
        <v>-0.2510443</v>
      </c>
      <c r="U7411">
        <v>2.4383089999999998</v>
      </c>
      <c r="V7411">
        <v>0.32695570000000002</v>
      </c>
      <c r="W7411">
        <v>0.15957539999999901</v>
      </c>
      <c r="X7411">
        <v>0.93146960000000001</v>
      </c>
      <c r="Y7411">
        <v>0.49195450000000002</v>
      </c>
      <c r="Z7411">
        <v>-8.2311200000000001E-2</v>
      </c>
      <c r="AA7411">
        <v>0.86672119999999997</v>
      </c>
      <c r="AB7411">
        <v>27</v>
      </c>
      <c r="AC7411">
        <v>7.9622999999999902</v>
      </c>
      <c r="AD7411">
        <v>-1.02537604</v>
      </c>
      <c r="AE7411">
        <v>9.6851999999999894</v>
      </c>
      <c r="AF7411">
        <v>6.26836725070011</v>
      </c>
      <c r="AG7411">
        <v>-1.02537604</v>
      </c>
      <c r="AH7411">
        <v>10.762295740807099</v>
      </c>
      <c r="AI7411">
        <v>94.706459696906705</v>
      </c>
      <c r="AJ7411">
        <v>59.781863475287103</v>
      </c>
      <c r="AK7411">
        <v>12.4968329438162</v>
      </c>
      <c r="AL7411">
        <v>80.817747999189805</v>
      </c>
      <c r="AM7411">
        <v>70.658386151636194</v>
      </c>
      <c r="AN7411">
        <v>0.99999997688590403</v>
      </c>
    </row>
    <row r="7412" spans="1:40" x14ac:dyDescent="0.25">
      <c r="A7412" t="str">
        <f>"20190312172552948"</f>
        <v>20190312172552948</v>
      </c>
      <c r="B7412" t="str">
        <f>"1552382752937924"</f>
        <v>1552382752937924</v>
      </c>
      <c r="C7412" t="s">
        <v>40</v>
      </c>
      <c r="D7412">
        <v>3.873882</v>
      </c>
      <c r="E7412">
        <v>0.57515209999999894</v>
      </c>
      <c r="F7412" t="s">
        <v>49</v>
      </c>
      <c r="G7412">
        <v>-178.00569999999999</v>
      </c>
      <c r="H7412">
        <v>7.9987920000000004E-2</v>
      </c>
      <c r="I7412">
        <v>128.791</v>
      </c>
      <c r="J7412">
        <v>-186.08150000000001</v>
      </c>
      <c r="K7412">
        <v>1.105208</v>
      </c>
      <c r="L7412">
        <v>119.13339999999999</v>
      </c>
      <c r="M7412">
        <v>0.1669506</v>
      </c>
      <c r="N7412">
        <v>0</v>
      </c>
      <c r="O7412">
        <v>0.98586019999999996</v>
      </c>
      <c r="P7412">
        <v>0.47835699999999998</v>
      </c>
      <c r="Q7412">
        <v>0.14969399999999999</v>
      </c>
      <c r="R7412">
        <v>0.86531279999999999</v>
      </c>
      <c r="S7412">
        <v>1.982788</v>
      </c>
      <c r="T7412">
        <v>-0.25018790000000002</v>
      </c>
      <c r="U7412">
        <v>2.420776</v>
      </c>
      <c r="V7412">
        <v>0.3292233</v>
      </c>
      <c r="W7412">
        <v>0.15890879999999999</v>
      </c>
      <c r="X7412">
        <v>0.93078459999999996</v>
      </c>
      <c r="Y7412">
        <v>0.4934482</v>
      </c>
      <c r="Z7412">
        <v>-8.2104079999999996E-2</v>
      </c>
      <c r="AA7412">
        <v>0.86589130000000003</v>
      </c>
      <c r="AB7412">
        <v>27</v>
      </c>
      <c r="AC7412">
        <v>8.0758000000000099</v>
      </c>
      <c r="AD7412">
        <v>-1.02522008</v>
      </c>
      <c r="AE7412">
        <v>9.6576000000000004</v>
      </c>
      <c r="AF7412">
        <v>6.3080907878071599</v>
      </c>
      <c r="AG7412">
        <v>-1.02522008</v>
      </c>
      <c r="AH7412">
        <v>10.7988124399269</v>
      </c>
      <c r="AI7412">
        <v>94.686434057697795</v>
      </c>
      <c r="AJ7412">
        <v>59.708803842811903</v>
      </c>
      <c r="AK7412">
        <v>12.548204481613</v>
      </c>
      <c r="AL7412">
        <v>80.856435057725506</v>
      </c>
      <c r="AM7412">
        <v>70.521051049991499</v>
      </c>
      <c r="AN7412">
        <v>0.999999979788744</v>
      </c>
    </row>
    <row r="7413" spans="1:40" x14ac:dyDescent="0.25">
      <c r="A7413" t="str">
        <f>"20190312172552970"</f>
        <v>20190312172552970</v>
      </c>
      <c r="B7413" t="str">
        <f>"1552382752968181"</f>
        <v>1552382752968181</v>
      </c>
      <c r="C7413" t="s">
        <v>40</v>
      </c>
      <c r="D7413">
        <v>3.8686980000000002</v>
      </c>
      <c r="E7413">
        <v>0.57481839999999995</v>
      </c>
      <c r="F7413" t="s">
        <v>49</v>
      </c>
      <c r="G7413">
        <v>-177.94640000000001</v>
      </c>
      <c r="H7413">
        <v>7.9987899999999904E-2</v>
      </c>
      <c r="I7413">
        <v>128.89089999999999</v>
      </c>
      <c r="J7413">
        <v>-186.0291</v>
      </c>
      <c r="K7413">
        <v>1.105065</v>
      </c>
      <c r="L7413">
        <v>119.39530000000001</v>
      </c>
      <c r="M7413">
        <v>0.1741171</v>
      </c>
      <c r="N7413">
        <v>0</v>
      </c>
      <c r="O7413">
        <v>0.98461940000000003</v>
      </c>
      <c r="P7413">
        <v>0.48645899999999997</v>
      </c>
      <c r="Q7413">
        <v>0.1498352</v>
      </c>
      <c r="R7413">
        <v>0.86075959999999996</v>
      </c>
      <c r="S7413">
        <v>2.0034939999999999</v>
      </c>
      <c r="T7413">
        <v>-0.25248989999999999</v>
      </c>
      <c r="U7413">
        <v>2.403076</v>
      </c>
      <c r="V7413">
        <v>0.33125789999999999</v>
      </c>
      <c r="W7413">
        <v>0.15891440000000001</v>
      </c>
      <c r="X7413">
        <v>0.93006149999999999</v>
      </c>
      <c r="Y7413">
        <v>0.49462260000000002</v>
      </c>
      <c r="Z7413">
        <v>-8.293006E-2</v>
      </c>
      <c r="AA7413">
        <v>0.86514230000000003</v>
      </c>
      <c r="AB7413">
        <v>27</v>
      </c>
      <c r="AC7413">
        <v>8.0826999999999796</v>
      </c>
      <c r="AD7413">
        <v>-1.0250771000000001</v>
      </c>
      <c r="AE7413">
        <v>9.4955999999999801</v>
      </c>
      <c r="AF7413">
        <v>6.2633669776885004</v>
      </c>
      <c r="AG7413">
        <v>-1.0250771000000001</v>
      </c>
      <c r="AH7413">
        <v>10.6857961154571</v>
      </c>
      <c r="AI7413">
        <v>94.731024874611407</v>
      </c>
      <c r="AJ7413">
        <v>59.623748870360302</v>
      </c>
      <c r="AK7413">
        <v>12.4284668233561</v>
      </c>
      <c r="AL7413">
        <v>80.856110150291201</v>
      </c>
      <c r="AM7413">
        <v>70.395741326005805</v>
      </c>
      <c r="AN7413">
        <v>0.999999988311009</v>
      </c>
    </row>
    <row r="7414" spans="1:40" x14ac:dyDescent="0.25">
      <c r="A7414" t="str">
        <f>"20190312172552993"</f>
        <v>20190312172552993</v>
      </c>
      <c r="B7414" t="str">
        <f>"1552382752987701"</f>
        <v>1552382752987701</v>
      </c>
      <c r="C7414" t="s">
        <v>40</v>
      </c>
      <c r="D7414">
        <v>3.870851</v>
      </c>
      <c r="E7414">
        <v>0.57456739999999995</v>
      </c>
      <c r="F7414" t="s">
        <v>49</v>
      </c>
      <c r="G7414">
        <v>-177.82859999999999</v>
      </c>
      <c r="H7414">
        <v>7.9987810000000006E-2</v>
      </c>
      <c r="I7414">
        <v>129.0608</v>
      </c>
      <c r="J7414">
        <v>-185.97110000000001</v>
      </c>
      <c r="K7414">
        <v>1.1048979999999999</v>
      </c>
      <c r="L7414">
        <v>119.6735</v>
      </c>
      <c r="M7414">
        <v>0.18198839999999999</v>
      </c>
      <c r="N7414">
        <v>0</v>
      </c>
      <c r="O7414">
        <v>0.98319449999999997</v>
      </c>
      <c r="P7414">
        <v>0.49516959999999999</v>
      </c>
      <c r="Q7414">
        <v>0.15062149999999999</v>
      </c>
      <c r="R7414">
        <v>0.85564030000000002</v>
      </c>
      <c r="S7414">
        <v>2.0239259999999999</v>
      </c>
      <c r="T7414">
        <v>-0.25299379999999999</v>
      </c>
      <c r="U7414">
        <v>2.3854980000000001</v>
      </c>
      <c r="V7414">
        <v>0.3333604</v>
      </c>
      <c r="W7414">
        <v>0.15955800000000001</v>
      </c>
      <c r="X7414">
        <v>0.92919969999999996</v>
      </c>
      <c r="Y7414">
        <v>0.49511860000000002</v>
      </c>
      <c r="Z7414">
        <v>-8.3160919999999999E-2</v>
      </c>
      <c r="AA7414">
        <v>0.8648363</v>
      </c>
      <c r="AB7414">
        <v>27</v>
      </c>
      <c r="AC7414">
        <v>8.1425000000000107</v>
      </c>
      <c r="AD7414">
        <v>-1.0249101899999999</v>
      </c>
      <c r="AE7414">
        <v>9.3872999999999909</v>
      </c>
      <c r="AF7414">
        <v>6.2553872852172301</v>
      </c>
      <c r="AG7414">
        <v>-1.0249101899999999</v>
      </c>
      <c r="AH7414">
        <v>10.640122155360499</v>
      </c>
      <c r="AI7414">
        <v>94.746825799891397</v>
      </c>
      <c r="AJ7414">
        <v>59.5484915806137</v>
      </c>
      <c r="AK7414">
        <v>12.3851730091516</v>
      </c>
      <c r="AL7414">
        <v>80.818758072178497</v>
      </c>
      <c r="AM7414">
        <v>70.264004899195896</v>
      </c>
      <c r="AN7414">
        <v>0.99999999706612497</v>
      </c>
    </row>
    <row r="7415" spans="1:40" x14ac:dyDescent="0.25">
      <c r="A7415" t="str">
        <f>"20190312172553016"</f>
        <v>20190312172553016</v>
      </c>
      <c r="B7415" t="str">
        <f>"1552382753008196"</f>
        <v>1552382753008196</v>
      </c>
      <c r="C7415" t="s">
        <v>40</v>
      </c>
      <c r="D7415">
        <v>3.9066869999999998</v>
      </c>
      <c r="E7415">
        <v>0.57434259999999904</v>
      </c>
      <c r="F7415" t="s">
        <v>49</v>
      </c>
      <c r="G7415">
        <v>-177.62989999999999</v>
      </c>
      <c r="H7415">
        <v>7.998769E-2</v>
      </c>
      <c r="I7415">
        <v>129.3152</v>
      </c>
      <c r="J7415">
        <v>-185.9134</v>
      </c>
      <c r="K7415">
        <v>1.1047359999999999</v>
      </c>
      <c r="L7415">
        <v>119.9385</v>
      </c>
      <c r="M7415">
        <v>0.18974840000000001</v>
      </c>
      <c r="N7415">
        <v>0</v>
      </c>
      <c r="O7415">
        <v>0.98172579999999998</v>
      </c>
      <c r="P7415">
        <v>0.50402219999999998</v>
      </c>
      <c r="Q7415">
        <v>0.15144060000000001</v>
      </c>
      <c r="R7415">
        <v>0.85031009999999996</v>
      </c>
      <c r="S7415">
        <v>2.0467680000000001</v>
      </c>
      <c r="T7415">
        <v>-0.25149349999999998</v>
      </c>
      <c r="U7415">
        <v>2.3659059999999998</v>
      </c>
      <c r="V7415">
        <v>0.33577449999999998</v>
      </c>
      <c r="W7415">
        <v>0.1602325</v>
      </c>
      <c r="X7415">
        <v>0.92821390000000004</v>
      </c>
      <c r="Y7415">
        <v>0.49660690000000002</v>
      </c>
      <c r="Z7415">
        <v>-8.2733100000000004E-2</v>
      </c>
      <c r="AA7415">
        <v>0.864023599999999</v>
      </c>
      <c r="AB7415">
        <v>27</v>
      </c>
      <c r="AC7415">
        <v>8.2835000000000001</v>
      </c>
      <c r="AD7415">
        <v>-1.0247483100000001</v>
      </c>
      <c r="AE7415">
        <v>9.3766999999999996</v>
      </c>
      <c r="AF7415">
        <v>6.3112413230042099</v>
      </c>
      <c r="AG7415">
        <v>-1.0247483100000001</v>
      </c>
      <c r="AH7415">
        <v>10.7064389869109</v>
      </c>
      <c r="AI7415">
        <v>94.713582096352695</v>
      </c>
      <c r="AJ7415">
        <v>59.481462369696096</v>
      </c>
      <c r="AK7415">
        <v>12.470353319633301</v>
      </c>
      <c r="AL7415">
        <v>80.7796084553936</v>
      </c>
      <c r="AM7415">
        <v>70.112784818050599</v>
      </c>
      <c r="AN7415">
        <v>1.00000000652985</v>
      </c>
    </row>
    <row r="7416" spans="1:40" x14ac:dyDescent="0.25">
      <c r="A7416" t="str">
        <f>"20190312172553038"</f>
        <v>20190312172553038</v>
      </c>
      <c r="B7416" t="str">
        <f>"1552382753027716"</f>
        <v>1552382753027716</v>
      </c>
      <c r="C7416" t="s">
        <v>40</v>
      </c>
      <c r="D7416">
        <v>3.8682470000000002</v>
      </c>
      <c r="E7416">
        <v>0.57403959999999998</v>
      </c>
      <c r="F7416" t="s">
        <v>49</v>
      </c>
      <c r="G7416">
        <v>-176.78970000000001</v>
      </c>
      <c r="H7416" s="1">
        <v>-3.523223E-6</v>
      </c>
      <c r="I7416">
        <v>130.28110000000001</v>
      </c>
      <c r="J7416">
        <v>-185.85380000000001</v>
      </c>
      <c r="K7416">
        <v>1.1045609999999999</v>
      </c>
      <c r="L7416">
        <v>120.20099999999999</v>
      </c>
      <c r="M7416">
        <v>0.1976996</v>
      </c>
      <c r="N7416">
        <v>0</v>
      </c>
      <c r="O7416">
        <v>0.98015479999999999</v>
      </c>
      <c r="P7416">
        <v>0.51301339999999995</v>
      </c>
      <c r="Q7416">
        <v>0.1516595</v>
      </c>
      <c r="R7416">
        <v>0.84487670000000004</v>
      </c>
      <c r="S7416">
        <v>2.069534</v>
      </c>
      <c r="T7416">
        <v>-0.25059009999999998</v>
      </c>
      <c r="U7416">
        <v>2.3460239999999999</v>
      </c>
      <c r="V7416">
        <v>0.33818520000000002</v>
      </c>
      <c r="W7416">
        <v>0.1603012</v>
      </c>
      <c r="X7416">
        <v>0.9273264</v>
      </c>
      <c r="Y7416">
        <v>0.49794070000000001</v>
      </c>
      <c r="Z7416">
        <v>-8.2494880000000007E-2</v>
      </c>
      <c r="AA7416">
        <v>0.8632784</v>
      </c>
      <c r="AB7416">
        <v>27</v>
      </c>
      <c r="AC7416">
        <v>9.0640999999999892</v>
      </c>
      <c r="AD7416">
        <v>-1.1045645232229999</v>
      </c>
      <c r="AE7416">
        <v>10.0801</v>
      </c>
      <c r="AF7416">
        <v>6.8466616366707296</v>
      </c>
      <c r="AG7416">
        <v>-1.1045645232229999</v>
      </c>
      <c r="AH7416">
        <v>11.5962714303203</v>
      </c>
      <c r="AI7416">
        <v>94.689035263822205</v>
      </c>
      <c r="AJ7416">
        <v>59.441580713093799</v>
      </c>
      <c r="AK7416">
        <v>13.5118595847753</v>
      </c>
      <c r="AL7416">
        <v>80.775620424585199</v>
      </c>
      <c r="AM7416">
        <v>69.963672878782006</v>
      </c>
      <c r="AN7416">
        <v>0.999999978178719</v>
      </c>
    </row>
    <row r="7417" spans="1:40" x14ac:dyDescent="0.25">
      <c r="A7417" t="str">
        <f>"20190312172553060"</f>
        <v>20190312172553060</v>
      </c>
      <c r="B7417" t="str">
        <f>"1552382753057973"</f>
        <v>1552382753057973</v>
      </c>
      <c r="C7417" t="s">
        <v>40</v>
      </c>
      <c r="D7417">
        <v>3.8594400000000002</v>
      </c>
      <c r="E7417">
        <v>0.57356390000000002</v>
      </c>
      <c r="F7417" t="s">
        <v>49</v>
      </c>
      <c r="G7417">
        <v>-176.66059999999999</v>
      </c>
      <c r="H7417" s="1">
        <v>-3.4889390000000002E-6</v>
      </c>
      <c r="I7417">
        <v>130.423</v>
      </c>
      <c r="J7417">
        <v>-185.79</v>
      </c>
      <c r="K7417">
        <v>1.1043639999999999</v>
      </c>
      <c r="L7417">
        <v>120.4706</v>
      </c>
      <c r="M7417">
        <v>0.20615939999999999</v>
      </c>
      <c r="N7417">
        <v>0</v>
      </c>
      <c r="O7417">
        <v>0.97840950000000004</v>
      </c>
      <c r="P7417">
        <v>0.52247690000000002</v>
      </c>
      <c r="Q7417">
        <v>0.15170339999999999</v>
      </c>
      <c r="R7417">
        <v>0.8390495</v>
      </c>
      <c r="S7417">
        <v>2.091736</v>
      </c>
      <c r="T7417">
        <v>-0.2513205</v>
      </c>
      <c r="U7417">
        <v>2.325806</v>
      </c>
      <c r="V7417">
        <v>0.34068480000000001</v>
      </c>
      <c r="W7417">
        <v>0.16017790000000001</v>
      </c>
      <c r="X7417">
        <v>0.92643240000000004</v>
      </c>
      <c r="Y7417">
        <v>0.49872759999999999</v>
      </c>
      <c r="Z7417">
        <v>-8.2792530000000003E-2</v>
      </c>
      <c r="AA7417">
        <v>0.86279549999999905</v>
      </c>
      <c r="AB7417">
        <v>27</v>
      </c>
      <c r="AC7417">
        <v>9.1294000000000004</v>
      </c>
      <c r="AD7417">
        <v>-1.1043674889389901</v>
      </c>
      <c r="AE7417">
        <v>9.9523999999999901</v>
      </c>
      <c r="AF7417">
        <v>6.83553714991075</v>
      </c>
      <c r="AG7417">
        <v>-1.1043674889389901</v>
      </c>
      <c r="AH7417">
        <v>11.5436838313903</v>
      </c>
      <c r="AI7417">
        <v>94.705920114391006</v>
      </c>
      <c r="AJ7417">
        <v>59.368306654166602</v>
      </c>
      <c r="AK7417">
        <v>13.461085843182801</v>
      </c>
      <c r="AL7417">
        <v>80.782778071769798</v>
      </c>
      <c r="AM7417">
        <v>69.809585096199299</v>
      </c>
      <c r="AN7417">
        <v>1.0000000421846</v>
      </c>
    </row>
    <row r="7418" spans="1:40" x14ac:dyDescent="0.25">
      <c r="A7418" t="str">
        <f>"20190312172553085"</f>
        <v>20190312172553085</v>
      </c>
      <c r="B7418" t="str">
        <f>"1552382753077501"</f>
        <v>1552382753077501</v>
      </c>
      <c r="C7418" t="s">
        <v>40</v>
      </c>
      <c r="D7418">
        <v>3.8897780000000002</v>
      </c>
      <c r="E7418">
        <v>0.57328199999999996</v>
      </c>
      <c r="F7418" t="s">
        <v>49</v>
      </c>
      <c r="G7418">
        <v>-176.5291</v>
      </c>
      <c r="H7418" s="1">
        <v>-3.4506320000000001E-6</v>
      </c>
      <c r="I7418">
        <v>130.5582</v>
      </c>
      <c r="J7418">
        <v>-185.721</v>
      </c>
      <c r="K7418">
        <v>1.104152</v>
      </c>
      <c r="L7418">
        <v>120.74850000000001</v>
      </c>
      <c r="M7418">
        <v>0.21523639999999999</v>
      </c>
      <c r="N7418">
        <v>0</v>
      </c>
      <c r="O7418">
        <v>0.97645190000000004</v>
      </c>
      <c r="P7418">
        <v>0.53202099999999997</v>
      </c>
      <c r="Q7418">
        <v>0.15262200000000001</v>
      </c>
      <c r="R7418">
        <v>0.83286269999999996</v>
      </c>
      <c r="S7418">
        <v>2.1151430000000002</v>
      </c>
      <c r="T7418">
        <v>-0.2522334</v>
      </c>
      <c r="U7418">
        <v>2.3039860000000001</v>
      </c>
      <c r="V7418">
        <v>0.34279890000000002</v>
      </c>
      <c r="W7418">
        <v>0.16092339999999999</v>
      </c>
      <c r="X7418">
        <v>0.92552290000000004</v>
      </c>
      <c r="Y7418">
        <v>0.4994941</v>
      </c>
      <c r="Z7418">
        <v>-8.3149120000000007E-2</v>
      </c>
      <c r="AA7418">
        <v>0.86231769999999996</v>
      </c>
      <c r="AB7418">
        <v>27</v>
      </c>
      <c r="AC7418">
        <v>9.1918999999999702</v>
      </c>
      <c r="AD7418">
        <v>-1.1041554506319999</v>
      </c>
      <c r="AE7418">
        <v>9.8096999999999905</v>
      </c>
      <c r="AF7418">
        <v>6.8187816179049596</v>
      </c>
      <c r="AG7418">
        <v>-1.1041554506319999</v>
      </c>
      <c r="AH7418">
        <v>11.480922958360299</v>
      </c>
      <c r="AI7418">
        <v>94.726953230050398</v>
      </c>
      <c r="AJ7418">
        <v>59.292958989864999</v>
      </c>
      <c r="AK7418">
        <v>13.3987512100062</v>
      </c>
      <c r="AL7418">
        <v>80.739502592585694</v>
      </c>
      <c r="AM7418">
        <v>69.676175026771205</v>
      </c>
      <c r="AN7418">
        <v>1.0000000324665801</v>
      </c>
    </row>
    <row r="7419" spans="1:40" x14ac:dyDescent="0.25">
      <c r="A7419" t="str">
        <f>"20190312172553105"</f>
        <v>20190312172553105</v>
      </c>
      <c r="B7419" t="str">
        <f>"1552382753097988"</f>
        <v>1552382753097988</v>
      </c>
      <c r="C7419" t="s">
        <v>40</v>
      </c>
      <c r="D7419">
        <v>3.8961410000000001</v>
      </c>
      <c r="E7419">
        <v>0.57344419999999996</v>
      </c>
      <c r="F7419" t="s">
        <v>49</v>
      </c>
      <c r="G7419">
        <v>-176.24080000000001</v>
      </c>
      <c r="H7419" s="1">
        <v>-3.3630179999999999E-6</v>
      </c>
      <c r="I7419">
        <v>130.84559999999999</v>
      </c>
      <c r="J7419">
        <v>-185.65719999999999</v>
      </c>
      <c r="K7419">
        <v>1.1039639999999999</v>
      </c>
      <c r="L7419">
        <v>120.9952</v>
      </c>
      <c r="M7419">
        <v>0.22357560000000001</v>
      </c>
      <c r="N7419">
        <v>0</v>
      </c>
      <c r="O7419">
        <v>0.97457550000000004</v>
      </c>
      <c r="P7419">
        <v>0.54149899999999995</v>
      </c>
      <c r="Q7419">
        <v>0.15325079999999999</v>
      </c>
      <c r="R7419">
        <v>0.82661549999999995</v>
      </c>
      <c r="S7419">
        <v>2.1408390000000002</v>
      </c>
      <c r="T7419">
        <v>-0.24934390000000001</v>
      </c>
      <c r="U7419">
        <v>2.2801670000000001</v>
      </c>
      <c r="V7419">
        <v>0.34557660000000001</v>
      </c>
      <c r="W7419">
        <v>0.16137939999999901</v>
      </c>
      <c r="X7419">
        <v>0.92440979999999995</v>
      </c>
      <c r="Y7419">
        <v>0.50180720000000001</v>
      </c>
      <c r="Z7419">
        <v>-8.2256339999999997E-2</v>
      </c>
      <c r="AA7419">
        <v>0.86105940000000003</v>
      </c>
      <c r="AB7419">
        <v>27</v>
      </c>
      <c r="AC7419">
        <v>9.4163999999999799</v>
      </c>
      <c r="AD7419">
        <v>-1.103967363018</v>
      </c>
      <c r="AE7419">
        <v>9.8503999999999898</v>
      </c>
      <c r="AF7419">
        <v>6.9299575687557704</v>
      </c>
      <c r="AG7419">
        <v>-1.103967363018</v>
      </c>
      <c r="AH7419">
        <v>11.6301744160589</v>
      </c>
      <c r="AI7419">
        <v>94.661817245056199</v>
      </c>
      <c r="AJ7419">
        <v>59.2109704727294</v>
      </c>
      <c r="AK7419">
        <v>13.5832254192925</v>
      </c>
      <c r="AL7419">
        <v>80.713029290399902</v>
      </c>
      <c r="AM7419">
        <v>69.5025048470428</v>
      </c>
      <c r="AN7419">
        <v>0.99999998777397903</v>
      </c>
    </row>
    <row r="7420" spans="1:40" x14ac:dyDescent="0.25">
      <c r="A7420" t="str">
        <f>"20190312172553127"</f>
        <v>20190312172553127</v>
      </c>
      <c r="B7420" t="str">
        <f>"1552382753117512"</f>
        <v>1552382753117512</v>
      </c>
      <c r="C7420" t="s">
        <v>40</v>
      </c>
      <c r="D7420">
        <v>3.818244</v>
      </c>
      <c r="E7420">
        <v>0.60509250000000003</v>
      </c>
      <c r="F7420" t="s">
        <v>49</v>
      </c>
      <c r="G7420">
        <v>-175.94759999999999</v>
      </c>
      <c r="H7420" s="1">
        <v>-3.2553029999999999E-6</v>
      </c>
      <c r="I7420">
        <v>131.0889</v>
      </c>
      <c r="J7420">
        <v>-185.5882</v>
      </c>
      <c r="K7420">
        <v>1.1037760000000001</v>
      </c>
      <c r="L7420">
        <v>121.25109999999999</v>
      </c>
      <c r="M7420">
        <v>0.2324813</v>
      </c>
      <c r="N7420">
        <v>0</v>
      </c>
      <c r="O7420">
        <v>0.97248869999999998</v>
      </c>
      <c r="P7420">
        <v>0.55192790000000003</v>
      </c>
      <c r="Q7420">
        <v>0.15393999999999999</v>
      </c>
      <c r="R7420">
        <v>0.81955979999999995</v>
      </c>
      <c r="S7420">
        <v>2.1685789999999998</v>
      </c>
      <c r="T7420">
        <v>-0.24656429999999999</v>
      </c>
      <c r="U7420">
        <v>2.2543790000000001</v>
      </c>
      <c r="V7420">
        <v>0.34895130000000002</v>
      </c>
      <c r="W7420">
        <v>0.16189189999999901</v>
      </c>
      <c r="X7420">
        <v>0.92305150000000002</v>
      </c>
      <c r="Y7420">
        <v>0.50437799999999999</v>
      </c>
      <c r="Z7420">
        <v>-8.1388530000000001E-2</v>
      </c>
      <c r="AA7420">
        <v>0.85963880000000004</v>
      </c>
      <c r="AB7420">
        <v>27</v>
      </c>
      <c r="AC7420">
        <v>9.6405999999999992</v>
      </c>
      <c r="AD7420">
        <v>-1.1037792553029999</v>
      </c>
      <c r="AE7420">
        <v>9.8377999999999997</v>
      </c>
      <c r="AF7420">
        <v>7.0438108418600898</v>
      </c>
      <c r="AG7420">
        <v>-1.1037792553029999</v>
      </c>
      <c r="AH7420">
        <v>11.734343622032201</v>
      </c>
      <c r="AI7420">
        <v>94.610895883505293</v>
      </c>
      <c r="AJ7420">
        <v>59.024739286454697</v>
      </c>
      <c r="AK7420">
        <v>13.7305651762872</v>
      </c>
      <c r="AL7420">
        <v>80.683274372581394</v>
      </c>
      <c r="AM7420">
        <v>69.291353110856505</v>
      </c>
      <c r="AN7420">
        <v>1.0000000343547699</v>
      </c>
    </row>
    <row r="7421" spans="1:40" x14ac:dyDescent="0.25">
      <c r="A7421" t="str">
        <f>"20190312172553148"</f>
        <v>20190312172553148</v>
      </c>
      <c r="B7421" t="str">
        <f>"1552382753138012"</f>
        <v>1552382753138012</v>
      </c>
      <c r="C7421" t="s">
        <v>40</v>
      </c>
      <c r="D7421">
        <v>3.7894709999999998</v>
      </c>
      <c r="E7421">
        <v>0.60668369999999905</v>
      </c>
      <c r="F7421" t="s">
        <v>49</v>
      </c>
      <c r="G7421">
        <v>-173.5026</v>
      </c>
      <c r="H7421" s="1">
        <v>-2.1219119999999999E-6</v>
      </c>
      <c r="I7421">
        <v>131.71709999999999</v>
      </c>
      <c r="J7421">
        <v>-185.51609999999999</v>
      </c>
      <c r="K7421">
        <v>1.1036090000000001</v>
      </c>
      <c r="L7421">
        <v>121.5085</v>
      </c>
      <c r="M7421">
        <v>0.24170340000000001</v>
      </c>
      <c r="N7421">
        <v>0</v>
      </c>
      <c r="O7421">
        <v>0.97023700000000002</v>
      </c>
      <c r="P7421">
        <v>0.56075249999999999</v>
      </c>
      <c r="Q7421">
        <v>0.15458939999999999</v>
      </c>
      <c r="R7421">
        <v>0.81342409999999998</v>
      </c>
      <c r="S7421">
        <v>2.404617</v>
      </c>
      <c r="T7421">
        <v>-0.21961339999999999</v>
      </c>
      <c r="U7421">
        <v>2.0823670000000001</v>
      </c>
      <c r="V7421">
        <v>0.35027469999999999</v>
      </c>
      <c r="W7421">
        <v>0.16241459999999999</v>
      </c>
      <c r="X7421">
        <v>0.92245820000000001</v>
      </c>
      <c r="Y7421">
        <v>0.57330059999999905</v>
      </c>
      <c r="Z7421">
        <v>-7.2095359999999997E-2</v>
      </c>
      <c r="AA7421">
        <v>0.81616709999999904</v>
      </c>
      <c r="AB7421">
        <v>27</v>
      </c>
      <c r="AC7421">
        <v>12.013499999999899</v>
      </c>
      <c r="AD7421">
        <v>-1.1036111219119999</v>
      </c>
      <c r="AE7421">
        <v>10.208599999999899</v>
      </c>
      <c r="AF7421">
        <v>9.1446849577333609</v>
      </c>
      <c r="AG7421">
        <v>-1.1036111219119999</v>
      </c>
      <c r="AH7421">
        <v>12.747403954205399</v>
      </c>
      <c r="AI7421">
        <v>94.023916964301705</v>
      </c>
      <c r="AJ7421">
        <v>54.345241046081199</v>
      </c>
      <c r="AK7421">
        <v>15.727031762424</v>
      </c>
      <c r="AL7421">
        <v>80.652923871554606</v>
      </c>
      <c r="AM7421">
        <v>69.207290048739793</v>
      </c>
      <c r="AN7421">
        <v>0.99999999925024496</v>
      </c>
    </row>
    <row r="7422" spans="1:40" x14ac:dyDescent="0.25">
      <c r="A7422" t="str">
        <f>"20190312172553171"</f>
        <v>20190312172553171</v>
      </c>
      <c r="B7422" t="str">
        <f>"1552382753167285"</f>
        <v>1552382753167285</v>
      </c>
      <c r="C7422" t="s">
        <v>40</v>
      </c>
      <c r="D7422">
        <v>3.8883800000000002</v>
      </c>
      <c r="E7422">
        <v>0.60640909999999904</v>
      </c>
      <c r="F7422" t="s">
        <v>49</v>
      </c>
      <c r="G7422">
        <v>-173.0086</v>
      </c>
      <c r="H7422" s="1">
        <v>-1.9741319999999999E-6</v>
      </c>
      <c r="I7422">
        <v>132.01929999999999</v>
      </c>
      <c r="J7422">
        <v>-185.4418</v>
      </c>
      <c r="K7422">
        <v>1.1034459999999999</v>
      </c>
      <c r="L7422">
        <v>121.7632</v>
      </c>
      <c r="M7422">
        <v>0.25110250000000001</v>
      </c>
      <c r="N7422">
        <v>0</v>
      </c>
      <c r="O7422">
        <v>0.96784619999999999</v>
      </c>
      <c r="P7422">
        <v>0.57046390000000002</v>
      </c>
      <c r="Q7422">
        <v>0.15549289999999999</v>
      </c>
      <c r="R7422">
        <v>0.8064694</v>
      </c>
      <c r="S7422">
        <v>2.4376530000000001</v>
      </c>
      <c r="T7422">
        <v>-0.2150888</v>
      </c>
      <c r="U7422">
        <v>2.0485229999999999</v>
      </c>
      <c r="V7422">
        <v>0.35251640000000001</v>
      </c>
      <c r="W7422">
        <v>0.1631707</v>
      </c>
      <c r="X7422">
        <v>0.92147029999999996</v>
      </c>
      <c r="Y7422">
        <v>0.57753959999999904</v>
      </c>
      <c r="Z7422">
        <v>-7.0634039999999995E-2</v>
      </c>
      <c r="AA7422">
        <v>0.81330119999999995</v>
      </c>
      <c r="AB7422">
        <v>27</v>
      </c>
      <c r="AC7422">
        <v>12.433199999999999</v>
      </c>
      <c r="AD7422">
        <v>-1.103447974132</v>
      </c>
      <c r="AE7422">
        <v>10.256099999999901</v>
      </c>
      <c r="AF7422">
        <v>9.4150097701907196</v>
      </c>
      <c r="AG7422">
        <v>-1.103447974132</v>
      </c>
      <c r="AH7422">
        <v>12.988897586738</v>
      </c>
      <c r="AI7422">
        <v>93.934826874298196</v>
      </c>
      <c r="AJ7422">
        <v>54.063500604494202</v>
      </c>
      <c r="AK7422">
        <v>16.0801575528093</v>
      </c>
      <c r="AL7422">
        <v>80.609016847939799</v>
      </c>
      <c r="AM7422">
        <v>69.065217859131593</v>
      </c>
      <c r="AN7422">
        <v>1.0000000016947701</v>
      </c>
    </row>
    <row r="7423" spans="1:40" x14ac:dyDescent="0.25">
      <c r="A7423" t="str">
        <f>"20190312172553182"</f>
        <v>20190312172553182</v>
      </c>
      <c r="B7423" t="str">
        <f>"1552382753178021"</f>
        <v>1552382753178021</v>
      </c>
      <c r="C7423" t="s">
        <v>40</v>
      </c>
      <c r="D7423">
        <v>3.8396680000000001</v>
      </c>
      <c r="E7423">
        <v>0.60626639999999998</v>
      </c>
      <c r="F7423" t="s">
        <v>49</v>
      </c>
      <c r="G7423">
        <v>-172.87379999999999</v>
      </c>
      <c r="H7423" s="1">
        <v>-1.9274080000000002E-6</v>
      </c>
      <c r="I7423">
        <v>132.0874</v>
      </c>
      <c r="J7423">
        <v>-185.40199999999999</v>
      </c>
      <c r="K7423">
        <v>1.1033599999999999</v>
      </c>
      <c r="L7423">
        <v>121.8964</v>
      </c>
      <c r="M7423">
        <v>0.25610509999999997</v>
      </c>
      <c r="N7423">
        <v>0</v>
      </c>
      <c r="O7423">
        <v>0.96653409999999995</v>
      </c>
      <c r="P7423">
        <v>0.57542950000000004</v>
      </c>
      <c r="Q7423">
        <v>0.15527279999999999</v>
      </c>
      <c r="R7423">
        <v>0.80297649999999998</v>
      </c>
      <c r="S7423">
        <v>2.4604339999999998</v>
      </c>
      <c r="T7423">
        <v>-0.21602150000000001</v>
      </c>
      <c r="U7423">
        <v>2.0211640000000002</v>
      </c>
      <c r="V7423">
        <v>0.35345910000000003</v>
      </c>
      <c r="W7423">
        <v>0.1628781</v>
      </c>
      <c r="X7423">
        <v>0.92116089999999995</v>
      </c>
      <c r="Y7423">
        <v>0.58238579999999995</v>
      </c>
      <c r="Z7423">
        <v>-7.1014590000000002E-2</v>
      </c>
      <c r="AA7423">
        <v>0.80980469999999904</v>
      </c>
      <c r="AB7423">
        <v>27</v>
      </c>
      <c r="AC7423">
        <v>12.5282</v>
      </c>
      <c r="AD7423">
        <v>-1.103361927408</v>
      </c>
      <c r="AE7423">
        <v>10.191000000000001</v>
      </c>
      <c r="AF7423">
        <v>9.4558823194980199</v>
      </c>
      <c r="AG7423">
        <v>-1.103361927408</v>
      </c>
      <c r="AH7423">
        <v>12.9992573983016</v>
      </c>
      <c r="AI7423">
        <v>93.926615838091493</v>
      </c>
      <c r="AJ7423">
        <v>53.967216106924198</v>
      </c>
      <c r="AK7423">
        <v>16.1124737669406</v>
      </c>
      <c r="AL7423">
        <v>80.626008964905495</v>
      </c>
      <c r="AM7423">
        <v>69.007668053601705</v>
      </c>
      <c r="AN7423">
        <v>1.0000000072606099</v>
      </c>
    </row>
    <row r="7424" spans="1:40" x14ac:dyDescent="0.25">
      <c r="A7424" t="str">
        <f>"20190312172553193"</f>
        <v>20190312172553193</v>
      </c>
      <c r="B7424" t="str">
        <f>"1552382753187780"</f>
        <v>1552382753187780</v>
      </c>
      <c r="C7424" t="s">
        <v>40</v>
      </c>
      <c r="D7424">
        <v>3.8874770000000001</v>
      </c>
      <c r="E7424">
        <v>0.60609990000000002</v>
      </c>
      <c r="F7424" t="s">
        <v>49</v>
      </c>
      <c r="G7424">
        <v>-172.87719999999999</v>
      </c>
      <c r="H7424" s="1">
        <v>-1.9184530000000001E-6</v>
      </c>
      <c r="I7424">
        <v>132.06270000000001</v>
      </c>
      <c r="J7424">
        <v>-185.3614</v>
      </c>
      <c r="K7424">
        <v>1.1032679999999999</v>
      </c>
      <c r="L7424">
        <v>122.02800000000001</v>
      </c>
      <c r="M7424">
        <v>0.26116899999999998</v>
      </c>
      <c r="N7424">
        <v>0</v>
      </c>
      <c r="O7424">
        <v>0.96517770000000003</v>
      </c>
      <c r="P7424">
        <v>0.58059329999999998</v>
      </c>
      <c r="Q7424">
        <v>0.15497330000000001</v>
      </c>
      <c r="R7424">
        <v>0.79930889999999999</v>
      </c>
      <c r="S7424">
        <v>2.472153</v>
      </c>
      <c r="T7424">
        <v>-0.21778310000000001</v>
      </c>
      <c r="U7424">
        <v>2.0066380000000001</v>
      </c>
      <c r="V7424">
        <v>0.35458620000000002</v>
      </c>
      <c r="W7424">
        <v>0.162499799999999</v>
      </c>
      <c r="X7424">
        <v>0.92079449999999996</v>
      </c>
      <c r="Y7424">
        <v>0.58284239999999998</v>
      </c>
      <c r="Z7424">
        <v>-7.161824E-2</v>
      </c>
      <c r="AA7424">
        <v>0.809423</v>
      </c>
      <c r="AB7424">
        <v>27</v>
      </c>
      <c r="AC7424">
        <v>12.4842</v>
      </c>
      <c r="AD7424">
        <v>-1.1032699184529999</v>
      </c>
      <c r="AE7424">
        <v>10.034700000000001</v>
      </c>
      <c r="AF7424">
        <v>9.3852409203660496</v>
      </c>
      <c r="AG7424">
        <v>-1.1032699184529999</v>
      </c>
      <c r="AH7424">
        <v>12.8860588898035</v>
      </c>
      <c r="AI7424">
        <v>93.958965522655703</v>
      </c>
      <c r="AJ7424">
        <v>53.9332068748637</v>
      </c>
      <c r="AK7424">
        <v>15.979689150849</v>
      </c>
      <c r="AL7424">
        <v>80.647976883667695</v>
      </c>
      <c r="AM7424">
        <v>68.938941993307196</v>
      </c>
      <c r="AN7424">
        <v>1.0000000347303599</v>
      </c>
    </row>
    <row r="7425" spans="1:40" x14ac:dyDescent="0.25">
      <c r="A7425" t="str">
        <f>"20190312172553205"</f>
        <v>20190312172553205</v>
      </c>
      <c r="B7425" t="str">
        <f>"1552382753197542"</f>
        <v>1552382753197542</v>
      </c>
      <c r="C7425" t="s">
        <v>40</v>
      </c>
      <c r="D7425">
        <v>3.8541069999999999</v>
      </c>
      <c r="E7425">
        <v>0.60585429999999996</v>
      </c>
      <c r="F7425" t="s">
        <v>49</v>
      </c>
      <c r="G7425">
        <v>-172.8811</v>
      </c>
      <c r="H7425" s="1">
        <v>-1.906834E-6</v>
      </c>
      <c r="I7425">
        <v>132.03149999999999</v>
      </c>
      <c r="J7425">
        <v>-185.32130000000001</v>
      </c>
      <c r="K7425">
        <v>1.103175</v>
      </c>
      <c r="L7425">
        <v>122.1566</v>
      </c>
      <c r="M7425">
        <v>0.26615830000000001</v>
      </c>
      <c r="N7425">
        <v>0</v>
      </c>
      <c r="O7425">
        <v>0.96381329999999998</v>
      </c>
      <c r="P7425">
        <v>0.58535079999999995</v>
      </c>
      <c r="Q7425">
        <v>0.15494450000000001</v>
      </c>
      <c r="R7425">
        <v>0.79583719999999902</v>
      </c>
      <c r="S7425">
        <v>2.4843289999999998</v>
      </c>
      <c r="T7425">
        <v>-0.21961720000000001</v>
      </c>
      <c r="U7425">
        <v>1.991287</v>
      </c>
      <c r="V7425">
        <v>0.35535169999999999</v>
      </c>
      <c r="W7425">
        <v>0.16239909999999999</v>
      </c>
      <c r="X7425">
        <v>0.92051709999999998</v>
      </c>
      <c r="Y7425">
        <v>0.58358949999999998</v>
      </c>
      <c r="Z7425">
        <v>-7.2248800000000002E-2</v>
      </c>
      <c r="AA7425">
        <v>0.8088284</v>
      </c>
      <c r="AB7425">
        <v>27</v>
      </c>
      <c r="AC7425">
        <v>12.440200000000001</v>
      </c>
      <c r="AD7425">
        <v>-1.103176906834</v>
      </c>
      <c r="AE7425">
        <v>9.8748999999999896</v>
      </c>
      <c r="AF7425">
        <v>9.3178401538190201</v>
      </c>
      <c r="AG7425">
        <v>-1.103176906834</v>
      </c>
      <c r="AH7425">
        <v>12.768460466950501</v>
      </c>
      <c r="AI7425">
        <v>93.9922662901146</v>
      </c>
      <c r="AJ7425">
        <v>53.879736969670802</v>
      </c>
      <c r="AK7425">
        <v>15.845274598945</v>
      </c>
      <c r="AL7425">
        <v>80.6538240525079</v>
      </c>
      <c r="AM7425">
        <v>68.891672854059195</v>
      </c>
      <c r="AN7425">
        <v>1.0000000148830499</v>
      </c>
    </row>
    <row r="7426" spans="1:40" x14ac:dyDescent="0.25">
      <c r="A7426" t="str">
        <f>"20190312172553216"</f>
        <v>20190312172553216</v>
      </c>
      <c r="B7426" t="str">
        <f>"1552382753207300"</f>
        <v>1552382753207300</v>
      </c>
      <c r="C7426" t="s">
        <v>40</v>
      </c>
      <c r="D7426">
        <v>3.8203049999999998</v>
      </c>
      <c r="E7426">
        <v>0.60549269999999999</v>
      </c>
      <c r="F7426" t="s">
        <v>49</v>
      </c>
      <c r="G7426">
        <v>-172.82749999999999</v>
      </c>
      <c r="H7426" s="1">
        <v>-1.888577E-6</v>
      </c>
      <c r="I7426">
        <v>132.05930000000001</v>
      </c>
      <c r="J7426">
        <v>-185.28039999999999</v>
      </c>
      <c r="K7426">
        <v>1.1030819999999999</v>
      </c>
      <c r="L7426">
        <v>122.28440000000001</v>
      </c>
      <c r="M7426">
        <v>0.27120359999999899</v>
      </c>
      <c r="N7426">
        <v>0</v>
      </c>
      <c r="O7426">
        <v>0.96240539999999997</v>
      </c>
      <c r="P7426">
        <v>0.59038840000000004</v>
      </c>
      <c r="Q7426">
        <v>0.15425739999999999</v>
      </c>
      <c r="R7426">
        <v>0.79224130000000004</v>
      </c>
      <c r="S7426">
        <v>2.4948730000000001</v>
      </c>
      <c r="T7426">
        <v>-0.2202916</v>
      </c>
      <c r="U7426">
        <v>1.977463</v>
      </c>
      <c r="V7426">
        <v>0.3563617</v>
      </c>
      <c r="W7426">
        <v>0.1616331</v>
      </c>
      <c r="X7426">
        <v>0.92026140000000001</v>
      </c>
      <c r="Y7426">
        <v>0.58374349999999997</v>
      </c>
      <c r="Z7426">
        <v>-7.2495610000000002E-2</v>
      </c>
      <c r="AA7426">
        <v>0.80869519999999995</v>
      </c>
      <c r="AB7426">
        <v>27</v>
      </c>
      <c r="AC7426">
        <v>12.4529</v>
      </c>
      <c r="AD7426">
        <v>-1.10308388857699</v>
      </c>
      <c r="AE7426">
        <v>9.7749000000000006</v>
      </c>
      <c r="AF7426">
        <v>9.2896956865993907</v>
      </c>
      <c r="AG7426">
        <v>-1.10308388857699</v>
      </c>
      <c r="AH7426">
        <v>12.7243452941656</v>
      </c>
      <c r="AI7426">
        <v>94.005120819578394</v>
      </c>
      <c r="AJ7426">
        <v>53.867842839527199</v>
      </c>
      <c r="AK7426">
        <v>15.793169510266599</v>
      </c>
      <c r="AL7426">
        <v>80.6982999284496</v>
      </c>
      <c r="AM7426">
        <v>68.8316212736746</v>
      </c>
      <c r="AN7426">
        <v>0.99999998228622899</v>
      </c>
    </row>
    <row r="7427" spans="1:40" x14ac:dyDescent="0.25">
      <c r="A7427" t="str">
        <f>"20190312172553226"</f>
        <v>20190312172553226</v>
      </c>
      <c r="B7427" t="str">
        <f>"1552382753218037"</f>
        <v>1552382753218037</v>
      </c>
      <c r="C7427" t="s">
        <v>40</v>
      </c>
      <c r="D7427">
        <v>3.8520300000000001</v>
      </c>
      <c r="E7427">
        <v>0.6051105</v>
      </c>
      <c r="F7427" t="s">
        <v>49</v>
      </c>
      <c r="G7427">
        <v>-172.87280000000001</v>
      </c>
      <c r="H7427" s="1">
        <v>-1.8923089999999999E-6</v>
      </c>
      <c r="I7427">
        <v>132.0094</v>
      </c>
      <c r="J7427">
        <v>-185.2398</v>
      </c>
      <c r="K7427">
        <v>1.102989</v>
      </c>
      <c r="L7427">
        <v>122.4091</v>
      </c>
      <c r="M7427">
        <v>0.27619880000000002</v>
      </c>
      <c r="N7427">
        <v>0</v>
      </c>
      <c r="O7427">
        <v>0.96098329999999998</v>
      </c>
      <c r="P7427">
        <v>0.59513660000000002</v>
      </c>
      <c r="Q7427">
        <v>0.1540724</v>
      </c>
      <c r="R7427">
        <v>0.7887168</v>
      </c>
      <c r="S7427">
        <v>2.5049589999999999</v>
      </c>
      <c r="T7427">
        <v>-0.22270000000000001</v>
      </c>
      <c r="U7427">
        <v>1.9633640000000001</v>
      </c>
      <c r="V7427">
        <v>0.3571356</v>
      </c>
      <c r="W7427">
        <v>0.1613733</v>
      </c>
      <c r="X7427">
        <v>0.92000700000000002</v>
      </c>
      <c r="Y7427">
        <v>0.5838835</v>
      </c>
      <c r="Z7427">
        <v>-7.3318690000000006E-2</v>
      </c>
      <c r="AA7427">
        <v>0.80851989999999996</v>
      </c>
      <c r="AB7427">
        <v>27</v>
      </c>
      <c r="AC7427">
        <v>12.3669999999999</v>
      </c>
      <c r="AD7427">
        <v>-1.1029908923089999</v>
      </c>
      <c r="AE7427">
        <v>9.6003000000000007</v>
      </c>
      <c r="AF7427">
        <v>9.1883234987289395</v>
      </c>
      <c r="AG7427">
        <v>-1.1029908923089999</v>
      </c>
      <c r="AH7427">
        <v>12.580460203109</v>
      </c>
      <c r="AI7427">
        <v>94.049874628797298</v>
      </c>
      <c r="AJ7427">
        <v>53.856928308959397</v>
      </c>
      <c r="AK7427">
        <v>15.617613663675399</v>
      </c>
      <c r="AL7427">
        <v>80.713383826408901</v>
      </c>
      <c r="AM7427">
        <v>68.784389464609006</v>
      </c>
      <c r="AN7427">
        <v>1.0000000293946201</v>
      </c>
    </row>
    <row r="7428" spans="1:40" x14ac:dyDescent="0.25">
      <c r="A7428" t="str">
        <f>"20190312172553249"</f>
        <v>20190312172553249</v>
      </c>
      <c r="B7428" t="str">
        <f>"1552382753237560"</f>
        <v>1552382753237560</v>
      </c>
      <c r="C7428" t="s">
        <v>40</v>
      </c>
      <c r="D7428">
        <v>3.863629</v>
      </c>
      <c r="E7428">
        <v>0.60462530000000003</v>
      </c>
      <c r="F7428" t="s">
        <v>49</v>
      </c>
      <c r="G7428">
        <v>-172.75700000000001</v>
      </c>
      <c r="H7428" s="1">
        <v>-1.862134E-6</v>
      </c>
      <c r="I7428">
        <v>132.09030000000001</v>
      </c>
      <c r="J7428">
        <v>-185.15559999999999</v>
      </c>
      <c r="K7428">
        <v>1.102797</v>
      </c>
      <c r="L7428">
        <v>122.6601</v>
      </c>
      <c r="M7428">
        <v>0.28645799999999999</v>
      </c>
      <c r="N7428">
        <v>0</v>
      </c>
      <c r="O7428">
        <v>0.95797429999999995</v>
      </c>
      <c r="P7428">
        <v>0.60466309999999901</v>
      </c>
      <c r="Q7428">
        <v>0.15461250000000001</v>
      </c>
      <c r="R7428">
        <v>0.78133059999999999</v>
      </c>
      <c r="S7428">
        <v>2.5142060000000002</v>
      </c>
      <c r="T7428">
        <v>-0.22215889999999999</v>
      </c>
      <c r="U7428">
        <v>1.949921</v>
      </c>
      <c r="V7428">
        <v>0.35858319999999999</v>
      </c>
      <c r="W7428">
        <v>0.16175819999999999</v>
      </c>
      <c r="X7428">
        <v>0.91937610000000003</v>
      </c>
      <c r="Y7428">
        <v>0.57935479999999995</v>
      </c>
      <c r="Z7428">
        <v>-7.312391E-2</v>
      </c>
      <c r="AA7428">
        <v>0.81178869999999903</v>
      </c>
      <c r="AB7428">
        <v>26</v>
      </c>
      <c r="AC7428">
        <v>12.398599999999901</v>
      </c>
      <c r="AD7428">
        <v>-1.1027988621339999</v>
      </c>
      <c r="AE7428">
        <v>9.4302000000000099</v>
      </c>
      <c r="AF7428">
        <v>9.1314595874628495</v>
      </c>
      <c r="AG7428">
        <v>-1.1027988621339999</v>
      </c>
      <c r="AH7428">
        <v>12.5242258731692</v>
      </c>
      <c r="AI7428">
        <v>94.069726591267894</v>
      </c>
      <c r="AJ7428">
        <v>53.9040710117213</v>
      </c>
      <c r="AK7428">
        <v>15.538853022342201</v>
      </c>
      <c r="AL7428">
        <v>80.691036999854106</v>
      </c>
      <c r="AM7428">
        <v>68.692781801745696</v>
      </c>
      <c r="AN7428">
        <v>1.00000001992034</v>
      </c>
    </row>
    <row r="7429" spans="1:40" x14ac:dyDescent="0.25">
      <c r="A7429" t="str">
        <f>"20190312172553260"</f>
        <v>20190312172553260</v>
      </c>
      <c r="B7429" t="str">
        <f>"1552382753258053"</f>
        <v>1552382753258053</v>
      </c>
      <c r="C7429" t="s">
        <v>40</v>
      </c>
      <c r="D7429">
        <v>3.837145</v>
      </c>
      <c r="E7429">
        <v>0.6039156</v>
      </c>
      <c r="F7429" t="s">
        <v>49</v>
      </c>
      <c r="G7429">
        <v>-172.50380000000001</v>
      </c>
      <c r="H7429" s="1">
        <v>-1.789224E-6</v>
      </c>
      <c r="I7429">
        <v>132.2517</v>
      </c>
      <c r="J7429">
        <v>-185.1097</v>
      </c>
      <c r="K7429">
        <v>1.102695</v>
      </c>
      <c r="L7429">
        <v>122.7937</v>
      </c>
      <c r="M7429">
        <v>0.29200989999999999</v>
      </c>
      <c r="N7429">
        <v>0</v>
      </c>
      <c r="O7429">
        <v>0.95629620000000004</v>
      </c>
      <c r="P7429">
        <v>0.60996830000000002</v>
      </c>
      <c r="Q7429">
        <v>0.15462690000000001</v>
      </c>
      <c r="R7429">
        <v>0.77719309999999997</v>
      </c>
      <c r="S7429">
        <v>2.5347900000000001</v>
      </c>
      <c r="T7429">
        <v>-0.22094549999999999</v>
      </c>
      <c r="U7429">
        <v>1.9216770000000001</v>
      </c>
      <c r="V7429">
        <v>0.3595544</v>
      </c>
      <c r="W7429">
        <v>0.16168389999999999</v>
      </c>
      <c r="X7429">
        <v>0.91900970000000004</v>
      </c>
      <c r="Y7429">
        <v>0.58356070000000004</v>
      </c>
      <c r="Z7429">
        <v>-7.2810620000000006E-2</v>
      </c>
      <c r="AA7429">
        <v>0.80879880000000004</v>
      </c>
      <c r="AB7429">
        <v>26</v>
      </c>
      <c r="AC7429">
        <v>12.605899999999901</v>
      </c>
      <c r="AD7429">
        <v>-1.1026967892240001</v>
      </c>
      <c r="AE7429">
        <v>9.4579999999999895</v>
      </c>
      <c r="AF7429">
        <v>9.2489221450052703</v>
      </c>
      <c r="AG7429">
        <v>-1.1026967892240001</v>
      </c>
      <c r="AH7429">
        <v>12.665140377530999</v>
      </c>
      <c r="AI7429">
        <v>94.022005139354803</v>
      </c>
      <c r="AJ7429">
        <v>53.8606125447266</v>
      </c>
      <c r="AK7429">
        <v>15.721459278193599</v>
      </c>
      <c r="AL7429">
        <v>80.695350105654299</v>
      </c>
      <c r="AM7429">
        <v>68.632518592383704</v>
      </c>
      <c r="AN7429">
        <v>0.99999993938632803</v>
      </c>
    </row>
    <row r="7430" spans="1:40" x14ac:dyDescent="0.25">
      <c r="A7430" t="str">
        <f>"20190312172553274"</f>
        <v>20190312172553274</v>
      </c>
      <c r="B7430" t="str">
        <f>"1552382753267813"</f>
        <v>1552382753267813</v>
      </c>
      <c r="C7430" t="s">
        <v>40</v>
      </c>
      <c r="D7430">
        <v>3.8801480000000002</v>
      </c>
      <c r="E7430">
        <v>0.60356690000000002</v>
      </c>
      <c r="F7430" t="s">
        <v>49</v>
      </c>
      <c r="G7430">
        <v>-172.39580000000001</v>
      </c>
      <c r="H7430" s="1">
        <v>-1.762849E-6</v>
      </c>
      <c r="I7430">
        <v>132.33109999999999</v>
      </c>
      <c r="J7430">
        <v>-185.0566</v>
      </c>
      <c r="K7430">
        <v>1.1025849999999999</v>
      </c>
      <c r="L7430">
        <v>122.94329999999999</v>
      </c>
      <c r="M7430">
        <v>0.29837259999999999</v>
      </c>
      <c r="N7430">
        <v>0</v>
      </c>
      <c r="O7430">
        <v>0.9543296</v>
      </c>
      <c r="P7430">
        <v>0.61567709999999998</v>
      </c>
      <c r="Q7430">
        <v>0.15473199999999901</v>
      </c>
      <c r="R7430">
        <v>0.77265760000000006</v>
      </c>
      <c r="S7430">
        <v>2.543304</v>
      </c>
      <c r="T7430">
        <v>-0.22058520000000001</v>
      </c>
      <c r="U7430">
        <v>1.907867</v>
      </c>
      <c r="V7430">
        <v>0.36025819999999997</v>
      </c>
      <c r="W7430">
        <v>0.16170409999999999</v>
      </c>
      <c r="X7430">
        <v>0.91873059999999995</v>
      </c>
      <c r="Y7430">
        <v>0.58227200000000001</v>
      </c>
      <c r="Z7430">
        <v>-7.2715189999999999E-2</v>
      </c>
      <c r="AA7430">
        <v>0.80973569999999995</v>
      </c>
      <c r="AB7430">
        <v>26</v>
      </c>
      <c r="AC7430">
        <v>12.660799999999901</v>
      </c>
      <c r="AD7430">
        <v>-1.102586762849</v>
      </c>
      <c r="AE7430">
        <v>9.3878000000000004</v>
      </c>
      <c r="AF7430">
        <v>9.2373720314125798</v>
      </c>
      <c r="AG7430">
        <v>-1.102586762849</v>
      </c>
      <c r="AH7430">
        <v>12.676116910155301</v>
      </c>
      <c r="AI7430">
        <v>94.021078499918701</v>
      </c>
      <c r="AJ7430">
        <v>53.918333251953001</v>
      </c>
      <c r="AK7430">
        <v>15.7235072275958</v>
      </c>
      <c r="AL7430">
        <v>80.694178345682005</v>
      </c>
      <c r="AM7430">
        <v>68.588560732244602</v>
      </c>
      <c r="AN7430">
        <v>1.0000000510002001</v>
      </c>
    </row>
    <row r="7431" spans="1:40" x14ac:dyDescent="0.25">
      <c r="A7431" t="str">
        <f>"20190312172553288"</f>
        <v>20190312172553288</v>
      </c>
      <c r="B7431" t="str">
        <f>"1552382753277573"</f>
        <v>1552382753277573</v>
      </c>
      <c r="C7431" t="s">
        <v>40</v>
      </c>
      <c r="D7431">
        <v>3.8662510000000001</v>
      </c>
      <c r="E7431">
        <v>0.60319889999999998</v>
      </c>
      <c r="F7431" t="s">
        <v>49</v>
      </c>
      <c r="G7431">
        <v>-172.24700000000001</v>
      </c>
      <c r="H7431" s="1">
        <v>-1.7185599999999999E-6</v>
      </c>
      <c r="I7431">
        <v>132.42269999999999</v>
      </c>
      <c r="J7431">
        <v>-184.99940000000001</v>
      </c>
      <c r="K7431">
        <v>1.1024659999999999</v>
      </c>
      <c r="L7431">
        <v>123.1016</v>
      </c>
      <c r="M7431">
        <v>0.3051933</v>
      </c>
      <c r="N7431">
        <v>0</v>
      </c>
      <c r="O7431">
        <v>0.95216970000000001</v>
      </c>
      <c r="P7431">
        <v>0.62149659999999995</v>
      </c>
      <c r="Q7431">
        <v>0.15482219999999999</v>
      </c>
      <c r="R7431">
        <v>0.76796629999999999</v>
      </c>
      <c r="S7431">
        <v>2.555069</v>
      </c>
      <c r="T7431">
        <v>-0.2199274</v>
      </c>
      <c r="U7431">
        <v>1.890808</v>
      </c>
      <c r="V7431">
        <v>0.36068030000000001</v>
      </c>
      <c r="W7431">
        <v>0.1617121</v>
      </c>
      <c r="X7431">
        <v>0.91856349999999998</v>
      </c>
      <c r="Y7431">
        <v>0.58174939999999997</v>
      </c>
      <c r="Z7431">
        <v>-7.2511839999999994E-2</v>
      </c>
      <c r="AA7431">
        <v>0.8101294</v>
      </c>
      <c r="AB7431">
        <v>26</v>
      </c>
      <c r="AC7431">
        <v>12.7523999999999</v>
      </c>
      <c r="AD7431">
        <v>-1.10246771856</v>
      </c>
      <c r="AE7431">
        <v>9.32109999999998</v>
      </c>
      <c r="AF7431">
        <v>9.2537025633012409</v>
      </c>
      <c r="AG7431">
        <v>-1.10246771856</v>
      </c>
      <c r="AH7431">
        <v>12.706784702355099</v>
      </c>
      <c r="AI7431">
        <v>94.011874849362897</v>
      </c>
      <c r="AJ7431">
        <v>53.936060264797</v>
      </c>
      <c r="AK7431">
        <v>15.757817858844501</v>
      </c>
      <c r="AL7431">
        <v>80.693713319970698</v>
      </c>
      <c r="AM7431">
        <v>68.562203255671506</v>
      </c>
      <c r="AN7431">
        <v>0.99999999281337404</v>
      </c>
    </row>
    <row r="7432" spans="1:40" x14ac:dyDescent="0.25">
      <c r="A7432" t="str">
        <f>"20190312172553302"</f>
        <v>20190312172553302</v>
      </c>
      <c r="B7432" t="str">
        <f>"1552382753298069"</f>
        <v>1552382753298069</v>
      </c>
      <c r="C7432" t="s">
        <v>40</v>
      </c>
      <c r="D7432">
        <v>3.8202639999999999</v>
      </c>
      <c r="E7432">
        <v>0.59513909999999903</v>
      </c>
      <c r="F7432" t="s">
        <v>49</v>
      </c>
      <c r="G7432">
        <v>-172.08869999999999</v>
      </c>
      <c r="H7432" s="1">
        <v>-1.672174E-6</v>
      </c>
      <c r="I7432">
        <v>132.52170000000001</v>
      </c>
      <c r="J7432">
        <v>-184.93950000000001</v>
      </c>
      <c r="K7432">
        <v>1.1023419999999999</v>
      </c>
      <c r="L7432">
        <v>123.26390000000001</v>
      </c>
      <c r="M7432">
        <v>0.31228149999999999</v>
      </c>
      <c r="N7432">
        <v>0</v>
      </c>
      <c r="O7432">
        <v>0.94986809999999999</v>
      </c>
      <c r="P7432">
        <v>0.62783559999999905</v>
      </c>
      <c r="Q7432">
        <v>0.1549712</v>
      </c>
      <c r="R7432">
        <v>0.76276239999999995</v>
      </c>
      <c r="S7432">
        <v>2.5671390000000001</v>
      </c>
      <c r="T7432">
        <v>-0.21921399999999999</v>
      </c>
      <c r="U7432">
        <v>1.8730770000000001</v>
      </c>
      <c r="V7432">
        <v>0.36150339999999997</v>
      </c>
      <c r="W7432">
        <v>0.1617672</v>
      </c>
      <c r="X7432">
        <v>0.9182302</v>
      </c>
      <c r="Y7432">
        <v>0.58117220000000003</v>
      </c>
      <c r="Z7432">
        <v>-7.2285530000000001E-2</v>
      </c>
      <c r="AA7432">
        <v>0.81056379999999995</v>
      </c>
      <c r="AB7432">
        <v>26</v>
      </c>
      <c r="AC7432">
        <v>12.8508</v>
      </c>
      <c r="AD7432">
        <v>-1.1023436721740001</v>
      </c>
      <c r="AE7432">
        <v>9.2577999999999996</v>
      </c>
      <c r="AF7432">
        <v>9.2716870749044702</v>
      </c>
      <c r="AG7432">
        <v>-1.1023436721740001</v>
      </c>
      <c r="AH7432">
        <v>12.7464882663329</v>
      </c>
      <c r="AI7432">
        <v>94.000596961376601</v>
      </c>
      <c r="AJ7432">
        <v>53.968176339295702</v>
      </c>
      <c r="AK7432">
        <v>15.800389422741899</v>
      </c>
      <c r="AL7432">
        <v>80.690514434922704</v>
      </c>
      <c r="AM7432">
        <v>68.510647161160406</v>
      </c>
      <c r="AN7432">
        <v>1.0000000176997199</v>
      </c>
    </row>
    <row r="7433" spans="1:40" x14ac:dyDescent="0.25">
      <c r="A7433" t="str">
        <f>"20190312172553316"</f>
        <v>20190312172553316</v>
      </c>
      <c r="B7433" t="str">
        <f>"1552382753307829"</f>
        <v>1552382753307829</v>
      </c>
      <c r="C7433" t="s">
        <v>40</v>
      </c>
      <c r="D7433">
        <v>3.8707099999999999</v>
      </c>
      <c r="E7433">
        <v>0.59451730000000003</v>
      </c>
      <c r="F7433" t="s">
        <v>49</v>
      </c>
      <c r="G7433">
        <v>-172.17679999999999</v>
      </c>
      <c r="H7433" s="1">
        <v>-1.844849E-6</v>
      </c>
      <c r="I7433">
        <v>132.79820000000001</v>
      </c>
      <c r="J7433">
        <v>-184.87950000000001</v>
      </c>
      <c r="K7433">
        <v>1.1022289999999999</v>
      </c>
      <c r="L7433">
        <v>123.4212</v>
      </c>
      <c r="M7433">
        <v>0.31930389999999997</v>
      </c>
      <c r="N7433">
        <v>0</v>
      </c>
      <c r="O7433">
        <v>0.94752999999999998</v>
      </c>
      <c r="P7433">
        <v>0.6342411</v>
      </c>
      <c r="Q7433">
        <v>0.1551437</v>
      </c>
      <c r="R7433">
        <v>0.7574092</v>
      </c>
      <c r="S7433">
        <v>2.533188</v>
      </c>
      <c r="T7433">
        <v>-0.2187983</v>
      </c>
      <c r="U7433">
        <v>1.8924259999999999</v>
      </c>
      <c r="V7433">
        <v>0.36250559999999998</v>
      </c>
      <c r="W7433">
        <v>0.16184760000000001</v>
      </c>
      <c r="X7433">
        <v>0.91782079999999999</v>
      </c>
      <c r="Y7433">
        <v>0.56591579999999997</v>
      </c>
      <c r="Z7433">
        <v>-7.2276670000000001E-2</v>
      </c>
      <c r="AA7433">
        <v>0.82128880000000004</v>
      </c>
      <c r="AB7433">
        <v>26</v>
      </c>
      <c r="AC7433">
        <v>12.7027</v>
      </c>
      <c r="AD7433">
        <v>-1.1022308448489999</v>
      </c>
      <c r="AE7433">
        <v>9.3770000000000095</v>
      </c>
      <c r="AF7433">
        <v>8.9992669221486601</v>
      </c>
      <c r="AG7433">
        <v>-1.1022308448489999</v>
      </c>
      <c r="AH7433">
        <v>12.8797412084329</v>
      </c>
      <c r="AI7433">
        <v>94.012787328480997</v>
      </c>
      <c r="AJ7433">
        <v>55.057426793564197</v>
      </c>
      <c r="AK7433">
        <v>15.750855582082499</v>
      </c>
      <c r="AL7433">
        <v>80.685846063430603</v>
      </c>
      <c r="AM7433">
        <v>68.447795381915995</v>
      </c>
      <c r="AN7433">
        <v>0.99999998828488001</v>
      </c>
    </row>
    <row r="7434" spans="1:40" x14ac:dyDescent="0.25">
      <c r="A7434" t="str">
        <f>"20190312172553339"</f>
        <v>20190312172553339</v>
      </c>
      <c r="B7434" t="str">
        <f>"1552382753327516"</f>
        <v>1552382753327516</v>
      </c>
      <c r="C7434" t="s">
        <v>40</v>
      </c>
      <c r="D7434">
        <v>3.8168350000000002</v>
      </c>
      <c r="E7434">
        <v>0.59401459999999995</v>
      </c>
      <c r="F7434" t="s">
        <v>49</v>
      </c>
      <c r="G7434">
        <v>-171.98</v>
      </c>
      <c r="H7434" s="1">
        <v>-1.7835430000000001E-6</v>
      </c>
      <c r="I7434">
        <v>132.91319999999999</v>
      </c>
      <c r="J7434">
        <v>-184.78469999999999</v>
      </c>
      <c r="K7434">
        <v>1.1020639999999999</v>
      </c>
      <c r="L7434">
        <v>123.6634</v>
      </c>
      <c r="M7434">
        <v>0.33028069999999998</v>
      </c>
      <c r="N7434">
        <v>0</v>
      </c>
      <c r="O7434">
        <v>0.94375900000000001</v>
      </c>
      <c r="P7434">
        <v>0.6437773</v>
      </c>
      <c r="Q7434">
        <v>0.154835</v>
      </c>
      <c r="R7434">
        <v>0.7493843</v>
      </c>
      <c r="S7434">
        <v>2.5459900000000002</v>
      </c>
      <c r="T7434">
        <v>-0.21754799999999999</v>
      </c>
      <c r="U7434">
        <v>1.8734440000000001</v>
      </c>
      <c r="V7434">
        <v>0.363508</v>
      </c>
      <c r="W7434">
        <v>0.16142129999999999</v>
      </c>
      <c r="X7434">
        <v>0.91749939999999996</v>
      </c>
      <c r="Y7434">
        <v>0.5623203</v>
      </c>
      <c r="Z7434">
        <v>-7.1810230000000003E-2</v>
      </c>
      <c r="AA7434">
        <v>0.82379559999999996</v>
      </c>
      <c r="AB7434">
        <v>26</v>
      </c>
      <c r="AC7434">
        <v>12.804699999999899</v>
      </c>
      <c r="AD7434">
        <v>-1.1020657835430001</v>
      </c>
      <c r="AE7434">
        <v>9.2497999999999898</v>
      </c>
      <c r="AF7434">
        <v>8.9868313959855506</v>
      </c>
      <c r="AG7434">
        <v>-1.1020657835430001</v>
      </c>
      <c r="AH7434">
        <v>12.8974620318271</v>
      </c>
      <c r="AI7434">
        <v>94.010301507345901</v>
      </c>
      <c r="AJ7434">
        <v>55.131575516214198</v>
      </c>
      <c r="AK7434">
        <v>15.7582427444671</v>
      </c>
      <c r="AL7434">
        <v>80.710597057893906</v>
      </c>
      <c r="AM7434">
        <v>68.386813208167595</v>
      </c>
      <c r="AN7434">
        <v>1.00000002557902</v>
      </c>
    </row>
    <row r="7435" spans="1:40" x14ac:dyDescent="0.25">
      <c r="A7435" t="str">
        <f>"20190312172553349"</f>
        <v>20190312172553349</v>
      </c>
      <c r="B7435" t="str">
        <f>"1552382753337262"</f>
        <v>1552382753337262</v>
      </c>
      <c r="C7435" t="s">
        <v>40</v>
      </c>
      <c r="D7435">
        <v>3.8419629999999998</v>
      </c>
      <c r="E7435">
        <v>0.59363809999999995</v>
      </c>
      <c r="F7435" t="s">
        <v>49</v>
      </c>
      <c r="G7435">
        <v>-171.7285</v>
      </c>
      <c r="H7435" s="1">
        <v>-1.6949869999999999E-6</v>
      </c>
      <c r="I7435">
        <v>133.03700000000001</v>
      </c>
      <c r="J7435">
        <v>-184.73500000000001</v>
      </c>
      <c r="K7435">
        <v>1.1019829999999999</v>
      </c>
      <c r="L7435">
        <v>123.7863</v>
      </c>
      <c r="M7435">
        <v>0.33596209999999999</v>
      </c>
      <c r="N7435">
        <v>0</v>
      </c>
      <c r="O7435">
        <v>0.94175109999999995</v>
      </c>
      <c r="P7435">
        <v>0.64851729999999996</v>
      </c>
      <c r="Q7435">
        <v>0.15496370000000001</v>
      </c>
      <c r="R7435">
        <v>0.74525949999999996</v>
      </c>
      <c r="S7435">
        <v>2.5669249999999999</v>
      </c>
      <c r="T7435">
        <v>-0.21667230000000001</v>
      </c>
      <c r="U7435">
        <v>1.842911</v>
      </c>
      <c r="V7435">
        <v>0.36384060000000001</v>
      </c>
      <c r="W7435">
        <v>0.161498</v>
      </c>
      <c r="X7435">
        <v>0.917354</v>
      </c>
      <c r="Y7435">
        <v>0.56699350000000004</v>
      </c>
      <c r="Z7435">
        <v>-7.1599709999999997E-2</v>
      </c>
      <c r="AA7435">
        <v>0.82060460000000002</v>
      </c>
      <c r="AB7435">
        <v>26</v>
      </c>
      <c r="AC7435">
        <v>13.006500000000001</v>
      </c>
      <c r="AD7435">
        <v>-1.101984694987</v>
      </c>
      <c r="AE7435">
        <v>9.2507000000000001</v>
      </c>
      <c r="AF7435">
        <v>9.0986986776781595</v>
      </c>
      <c r="AG7435">
        <v>-1.101984694987</v>
      </c>
      <c r="AH7435">
        <v>13.021009623045201</v>
      </c>
      <c r="AI7435">
        <v>93.968404372914307</v>
      </c>
      <c r="AJ7435">
        <v>55.055281983524999</v>
      </c>
      <c r="AK7435">
        <v>15.9231711508294</v>
      </c>
      <c r="AL7435">
        <v>80.706143559311499</v>
      </c>
      <c r="AM7435">
        <v>68.365751431559502</v>
      </c>
      <c r="AN7435">
        <v>0.99999997376417904</v>
      </c>
    </row>
    <row r="7436" spans="1:40" x14ac:dyDescent="0.25">
      <c r="A7436" t="str">
        <f>"20190312172553360"</f>
        <v>20190312172553360</v>
      </c>
      <c r="B7436" t="str">
        <f>"1552382753357758"</f>
        <v>1552382753357758</v>
      </c>
      <c r="C7436" t="s">
        <v>40</v>
      </c>
      <c r="D7436">
        <v>3.8032140000000001</v>
      </c>
      <c r="E7436">
        <v>0.59292049999999996</v>
      </c>
      <c r="F7436" t="s">
        <v>49</v>
      </c>
      <c r="G7436">
        <v>-171.65629999999999</v>
      </c>
      <c r="H7436" s="1">
        <v>-1.6666930000000001E-6</v>
      </c>
      <c r="I7436">
        <v>133.066</v>
      </c>
      <c r="J7436">
        <v>-184.68389999999999</v>
      </c>
      <c r="K7436">
        <v>1.101901</v>
      </c>
      <c r="L7436">
        <v>123.9118</v>
      </c>
      <c r="M7436">
        <v>0.34178700000000001</v>
      </c>
      <c r="N7436">
        <v>0</v>
      </c>
      <c r="O7436">
        <v>0.9396523</v>
      </c>
      <c r="P7436">
        <v>0.65356630000000004</v>
      </c>
      <c r="Q7436">
        <v>0.1548746</v>
      </c>
      <c r="R7436">
        <v>0.74085419999999902</v>
      </c>
      <c r="S7436">
        <v>2.5767820000000001</v>
      </c>
      <c r="T7436">
        <v>-0.2171141</v>
      </c>
      <c r="U7436">
        <v>1.828308</v>
      </c>
      <c r="V7436">
        <v>0.3644172</v>
      </c>
      <c r="W7436">
        <v>0.16134979999999999</v>
      </c>
      <c r="X7436">
        <v>0.91715119999999895</v>
      </c>
      <c r="Y7436">
        <v>0.56646459999999998</v>
      </c>
      <c r="Z7436">
        <v>-7.1728159999999999E-2</v>
      </c>
      <c r="AA7436">
        <v>0.82095859999999998</v>
      </c>
      <c r="AB7436">
        <v>26</v>
      </c>
      <c r="AC7436">
        <v>13.0276</v>
      </c>
      <c r="AD7436">
        <v>-1.1019026666930001</v>
      </c>
      <c r="AE7436">
        <v>9.1541999999999994</v>
      </c>
      <c r="AF7436">
        <v>9.0702587922395708</v>
      </c>
      <c r="AG7436">
        <v>-1.1019026666930001</v>
      </c>
      <c r="AH7436">
        <v>12.9937331326982</v>
      </c>
      <c r="AI7436">
        <v>93.977756495475106</v>
      </c>
      <c r="AJ7436">
        <v>55.083082203060798</v>
      </c>
      <c r="AK7436">
        <v>15.8846115712297</v>
      </c>
      <c r="AL7436">
        <v>80.714747774461699</v>
      </c>
      <c r="AM7436">
        <v>68.330293406132697</v>
      </c>
      <c r="AN7436">
        <v>0.99999998863865902</v>
      </c>
    </row>
    <row r="7437" spans="1:40" x14ac:dyDescent="0.25">
      <c r="A7437" t="str">
        <f>"20190312172553373"</f>
        <v>20190312172553373</v>
      </c>
      <c r="B7437" t="str">
        <f>"1552382753367518"</f>
        <v>1552382753367518</v>
      </c>
      <c r="C7437" t="s">
        <v>40</v>
      </c>
      <c r="D7437">
        <v>3.8416990000000002</v>
      </c>
      <c r="E7437">
        <v>0.59257059999999995</v>
      </c>
      <c r="F7437" t="s">
        <v>49</v>
      </c>
      <c r="G7437">
        <v>-171.5728</v>
      </c>
      <c r="H7437" s="1">
        <v>-1.64148E-6</v>
      </c>
      <c r="I7437">
        <v>133.11660000000001</v>
      </c>
      <c r="J7437">
        <v>-184.62639999999999</v>
      </c>
      <c r="K7437">
        <v>1.10182</v>
      </c>
      <c r="L7437">
        <v>124.04810000000001</v>
      </c>
      <c r="M7437">
        <v>0.34824379999999999</v>
      </c>
      <c r="N7437">
        <v>0</v>
      </c>
      <c r="O7437">
        <v>0.93727819999999995</v>
      </c>
      <c r="P7437">
        <v>0.65880869999999903</v>
      </c>
      <c r="Q7437">
        <v>0.15481989999999901</v>
      </c>
      <c r="R7437">
        <v>0.73620779999999997</v>
      </c>
      <c r="S7437">
        <v>2.5846710000000002</v>
      </c>
      <c r="T7437">
        <v>-0.21722559999999999</v>
      </c>
      <c r="U7437">
        <v>1.8146059999999999</v>
      </c>
      <c r="V7437">
        <v>0.36464479999999999</v>
      </c>
      <c r="W7437">
        <v>0.16124439999999901</v>
      </c>
      <c r="X7437">
        <v>0.91707930000000004</v>
      </c>
      <c r="Y7437">
        <v>0.56489019999999901</v>
      </c>
      <c r="Z7437">
        <v>-7.1748049999999994E-2</v>
      </c>
      <c r="AA7437">
        <v>0.82204089999999996</v>
      </c>
      <c r="AB7437">
        <v>26</v>
      </c>
      <c r="AC7437">
        <v>13.0535999999999</v>
      </c>
      <c r="AD7437">
        <v>-1.1018216414799999</v>
      </c>
      <c r="AE7437">
        <v>9.0685000000000002</v>
      </c>
      <c r="AF7437">
        <v>9.0344619985540895</v>
      </c>
      <c r="AG7437">
        <v>-1.1018216414799999</v>
      </c>
      <c r="AH7437">
        <v>12.9846844299335</v>
      </c>
      <c r="AI7437">
        <v>93.984455405305198</v>
      </c>
      <c r="AJ7437">
        <v>55.170640293094003</v>
      </c>
      <c r="AK7437">
        <v>15.8567822800816</v>
      </c>
      <c r="AL7437">
        <v>80.720867116791496</v>
      </c>
      <c r="AM7437">
        <v>68.3164724609302</v>
      </c>
      <c r="AN7437">
        <v>1.00000001459344</v>
      </c>
    </row>
    <row r="7438" spans="1:40" x14ac:dyDescent="0.25">
      <c r="A7438" t="str">
        <f>"20190312172553385"</f>
        <v>20190312172553385</v>
      </c>
      <c r="B7438" t="str">
        <f>"1552382753377278"</f>
        <v>1552382753377278</v>
      </c>
      <c r="C7438" t="s">
        <v>40</v>
      </c>
      <c r="D7438">
        <v>3.824033</v>
      </c>
      <c r="E7438">
        <v>0.59215640000000003</v>
      </c>
      <c r="F7438" t="s">
        <v>49</v>
      </c>
      <c r="G7438">
        <v>-171.5188</v>
      </c>
      <c r="H7438" s="1">
        <v>-1.6167910000000001E-6</v>
      </c>
      <c r="I7438">
        <v>133.13040000000001</v>
      </c>
      <c r="J7438">
        <v>-184.57259999999999</v>
      </c>
      <c r="K7438">
        <v>1.1017479999999999</v>
      </c>
      <c r="L7438">
        <v>124.17449999999999</v>
      </c>
      <c r="M7438">
        <v>0.35425600000000002</v>
      </c>
      <c r="N7438">
        <v>0</v>
      </c>
      <c r="O7438">
        <v>0.93502189999999996</v>
      </c>
      <c r="P7438">
        <v>0.66392189999999995</v>
      </c>
      <c r="Q7438">
        <v>0.15473719999999999</v>
      </c>
      <c r="R7438">
        <v>0.73161750000000003</v>
      </c>
      <c r="S7438">
        <v>2.595367</v>
      </c>
      <c r="T7438">
        <v>-0.21816459999999999</v>
      </c>
      <c r="U7438">
        <v>1.798325</v>
      </c>
      <c r="V7438">
        <v>0.36516710000000002</v>
      </c>
      <c r="W7438">
        <v>0.16110550000000001</v>
      </c>
      <c r="X7438">
        <v>0.91689589999999999</v>
      </c>
      <c r="Y7438">
        <v>0.56464799999999904</v>
      </c>
      <c r="Z7438">
        <v>-7.2038699999999997E-2</v>
      </c>
      <c r="AA7438">
        <v>0.82218189999999902</v>
      </c>
      <c r="AB7438">
        <v>26</v>
      </c>
      <c r="AC7438">
        <v>13.053799999999899</v>
      </c>
      <c r="AD7438">
        <v>-1.1017496167909999</v>
      </c>
      <c r="AE7438">
        <v>8.9559000000000104</v>
      </c>
      <c r="AF7438">
        <v>8.9904309572643495</v>
      </c>
      <c r="AG7438">
        <v>-1.1017496167909999</v>
      </c>
      <c r="AH7438">
        <v>12.937225785031499</v>
      </c>
      <c r="AI7438">
        <v>94.000354275520095</v>
      </c>
      <c r="AJ7438">
        <v>55.203509581880198</v>
      </c>
      <c r="AK7438">
        <v>15.792831032728801</v>
      </c>
      <c r="AL7438">
        <v>80.728931186539498</v>
      </c>
      <c r="AM7438">
        <v>68.284362489062403</v>
      </c>
      <c r="AN7438">
        <v>1.0000000422447299</v>
      </c>
    </row>
    <row r="7439" spans="1:40" x14ac:dyDescent="0.25">
      <c r="A7439" t="str">
        <f>"20190312172553395"</f>
        <v>20190312172553395</v>
      </c>
      <c r="B7439" t="str">
        <f>"1552382753388015"</f>
        <v>1552382753388015</v>
      </c>
      <c r="C7439" t="s">
        <v>40</v>
      </c>
      <c r="D7439">
        <v>3.8138380000000001</v>
      </c>
      <c r="E7439">
        <v>0.591723</v>
      </c>
      <c r="F7439" t="s">
        <v>49</v>
      </c>
      <c r="G7439">
        <v>-171.46129999999999</v>
      </c>
      <c r="H7439" s="1">
        <v>-1.5909080000000001E-6</v>
      </c>
      <c r="I7439">
        <v>133.14599999999999</v>
      </c>
      <c r="J7439">
        <v>-184.5198</v>
      </c>
      <c r="K7439">
        <v>1.1016840000000001</v>
      </c>
      <c r="L7439">
        <v>124.2957</v>
      </c>
      <c r="M7439">
        <v>0.36010180000000003</v>
      </c>
      <c r="N7439">
        <v>0</v>
      </c>
      <c r="O7439">
        <v>0.93278570000000005</v>
      </c>
      <c r="P7439">
        <v>0.66841609999999996</v>
      </c>
      <c r="Q7439">
        <v>0.1549799</v>
      </c>
      <c r="R7439">
        <v>0.72746219999999995</v>
      </c>
      <c r="S7439">
        <v>2.6052249999999999</v>
      </c>
      <c r="T7439">
        <v>-0.21891759999999999</v>
      </c>
      <c r="U7439">
        <v>1.7826390000000001</v>
      </c>
      <c r="V7439">
        <v>0.36512729999999999</v>
      </c>
      <c r="W7439">
        <v>0.1613098</v>
      </c>
      <c r="X7439">
        <v>0.91687580000000002</v>
      </c>
      <c r="Y7439">
        <v>0.56429339999999995</v>
      </c>
      <c r="Z7439">
        <v>-7.2269260000000002E-2</v>
      </c>
      <c r="AA7439">
        <v>0.82240499999999905</v>
      </c>
      <c r="AB7439">
        <v>26</v>
      </c>
      <c r="AC7439">
        <v>13.0585</v>
      </c>
      <c r="AD7439">
        <v>-1.1016855909079999</v>
      </c>
      <c r="AE7439">
        <v>8.8503000000000096</v>
      </c>
      <c r="AF7439">
        <v>8.9511844039863604</v>
      </c>
      <c r="AG7439">
        <v>-1.1016855909079999</v>
      </c>
      <c r="AH7439">
        <v>12.896462759500301</v>
      </c>
      <c r="AI7439">
        <v>94.0143117823241</v>
      </c>
      <c r="AJ7439">
        <v>55.236235880715697</v>
      </c>
      <c r="AK7439">
        <v>15.7370951920156</v>
      </c>
      <c r="AL7439">
        <v>80.717070269982997</v>
      </c>
      <c r="AM7439">
        <v>68.286077376142302</v>
      </c>
      <c r="AN7439">
        <v>1.00000001470348</v>
      </c>
    </row>
    <row r="7440" spans="1:40" x14ac:dyDescent="0.25">
      <c r="A7440" t="str">
        <f>"20190312172553406"</f>
        <v>20190312172553406</v>
      </c>
      <c r="B7440" t="str">
        <f>"1552382753397774"</f>
        <v>1552382753397774</v>
      </c>
      <c r="C7440" t="s">
        <v>40</v>
      </c>
      <c r="D7440">
        <v>3.7578740000000002</v>
      </c>
      <c r="E7440">
        <v>0.59156409999999904</v>
      </c>
      <c r="F7440" t="s">
        <v>49</v>
      </c>
      <c r="G7440">
        <v>-171.38470000000001</v>
      </c>
      <c r="H7440" s="1">
        <v>-1.5652109999999999E-6</v>
      </c>
      <c r="I7440">
        <v>133.1865</v>
      </c>
      <c r="J7440">
        <v>-184.46860000000001</v>
      </c>
      <c r="K7440">
        <v>1.101621</v>
      </c>
      <c r="L7440">
        <v>124.4113</v>
      </c>
      <c r="M7440">
        <v>0.36572569999999999</v>
      </c>
      <c r="N7440">
        <v>0</v>
      </c>
      <c r="O7440">
        <v>0.9305947</v>
      </c>
      <c r="P7440">
        <v>0.67269760000000001</v>
      </c>
      <c r="Q7440">
        <v>0.1552201</v>
      </c>
      <c r="R7440">
        <v>0.72345329999999997</v>
      </c>
      <c r="S7440">
        <v>2.6136469999999998</v>
      </c>
      <c r="T7440">
        <v>-0.2192154</v>
      </c>
      <c r="U7440">
        <v>1.7691190000000001</v>
      </c>
      <c r="V7440">
        <v>0.36505349999999998</v>
      </c>
      <c r="W7440">
        <v>0.16151589999999999</v>
      </c>
      <c r="X7440">
        <v>0.91686889999999999</v>
      </c>
      <c r="Y7440">
        <v>0.56345749999999994</v>
      </c>
      <c r="Z7440">
        <v>-7.2337020000000002E-2</v>
      </c>
      <c r="AA7440">
        <v>0.82297209999999998</v>
      </c>
      <c r="AB7440">
        <v>26</v>
      </c>
      <c r="AC7440">
        <v>13.0839</v>
      </c>
      <c r="AD7440">
        <v>-1.1016225652110001</v>
      </c>
      <c r="AE7440">
        <v>8.7751999999999892</v>
      </c>
      <c r="AF7440">
        <v>8.92392522804343</v>
      </c>
      <c r="AG7440">
        <v>-1.1016225652110001</v>
      </c>
      <c r="AH7440">
        <v>12.8897895507148</v>
      </c>
      <c r="AI7440">
        <v>94.019445740282194</v>
      </c>
      <c r="AJ7440">
        <v>55.3041710734799</v>
      </c>
      <c r="AK7440">
        <v>15.7161282895505</v>
      </c>
      <c r="AL7440">
        <v>80.705104677955703</v>
      </c>
      <c r="AM7440">
        <v>68.289909821062693</v>
      </c>
      <c r="AN7440">
        <v>1.0000000118011301</v>
      </c>
    </row>
    <row r="7441" spans="1:40" x14ac:dyDescent="0.25">
      <c r="A7441" t="str">
        <f>"20190312172553417"</f>
        <v>20190312172553417</v>
      </c>
      <c r="B7441" t="str">
        <f>"1552382753407535"</f>
        <v>1552382753407535</v>
      </c>
      <c r="C7441" t="s">
        <v>40</v>
      </c>
      <c r="D7441">
        <v>3.7573699999999999</v>
      </c>
      <c r="E7441">
        <v>0.59148459999999903</v>
      </c>
      <c r="F7441" t="s">
        <v>49</v>
      </c>
      <c r="G7441">
        <v>-171.16749999999999</v>
      </c>
      <c r="H7441" s="1">
        <v>-1.4941809999999999E-6</v>
      </c>
      <c r="I7441">
        <v>133.3058</v>
      </c>
      <c r="J7441">
        <v>-184.41390000000001</v>
      </c>
      <c r="K7441">
        <v>1.101556</v>
      </c>
      <c r="L7441">
        <v>124.53270000000001</v>
      </c>
      <c r="M7441">
        <v>0.37167460000000002</v>
      </c>
      <c r="N7441">
        <v>0</v>
      </c>
      <c r="O7441">
        <v>0.92823429999999996</v>
      </c>
      <c r="P7441">
        <v>0.67739059999999995</v>
      </c>
      <c r="Q7441">
        <v>0.15542439999999999</v>
      </c>
      <c r="R7441">
        <v>0.71901680000000001</v>
      </c>
      <c r="S7441">
        <v>2.6232449999999998</v>
      </c>
      <c r="T7441">
        <v>-0.21726190000000001</v>
      </c>
      <c r="U7441">
        <v>1.7541659999999999</v>
      </c>
      <c r="V7441">
        <v>0.36519829999999998</v>
      </c>
      <c r="W7441">
        <v>0.1616792</v>
      </c>
      <c r="X7441">
        <v>0.9167824</v>
      </c>
      <c r="Y7441">
        <v>0.56284979999999996</v>
      </c>
      <c r="Z7441">
        <v>-7.1657960000000007E-2</v>
      </c>
      <c r="AA7441">
        <v>0.82344719999999905</v>
      </c>
      <c r="AB7441">
        <v>26</v>
      </c>
      <c r="AC7441">
        <v>13.2464</v>
      </c>
      <c r="AD7441">
        <v>-1.101557494181</v>
      </c>
      <c r="AE7441">
        <v>8.7730999999999995</v>
      </c>
      <c r="AF7441">
        <v>8.9928766901421504</v>
      </c>
      <c r="AG7441">
        <v>-1.101557494181</v>
      </c>
      <c r="AH7441">
        <v>13.005886921758099</v>
      </c>
      <c r="AI7441">
        <v>93.985080000293806</v>
      </c>
      <c r="AJ7441">
        <v>55.338210505934697</v>
      </c>
      <c r="AK7441">
        <v>15.8505001403314</v>
      </c>
      <c r="AL7441">
        <v>80.695623231188307</v>
      </c>
      <c r="AM7441">
        <v>68.280241367203502</v>
      </c>
      <c r="AN7441">
        <v>0.99999996549264403</v>
      </c>
    </row>
    <row r="7442" spans="1:40" x14ac:dyDescent="0.25">
      <c r="A7442" t="str">
        <f>"20190312172553429"</f>
        <v>20190312172553429</v>
      </c>
      <c r="B7442" t="str">
        <f>"1552382753418270"</f>
        <v>1552382753418270</v>
      </c>
      <c r="C7442" t="s">
        <v>40</v>
      </c>
      <c r="D7442">
        <v>3.7451340000000002</v>
      </c>
      <c r="E7442">
        <v>0.59143950000000001</v>
      </c>
      <c r="F7442" t="s">
        <v>49</v>
      </c>
      <c r="G7442">
        <v>-170.9299</v>
      </c>
      <c r="H7442" s="1">
        <v>-1.4120749999999999E-6</v>
      </c>
      <c r="I7442">
        <v>133.42619999999999</v>
      </c>
      <c r="J7442">
        <v>-184.35769999999999</v>
      </c>
      <c r="K7442">
        <v>1.1014900000000001</v>
      </c>
      <c r="L7442">
        <v>124.6549</v>
      </c>
      <c r="M7442">
        <v>0.37772810000000001</v>
      </c>
      <c r="N7442">
        <v>0</v>
      </c>
      <c r="O7442">
        <v>0.92578720000000003</v>
      </c>
      <c r="P7442">
        <v>0.6821585</v>
      </c>
      <c r="Q7442">
        <v>0.1559121</v>
      </c>
      <c r="R7442">
        <v>0.71438869999999999</v>
      </c>
      <c r="S7442">
        <v>2.6340479999999999</v>
      </c>
      <c r="T7442">
        <v>-0.21518519999999999</v>
      </c>
      <c r="U7442">
        <v>1.7373050000000001</v>
      </c>
      <c r="V7442">
        <v>0.3653865</v>
      </c>
      <c r="W7442">
        <v>0.16212389999999999</v>
      </c>
      <c r="X7442">
        <v>0.91662889999999997</v>
      </c>
      <c r="Y7442">
        <v>0.56272730000000004</v>
      </c>
      <c r="Z7442">
        <v>-7.0941999999999894E-2</v>
      </c>
      <c r="AA7442">
        <v>0.82359280000000001</v>
      </c>
      <c r="AB7442">
        <v>26</v>
      </c>
      <c r="AC7442">
        <v>13.4277999999999</v>
      </c>
      <c r="AD7442">
        <v>-1.1014914120749999</v>
      </c>
      <c r="AE7442">
        <v>8.7712999999999894</v>
      </c>
      <c r="AF7442">
        <v>9.0764021845795995</v>
      </c>
      <c r="AG7442">
        <v>-1.1014914120749999</v>
      </c>
      <c r="AH7442">
        <v>13.1320574674954</v>
      </c>
      <c r="AI7442">
        <v>93.947198204444504</v>
      </c>
      <c r="AJ7442">
        <v>55.349177010238101</v>
      </c>
      <c r="AK7442">
        <v>16.0014153522967</v>
      </c>
      <c r="AL7442">
        <v>80.669803445332803</v>
      </c>
      <c r="AM7442">
        <v>68.266791200427605</v>
      </c>
      <c r="AN7442">
        <v>0.99999999682433405</v>
      </c>
    </row>
    <row r="7443" spans="1:40" x14ac:dyDescent="0.25">
      <c r="A7443" t="str">
        <f>"20190312172553440"</f>
        <v>20190312172553440</v>
      </c>
      <c r="B7443" t="str">
        <f>"1552382753428030"</f>
        <v>1552382753428030</v>
      </c>
      <c r="C7443" t="s">
        <v>40</v>
      </c>
      <c r="D7443">
        <v>3.767614</v>
      </c>
      <c r="E7443">
        <v>0.59137150000000005</v>
      </c>
      <c r="F7443" t="s">
        <v>49</v>
      </c>
      <c r="G7443">
        <v>-170.6421</v>
      </c>
      <c r="H7443" s="1">
        <v>-1.311336E-6</v>
      </c>
      <c r="I7443">
        <v>133.5693</v>
      </c>
      <c r="J7443">
        <v>-184.30099999999999</v>
      </c>
      <c r="K7443">
        <v>1.101431</v>
      </c>
      <c r="L7443">
        <v>124.77679999999999</v>
      </c>
      <c r="M7443">
        <v>0.38379279999999999</v>
      </c>
      <c r="N7443">
        <v>0</v>
      </c>
      <c r="O7443">
        <v>0.92328920000000003</v>
      </c>
      <c r="P7443">
        <v>0.68692619999999904</v>
      </c>
      <c r="Q7443">
        <v>0.15631909999999999</v>
      </c>
      <c r="R7443">
        <v>0.70971600000000001</v>
      </c>
      <c r="S7443">
        <v>2.6456300000000001</v>
      </c>
      <c r="T7443">
        <v>-0.2124684</v>
      </c>
      <c r="U7443">
        <v>1.7195130000000001</v>
      </c>
      <c r="V7443">
        <v>0.3655795</v>
      </c>
      <c r="W7443">
        <v>0.16248760000000001</v>
      </c>
      <c r="X7443">
        <v>0.91648759999999996</v>
      </c>
      <c r="Y7443">
        <v>0.56290909999999905</v>
      </c>
      <c r="Z7443">
        <v>-7.0012439999999995E-2</v>
      </c>
      <c r="AA7443">
        <v>0.82354810000000001</v>
      </c>
      <c r="AB7443">
        <v>26</v>
      </c>
      <c r="AC7443">
        <v>13.6588999999999</v>
      </c>
      <c r="AD7443">
        <v>-1.1014323113360001</v>
      </c>
      <c r="AE7443">
        <v>8.7925000000000004</v>
      </c>
      <c r="AF7443">
        <v>9.1954500188719805</v>
      </c>
      <c r="AG7443">
        <v>-1.1014323113360001</v>
      </c>
      <c r="AH7443">
        <v>13.300662708682101</v>
      </c>
      <c r="AI7443">
        <v>93.8967649735024</v>
      </c>
      <c r="AJ7443">
        <v>55.341848964244697</v>
      </c>
      <c r="AK7443">
        <v>16.207315714705999</v>
      </c>
      <c r="AL7443">
        <v>80.648685507744403</v>
      </c>
      <c r="AM7443">
        <v>68.253342631860406</v>
      </c>
      <c r="AN7443">
        <v>1.00000005596388</v>
      </c>
    </row>
    <row r="7444" spans="1:40" x14ac:dyDescent="0.25">
      <c r="A7444" t="str">
        <f>"20190312172553452"</f>
        <v>20190312172553452</v>
      </c>
      <c r="B7444" t="str">
        <f>"1552382753447550"</f>
        <v>1552382753447550</v>
      </c>
      <c r="C7444" t="s">
        <v>40</v>
      </c>
      <c r="D7444">
        <v>3.753584</v>
      </c>
      <c r="E7444">
        <v>0.59118340000000003</v>
      </c>
      <c r="F7444" t="s">
        <v>49</v>
      </c>
      <c r="G7444">
        <v>-170.41079999999999</v>
      </c>
      <c r="H7444" s="1">
        <v>-1.2262049999999999E-6</v>
      </c>
      <c r="I7444">
        <v>133.6748</v>
      </c>
      <c r="J7444">
        <v>-184.24180000000001</v>
      </c>
      <c r="K7444">
        <v>1.101372</v>
      </c>
      <c r="L7444">
        <v>124.90049999999999</v>
      </c>
      <c r="M7444">
        <v>0.39004349999999999</v>
      </c>
      <c r="N7444">
        <v>0</v>
      </c>
      <c r="O7444">
        <v>0.92066570000000003</v>
      </c>
      <c r="P7444">
        <v>0.69154969999999905</v>
      </c>
      <c r="Q7444">
        <v>0.15694259999999999</v>
      </c>
      <c r="R7444">
        <v>0.70507319999999996</v>
      </c>
      <c r="S7444">
        <v>2.6568299999999998</v>
      </c>
      <c r="T7444">
        <v>-0.2106748</v>
      </c>
      <c r="U7444">
        <v>1.7019500000000001</v>
      </c>
      <c r="V7444">
        <v>0.36544660000000001</v>
      </c>
      <c r="W7444">
        <v>0.16307469999999999</v>
      </c>
      <c r="X7444">
        <v>0.91643629999999998</v>
      </c>
      <c r="Y7444">
        <v>0.56278680000000003</v>
      </c>
      <c r="Z7444">
        <v>-6.9378120000000001E-2</v>
      </c>
      <c r="AA7444">
        <v>0.82368539999999901</v>
      </c>
      <c r="AB7444">
        <v>26</v>
      </c>
      <c r="AC7444">
        <v>13.831</v>
      </c>
      <c r="AD7444">
        <v>-1.101373226205</v>
      </c>
      <c r="AE7444">
        <v>8.7743000000000002</v>
      </c>
      <c r="AF7444">
        <v>9.2705736533751395</v>
      </c>
      <c r="AG7444">
        <v>-1.101373226205</v>
      </c>
      <c r="AH7444">
        <v>13.413861290020799</v>
      </c>
      <c r="AI7444">
        <v>93.864195177506303</v>
      </c>
      <c r="AJ7444">
        <v>55.3509146139655</v>
      </c>
      <c r="AK7444">
        <v>16.342834318256202</v>
      </c>
      <c r="AL7444">
        <v>80.614592218504299</v>
      </c>
      <c r="AM7444">
        <v>68.259407493463598</v>
      </c>
      <c r="AN7444">
        <v>1.0000000335946599</v>
      </c>
    </row>
    <row r="7445" spans="1:40" x14ac:dyDescent="0.25">
      <c r="A7445" t="str">
        <f>"20190312172553465"</f>
        <v>20190312172553465</v>
      </c>
      <c r="B7445" t="str">
        <f>"1552382753457310"</f>
        <v>1552382753457310</v>
      </c>
      <c r="C7445" t="s">
        <v>40</v>
      </c>
      <c r="D7445">
        <v>3.7434530000000001</v>
      </c>
      <c r="E7445">
        <v>0.61216610000000005</v>
      </c>
      <c r="F7445" t="s">
        <v>49</v>
      </c>
      <c r="G7445">
        <v>-170.13380000000001</v>
      </c>
      <c r="H7445" s="1">
        <v>-1.129887E-6</v>
      </c>
      <c r="I7445">
        <v>133.81399999999999</v>
      </c>
      <c r="J7445">
        <v>-184.17500000000001</v>
      </c>
      <c r="K7445">
        <v>1.1013109999999999</v>
      </c>
      <c r="L7445">
        <v>125.0385</v>
      </c>
      <c r="M7445">
        <v>0.3970398</v>
      </c>
      <c r="N7445">
        <v>0</v>
      </c>
      <c r="O7445">
        <v>0.91766999999999999</v>
      </c>
      <c r="P7445">
        <v>0.69705169999999905</v>
      </c>
      <c r="Q7445">
        <v>0.15769849999999999</v>
      </c>
      <c r="R7445">
        <v>0.69946409999999903</v>
      </c>
      <c r="S7445">
        <v>2.6672210000000001</v>
      </c>
      <c r="T7445">
        <v>-0.2082222</v>
      </c>
      <c r="U7445">
        <v>1.6851499999999999</v>
      </c>
      <c r="V7445">
        <v>0.36576160000000002</v>
      </c>
      <c r="W7445">
        <v>0.16377659999999999</v>
      </c>
      <c r="X7445">
        <v>0.91618540000000004</v>
      </c>
      <c r="Y7445">
        <v>0.56171070000000001</v>
      </c>
      <c r="Z7445">
        <v>-6.8505449999999996E-2</v>
      </c>
      <c r="AA7445">
        <v>0.82449269999999997</v>
      </c>
      <c r="AB7445">
        <v>26</v>
      </c>
      <c r="AC7445">
        <v>14.0412</v>
      </c>
      <c r="AD7445">
        <v>-1.1013121298869999</v>
      </c>
      <c r="AE7445">
        <v>8.7754999999999903</v>
      </c>
      <c r="AF7445">
        <v>9.3606879219215795</v>
      </c>
      <c r="AG7445">
        <v>-1.1013121298869999</v>
      </c>
      <c r="AH7445">
        <v>13.5695410871029</v>
      </c>
      <c r="AI7445">
        <v>93.822077425029406</v>
      </c>
      <c r="AJ7445">
        <v>55.400891035948803</v>
      </c>
      <c r="AK7445">
        <v>16.521737562787301</v>
      </c>
      <c r="AL7445">
        <v>80.573827994229902</v>
      </c>
      <c r="AM7445">
        <v>68.237015979291996</v>
      </c>
      <c r="AN7445">
        <v>1.0000000049576301</v>
      </c>
    </row>
    <row r="7446" spans="1:40" x14ac:dyDescent="0.25">
      <c r="A7446" t="str">
        <f>"20190312172553477"</f>
        <v>20190312172553477</v>
      </c>
      <c r="B7446" t="str">
        <f>"1552382753468046"</f>
        <v>1552382753468046</v>
      </c>
      <c r="C7446" t="s">
        <v>40</v>
      </c>
      <c r="D7446">
        <v>3.7488169999999998</v>
      </c>
      <c r="E7446">
        <v>0.61820750000000002</v>
      </c>
      <c r="F7446" t="s">
        <v>49</v>
      </c>
      <c r="G7446">
        <v>-170.8288</v>
      </c>
      <c r="H7446" s="1">
        <v>-9.0702869999999999E-7</v>
      </c>
      <c r="I7446">
        <v>132.41579999999999</v>
      </c>
      <c r="J7446">
        <v>-184.10509999999999</v>
      </c>
      <c r="K7446">
        <v>1.1012489999999999</v>
      </c>
      <c r="L7446">
        <v>125.1794</v>
      </c>
      <c r="M7446">
        <v>0.40425549999999999</v>
      </c>
      <c r="N7446">
        <v>0</v>
      </c>
      <c r="O7446">
        <v>0.91451400000000005</v>
      </c>
      <c r="P7446">
        <v>0.70268839999999999</v>
      </c>
      <c r="Q7446">
        <v>0.15796189999999999</v>
      </c>
      <c r="R7446">
        <v>0.69374139999999995</v>
      </c>
      <c r="S7446">
        <v>2.8019560000000001</v>
      </c>
      <c r="T7446">
        <v>-0.231215</v>
      </c>
      <c r="U7446">
        <v>1.5488280000000001</v>
      </c>
      <c r="V7446">
        <v>0.36601450000000002</v>
      </c>
      <c r="W7446">
        <v>0.1639892</v>
      </c>
      <c r="X7446">
        <v>0.91604640000000004</v>
      </c>
      <c r="Y7446">
        <v>0.60223789999999999</v>
      </c>
      <c r="Z7446">
        <v>-7.5675119999999998E-2</v>
      </c>
      <c r="AA7446">
        <v>0.79472180000000003</v>
      </c>
      <c r="AB7446">
        <v>26</v>
      </c>
      <c r="AC7446">
        <v>13.2762999999999</v>
      </c>
      <c r="AD7446">
        <v>-1.1012499070286901</v>
      </c>
      <c r="AE7446">
        <v>7.2363999999999802</v>
      </c>
      <c r="AF7446">
        <v>9.1684868645357298</v>
      </c>
      <c r="AG7446">
        <v>-1.1012499070286901</v>
      </c>
      <c r="AH7446">
        <v>11.9230086881064</v>
      </c>
      <c r="AI7446">
        <v>94.187640788863803</v>
      </c>
      <c r="AJ7446">
        <v>52.440642235437601</v>
      </c>
      <c r="AK7446">
        <v>15.0808500728425</v>
      </c>
      <c r="AL7446">
        <v>80.561480292133098</v>
      </c>
      <c r="AM7446">
        <v>68.220380605996695</v>
      </c>
      <c r="AN7446">
        <v>1.00000003943992</v>
      </c>
    </row>
    <row r="7447" spans="1:40" x14ac:dyDescent="0.25">
      <c r="A7447" t="str">
        <f>"20190312172553491"</f>
        <v>20190312172553491</v>
      </c>
      <c r="B7447" t="str">
        <f>"1552382753487566"</f>
        <v>1552382753487566</v>
      </c>
      <c r="C7447" t="s">
        <v>40</v>
      </c>
      <c r="D7447">
        <v>3.7535660000000002</v>
      </c>
      <c r="E7447">
        <v>0.62340479999999998</v>
      </c>
      <c r="F7447" t="s">
        <v>49</v>
      </c>
      <c r="G7447">
        <v>-170.33949999999999</v>
      </c>
      <c r="H7447" s="1">
        <v>-6.1562339999999995E-7</v>
      </c>
      <c r="I7447">
        <v>132.3877</v>
      </c>
      <c r="J7447">
        <v>-184.03710000000001</v>
      </c>
      <c r="K7447">
        <v>1.1011930000000001</v>
      </c>
      <c r="L7447">
        <v>125.31359999999999</v>
      </c>
      <c r="M7447">
        <v>0.41120010000000001</v>
      </c>
      <c r="N7447">
        <v>0</v>
      </c>
      <c r="O7447">
        <v>0.91141240000000001</v>
      </c>
      <c r="P7447">
        <v>0.70816009999999996</v>
      </c>
      <c r="Q7447">
        <v>0.1584101</v>
      </c>
      <c r="R7447">
        <v>0.68805209999999895</v>
      </c>
      <c r="S7447">
        <v>2.8481290000000001</v>
      </c>
      <c r="T7447">
        <v>-0.22784979999999999</v>
      </c>
      <c r="U7447">
        <v>1.491409</v>
      </c>
      <c r="V7447">
        <v>0.36637599999999998</v>
      </c>
      <c r="W7447">
        <v>0.16438949999999999</v>
      </c>
      <c r="X7447">
        <v>0.91583009999999998</v>
      </c>
      <c r="Y7447">
        <v>0.61414169999999901</v>
      </c>
      <c r="Z7447">
        <v>-7.4457700000000002E-2</v>
      </c>
      <c r="AA7447">
        <v>0.78567549999999997</v>
      </c>
      <c r="AB7447">
        <v>26</v>
      </c>
      <c r="AC7447">
        <v>13.6976</v>
      </c>
      <c r="AD7447">
        <v>-1.1011936156233999</v>
      </c>
      <c r="AE7447">
        <v>7.0740999999999996</v>
      </c>
      <c r="AF7447">
        <v>9.5278372597827001</v>
      </c>
      <c r="AG7447">
        <v>-1.1011936156233999</v>
      </c>
      <c r="AH7447">
        <v>12.020009764009901</v>
      </c>
      <c r="AI7447">
        <v>94.106458728465498</v>
      </c>
      <c r="AJ7447">
        <v>51.597380150422502</v>
      </c>
      <c r="AK7447">
        <v>15.3776768386803</v>
      </c>
      <c r="AL7447">
        <v>80.538229125901495</v>
      </c>
      <c r="AM7447">
        <v>68.196219684678695</v>
      </c>
      <c r="AN7447">
        <v>1.00000002657612</v>
      </c>
    </row>
    <row r="7448" spans="1:40" x14ac:dyDescent="0.25">
      <c r="A7448" t="str">
        <f>"20190312172553507"</f>
        <v>20190312172553507</v>
      </c>
      <c r="B7448" t="str">
        <f>"1552382753497326"</f>
        <v>1552382753497326</v>
      </c>
      <c r="C7448" t="s">
        <v>40</v>
      </c>
      <c r="D7448">
        <v>3.736815</v>
      </c>
      <c r="E7448">
        <v>0.62461180000000005</v>
      </c>
      <c r="F7448" t="s">
        <v>49</v>
      </c>
      <c r="G7448">
        <v>-169.97540000000001</v>
      </c>
      <c r="H7448" s="1">
        <v>-3.7682029999999999E-7</v>
      </c>
      <c r="I7448">
        <v>132.31720000000001</v>
      </c>
      <c r="J7448">
        <v>-183.9494</v>
      </c>
      <c r="K7448">
        <v>1.1011299999999999</v>
      </c>
      <c r="L7448">
        <v>125.4832</v>
      </c>
      <c r="M7448">
        <v>0.42003410000000002</v>
      </c>
      <c r="N7448">
        <v>0</v>
      </c>
      <c r="O7448">
        <v>0.90737469999999998</v>
      </c>
      <c r="P7448">
        <v>0.71533709999999995</v>
      </c>
      <c r="Q7448">
        <v>0.15939629999999999</v>
      </c>
      <c r="R7448">
        <v>0.68035709999999905</v>
      </c>
      <c r="S7448">
        <v>2.8889309999999999</v>
      </c>
      <c r="T7448">
        <v>-0.22623689999999999</v>
      </c>
      <c r="U7448">
        <v>1.438858</v>
      </c>
      <c r="V7448">
        <v>0.36723159999999999</v>
      </c>
      <c r="W7448">
        <v>0.16530520000000001</v>
      </c>
      <c r="X7448">
        <v>0.91532239999999998</v>
      </c>
      <c r="Y7448">
        <v>0.62244719999999998</v>
      </c>
      <c r="Z7448">
        <v>-7.3754570000000005E-2</v>
      </c>
      <c r="AA7448">
        <v>0.77917890000000001</v>
      </c>
      <c r="AB7448">
        <v>26</v>
      </c>
      <c r="AC7448">
        <v>13.973999999999901</v>
      </c>
      <c r="AD7448">
        <v>-1.1011303768203</v>
      </c>
      <c r="AE7448">
        <v>6.8340000000000103</v>
      </c>
      <c r="AF7448">
        <v>9.7614183783127295</v>
      </c>
      <c r="AG7448">
        <v>-1.1011303768203</v>
      </c>
      <c r="AH7448">
        <v>12.011830523544401</v>
      </c>
      <c r="AI7448">
        <v>94.069252781470595</v>
      </c>
      <c r="AJ7448">
        <v>50.900952289061102</v>
      </c>
      <c r="AK7448">
        <v>15.517146947476199</v>
      </c>
      <c r="AL7448">
        <v>80.485035164581106</v>
      </c>
      <c r="AM7448">
        <v>68.139114236951798</v>
      </c>
      <c r="AN7448">
        <v>0.99999997656367901</v>
      </c>
    </row>
    <row r="7449" spans="1:40" x14ac:dyDescent="0.25">
      <c r="A7449" t="str">
        <f>"20190312172553517"</f>
        <v>20190312172553517</v>
      </c>
      <c r="B7449" t="str">
        <f>"1552382753508062"</f>
        <v>1552382753508062</v>
      </c>
      <c r="C7449" t="s">
        <v>40</v>
      </c>
      <c r="D7449">
        <v>3.7519089999999999</v>
      </c>
      <c r="E7449">
        <v>0.62537159999999903</v>
      </c>
      <c r="F7449" t="s">
        <v>43</v>
      </c>
      <c r="G7449">
        <v>-169.69810000000001</v>
      </c>
      <c r="H7449" s="1">
        <v>-2.0355560000000001E-6</v>
      </c>
      <c r="I7449">
        <v>132.3424</v>
      </c>
      <c r="J7449">
        <v>-183.88659999999999</v>
      </c>
      <c r="K7449">
        <v>1.101084</v>
      </c>
      <c r="L7449">
        <v>125.6023</v>
      </c>
      <c r="M7449">
        <v>0.4262801</v>
      </c>
      <c r="N7449">
        <v>0</v>
      </c>
      <c r="O7449">
        <v>0.90445699999999996</v>
      </c>
      <c r="P7449">
        <v>0.72049640000000004</v>
      </c>
      <c r="Q7449">
        <v>0.1599901</v>
      </c>
      <c r="R7449">
        <v>0.67475039999999997</v>
      </c>
      <c r="S7449">
        <v>2.9112550000000001</v>
      </c>
      <c r="T7449">
        <v>-0.2249399</v>
      </c>
      <c r="U7449">
        <v>1.401184</v>
      </c>
      <c r="V7449">
        <v>0.36798249999999999</v>
      </c>
      <c r="W7449">
        <v>0.16584789999999999</v>
      </c>
      <c r="X7449">
        <v>0.91492260000000003</v>
      </c>
      <c r="Y7449">
        <v>0.6276119</v>
      </c>
      <c r="Z7449">
        <v>-7.3314850000000001E-2</v>
      </c>
      <c r="AA7449">
        <v>0.7750667</v>
      </c>
      <c r="AB7449">
        <v>26</v>
      </c>
      <c r="AC7449">
        <v>14.1884999999999</v>
      </c>
      <c r="AD7449">
        <v>-1.1010860355559999</v>
      </c>
      <c r="AE7449">
        <v>6.7400999999999902</v>
      </c>
      <c r="AF7449">
        <v>9.9122224696895902</v>
      </c>
      <c r="AG7449">
        <v>-1.1010860355559999</v>
      </c>
      <c r="AH7449">
        <v>12.086492470587499</v>
      </c>
      <c r="AI7449">
        <v>94.029339488604606</v>
      </c>
      <c r="AJ7449">
        <v>50.644566513246701</v>
      </c>
      <c r="AK7449">
        <v>15.669966336526899</v>
      </c>
      <c r="AL7449">
        <v>80.453505813693297</v>
      </c>
      <c r="AM7449">
        <v>68.089974632264401</v>
      </c>
      <c r="AN7449">
        <v>1.0000000051157101</v>
      </c>
    </row>
    <row r="7450" spans="1:40" x14ac:dyDescent="0.25">
      <c r="A7450" t="str">
        <f>"20190312172553529"</f>
        <v>20190312172553529</v>
      </c>
      <c r="B7450" t="str">
        <f>"1552382753517822"</f>
        <v>1552382753517822</v>
      </c>
      <c r="C7450" t="s">
        <v>40</v>
      </c>
      <c r="D7450">
        <v>3.7602609999999999</v>
      </c>
      <c r="E7450">
        <v>0.62576319999999996</v>
      </c>
      <c r="F7450" t="s">
        <v>43</v>
      </c>
      <c r="G7450">
        <v>-169.5814</v>
      </c>
      <c r="H7450" s="1">
        <v>-2.085763E-6</v>
      </c>
      <c r="I7450">
        <v>132.32210000000001</v>
      </c>
      <c r="J7450">
        <v>-183.82499999999999</v>
      </c>
      <c r="K7450">
        <v>1.101048</v>
      </c>
      <c r="L7450">
        <v>125.7165</v>
      </c>
      <c r="M7450">
        <v>0.43232500000000001</v>
      </c>
      <c r="N7450">
        <v>0</v>
      </c>
      <c r="O7450">
        <v>0.90158300000000002</v>
      </c>
      <c r="P7450">
        <v>0.72514380000000001</v>
      </c>
      <c r="Q7450">
        <v>0.1603107</v>
      </c>
      <c r="R7450">
        <v>0.66967679999999996</v>
      </c>
      <c r="S7450">
        <v>2.926437</v>
      </c>
      <c r="T7450">
        <v>-0.22525049999999999</v>
      </c>
      <c r="U7450">
        <v>1.3746799999999999</v>
      </c>
      <c r="V7450">
        <v>0.36823919999999999</v>
      </c>
      <c r="W7450">
        <v>0.16613559999999999</v>
      </c>
      <c r="X7450">
        <v>0.91476710000000006</v>
      </c>
      <c r="Y7450">
        <v>0.62970729999999997</v>
      </c>
      <c r="Z7450">
        <v>-7.3358119999999999E-2</v>
      </c>
      <c r="AA7450">
        <v>0.77336099999999997</v>
      </c>
      <c r="AB7450">
        <v>26</v>
      </c>
      <c r="AC7450">
        <v>14.243599999999899</v>
      </c>
      <c r="AD7450">
        <v>-1.1010500857629999</v>
      </c>
      <c r="AE7450">
        <v>6.6056000000000097</v>
      </c>
      <c r="AF7450">
        <v>9.9383610183538895</v>
      </c>
      <c r="AG7450">
        <v>-1.1010500857629999</v>
      </c>
      <c r="AH7450">
        <v>12.0555472385489</v>
      </c>
      <c r="AI7450">
        <v>94.031085171296397</v>
      </c>
      <c r="AJ7450">
        <v>50.498486743874103</v>
      </c>
      <c r="AK7450">
        <v>15.6626801743309</v>
      </c>
      <c r="AL7450">
        <v>80.436789838752304</v>
      </c>
      <c r="AM7450">
        <v>68.072765400485494</v>
      </c>
      <c r="AN7450">
        <v>0.99999999662320405</v>
      </c>
    </row>
    <row r="7451" spans="1:40" x14ac:dyDescent="0.25">
      <c r="A7451" t="str">
        <f>"20190312172553540"</f>
        <v>20190312172553540</v>
      </c>
      <c r="B7451" t="str">
        <f>"1552382753527582"</f>
        <v>1552382753527582</v>
      </c>
      <c r="C7451" t="s">
        <v>40</v>
      </c>
      <c r="D7451">
        <v>3.7341139999999999</v>
      </c>
      <c r="E7451">
        <v>0.62574600000000002</v>
      </c>
      <c r="F7451" t="s">
        <v>43</v>
      </c>
      <c r="G7451">
        <v>-169.45330000000001</v>
      </c>
      <c r="H7451" s="1">
        <v>-2.1326300000000001E-6</v>
      </c>
      <c r="I7451">
        <v>132.33080000000001</v>
      </c>
      <c r="J7451">
        <v>-183.76300000000001</v>
      </c>
      <c r="K7451">
        <v>1.101011</v>
      </c>
      <c r="L7451">
        <v>125.8306</v>
      </c>
      <c r="M7451">
        <v>0.43836839999999999</v>
      </c>
      <c r="N7451">
        <v>0</v>
      </c>
      <c r="O7451">
        <v>0.89865989999999996</v>
      </c>
      <c r="P7451">
        <v>0.72990949999999999</v>
      </c>
      <c r="Q7451">
        <v>0.16073299999999999</v>
      </c>
      <c r="R7451">
        <v>0.66437729999999995</v>
      </c>
      <c r="S7451">
        <v>2.9380950000000001</v>
      </c>
      <c r="T7451">
        <v>-0.22509470000000001</v>
      </c>
      <c r="U7451">
        <v>1.352203</v>
      </c>
      <c r="V7451">
        <v>0.3687028</v>
      </c>
      <c r="W7451">
        <v>0.1665198</v>
      </c>
      <c r="X7451">
        <v>0.9145105</v>
      </c>
      <c r="Y7451">
        <v>0.63055709999999998</v>
      </c>
      <c r="Z7451">
        <v>-7.3248300000000002E-2</v>
      </c>
      <c r="AA7451">
        <v>0.77267869999999905</v>
      </c>
      <c r="AB7451">
        <v>26</v>
      </c>
      <c r="AC7451">
        <v>14.3096999999999</v>
      </c>
      <c r="AD7451">
        <v>-1.1010131326299999</v>
      </c>
      <c r="AE7451">
        <v>6.5002000000000004</v>
      </c>
      <c r="AF7451">
        <v>9.9624007733314706</v>
      </c>
      <c r="AG7451">
        <v>-1.1010131326299999</v>
      </c>
      <c r="AH7451">
        <v>12.056697549643999</v>
      </c>
      <c r="AI7451">
        <v>94.026791545570603</v>
      </c>
      <c r="AJ7451">
        <v>50.4332141873886</v>
      </c>
      <c r="AK7451">
        <v>15.678826961552</v>
      </c>
      <c r="AL7451">
        <v>80.414466128331199</v>
      </c>
      <c r="AM7451">
        <v>68.042207797470695</v>
      </c>
      <c r="AN7451">
        <v>1.0000000265650599</v>
      </c>
    </row>
    <row r="7452" spans="1:40" x14ac:dyDescent="0.25">
      <c r="A7452" t="str">
        <f>"20190312172553552"</f>
        <v>20190312172553552</v>
      </c>
      <c r="B7452" t="str">
        <f>"1552382753548078"</f>
        <v>1552382753548078</v>
      </c>
      <c r="C7452" t="s">
        <v>40</v>
      </c>
      <c r="D7452">
        <v>3.731468</v>
      </c>
      <c r="E7452">
        <v>0.62560340000000003</v>
      </c>
      <c r="F7452" t="s">
        <v>43</v>
      </c>
      <c r="G7452">
        <v>-169.31039999999999</v>
      </c>
      <c r="H7452" s="1">
        <v>-2.1807600000000001E-6</v>
      </c>
      <c r="I7452">
        <v>132.3561</v>
      </c>
      <c r="J7452">
        <v>-183.6961</v>
      </c>
      <c r="K7452">
        <v>1.100978</v>
      </c>
      <c r="L7452">
        <v>125.9503</v>
      </c>
      <c r="M7452">
        <v>0.4447933</v>
      </c>
      <c r="N7452">
        <v>0</v>
      </c>
      <c r="O7452">
        <v>0.89549709999999905</v>
      </c>
      <c r="P7452">
        <v>0.73496740000000005</v>
      </c>
      <c r="Q7452">
        <v>0.16044739999999999</v>
      </c>
      <c r="R7452">
        <v>0.65884719999999997</v>
      </c>
      <c r="S7452">
        <v>2.9479980000000001</v>
      </c>
      <c r="T7452">
        <v>-0.22458139999999999</v>
      </c>
      <c r="U7452">
        <v>1.33107</v>
      </c>
      <c r="V7452">
        <v>0.36912279999999997</v>
      </c>
      <c r="W7452">
        <v>0.16619999999999999</v>
      </c>
      <c r="X7452">
        <v>0.91439919999999997</v>
      </c>
      <c r="Y7452">
        <v>0.63059860000000001</v>
      </c>
      <c r="Z7452">
        <v>-7.3017120000000005E-2</v>
      </c>
      <c r="AA7452">
        <v>0.77266679999999999</v>
      </c>
      <c r="AB7452">
        <v>26</v>
      </c>
      <c r="AC7452">
        <v>14.3857</v>
      </c>
      <c r="AD7452">
        <v>-1.1009801807599999</v>
      </c>
      <c r="AE7452">
        <v>6.4057999999999904</v>
      </c>
      <c r="AF7452">
        <v>9.9855093867102998</v>
      </c>
      <c r="AG7452">
        <v>-1.1009801807599999</v>
      </c>
      <c r="AH7452">
        <v>12.0774825977084</v>
      </c>
      <c r="AI7452">
        <v>94.018797795517401</v>
      </c>
      <c r="AJ7452">
        <v>50.416489179055297</v>
      </c>
      <c r="AK7452">
        <v>15.7094920658961</v>
      </c>
      <c r="AL7452">
        <v>80.433047897674001</v>
      </c>
      <c r="AM7452">
        <v>68.017156265986301</v>
      </c>
      <c r="AN7452">
        <v>0.99999998922023903</v>
      </c>
    </row>
    <row r="7453" spans="1:40" x14ac:dyDescent="0.25">
      <c r="A7453" t="str">
        <f>"20190312172553564"</f>
        <v>20190312172553564</v>
      </c>
      <c r="B7453" t="str">
        <f>"1552382753557838"</f>
        <v>1552382753557838</v>
      </c>
      <c r="C7453" t="s">
        <v>40</v>
      </c>
      <c r="D7453">
        <v>3.7733449999999999</v>
      </c>
      <c r="E7453">
        <v>0.6254883</v>
      </c>
      <c r="F7453" t="s">
        <v>43</v>
      </c>
      <c r="G7453">
        <v>-169.31</v>
      </c>
      <c r="H7453" s="1">
        <v>-2.1909609999999998E-6</v>
      </c>
      <c r="I7453">
        <v>132.3184</v>
      </c>
      <c r="J7453">
        <v>-183.62790000000001</v>
      </c>
      <c r="K7453">
        <v>1.1009389999999999</v>
      </c>
      <c r="L7453">
        <v>126.07129999999999</v>
      </c>
      <c r="M7453">
        <v>0.45128370000000001</v>
      </c>
      <c r="N7453">
        <v>0</v>
      </c>
      <c r="O7453">
        <v>0.89224369999999997</v>
      </c>
      <c r="P7453">
        <v>0.73972759999999904</v>
      </c>
      <c r="Q7453">
        <v>0.16072690000000001</v>
      </c>
      <c r="R7453">
        <v>0.65342939999999905</v>
      </c>
      <c r="S7453">
        <v>2.9576259999999999</v>
      </c>
      <c r="T7453">
        <v>-0.2263501</v>
      </c>
      <c r="U7453">
        <v>1.309204</v>
      </c>
      <c r="V7453">
        <v>0.36916900000000002</v>
      </c>
      <c r="W7453">
        <v>0.16645489999999999</v>
      </c>
      <c r="X7453">
        <v>0.91433419999999999</v>
      </c>
      <c r="Y7453">
        <v>0.63064219999999904</v>
      </c>
      <c r="Z7453">
        <v>-7.3528780000000002E-2</v>
      </c>
      <c r="AA7453">
        <v>0.77258269999999996</v>
      </c>
      <c r="AB7453">
        <v>26</v>
      </c>
      <c r="AC7453">
        <v>14.3179</v>
      </c>
      <c r="AD7453">
        <v>-1.1009411909609901</v>
      </c>
      <c r="AE7453">
        <v>6.2470999999999997</v>
      </c>
      <c r="AF7453">
        <v>9.9078459763222106</v>
      </c>
      <c r="AG7453">
        <v>-1.1009411909609901</v>
      </c>
      <c r="AH7453">
        <v>11.9773497007463</v>
      </c>
      <c r="AI7453">
        <v>94.051292568556804</v>
      </c>
      <c r="AJ7453">
        <v>50.401929618249</v>
      </c>
      <c r="AK7453">
        <v>15.583144395482099</v>
      </c>
      <c r="AL7453">
        <v>80.418237064475093</v>
      </c>
      <c r="AM7453">
        <v>68.013253115197102</v>
      </c>
      <c r="AN7453">
        <v>1.00000000679232</v>
      </c>
    </row>
    <row r="7454" spans="1:40" x14ac:dyDescent="0.25">
      <c r="A7454" t="str">
        <f>"20190312172553575"</f>
        <v>20190312172553575</v>
      </c>
      <c r="B7454" t="str">
        <f>"1552382753567598"</f>
        <v>1552382753567598</v>
      </c>
      <c r="C7454" t="s">
        <v>40</v>
      </c>
      <c r="D7454">
        <v>3.699103</v>
      </c>
      <c r="E7454">
        <v>0.62535109999999905</v>
      </c>
      <c r="F7454" t="s">
        <v>43</v>
      </c>
      <c r="G7454">
        <v>-169.2063</v>
      </c>
      <c r="H7454" s="1">
        <v>-2.227421E-6</v>
      </c>
      <c r="I7454">
        <v>132.33109999999999</v>
      </c>
      <c r="J7454">
        <v>-183.5598</v>
      </c>
      <c r="K7454">
        <v>1.1009070000000001</v>
      </c>
      <c r="L7454">
        <v>126.1893</v>
      </c>
      <c r="M7454">
        <v>0.45767780000000002</v>
      </c>
      <c r="N7454">
        <v>0</v>
      </c>
      <c r="O7454">
        <v>0.88898069999999896</v>
      </c>
      <c r="P7454">
        <v>0.74435949999999995</v>
      </c>
      <c r="Q7454">
        <v>0.1606764</v>
      </c>
      <c r="R7454">
        <v>0.64816049999999903</v>
      </c>
      <c r="S7454">
        <v>2.9671020000000001</v>
      </c>
      <c r="T7454">
        <v>-0.22650670000000001</v>
      </c>
      <c r="U7454">
        <v>1.287903</v>
      </c>
      <c r="V7454">
        <v>0.36911860000000002</v>
      </c>
      <c r="W7454">
        <v>0.1663839</v>
      </c>
      <c r="X7454">
        <v>0.91436740000000005</v>
      </c>
      <c r="Y7454">
        <v>0.63064909999999996</v>
      </c>
      <c r="Z7454">
        <v>-7.350835E-2</v>
      </c>
      <c r="AA7454">
        <v>0.77257900000000002</v>
      </c>
      <c r="AB7454">
        <v>26</v>
      </c>
      <c r="AC7454">
        <v>14.353499999999899</v>
      </c>
      <c r="AD7454">
        <v>-1.1009092274209999</v>
      </c>
      <c r="AE7454">
        <v>6.1417999999999804</v>
      </c>
      <c r="AF7454">
        <v>9.9010027372722895</v>
      </c>
      <c r="AG7454">
        <v>-1.1009092274209999</v>
      </c>
      <c r="AH7454">
        <v>11.9711642143152</v>
      </c>
      <c r="AI7454">
        <v>94.053547755036206</v>
      </c>
      <c r="AJ7454">
        <v>50.406836105229203</v>
      </c>
      <c r="AK7454">
        <v>15.5740370160275</v>
      </c>
      <c r="AL7454">
        <v>80.422361974598402</v>
      </c>
      <c r="AM7454">
        <v>68.0166908963011</v>
      </c>
      <c r="AN7454">
        <v>0.99999994261396297</v>
      </c>
    </row>
    <row r="7455" spans="1:40" x14ac:dyDescent="0.25">
      <c r="A7455" t="str">
        <f>"20190312172553586"</f>
        <v>20190312172553586</v>
      </c>
      <c r="B7455" t="str">
        <f>"1552382753577358"</f>
        <v>1552382753577358</v>
      </c>
      <c r="C7455" t="s">
        <v>40</v>
      </c>
      <c r="D7455">
        <v>3.7624330000000001</v>
      </c>
      <c r="E7455">
        <v>0.62522939999999905</v>
      </c>
      <c r="F7455" t="s">
        <v>43</v>
      </c>
      <c r="G7455">
        <v>-169.17410000000001</v>
      </c>
      <c r="H7455" s="1">
        <v>-2.2436270000000001E-6</v>
      </c>
      <c r="I7455">
        <v>132.31659999999999</v>
      </c>
      <c r="J7455">
        <v>-183.49770000000001</v>
      </c>
      <c r="K7455">
        <v>1.100878</v>
      </c>
      <c r="L7455">
        <v>126.2955</v>
      </c>
      <c r="M7455">
        <v>0.46344940000000001</v>
      </c>
      <c r="N7455">
        <v>0</v>
      </c>
      <c r="O7455">
        <v>0.88598539999999903</v>
      </c>
      <c r="P7455">
        <v>0.74844769999999905</v>
      </c>
      <c r="Q7455">
        <v>0.1608348</v>
      </c>
      <c r="R7455">
        <v>0.64339579999999996</v>
      </c>
      <c r="S7455">
        <v>2.975784</v>
      </c>
      <c r="T7455">
        <v>-0.2277315</v>
      </c>
      <c r="U7455">
        <v>1.267471</v>
      </c>
      <c r="V7455">
        <v>0.36899409999999999</v>
      </c>
      <c r="W7455">
        <v>0.1665259</v>
      </c>
      <c r="X7455">
        <v>0.91439190000000004</v>
      </c>
      <c r="Y7455">
        <v>0.63088730000000004</v>
      </c>
      <c r="Z7455">
        <v>-7.3846590000000004E-2</v>
      </c>
      <c r="AA7455">
        <v>0.77235229999999999</v>
      </c>
      <c r="AB7455">
        <v>26</v>
      </c>
      <c r="AC7455">
        <v>14.323600000000001</v>
      </c>
      <c r="AD7455">
        <v>-1.100880243627</v>
      </c>
      <c r="AE7455">
        <v>6.0210999999999899</v>
      </c>
      <c r="AF7455">
        <v>9.8517794470300899</v>
      </c>
      <c r="AG7455">
        <v>-1.100880243627</v>
      </c>
      <c r="AH7455">
        <v>11.914523064019599</v>
      </c>
      <c r="AI7455">
        <v>94.073044310976201</v>
      </c>
      <c r="AJ7455">
        <v>50.413624553269898</v>
      </c>
      <c r="AK7455">
        <v>15.499204993379101</v>
      </c>
      <c r="AL7455">
        <v>80.414111746966498</v>
      </c>
      <c r="AM7455">
        <v>68.023932160323199</v>
      </c>
      <c r="AN7455">
        <v>1.0000000339956101</v>
      </c>
    </row>
    <row r="7456" spans="1:40" x14ac:dyDescent="0.25">
      <c r="A7456" t="str">
        <f>"20190312172553596"</f>
        <v>20190312172553596</v>
      </c>
      <c r="B7456" t="str">
        <f>"1552382753588094"</f>
        <v>1552382753588094</v>
      </c>
      <c r="C7456" t="s">
        <v>40</v>
      </c>
      <c r="D7456">
        <v>3.740872</v>
      </c>
      <c r="E7456">
        <v>0.62490239999999997</v>
      </c>
      <c r="F7456" t="s">
        <v>43</v>
      </c>
      <c r="G7456">
        <v>-169.1052</v>
      </c>
      <c r="H7456" s="1">
        <v>-2.2687099999999998E-6</v>
      </c>
      <c r="I7456">
        <v>132.3218</v>
      </c>
      <c r="J7456">
        <v>-183.4316</v>
      </c>
      <c r="K7456">
        <v>1.10084</v>
      </c>
      <c r="L7456">
        <v>126.4067</v>
      </c>
      <c r="M7456">
        <v>0.46952169999999999</v>
      </c>
      <c r="N7456">
        <v>0</v>
      </c>
      <c r="O7456">
        <v>0.88278230000000002</v>
      </c>
      <c r="P7456">
        <v>0.75264830000000005</v>
      </c>
      <c r="Q7456">
        <v>0.16113179999999999</v>
      </c>
      <c r="R7456">
        <v>0.63840200000000003</v>
      </c>
      <c r="S7456">
        <v>2.9834589999999999</v>
      </c>
      <c r="T7456">
        <v>-0.22820399999999999</v>
      </c>
      <c r="U7456">
        <v>1.249207</v>
      </c>
      <c r="V7456">
        <v>0.36876170000000003</v>
      </c>
      <c r="W7456">
        <v>0.16680889999999901</v>
      </c>
      <c r="X7456">
        <v>0.91443399999999997</v>
      </c>
      <c r="Y7456">
        <v>0.63029349999999995</v>
      </c>
      <c r="Z7456">
        <v>-7.3913030000000005E-2</v>
      </c>
      <c r="AA7456">
        <v>0.77283049999999998</v>
      </c>
      <c r="AB7456">
        <v>26</v>
      </c>
      <c r="AC7456">
        <v>14.3264</v>
      </c>
      <c r="AD7456">
        <v>-1.1008422687099999</v>
      </c>
      <c r="AE7456">
        <v>5.91509999999999</v>
      </c>
      <c r="AF7456">
        <v>9.8214885499400193</v>
      </c>
      <c r="AG7456">
        <v>-1.1008422687099999</v>
      </c>
      <c r="AH7456">
        <v>11.8897862524997</v>
      </c>
      <c r="AI7456">
        <v>94.083002215160903</v>
      </c>
      <c r="AJ7456">
        <v>50.441789371922802</v>
      </c>
      <c r="AK7456">
        <v>15.460934905991699</v>
      </c>
      <c r="AL7456">
        <v>80.397666416350702</v>
      </c>
      <c r="AM7456">
        <v>68.037371160641996</v>
      </c>
      <c r="AN7456">
        <v>0.99999997043104905</v>
      </c>
    </row>
    <row r="7457" spans="1:40" x14ac:dyDescent="0.25">
      <c r="A7457" t="str">
        <f>"20190312172553608"</f>
        <v>20190312172553608</v>
      </c>
      <c r="B7457" t="str">
        <f>"1552382753597855"</f>
        <v>1552382753597855</v>
      </c>
      <c r="C7457" t="s">
        <v>40</v>
      </c>
      <c r="D7457">
        <v>3.79183</v>
      </c>
      <c r="E7457">
        <v>0.62475439999999904</v>
      </c>
      <c r="F7457" t="s">
        <v>43</v>
      </c>
      <c r="G7457">
        <v>-169.029</v>
      </c>
      <c r="H7457" s="1">
        <v>-2.2932159999999999E-6</v>
      </c>
      <c r="I7457">
        <v>132.33969999999999</v>
      </c>
      <c r="J7457">
        <v>-183.3648</v>
      </c>
      <c r="K7457">
        <v>1.1008119999999999</v>
      </c>
      <c r="L7457">
        <v>126.5172</v>
      </c>
      <c r="M7457">
        <v>0.4755877</v>
      </c>
      <c r="N7457">
        <v>0</v>
      </c>
      <c r="O7457">
        <v>0.87952909999999995</v>
      </c>
      <c r="P7457">
        <v>0.75674549999999996</v>
      </c>
      <c r="Q7457">
        <v>0.1613667</v>
      </c>
      <c r="R7457">
        <v>0.63348009999999999</v>
      </c>
      <c r="S7457">
        <v>2.990097</v>
      </c>
      <c r="T7457">
        <v>-0.22854269999999999</v>
      </c>
      <c r="U7457">
        <v>1.231735</v>
      </c>
      <c r="V7457">
        <v>0.36840240000000002</v>
      </c>
      <c r="W7457">
        <v>0.16703409999999999</v>
      </c>
      <c r="X7457">
        <v>0.91453770000000001</v>
      </c>
      <c r="Y7457">
        <v>0.62941829999999999</v>
      </c>
      <c r="Z7457">
        <v>-7.3937269999999999E-2</v>
      </c>
      <c r="AA7457">
        <v>0.77354109999999998</v>
      </c>
      <c r="AB7457">
        <v>26</v>
      </c>
      <c r="AC7457">
        <v>14.3357999999999</v>
      </c>
      <c r="AD7457">
        <v>-1.1008142932160001</v>
      </c>
      <c r="AE7457">
        <v>5.82249999999999</v>
      </c>
      <c r="AF7457">
        <v>9.7912909921010698</v>
      </c>
      <c r="AG7457">
        <v>-1.1008142932160001</v>
      </c>
      <c r="AH7457">
        <v>11.8803190702638</v>
      </c>
      <c r="AI7457">
        <v>94.089908495535198</v>
      </c>
      <c r="AJ7457">
        <v>50.505997019551103</v>
      </c>
      <c r="AK7457">
        <v>15.4344793437104</v>
      </c>
      <c r="AL7457">
        <v>80.384579719942593</v>
      </c>
      <c r="AM7457">
        <v>68.058989411880901</v>
      </c>
      <c r="AN7457">
        <v>0.99999996180492901</v>
      </c>
    </row>
    <row r="7458" spans="1:40" x14ac:dyDescent="0.25">
      <c r="A7458" t="str">
        <f>"20190312172553620"</f>
        <v>20190312172553620</v>
      </c>
      <c r="B7458" t="str">
        <f>"1552382753607615"</f>
        <v>1552382753607615</v>
      </c>
      <c r="C7458" t="s">
        <v>40</v>
      </c>
      <c r="D7458">
        <v>3.7190539999999999</v>
      </c>
      <c r="E7458">
        <v>0.62440799999999996</v>
      </c>
      <c r="F7458" t="s">
        <v>43</v>
      </c>
      <c r="G7458">
        <v>-168.99369999999999</v>
      </c>
      <c r="H7458" s="1">
        <v>-2.3074889999999998E-6</v>
      </c>
      <c r="I7458">
        <v>132.33690000000001</v>
      </c>
      <c r="J7458">
        <v>-183.28989999999999</v>
      </c>
      <c r="K7458">
        <v>1.100779</v>
      </c>
      <c r="L7458">
        <v>126.6395</v>
      </c>
      <c r="M7458">
        <v>0.48232029999999998</v>
      </c>
      <c r="N7458">
        <v>0</v>
      </c>
      <c r="O7458">
        <v>0.8758551</v>
      </c>
      <c r="P7458">
        <v>0.76138700000000004</v>
      </c>
      <c r="Q7458">
        <v>0.16148609999999999</v>
      </c>
      <c r="R7458">
        <v>0.62786319999999995</v>
      </c>
      <c r="S7458">
        <v>2.9972379999999998</v>
      </c>
      <c r="T7458">
        <v>-0.2295864</v>
      </c>
      <c r="U7458">
        <v>1.213776</v>
      </c>
      <c r="V7458">
        <v>0.36814639999999998</v>
      </c>
      <c r="W7458">
        <v>0.16713939999999999</v>
      </c>
      <c r="X7458">
        <v>0.91462160000000003</v>
      </c>
      <c r="Y7458">
        <v>0.62807139999999995</v>
      </c>
      <c r="Z7458">
        <v>-7.4154010000000006E-2</v>
      </c>
      <c r="AA7458">
        <v>0.77461449999999998</v>
      </c>
      <c r="AB7458">
        <v>26</v>
      </c>
      <c r="AC7458">
        <v>14.296200000000001</v>
      </c>
      <c r="AD7458">
        <v>-1.100781307489</v>
      </c>
      <c r="AE7458">
        <v>5.6974000000000098</v>
      </c>
      <c r="AF7458">
        <v>9.7248713563388005</v>
      </c>
      <c r="AG7458">
        <v>-1.100781307489</v>
      </c>
      <c r="AH7458">
        <v>11.826394687803299</v>
      </c>
      <c r="AI7458">
        <v>94.112105801017293</v>
      </c>
      <c r="AJ7458">
        <v>50.569461018107503</v>
      </c>
      <c r="AK7458">
        <v>15.350845373983701</v>
      </c>
      <c r="AL7458">
        <v>80.378460928728302</v>
      </c>
      <c r="AM7458">
        <v>68.074610661856795</v>
      </c>
      <c r="AN7458">
        <v>1.0000000110259399</v>
      </c>
    </row>
    <row r="7459" spans="1:40" x14ac:dyDescent="0.25">
      <c r="A7459" t="str">
        <f>"20190312172553631"</f>
        <v>20190312172553631</v>
      </c>
      <c r="B7459" t="str">
        <f>"1552382753628111"</f>
        <v>1552382753628111</v>
      </c>
      <c r="C7459" t="s">
        <v>40</v>
      </c>
      <c r="D7459">
        <v>3.7202299999999999</v>
      </c>
      <c r="E7459">
        <v>0.62364909999999996</v>
      </c>
      <c r="F7459" t="s">
        <v>43</v>
      </c>
      <c r="G7459">
        <v>-168.87540000000001</v>
      </c>
      <c r="H7459" s="1">
        <v>-2.3449289999999999E-6</v>
      </c>
      <c r="I7459">
        <v>132.36709999999999</v>
      </c>
      <c r="J7459">
        <v>-183.21899999999999</v>
      </c>
      <c r="K7459">
        <v>1.100749</v>
      </c>
      <c r="L7459">
        <v>126.7525</v>
      </c>
      <c r="M7459">
        <v>0.48859560000000002</v>
      </c>
      <c r="N7459">
        <v>0</v>
      </c>
      <c r="O7459">
        <v>0.87236979999999997</v>
      </c>
      <c r="P7459">
        <v>0.76550819999999997</v>
      </c>
      <c r="Q7459">
        <v>0.16174069999999999</v>
      </c>
      <c r="R7459">
        <v>0.62276569999999998</v>
      </c>
      <c r="S7459">
        <v>3.0043950000000001</v>
      </c>
      <c r="T7459">
        <v>-0.22943330000000001</v>
      </c>
      <c r="U7459">
        <v>1.1937709999999999</v>
      </c>
      <c r="V7459">
        <v>0.36765550000000002</v>
      </c>
      <c r="W7459">
        <v>0.1673905</v>
      </c>
      <c r="X7459">
        <v>0.91477319999999995</v>
      </c>
      <c r="Y7459">
        <v>0.62758890000000001</v>
      </c>
      <c r="Z7459">
        <v>-7.4022160000000004E-2</v>
      </c>
      <c r="AA7459">
        <v>0.77501799999999998</v>
      </c>
      <c r="AB7459">
        <v>26</v>
      </c>
      <c r="AC7459">
        <v>14.3436</v>
      </c>
      <c r="AD7459">
        <v>-1.1007513449290001</v>
      </c>
      <c r="AE7459">
        <v>5.6145999999999896</v>
      </c>
      <c r="AF7459">
        <v>9.72120863246559</v>
      </c>
      <c r="AG7459">
        <v>-1.1007513449290001</v>
      </c>
      <c r="AH7459">
        <v>11.847186469066299</v>
      </c>
      <c r="AI7459">
        <v>94.108319790237701</v>
      </c>
      <c r="AJ7459">
        <v>50.629410315887299</v>
      </c>
      <c r="AK7459">
        <v>15.364549392420001</v>
      </c>
      <c r="AL7459">
        <v>80.363869018399299</v>
      </c>
      <c r="AM7459">
        <v>68.104365979500798</v>
      </c>
      <c r="AN7459">
        <v>1.00000007680436</v>
      </c>
    </row>
    <row r="7460" spans="1:40" x14ac:dyDescent="0.25">
      <c r="A7460" t="str">
        <f>"20190312172553643"</f>
        <v>20190312172553643</v>
      </c>
      <c r="B7460" t="str">
        <f>"1552382753637745"</f>
        <v>1552382753637745</v>
      </c>
      <c r="C7460" t="s">
        <v>40</v>
      </c>
      <c r="D7460">
        <v>3.7655569999999998</v>
      </c>
      <c r="E7460">
        <v>0.62336669999999905</v>
      </c>
      <c r="F7460" t="s">
        <v>43</v>
      </c>
      <c r="G7460">
        <v>-168.8587</v>
      </c>
      <c r="H7460" s="1">
        <v>-2.3478760000000002E-6</v>
      </c>
      <c r="I7460">
        <v>132.38</v>
      </c>
      <c r="J7460">
        <v>-183.148</v>
      </c>
      <c r="K7460">
        <v>1.100725</v>
      </c>
      <c r="L7460">
        <v>126.8647</v>
      </c>
      <c r="M7460">
        <v>0.49483090000000002</v>
      </c>
      <c r="N7460">
        <v>0</v>
      </c>
      <c r="O7460">
        <v>0.86884810000000001</v>
      </c>
      <c r="P7460">
        <v>0.7696906</v>
      </c>
      <c r="Q7460">
        <v>0.1616379</v>
      </c>
      <c r="R7460">
        <v>0.61761599999999905</v>
      </c>
      <c r="S7460">
        <v>3.0085600000000001</v>
      </c>
      <c r="T7460">
        <v>-0.23061419999999999</v>
      </c>
      <c r="U7460">
        <v>1.179001</v>
      </c>
      <c r="V7460">
        <v>0.3672666</v>
      </c>
      <c r="W7460">
        <v>0.1672824</v>
      </c>
      <c r="X7460">
        <v>0.91494909999999996</v>
      </c>
      <c r="Y7460">
        <v>0.62565839999999995</v>
      </c>
      <c r="Z7460">
        <v>-7.4294789999999999E-2</v>
      </c>
      <c r="AA7460">
        <v>0.7765512</v>
      </c>
      <c r="AB7460">
        <v>26</v>
      </c>
      <c r="AC7460">
        <v>14.2892999999999</v>
      </c>
      <c r="AD7460">
        <v>-1.100727347876</v>
      </c>
      <c r="AE7460">
        <v>5.5152999999999901</v>
      </c>
      <c r="AF7460">
        <v>9.6375060865629507</v>
      </c>
      <c r="AG7460">
        <v>-1.100727347876</v>
      </c>
      <c r="AH7460">
        <v>11.803243073574199</v>
      </c>
      <c r="AI7460">
        <v>94.131610866527396</v>
      </c>
      <c r="AJ7460">
        <v>50.767901459394601</v>
      </c>
      <c r="AK7460">
        <v>15.2777508592324</v>
      </c>
      <c r="AL7460">
        <v>80.370150586101701</v>
      </c>
      <c r="AM7460">
        <v>68.129148556968303</v>
      </c>
      <c r="AN7460">
        <v>1.0000000062080601</v>
      </c>
    </row>
    <row r="7461" spans="1:40" x14ac:dyDescent="0.25">
      <c r="A7461" t="str">
        <f>"20190312172553663"</f>
        <v>20190312172553663</v>
      </c>
      <c r="B7461" t="str">
        <f>"1552382753658242"</f>
        <v>1552382753658242</v>
      </c>
      <c r="C7461" t="s">
        <v>40</v>
      </c>
      <c r="D7461">
        <v>3.743887</v>
      </c>
      <c r="E7461">
        <v>0.62252439999999998</v>
      </c>
      <c r="F7461" t="s">
        <v>43</v>
      </c>
      <c r="G7461">
        <v>-168.863</v>
      </c>
      <c r="H7461" s="1">
        <v>-2.3506520000000002E-6</v>
      </c>
      <c r="I7461">
        <v>132.36340000000001</v>
      </c>
      <c r="J7461">
        <v>-183.0206</v>
      </c>
      <c r="K7461">
        <v>1.100692</v>
      </c>
      <c r="L7461">
        <v>127.0607</v>
      </c>
      <c r="M7461">
        <v>0.50580879999999995</v>
      </c>
      <c r="N7461">
        <v>0</v>
      </c>
      <c r="O7461">
        <v>0.86250319999999903</v>
      </c>
      <c r="P7461">
        <v>0.77723219999999904</v>
      </c>
      <c r="Q7461">
        <v>0.1615347</v>
      </c>
      <c r="R7461">
        <v>0.60812549999999999</v>
      </c>
      <c r="S7461">
        <v>3.0151520000000001</v>
      </c>
      <c r="T7461">
        <v>-0.2323327</v>
      </c>
      <c r="U7461">
        <v>1.160614</v>
      </c>
      <c r="V7461">
        <v>0.36692269999999999</v>
      </c>
      <c r="W7461">
        <v>0.16716110000000001</v>
      </c>
      <c r="X7461">
        <v>0.91510919999999896</v>
      </c>
      <c r="Y7461">
        <v>0.6204364</v>
      </c>
      <c r="Z7461">
        <v>-7.4544910000000006E-2</v>
      </c>
      <c r="AA7461">
        <v>0.78070589999999995</v>
      </c>
      <c r="AB7461">
        <v>26</v>
      </c>
      <c r="AC7461">
        <v>14.1576</v>
      </c>
      <c r="AD7461">
        <v>-1.1006943506519999</v>
      </c>
      <c r="AE7461">
        <v>5.3027000000000104</v>
      </c>
      <c r="AF7461">
        <v>9.4797436533448192</v>
      </c>
      <c r="AG7461">
        <v>-1.1006943506519999</v>
      </c>
      <c r="AH7461">
        <v>11.674193766365599</v>
      </c>
      <c r="AI7461">
        <v>94.186152998697594</v>
      </c>
      <c r="AJ7461">
        <v>50.922519151673797</v>
      </c>
      <c r="AK7461">
        <v>15.078589717919201</v>
      </c>
      <c r="AL7461">
        <v>80.377199514460003</v>
      </c>
      <c r="AM7461">
        <v>68.151161231448697</v>
      </c>
      <c r="AN7461">
        <v>0.99999997452656897</v>
      </c>
    </row>
    <row r="7462" spans="1:40" x14ac:dyDescent="0.25">
      <c r="A7462" t="str">
        <f>"20190312172553675"</f>
        <v>20190312172553675</v>
      </c>
      <c r="B7462" t="str">
        <f>"1552382753668001"</f>
        <v>1552382753668001</v>
      </c>
      <c r="C7462" t="s">
        <v>40</v>
      </c>
      <c r="D7462">
        <v>3.7284470000000001</v>
      </c>
      <c r="E7462">
        <v>0.62216559999999999</v>
      </c>
      <c r="F7462" t="s">
        <v>43</v>
      </c>
      <c r="G7462">
        <v>-168.828</v>
      </c>
      <c r="H7462" s="1">
        <v>-2.3658970000000002E-6</v>
      </c>
      <c r="I7462">
        <v>132.35659999999999</v>
      </c>
      <c r="J7462">
        <v>-182.93799999999999</v>
      </c>
      <c r="K7462">
        <v>1.100668</v>
      </c>
      <c r="L7462">
        <v>127.1845</v>
      </c>
      <c r="M7462">
        <v>0.5128007</v>
      </c>
      <c r="N7462">
        <v>0</v>
      </c>
      <c r="O7462">
        <v>0.85836449999999997</v>
      </c>
      <c r="P7462">
        <v>0.78190090000000001</v>
      </c>
      <c r="Q7462">
        <v>0.16183259999999999</v>
      </c>
      <c r="R7462">
        <v>0.60203099999999998</v>
      </c>
      <c r="S7462">
        <v>3.02536</v>
      </c>
      <c r="T7462">
        <v>-0.23462939999999999</v>
      </c>
      <c r="U7462">
        <v>1.1288910000000001</v>
      </c>
      <c r="V7462">
        <v>0.36660389999999998</v>
      </c>
      <c r="W7462">
        <v>0.16745209999999999</v>
      </c>
      <c r="X7462">
        <v>0.91518379999999999</v>
      </c>
      <c r="Y7462">
        <v>0.62206130000000004</v>
      </c>
      <c r="Z7462">
        <v>-7.5239349999999997E-2</v>
      </c>
      <c r="AA7462">
        <v>0.77934499999999995</v>
      </c>
      <c r="AB7462">
        <v>26</v>
      </c>
      <c r="AC7462">
        <v>14.1099999999999</v>
      </c>
      <c r="AD7462">
        <v>-1.1006703658970001</v>
      </c>
      <c r="AE7462">
        <v>5.1720999999999799</v>
      </c>
      <c r="AF7462">
        <v>9.4099522098893793</v>
      </c>
      <c r="AG7462">
        <v>-1.1006703658970001</v>
      </c>
      <c r="AH7462">
        <v>11.6142982887502</v>
      </c>
      <c r="AI7462">
        <v>94.211310136378302</v>
      </c>
      <c r="AJ7462">
        <v>50.985466592908701</v>
      </c>
      <c r="AK7462">
        <v>14.988348827900699</v>
      </c>
      <c r="AL7462">
        <v>80.360288385435496</v>
      </c>
      <c r="AM7462">
        <v>68.169971369525598</v>
      </c>
      <c r="AN7462">
        <v>1.0000000065360299</v>
      </c>
    </row>
    <row r="7463" spans="1:40" x14ac:dyDescent="0.25">
      <c r="A7463" t="str">
        <f>"20190312172553688"</f>
        <v>20190312172553688</v>
      </c>
      <c r="B7463" t="str">
        <f>"1552382753677761"</f>
        <v>1552382753677761</v>
      </c>
      <c r="C7463" t="s">
        <v>40</v>
      </c>
      <c r="D7463">
        <v>3.7396790000000002</v>
      </c>
      <c r="E7463">
        <v>0.62169149999999995</v>
      </c>
      <c r="F7463" t="s">
        <v>43</v>
      </c>
      <c r="G7463">
        <v>-168.70480000000001</v>
      </c>
      <c r="H7463" s="1">
        <v>-2.4064899999999999E-6</v>
      </c>
      <c r="I7463">
        <v>132.3819</v>
      </c>
      <c r="J7463">
        <v>-182.85669999999999</v>
      </c>
      <c r="K7463">
        <v>1.1006469999999999</v>
      </c>
      <c r="L7463">
        <v>127.3047</v>
      </c>
      <c r="M7463">
        <v>0.51960470000000003</v>
      </c>
      <c r="N7463">
        <v>0</v>
      </c>
      <c r="O7463">
        <v>0.85426279999999999</v>
      </c>
      <c r="P7463">
        <v>0.78662299999999996</v>
      </c>
      <c r="Q7463">
        <v>0.16210169999999999</v>
      </c>
      <c r="R7463">
        <v>0.59577469999999999</v>
      </c>
      <c r="S7463">
        <v>3.032654</v>
      </c>
      <c r="T7463">
        <v>-0.23451830000000001</v>
      </c>
      <c r="U7463">
        <v>1.107391</v>
      </c>
      <c r="V7463">
        <v>0.3666008</v>
      </c>
      <c r="W7463">
        <v>0.16770679999999999</v>
      </c>
      <c r="X7463">
        <v>0.91513840000000002</v>
      </c>
      <c r="Y7463">
        <v>0.62133839999999996</v>
      </c>
      <c r="Z7463">
        <v>-7.5074139999999998E-2</v>
      </c>
      <c r="AA7463">
        <v>0.77993749999999995</v>
      </c>
      <c r="AB7463">
        <v>26</v>
      </c>
      <c r="AC7463">
        <v>14.1518999999999</v>
      </c>
      <c r="AD7463">
        <v>-1.1006494064900001</v>
      </c>
      <c r="AE7463">
        <v>5.0772000000000004</v>
      </c>
      <c r="AF7463">
        <v>9.4020816344746496</v>
      </c>
      <c r="AG7463">
        <v>-1.1006494064900001</v>
      </c>
      <c r="AH7463">
        <v>11.6297710268198</v>
      </c>
      <c r="AI7463">
        <v>94.209244876818502</v>
      </c>
      <c r="AJ7463">
        <v>51.046213291468803</v>
      </c>
      <c r="AK7463">
        <v>14.9954040396912</v>
      </c>
      <c r="AL7463">
        <v>80.345485798706903</v>
      </c>
      <c r="AM7463">
        <v>68.169157443800401</v>
      </c>
      <c r="AN7463">
        <v>1.00000000424072</v>
      </c>
    </row>
    <row r="7464" spans="1:40" x14ac:dyDescent="0.25">
      <c r="A7464" t="str">
        <f>"20190312172553702"</f>
        <v>20190312172553702</v>
      </c>
      <c r="B7464" t="str">
        <f>"1552382753698258"</f>
        <v>1552382753698258</v>
      </c>
      <c r="C7464" t="s">
        <v>40</v>
      </c>
      <c r="D7464">
        <v>3.7550319999999999</v>
      </c>
      <c r="E7464">
        <v>0.62126139999999996</v>
      </c>
      <c r="F7464" t="s">
        <v>43</v>
      </c>
      <c r="G7464">
        <v>-168.60120000000001</v>
      </c>
      <c r="H7464" s="1">
        <v>-2.4414980000000002E-6</v>
      </c>
      <c r="I7464">
        <v>132.3998</v>
      </c>
      <c r="J7464">
        <v>-182.76990000000001</v>
      </c>
      <c r="K7464">
        <v>1.1006290000000001</v>
      </c>
      <c r="L7464">
        <v>127.4311</v>
      </c>
      <c r="M7464">
        <v>0.52677879999999999</v>
      </c>
      <c r="N7464">
        <v>0</v>
      </c>
      <c r="O7464">
        <v>0.84985759999999899</v>
      </c>
      <c r="P7464">
        <v>0.79169690000000004</v>
      </c>
      <c r="Q7464">
        <v>0.16237170000000001</v>
      </c>
      <c r="R7464">
        <v>0.58894099999999905</v>
      </c>
      <c r="S7464">
        <v>3.0393680000000001</v>
      </c>
      <c r="T7464">
        <v>-0.23466709999999999</v>
      </c>
      <c r="U7464">
        <v>1.086319</v>
      </c>
      <c r="V7464">
        <v>0.36678880000000003</v>
      </c>
      <c r="W7464">
        <v>0.16795689999999999</v>
      </c>
      <c r="X7464">
        <v>0.91501719999999998</v>
      </c>
      <c r="Y7464">
        <v>0.62009579999999997</v>
      </c>
      <c r="Z7464">
        <v>-7.496999E-2</v>
      </c>
      <c r="AA7464">
        <v>0.78093570000000001</v>
      </c>
      <c r="AB7464">
        <v>25</v>
      </c>
      <c r="AC7464">
        <v>14.168699999999999</v>
      </c>
      <c r="AD7464">
        <v>-1.1006314414980001</v>
      </c>
      <c r="AE7464">
        <v>4.9686999999999903</v>
      </c>
      <c r="AF7464">
        <v>9.3747569121599597</v>
      </c>
      <c r="AG7464">
        <v>-1.1006314414980001</v>
      </c>
      <c r="AH7464">
        <v>11.6254282547252</v>
      </c>
      <c r="AI7464">
        <v>94.214945929939105</v>
      </c>
      <c r="AJ7464">
        <v>51.117260913377002</v>
      </c>
      <c r="AK7464">
        <v>14.9749136504311</v>
      </c>
      <c r="AL7464">
        <v>80.330950000382202</v>
      </c>
      <c r="AM7464">
        <v>68.156394670029997</v>
      </c>
      <c r="AN7464">
        <v>1.00000001017944</v>
      </c>
    </row>
    <row r="7465" spans="1:40" x14ac:dyDescent="0.25">
      <c r="A7465" t="str">
        <f>"20190312172553714"</f>
        <v>20190312172553714</v>
      </c>
      <c r="B7465" t="str">
        <f>"1552382753708018"</f>
        <v>1552382753708018</v>
      </c>
      <c r="C7465" t="s">
        <v>40</v>
      </c>
      <c r="D7465">
        <v>3.7065600000000001</v>
      </c>
      <c r="E7465">
        <v>0.60954609999999998</v>
      </c>
      <c r="F7465" t="s">
        <v>43</v>
      </c>
      <c r="G7465">
        <v>-168.50049999999999</v>
      </c>
      <c r="H7465" s="1">
        <v>-2.477376E-6</v>
      </c>
      <c r="I7465">
        <v>132.41030000000001</v>
      </c>
      <c r="J7465">
        <v>-182.67699999999999</v>
      </c>
      <c r="K7465">
        <v>1.100611</v>
      </c>
      <c r="L7465">
        <v>127.56270000000001</v>
      </c>
      <c r="M7465">
        <v>0.53431770000000001</v>
      </c>
      <c r="N7465">
        <v>0</v>
      </c>
      <c r="O7465">
        <v>0.84513799999999994</v>
      </c>
      <c r="P7465">
        <v>0.79705130000000002</v>
      </c>
      <c r="Q7465">
        <v>0.16302849999999999</v>
      </c>
      <c r="R7465">
        <v>0.58149030000000002</v>
      </c>
      <c r="S7465">
        <v>3.0466920000000002</v>
      </c>
      <c r="T7465">
        <v>-0.23499929999999999</v>
      </c>
      <c r="U7465">
        <v>1.063126</v>
      </c>
      <c r="V7465">
        <v>0.36714330000000001</v>
      </c>
      <c r="W7465">
        <v>0.16858770000000001</v>
      </c>
      <c r="X7465">
        <v>0.91475899999999999</v>
      </c>
      <c r="Y7465">
        <v>0.61901110000000004</v>
      </c>
      <c r="Z7465">
        <v>-7.4913140000000003E-2</v>
      </c>
      <c r="AA7465">
        <v>0.78180130000000003</v>
      </c>
      <c r="AB7465">
        <v>25</v>
      </c>
      <c r="AC7465">
        <v>14.176500000000001</v>
      </c>
      <c r="AD7465">
        <v>-1.1006134773759999</v>
      </c>
      <c r="AE7465">
        <v>4.8475999999999999</v>
      </c>
      <c r="AF7465">
        <v>9.3416855722604009</v>
      </c>
      <c r="AG7465">
        <v>-1.1006134773759999</v>
      </c>
      <c r="AH7465">
        <v>11.6104289056059</v>
      </c>
      <c r="AI7465">
        <v>94.224015835003698</v>
      </c>
      <c r="AJ7465">
        <v>51.180040581458996</v>
      </c>
      <c r="AK7465">
        <v>14.942573363704399</v>
      </c>
      <c r="AL7465">
        <v>80.294285112582202</v>
      </c>
      <c r="AM7465">
        <v>68.131683530175707</v>
      </c>
      <c r="AN7465">
        <v>1.00000002170358</v>
      </c>
    </row>
    <row r="7466" spans="1:40" x14ac:dyDescent="0.25">
      <c r="A7466" t="str">
        <f>"20190312172553728"</f>
        <v>20190312172553728</v>
      </c>
      <c r="B7466" t="str">
        <f>"1552382753717777"</f>
        <v>1552382753717777</v>
      </c>
      <c r="C7466" t="s">
        <v>40</v>
      </c>
      <c r="D7466">
        <v>3.7395149999999999</v>
      </c>
      <c r="E7466">
        <v>0.60892919999999995</v>
      </c>
      <c r="F7466" t="s">
        <v>49</v>
      </c>
      <c r="G7466">
        <v>-169.96369999999999</v>
      </c>
      <c r="H7466" s="1">
        <v>-3.5008659999999998E-7</v>
      </c>
      <c r="I7466">
        <v>132.27189999999999</v>
      </c>
      <c r="J7466">
        <v>-182.58799999999999</v>
      </c>
      <c r="K7466">
        <v>1.1005969999999901</v>
      </c>
      <c r="L7466">
        <v>127.68689999999999</v>
      </c>
      <c r="M7466">
        <v>0.54145529999999997</v>
      </c>
      <c r="N7466">
        <v>0</v>
      </c>
      <c r="O7466">
        <v>0.84058290000000002</v>
      </c>
      <c r="P7466">
        <v>0.80202200000000001</v>
      </c>
      <c r="Q7466">
        <v>0.16410429999999901</v>
      </c>
      <c r="R7466">
        <v>0.57430859999999995</v>
      </c>
      <c r="S7466">
        <v>3.00502</v>
      </c>
      <c r="T7466">
        <v>-0.26014880000000001</v>
      </c>
      <c r="U7466">
        <v>1.1130979999999999</v>
      </c>
      <c r="V7466">
        <v>0.36746329999999999</v>
      </c>
      <c r="W7466">
        <v>0.16964000000000001</v>
      </c>
      <c r="X7466">
        <v>0.91443589999999997</v>
      </c>
      <c r="Y7466">
        <v>0.59661790000000003</v>
      </c>
      <c r="Z7466">
        <v>-8.2610589999999998E-2</v>
      </c>
      <c r="AA7466">
        <v>0.79826219999999903</v>
      </c>
      <c r="AB7466">
        <v>25</v>
      </c>
      <c r="AC7466">
        <v>12.6243</v>
      </c>
      <c r="AD7466">
        <v>-1.10059735008659</v>
      </c>
      <c r="AE7466">
        <v>4.5849999999999902</v>
      </c>
      <c r="AF7466">
        <v>8.0759720483679001</v>
      </c>
      <c r="AG7466">
        <v>-1.10059735008659</v>
      </c>
      <c r="AH7466">
        <v>10.6195765644592</v>
      </c>
      <c r="AI7466">
        <v>94.715880728082595</v>
      </c>
      <c r="AJ7466">
        <v>52.747749348197502</v>
      </c>
      <c r="AK7466">
        <v>13.386860926350399</v>
      </c>
      <c r="AL7466">
        <v>80.233111544215106</v>
      </c>
      <c r="AM7466">
        <v>68.107421192405596</v>
      </c>
      <c r="AN7466">
        <v>1.0000000108278499</v>
      </c>
    </row>
    <row r="7467" spans="1:40" x14ac:dyDescent="0.25">
      <c r="A7467" t="str">
        <f>"20190312172553751"</f>
        <v>20190312172553751</v>
      </c>
      <c r="B7467" t="str">
        <f>"1552382753748034"</f>
        <v>1552382753748034</v>
      </c>
      <c r="C7467" t="s">
        <v>40</v>
      </c>
      <c r="D7467">
        <v>3.7870240000000002</v>
      </c>
      <c r="E7467">
        <v>0.60754719999999995</v>
      </c>
      <c r="F7467" t="s">
        <v>43</v>
      </c>
      <c r="G7467">
        <v>-169.67570000000001</v>
      </c>
      <c r="H7467" s="1">
        <v>-2.0387859999999999E-6</v>
      </c>
      <c r="I7467">
        <v>132.36259999999999</v>
      </c>
      <c r="J7467">
        <v>-182.4288</v>
      </c>
      <c r="K7467">
        <v>1.100571</v>
      </c>
      <c r="L7467">
        <v>127.9037</v>
      </c>
      <c r="M7467">
        <v>0.55398199999999997</v>
      </c>
      <c r="N7467">
        <v>0</v>
      </c>
      <c r="O7467">
        <v>0.83238040000000002</v>
      </c>
      <c r="P7467">
        <v>0.81057009999999996</v>
      </c>
      <c r="Q7467">
        <v>0.16440460000000001</v>
      </c>
      <c r="R7467">
        <v>0.56209189999999998</v>
      </c>
      <c r="S7467">
        <v>3.012054</v>
      </c>
      <c r="T7467">
        <v>-0.25673600000000002</v>
      </c>
      <c r="U7467">
        <v>1.0906979999999999</v>
      </c>
      <c r="V7467">
        <v>0.36759399999999998</v>
      </c>
      <c r="W7467">
        <v>0.16991679999999901</v>
      </c>
      <c r="X7467">
        <v>0.91433200000000003</v>
      </c>
      <c r="Y7467">
        <v>0.59057150000000003</v>
      </c>
      <c r="Z7467">
        <v>-8.1052479999999996E-2</v>
      </c>
      <c r="AA7467">
        <v>0.80290459999999997</v>
      </c>
      <c r="AB7467">
        <v>25</v>
      </c>
      <c r="AC7467">
        <v>12.7530999999999</v>
      </c>
      <c r="AD7467">
        <v>-1.100573038786</v>
      </c>
      <c r="AE7467">
        <v>4.4588999999999803</v>
      </c>
      <c r="AF7467">
        <v>8.0925815372089094</v>
      </c>
      <c r="AG7467">
        <v>-1.100573038786</v>
      </c>
      <c r="AH7467">
        <v>10.7067667268467</v>
      </c>
      <c r="AI7467">
        <v>94.687962996536299</v>
      </c>
      <c r="AJ7467">
        <v>52.916624868144801</v>
      </c>
      <c r="AK7467">
        <v>13.466105253308699</v>
      </c>
      <c r="AL7467">
        <v>80.217018695575206</v>
      </c>
      <c r="AM7467">
        <v>68.098117694826897</v>
      </c>
      <c r="AN7467">
        <v>1.00000003699111</v>
      </c>
    </row>
    <row r="7468" spans="1:40" x14ac:dyDescent="0.25">
      <c r="A7468" t="str">
        <f>"20190312172553764"</f>
        <v>20190312172553764</v>
      </c>
      <c r="B7468" t="str">
        <f>"1552382753757794"</f>
        <v>1552382753757794</v>
      </c>
      <c r="C7468" t="s">
        <v>40</v>
      </c>
      <c r="D7468">
        <v>3.7034440000000002</v>
      </c>
      <c r="E7468">
        <v>0.607047</v>
      </c>
      <c r="F7468" t="s">
        <v>43</v>
      </c>
      <c r="G7468">
        <v>-169.56270000000001</v>
      </c>
      <c r="H7468" s="1">
        <v>-2.0748309999999998E-6</v>
      </c>
      <c r="I7468">
        <v>132.39009999999999</v>
      </c>
      <c r="J7468">
        <v>-182.34229999999999</v>
      </c>
      <c r="K7468">
        <v>1.1005549999999999</v>
      </c>
      <c r="L7468">
        <v>128.0188</v>
      </c>
      <c r="M7468">
        <v>0.56066359999999904</v>
      </c>
      <c r="N7468">
        <v>0</v>
      </c>
      <c r="O7468">
        <v>0.82789439999999903</v>
      </c>
      <c r="P7468">
        <v>0.81482840000000001</v>
      </c>
      <c r="Q7468">
        <v>0.1644409</v>
      </c>
      <c r="R7468">
        <v>0.55589009999999905</v>
      </c>
      <c r="S7468">
        <v>3.0226289999999998</v>
      </c>
      <c r="T7468">
        <v>-0.25855909999999999</v>
      </c>
      <c r="U7468">
        <v>1.054001</v>
      </c>
      <c r="V7468">
        <v>0.36721239999999999</v>
      </c>
      <c r="W7468">
        <v>0.1699562</v>
      </c>
      <c r="X7468">
        <v>0.91447789999999995</v>
      </c>
      <c r="Y7468">
        <v>0.5935897</v>
      </c>
      <c r="Z7468">
        <v>-8.1594739999999999E-2</v>
      </c>
      <c r="AA7468">
        <v>0.80062080000000002</v>
      </c>
      <c r="AB7468">
        <v>25</v>
      </c>
      <c r="AC7468">
        <v>12.779599999999901</v>
      </c>
      <c r="AD7468">
        <v>-1.1005570748309901</v>
      </c>
      <c r="AE7468">
        <v>4.37129999999999</v>
      </c>
      <c r="AF7468">
        <v>8.0767098510286992</v>
      </c>
      <c r="AG7468">
        <v>-1.1005570748309901</v>
      </c>
      <c r="AH7468">
        <v>10.714226998435199</v>
      </c>
      <c r="AI7468">
        <v>94.689150195797296</v>
      </c>
      <c r="AJ7468">
        <v>52.989902912233802</v>
      </c>
      <c r="AK7468">
        <v>13.462508238313699</v>
      </c>
      <c r="AL7468">
        <v>80.214726995003801</v>
      </c>
      <c r="AM7468">
        <v>68.121867454954</v>
      </c>
      <c r="AN7468">
        <v>0.99999994311030305</v>
      </c>
    </row>
    <row r="7469" spans="1:40" x14ac:dyDescent="0.25">
      <c r="A7469" t="str">
        <f>"20190312172553775"</f>
        <v>20190312172553775</v>
      </c>
      <c r="B7469" t="str">
        <f>"1552382753767554"</f>
        <v>1552382753767554</v>
      </c>
      <c r="C7469" t="s">
        <v>40</v>
      </c>
      <c r="D7469">
        <v>3.7313420000000002</v>
      </c>
      <c r="E7469">
        <v>0.60665919999999995</v>
      </c>
      <c r="F7469" t="s">
        <v>43</v>
      </c>
      <c r="G7469">
        <v>-169.44669999999999</v>
      </c>
      <c r="H7469" s="1">
        <v>-2.1110749999999999E-6</v>
      </c>
      <c r="I7469">
        <v>132.4213</v>
      </c>
      <c r="J7469">
        <v>-182.26349999999999</v>
      </c>
      <c r="K7469">
        <v>1.1005419999999999</v>
      </c>
      <c r="L7469">
        <v>128.1216</v>
      </c>
      <c r="M7469">
        <v>0.56666649999999996</v>
      </c>
      <c r="N7469">
        <v>0</v>
      </c>
      <c r="O7469">
        <v>0.82379720000000001</v>
      </c>
      <c r="P7469">
        <v>0.81884650000000003</v>
      </c>
      <c r="Q7469">
        <v>0.16459260000000001</v>
      </c>
      <c r="R7469">
        <v>0.54990899999999998</v>
      </c>
      <c r="S7469">
        <v>3.0285489999999999</v>
      </c>
      <c r="T7469">
        <v>-0.25846760000000002</v>
      </c>
      <c r="U7469">
        <v>1.033936</v>
      </c>
      <c r="V7469">
        <v>0.36724519999999999</v>
      </c>
      <c r="W7469">
        <v>0.1701</v>
      </c>
      <c r="X7469">
        <v>0.91443810000000003</v>
      </c>
      <c r="Y7469">
        <v>0.59299000000000002</v>
      </c>
      <c r="Z7469">
        <v>-8.1401409999999993E-2</v>
      </c>
      <c r="AA7469">
        <v>0.80108469999999998</v>
      </c>
      <c r="AB7469">
        <v>25</v>
      </c>
      <c r="AC7469">
        <v>12.816800000000001</v>
      </c>
      <c r="AD7469">
        <v>-1.1005441110749901</v>
      </c>
      <c r="AE7469">
        <v>4.2996999999999996</v>
      </c>
      <c r="AF7469">
        <v>8.0694731544210008</v>
      </c>
      <c r="AG7469">
        <v>-1.1005441110749901</v>
      </c>
      <c r="AH7469">
        <v>10.7351227591802</v>
      </c>
      <c r="AI7469">
        <v>94.684805021919701</v>
      </c>
      <c r="AJ7469">
        <v>53.0682199355807</v>
      </c>
      <c r="AK7469">
        <v>13.474808161343599</v>
      </c>
      <c r="AL7469">
        <v>80.206367106733694</v>
      </c>
      <c r="AM7469">
        <v>68.119235402810503</v>
      </c>
      <c r="AN7469">
        <v>1.0000000428273199</v>
      </c>
    </row>
    <row r="7470" spans="1:40" x14ac:dyDescent="0.25">
      <c r="A7470" t="str">
        <f>"20190312172553787"</f>
        <v>20190312172553787</v>
      </c>
      <c r="B7470" t="str">
        <f>"1552382753777314"</f>
        <v>1552382753777314</v>
      </c>
      <c r="C7470" t="s">
        <v>40</v>
      </c>
      <c r="D7470">
        <v>3.6994500000000001</v>
      </c>
      <c r="E7470">
        <v>0.60665919999999995</v>
      </c>
      <c r="F7470" t="s">
        <v>43</v>
      </c>
      <c r="G7470">
        <v>-169.32579999999999</v>
      </c>
      <c r="H7470" s="1">
        <v>-2.1509340000000001E-6</v>
      </c>
      <c r="I7470">
        <v>132.4461</v>
      </c>
      <c r="J7470">
        <v>-182.18270000000001</v>
      </c>
      <c r="K7470">
        <v>1.1005320000000001</v>
      </c>
      <c r="L7470">
        <v>128.22559999999999</v>
      </c>
      <c r="M7470">
        <v>0.57274840000000005</v>
      </c>
      <c r="N7470">
        <v>0</v>
      </c>
      <c r="O7470">
        <v>0.81958030000000004</v>
      </c>
      <c r="P7470">
        <v>0.82275100000000001</v>
      </c>
      <c r="Q7470">
        <v>0.16444339999999999</v>
      </c>
      <c r="R7470">
        <v>0.54409479999999999</v>
      </c>
      <c r="S7470">
        <v>3.0344389999999999</v>
      </c>
      <c r="T7470">
        <v>-0.25812479999999999</v>
      </c>
      <c r="U7470">
        <v>1.014267</v>
      </c>
      <c r="V7470">
        <v>0.36697950000000001</v>
      </c>
      <c r="W7470">
        <v>0.16995389999999999</v>
      </c>
      <c r="X7470">
        <v>0.91457189999999999</v>
      </c>
      <c r="Y7470">
        <v>0.59219739999999998</v>
      </c>
      <c r="Z7470">
        <v>-8.1109500000000001E-2</v>
      </c>
      <c r="AA7470">
        <v>0.80170039999999998</v>
      </c>
      <c r="AB7470">
        <v>25</v>
      </c>
      <c r="AC7470">
        <v>12.8569</v>
      </c>
      <c r="AD7470">
        <v>-1.1005341509340001</v>
      </c>
      <c r="AE7470">
        <v>4.2205000000000101</v>
      </c>
      <c r="AF7470">
        <v>8.0676196809106298</v>
      </c>
      <c r="AG7470">
        <v>-1.1005341509340001</v>
      </c>
      <c r="AH7470">
        <v>10.7530220408606</v>
      </c>
      <c r="AI7470">
        <v>94.680183277538504</v>
      </c>
      <c r="AJ7470">
        <v>53.120373954522599</v>
      </c>
      <c r="AK7470">
        <v>13.4879629946268</v>
      </c>
      <c r="AL7470">
        <v>80.214861489516693</v>
      </c>
      <c r="AM7470">
        <v>68.136469942271802</v>
      </c>
      <c r="AN7470">
        <v>1.0000000209075299</v>
      </c>
    </row>
    <row r="7471" spans="1:40" x14ac:dyDescent="0.25">
      <c r="A7471" t="str">
        <f>"20190312172553807"</f>
        <v>20190312172553807</v>
      </c>
      <c r="B7471" t="str">
        <f>"1552382753797813"</f>
        <v>1552382753797813</v>
      </c>
      <c r="C7471" t="s">
        <v>40</v>
      </c>
      <c r="D7471">
        <v>3.7689970000000002</v>
      </c>
      <c r="E7471">
        <v>0.60019359999999999</v>
      </c>
      <c r="F7471" t="s">
        <v>43</v>
      </c>
      <c r="G7471">
        <v>-169.22069999999999</v>
      </c>
      <c r="H7471" s="1">
        <v>-2.1891330000000002E-6</v>
      </c>
      <c r="I7471">
        <v>132.45429999999999</v>
      </c>
      <c r="J7471">
        <v>-182.0318</v>
      </c>
      <c r="K7471">
        <v>1.1005180000000001</v>
      </c>
      <c r="L7471">
        <v>128.41550000000001</v>
      </c>
      <c r="M7471">
        <v>0.58391329999999997</v>
      </c>
      <c r="N7471">
        <v>0</v>
      </c>
      <c r="O7471">
        <v>0.81166340000000003</v>
      </c>
      <c r="P7471">
        <v>0.82972780000000002</v>
      </c>
      <c r="Q7471">
        <v>0.16440650000000001</v>
      </c>
      <c r="R7471">
        <v>0.53340639999999995</v>
      </c>
      <c r="S7471">
        <v>3.0417179999999999</v>
      </c>
      <c r="T7471">
        <v>-0.25825429999999999</v>
      </c>
      <c r="U7471">
        <v>0.99230960000000001</v>
      </c>
      <c r="V7471">
        <v>0.36630210000000002</v>
      </c>
      <c r="W7471">
        <v>0.169929</v>
      </c>
      <c r="X7471">
        <v>0.91484799999999999</v>
      </c>
      <c r="Y7471">
        <v>0.58699860000000004</v>
      </c>
      <c r="Z7471">
        <v>-8.0640770000000001E-2</v>
      </c>
      <c r="AA7471">
        <v>0.80556179999999999</v>
      </c>
      <c r="AB7471">
        <v>25</v>
      </c>
      <c r="AC7471">
        <v>12.8111</v>
      </c>
      <c r="AD7471">
        <v>-1.1005201891329901</v>
      </c>
      <c r="AE7471">
        <v>4.0387999999999797</v>
      </c>
      <c r="AF7471">
        <v>7.9873744402951097</v>
      </c>
      <c r="AG7471">
        <v>-1.1005201891329901</v>
      </c>
      <c r="AH7471">
        <v>10.688307683048</v>
      </c>
      <c r="AI7471">
        <v>94.715006555603097</v>
      </c>
      <c r="AJ7471">
        <v>53.229230588498098</v>
      </c>
      <c r="AK7471">
        <v>13.388398569794299</v>
      </c>
      <c r="AL7471">
        <v>80.216308791832901</v>
      </c>
      <c r="AM7471">
        <v>68.179000116048897</v>
      </c>
      <c r="AN7471">
        <v>0.999999978304704</v>
      </c>
    </row>
    <row r="7472" spans="1:40" x14ac:dyDescent="0.25">
      <c r="A7472" t="str">
        <f>"20190312172553817"</f>
        <v>20190312172553817</v>
      </c>
      <c r="B7472" t="str">
        <f>"1552382753807570"</f>
        <v>1552382753807570</v>
      </c>
      <c r="C7472" t="s">
        <v>40</v>
      </c>
      <c r="D7472">
        <v>3.744443</v>
      </c>
      <c r="E7472">
        <v>0.59969479999999997</v>
      </c>
      <c r="F7472" t="s">
        <v>43</v>
      </c>
      <c r="G7472">
        <v>-169.43029999999999</v>
      </c>
      <c r="H7472" s="1">
        <v>-2.079411E-6</v>
      </c>
      <c r="I7472">
        <v>132.5641</v>
      </c>
      <c r="J7472">
        <v>-181.95609999999999</v>
      </c>
      <c r="K7472">
        <v>1.100511</v>
      </c>
      <c r="L7472">
        <v>128.50890000000001</v>
      </c>
      <c r="M7472">
        <v>0.589422</v>
      </c>
      <c r="N7472">
        <v>0</v>
      </c>
      <c r="O7472">
        <v>0.8076719</v>
      </c>
      <c r="P7472">
        <v>0.8333834</v>
      </c>
      <c r="Q7472">
        <v>0.1647429</v>
      </c>
      <c r="R7472">
        <v>0.52757180000000004</v>
      </c>
      <c r="S7472">
        <v>3.0273129999999999</v>
      </c>
      <c r="T7472">
        <v>-0.26438240000000002</v>
      </c>
      <c r="U7472">
        <v>0.9966431</v>
      </c>
      <c r="V7472">
        <v>0.36645489999999997</v>
      </c>
      <c r="W7472">
        <v>0.17025699999999999</v>
      </c>
      <c r="X7472">
        <v>0.91472580000000003</v>
      </c>
      <c r="Y7472">
        <v>0.57912959999999902</v>
      </c>
      <c r="Z7472">
        <v>-8.2420649999999998E-2</v>
      </c>
      <c r="AA7472">
        <v>0.81105850000000002</v>
      </c>
      <c r="AB7472">
        <v>25</v>
      </c>
      <c r="AC7472">
        <v>12.5258</v>
      </c>
      <c r="AD7472">
        <v>-1.1005130794110001</v>
      </c>
      <c r="AE7472">
        <v>4.0551999999999797</v>
      </c>
      <c r="AF7472">
        <v>7.6738528916337199</v>
      </c>
      <c r="AG7472">
        <v>-1.1005130794110001</v>
      </c>
      <c r="AH7472">
        <v>10.5856123314143</v>
      </c>
      <c r="AI7472">
        <v>94.811377104175904</v>
      </c>
      <c r="AJ7472">
        <v>54.060428606019997</v>
      </c>
      <c r="AK7472">
        <v>13.120759721577899</v>
      </c>
      <c r="AL7472">
        <v>80.197237737687999</v>
      </c>
      <c r="AM7472">
        <v>68.168111090652005</v>
      </c>
      <c r="AN7472">
        <v>0.99999996448432404</v>
      </c>
    </row>
    <row r="7473" spans="1:40" x14ac:dyDescent="0.25">
      <c r="A7473" t="str">
        <f>"20190312172553840"</f>
        <v>20190312172553840</v>
      </c>
      <c r="B7473" t="str">
        <f>"1552382753837826"</f>
        <v>1552382753837826</v>
      </c>
      <c r="C7473" t="s">
        <v>40</v>
      </c>
      <c r="D7473">
        <v>3.747941</v>
      </c>
      <c r="E7473">
        <v>0.62582340000000003</v>
      </c>
      <c r="F7473" t="s">
        <v>43</v>
      </c>
      <c r="G7473">
        <v>-169.19409999999999</v>
      </c>
      <c r="H7473" s="1">
        <v>-2.1532399999999998E-6</v>
      </c>
      <c r="I7473">
        <v>132.6275</v>
      </c>
      <c r="J7473">
        <v>-181.78909999999999</v>
      </c>
      <c r="K7473">
        <v>1.1004989999999999</v>
      </c>
      <c r="L7473">
        <v>128.71029999999999</v>
      </c>
      <c r="M7473">
        <v>0.60136009999999995</v>
      </c>
      <c r="N7473">
        <v>0</v>
      </c>
      <c r="O7473">
        <v>0.79882280000000006</v>
      </c>
      <c r="P7473">
        <v>0.84086090000000002</v>
      </c>
      <c r="Q7473">
        <v>0.16478509999999999</v>
      </c>
      <c r="R7473">
        <v>0.51555680000000004</v>
      </c>
      <c r="S7473">
        <v>3.0320130000000001</v>
      </c>
      <c r="T7473">
        <v>-0.26146039999999998</v>
      </c>
      <c r="U7473">
        <v>0.97851560000000004</v>
      </c>
      <c r="V7473">
        <v>0.36598710000000001</v>
      </c>
      <c r="W7473">
        <v>0.17031009999999999</v>
      </c>
      <c r="X7473">
        <v>0.91490320000000003</v>
      </c>
      <c r="Y7473">
        <v>0.57189009999999996</v>
      </c>
      <c r="Z7473">
        <v>-8.0892049999999993E-2</v>
      </c>
      <c r="AA7473">
        <v>0.81633219999999995</v>
      </c>
      <c r="AB7473">
        <v>25</v>
      </c>
      <c r="AC7473">
        <v>12.595000000000001</v>
      </c>
      <c r="AD7473">
        <v>-1.10050115324</v>
      </c>
      <c r="AE7473">
        <v>3.9171999999999998</v>
      </c>
      <c r="AF7473">
        <v>7.6532060142232003</v>
      </c>
      <c r="AG7473">
        <v>-1.10050115324</v>
      </c>
      <c r="AH7473">
        <v>10.6306054627637</v>
      </c>
      <c r="AI7473">
        <v>94.802411897026403</v>
      </c>
      <c r="AJ7473">
        <v>54.249058728343101</v>
      </c>
      <c r="AK7473">
        <v>13.1450537309425</v>
      </c>
      <c r="AL7473">
        <v>80.194150357577001</v>
      </c>
      <c r="AM7473">
        <v>68.197196581905104</v>
      </c>
      <c r="AN7473">
        <v>0.99999997644932903</v>
      </c>
    </row>
    <row r="7474" spans="1:40" x14ac:dyDescent="0.25">
      <c r="A7474" t="str">
        <f>"20190312172553852"</f>
        <v>20190312172553852</v>
      </c>
      <c r="B7474" t="str">
        <f>"1552382753847586"</f>
        <v>1552382753847586</v>
      </c>
      <c r="C7474" t="s">
        <v>40</v>
      </c>
      <c r="D7474">
        <v>3.8403</v>
      </c>
      <c r="E7474">
        <v>0.62928799999999996</v>
      </c>
      <c r="F7474" t="s">
        <v>43</v>
      </c>
      <c r="G7474">
        <v>-163.898</v>
      </c>
      <c r="H7474" s="1">
        <v>-4.0922859999999998E-6</v>
      </c>
      <c r="I7474">
        <v>132.9836</v>
      </c>
      <c r="J7474">
        <v>-181.69909999999999</v>
      </c>
      <c r="K7474">
        <v>1.1004940000000001</v>
      </c>
      <c r="L7474">
        <v>128.81559999999999</v>
      </c>
      <c r="M7474">
        <v>0.60765000000000002</v>
      </c>
      <c r="N7474">
        <v>0</v>
      </c>
      <c r="O7474">
        <v>0.79404869999999905</v>
      </c>
      <c r="P7474">
        <v>0.84496009999999999</v>
      </c>
      <c r="Q7474">
        <v>0.16492000000000001</v>
      </c>
      <c r="R7474">
        <v>0.50876709999999903</v>
      </c>
      <c r="S7474">
        <v>3.1450809999999998</v>
      </c>
      <c r="T7474">
        <v>-0.19345760000000001</v>
      </c>
      <c r="U7474">
        <v>0.75120540000000002</v>
      </c>
      <c r="V7474">
        <v>0.36611549999999998</v>
      </c>
      <c r="W7474">
        <v>0.17044119999999999</v>
      </c>
      <c r="X7474">
        <v>0.91482750000000002</v>
      </c>
      <c r="Y7474">
        <v>0.62913839999999999</v>
      </c>
      <c r="Z7474">
        <v>-6.0317509999999998E-2</v>
      </c>
      <c r="AA7474">
        <v>0.77494960000000002</v>
      </c>
      <c r="AB7474">
        <v>25</v>
      </c>
      <c r="AC7474">
        <v>17.801099999999899</v>
      </c>
      <c r="AD7474">
        <v>-1.1004980922859999</v>
      </c>
      <c r="AE7474">
        <v>4.1680000000000001</v>
      </c>
      <c r="AF7474">
        <v>11.561802886163299</v>
      </c>
      <c r="AG7474">
        <v>-1.1004980922859999</v>
      </c>
      <c r="AH7474">
        <v>14.077180411675</v>
      </c>
      <c r="AI7474">
        <v>93.457152647213505</v>
      </c>
      <c r="AJ7474">
        <v>50.603216617601703</v>
      </c>
      <c r="AK7474">
        <v>18.249750419456898</v>
      </c>
      <c r="AL7474">
        <v>80.186528239188902</v>
      </c>
      <c r="AM7474">
        <v>68.188629773818604</v>
      </c>
      <c r="AN7474">
        <v>1.0000000583769599</v>
      </c>
    </row>
    <row r="7475" spans="1:40" x14ac:dyDescent="0.25">
      <c r="A7475" t="str">
        <f>"20190312172553864"</f>
        <v>20190312172553864</v>
      </c>
      <c r="B7475" t="str">
        <f>"1552382753857346"</f>
        <v>1552382753857346</v>
      </c>
      <c r="C7475" t="s">
        <v>40</v>
      </c>
      <c r="D7475">
        <v>3.7677209999999999</v>
      </c>
      <c r="E7475">
        <v>0.63098279999999995</v>
      </c>
      <c r="F7475" t="s">
        <v>43</v>
      </c>
      <c r="G7475">
        <v>-163.7432</v>
      </c>
      <c r="H7475" s="1">
        <v>-4.200674E-6</v>
      </c>
      <c r="I7475">
        <v>132.7996</v>
      </c>
      <c r="J7475">
        <v>-181.61349999999999</v>
      </c>
      <c r="K7475">
        <v>1.100482</v>
      </c>
      <c r="L7475">
        <v>128.91499999999999</v>
      </c>
      <c r="M7475">
        <v>0.61357510000000004</v>
      </c>
      <c r="N7475">
        <v>0</v>
      </c>
      <c r="O7475">
        <v>0.78947909999999999</v>
      </c>
      <c r="P7475">
        <v>0.84869729999999999</v>
      </c>
      <c r="Q7475">
        <v>0.1647962</v>
      </c>
      <c r="R7475">
        <v>0.50254860000000001</v>
      </c>
      <c r="S7475">
        <v>3.165451</v>
      </c>
      <c r="T7475">
        <v>-0.1940076</v>
      </c>
      <c r="U7475">
        <v>0.7023315</v>
      </c>
      <c r="V7475">
        <v>0.36600440000000001</v>
      </c>
      <c r="W7475">
        <v>0.1703218</v>
      </c>
      <c r="X7475">
        <v>0.91489410000000004</v>
      </c>
      <c r="Y7475">
        <v>0.63579479999999999</v>
      </c>
      <c r="Z7475">
        <v>-6.0354419999999999E-2</v>
      </c>
      <c r="AA7475">
        <v>0.76949480000000003</v>
      </c>
      <c r="AB7475">
        <v>25</v>
      </c>
      <c r="AC7475">
        <v>17.870299999999901</v>
      </c>
      <c r="AD7475">
        <v>-1.1004862006739999</v>
      </c>
      <c r="AE7475">
        <v>3.8845999999999998</v>
      </c>
      <c r="AF7475">
        <v>11.6838808946996</v>
      </c>
      <c r="AG7475">
        <v>-1.1004862006739999</v>
      </c>
      <c r="AH7475">
        <v>13.9826900171829</v>
      </c>
      <c r="AI7475">
        <v>93.456147197616303</v>
      </c>
      <c r="AJ7475">
        <v>50.118001880322701</v>
      </c>
      <c r="AK7475">
        <v>18.254855867851401</v>
      </c>
      <c r="AL7475">
        <v>80.193470045983801</v>
      </c>
      <c r="AM7475">
        <v>68.196066099157093</v>
      </c>
      <c r="AN7475">
        <v>0.99999997529470397</v>
      </c>
    </row>
    <row r="7476" spans="1:40" x14ac:dyDescent="0.25">
      <c r="A7476" t="str">
        <f>"20190312172553877"</f>
        <v>20190312172553877</v>
      </c>
      <c r="B7476" t="str">
        <f>"1552382753868082"</f>
        <v>1552382753868082</v>
      </c>
      <c r="C7476" t="s">
        <v>40</v>
      </c>
      <c r="D7476">
        <v>3.7049759999999998</v>
      </c>
      <c r="E7476">
        <v>0.63292230000000005</v>
      </c>
      <c r="F7476" t="s">
        <v>43</v>
      </c>
      <c r="G7476">
        <v>-163.75829999999999</v>
      </c>
      <c r="H7476" s="1">
        <v>-4.2303050000000003E-6</v>
      </c>
      <c r="I7476">
        <v>132.66650000000001</v>
      </c>
      <c r="J7476">
        <v>-181.50919999999999</v>
      </c>
      <c r="K7476">
        <v>1.100482</v>
      </c>
      <c r="L7476">
        <v>129.03370000000001</v>
      </c>
      <c r="M7476">
        <v>0.62068310000000004</v>
      </c>
      <c r="N7476">
        <v>0</v>
      </c>
      <c r="O7476">
        <v>0.78390309999999996</v>
      </c>
      <c r="P7476">
        <v>0.85331170000000001</v>
      </c>
      <c r="Q7476">
        <v>0.16451979999999999</v>
      </c>
      <c r="R7476">
        <v>0.4947647</v>
      </c>
      <c r="S7476">
        <v>3.1775509999999998</v>
      </c>
      <c r="T7476">
        <v>-0.1958444</v>
      </c>
      <c r="U7476">
        <v>0.66761780000000004</v>
      </c>
      <c r="V7476">
        <v>0.36614249999999998</v>
      </c>
      <c r="W7476">
        <v>0.1700441</v>
      </c>
      <c r="X7476">
        <v>0.91489050000000005</v>
      </c>
      <c r="Y7476">
        <v>0.63745249999999998</v>
      </c>
      <c r="Z7476">
        <v>-6.0704380000000002E-2</v>
      </c>
      <c r="AA7476">
        <v>0.76809459999999996</v>
      </c>
      <c r="AB7476">
        <v>25</v>
      </c>
      <c r="AC7476">
        <v>17.750900000000001</v>
      </c>
      <c r="AD7476">
        <v>-1.100486230305</v>
      </c>
      <c r="AE7476">
        <v>3.6328</v>
      </c>
      <c r="AF7476">
        <v>11.618754892284599</v>
      </c>
      <c r="AG7476">
        <v>-1.100486230305</v>
      </c>
      <c r="AH7476">
        <v>13.8162013168249</v>
      </c>
      <c r="AI7476">
        <v>93.488504988803498</v>
      </c>
      <c r="AJ7476">
        <v>49.937793009632301</v>
      </c>
      <c r="AK7476">
        <v>18.085738967958001</v>
      </c>
      <c r="AL7476">
        <v>80.209616635975493</v>
      </c>
      <c r="AM7476">
        <v>68.188533295240703</v>
      </c>
      <c r="AN7476">
        <v>0.99999997662065399</v>
      </c>
    </row>
    <row r="7477" spans="1:40" x14ac:dyDescent="0.25">
      <c r="A7477" t="str">
        <f>"20190312172553890"</f>
        <v>20190312172553890</v>
      </c>
      <c r="B7477" t="str">
        <f>"1552382753887603"</f>
        <v>1552382753887603</v>
      </c>
      <c r="C7477" t="s">
        <v>40</v>
      </c>
      <c r="D7477">
        <v>3.7142580000000001</v>
      </c>
      <c r="E7477">
        <v>0.63534269999999904</v>
      </c>
      <c r="F7477" t="s">
        <v>43</v>
      </c>
      <c r="G7477">
        <v>-162.9384</v>
      </c>
      <c r="H7477" s="1">
        <v>-4.5511719999999998E-6</v>
      </c>
      <c r="I7477">
        <v>132.66730000000001</v>
      </c>
      <c r="J7477">
        <v>-181.41030000000001</v>
      </c>
      <c r="K7477">
        <v>1.100481</v>
      </c>
      <c r="L7477">
        <v>129.14410000000001</v>
      </c>
      <c r="M7477">
        <v>0.62732030000000005</v>
      </c>
      <c r="N7477">
        <v>0</v>
      </c>
      <c r="O7477">
        <v>0.77860180000000001</v>
      </c>
      <c r="P7477">
        <v>0.85749349999999902</v>
      </c>
      <c r="Q7477">
        <v>0.16461319999999999</v>
      </c>
      <c r="R7477">
        <v>0.4874502</v>
      </c>
      <c r="S7477">
        <v>3.1902469999999998</v>
      </c>
      <c r="T7477">
        <v>-0.18905060000000001</v>
      </c>
      <c r="U7477">
        <v>0.6242065</v>
      </c>
      <c r="V7477">
        <v>0.3661816</v>
      </c>
      <c r="W7477">
        <v>0.1701395</v>
      </c>
      <c r="X7477">
        <v>0.91485709999999998</v>
      </c>
      <c r="Y7477">
        <v>0.64171559999999905</v>
      </c>
      <c r="Z7477">
        <v>-5.8480379999999998E-2</v>
      </c>
      <c r="AA7477">
        <v>0.76470990000000005</v>
      </c>
      <c r="AB7477">
        <v>25</v>
      </c>
      <c r="AC7477">
        <v>18.471900000000002</v>
      </c>
      <c r="AD7477">
        <v>-1.100485551172</v>
      </c>
      <c r="AE7477">
        <v>3.5232000000000001</v>
      </c>
      <c r="AF7477">
        <v>12.1320432105235</v>
      </c>
      <c r="AG7477">
        <v>-1.100485551172</v>
      </c>
      <c r="AH7477">
        <v>14.283830182415899</v>
      </c>
      <c r="AI7477">
        <v>93.360643602458694</v>
      </c>
      <c r="AJ7477">
        <v>49.656923531389502</v>
      </c>
      <c r="AK7477">
        <v>18.772995115070099</v>
      </c>
      <c r="AL7477">
        <v>80.204069661577194</v>
      </c>
      <c r="AM7477">
        <v>68.185701079224302</v>
      </c>
      <c r="AN7477">
        <v>0.99999996352960896</v>
      </c>
    </row>
    <row r="7478" spans="1:40" x14ac:dyDescent="0.25">
      <c r="A7478" t="str">
        <f>"20190312172553909"</f>
        <v>20190312172553909</v>
      </c>
      <c r="B7478" t="str">
        <f>"1552382753897362"</f>
        <v>1552382753897362</v>
      </c>
      <c r="C7478" t="s">
        <v>40</v>
      </c>
      <c r="D7478">
        <v>3.7913600000000001</v>
      </c>
      <c r="E7478">
        <v>0.63547659999999995</v>
      </c>
      <c r="F7478" t="s">
        <v>43</v>
      </c>
      <c r="G7478">
        <v>-161.89609999999999</v>
      </c>
      <c r="H7478" s="1">
        <v>-5.0424710000000003E-6</v>
      </c>
      <c r="I7478">
        <v>132.67519999999999</v>
      </c>
      <c r="J7478">
        <v>-181.27289999999999</v>
      </c>
      <c r="K7478">
        <v>1.100487</v>
      </c>
      <c r="L7478">
        <v>129.2946</v>
      </c>
      <c r="M7478">
        <v>0.63638779999999995</v>
      </c>
      <c r="N7478">
        <v>0</v>
      </c>
      <c r="O7478">
        <v>0.77120809999999995</v>
      </c>
      <c r="P7478">
        <v>0.86327449999999994</v>
      </c>
      <c r="Q7478">
        <v>0.164272</v>
      </c>
      <c r="R7478">
        <v>0.47725450000000003</v>
      </c>
      <c r="S7478">
        <v>3.2037049999999998</v>
      </c>
      <c r="T7478">
        <v>-0.18067030000000001</v>
      </c>
      <c r="U7478">
        <v>0.57971189999999995</v>
      </c>
      <c r="V7478">
        <v>0.36635909999999999</v>
      </c>
      <c r="W7478">
        <v>0.16979929999999999</v>
      </c>
      <c r="X7478">
        <v>0.91484929999999998</v>
      </c>
      <c r="Y7478">
        <v>0.64380300000000001</v>
      </c>
      <c r="Z7478">
        <v>-5.5635209999999997E-2</v>
      </c>
      <c r="AA7478">
        <v>0.76316609999999996</v>
      </c>
      <c r="AB7478">
        <v>25</v>
      </c>
      <c r="AC7478">
        <v>19.376799999999999</v>
      </c>
      <c r="AD7478">
        <v>-1.1004920424709901</v>
      </c>
      <c r="AE7478">
        <v>3.3805999999999798</v>
      </c>
      <c r="AF7478">
        <v>12.7538396034586</v>
      </c>
      <c r="AG7478">
        <v>-1.1004920424709901</v>
      </c>
      <c r="AH7478">
        <v>14.893541231505001</v>
      </c>
      <c r="AI7478">
        <v>93.212317142153793</v>
      </c>
      <c r="AJ7478">
        <v>49.4254456588842</v>
      </c>
      <c r="AK7478">
        <v>19.638968348180398</v>
      </c>
      <c r="AL7478">
        <v>80.223850024817395</v>
      </c>
      <c r="AM7478">
        <v>68.175951675705903</v>
      </c>
      <c r="AN7478">
        <v>1.0000000170718899</v>
      </c>
    </row>
    <row r="7479" spans="1:40" x14ac:dyDescent="0.25">
      <c r="A7479" t="str">
        <f>"20190312172553921"</f>
        <v>20190312172553921</v>
      </c>
      <c r="B7479" t="str">
        <f>"1552382753917858"</f>
        <v>1552382753917858</v>
      </c>
      <c r="C7479" t="s">
        <v>40</v>
      </c>
      <c r="D7479">
        <v>3.6534080000000002</v>
      </c>
      <c r="E7479">
        <v>0.63567130000000005</v>
      </c>
      <c r="F7479" t="s">
        <v>43</v>
      </c>
      <c r="G7479">
        <v>-161.9829</v>
      </c>
      <c r="H7479" s="1">
        <v>-5.0250339999999998E-6</v>
      </c>
      <c r="I7479">
        <v>132.54230000000001</v>
      </c>
      <c r="J7479">
        <v>-181.16970000000001</v>
      </c>
      <c r="K7479">
        <v>1.1004910000000001</v>
      </c>
      <c r="L7479">
        <v>129.4058</v>
      </c>
      <c r="M7479">
        <v>0.64308480000000001</v>
      </c>
      <c r="N7479">
        <v>0</v>
      </c>
      <c r="O7479">
        <v>0.7656326</v>
      </c>
      <c r="P7479">
        <v>0.8674963</v>
      </c>
      <c r="Q7479">
        <v>0.1643848</v>
      </c>
      <c r="R7479">
        <v>0.46949770000000002</v>
      </c>
      <c r="S7479">
        <v>3.2111049999999999</v>
      </c>
      <c r="T7479">
        <v>-0.1831931</v>
      </c>
      <c r="U7479">
        <v>0.54061890000000001</v>
      </c>
      <c r="V7479">
        <v>0.36657149999999999</v>
      </c>
      <c r="W7479">
        <v>0.16991120000000001</v>
      </c>
      <c r="X7479">
        <v>0.91474339999999998</v>
      </c>
      <c r="Y7479">
        <v>0.64641479999999996</v>
      </c>
      <c r="Z7479">
        <v>-5.6295699999999997E-2</v>
      </c>
      <c r="AA7479">
        <v>0.76090659999999999</v>
      </c>
      <c r="AB7479">
        <v>25</v>
      </c>
      <c r="AC7479">
        <v>19.186800000000002</v>
      </c>
      <c r="AD7479">
        <v>-1.1004960250339999</v>
      </c>
      <c r="AE7479">
        <v>3.1365000000000101</v>
      </c>
      <c r="AF7479">
        <v>12.634097956216999</v>
      </c>
      <c r="AG7479">
        <v>-1.1004960250339999</v>
      </c>
      <c r="AH7479">
        <v>14.6948938237894</v>
      </c>
      <c r="AI7479">
        <v>93.250162467210998</v>
      </c>
      <c r="AJ7479">
        <v>49.312338617123302</v>
      </c>
      <c r="AK7479">
        <v>19.410600896439199</v>
      </c>
      <c r="AL7479">
        <v>80.2173437645733</v>
      </c>
      <c r="AM7479">
        <v>68.162198587342601</v>
      </c>
      <c r="AN7479">
        <v>0.99999998417062497</v>
      </c>
    </row>
    <row r="7480" spans="1:40" x14ac:dyDescent="0.25">
      <c r="A7480" t="str">
        <f>"20190312172553933"</f>
        <v>20190312172553933</v>
      </c>
      <c r="B7480" t="str">
        <f>"1552382753927618"</f>
        <v>1552382753927618</v>
      </c>
      <c r="C7480" t="s">
        <v>40</v>
      </c>
      <c r="D7480">
        <v>3.7075109999999998</v>
      </c>
      <c r="E7480">
        <v>0.63561669999999904</v>
      </c>
      <c r="F7480" t="s">
        <v>43</v>
      </c>
      <c r="G7480">
        <v>-161.46899999999999</v>
      </c>
      <c r="H7480" s="1">
        <v>-5.27002399999999E-6</v>
      </c>
      <c r="I7480">
        <v>132.53049999999999</v>
      </c>
      <c r="J7480">
        <v>-181.07300000000001</v>
      </c>
      <c r="K7480">
        <v>1.100498</v>
      </c>
      <c r="L7480">
        <v>129.50729999999999</v>
      </c>
      <c r="M7480">
        <v>0.6492445</v>
      </c>
      <c r="N7480">
        <v>0</v>
      </c>
      <c r="O7480">
        <v>0.76041619999999999</v>
      </c>
      <c r="P7480">
        <v>0.87119749999999996</v>
      </c>
      <c r="Q7480">
        <v>0.16453029999999999</v>
      </c>
      <c r="R7480">
        <v>0.4625418</v>
      </c>
      <c r="S7480">
        <v>3.2162169999999999</v>
      </c>
      <c r="T7480">
        <v>-0.1796606</v>
      </c>
      <c r="U7480">
        <v>0.51011660000000003</v>
      </c>
      <c r="V7480">
        <v>0.36648599999999998</v>
      </c>
      <c r="W7480">
        <v>0.1700662</v>
      </c>
      <c r="X7480">
        <v>0.91474889999999998</v>
      </c>
      <c r="Y7480">
        <v>0.64756729999999996</v>
      </c>
      <c r="Z7480">
        <v>-5.5078160000000001E-2</v>
      </c>
      <c r="AA7480">
        <v>0.76001509999999906</v>
      </c>
      <c r="AB7480">
        <v>25</v>
      </c>
      <c r="AC7480">
        <v>19.6039999999999</v>
      </c>
      <c r="AD7480">
        <v>-1.1005032700240001</v>
      </c>
      <c r="AE7480">
        <v>3.0232000000000001</v>
      </c>
      <c r="AF7480">
        <v>12.906286549941001</v>
      </c>
      <c r="AG7480">
        <v>-1.1005032700240001</v>
      </c>
      <c r="AH7480">
        <v>14.982431208683501</v>
      </c>
      <c r="AI7480">
        <v>93.185316455980299</v>
      </c>
      <c r="AJ7480">
        <v>49.257467531710603</v>
      </c>
      <c r="AK7480">
        <v>19.805468559957198</v>
      </c>
      <c r="AL7480">
        <v>80.208332164793404</v>
      </c>
      <c r="AM7480">
        <v>68.166932016799706</v>
      </c>
      <c r="AN7480">
        <v>1.00000002531482</v>
      </c>
    </row>
    <row r="7481" spans="1:40" x14ac:dyDescent="0.25">
      <c r="A7481" t="str">
        <f>"20190312172553945"</f>
        <v>20190312172553945</v>
      </c>
      <c r="B7481" t="str">
        <f>"1552382753937378"</f>
        <v>1552382753937378</v>
      </c>
      <c r="C7481" t="s">
        <v>40</v>
      </c>
      <c r="D7481">
        <v>3.694893</v>
      </c>
      <c r="E7481">
        <v>0.63548850000000001</v>
      </c>
      <c r="F7481" t="s">
        <v>43</v>
      </c>
      <c r="G7481">
        <v>-161.2302</v>
      </c>
      <c r="H7481" s="1">
        <v>-5.3893719999999997E-6</v>
      </c>
      <c r="I7481">
        <v>132.4941</v>
      </c>
      <c r="J7481">
        <v>-180.98519999999999</v>
      </c>
      <c r="K7481">
        <v>1.100508</v>
      </c>
      <c r="L7481">
        <v>129.5986</v>
      </c>
      <c r="M7481">
        <v>0.6547771</v>
      </c>
      <c r="N7481">
        <v>0</v>
      </c>
      <c r="O7481">
        <v>0.75565740000000003</v>
      </c>
      <c r="P7481">
        <v>0.87444330000000003</v>
      </c>
      <c r="Q7481">
        <v>0.1644979</v>
      </c>
      <c r="R7481">
        <v>0.4563873</v>
      </c>
      <c r="S7481">
        <v>3.2199249999999999</v>
      </c>
      <c r="T7481">
        <v>-0.17857999999999999</v>
      </c>
      <c r="U7481">
        <v>0.48468020000000001</v>
      </c>
      <c r="V7481">
        <v>0.36626069999999999</v>
      </c>
      <c r="W7481">
        <v>0.170047</v>
      </c>
      <c r="X7481">
        <v>0.91484270000000001</v>
      </c>
      <c r="Y7481">
        <v>0.64803889999999997</v>
      </c>
      <c r="Z7481">
        <v>-5.4614919999999997E-2</v>
      </c>
      <c r="AA7481">
        <v>0.7596465</v>
      </c>
      <c r="AB7481">
        <v>25</v>
      </c>
      <c r="AC7481">
        <v>19.7549999999999</v>
      </c>
      <c r="AD7481">
        <v>-1.1005133893720001</v>
      </c>
      <c r="AE7481">
        <v>2.89549999999999</v>
      </c>
      <c r="AF7481">
        <v>12.9942484839667</v>
      </c>
      <c r="AG7481">
        <v>-1.1005133893720001</v>
      </c>
      <c r="AH7481">
        <v>15.079197136669301</v>
      </c>
      <c r="AI7481">
        <v>93.164469486093196</v>
      </c>
      <c r="AJ7481">
        <v>49.247424833592497</v>
      </c>
      <c r="AK7481">
        <v>19.935992818763701</v>
      </c>
      <c r="AL7481">
        <v>80.209448492563595</v>
      </c>
      <c r="AM7481">
        <v>68.181120204747501</v>
      </c>
      <c r="AN7481">
        <v>1.00000002415838</v>
      </c>
    </row>
    <row r="7482" spans="1:40" x14ac:dyDescent="0.25">
      <c r="A7482" t="str">
        <f>"20190312172553955"</f>
        <v>20190312172553955</v>
      </c>
      <c r="B7482" t="str">
        <f>"1552382753948113"</f>
        <v>1552382753948113</v>
      </c>
      <c r="C7482" t="s">
        <v>40</v>
      </c>
      <c r="D7482">
        <v>3.7016979999999999</v>
      </c>
      <c r="E7482">
        <v>0.63535180000000002</v>
      </c>
      <c r="F7482" t="s">
        <v>43</v>
      </c>
      <c r="G7482">
        <v>-161.04429999999999</v>
      </c>
      <c r="H7482" s="1">
        <v>-5.4831549999999997E-6</v>
      </c>
      <c r="I7482">
        <v>132.46090000000001</v>
      </c>
      <c r="J7482">
        <v>-180.8921</v>
      </c>
      <c r="K7482">
        <v>1.100517</v>
      </c>
      <c r="L7482">
        <v>129.69380000000001</v>
      </c>
      <c r="M7482">
        <v>0.66055940000000002</v>
      </c>
      <c r="N7482">
        <v>0</v>
      </c>
      <c r="O7482">
        <v>0.75060799999999905</v>
      </c>
      <c r="P7482">
        <v>0.877712099999999</v>
      </c>
      <c r="Q7482">
        <v>0.16483149999999999</v>
      </c>
      <c r="R7482">
        <v>0.44994689999999998</v>
      </c>
      <c r="S7482">
        <v>3.2227779999999999</v>
      </c>
      <c r="T7482">
        <v>-0.17786060000000001</v>
      </c>
      <c r="U7482">
        <v>0.46258539999999998</v>
      </c>
      <c r="V7482">
        <v>0.36591889999999999</v>
      </c>
      <c r="W7482">
        <v>0.17039840000000001</v>
      </c>
      <c r="X7482">
        <v>0.91491409999999995</v>
      </c>
      <c r="Y7482">
        <v>0.6474164</v>
      </c>
      <c r="Z7482">
        <v>-5.422594E-2</v>
      </c>
      <c r="AA7482">
        <v>0.76020489999999996</v>
      </c>
      <c r="AB7482">
        <v>25</v>
      </c>
      <c r="AC7482">
        <v>19.847799999999999</v>
      </c>
      <c r="AD7482">
        <v>-1.100522483155</v>
      </c>
      <c r="AE7482">
        <v>2.7670999999999899</v>
      </c>
      <c r="AF7482">
        <v>13.0324064256244</v>
      </c>
      <c r="AG7482">
        <v>-1.100522483155</v>
      </c>
      <c r="AH7482">
        <v>15.1438768038959</v>
      </c>
      <c r="AI7482">
        <v>93.152812716794401</v>
      </c>
      <c r="AJ7482">
        <v>49.285612888500602</v>
      </c>
      <c r="AK7482">
        <v>20.009791893724501</v>
      </c>
      <c r="AL7482">
        <v>80.189016654644703</v>
      </c>
      <c r="AM7482">
        <v>68.201113882169096</v>
      </c>
      <c r="AN7482">
        <v>1.00000003323928</v>
      </c>
    </row>
    <row r="7483" spans="1:40" x14ac:dyDescent="0.25">
      <c r="A7483" t="str">
        <f>"20190312172553966"</f>
        <v>20190312172553966</v>
      </c>
      <c r="B7483" t="str">
        <f>"1552382753957874"</f>
        <v>1552382753957874</v>
      </c>
      <c r="C7483" t="s">
        <v>40</v>
      </c>
      <c r="D7483">
        <v>3.6423939999999999</v>
      </c>
      <c r="E7483">
        <v>0.63491330000000001</v>
      </c>
      <c r="F7483" t="s">
        <v>43</v>
      </c>
      <c r="G7483">
        <v>-160.73410000000001</v>
      </c>
      <c r="H7483" s="1">
        <v>-5.633279E-6</v>
      </c>
      <c r="I7483">
        <v>132.44130000000001</v>
      </c>
      <c r="J7483">
        <v>-180.8126</v>
      </c>
      <c r="K7483">
        <v>1.1005210000000001</v>
      </c>
      <c r="L7483">
        <v>129.774</v>
      </c>
      <c r="M7483">
        <v>0.66543850000000004</v>
      </c>
      <c r="N7483">
        <v>0</v>
      </c>
      <c r="O7483">
        <v>0.74628589999999995</v>
      </c>
      <c r="P7483">
        <v>0.88038799999999995</v>
      </c>
      <c r="Q7483">
        <v>0.164691899999999</v>
      </c>
      <c r="R7483">
        <v>0.44474000000000002</v>
      </c>
      <c r="S7483">
        <v>3.2256930000000001</v>
      </c>
      <c r="T7483">
        <v>-0.1761055</v>
      </c>
      <c r="U7483">
        <v>0.43965149999999997</v>
      </c>
      <c r="V7483">
        <v>0.36538540000000003</v>
      </c>
      <c r="W7483">
        <v>0.1702823</v>
      </c>
      <c r="X7483">
        <v>0.91514890000000004</v>
      </c>
      <c r="Y7483">
        <v>0.64789140000000001</v>
      </c>
      <c r="Z7483">
        <v>-5.3572910000000001E-2</v>
      </c>
      <c r="AA7483">
        <v>0.75984640000000003</v>
      </c>
      <c r="AB7483">
        <v>25</v>
      </c>
      <c r="AC7483">
        <v>20.078499999999899</v>
      </c>
      <c r="AD7483">
        <v>-1.10052663327899</v>
      </c>
      <c r="AE7483">
        <v>2.6673000000000102</v>
      </c>
      <c r="AF7483">
        <v>13.1721355571994</v>
      </c>
      <c r="AG7483">
        <v>-1.10052663327899</v>
      </c>
      <c r="AH7483">
        <v>15.3082939360427</v>
      </c>
      <c r="AI7483">
        <v>93.119206547126794</v>
      </c>
      <c r="AJ7483">
        <v>49.289405726379897</v>
      </c>
      <c r="AK7483">
        <v>20.225236147943399</v>
      </c>
      <c r="AL7483">
        <v>80.1957673287978</v>
      </c>
      <c r="AM7483">
        <v>68.234985883620297</v>
      </c>
      <c r="AN7483">
        <v>1.0000000306988199</v>
      </c>
    </row>
    <row r="7484" spans="1:40" x14ac:dyDescent="0.25">
      <c r="A7484" t="str">
        <f>"20190312172553976"</f>
        <v>20190312172553976</v>
      </c>
      <c r="B7484" t="str">
        <f>"1552382753967634"</f>
        <v>1552382753967634</v>
      </c>
      <c r="C7484" t="s">
        <v>40</v>
      </c>
      <c r="D7484">
        <v>3.6654559999999998</v>
      </c>
      <c r="E7484">
        <v>0.63449290000000003</v>
      </c>
      <c r="F7484" t="s">
        <v>43</v>
      </c>
      <c r="G7484">
        <v>-160.57689999999999</v>
      </c>
      <c r="H7484" s="1">
        <v>-5.709701E-6</v>
      </c>
      <c r="I7484">
        <v>132.42920000000001</v>
      </c>
      <c r="J7484">
        <v>-180.72309999999999</v>
      </c>
      <c r="K7484">
        <v>1.1005320000000001</v>
      </c>
      <c r="L7484">
        <v>129.8631</v>
      </c>
      <c r="M7484">
        <v>0.67086199999999996</v>
      </c>
      <c r="N7484">
        <v>0</v>
      </c>
      <c r="O7484">
        <v>0.74141440000000003</v>
      </c>
      <c r="P7484">
        <v>0.88334749999999995</v>
      </c>
      <c r="Q7484">
        <v>0.16487660000000001</v>
      </c>
      <c r="R7484">
        <v>0.43876310000000002</v>
      </c>
      <c r="S7484">
        <v>3.2265470000000001</v>
      </c>
      <c r="T7484">
        <v>-0.17547750000000001</v>
      </c>
      <c r="U7484">
        <v>0.42337039999999998</v>
      </c>
      <c r="V7484">
        <v>0.36488939999999997</v>
      </c>
      <c r="W7484">
        <v>0.17049</v>
      </c>
      <c r="X7484">
        <v>0.91530809999999996</v>
      </c>
      <c r="Y7484">
        <v>0.64615579999999995</v>
      </c>
      <c r="Z7484">
        <v>-5.3202220000000001E-2</v>
      </c>
      <c r="AA7484">
        <v>0.76134899999999905</v>
      </c>
      <c r="AB7484">
        <v>25</v>
      </c>
      <c r="AC7484">
        <v>20.1462</v>
      </c>
      <c r="AD7484">
        <v>-1.1005377097010001</v>
      </c>
      <c r="AE7484">
        <v>2.5661</v>
      </c>
      <c r="AF7484">
        <v>13.1781305651606</v>
      </c>
      <c r="AG7484">
        <v>-1.1005377097010001</v>
      </c>
      <c r="AH7484">
        <v>15.374634316019501</v>
      </c>
      <c r="AI7484">
        <v>93.110900074849795</v>
      </c>
      <c r="AJ7484">
        <v>49.398979092540102</v>
      </c>
      <c r="AK7484">
        <v>20.279390740212602</v>
      </c>
      <c r="AL7484">
        <v>80.183690254826303</v>
      </c>
      <c r="AM7484">
        <v>68.265203347088899</v>
      </c>
      <c r="AN7484">
        <v>1.0000000161289799</v>
      </c>
    </row>
    <row r="7485" spans="1:40" x14ac:dyDescent="0.25">
      <c r="A7485" t="str">
        <f>"20190312172553990"</f>
        <v>20190312172553990</v>
      </c>
      <c r="B7485" t="str">
        <f>"1552382753977394"</f>
        <v>1552382753977394</v>
      </c>
      <c r="C7485" t="s">
        <v>40</v>
      </c>
      <c r="D7485">
        <v>3.7025000000000001</v>
      </c>
      <c r="E7485">
        <v>0.63407999999999998</v>
      </c>
      <c r="F7485" t="s">
        <v>43</v>
      </c>
      <c r="G7485">
        <v>-160.40209999999999</v>
      </c>
      <c r="H7485" s="1">
        <v>-5.7957710000000003E-6</v>
      </c>
      <c r="I7485">
        <v>132.40989999999999</v>
      </c>
      <c r="J7485">
        <v>-180.62629999999999</v>
      </c>
      <c r="K7485">
        <v>1.100544</v>
      </c>
      <c r="L7485">
        <v>129.95760000000001</v>
      </c>
      <c r="M7485">
        <v>0.67663569999999995</v>
      </c>
      <c r="N7485">
        <v>0</v>
      </c>
      <c r="O7485">
        <v>0.73614899999999905</v>
      </c>
      <c r="P7485">
        <v>0.88645419999999997</v>
      </c>
      <c r="Q7485">
        <v>0.165151399999999</v>
      </c>
      <c r="R7485">
        <v>0.43234689999999998</v>
      </c>
      <c r="S7485">
        <v>3.2278440000000002</v>
      </c>
      <c r="T7485">
        <v>-0.17481289999999999</v>
      </c>
      <c r="U7485">
        <v>0.40454099999999998</v>
      </c>
      <c r="V7485">
        <v>0.36433539999999998</v>
      </c>
      <c r="W7485">
        <v>0.1707912</v>
      </c>
      <c r="X7485">
        <v>0.91547259999999997</v>
      </c>
      <c r="Y7485">
        <v>0.64462619999999904</v>
      </c>
      <c r="Z7485">
        <v>-5.2809010000000003E-2</v>
      </c>
      <c r="AA7485">
        <v>0.76267180000000001</v>
      </c>
      <c r="AB7485">
        <v>25</v>
      </c>
      <c r="AC7485">
        <v>20.2242</v>
      </c>
      <c r="AD7485">
        <v>-1.100549795771</v>
      </c>
      <c r="AE7485">
        <v>2.4522999999999802</v>
      </c>
      <c r="AF7485">
        <v>13.191858206152</v>
      </c>
      <c r="AG7485">
        <v>-1.100549795771</v>
      </c>
      <c r="AH7485">
        <v>15.446522631091099</v>
      </c>
      <c r="AI7485">
        <v>93.101220819521401</v>
      </c>
      <c r="AJ7485">
        <v>49.501540911718102</v>
      </c>
      <c r="AK7485">
        <v>20.342846265382899</v>
      </c>
      <c r="AL7485">
        <v>80.166175724008099</v>
      </c>
      <c r="AM7485">
        <v>68.298670577898207</v>
      </c>
      <c r="AN7485">
        <v>0.99999999952067897</v>
      </c>
    </row>
    <row r="7486" spans="1:40" x14ac:dyDescent="0.25">
      <c r="A7486" t="str">
        <f>"20190312172554008"</f>
        <v>20190312172554008</v>
      </c>
      <c r="B7486" t="str">
        <f>"1552382753997890"</f>
        <v>1552382753997890</v>
      </c>
      <c r="C7486" t="s">
        <v>40</v>
      </c>
      <c r="D7486">
        <v>3.6630699999999998</v>
      </c>
      <c r="E7486">
        <v>0.63303799999999999</v>
      </c>
      <c r="F7486" t="s">
        <v>43</v>
      </c>
      <c r="G7486">
        <v>-160.2706</v>
      </c>
      <c r="H7486" s="1">
        <v>-5.8630490000000003E-6</v>
      </c>
      <c r="I7486">
        <v>132.381</v>
      </c>
      <c r="J7486">
        <v>-180.46860000000001</v>
      </c>
      <c r="K7486">
        <v>1.1005659999999999</v>
      </c>
      <c r="L7486">
        <v>130.10890000000001</v>
      </c>
      <c r="M7486">
        <v>0.68588229999999994</v>
      </c>
      <c r="N7486">
        <v>0</v>
      </c>
      <c r="O7486">
        <v>0.72754149999999995</v>
      </c>
      <c r="P7486">
        <v>0.89134169999999902</v>
      </c>
      <c r="Q7486">
        <v>0.16557259999999999</v>
      </c>
      <c r="R7486">
        <v>0.4220141</v>
      </c>
      <c r="S7486">
        <v>3.229279</v>
      </c>
      <c r="T7486">
        <v>-0.17459379999999999</v>
      </c>
      <c r="U7486">
        <v>0.38444519999999999</v>
      </c>
      <c r="V7486">
        <v>0.36335250000000002</v>
      </c>
      <c r="W7486">
        <v>0.17125860000000001</v>
      </c>
      <c r="X7486">
        <v>0.91577580000000003</v>
      </c>
      <c r="Y7486">
        <v>0.63970360000000004</v>
      </c>
      <c r="Z7486">
        <v>-5.2345330000000002E-2</v>
      </c>
      <c r="AA7486">
        <v>0.766837199999999</v>
      </c>
      <c r="AB7486">
        <v>25</v>
      </c>
      <c r="AC7486">
        <v>20.198</v>
      </c>
      <c r="AD7486">
        <v>-1.100571863049</v>
      </c>
      <c r="AE7486">
        <v>2.2720999999999898</v>
      </c>
      <c r="AF7486">
        <v>13.0997168476268</v>
      </c>
      <c r="AG7486">
        <v>-1.100571863049</v>
      </c>
      <c r="AH7486">
        <v>15.4630901399635</v>
      </c>
      <c r="AI7486">
        <v>93.108473321360407</v>
      </c>
      <c r="AJ7486">
        <v>49.730051611390202</v>
      </c>
      <c r="AK7486">
        <v>20.295836927566398</v>
      </c>
      <c r="AL7486">
        <v>80.138994541534004</v>
      </c>
      <c r="AM7486">
        <v>68.358299759262295</v>
      </c>
      <c r="AN7486">
        <v>0.999999931597922</v>
      </c>
    </row>
    <row r="7487" spans="1:40" x14ac:dyDescent="0.25">
      <c r="A7487" t="str">
        <f>"20190312172554020"</f>
        <v>20190312172554020</v>
      </c>
      <c r="B7487" t="str">
        <f>"1552382754017410"</f>
        <v>1552382754017410</v>
      </c>
      <c r="C7487" t="s">
        <v>40</v>
      </c>
      <c r="D7487">
        <v>3.6740390000000001</v>
      </c>
      <c r="E7487">
        <v>0.63198279999999996</v>
      </c>
      <c r="F7487" t="s">
        <v>43</v>
      </c>
      <c r="G7487">
        <v>-160.22219999999999</v>
      </c>
      <c r="H7487" s="1">
        <v>-5.894475E-6</v>
      </c>
      <c r="I7487">
        <v>132.33269999999999</v>
      </c>
      <c r="J7487">
        <v>-180.36590000000001</v>
      </c>
      <c r="K7487">
        <v>1.1005799999999999</v>
      </c>
      <c r="L7487">
        <v>130.20590000000001</v>
      </c>
      <c r="M7487">
        <v>0.69180010000000003</v>
      </c>
      <c r="N7487">
        <v>0</v>
      </c>
      <c r="O7487">
        <v>0.72191680000000003</v>
      </c>
      <c r="P7487">
        <v>0.89464999999999995</v>
      </c>
      <c r="Q7487">
        <v>0.16567000000000001</v>
      </c>
      <c r="R7487">
        <v>0.4149157</v>
      </c>
      <c r="S7487">
        <v>3.2303310000000001</v>
      </c>
      <c r="T7487">
        <v>-0.17559739999999999</v>
      </c>
      <c r="U7487">
        <v>0.35481259999999998</v>
      </c>
      <c r="V7487">
        <v>0.3631374</v>
      </c>
      <c r="W7487">
        <v>0.17137330000000001</v>
      </c>
      <c r="X7487">
        <v>0.91583970000000003</v>
      </c>
      <c r="Y7487">
        <v>0.64039029999999997</v>
      </c>
      <c r="Z7487">
        <v>-5.2514610000000003E-2</v>
      </c>
      <c r="AA7487">
        <v>0.76625219999999905</v>
      </c>
      <c r="AB7487">
        <v>25</v>
      </c>
      <c r="AC7487">
        <v>20.143699999999999</v>
      </c>
      <c r="AD7487">
        <v>-1.100585894475</v>
      </c>
      <c r="AE7487">
        <v>2.12679999999997</v>
      </c>
      <c r="AF7487">
        <v>13.0339015125336</v>
      </c>
      <c r="AG7487">
        <v>-1.100585894475</v>
      </c>
      <c r="AH7487">
        <v>15.427165868219401</v>
      </c>
      <c r="AI7487">
        <v>93.119255805061698</v>
      </c>
      <c r="AJ7487">
        <v>49.806640227655997</v>
      </c>
      <c r="AK7487">
        <v>20.2260061474108</v>
      </c>
      <c r="AL7487">
        <v>80.132324459744595</v>
      </c>
      <c r="AM7487">
        <v>68.371297866468396</v>
      </c>
      <c r="AN7487">
        <v>0.999999967663869</v>
      </c>
    </row>
    <row r="7488" spans="1:40" x14ac:dyDescent="0.25">
      <c r="A7488" t="str">
        <f>"20190312172554032"</f>
        <v>20190312172554032</v>
      </c>
      <c r="B7488" t="str">
        <f>"1552382754028147"</f>
        <v>1552382754028147</v>
      </c>
      <c r="C7488" t="s">
        <v>40</v>
      </c>
      <c r="D7488">
        <v>3.664431</v>
      </c>
      <c r="E7488">
        <v>0.63140459999999998</v>
      </c>
      <c r="F7488" t="s">
        <v>43</v>
      </c>
      <c r="G7488">
        <v>-160.35769999999999</v>
      </c>
      <c r="H7488" s="1">
        <v>-5.837544E-6</v>
      </c>
      <c r="I7488">
        <v>132.29259999999999</v>
      </c>
      <c r="J7488">
        <v>-180.274</v>
      </c>
      <c r="K7488">
        <v>1.100589</v>
      </c>
      <c r="L7488">
        <v>130.29040000000001</v>
      </c>
      <c r="M7488">
        <v>0.69699829999999996</v>
      </c>
      <c r="N7488">
        <v>0</v>
      </c>
      <c r="O7488">
        <v>0.71689930000000002</v>
      </c>
      <c r="P7488">
        <v>0.89752330000000002</v>
      </c>
      <c r="Q7488">
        <v>0.16553380000000001</v>
      </c>
      <c r="R7488">
        <v>0.40871819999999998</v>
      </c>
      <c r="S7488">
        <v>3.2299349999999998</v>
      </c>
      <c r="T7488">
        <v>-0.17766860000000001</v>
      </c>
      <c r="U7488">
        <v>0.33686830000000001</v>
      </c>
      <c r="V7488">
        <v>0.36286249999999998</v>
      </c>
      <c r="W7488">
        <v>0.17125580000000001</v>
      </c>
      <c r="X7488">
        <v>0.91597070000000003</v>
      </c>
      <c r="Y7488">
        <v>0.63900849999999998</v>
      </c>
      <c r="Z7488">
        <v>-5.296091E-2</v>
      </c>
      <c r="AA7488">
        <v>0.76737429999999995</v>
      </c>
      <c r="AB7488">
        <v>25</v>
      </c>
      <c r="AC7488">
        <v>19.9163</v>
      </c>
      <c r="AD7488">
        <v>-1.100594837544</v>
      </c>
      <c r="AE7488">
        <v>2.0021999999999802</v>
      </c>
      <c r="AF7488">
        <v>12.845220180390299</v>
      </c>
      <c r="AG7488">
        <v>-1.100594837544</v>
      </c>
      <c r="AH7488">
        <v>15.2727356133628</v>
      </c>
      <c r="AI7488">
        <v>93.1566696808285</v>
      </c>
      <c r="AJ7488">
        <v>49.9342978575147</v>
      </c>
      <c r="AK7488">
        <v>19.986681655412799</v>
      </c>
      <c r="AL7488">
        <v>80.139158386265805</v>
      </c>
      <c r="AM7488">
        <v>68.388967086216098</v>
      </c>
      <c r="AN7488">
        <v>1.0000000330991801</v>
      </c>
    </row>
    <row r="7489" spans="1:40" x14ac:dyDescent="0.25">
      <c r="A7489" t="str">
        <f>"20190312172554044"</f>
        <v>20190312172554044</v>
      </c>
      <c r="B7489" t="str">
        <f>"1552382754037906"</f>
        <v>1552382754037906</v>
      </c>
      <c r="C7489" t="s">
        <v>40</v>
      </c>
      <c r="D7489">
        <v>3.6816209999999998</v>
      </c>
      <c r="E7489">
        <v>0.63091609999999998</v>
      </c>
      <c r="F7489" t="s">
        <v>43</v>
      </c>
      <c r="G7489">
        <v>-160.3776</v>
      </c>
      <c r="H7489" s="1">
        <v>-5.8352849999999996E-6</v>
      </c>
      <c r="I7489">
        <v>132.25229999999999</v>
      </c>
      <c r="J7489">
        <v>-180.1678</v>
      </c>
      <c r="K7489">
        <v>1.100606</v>
      </c>
      <c r="L7489">
        <v>130.38730000000001</v>
      </c>
      <c r="M7489">
        <v>0.70293570000000005</v>
      </c>
      <c r="N7489">
        <v>0</v>
      </c>
      <c r="O7489">
        <v>0.71107849999999995</v>
      </c>
      <c r="P7489">
        <v>0.900684499999999</v>
      </c>
      <c r="Q7489">
        <v>0.16558519999999999</v>
      </c>
      <c r="R7489">
        <v>0.40168280000000001</v>
      </c>
      <c r="S7489">
        <v>3.2304379999999999</v>
      </c>
      <c r="T7489">
        <v>-0.1786962</v>
      </c>
      <c r="U7489">
        <v>0.31854250000000001</v>
      </c>
      <c r="V7489">
        <v>0.3623999</v>
      </c>
      <c r="W7489">
        <v>0.17133289999999901</v>
      </c>
      <c r="X7489">
        <v>0.91613940000000005</v>
      </c>
      <c r="Y7489">
        <v>0.63692669999999996</v>
      </c>
      <c r="Z7489">
        <v>-5.3027869999999998E-2</v>
      </c>
      <c r="AA7489">
        <v>0.76909850000000002</v>
      </c>
      <c r="AB7489">
        <v>25</v>
      </c>
      <c r="AC7489">
        <v>19.790199999999999</v>
      </c>
      <c r="AD7489">
        <v>-1.1006118352850001</v>
      </c>
      <c r="AE7489">
        <v>1.86499999999998</v>
      </c>
      <c r="AF7489">
        <v>12.7239904680112</v>
      </c>
      <c r="AG7489">
        <v>-1.1006118352850001</v>
      </c>
      <c r="AH7489">
        <v>15.1927189882093</v>
      </c>
      <c r="AI7489">
        <v>93.178850604071897</v>
      </c>
      <c r="AJ7489">
        <v>50.053630294447601</v>
      </c>
      <c r="AK7489">
        <v>19.847669638945099</v>
      </c>
      <c r="AL7489">
        <v>80.134674532324198</v>
      </c>
      <c r="AM7489">
        <v>68.417592180549605</v>
      </c>
      <c r="AN7489">
        <v>1.00000002518738</v>
      </c>
    </row>
    <row r="7490" spans="1:40" x14ac:dyDescent="0.25">
      <c r="A7490" t="str">
        <f>"20190312172554057"</f>
        <v>20190312172554057</v>
      </c>
      <c r="B7490" t="str">
        <f>"1552382754047666"</f>
        <v>1552382754047666</v>
      </c>
      <c r="C7490" t="s">
        <v>40</v>
      </c>
      <c r="D7490">
        <v>3.6675260000000001</v>
      </c>
      <c r="E7490">
        <v>0.63091609999999998</v>
      </c>
      <c r="F7490" t="s">
        <v>43</v>
      </c>
      <c r="G7490">
        <v>-160.33799999999999</v>
      </c>
      <c r="H7490" s="1">
        <v>-5.8620050000000003E-6</v>
      </c>
      <c r="I7490">
        <v>132.20740000000001</v>
      </c>
      <c r="J7490">
        <v>-180.05529999999999</v>
      </c>
      <c r="K7490">
        <v>1.100622</v>
      </c>
      <c r="L7490">
        <v>130.488</v>
      </c>
      <c r="M7490">
        <v>0.70912180000000002</v>
      </c>
      <c r="N7490">
        <v>0</v>
      </c>
      <c r="O7490">
        <v>0.70490959999999903</v>
      </c>
      <c r="P7490">
        <v>0.90407899999999997</v>
      </c>
      <c r="Q7490">
        <v>0.16561389999999901</v>
      </c>
      <c r="R7490">
        <v>0.39397110000000002</v>
      </c>
      <c r="S7490">
        <v>3.2314910000000001</v>
      </c>
      <c r="T7490">
        <v>-0.1793565</v>
      </c>
      <c r="U7490">
        <v>0.29660029999999998</v>
      </c>
      <c r="V7490">
        <v>0.36221389999999998</v>
      </c>
      <c r="W7490">
        <v>0.17138030000000001</v>
      </c>
      <c r="X7490">
        <v>0.91620409999999997</v>
      </c>
      <c r="Y7490">
        <v>0.63539290000000004</v>
      </c>
      <c r="Z7490">
        <v>-5.2978989999999997E-2</v>
      </c>
      <c r="AA7490">
        <v>0.77036949999999904</v>
      </c>
      <c r="AB7490">
        <v>25</v>
      </c>
      <c r="AC7490">
        <v>19.717299999999899</v>
      </c>
      <c r="AD7490">
        <v>-1.1006278620050001</v>
      </c>
      <c r="AE7490">
        <v>1.7194</v>
      </c>
      <c r="AF7490">
        <v>12.6421326523374</v>
      </c>
      <c r="AG7490">
        <v>-1.1006278620050001</v>
      </c>
      <c r="AH7490">
        <v>15.1490318618718</v>
      </c>
      <c r="AI7490">
        <v>93.192727029399407</v>
      </c>
      <c r="AJ7490">
        <v>50.154409907760403</v>
      </c>
      <c r="AK7490">
        <v>19.76178296718</v>
      </c>
      <c r="AL7490">
        <v>80.1319180348858</v>
      </c>
      <c r="AM7490">
        <v>68.429034915055993</v>
      </c>
      <c r="AN7490">
        <v>1.0000000347190501</v>
      </c>
    </row>
    <row r="7491" spans="1:40" x14ac:dyDescent="0.25">
      <c r="A7491" t="str">
        <f>"20190312172554076"</f>
        <v>20190312172554076</v>
      </c>
      <c r="B7491" t="str">
        <f>"1552382754067186"</f>
        <v>1552382754067186</v>
      </c>
      <c r="C7491" t="s">
        <v>40</v>
      </c>
      <c r="D7491">
        <v>3.6546690000000002</v>
      </c>
      <c r="E7491">
        <v>0.61631159999999996</v>
      </c>
      <c r="F7491" t="s">
        <v>43</v>
      </c>
      <c r="G7491">
        <v>-160.1722</v>
      </c>
      <c r="H7491" s="1">
        <v>-5.9523339999999901E-6</v>
      </c>
      <c r="I7491">
        <v>132.13980000000001</v>
      </c>
      <c r="J7491">
        <v>-179.89840000000001</v>
      </c>
      <c r="K7491">
        <v>1.100649</v>
      </c>
      <c r="L7491">
        <v>130.62530000000001</v>
      </c>
      <c r="M7491">
        <v>0.71757910000000003</v>
      </c>
      <c r="N7491">
        <v>0</v>
      </c>
      <c r="O7491">
        <v>0.69629849999999904</v>
      </c>
      <c r="P7491">
        <v>0.90847279999999997</v>
      </c>
      <c r="Q7491">
        <v>0.16555829999999999</v>
      </c>
      <c r="R7491">
        <v>0.38375500000000001</v>
      </c>
      <c r="S7491">
        <v>3.233994</v>
      </c>
      <c r="T7491">
        <v>-0.17901789999999901</v>
      </c>
      <c r="U7491">
        <v>0.26867679999999999</v>
      </c>
      <c r="V7491">
        <v>0.36147560000000001</v>
      </c>
      <c r="W7491">
        <v>0.17136479999999901</v>
      </c>
      <c r="X7491">
        <v>0.91649849999999999</v>
      </c>
      <c r="Y7491">
        <v>0.63275649999999894</v>
      </c>
      <c r="Z7491">
        <v>-5.2495E-2</v>
      </c>
      <c r="AA7491">
        <v>0.77256939999999996</v>
      </c>
      <c r="AB7491">
        <v>25</v>
      </c>
      <c r="AC7491">
        <v>19.726199999999999</v>
      </c>
      <c r="AD7491">
        <v>-1.1006549523339999</v>
      </c>
      <c r="AE7491">
        <v>1.51449999999999</v>
      </c>
      <c r="AF7491">
        <v>12.6110911045525</v>
      </c>
      <c r="AG7491">
        <v>-1.1006549523339999</v>
      </c>
      <c r="AH7491">
        <v>15.1646093668835</v>
      </c>
      <c r="AI7491">
        <v>93.194081657039504</v>
      </c>
      <c r="AJ7491">
        <v>50.252638574979798</v>
      </c>
      <c r="AK7491">
        <v>19.7538967654889</v>
      </c>
      <c r="AL7491">
        <v>80.132819131572504</v>
      </c>
      <c r="AM7491">
        <v>68.475259016715398</v>
      </c>
      <c r="AN7491">
        <v>1.00000000228832</v>
      </c>
    </row>
    <row r="7492" spans="1:40" x14ac:dyDescent="0.25">
      <c r="A7492" t="str">
        <f>"20190312172554099"</f>
        <v>20190312172554099</v>
      </c>
      <c r="B7492" t="str">
        <f>"1552382754087683"</f>
        <v>1552382754087683</v>
      </c>
      <c r="C7492" t="s">
        <v>40</v>
      </c>
      <c r="D7492">
        <v>3.6555300000000002</v>
      </c>
      <c r="E7492">
        <v>0.61430499999999999</v>
      </c>
      <c r="F7492" t="s">
        <v>43</v>
      </c>
      <c r="G7492">
        <v>-162.55840000000001</v>
      </c>
      <c r="H7492" s="1">
        <v>-4.7647619999999999E-6</v>
      </c>
      <c r="I7492">
        <v>132.4759</v>
      </c>
      <c r="J7492">
        <v>-179.70079999999999</v>
      </c>
      <c r="K7492">
        <v>1.100684</v>
      </c>
      <c r="L7492">
        <v>130.79399999999899</v>
      </c>
      <c r="M7492">
        <v>0.72797019999999901</v>
      </c>
      <c r="N7492">
        <v>0</v>
      </c>
      <c r="O7492">
        <v>0.68542749999999997</v>
      </c>
      <c r="P7492">
        <v>0.91379279999999996</v>
      </c>
      <c r="Q7492">
        <v>0.1659378</v>
      </c>
      <c r="R7492">
        <v>0.37073909999999999</v>
      </c>
      <c r="S7492">
        <v>3.1951749999999999</v>
      </c>
      <c r="T7492">
        <v>-0.2028131</v>
      </c>
      <c r="U7492">
        <v>0.34098820000000002</v>
      </c>
      <c r="V7492">
        <v>0.3607301</v>
      </c>
      <c r="W7492">
        <v>0.17178850000000001</v>
      </c>
      <c r="X7492">
        <v>0.91671290000000005</v>
      </c>
      <c r="Y7492">
        <v>0.60207889999999997</v>
      </c>
      <c r="Z7492">
        <v>-5.8591199999999899E-2</v>
      </c>
      <c r="AA7492">
        <v>0.79628399999999999</v>
      </c>
      <c r="AB7492">
        <v>25</v>
      </c>
      <c r="AC7492">
        <v>17.142399999999899</v>
      </c>
      <c r="AD7492">
        <v>-1.1006887647620001</v>
      </c>
      <c r="AE7492">
        <v>1.6819000000000099</v>
      </c>
      <c r="AF7492">
        <v>10.483996818504201</v>
      </c>
      <c r="AG7492">
        <v>-1.1006887647620001</v>
      </c>
      <c r="AH7492">
        <v>13.5782254213425</v>
      </c>
      <c r="AI7492">
        <v>93.671217465554406</v>
      </c>
      <c r="AJ7492">
        <v>52.327611402953501</v>
      </c>
      <c r="AK7492">
        <v>17.1899363186741</v>
      </c>
      <c r="AL7492">
        <v>80.108177644220504</v>
      </c>
      <c r="AM7492">
        <v>68.520168867463298</v>
      </c>
      <c r="AN7492">
        <v>1.00000001740233</v>
      </c>
    </row>
    <row r="7493" spans="1:40" x14ac:dyDescent="0.25">
      <c r="A7493" t="str">
        <f>"20190312172554120"</f>
        <v>20190312172554120</v>
      </c>
      <c r="B7493" t="str">
        <f>"1552382754107203"</f>
        <v>1552382754107203</v>
      </c>
      <c r="C7493" t="s">
        <v>40</v>
      </c>
      <c r="D7493">
        <v>3.6532249999999999</v>
      </c>
      <c r="E7493">
        <v>0.61360819999999905</v>
      </c>
      <c r="F7493" t="s">
        <v>43</v>
      </c>
      <c r="G7493">
        <v>-162.14349999999999</v>
      </c>
      <c r="H7493" s="1">
        <v>-4.956964E-6</v>
      </c>
      <c r="I7493">
        <v>132.49809999999999</v>
      </c>
      <c r="J7493">
        <v>-179.51599999999999</v>
      </c>
      <c r="K7493">
        <v>1.1007180000000001</v>
      </c>
      <c r="L7493">
        <v>130.947</v>
      </c>
      <c r="M7493">
        <v>0.73742209999999997</v>
      </c>
      <c r="N7493">
        <v>0</v>
      </c>
      <c r="O7493">
        <v>0.67524839999999997</v>
      </c>
      <c r="P7493">
        <v>0.91840730000000004</v>
      </c>
      <c r="Q7493">
        <v>0.16659939999999901</v>
      </c>
      <c r="R7493">
        <v>0.35884929999999998</v>
      </c>
      <c r="S7493">
        <v>3.193619</v>
      </c>
      <c r="T7493">
        <v>-0.200212</v>
      </c>
      <c r="U7493">
        <v>0.30996699999999999</v>
      </c>
      <c r="V7493">
        <v>0.35981220000000003</v>
      </c>
      <c r="W7493">
        <v>0.17249639999999999</v>
      </c>
      <c r="X7493">
        <v>0.91694059999999999</v>
      </c>
      <c r="Y7493">
        <v>0.59868569999999999</v>
      </c>
      <c r="Z7493">
        <v>-5.7380670000000002E-2</v>
      </c>
      <c r="AA7493">
        <v>0.79892609999999997</v>
      </c>
      <c r="AB7493">
        <v>25</v>
      </c>
      <c r="AC7493">
        <v>17.372499999999999</v>
      </c>
      <c r="AD7493">
        <v>-1.100722956964</v>
      </c>
      <c r="AE7493">
        <v>1.5510999999999899</v>
      </c>
      <c r="AF7493">
        <v>10.5462486591268</v>
      </c>
      <c r="AG7493">
        <v>-1.100722956964</v>
      </c>
      <c r="AH7493">
        <v>13.804981873313601</v>
      </c>
      <c r="AI7493">
        <v>93.625436031758696</v>
      </c>
      <c r="AJ7493">
        <v>52.622157654647303</v>
      </c>
      <c r="AK7493">
        <v>17.407253555074099</v>
      </c>
      <c r="AL7493">
        <v>80.067002593636104</v>
      </c>
      <c r="AM7493">
        <v>68.574702637739904</v>
      </c>
      <c r="AN7493">
        <v>0.99999994560507799</v>
      </c>
    </row>
    <row r="7494" spans="1:40" x14ac:dyDescent="0.25">
      <c r="A7494" t="str">
        <f>"20190312172554135"</f>
        <v>20190312172554135</v>
      </c>
      <c r="B7494" t="str">
        <f>"1552382754127698"</f>
        <v>1552382754127698</v>
      </c>
      <c r="C7494" t="s">
        <v>40</v>
      </c>
      <c r="D7494">
        <v>3.6357729999999999</v>
      </c>
      <c r="E7494">
        <v>0.60608569999999995</v>
      </c>
      <c r="F7494" t="s">
        <v>43</v>
      </c>
      <c r="G7494">
        <v>-161.67869999999999</v>
      </c>
      <c r="H7494" s="1">
        <v>-5.1807360000000004E-6</v>
      </c>
      <c r="I7494">
        <v>132.4752</v>
      </c>
      <c r="J7494">
        <v>-179.3837</v>
      </c>
      <c r="K7494">
        <v>1.1007439999999999</v>
      </c>
      <c r="L7494">
        <v>131.05359999999999</v>
      </c>
      <c r="M7494">
        <v>0.7440312</v>
      </c>
      <c r="N7494">
        <v>0</v>
      </c>
      <c r="O7494">
        <v>0.66795909999999903</v>
      </c>
      <c r="P7494">
        <v>0.92163839999999997</v>
      </c>
      <c r="Q7494">
        <v>0.16703789999999999</v>
      </c>
      <c r="R7494">
        <v>0.35025879999999998</v>
      </c>
      <c r="S7494">
        <v>3.1953279999999999</v>
      </c>
      <c r="T7494">
        <v>-0.19717999999999999</v>
      </c>
      <c r="U7494">
        <v>0.2737579</v>
      </c>
      <c r="V7494">
        <v>0.359297599999999</v>
      </c>
      <c r="W7494">
        <v>0.17296329999999999</v>
      </c>
      <c r="X7494">
        <v>0.91705449999999999</v>
      </c>
      <c r="Y7494">
        <v>0.59990749999999904</v>
      </c>
      <c r="Z7494">
        <v>-5.6268110000000003E-2</v>
      </c>
      <c r="AA7494">
        <v>0.79808840000000003</v>
      </c>
      <c r="AB7494">
        <v>25</v>
      </c>
      <c r="AC7494">
        <v>17.704999999999998</v>
      </c>
      <c r="AD7494">
        <v>-1.1007491807359999</v>
      </c>
      <c r="AE7494">
        <v>1.42160000000001</v>
      </c>
      <c r="AF7494">
        <v>10.7286339040607</v>
      </c>
      <c r="AG7494">
        <v>-1.1007491807359999</v>
      </c>
      <c r="AH7494">
        <v>14.070358121216</v>
      </c>
      <c r="AI7494">
        <v>93.559795246185899</v>
      </c>
      <c r="AJ7494">
        <v>52.674515987311203</v>
      </c>
      <c r="AK7494">
        <v>17.7282320569627</v>
      </c>
      <c r="AL7494">
        <v>80.039843632919499</v>
      </c>
      <c r="AM7494">
        <v>68.6049898611017</v>
      </c>
      <c r="AN7494">
        <v>1.0000000122414501</v>
      </c>
    </row>
    <row r="7495" spans="1:40" x14ac:dyDescent="0.25">
      <c r="A7495" t="str">
        <f>"20190312172554147"</f>
        <v>20190312172554147</v>
      </c>
      <c r="B7495" t="str">
        <f>"1552382754137461"</f>
        <v>1552382754137461</v>
      </c>
      <c r="C7495" t="s">
        <v>40</v>
      </c>
      <c r="D7495">
        <v>3.6534689999999999</v>
      </c>
      <c r="E7495">
        <v>0.60548630000000003</v>
      </c>
      <c r="F7495" t="s">
        <v>43</v>
      </c>
      <c r="G7495">
        <v>-161.637</v>
      </c>
      <c r="H7495" s="1">
        <v>-5.1551900000000004E-6</v>
      </c>
      <c r="I7495">
        <v>132.7302</v>
      </c>
      <c r="J7495">
        <v>-179.28039999999999</v>
      </c>
      <c r="K7495">
        <v>1.1007659999999999</v>
      </c>
      <c r="L7495">
        <v>131.13560000000001</v>
      </c>
      <c r="M7495">
        <v>0.749112</v>
      </c>
      <c r="N7495">
        <v>0</v>
      </c>
      <c r="O7495">
        <v>0.66225610000000001</v>
      </c>
      <c r="P7495">
        <v>0.92400680000000002</v>
      </c>
      <c r="Q7495">
        <v>0.1670481</v>
      </c>
      <c r="R7495">
        <v>0.34395730000000002</v>
      </c>
      <c r="S7495">
        <v>3.1767270000000001</v>
      </c>
      <c r="T7495">
        <v>-0.1970383</v>
      </c>
      <c r="U7495">
        <v>0.30012509999999998</v>
      </c>
      <c r="V7495">
        <v>0.35854449999999999</v>
      </c>
      <c r="W7495">
        <v>0.17300739999999901</v>
      </c>
      <c r="X7495">
        <v>0.91734090000000001</v>
      </c>
      <c r="Y7495">
        <v>0.58677069999999998</v>
      </c>
      <c r="Z7495">
        <v>-5.5845909999999999E-2</v>
      </c>
      <c r="AA7495">
        <v>0.80782509999999996</v>
      </c>
      <c r="AB7495">
        <v>25</v>
      </c>
      <c r="AC7495">
        <v>17.6433999999999</v>
      </c>
      <c r="AD7495">
        <v>-1.1007711551899999</v>
      </c>
      <c r="AE7495">
        <v>1.59459999999998</v>
      </c>
      <c r="AF7495">
        <v>10.450866155099501</v>
      </c>
      <c r="AG7495">
        <v>-1.1007711551899999</v>
      </c>
      <c r="AH7495">
        <v>14.219784742757501</v>
      </c>
      <c r="AI7495">
        <v>93.569292209691199</v>
      </c>
      <c r="AJ7495">
        <v>53.685881097720497</v>
      </c>
      <c r="AK7495">
        <v>17.6814755792117</v>
      </c>
      <c r="AL7495">
        <v>80.037278320845004</v>
      </c>
      <c r="AM7495">
        <v>68.651858659997501</v>
      </c>
      <c r="AN7495">
        <v>1.0000000228739001</v>
      </c>
    </row>
    <row r="7496" spans="1:40" x14ac:dyDescent="0.25">
      <c r="A7496" t="str">
        <f>"20190312172554156"</f>
        <v>20190312172554156</v>
      </c>
      <c r="B7496" t="str">
        <f>"1552382754147218"</f>
        <v>1552382754147218</v>
      </c>
      <c r="C7496" t="s">
        <v>40</v>
      </c>
      <c r="D7496">
        <v>3.6521590000000002</v>
      </c>
      <c r="E7496">
        <v>0.60445400000000005</v>
      </c>
      <c r="F7496" t="s">
        <v>43</v>
      </c>
      <c r="G7496">
        <v>-161.2363</v>
      </c>
      <c r="H7496" s="1">
        <v>-5.3429059999999999E-6</v>
      </c>
      <c r="I7496">
        <v>132.7397</v>
      </c>
      <c r="J7496">
        <v>-179.18260000000001</v>
      </c>
      <c r="K7496">
        <v>1.1007849999999999</v>
      </c>
      <c r="L7496">
        <v>131.21209999999999</v>
      </c>
      <c r="M7496">
        <v>0.75385630000000003</v>
      </c>
      <c r="N7496">
        <v>0</v>
      </c>
      <c r="O7496">
        <v>0.65685059999999995</v>
      </c>
      <c r="P7496">
        <v>0.92620930000000001</v>
      </c>
      <c r="Q7496">
        <v>0.1671976</v>
      </c>
      <c r="R7496">
        <v>0.33790750000000003</v>
      </c>
      <c r="S7496">
        <v>3.1766359999999998</v>
      </c>
      <c r="T7496">
        <v>-0.19378960000000001</v>
      </c>
      <c r="U7496">
        <v>0.28240969999999999</v>
      </c>
      <c r="V7496">
        <v>0.35792249999999998</v>
      </c>
      <c r="W7496">
        <v>0.1731849</v>
      </c>
      <c r="X7496">
        <v>0.91755030000000004</v>
      </c>
      <c r="Y7496">
        <v>0.58549719999999905</v>
      </c>
      <c r="Z7496">
        <v>-5.4682059999999998E-2</v>
      </c>
      <c r="AA7496">
        <v>0.80882810000000005</v>
      </c>
      <c r="AB7496">
        <v>25</v>
      </c>
      <c r="AC7496">
        <v>17.946300000000001</v>
      </c>
      <c r="AD7496">
        <v>-1.100790342906</v>
      </c>
      <c r="AE7496">
        <v>1.5276000000000001</v>
      </c>
      <c r="AF7496">
        <v>10.598178790204299</v>
      </c>
      <c r="AG7496">
        <v>-1.100790342906</v>
      </c>
      <c r="AH7496">
        <v>14.4800512532018</v>
      </c>
      <c r="AI7496">
        <v>93.510426962515695</v>
      </c>
      <c r="AJ7496">
        <v>53.799012317762497</v>
      </c>
      <c r="AK7496">
        <v>17.977903585889099</v>
      </c>
      <c r="AL7496">
        <v>80.026952616094803</v>
      </c>
      <c r="AM7496">
        <v>68.689995212911498</v>
      </c>
      <c r="AN7496">
        <v>1.00000003931217</v>
      </c>
    </row>
    <row r="7497" spans="1:40" x14ac:dyDescent="0.25">
      <c r="A7497" t="str">
        <f>"20190312172554176"</f>
        <v>20190312172554176</v>
      </c>
      <c r="B7497" t="str">
        <f>"1552382754167718"</f>
        <v>1552382754167718</v>
      </c>
      <c r="C7497" t="s">
        <v>40</v>
      </c>
      <c r="D7497">
        <v>3.6484420000000002</v>
      </c>
      <c r="E7497">
        <v>0.60287930000000001</v>
      </c>
      <c r="F7497" t="s">
        <v>43</v>
      </c>
      <c r="G7497">
        <v>-161.04150000000001</v>
      </c>
      <c r="H7497" s="1">
        <v>-5.4330469999999997E-6</v>
      </c>
      <c r="I7497">
        <v>132.75069999999999</v>
      </c>
      <c r="J7497">
        <v>-179.01929999999999</v>
      </c>
      <c r="K7497">
        <v>1.1008209999999901</v>
      </c>
      <c r="L7497">
        <v>131.33699999999999</v>
      </c>
      <c r="M7497">
        <v>0.76162929999999995</v>
      </c>
      <c r="N7497">
        <v>0</v>
      </c>
      <c r="O7497">
        <v>0.64782169999999994</v>
      </c>
      <c r="P7497">
        <v>0.92959979999999998</v>
      </c>
      <c r="Q7497">
        <v>0.16792589999999999</v>
      </c>
      <c r="R7497">
        <v>0.32809329999999998</v>
      </c>
      <c r="S7497">
        <v>3.175522</v>
      </c>
      <c r="T7497">
        <v>-0.1926891</v>
      </c>
      <c r="U7497">
        <v>0.26933289999999999</v>
      </c>
      <c r="V7497">
        <v>0.35661169999999998</v>
      </c>
      <c r="W7497">
        <v>0.17396779999999901</v>
      </c>
      <c r="X7497">
        <v>0.91791250000000002</v>
      </c>
      <c r="Y7497">
        <v>0.57915810000000001</v>
      </c>
      <c r="Z7497">
        <v>-5.3818930000000001E-2</v>
      </c>
      <c r="AA7497">
        <v>0.81343679999999996</v>
      </c>
      <c r="AB7497">
        <v>25</v>
      </c>
      <c r="AC7497">
        <v>17.977799999999899</v>
      </c>
      <c r="AD7497">
        <v>-1.1008264330469999</v>
      </c>
      <c r="AE7497">
        <v>1.41369999999997</v>
      </c>
      <c r="AF7497">
        <v>10.5317583779162</v>
      </c>
      <c r="AG7497">
        <v>-1.1008264330469999</v>
      </c>
      <c r="AH7497">
        <v>14.5558149353021</v>
      </c>
      <c r="AI7497">
        <v>93.506219205124793</v>
      </c>
      <c r="AJ7497">
        <v>54.112643588751602</v>
      </c>
      <c r="AK7497">
        <v>18.000041716542398</v>
      </c>
      <c r="AL7497">
        <v>79.981404240990798</v>
      </c>
      <c r="AM7497">
        <v>68.768705548834205</v>
      </c>
      <c r="AN7497">
        <v>1.00000002883498</v>
      </c>
    </row>
    <row r="7498" spans="1:40" x14ac:dyDescent="0.25">
      <c r="A7498" t="str">
        <f>"20190312172554190"</f>
        <v>20190312172554190</v>
      </c>
      <c r="B7498" t="str">
        <f>"1552382754177474"</f>
        <v>1552382754177474</v>
      </c>
      <c r="C7498" t="s">
        <v>40</v>
      </c>
      <c r="D7498">
        <v>3.6433270000000002</v>
      </c>
      <c r="E7498">
        <v>0.60287930000000001</v>
      </c>
      <c r="F7498" t="s">
        <v>43</v>
      </c>
      <c r="G7498">
        <v>-160.626</v>
      </c>
      <c r="H7498" s="1">
        <v>-5.6258210000000004E-6</v>
      </c>
      <c r="I7498">
        <v>132.7713</v>
      </c>
      <c r="J7498">
        <v>-178.89769999999999</v>
      </c>
      <c r="K7498">
        <v>1.10084</v>
      </c>
      <c r="L7498">
        <v>131.4281</v>
      </c>
      <c r="M7498">
        <v>0.76730200000000004</v>
      </c>
      <c r="N7498">
        <v>0</v>
      </c>
      <c r="O7498">
        <v>0.64109280000000002</v>
      </c>
      <c r="P7498">
        <v>0.93230970000000002</v>
      </c>
      <c r="Q7498">
        <v>0.16828119999999999</v>
      </c>
      <c r="R7498">
        <v>0.320125299999999</v>
      </c>
      <c r="S7498">
        <v>3.1741489999999999</v>
      </c>
      <c r="T7498">
        <v>-0.18997069999999999</v>
      </c>
      <c r="U7498">
        <v>0.24751280000000001</v>
      </c>
      <c r="V7498">
        <v>0.35634700000000002</v>
      </c>
      <c r="W7498">
        <v>0.174342</v>
      </c>
      <c r="X7498">
        <v>0.91794430000000005</v>
      </c>
      <c r="Y7498">
        <v>0.57758149999999997</v>
      </c>
      <c r="Z7498">
        <v>-5.277167E-2</v>
      </c>
      <c r="AA7498">
        <v>0.81462559999999995</v>
      </c>
      <c r="AB7498">
        <v>25</v>
      </c>
      <c r="AC7498">
        <v>18.2716999999999</v>
      </c>
      <c r="AD7498">
        <v>-1.100845625821</v>
      </c>
      <c r="AE7498">
        <v>1.34319999999999</v>
      </c>
      <c r="AF7498">
        <v>10.646101835702501</v>
      </c>
      <c r="AG7498">
        <v>-1.100845625821</v>
      </c>
      <c r="AH7498">
        <v>14.829331192817399</v>
      </c>
      <c r="AI7498">
        <v>93.450955108904296</v>
      </c>
      <c r="AJ7498">
        <v>54.325115103336202</v>
      </c>
      <c r="AK7498">
        <v>18.288258774807002</v>
      </c>
      <c r="AL7498">
        <v>79.959631422494994</v>
      </c>
      <c r="AM7498">
        <v>68.783732295436295</v>
      </c>
      <c r="AN7498">
        <v>1.0000000276377401</v>
      </c>
    </row>
    <row r="7499" spans="1:40" x14ac:dyDescent="0.25">
      <c r="A7499" t="str">
        <f>"20190312172554201"</f>
        <v>20190312172554201</v>
      </c>
      <c r="B7499" t="str">
        <f>"1552382754197970"</f>
        <v>1552382754197970</v>
      </c>
      <c r="C7499" t="s">
        <v>40</v>
      </c>
      <c r="D7499">
        <v>3.6620849999999998</v>
      </c>
      <c r="E7499">
        <v>0.59547510000000003</v>
      </c>
      <c r="F7499" t="s">
        <v>43</v>
      </c>
      <c r="G7499">
        <v>-160.39709999999999</v>
      </c>
      <c r="H7499" s="1">
        <v>-5.744253E-6</v>
      </c>
      <c r="I7499">
        <v>132.71350000000001</v>
      </c>
      <c r="J7499">
        <v>-178.78899999999999</v>
      </c>
      <c r="K7499">
        <v>1.1008610000000001</v>
      </c>
      <c r="L7499">
        <v>131.5086</v>
      </c>
      <c r="M7499">
        <v>0.7723042</v>
      </c>
      <c r="N7499">
        <v>0</v>
      </c>
      <c r="O7499">
        <v>0.63505800000000001</v>
      </c>
      <c r="P7499">
        <v>0.93458940000000001</v>
      </c>
      <c r="Q7499">
        <v>0.16816539999999999</v>
      </c>
      <c r="R7499">
        <v>0.3134692</v>
      </c>
      <c r="S7499">
        <v>3.1761469999999998</v>
      </c>
      <c r="T7499">
        <v>-0.1889913</v>
      </c>
      <c r="U7499">
        <v>0.22068789999999999</v>
      </c>
      <c r="V7499">
        <v>0.35569820000000002</v>
      </c>
      <c r="W7499">
        <v>0.17425650000000001</v>
      </c>
      <c r="X7499">
        <v>0.91821209999999998</v>
      </c>
      <c r="Y7499">
        <v>0.57810010000000001</v>
      </c>
      <c r="Z7499">
        <v>-5.2252630000000001E-2</v>
      </c>
      <c r="AA7499">
        <v>0.81429099999999999</v>
      </c>
      <c r="AB7499">
        <v>25</v>
      </c>
      <c r="AC7499">
        <v>18.3919</v>
      </c>
      <c r="AD7499">
        <v>-1.100866744253</v>
      </c>
      <c r="AE7499">
        <v>1.2049000000000001</v>
      </c>
      <c r="AF7499">
        <v>10.712488568658801</v>
      </c>
      <c r="AG7499">
        <v>-1.100866744253</v>
      </c>
      <c r="AH7499">
        <v>14.9179573636059</v>
      </c>
      <c r="AI7499">
        <v>93.430267970984104</v>
      </c>
      <c r="AJ7499">
        <v>54.318117375488001</v>
      </c>
      <c r="AK7499">
        <v>18.398770905269998</v>
      </c>
      <c r="AL7499">
        <v>79.964606073218803</v>
      </c>
      <c r="AM7499">
        <v>68.824563689479902</v>
      </c>
      <c r="AN7499">
        <v>0.99999999893094904</v>
      </c>
    </row>
    <row r="7500" spans="1:40" x14ac:dyDescent="0.25">
      <c r="A7500" t="str">
        <f>"20190312172554213"</f>
        <v>20190312172554213</v>
      </c>
      <c r="B7500" t="str">
        <f>"1552382754207730"</f>
        <v>1552382754207730</v>
      </c>
      <c r="C7500" t="s">
        <v>40</v>
      </c>
      <c r="D7500">
        <v>3.6604109999999999</v>
      </c>
      <c r="E7500">
        <v>0.59532390000000002</v>
      </c>
      <c r="F7500" t="s">
        <v>43</v>
      </c>
      <c r="G7500">
        <v>-161.0333</v>
      </c>
      <c r="H7500" s="1">
        <v>-5.4035489999999999E-6</v>
      </c>
      <c r="I7500">
        <v>132.93879999999999</v>
      </c>
      <c r="J7500">
        <v>-178.68010000000001</v>
      </c>
      <c r="K7500">
        <v>1.1008800000000001</v>
      </c>
      <c r="L7500">
        <v>131.58709999999999</v>
      </c>
      <c r="M7500">
        <v>0.77722190000000002</v>
      </c>
      <c r="N7500">
        <v>0</v>
      </c>
      <c r="O7500">
        <v>0.62902990000000003</v>
      </c>
      <c r="P7500">
        <v>0.93694259999999996</v>
      </c>
      <c r="Q7500">
        <v>0.1679233</v>
      </c>
      <c r="R7500">
        <v>0.30649670000000001</v>
      </c>
      <c r="S7500">
        <v>3.1598510000000002</v>
      </c>
      <c r="T7500">
        <v>-0.1959138</v>
      </c>
      <c r="U7500">
        <v>0.25453189999999998</v>
      </c>
      <c r="V7500">
        <v>0.3554097</v>
      </c>
      <c r="W7500">
        <v>0.17403440000000001</v>
      </c>
      <c r="X7500">
        <v>0.91836600000000002</v>
      </c>
      <c r="Y7500">
        <v>0.56256890000000004</v>
      </c>
      <c r="Z7500">
        <v>-5.3622389999999999E-2</v>
      </c>
      <c r="AA7500">
        <v>0.82500960000000001</v>
      </c>
      <c r="AB7500">
        <v>25</v>
      </c>
      <c r="AC7500">
        <v>17.646799999999999</v>
      </c>
      <c r="AD7500">
        <v>-1.1008854035490001</v>
      </c>
      <c r="AE7500">
        <v>1.3516999999999899</v>
      </c>
      <c r="AF7500">
        <v>10.0122991660559</v>
      </c>
      <c r="AG7500">
        <v>-1.1008854035490001</v>
      </c>
      <c r="AH7500">
        <v>14.5113957454399</v>
      </c>
      <c r="AI7500">
        <v>93.573074367616698</v>
      </c>
      <c r="AJ7500">
        <v>55.395832812985603</v>
      </c>
      <c r="AK7500">
        <v>17.6646168863954</v>
      </c>
      <c r="AL7500">
        <v>79.977529633306503</v>
      </c>
      <c r="AM7500">
        <v>68.843450847770498</v>
      </c>
      <c r="AN7500">
        <v>1.0000000685967201</v>
      </c>
    </row>
    <row r="7501" spans="1:40" x14ac:dyDescent="0.25">
      <c r="A7501" t="str">
        <f>"20190312172554224"</f>
        <v>20190312172554224</v>
      </c>
      <c r="B7501" t="str">
        <f>"1552382754217491"</f>
        <v>1552382754217491</v>
      </c>
      <c r="C7501" t="s">
        <v>40</v>
      </c>
      <c r="D7501">
        <v>3.658102</v>
      </c>
      <c r="E7501">
        <v>0.59492800000000001</v>
      </c>
      <c r="F7501" t="s">
        <v>43</v>
      </c>
      <c r="G7501">
        <v>-161.2859</v>
      </c>
      <c r="H7501" s="1">
        <v>-5.2974280000000002E-6</v>
      </c>
      <c r="I7501">
        <v>132.864</v>
      </c>
      <c r="J7501">
        <v>-178.58340000000001</v>
      </c>
      <c r="K7501">
        <v>1.1008979999999999</v>
      </c>
      <c r="L7501">
        <v>131.65620000000001</v>
      </c>
      <c r="M7501">
        <v>0.78153719999999904</v>
      </c>
      <c r="N7501">
        <v>0</v>
      </c>
      <c r="O7501">
        <v>0.62366029999999995</v>
      </c>
      <c r="P7501">
        <v>0.93891329999999995</v>
      </c>
      <c r="Q7501">
        <v>0.16761029999999999</v>
      </c>
      <c r="R7501">
        <v>0.30058089999999998</v>
      </c>
      <c r="S7501">
        <v>3.161835</v>
      </c>
      <c r="T7501">
        <v>-0.20011409999999999</v>
      </c>
      <c r="U7501">
        <v>0.23211670000000001</v>
      </c>
      <c r="V7501">
        <v>0.35489490000000001</v>
      </c>
      <c r="W7501">
        <v>0.17374609999999999</v>
      </c>
      <c r="X7501">
        <v>0.91861959999999998</v>
      </c>
      <c r="Y7501">
        <v>0.56265339999999997</v>
      </c>
      <c r="Z7501">
        <v>-5.4513739999999998E-2</v>
      </c>
      <c r="AA7501">
        <v>0.8248936</v>
      </c>
      <c r="AB7501">
        <v>25</v>
      </c>
      <c r="AC7501">
        <v>17.297499999999999</v>
      </c>
      <c r="AD7501">
        <v>-1.100903297428</v>
      </c>
      <c r="AE7501">
        <v>1.20779999999999</v>
      </c>
      <c r="AF7501">
        <v>9.8055148592621997</v>
      </c>
      <c r="AG7501">
        <v>-1.100903297428</v>
      </c>
      <c r="AH7501">
        <v>14.2163556408386</v>
      </c>
      <c r="AI7501">
        <v>93.647474281703694</v>
      </c>
      <c r="AJ7501">
        <v>55.404620605244297</v>
      </c>
      <c r="AK7501">
        <v>17.305053522954001</v>
      </c>
      <c r="AL7501">
        <v>79.994303199781598</v>
      </c>
      <c r="AM7501">
        <v>68.876708670063195</v>
      </c>
      <c r="AN7501">
        <v>1.00000003340768</v>
      </c>
    </row>
    <row r="7502" spans="1:40" x14ac:dyDescent="0.25">
      <c r="A7502" t="str">
        <f>"20190312172554236"</f>
        <v>20190312172554236</v>
      </c>
      <c r="B7502" t="str">
        <f>"1552382754227250"</f>
        <v>1552382754227250</v>
      </c>
      <c r="C7502" t="s">
        <v>40</v>
      </c>
      <c r="D7502">
        <v>3.6361219999999999</v>
      </c>
      <c r="E7502">
        <v>0.59427580000000002</v>
      </c>
      <c r="F7502" t="s">
        <v>43</v>
      </c>
      <c r="G7502">
        <v>-161.2912</v>
      </c>
      <c r="H7502" s="1">
        <v>-5.3007090000000004E-6</v>
      </c>
      <c r="I7502">
        <v>132.8313</v>
      </c>
      <c r="J7502">
        <v>-178.47649999999999</v>
      </c>
      <c r="K7502">
        <v>1.100908</v>
      </c>
      <c r="L7502">
        <v>131.7312</v>
      </c>
      <c r="M7502">
        <v>0.78623419999999999</v>
      </c>
      <c r="N7502">
        <v>0</v>
      </c>
      <c r="O7502">
        <v>0.61772850000000001</v>
      </c>
      <c r="P7502">
        <v>0.94086349999999996</v>
      </c>
      <c r="Q7502">
        <v>0.16796449999999999</v>
      </c>
      <c r="R7502">
        <v>0.29421760000000002</v>
      </c>
      <c r="S7502">
        <v>3.1623230000000002</v>
      </c>
      <c r="T7502">
        <v>-0.20132890000000001</v>
      </c>
      <c r="U7502">
        <v>0.21490480000000001</v>
      </c>
      <c r="V7502">
        <v>0.35412329999999997</v>
      </c>
      <c r="W7502">
        <v>0.17413299999999901</v>
      </c>
      <c r="X7502">
        <v>0.91884399999999999</v>
      </c>
      <c r="Y7502">
        <v>0.56086650000000005</v>
      </c>
      <c r="Z7502">
        <v>-5.4513260000000001E-2</v>
      </c>
      <c r="AA7502">
        <v>0.8261096</v>
      </c>
      <c r="AB7502">
        <v>24</v>
      </c>
      <c r="AC7502">
        <v>17.185299999999899</v>
      </c>
      <c r="AD7502">
        <v>-1.100913300709</v>
      </c>
      <c r="AE7502">
        <v>1.1000999999999901</v>
      </c>
      <c r="AF7502">
        <v>9.7124234767613498</v>
      </c>
      <c r="AG7502">
        <v>-1.100913300709</v>
      </c>
      <c r="AH7502">
        <v>14.1352165313728</v>
      </c>
      <c r="AI7502">
        <v>93.672878517578397</v>
      </c>
      <c r="AJ7502">
        <v>55.506722538688798</v>
      </c>
      <c r="AK7502">
        <v>17.185677940553202</v>
      </c>
      <c r="AL7502">
        <v>79.971791518531504</v>
      </c>
      <c r="AM7502">
        <v>68.923292662606002</v>
      </c>
      <c r="AN7502">
        <v>0.99999995481394399</v>
      </c>
    </row>
    <row r="7503" spans="1:40" x14ac:dyDescent="0.25">
      <c r="A7503" t="str">
        <f>"20190312172554246"</f>
        <v>20190312172554246</v>
      </c>
      <c r="B7503" t="str">
        <f>"1552382754237986"</f>
        <v>1552382754237986</v>
      </c>
      <c r="C7503" t="s">
        <v>40</v>
      </c>
      <c r="D7503">
        <v>3.709978</v>
      </c>
      <c r="E7503">
        <v>0.59382299999999999</v>
      </c>
      <c r="F7503" t="s">
        <v>43</v>
      </c>
      <c r="G7503">
        <v>-161.06209999999999</v>
      </c>
      <c r="H7503" s="1">
        <v>-5.4103289999999998E-6</v>
      </c>
      <c r="I7503">
        <v>132.82399999999899</v>
      </c>
      <c r="J7503">
        <v>-178.3758</v>
      </c>
      <c r="K7503">
        <v>1.1009249999999999</v>
      </c>
      <c r="L7503">
        <v>131.80080000000001</v>
      </c>
      <c r="M7503">
        <v>0.79060180000000002</v>
      </c>
      <c r="N7503">
        <v>0</v>
      </c>
      <c r="O7503">
        <v>0.61212869999999997</v>
      </c>
      <c r="P7503">
        <v>0.94278139999999999</v>
      </c>
      <c r="Q7503">
        <v>0.16796369999999999</v>
      </c>
      <c r="R7503">
        <v>0.28801300000000002</v>
      </c>
      <c r="S7503">
        <v>3.1621860000000002</v>
      </c>
      <c r="T7503">
        <v>-0.19990810000000001</v>
      </c>
      <c r="U7503">
        <v>0.19844059999999999</v>
      </c>
      <c r="V7503">
        <v>0.35364279999999998</v>
      </c>
      <c r="W7503">
        <v>0.17415559999999999</v>
      </c>
      <c r="X7503">
        <v>0.91902479999999998</v>
      </c>
      <c r="Y7503">
        <v>0.5593146</v>
      </c>
      <c r="Z7503">
        <v>-5.383069E-2</v>
      </c>
      <c r="AA7503">
        <v>0.82720579999999999</v>
      </c>
      <c r="AB7503">
        <v>24</v>
      </c>
      <c r="AC7503">
        <v>17.313700000000001</v>
      </c>
      <c r="AD7503">
        <v>-1.1009304103290001</v>
      </c>
      <c r="AE7503">
        <v>1.0231999999999699</v>
      </c>
      <c r="AF7503">
        <v>9.7511892031552794</v>
      </c>
      <c r="AG7503">
        <v>-1.1009304103290001</v>
      </c>
      <c r="AH7503">
        <v>14.258889584608699</v>
      </c>
      <c r="AI7503">
        <v>93.646657172875095</v>
      </c>
      <c r="AJ7503">
        <v>55.633049752120499</v>
      </c>
      <c r="AK7503">
        <v>17.3093521204631</v>
      </c>
      <c r="AL7503">
        <v>79.970476928230994</v>
      </c>
      <c r="AM7503">
        <v>68.953163265883603</v>
      </c>
      <c r="AN7503">
        <v>0.99999999300911901</v>
      </c>
    </row>
    <row r="7504" spans="1:40" x14ac:dyDescent="0.25">
      <c r="A7504" t="str">
        <f>"20190312172554258"</f>
        <v>20190312172554258</v>
      </c>
      <c r="B7504" t="str">
        <f>"1552382754247747"</f>
        <v>1552382754247747</v>
      </c>
      <c r="C7504" t="s">
        <v>40</v>
      </c>
      <c r="D7504">
        <v>3.6988439999999998</v>
      </c>
      <c r="E7504">
        <v>0.59382299999999999</v>
      </c>
      <c r="F7504" t="s">
        <v>43</v>
      </c>
      <c r="G7504">
        <v>-161.07399999999899</v>
      </c>
      <c r="H7504" s="1">
        <v>-5.4107819999999999E-6</v>
      </c>
      <c r="I7504">
        <v>132.78970000000001</v>
      </c>
      <c r="J7504">
        <v>-178.26410000000001</v>
      </c>
      <c r="K7504">
        <v>1.1009420000000001</v>
      </c>
      <c r="L7504">
        <v>131.87700000000001</v>
      </c>
      <c r="M7504">
        <v>0.79537630000000004</v>
      </c>
      <c r="N7504">
        <v>0</v>
      </c>
      <c r="O7504">
        <v>0.60591209999999995</v>
      </c>
      <c r="P7504">
        <v>0.94475039999999999</v>
      </c>
      <c r="Q7504">
        <v>0.168231399999999</v>
      </c>
      <c r="R7504">
        <v>0.28132699999999999</v>
      </c>
      <c r="S7504">
        <v>3.1626889999999999</v>
      </c>
      <c r="T7504">
        <v>-0.2012447</v>
      </c>
      <c r="U7504">
        <v>0.18077090000000001</v>
      </c>
      <c r="V7504">
        <v>0.35291739999999999</v>
      </c>
      <c r="W7504">
        <v>0.17445379999999999</v>
      </c>
      <c r="X7504">
        <v>0.91924709999999998</v>
      </c>
      <c r="Y7504">
        <v>0.55742009999999997</v>
      </c>
      <c r="Z7504">
        <v>-5.3834760000000002E-2</v>
      </c>
      <c r="AA7504">
        <v>0.82848330000000003</v>
      </c>
      <c r="AB7504">
        <v>24</v>
      </c>
      <c r="AC7504">
        <v>17.190100000000001</v>
      </c>
      <c r="AD7504">
        <v>-1.1009474107819901</v>
      </c>
      <c r="AE7504">
        <v>0.91270000000000095</v>
      </c>
      <c r="AF7504">
        <v>9.6514695986877594</v>
      </c>
      <c r="AG7504">
        <v>-1.1009474107819901</v>
      </c>
      <c r="AH7504">
        <v>14.1694148118276</v>
      </c>
      <c r="AI7504">
        <v>93.674314844951795</v>
      </c>
      <c r="AJ7504">
        <v>55.7393411913961</v>
      </c>
      <c r="AK7504">
        <v>17.179501352639502</v>
      </c>
      <c r="AL7504">
        <v>79.953126036908799</v>
      </c>
      <c r="AM7504">
        <v>68.997202407275296</v>
      </c>
      <c r="AN7504">
        <v>1.0000000252078001</v>
      </c>
    </row>
    <row r="7505" spans="1:40" x14ac:dyDescent="0.25">
      <c r="A7505" t="str">
        <f>"20190312172554270"</f>
        <v>20190312172554270</v>
      </c>
      <c r="B7505" t="str">
        <f>"1552382754257506"</f>
        <v>1552382754257506</v>
      </c>
      <c r="C7505" t="s">
        <v>40</v>
      </c>
      <c r="D7505">
        <v>3.6489389999999999</v>
      </c>
      <c r="E7505">
        <v>0.58827249999999998</v>
      </c>
      <c r="F7505" t="s">
        <v>43</v>
      </c>
      <c r="G7505">
        <v>-160.85810000000001</v>
      </c>
      <c r="H7505" s="1">
        <v>-5.5203740000000002E-6</v>
      </c>
      <c r="I7505">
        <v>132.74709999999999</v>
      </c>
      <c r="J7505">
        <v>-178.16099999999901</v>
      </c>
      <c r="K7505">
        <v>1.1009610000000001</v>
      </c>
      <c r="L7505">
        <v>131.94579999999999</v>
      </c>
      <c r="M7505">
        <v>0.79971190000000003</v>
      </c>
      <c r="N7505">
        <v>0</v>
      </c>
      <c r="O7505">
        <v>0.600178199999999</v>
      </c>
      <c r="P7505">
        <v>0.94659309999999997</v>
      </c>
      <c r="Q7505">
        <v>0.1680989</v>
      </c>
      <c r="R7505">
        <v>0.275144</v>
      </c>
      <c r="S7505">
        <v>3.1639710000000001</v>
      </c>
      <c r="T7505">
        <v>-0.200125</v>
      </c>
      <c r="U7505">
        <v>0.1581726</v>
      </c>
      <c r="V7505">
        <v>0.35232170000000002</v>
      </c>
      <c r="W7505">
        <v>0.17434849999999999</v>
      </c>
      <c r="X7505">
        <v>0.91949550000000002</v>
      </c>
      <c r="Y7505">
        <v>0.55741209999999997</v>
      </c>
      <c r="Z7505">
        <v>-5.3256230000000002E-2</v>
      </c>
      <c r="AA7505">
        <v>0.82852610000000004</v>
      </c>
      <c r="AB7505">
        <v>24</v>
      </c>
      <c r="AC7505">
        <v>17.302899999999902</v>
      </c>
      <c r="AD7505">
        <v>-1.100966520374</v>
      </c>
      <c r="AE7505">
        <v>0.80129999999999701</v>
      </c>
      <c r="AF7505">
        <v>9.7060057234159807</v>
      </c>
      <c r="AG7505">
        <v>-1.100966520374</v>
      </c>
      <c r="AH7505">
        <v>14.2624065514596</v>
      </c>
      <c r="AI7505">
        <v>93.651531988791604</v>
      </c>
      <c r="AJ7505">
        <v>55.763509979519597</v>
      </c>
      <c r="AK7505">
        <v>17.286842251292899</v>
      </c>
      <c r="AL7505">
        <v>79.959252695043901</v>
      </c>
      <c r="AM7505">
        <v>69.034741930251101</v>
      </c>
      <c r="AN7505">
        <v>0.99999997713169397</v>
      </c>
    </row>
    <row r="7506" spans="1:40" x14ac:dyDescent="0.25">
      <c r="A7506" t="str">
        <f>"20190312172554287"</f>
        <v>20190312172554287</v>
      </c>
      <c r="B7506" t="str">
        <f>"1552382754278002"</f>
        <v>1552382754278002</v>
      </c>
      <c r="C7506" t="s">
        <v>40</v>
      </c>
      <c r="D7506">
        <v>3.6297969999999999</v>
      </c>
      <c r="E7506">
        <v>0.58686450000000001</v>
      </c>
      <c r="F7506" t="s">
        <v>43</v>
      </c>
      <c r="G7506">
        <v>-161.59399999999999</v>
      </c>
      <c r="H7506" s="1">
        <v>-5.1467719999999997E-6</v>
      </c>
      <c r="I7506">
        <v>132.89240000000001</v>
      </c>
      <c r="J7506">
        <v>-177.9939</v>
      </c>
      <c r="K7506">
        <v>1.1009869999999999</v>
      </c>
      <c r="L7506">
        <v>132.05539999999999</v>
      </c>
      <c r="M7506">
        <v>0.80661369999999999</v>
      </c>
      <c r="N7506">
        <v>0</v>
      </c>
      <c r="O7506">
        <v>0.59087009999999995</v>
      </c>
      <c r="P7506">
        <v>0.94936039999999999</v>
      </c>
      <c r="Q7506">
        <v>0.16776969999999999</v>
      </c>
      <c r="R7506">
        <v>0.26564690000000002</v>
      </c>
      <c r="S7506">
        <v>3.1541139999999999</v>
      </c>
      <c r="T7506">
        <v>-0.20960760000000001</v>
      </c>
      <c r="U7506">
        <v>0.18022160000000001</v>
      </c>
      <c r="V7506">
        <v>0.35088970000000003</v>
      </c>
      <c r="W7506">
        <v>0.17407719999999999</v>
      </c>
      <c r="X7506">
        <v>0.92009430000000003</v>
      </c>
      <c r="Y7506">
        <v>0.54163090000000003</v>
      </c>
      <c r="Z7506">
        <v>-5.4898500000000003E-2</v>
      </c>
      <c r="AA7506">
        <v>0.83882190000000001</v>
      </c>
      <c r="AB7506">
        <v>24</v>
      </c>
      <c r="AC7506">
        <v>16.399899999999999</v>
      </c>
      <c r="AD7506">
        <v>-1.1009921467720001</v>
      </c>
      <c r="AE7506">
        <v>0.83700000000001695</v>
      </c>
      <c r="AF7506">
        <v>8.9758389746287808</v>
      </c>
      <c r="AG7506">
        <v>-1.1009921467720001</v>
      </c>
      <c r="AH7506">
        <v>13.663216537905001</v>
      </c>
      <c r="AI7506">
        <v>93.852949664515805</v>
      </c>
      <c r="AJ7506">
        <v>56.697705601208099</v>
      </c>
      <c r="AK7506">
        <v>16.384790360801102</v>
      </c>
      <c r="AL7506">
        <v>79.975038535735294</v>
      </c>
      <c r="AM7506">
        <v>69.125011733337701</v>
      </c>
      <c r="AN7506">
        <v>0.99999998700921</v>
      </c>
    </row>
    <row r="7507" spans="1:40" x14ac:dyDescent="0.25">
      <c r="A7507" t="str">
        <f>"20190312172554310"</f>
        <v>20190312172554310</v>
      </c>
      <c r="B7507" t="str">
        <f>"1552382754297522"</f>
        <v>1552382754297522</v>
      </c>
      <c r="C7507" t="s">
        <v>40</v>
      </c>
      <c r="D7507">
        <v>3.6456870000000001</v>
      </c>
      <c r="E7507">
        <v>0.58588999999999902</v>
      </c>
      <c r="F7507" t="s">
        <v>43</v>
      </c>
      <c r="G7507">
        <v>-161.27520000000001</v>
      </c>
      <c r="H7507" s="1">
        <v>-5.2961489999999999E-6</v>
      </c>
      <c r="I7507">
        <v>132.8997</v>
      </c>
      <c r="J7507">
        <v>-177.7841</v>
      </c>
      <c r="K7507">
        <v>1.1010150000000001</v>
      </c>
      <c r="L7507">
        <v>132.18899999999999</v>
      </c>
      <c r="M7507">
        <v>0.81505609999999995</v>
      </c>
      <c r="N7507">
        <v>0</v>
      </c>
      <c r="O7507">
        <v>0.5791693</v>
      </c>
      <c r="P7507">
        <v>0.95263549999999997</v>
      </c>
      <c r="Q7507">
        <v>0.16758290000000001</v>
      </c>
      <c r="R7507">
        <v>0.25377499999999997</v>
      </c>
      <c r="S7507">
        <v>3.152161</v>
      </c>
      <c r="T7507">
        <v>-0.20758180000000001</v>
      </c>
      <c r="U7507">
        <v>0.159194899999999</v>
      </c>
      <c r="V7507">
        <v>0.3490953</v>
      </c>
      <c r="W7507">
        <v>0.17396120000000001</v>
      </c>
      <c r="X7507">
        <v>0.92079849999999996</v>
      </c>
      <c r="Y7507">
        <v>0.53512469999999901</v>
      </c>
      <c r="Z7507">
        <v>-5.3592319999999999E-2</v>
      </c>
      <c r="AA7507">
        <v>0.84307140000000003</v>
      </c>
      <c r="AB7507">
        <v>24</v>
      </c>
      <c r="AC7507">
        <v>16.508899999999901</v>
      </c>
      <c r="AD7507">
        <v>-1.1010202961490001</v>
      </c>
      <c r="AE7507">
        <v>0.710700000000002</v>
      </c>
      <c r="AF7507">
        <v>8.9435882957479205</v>
      </c>
      <c r="AG7507">
        <v>-1.1010202961490001</v>
      </c>
      <c r="AH7507">
        <v>13.807702979087299</v>
      </c>
      <c r="AI7507">
        <v>93.828903716581493</v>
      </c>
      <c r="AJ7507">
        <v>57.0678785694788</v>
      </c>
      <c r="AK7507">
        <v>16.4879555692956</v>
      </c>
      <c r="AL7507">
        <v>79.981787476830206</v>
      </c>
      <c r="AM7507">
        <v>69.237161924799906</v>
      </c>
      <c r="AN7507">
        <v>0.99999995259488805</v>
      </c>
    </row>
    <row r="7508" spans="1:40" x14ac:dyDescent="0.25">
      <c r="A7508" t="str">
        <f>"20190312172554332"</f>
        <v>20190312172554332</v>
      </c>
      <c r="B7508" t="str">
        <f>"1552382754327778"</f>
        <v>1552382754327778</v>
      </c>
      <c r="C7508" t="s">
        <v>40</v>
      </c>
      <c r="D7508">
        <v>3.669978</v>
      </c>
      <c r="E7508">
        <v>0.57903850000000001</v>
      </c>
      <c r="F7508" t="s">
        <v>43</v>
      </c>
      <c r="G7508">
        <v>-161.2079</v>
      </c>
      <c r="H7508" s="1">
        <v>-5.3351930000000002E-6</v>
      </c>
      <c r="I7508">
        <v>132.85890000000001</v>
      </c>
      <c r="J7508">
        <v>-177.5727</v>
      </c>
      <c r="K7508">
        <v>1.1010420000000001</v>
      </c>
      <c r="L7508">
        <v>132.31950000000001</v>
      </c>
      <c r="M7508">
        <v>0.82332469999999902</v>
      </c>
      <c r="N7508">
        <v>0</v>
      </c>
      <c r="O7508">
        <v>0.56735369999999996</v>
      </c>
      <c r="P7508">
        <v>0.95571850000000003</v>
      </c>
      <c r="Q7508">
        <v>0.1676388</v>
      </c>
      <c r="R7508">
        <v>0.2418671</v>
      </c>
      <c r="S7508">
        <v>3.1520540000000001</v>
      </c>
      <c r="T7508">
        <v>-0.20936440000000001</v>
      </c>
      <c r="U7508">
        <v>0.1273956</v>
      </c>
      <c r="V7508">
        <v>0.34728320000000001</v>
      </c>
      <c r="W7508">
        <v>0.17408799999999999</v>
      </c>
      <c r="X7508">
        <v>0.92145960000000005</v>
      </c>
      <c r="Y7508">
        <v>0.53142489999999998</v>
      </c>
      <c r="Z7508">
        <v>-5.3324919999999998E-2</v>
      </c>
      <c r="AA7508">
        <v>0.84542539999999999</v>
      </c>
      <c r="AB7508">
        <v>24</v>
      </c>
      <c r="AC7508">
        <v>16.364799999999999</v>
      </c>
      <c r="AD7508">
        <v>-1.1010473351929999</v>
      </c>
      <c r="AE7508">
        <v>0.53939999999999999</v>
      </c>
      <c r="AF7508">
        <v>8.8018162795917991</v>
      </c>
      <c r="AG7508">
        <v>-1.1010473351929999</v>
      </c>
      <c r="AH7508">
        <v>13.719234607308801</v>
      </c>
      <c r="AI7508">
        <v>93.864401966439104</v>
      </c>
      <c r="AJ7508">
        <v>57.317084711555701</v>
      </c>
      <c r="AK7508">
        <v>16.3371256120653</v>
      </c>
      <c r="AL7508">
        <v>79.974410516991597</v>
      </c>
      <c r="AM7508">
        <v>69.349386311668297</v>
      </c>
      <c r="AN7508">
        <v>1.0000000235891899</v>
      </c>
    </row>
    <row r="7509" spans="1:40" x14ac:dyDescent="0.25">
      <c r="A7509" t="str">
        <f>"20190312172554346"</f>
        <v>20190312172554346</v>
      </c>
      <c r="B7509" t="str">
        <f>"1552382754337539"</f>
        <v>1552382754337539</v>
      </c>
      <c r="C7509" t="s">
        <v>40</v>
      </c>
      <c r="D7509">
        <v>3.6493950000000002</v>
      </c>
      <c r="E7509">
        <v>0.57903850000000001</v>
      </c>
      <c r="F7509" t="s">
        <v>43</v>
      </c>
      <c r="G7509">
        <v>-161.9614</v>
      </c>
      <c r="H7509" s="1">
        <v>-4.9500169999999999E-6</v>
      </c>
      <c r="I7509">
        <v>133.0223</v>
      </c>
      <c r="J7509">
        <v>-177.4402</v>
      </c>
      <c r="K7509">
        <v>1.101062</v>
      </c>
      <c r="L7509">
        <v>132.39920000000001</v>
      </c>
      <c r="M7509">
        <v>0.828381699999999</v>
      </c>
      <c r="N7509">
        <v>0</v>
      </c>
      <c r="O7509">
        <v>0.55994429999999995</v>
      </c>
      <c r="P7509">
        <v>0.95758270000000001</v>
      </c>
      <c r="Q7509">
        <v>0.16767889999999999</v>
      </c>
      <c r="R7509">
        <v>0.234349</v>
      </c>
      <c r="S7509">
        <v>3.1421049999999999</v>
      </c>
      <c r="T7509">
        <v>-0.2216101</v>
      </c>
      <c r="U7509">
        <v>0.14144899999999999</v>
      </c>
      <c r="V7509">
        <v>0.34624369999999999</v>
      </c>
      <c r="W7509">
        <v>0.1741692</v>
      </c>
      <c r="X7509">
        <v>0.92183539999999997</v>
      </c>
      <c r="Y7509">
        <v>0.51965859999999997</v>
      </c>
      <c r="Z7509">
        <v>-5.5748590000000001E-2</v>
      </c>
      <c r="AA7509">
        <v>0.85255319999999901</v>
      </c>
      <c r="AB7509">
        <v>24</v>
      </c>
      <c r="AC7509">
        <v>15.4788</v>
      </c>
      <c r="AD7509">
        <v>-1.1010669500170001</v>
      </c>
      <c r="AE7509">
        <v>0.62309999999999299</v>
      </c>
      <c r="AF7509">
        <v>8.1111284027251003</v>
      </c>
      <c r="AG7509">
        <v>-1.1010669500170001</v>
      </c>
      <c r="AH7509">
        <v>13.106664450485001</v>
      </c>
      <c r="AI7509">
        <v>94.0860044008828</v>
      </c>
      <c r="AJ7509">
        <v>58.248487977274102</v>
      </c>
      <c r="AK7509">
        <v>15.4527475036487</v>
      </c>
      <c r="AL7509">
        <v>79.969686263983505</v>
      </c>
      <c r="AM7509">
        <v>69.413695003120395</v>
      </c>
      <c r="AN7509">
        <v>1.0000000573557399</v>
      </c>
    </row>
    <row r="7510" spans="1:40" x14ac:dyDescent="0.25">
      <c r="A7510" t="str">
        <f>"20190312172554365"</f>
        <v>20190312172554365</v>
      </c>
      <c r="B7510" t="str">
        <f>"1552382754358034"</f>
        <v>1552382754358034</v>
      </c>
      <c r="C7510" t="s">
        <v>40</v>
      </c>
      <c r="D7510">
        <v>3.7265090000000001</v>
      </c>
      <c r="E7510">
        <v>0.57242069999999901</v>
      </c>
      <c r="F7510" t="s">
        <v>43</v>
      </c>
      <c r="G7510">
        <v>-161.798</v>
      </c>
      <c r="H7510" s="1">
        <v>-5.0349860000000001E-6</v>
      </c>
      <c r="I7510">
        <v>132.97880000000001</v>
      </c>
      <c r="J7510">
        <v>-177.25129999999999</v>
      </c>
      <c r="K7510">
        <v>1.1011010000000001</v>
      </c>
      <c r="L7510">
        <v>132.51</v>
      </c>
      <c r="M7510">
        <v>0.83543389999999995</v>
      </c>
      <c r="N7510">
        <v>0</v>
      </c>
      <c r="O7510">
        <v>0.549367099999999</v>
      </c>
      <c r="P7510">
        <v>0.95981289999999997</v>
      </c>
      <c r="Q7510">
        <v>0.1681947</v>
      </c>
      <c r="R7510">
        <v>0.2246553</v>
      </c>
      <c r="S7510">
        <v>3.1431429999999998</v>
      </c>
      <c r="T7510">
        <v>-0.22124830000000001</v>
      </c>
      <c r="U7510">
        <v>0.11645510000000001</v>
      </c>
      <c r="V7510">
        <v>0.34378779999999998</v>
      </c>
      <c r="W7510">
        <v>0.17477019999999999</v>
      </c>
      <c r="X7510">
        <v>0.92264040000000003</v>
      </c>
      <c r="Y7510">
        <v>0.51562529999999995</v>
      </c>
      <c r="Z7510">
        <v>-5.490457E-2</v>
      </c>
      <c r="AA7510">
        <v>0.85505319999999996</v>
      </c>
      <c r="AB7510">
        <v>24</v>
      </c>
      <c r="AC7510">
        <v>15.453299999999899</v>
      </c>
      <c r="AD7510">
        <v>-1.101106034986</v>
      </c>
      <c r="AE7510">
        <v>0.46880000000001498</v>
      </c>
      <c r="AF7510">
        <v>8.0580056762320993</v>
      </c>
      <c r="AG7510">
        <v>-1.101106034986</v>
      </c>
      <c r="AH7510">
        <v>13.1029102047605</v>
      </c>
      <c r="AI7510">
        <v>94.094378748093405</v>
      </c>
      <c r="AJ7510">
        <v>58.409385682688601</v>
      </c>
      <c r="AK7510">
        <v>15.421742632156899</v>
      </c>
      <c r="AL7510">
        <v>79.934714458640499</v>
      </c>
      <c r="AM7510">
        <v>69.563952761049805</v>
      </c>
      <c r="AN7510">
        <v>0.99999999097451997</v>
      </c>
    </row>
    <row r="7511" spans="1:40" x14ac:dyDescent="0.25">
      <c r="A7511" t="str">
        <f>"20190312172554379"</f>
        <v>20190312172554379</v>
      </c>
      <c r="B7511" t="str">
        <f>"1552382754367794"</f>
        <v>1552382754367794</v>
      </c>
      <c r="C7511" t="s">
        <v>40</v>
      </c>
      <c r="D7511">
        <v>3.7120310000000001</v>
      </c>
      <c r="E7511">
        <v>0.57242069999999901</v>
      </c>
      <c r="F7511" t="s">
        <v>43</v>
      </c>
      <c r="G7511">
        <v>-161.44739999999999</v>
      </c>
      <c r="H7511" s="1">
        <v>-5.1625689999999997E-6</v>
      </c>
      <c r="I7511">
        <v>133.19390000000001</v>
      </c>
      <c r="J7511">
        <v>-177.11600000000001</v>
      </c>
      <c r="K7511">
        <v>1.101124</v>
      </c>
      <c r="L7511">
        <v>132.58750000000001</v>
      </c>
      <c r="M7511">
        <v>0.84037629999999996</v>
      </c>
      <c r="N7511">
        <v>0</v>
      </c>
      <c r="O7511">
        <v>0.54177659999999905</v>
      </c>
      <c r="P7511">
        <v>0.96150930000000001</v>
      </c>
      <c r="Q7511">
        <v>0.16843320000000001</v>
      </c>
      <c r="R7511">
        <v>0.21709510000000001</v>
      </c>
      <c r="S7511">
        <v>3.1321110000000001</v>
      </c>
      <c r="T7511">
        <v>-0.21822359999999999</v>
      </c>
      <c r="U7511">
        <v>0.13554379999999999</v>
      </c>
      <c r="V7511">
        <v>0.34266229999999998</v>
      </c>
      <c r="W7511">
        <v>0.1750514</v>
      </c>
      <c r="X7511">
        <v>0.92300570000000004</v>
      </c>
      <c r="Y7511">
        <v>0.50259949999999998</v>
      </c>
      <c r="Z7511">
        <v>-5.342421E-2</v>
      </c>
      <c r="AA7511">
        <v>0.8628671</v>
      </c>
      <c r="AB7511">
        <v>24</v>
      </c>
      <c r="AC7511">
        <v>15.6685999999999</v>
      </c>
      <c r="AD7511">
        <v>-1.1011291625690001</v>
      </c>
      <c r="AE7511">
        <v>0.60640000000000704</v>
      </c>
      <c r="AF7511">
        <v>7.9410970838619503</v>
      </c>
      <c r="AG7511">
        <v>-1.1011291625690001</v>
      </c>
      <c r="AH7511">
        <v>13.4314769672916</v>
      </c>
      <c r="AI7511">
        <v>94.036664944652699</v>
      </c>
      <c r="AJ7511">
        <v>59.4071312283113</v>
      </c>
      <c r="AK7511">
        <v>15.642189164271899</v>
      </c>
      <c r="AL7511">
        <v>79.918350547426698</v>
      </c>
      <c r="AM7511">
        <v>69.632750862173097</v>
      </c>
      <c r="AN7511">
        <v>0.99999998335786899</v>
      </c>
    </row>
    <row r="7512" spans="1:40" x14ac:dyDescent="0.25">
      <c r="A7512" t="str">
        <f>"20190312172554393"</f>
        <v>20190312172554393</v>
      </c>
      <c r="B7512" t="str">
        <f>"1552382754387314"</f>
        <v>1552382754387314</v>
      </c>
      <c r="C7512" t="s">
        <v>40</v>
      </c>
      <c r="D7512">
        <v>3.684472</v>
      </c>
      <c r="E7512">
        <v>0.56673680000000004</v>
      </c>
      <c r="F7512" t="s">
        <v>43</v>
      </c>
      <c r="G7512">
        <v>-161.2535</v>
      </c>
      <c r="H7512" s="1">
        <v>-5.2621419999999999E-6</v>
      </c>
      <c r="I7512">
        <v>133.14930000000001</v>
      </c>
      <c r="J7512">
        <v>-176.989</v>
      </c>
      <c r="K7512">
        <v>1.101145</v>
      </c>
      <c r="L7512">
        <v>132.6583</v>
      </c>
      <c r="M7512">
        <v>0.84491989999999995</v>
      </c>
      <c r="N7512">
        <v>0</v>
      </c>
      <c r="O7512">
        <v>0.53466309999999995</v>
      </c>
      <c r="P7512">
        <v>0.96300509999999995</v>
      </c>
      <c r="Q7512">
        <v>0.1684602</v>
      </c>
      <c r="R7512">
        <v>0.21033879999999999</v>
      </c>
      <c r="S7512">
        <v>3.1331329999999999</v>
      </c>
      <c r="T7512">
        <v>-0.2174932</v>
      </c>
      <c r="U7512">
        <v>0.1109619</v>
      </c>
      <c r="V7512">
        <v>0.34133819999999998</v>
      </c>
      <c r="W7512">
        <v>0.17512610000000001</v>
      </c>
      <c r="X7512">
        <v>0.92348209999999997</v>
      </c>
      <c r="Y7512">
        <v>0.50211320000000004</v>
      </c>
      <c r="Z7512">
        <v>-5.2819600000000001E-2</v>
      </c>
      <c r="AA7512">
        <v>0.86318739999999905</v>
      </c>
      <c r="AB7512">
        <v>24</v>
      </c>
      <c r="AC7512">
        <v>15.7355</v>
      </c>
      <c r="AD7512">
        <v>-1.101150262142</v>
      </c>
      <c r="AE7512">
        <v>0.49100000000001298</v>
      </c>
      <c r="AF7512">
        <v>7.9603742322347397</v>
      </c>
      <c r="AG7512">
        <v>-1.101150262142</v>
      </c>
      <c r="AH7512">
        <v>13.493409510387099</v>
      </c>
      <c r="AI7512">
        <v>94.020529037068201</v>
      </c>
      <c r="AJ7512">
        <v>59.461717779680498</v>
      </c>
      <c r="AK7512">
        <v>15.705164438236499</v>
      </c>
      <c r="AL7512">
        <v>79.914004114074203</v>
      </c>
      <c r="AM7512">
        <v>69.714638595763603</v>
      </c>
      <c r="AN7512">
        <v>1.0000000533504201</v>
      </c>
    </row>
    <row r="7513" spans="1:40" x14ac:dyDescent="0.25">
      <c r="A7513" t="str">
        <f>"20190312172554410"</f>
        <v>20190312172554410</v>
      </c>
      <c r="B7513" t="str">
        <f>"1552382754407810"</f>
        <v>1552382754407810</v>
      </c>
      <c r="C7513" t="s">
        <v>40</v>
      </c>
      <c r="D7513">
        <v>3.6968399999999999</v>
      </c>
      <c r="E7513">
        <v>0.56575959999999903</v>
      </c>
      <c r="F7513" t="s">
        <v>43</v>
      </c>
      <c r="G7513">
        <v>-161.68379999999999</v>
      </c>
      <c r="H7513" s="1">
        <v>-5.0298700000000003E-6</v>
      </c>
      <c r="I7513">
        <v>133.31200000000001</v>
      </c>
      <c r="J7513">
        <v>-176.8203</v>
      </c>
      <c r="K7513">
        <v>1.1011770000000001</v>
      </c>
      <c r="L7513">
        <v>132.75069999999999</v>
      </c>
      <c r="M7513">
        <v>0.85084219999999899</v>
      </c>
      <c r="N7513">
        <v>0</v>
      </c>
      <c r="O7513">
        <v>0.52518779999999998</v>
      </c>
      <c r="P7513">
        <v>0.9646496</v>
      </c>
      <c r="Q7513">
        <v>0.1684156</v>
      </c>
      <c r="R7513">
        <v>0.20270009999999999</v>
      </c>
      <c r="S7513">
        <v>3.1254119999999999</v>
      </c>
      <c r="T7513">
        <v>-0.2248607</v>
      </c>
      <c r="U7513">
        <v>0.13348389999999999</v>
      </c>
      <c r="V7513">
        <v>0.33832060000000003</v>
      </c>
      <c r="W7513">
        <v>0.1751819</v>
      </c>
      <c r="X7513">
        <v>0.92458119999999999</v>
      </c>
      <c r="Y7513">
        <v>0.48597829999999897</v>
      </c>
      <c r="Z7513">
        <v>-5.3550479999999998E-2</v>
      </c>
      <c r="AA7513">
        <v>0.87232880000000002</v>
      </c>
      <c r="AB7513">
        <v>24</v>
      </c>
      <c r="AC7513">
        <v>15.1365</v>
      </c>
      <c r="AD7513">
        <v>-1.1011820298699999</v>
      </c>
      <c r="AE7513">
        <v>0.56130000000001701</v>
      </c>
      <c r="AF7513">
        <v>7.4335554547494498</v>
      </c>
      <c r="AG7513">
        <v>-1.1011820298699999</v>
      </c>
      <c r="AH7513">
        <v>13.105908279977401</v>
      </c>
      <c r="AI7513">
        <v>94.179995069196806</v>
      </c>
      <c r="AJ7513">
        <v>60.438475458244298</v>
      </c>
      <c r="AK7513">
        <v>15.107454464764199</v>
      </c>
      <c r="AL7513">
        <v>79.910755867650707</v>
      </c>
      <c r="AM7513">
        <v>69.901534154657398</v>
      </c>
      <c r="AN7513">
        <v>0.99999996093270405</v>
      </c>
    </row>
    <row r="7514" spans="1:40" x14ac:dyDescent="0.25">
      <c r="A7514" t="str">
        <f>"20190312172554424"</f>
        <v>20190312172554424</v>
      </c>
      <c r="B7514" t="str">
        <f>"1552382754417570"</f>
        <v>1552382754417570</v>
      </c>
      <c r="C7514" t="s">
        <v>40</v>
      </c>
      <c r="D7514">
        <v>3.672329</v>
      </c>
      <c r="E7514">
        <v>0.56575959999999903</v>
      </c>
      <c r="F7514" t="s">
        <v>43</v>
      </c>
      <c r="G7514">
        <v>-161.77180000000001</v>
      </c>
      <c r="H7514" s="1">
        <v>-4.9880520000000001E-6</v>
      </c>
      <c r="I7514">
        <v>133.31319999999999</v>
      </c>
      <c r="J7514">
        <v>-176.68809999999999</v>
      </c>
      <c r="K7514">
        <v>1.101197</v>
      </c>
      <c r="L7514">
        <v>132.82149999999999</v>
      </c>
      <c r="M7514">
        <v>0.85538689999999995</v>
      </c>
      <c r="N7514">
        <v>0</v>
      </c>
      <c r="O7514">
        <v>0.51775280000000001</v>
      </c>
      <c r="P7514">
        <v>0.96596570000000004</v>
      </c>
      <c r="Q7514">
        <v>0.16862070000000001</v>
      </c>
      <c r="R7514">
        <v>0.19615640000000001</v>
      </c>
      <c r="S7514">
        <v>3.1253199999999999</v>
      </c>
      <c r="T7514">
        <v>-0.2286975</v>
      </c>
      <c r="U7514">
        <v>0.1168365</v>
      </c>
      <c r="V7514">
        <v>0.33650370000000002</v>
      </c>
      <c r="W7514">
        <v>0.1754481</v>
      </c>
      <c r="X7514">
        <v>0.92519359999999995</v>
      </c>
      <c r="Y7514">
        <v>0.48294399999999998</v>
      </c>
      <c r="Z7514">
        <v>-5.3902800000000001E-2</v>
      </c>
      <c r="AA7514">
        <v>0.87399059999999995</v>
      </c>
      <c r="AB7514">
        <v>24</v>
      </c>
      <c r="AC7514">
        <v>14.9162999999999</v>
      </c>
      <c r="AD7514">
        <v>-1.1012019880519901</v>
      </c>
      <c r="AE7514">
        <v>0.49170000000000802</v>
      </c>
      <c r="AF7514">
        <v>7.2637124606500398</v>
      </c>
      <c r="AG7514">
        <v>-1.1012019880519901</v>
      </c>
      <c r="AH7514">
        <v>12.944907391173</v>
      </c>
      <c r="AI7514">
        <v>94.242832003243194</v>
      </c>
      <c r="AJ7514">
        <v>60.702123275887502</v>
      </c>
      <c r="AK7514">
        <v>14.884380803229201</v>
      </c>
      <c r="AL7514">
        <v>79.895264058387099</v>
      </c>
      <c r="AM7514">
        <v>70.013083254583506</v>
      </c>
      <c r="AN7514">
        <v>0.99999998669412904</v>
      </c>
    </row>
    <row r="7515" spans="1:40" x14ac:dyDescent="0.25">
      <c r="A7515" t="str">
        <f>"20190312172554436"</f>
        <v>20190312172554436</v>
      </c>
      <c r="B7515" t="str">
        <f>"1552382754427330"</f>
        <v>1552382754427330</v>
      </c>
      <c r="C7515" t="s">
        <v>40</v>
      </c>
      <c r="D7515">
        <v>3.7034069999999999</v>
      </c>
      <c r="E7515">
        <v>0.5607569</v>
      </c>
      <c r="F7515" t="s">
        <v>43</v>
      </c>
      <c r="G7515">
        <v>-161.58070000000001</v>
      </c>
      <c r="H7515" s="1">
        <v>-5.0838280000000003E-6</v>
      </c>
      <c r="I7515">
        <v>133.28270000000001</v>
      </c>
      <c r="J7515">
        <v>-176.5675</v>
      </c>
      <c r="K7515">
        <v>1.10121</v>
      </c>
      <c r="L7515">
        <v>132.88460000000001</v>
      </c>
      <c r="M7515">
        <v>0.85945439999999995</v>
      </c>
      <c r="N7515">
        <v>0</v>
      </c>
      <c r="O7515">
        <v>0.5109726</v>
      </c>
      <c r="P7515">
        <v>0.96697569999999999</v>
      </c>
      <c r="Q7515">
        <v>0.16860410000000001</v>
      </c>
      <c r="R7515">
        <v>0.19112960000000001</v>
      </c>
      <c r="S7515">
        <v>3.126099</v>
      </c>
      <c r="T7515">
        <v>-0.22786619999999999</v>
      </c>
      <c r="U7515">
        <v>9.5428470000000001E-2</v>
      </c>
      <c r="V7515">
        <v>0.33398630000000001</v>
      </c>
      <c r="W7515">
        <v>0.175512</v>
      </c>
      <c r="X7515">
        <v>0.92609330000000001</v>
      </c>
      <c r="Y7515">
        <v>0.48205049999999999</v>
      </c>
      <c r="Z7515">
        <v>-5.3255700000000003E-2</v>
      </c>
      <c r="AA7515">
        <v>0.87452339999999995</v>
      </c>
      <c r="AB7515">
        <v>24</v>
      </c>
      <c r="AC7515">
        <v>14.986799999999899</v>
      </c>
      <c r="AD7515">
        <v>-1.1012150838279999</v>
      </c>
      <c r="AE7515">
        <v>0.39809999999999901</v>
      </c>
      <c r="AF7515">
        <v>7.2773284204341504</v>
      </c>
      <c r="AG7515">
        <v>-1.1012150838279999</v>
      </c>
      <c r="AH7515">
        <v>13.0152713290443</v>
      </c>
      <c r="AI7515">
        <v>94.223591724733794</v>
      </c>
      <c r="AJ7515">
        <v>60.788800276081297</v>
      </c>
      <c r="AK7515">
        <v>14.952239677331001</v>
      </c>
      <c r="AL7515">
        <v>79.891545854717606</v>
      </c>
      <c r="AM7515">
        <v>70.168667398016794</v>
      </c>
      <c r="AN7515">
        <v>1.00000005551828</v>
      </c>
    </row>
    <row r="7516" spans="1:40" x14ac:dyDescent="0.25">
      <c r="A7516" t="str">
        <f>"20190312172554449"</f>
        <v>20190312172554449</v>
      </c>
      <c r="B7516" t="str">
        <f>"1552382754447826"</f>
        <v>1552382754447826</v>
      </c>
      <c r="C7516" t="s">
        <v>40</v>
      </c>
      <c r="D7516">
        <v>3.7133389999999999</v>
      </c>
      <c r="E7516">
        <v>0.56041750000000001</v>
      </c>
      <c r="F7516" t="s">
        <v>43</v>
      </c>
      <c r="G7516">
        <v>-161.81829999999999</v>
      </c>
      <c r="H7516" s="1">
        <v>-4.9428630000000002E-6</v>
      </c>
      <c r="I7516">
        <v>133.4442</v>
      </c>
      <c r="J7516">
        <v>-176.4306</v>
      </c>
      <c r="K7516">
        <v>1.101229</v>
      </c>
      <c r="L7516">
        <v>132.9546</v>
      </c>
      <c r="M7516">
        <v>0.86398509999999995</v>
      </c>
      <c r="N7516">
        <v>0</v>
      </c>
      <c r="O7516">
        <v>0.503274</v>
      </c>
      <c r="P7516">
        <v>0.96825450000000002</v>
      </c>
      <c r="Q7516">
        <v>0.16840720000000001</v>
      </c>
      <c r="R7516">
        <v>0.18472269999999999</v>
      </c>
      <c r="S7516">
        <v>3.1196440000000001</v>
      </c>
      <c r="T7516">
        <v>-0.2329214</v>
      </c>
      <c r="U7516">
        <v>0.11836240000000001</v>
      </c>
      <c r="V7516">
        <v>0.331843</v>
      </c>
      <c r="W7516">
        <v>0.1753866</v>
      </c>
      <c r="X7516">
        <v>0.92688720000000002</v>
      </c>
      <c r="Y7516">
        <v>0.46762900000000002</v>
      </c>
      <c r="Z7516">
        <v>-5.348373E-2</v>
      </c>
      <c r="AA7516">
        <v>0.88230529999999996</v>
      </c>
      <c r="AB7516">
        <v>24</v>
      </c>
      <c r="AC7516">
        <v>14.612299999999999</v>
      </c>
      <c r="AD7516">
        <v>-1.101233942863</v>
      </c>
      <c r="AE7516">
        <v>0.48959999999999498</v>
      </c>
      <c r="AF7516">
        <v>6.8927284390858503</v>
      </c>
      <c r="AG7516">
        <v>-1.101233942863</v>
      </c>
      <c r="AH7516">
        <v>12.8001705828488</v>
      </c>
      <c r="AI7516">
        <v>94.331799349959397</v>
      </c>
      <c r="AJ7516">
        <v>61.698102962405201</v>
      </c>
      <c r="AK7516">
        <v>14.579670383171401</v>
      </c>
      <c r="AL7516">
        <v>79.898843983360095</v>
      </c>
      <c r="AM7516">
        <v>70.301680184609793</v>
      </c>
      <c r="AN7516">
        <v>1.0000000588161899</v>
      </c>
    </row>
    <row r="7517" spans="1:40" x14ac:dyDescent="0.25">
      <c r="A7517" t="str">
        <f>"20190312172554462"</f>
        <v>20190312172554462</v>
      </c>
      <c r="B7517" t="str">
        <f>"1552382754457586"</f>
        <v>1552382754457586</v>
      </c>
      <c r="C7517" t="s">
        <v>40</v>
      </c>
      <c r="D7517">
        <v>3.7586840000000001</v>
      </c>
      <c r="E7517">
        <v>0.5600792</v>
      </c>
      <c r="F7517" t="s">
        <v>43</v>
      </c>
      <c r="G7517">
        <v>-162.06389999999999</v>
      </c>
      <c r="H7517" s="1">
        <v>-4.8321200000000004E-6</v>
      </c>
      <c r="I7517">
        <v>133.41399999999999</v>
      </c>
      <c r="J7517">
        <v>-176.3152</v>
      </c>
      <c r="K7517">
        <v>1.1012459999999999</v>
      </c>
      <c r="L7517">
        <v>133.01300000000001</v>
      </c>
      <c r="M7517">
        <v>0.86774490000000004</v>
      </c>
      <c r="N7517">
        <v>0</v>
      </c>
      <c r="O7517">
        <v>0.49676320000000002</v>
      </c>
      <c r="P7517">
        <v>0.96914619999999996</v>
      </c>
      <c r="Q7517">
        <v>0.16834739999999901</v>
      </c>
      <c r="R7517">
        <v>0.1800416</v>
      </c>
      <c r="S7517">
        <v>3.120911</v>
      </c>
      <c r="T7517">
        <v>-0.23922199999999999</v>
      </c>
      <c r="U7517">
        <v>9.9792480000000003E-2</v>
      </c>
      <c r="V7517">
        <v>0.32934219999999997</v>
      </c>
      <c r="W7517">
        <v>0.1754068</v>
      </c>
      <c r="X7517">
        <v>0.92777480000000001</v>
      </c>
      <c r="Y7517">
        <v>0.46612690000000001</v>
      </c>
      <c r="Z7517">
        <v>-5.4429430000000001E-2</v>
      </c>
      <c r="AA7517">
        <v>0.88304199999999999</v>
      </c>
      <c r="AB7517">
        <v>24</v>
      </c>
      <c r="AC7517">
        <v>14.251300000000001</v>
      </c>
      <c r="AD7517">
        <v>-1.1012508321200001</v>
      </c>
      <c r="AE7517">
        <v>0.40099999999998198</v>
      </c>
      <c r="AF7517">
        <v>6.6924503090501997</v>
      </c>
      <c r="AG7517">
        <v>-1.1012508321200001</v>
      </c>
      <c r="AH7517">
        <v>12.4926975083687</v>
      </c>
      <c r="AI7517">
        <v>94.443183658312293</v>
      </c>
      <c r="AJ7517">
        <v>61.821645849521303</v>
      </c>
      <c r="AK7517">
        <v>14.215102376344401</v>
      </c>
      <c r="AL7517">
        <v>79.897667323049404</v>
      </c>
      <c r="AM7517">
        <v>70.456116870638297</v>
      </c>
      <c r="AN7517">
        <v>0.99999995485105897</v>
      </c>
    </row>
    <row r="7518" spans="1:40" x14ac:dyDescent="0.25">
      <c r="A7518" t="str">
        <f>"20190312172554474"</f>
        <v>20190312172554474</v>
      </c>
      <c r="B7518" t="str">
        <f>"1552382754467346"</f>
        <v>1552382754467346</v>
      </c>
      <c r="C7518" t="s">
        <v>40</v>
      </c>
      <c r="D7518">
        <v>3.6792419999999999</v>
      </c>
      <c r="E7518">
        <v>0.56026089999999995</v>
      </c>
      <c r="F7518" t="s">
        <v>43</v>
      </c>
      <c r="G7518">
        <v>-162.28399999999999</v>
      </c>
      <c r="H7518" s="1">
        <v>-4.7299299999999998E-6</v>
      </c>
      <c r="I7518">
        <v>133.40360000000001</v>
      </c>
      <c r="J7518">
        <v>-176.1918</v>
      </c>
      <c r="K7518">
        <v>1.1012649999999999</v>
      </c>
      <c r="L7518">
        <v>133.0735</v>
      </c>
      <c r="M7518">
        <v>0.8716853</v>
      </c>
      <c r="N7518">
        <v>0</v>
      </c>
      <c r="O7518">
        <v>0.48981639999999999</v>
      </c>
      <c r="P7518">
        <v>0.97014900000000004</v>
      </c>
      <c r="Q7518">
        <v>0.1680873</v>
      </c>
      <c r="R7518">
        <v>0.1748073</v>
      </c>
      <c r="S7518">
        <v>3.1219480000000002</v>
      </c>
      <c r="T7518">
        <v>-0.245028</v>
      </c>
      <c r="U7518">
        <v>8.6914060000000001E-2</v>
      </c>
      <c r="V7518">
        <v>0.3269415</v>
      </c>
      <c r="W7518">
        <v>0.1752242</v>
      </c>
      <c r="X7518">
        <v>0.92865799999999998</v>
      </c>
      <c r="Y7518">
        <v>0.46261180000000002</v>
      </c>
      <c r="Z7518">
        <v>-5.5123520000000002E-2</v>
      </c>
      <c r="AA7518">
        <v>0.88484560000000001</v>
      </c>
      <c r="AB7518">
        <v>24</v>
      </c>
      <c r="AC7518">
        <v>13.9078</v>
      </c>
      <c r="AD7518">
        <v>-1.1012697299299901</v>
      </c>
      <c r="AE7518">
        <v>0.33010000000001499</v>
      </c>
      <c r="AF7518">
        <v>6.4846870354901203</v>
      </c>
      <c r="AG7518">
        <v>-1.1012697299299901</v>
      </c>
      <c r="AH7518">
        <v>12.2099026135316</v>
      </c>
      <c r="AI7518">
        <v>94.554414609098799</v>
      </c>
      <c r="AJ7518">
        <v>62.027200324443299</v>
      </c>
      <c r="AK7518">
        <v>13.8688746046044</v>
      </c>
      <c r="AL7518">
        <v>79.908294300757007</v>
      </c>
      <c r="AM7518">
        <v>70.604973547953406</v>
      </c>
      <c r="AN7518">
        <v>0.99999997282594399</v>
      </c>
    </row>
    <row r="7519" spans="1:40" x14ac:dyDescent="0.25">
      <c r="A7519" t="str">
        <f>"20190312172554488"</f>
        <v>20190312172554488</v>
      </c>
      <c r="B7519" t="str">
        <f>"1552382754478082"</f>
        <v>1552382754478082</v>
      </c>
      <c r="C7519" t="s">
        <v>40</v>
      </c>
      <c r="D7519">
        <v>3.734505</v>
      </c>
      <c r="E7519">
        <v>0.56026089999999995</v>
      </c>
      <c r="F7519" t="s">
        <v>43</v>
      </c>
      <c r="G7519">
        <v>-162.29830000000001</v>
      </c>
      <c r="H7519" s="1">
        <v>-4.7277669999999996E-6</v>
      </c>
      <c r="I7519">
        <v>133.3776</v>
      </c>
      <c r="J7519">
        <v>-176.05549999999999</v>
      </c>
      <c r="K7519">
        <v>1.1012869999999999</v>
      </c>
      <c r="L7519">
        <v>133.13919999999999</v>
      </c>
      <c r="M7519">
        <v>0.87595919999999905</v>
      </c>
      <c r="N7519">
        <v>0</v>
      </c>
      <c r="O7519">
        <v>0.48213159999999999</v>
      </c>
      <c r="P7519">
        <v>0.97088969999999997</v>
      </c>
      <c r="Q7519">
        <v>0.16718250000000001</v>
      </c>
      <c r="R7519">
        <v>0.171532399999999</v>
      </c>
      <c r="S7519">
        <v>3.1228790000000002</v>
      </c>
      <c r="T7519">
        <v>-0.24753510000000001</v>
      </c>
      <c r="U7519">
        <v>6.8359379999999997E-2</v>
      </c>
      <c r="V7519">
        <v>0.32193680000000002</v>
      </c>
      <c r="W7519">
        <v>0.1744735</v>
      </c>
      <c r="X7519">
        <v>0.93054590000000004</v>
      </c>
      <c r="Y7519">
        <v>0.46005639999999998</v>
      </c>
      <c r="Z7519">
        <v>-5.5046890000000001E-2</v>
      </c>
      <c r="AA7519">
        <v>0.88618169999999996</v>
      </c>
      <c r="AB7519">
        <v>24</v>
      </c>
      <c r="AC7519">
        <v>13.7571999999999</v>
      </c>
      <c r="AD7519">
        <v>-1.101291727767</v>
      </c>
      <c r="AE7519">
        <v>0.23840000000001199</v>
      </c>
      <c r="AF7519">
        <v>6.3838405135125198</v>
      </c>
      <c r="AG7519">
        <v>-1.101291727767</v>
      </c>
      <c r="AH7519">
        <v>12.0897225825509</v>
      </c>
      <c r="AI7519">
        <v>94.605390264741601</v>
      </c>
      <c r="AJ7519">
        <v>62.164215407689497</v>
      </c>
      <c r="AK7519">
        <v>13.715963520462299</v>
      </c>
      <c r="AL7519">
        <v>79.951979359253997</v>
      </c>
      <c r="AM7519">
        <v>70.916144068284297</v>
      </c>
      <c r="AN7519">
        <v>0.99999998870164997</v>
      </c>
    </row>
    <row r="7520" spans="1:40" x14ac:dyDescent="0.25">
      <c r="A7520" t="str">
        <f>"20190312172554577"</f>
        <v>20190312172554577</v>
      </c>
      <c r="B7520" t="str">
        <f>"1552382754567874"</f>
        <v>1552382754567874</v>
      </c>
      <c r="C7520" t="s">
        <v>40</v>
      </c>
      <c r="D7520">
        <v>3.439746</v>
      </c>
      <c r="E7520">
        <v>0.55889829999999996</v>
      </c>
      <c r="F7520" t="s">
        <v>43</v>
      </c>
      <c r="G7520">
        <v>-162.27950000000001</v>
      </c>
      <c r="H7520" s="1">
        <v>-4.7347039999999999E-6</v>
      </c>
      <c r="I7520">
        <v>133.3886</v>
      </c>
      <c r="J7520">
        <v>-175.15620000000001</v>
      </c>
      <c r="K7520">
        <v>1.1015790000000001</v>
      </c>
      <c r="L7520">
        <v>133.53729999999999</v>
      </c>
      <c r="M7520">
        <v>0.90191299999999996</v>
      </c>
      <c r="N7520">
        <v>0</v>
      </c>
      <c r="O7520">
        <v>0.43163649999999998</v>
      </c>
      <c r="P7520">
        <v>0.97591499999999998</v>
      </c>
      <c r="Q7520">
        <v>0.1698443</v>
      </c>
      <c r="R7520">
        <v>0.13690559999999999</v>
      </c>
      <c r="S7520">
        <v>3.1229550000000001</v>
      </c>
      <c r="T7520">
        <v>-0.24965799999999999</v>
      </c>
      <c r="U7520">
        <v>5.6533809999999997E-2</v>
      </c>
      <c r="V7520">
        <v>0.30181599999999997</v>
      </c>
      <c r="W7520">
        <v>0.1778178</v>
      </c>
      <c r="X7520">
        <v>0.93663649999999998</v>
      </c>
      <c r="Y7520">
        <v>0.41267520000000002</v>
      </c>
      <c r="Z7520">
        <v>-4.9998140000000003E-2</v>
      </c>
      <c r="AA7520">
        <v>0.90950500000000001</v>
      </c>
      <c r="AB7520">
        <v>24</v>
      </c>
      <c r="AC7520">
        <v>12.8767</v>
      </c>
      <c r="AD7520">
        <v>-1.1015837347040001</v>
      </c>
      <c r="AE7520">
        <v>-0.14869999999999001</v>
      </c>
      <c r="AF7520">
        <v>5.6515041637229002</v>
      </c>
      <c r="AG7520">
        <v>-1.1015837347040001</v>
      </c>
      <c r="AH7520">
        <v>11.466970988385</v>
      </c>
      <c r="AI7520">
        <v>94.924947256066204</v>
      </c>
      <c r="AJ7520">
        <v>63.763586878789503</v>
      </c>
      <c r="AK7520">
        <v>12.8313837790632</v>
      </c>
      <c r="AL7520">
        <v>79.757321452009506</v>
      </c>
      <c r="AM7520">
        <v>72.139301567811899</v>
      </c>
      <c r="AN7520">
        <v>1.00000000049254</v>
      </c>
    </row>
    <row r="7521" spans="1:40" x14ac:dyDescent="0.25">
      <c r="A7521" t="str">
        <f>"20190312172554600"</f>
        <v>20190312172554600</v>
      </c>
      <c r="B7521" t="str">
        <f>"1552382754598131"</f>
        <v>1552382754598131</v>
      </c>
      <c r="C7521" t="s">
        <v>40</v>
      </c>
      <c r="D7521">
        <v>3.711589</v>
      </c>
      <c r="E7521">
        <v>0.54718059999999902</v>
      </c>
      <c r="F7521" t="s">
        <v>43</v>
      </c>
      <c r="G7521">
        <v>-163.71199999999999</v>
      </c>
      <c r="H7521" s="1">
        <v>-4.0599989999999999E-6</v>
      </c>
      <c r="I7521">
        <v>133.37479999999999</v>
      </c>
      <c r="J7521">
        <v>-174.9341</v>
      </c>
      <c r="K7521">
        <v>1.1017129999999999</v>
      </c>
      <c r="L7521">
        <v>133.6267</v>
      </c>
      <c r="M7521">
        <v>0.90769370000000005</v>
      </c>
      <c r="N7521">
        <v>0</v>
      </c>
      <c r="O7521">
        <v>0.41934470000000001</v>
      </c>
      <c r="P7521">
        <v>0.97687999999999997</v>
      </c>
      <c r="Q7521">
        <v>0.17038789999999901</v>
      </c>
      <c r="R7521">
        <v>0.1291262</v>
      </c>
      <c r="S7521">
        <v>3.1327669999999999</v>
      </c>
      <c r="T7521">
        <v>-0.30154880000000001</v>
      </c>
      <c r="U7521">
        <v>-4.449463E-2</v>
      </c>
      <c r="V7521">
        <v>0.29645529999999998</v>
      </c>
      <c r="W7521">
        <v>0.17856569999999999</v>
      </c>
      <c r="X7521">
        <v>0.93820499999999996</v>
      </c>
      <c r="Y7521">
        <v>0.42841570000000001</v>
      </c>
      <c r="Z7521">
        <v>-5.9899319999999999E-2</v>
      </c>
      <c r="AA7521">
        <v>0.90159420000000001</v>
      </c>
      <c r="AB7521">
        <v>24</v>
      </c>
      <c r="AC7521">
        <v>11.2220999999999</v>
      </c>
      <c r="AD7521">
        <v>-1.101717059999</v>
      </c>
      <c r="AE7521">
        <v>-0.25190000000000601</v>
      </c>
      <c r="AF7521">
        <v>4.8880856301058202</v>
      </c>
      <c r="AG7521">
        <v>-1.101717059999</v>
      </c>
      <c r="AH7521">
        <v>9.9856233013865108</v>
      </c>
      <c r="AI7521">
        <v>95.659229347204302</v>
      </c>
      <c r="AJ7521">
        <v>63.917682385389298</v>
      </c>
      <c r="AK7521">
        <v>11.172279728181399</v>
      </c>
      <c r="AL7521">
        <v>79.713773368893897</v>
      </c>
      <c r="AM7521">
        <v>72.464434411181301</v>
      </c>
      <c r="AN7521">
        <v>1.00000003806978</v>
      </c>
    </row>
    <row r="7522" spans="1:40" x14ac:dyDescent="0.25">
      <c r="A7522" t="str">
        <f>"20190312172554611"</f>
        <v>20190312172554611</v>
      </c>
      <c r="B7522" t="str">
        <f>"1552382754607891"</f>
        <v>1552382754607891</v>
      </c>
      <c r="C7522" t="s">
        <v>40</v>
      </c>
      <c r="D7522">
        <v>3.795099</v>
      </c>
      <c r="E7522">
        <v>0.54495179999999999</v>
      </c>
      <c r="F7522" t="s">
        <v>43</v>
      </c>
      <c r="G7522">
        <v>-161.1891</v>
      </c>
      <c r="H7522" s="1">
        <v>-5.1906620000000003E-6</v>
      </c>
      <c r="I7522">
        <v>133.72380000000001</v>
      </c>
      <c r="J7522">
        <v>-174.81729999999999</v>
      </c>
      <c r="K7522">
        <v>1.1017950000000001</v>
      </c>
      <c r="L7522">
        <v>133.6721</v>
      </c>
      <c r="M7522">
        <v>0.91061409999999998</v>
      </c>
      <c r="N7522">
        <v>0</v>
      </c>
      <c r="O7522">
        <v>0.41296559999999999</v>
      </c>
      <c r="P7522">
        <v>0.97742490000000004</v>
      </c>
      <c r="Q7522">
        <v>0.17081979999999999</v>
      </c>
      <c r="R7522">
        <v>0.1243442</v>
      </c>
      <c r="S7522">
        <v>3.1116030000000001</v>
      </c>
      <c r="T7522">
        <v>-0.24940909999999999</v>
      </c>
      <c r="U7522">
        <v>2.1972660000000001E-2</v>
      </c>
      <c r="V7522">
        <v>0.2944001</v>
      </c>
      <c r="W7522">
        <v>0.17909159999999999</v>
      </c>
      <c r="X7522">
        <v>0.93875169999999997</v>
      </c>
      <c r="Y7522">
        <v>0.40401789999999999</v>
      </c>
      <c r="Z7522">
        <v>-4.8432160000000002E-2</v>
      </c>
      <c r="AA7522">
        <v>0.91346810000000001</v>
      </c>
      <c r="AB7522">
        <v>24</v>
      </c>
      <c r="AC7522">
        <v>13.6281999999999</v>
      </c>
      <c r="AD7522">
        <v>-1.1018001906620001</v>
      </c>
      <c r="AE7522">
        <v>5.1700000000010897E-2</v>
      </c>
      <c r="AF7522">
        <v>5.5453275764915402</v>
      </c>
      <c r="AG7522">
        <v>-1.1018001906620001</v>
      </c>
      <c r="AH7522">
        <v>12.352146415965301</v>
      </c>
      <c r="AI7522">
        <v>94.652189071720898</v>
      </c>
      <c r="AJ7522">
        <v>65.822954620366204</v>
      </c>
      <c r="AK7522">
        <v>13.584555299022</v>
      </c>
      <c r="AL7522">
        <v>79.683147311950194</v>
      </c>
      <c r="AM7522">
        <v>72.588154756009203</v>
      </c>
      <c r="AN7522">
        <v>0.999999987161729</v>
      </c>
    </row>
    <row r="7523" spans="1:40" x14ac:dyDescent="0.25">
      <c r="A7523" t="str">
        <f>"20190312172554622"</f>
        <v>20190312172554622</v>
      </c>
      <c r="B7523" t="str">
        <f>"1552382754617651"</f>
        <v>1552382754617651</v>
      </c>
      <c r="C7523" t="s">
        <v>40</v>
      </c>
      <c r="D7523">
        <v>3.8295689999999998</v>
      </c>
      <c r="E7523">
        <v>0.54293319999999901</v>
      </c>
      <c r="F7523" t="s">
        <v>43</v>
      </c>
      <c r="G7523">
        <v>-160.54519999999999</v>
      </c>
      <c r="H7523" s="1">
        <v>-5.484423E-6</v>
      </c>
      <c r="I7523">
        <v>133.78370000000001</v>
      </c>
      <c r="J7523">
        <v>-174.70339999999999</v>
      </c>
      <c r="K7523">
        <v>1.1018829999999999</v>
      </c>
      <c r="L7523">
        <v>133.71600000000001</v>
      </c>
      <c r="M7523">
        <v>0.9134061</v>
      </c>
      <c r="N7523">
        <v>0</v>
      </c>
      <c r="O7523">
        <v>0.40675319999999998</v>
      </c>
      <c r="P7523">
        <v>0.97783249999999999</v>
      </c>
      <c r="Q7523">
        <v>0.171075</v>
      </c>
      <c r="R7523">
        <v>0.1207358</v>
      </c>
      <c r="S7523">
        <v>3.108139</v>
      </c>
      <c r="T7523">
        <v>-0.23994799999999999</v>
      </c>
      <c r="U7523">
        <v>2.4291989999999999E-2</v>
      </c>
      <c r="V7523">
        <v>0.2914118</v>
      </c>
      <c r="W7523">
        <v>0.1794674</v>
      </c>
      <c r="X7523">
        <v>0.93961190000000006</v>
      </c>
      <c r="Y7523">
        <v>0.39731460000000002</v>
      </c>
      <c r="Z7523">
        <v>-4.5949249999999997E-2</v>
      </c>
      <c r="AA7523">
        <v>0.9165314</v>
      </c>
      <c r="AB7523">
        <v>24</v>
      </c>
      <c r="AC7523">
        <v>14.1581999999999</v>
      </c>
      <c r="AD7523">
        <v>-1.1018884844229999</v>
      </c>
      <c r="AE7523">
        <v>6.7700000000001995E-2</v>
      </c>
      <c r="AF7523">
        <v>5.6634397562404502</v>
      </c>
      <c r="AG7523">
        <v>-1.1018884844229999</v>
      </c>
      <c r="AH7523">
        <v>12.883253836291001</v>
      </c>
      <c r="AI7523">
        <v>94.476975083684195</v>
      </c>
      <c r="AJ7523">
        <v>66.269853313751398</v>
      </c>
      <c r="AK7523">
        <v>14.116194158305399</v>
      </c>
      <c r="AL7523">
        <v>79.661260609423394</v>
      </c>
      <c r="AM7523">
        <v>72.769214514306498</v>
      </c>
      <c r="AN7523">
        <v>0.99999995373180395</v>
      </c>
    </row>
    <row r="7524" spans="1:40" x14ac:dyDescent="0.25">
      <c r="A7524" t="str">
        <f>"20190312172554634"</f>
        <v>20190312172554634</v>
      </c>
      <c r="B7524" t="str">
        <f>"1552382754628387"</f>
        <v>1552382754628387</v>
      </c>
      <c r="C7524" t="s">
        <v>40</v>
      </c>
      <c r="D7524">
        <v>3.9948619999999999</v>
      </c>
      <c r="E7524">
        <v>0.54135580000000005</v>
      </c>
      <c r="F7524" t="s">
        <v>43</v>
      </c>
      <c r="G7524">
        <v>-159.56950000000001</v>
      </c>
      <c r="H7524" s="1">
        <v>-1.6652439999999999E-6</v>
      </c>
      <c r="I7524">
        <v>133.85579999999999</v>
      </c>
      <c r="J7524">
        <v>-174.57900000000001</v>
      </c>
      <c r="K7524">
        <v>1.1019950000000001</v>
      </c>
      <c r="L7524">
        <v>133.76249999999999</v>
      </c>
      <c r="M7524">
        <v>0.91634879999999996</v>
      </c>
      <c r="N7524">
        <v>0</v>
      </c>
      <c r="O7524">
        <v>0.40008090000000002</v>
      </c>
      <c r="P7524">
        <v>0.97844039999999999</v>
      </c>
      <c r="Q7524">
        <v>0.1710632</v>
      </c>
      <c r="R7524">
        <v>0.11572440000000001</v>
      </c>
      <c r="S7524">
        <v>3.1040040000000002</v>
      </c>
      <c r="T7524">
        <v>-0.22599939999999999</v>
      </c>
      <c r="U7524">
        <v>2.868652E-2</v>
      </c>
      <c r="V7524">
        <v>0.2893194</v>
      </c>
      <c r="W7524">
        <v>0.17956449999999999</v>
      </c>
      <c r="X7524">
        <v>0.94023979999999996</v>
      </c>
      <c r="Y7524">
        <v>0.38960050000000002</v>
      </c>
      <c r="Z7524">
        <v>-4.2609710000000002E-2</v>
      </c>
      <c r="AA7524">
        <v>0.91999779999999998</v>
      </c>
      <c r="AB7524">
        <v>24</v>
      </c>
      <c r="AC7524">
        <v>15.009499999999999</v>
      </c>
      <c r="AD7524">
        <v>-1.1019966652439901</v>
      </c>
      <c r="AE7524">
        <v>9.3299999999999203E-2</v>
      </c>
      <c r="AF7524">
        <v>5.8884892342985502</v>
      </c>
      <c r="AG7524">
        <v>-1.1019966652439901</v>
      </c>
      <c r="AH7524">
        <v>13.7189720459789</v>
      </c>
      <c r="AI7524">
        <v>94.221590244932401</v>
      </c>
      <c r="AJ7524">
        <v>66.769909684882094</v>
      </c>
      <c r="AK7524">
        <v>14.969933069690301</v>
      </c>
      <c r="AL7524">
        <v>79.655605836379607</v>
      </c>
      <c r="AM7524">
        <v>72.896444591560297</v>
      </c>
      <c r="AN7524">
        <v>1.00000000319032</v>
      </c>
    </row>
    <row r="7525" spans="1:40" x14ac:dyDescent="0.25">
      <c r="A7525" t="str">
        <f>"20190312172554646"</f>
        <v>20190312172554646</v>
      </c>
      <c r="B7525" t="str">
        <f>"1552382754638147"</f>
        <v>1552382754638147</v>
      </c>
      <c r="C7525" t="s">
        <v>40</v>
      </c>
      <c r="D7525">
        <v>4.2279460000000002</v>
      </c>
      <c r="E7525">
        <v>0.53997340000000005</v>
      </c>
      <c r="F7525" t="s">
        <v>43</v>
      </c>
      <c r="G7525">
        <v>-158.4288</v>
      </c>
      <c r="H7525" s="1">
        <v>-2.0429739999999999E-6</v>
      </c>
      <c r="I7525">
        <v>133.89519999999999</v>
      </c>
      <c r="J7525">
        <v>-174.45699999999999</v>
      </c>
      <c r="K7525">
        <v>1.1021110000000001</v>
      </c>
      <c r="L7525">
        <v>133.8075</v>
      </c>
      <c r="M7525">
        <v>0.91915979999999997</v>
      </c>
      <c r="N7525">
        <v>0</v>
      </c>
      <c r="O7525">
        <v>0.39358080000000001</v>
      </c>
      <c r="P7525">
        <v>0.97908569999999995</v>
      </c>
      <c r="Q7525">
        <v>0.170492899999999</v>
      </c>
      <c r="R7525">
        <v>0.1110105</v>
      </c>
      <c r="S7525">
        <v>3.100082</v>
      </c>
      <c r="T7525">
        <v>-0.211531</v>
      </c>
      <c r="U7525">
        <v>2.5466920000000001E-2</v>
      </c>
      <c r="V7525">
        <v>0.28715930000000001</v>
      </c>
      <c r="W7525">
        <v>0.1791066</v>
      </c>
      <c r="X7525">
        <v>0.94098899999999996</v>
      </c>
      <c r="Y7525">
        <v>0.38429449999999998</v>
      </c>
      <c r="Z7525">
        <v>-3.9347060000000003E-2</v>
      </c>
      <c r="AA7525">
        <v>0.92237170000000002</v>
      </c>
      <c r="AB7525">
        <v>24</v>
      </c>
      <c r="AC7525">
        <v>16.028199999999998</v>
      </c>
      <c r="AD7525">
        <v>-1.102113042974</v>
      </c>
      <c r="AE7525">
        <v>8.7699999999983902E-2</v>
      </c>
      <c r="AF7525">
        <v>6.1992177307057199</v>
      </c>
      <c r="AG7525">
        <v>-1.102113042974</v>
      </c>
      <c r="AH7525">
        <v>14.699265291378699</v>
      </c>
      <c r="AI7525">
        <v>93.951995955564598</v>
      </c>
      <c r="AJ7525">
        <v>67.133068232420399</v>
      </c>
      <c r="AK7525">
        <v>15.991039795414199</v>
      </c>
      <c r="AL7525">
        <v>79.682273550071997</v>
      </c>
      <c r="AM7525">
        <v>73.029512073028698</v>
      </c>
      <c r="AN7525">
        <v>0.99999996793052404</v>
      </c>
    </row>
    <row r="7526" spans="1:40" x14ac:dyDescent="0.25">
      <c r="A7526" t="str">
        <f>"20190312172554658"</f>
        <v>20190312172554658</v>
      </c>
      <c r="B7526" t="str">
        <f>"1552382754647906"</f>
        <v>1552382754647906</v>
      </c>
      <c r="C7526" t="s">
        <v>40</v>
      </c>
      <c r="D7526">
        <v>3.7483789999999999</v>
      </c>
      <c r="E7526">
        <v>0.53874949999999999</v>
      </c>
      <c r="F7526" t="s">
        <v>43</v>
      </c>
      <c r="G7526">
        <v>-157.19280000000001</v>
      </c>
      <c r="H7526" s="1">
        <v>-2.455238E-6</v>
      </c>
      <c r="I7526">
        <v>133.9265</v>
      </c>
      <c r="J7526">
        <v>-174.32929999999999</v>
      </c>
      <c r="K7526">
        <v>1.1022369999999999</v>
      </c>
      <c r="L7526">
        <v>133.8536</v>
      </c>
      <c r="M7526">
        <v>0.92201569999999999</v>
      </c>
      <c r="N7526">
        <v>0</v>
      </c>
      <c r="O7526">
        <v>0.38684410000000002</v>
      </c>
      <c r="P7526">
        <v>0.97968420000000001</v>
      </c>
      <c r="Q7526">
        <v>0.17023250000000001</v>
      </c>
      <c r="R7526">
        <v>0.1060184</v>
      </c>
      <c r="S7526">
        <v>3.096069</v>
      </c>
      <c r="T7526">
        <v>-0.19764660000000001</v>
      </c>
      <c r="U7526">
        <v>2.1362300000000001E-2</v>
      </c>
      <c r="V7526">
        <v>0.28501979999999999</v>
      </c>
      <c r="W7526">
        <v>0.1789617</v>
      </c>
      <c r="X7526">
        <v>0.94166680000000003</v>
      </c>
      <c r="Y7526">
        <v>0.37899280000000002</v>
      </c>
      <c r="Z7526">
        <v>-3.624898E-2</v>
      </c>
      <c r="AA7526">
        <v>0.92468939999999999</v>
      </c>
      <c r="AB7526">
        <v>24</v>
      </c>
      <c r="AC7526">
        <v>17.136499999999899</v>
      </c>
      <c r="AD7526">
        <v>-1.1022394552379999</v>
      </c>
      <c r="AE7526">
        <v>7.29000000000041E-2</v>
      </c>
      <c r="AF7526">
        <v>6.5356832437511097</v>
      </c>
      <c r="AG7526">
        <v>-1.1022394552379999</v>
      </c>
      <c r="AH7526">
        <v>15.7649904480727</v>
      </c>
      <c r="AI7526">
        <v>93.695411195975495</v>
      </c>
      <c r="AJ7526">
        <v>67.482598047848001</v>
      </c>
      <c r="AK7526">
        <v>17.101608436259902</v>
      </c>
      <c r="AL7526">
        <v>79.690712065541007</v>
      </c>
      <c r="AM7526">
        <v>73.1602036288932</v>
      </c>
      <c r="AN7526">
        <v>0.99999996934058399</v>
      </c>
    </row>
    <row r="7527" spans="1:40" x14ac:dyDescent="0.25">
      <c r="A7527" t="str">
        <f>"20190312172554678"</f>
        <v>20190312172554678</v>
      </c>
      <c r="B7527" t="str">
        <f>"1552382754667427"</f>
        <v>1552382754667427</v>
      </c>
      <c r="C7527" t="s">
        <v>40</v>
      </c>
      <c r="D7527">
        <v>3.740094</v>
      </c>
      <c r="E7527">
        <v>0.53652900000000003</v>
      </c>
      <c r="F7527" t="s">
        <v>43</v>
      </c>
      <c r="G7527">
        <v>-157.1996</v>
      </c>
      <c r="H7527" s="1">
        <v>-2.44956E-6</v>
      </c>
      <c r="I7527">
        <v>133.9391</v>
      </c>
      <c r="J7527">
        <v>-174.1353</v>
      </c>
      <c r="K7527">
        <v>1.1024419999999999</v>
      </c>
      <c r="L7527">
        <v>133.92179999999999</v>
      </c>
      <c r="M7527">
        <v>0.92616430000000005</v>
      </c>
      <c r="N7527">
        <v>0</v>
      </c>
      <c r="O7527">
        <v>0.37680550000000002</v>
      </c>
      <c r="P7527">
        <v>0.98035760000000005</v>
      </c>
      <c r="Q7527">
        <v>0.16951229999999901</v>
      </c>
      <c r="R7527">
        <v>0.1008198</v>
      </c>
      <c r="S7527">
        <v>3.0951230000000001</v>
      </c>
      <c r="T7527">
        <v>-0.1991609</v>
      </c>
      <c r="U7527">
        <v>1.5457149999999999E-2</v>
      </c>
      <c r="V7527">
        <v>0.27970859999999997</v>
      </c>
      <c r="W7527">
        <v>0.1784724</v>
      </c>
      <c r="X7527">
        <v>0.94335080000000004</v>
      </c>
      <c r="Y7527">
        <v>0.37070439999999999</v>
      </c>
      <c r="Z7527">
        <v>-3.5668569999999997E-2</v>
      </c>
      <c r="AA7527">
        <v>0.92806569999999999</v>
      </c>
      <c r="AB7527">
        <v>24</v>
      </c>
      <c r="AC7527">
        <v>16.935699999999901</v>
      </c>
      <c r="AD7527">
        <v>-1.1024444495600001</v>
      </c>
      <c r="AE7527">
        <v>1.73000000000058E-2</v>
      </c>
      <c r="AF7527">
        <v>6.3393349288321303</v>
      </c>
      <c r="AG7527">
        <v>-1.1024444495600001</v>
      </c>
      <c r="AH7527">
        <v>15.6274010166424</v>
      </c>
      <c r="AI7527">
        <v>93.740200527189302</v>
      </c>
      <c r="AJ7527">
        <v>67.9198144552619</v>
      </c>
      <c r="AK7527">
        <v>16.9002430053308</v>
      </c>
      <c r="AL7527">
        <v>79.719206099642307</v>
      </c>
      <c r="AM7527">
        <v>73.484625758689305</v>
      </c>
      <c r="AN7527">
        <v>1.0000000151681701</v>
      </c>
    </row>
    <row r="7528" spans="1:40" x14ac:dyDescent="0.25">
      <c r="A7528" t="str">
        <f>"20190312172554701"</f>
        <v>20190312172554701</v>
      </c>
      <c r="B7528" t="str">
        <f>"1552382754697683"</f>
        <v>1552382754697683</v>
      </c>
      <c r="C7528" t="s">
        <v>40</v>
      </c>
      <c r="D7528">
        <v>3.762219</v>
      </c>
      <c r="E7528">
        <v>0.53375039999999996</v>
      </c>
      <c r="F7528" t="s">
        <v>43</v>
      </c>
      <c r="G7528">
        <v>-157.22499999999999</v>
      </c>
      <c r="H7528" s="1">
        <v>-2.4212869999999999E-6</v>
      </c>
      <c r="I7528">
        <v>134.0129</v>
      </c>
      <c r="J7528">
        <v>-173.9033</v>
      </c>
      <c r="K7528">
        <v>1.102722</v>
      </c>
      <c r="L7528">
        <v>134.00069999999999</v>
      </c>
      <c r="M7528">
        <v>0.9308497</v>
      </c>
      <c r="N7528">
        <v>0</v>
      </c>
      <c r="O7528">
        <v>0.36508010000000002</v>
      </c>
      <c r="P7528">
        <v>0.98114789999999996</v>
      </c>
      <c r="Q7528">
        <v>0.1689706</v>
      </c>
      <c r="R7528">
        <v>9.3796879999999999E-2</v>
      </c>
      <c r="S7528">
        <v>3.0932620000000002</v>
      </c>
      <c r="T7528">
        <v>-0.20166039999999999</v>
      </c>
      <c r="U7528">
        <v>1.6677859999999999E-2</v>
      </c>
      <c r="V7528">
        <v>0.27443800000000002</v>
      </c>
      <c r="W7528">
        <v>0.17818239999999999</v>
      </c>
      <c r="X7528">
        <v>0.94495229999999997</v>
      </c>
      <c r="Y7528">
        <v>0.35859059999999998</v>
      </c>
      <c r="Z7528">
        <v>-3.5023260000000001E-2</v>
      </c>
      <c r="AA7528">
        <v>0.93283769999999999</v>
      </c>
      <c r="AB7528">
        <v>24</v>
      </c>
      <c r="AC7528">
        <v>16.6783</v>
      </c>
      <c r="AD7528">
        <v>-1.102724421287</v>
      </c>
      <c r="AE7528">
        <v>1.2200000000007E-2</v>
      </c>
      <c r="AF7528">
        <v>6.0518188801453201</v>
      </c>
      <c r="AG7528">
        <v>-1.102724421287</v>
      </c>
      <c r="AH7528">
        <v>15.4636729292832</v>
      </c>
      <c r="AI7528">
        <v>93.799224345228097</v>
      </c>
      <c r="AJ7528">
        <v>68.6267544379523</v>
      </c>
      <c r="AK7528">
        <v>16.642286302405498</v>
      </c>
      <c r="AL7528">
        <v>79.736092557545703</v>
      </c>
      <c r="AM7528">
        <v>73.805369095301998</v>
      </c>
      <c r="AN7528">
        <v>1.00000001639452</v>
      </c>
    </row>
    <row r="7529" spans="1:40" x14ac:dyDescent="0.25">
      <c r="A7529" t="str">
        <f>"20190312172554724"</f>
        <v>20190312172554724</v>
      </c>
      <c r="B7529" t="str">
        <f>"1552382754718178"</f>
        <v>1552382754718178</v>
      </c>
      <c r="C7529" t="s">
        <v>40</v>
      </c>
      <c r="D7529">
        <v>3.9457239999999998</v>
      </c>
      <c r="E7529">
        <v>0.53197229999999995</v>
      </c>
      <c r="F7529" t="s">
        <v>43</v>
      </c>
      <c r="G7529">
        <v>-157.4564</v>
      </c>
      <c r="H7529" s="1">
        <v>-2.3221429999999999E-6</v>
      </c>
      <c r="I7529">
        <v>134.08959999999999</v>
      </c>
      <c r="J7529">
        <v>-173.66970000000001</v>
      </c>
      <c r="K7529">
        <v>1.103016</v>
      </c>
      <c r="L7529">
        <v>134.0771</v>
      </c>
      <c r="M7529">
        <v>0.9352454</v>
      </c>
      <c r="N7529">
        <v>0</v>
      </c>
      <c r="O7529">
        <v>0.3536704</v>
      </c>
      <c r="P7529">
        <v>0.98170400000000002</v>
      </c>
      <c r="Q7529">
        <v>0.1696482</v>
      </c>
      <c r="R7529">
        <v>8.6469110000000002E-2</v>
      </c>
      <c r="S7529">
        <v>3.0917659999999998</v>
      </c>
      <c r="T7529">
        <v>-0.20729449999999999</v>
      </c>
      <c r="U7529">
        <v>1.672363E-2</v>
      </c>
      <c r="V7529">
        <v>0.26976609999999901</v>
      </c>
      <c r="W7529">
        <v>0.179094899999999</v>
      </c>
      <c r="X7529">
        <v>0.94612430000000003</v>
      </c>
      <c r="Y7529">
        <v>0.3471012</v>
      </c>
      <c r="Z7529">
        <v>-3.4909900000000001E-2</v>
      </c>
      <c r="AA7529">
        <v>0.9371777</v>
      </c>
      <c r="AB7529">
        <v>24</v>
      </c>
      <c r="AC7529">
        <v>16.2133</v>
      </c>
      <c r="AD7529">
        <v>-1.1030183221430001</v>
      </c>
      <c r="AE7529">
        <v>1.24999999999886E-2</v>
      </c>
      <c r="AF7529">
        <v>5.6967749081403296</v>
      </c>
      <c r="AG7529">
        <v>-1.1030183221430001</v>
      </c>
      <c r="AH7529">
        <v>15.099718520159</v>
      </c>
      <c r="AI7529">
        <v>93.9098883430093</v>
      </c>
      <c r="AJ7529">
        <v>69.329667719703096</v>
      </c>
      <c r="AK7529">
        <v>16.176260172271999</v>
      </c>
      <c r="AL7529">
        <v>79.682954860844902</v>
      </c>
      <c r="AM7529">
        <v>74.085689430288497</v>
      </c>
      <c r="AN7529">
        <v>0.99999996148285397</v>
      </c>
    </row>
    <row r="7530" spans="1:40" x14ac:dyDescent="0.25">
      <c r="A7530" t="str">
        <f>"20190312172554736"</f>
        <v>20190312172554736</v>
      </c>
      <c r="B7530" t="str">
        <f>"1552382754727939"</f>
        <v>1552382754727939</v>
      </c>
      <c r="C7530" t="s">
        <v>40</v>
      </c>
      <c r="D7530">
        <v>3.7698610000000001</v>
      </c>
      <c r="E7530">
        <v>0.53123969999999998</v>
      </c>
      <c r="F7530" t="s">
        <v>43</v>
      </c>
      <c r="G7530">
        <v>-157.21850000000001</v>
      </c>
      <c r="H7530" s="1">
        <v>-2.3951269999999998E-6</v>
      </c>
      <c r="I7530">
        <v>134.11959999999999</v>
      </c>
      <c r="J7530">
        <v>-173.52610000000001</v>
      </c>
      <c r="K7530">
        <v>1.1032029999999999</v>
      </c>
      <c r="L7530">
        <v>134.12270000000001</v>
      </c>
      <c r="M7530">
        <v>0.93779760000000001</v>
      </c>
      <c r="N7530">
        <v>0</v>
      </c>
      <c r="O7530">
        <v>0.3468485</v>
      </c>
      <c r="P7530">
        <v>0.98209049999999998</v>
      </c>
      <c r="Q7530">
        <v>0.16989879999999999</v>
      </c>
      <c r="R7530">
        <v>8.1441250000000007E-2</v>
      </c>
      <c r="S7530">
        <v>3.0910340000000001</v>
      </c>
      <c r="T7530">
        <v>-0.20724580000000001</v>
      </c>
      <c r="U7530">
        <v>7.9956049999999994E-3</v>
      </c>
      <c r="V7530">
        <v>0.26761990000000002</v>
      </c>
      <c r="W7530">
        <v>0.1794721</v>
      </c>
      <c r="X7530">
        <v>0.94666220000000001</v>
      </c>
      <c r="Y7530">
        <v>0.34293800000000002</v>
      </c>
      <c r="Z7530">
        <v>-3.4340309999999999E-2</v>
      </c>
      <c r="AA7530">
        <v>0.93873010000000001</v>
      </c>
      <c r="AB7530">
        <v>24</v>
      </c>
      <c r="AC7530">
        <v>16.307600000000001</v>
      </c>
      <c r="AD7530">
        <v>-1.103205395127</v>
      </c>
      <c r="AE7530">
        <v>-3.1000000000176399E-3</v>
      </c>
      <c r="AF7530">
        <v>5.6340455650605099</v>
      </c>
      <c r="AG7530">
        <v>-1.103205395127</v>
      </c>
      <c r="AH7530">
        <v>15.2242517679566</v>
      </c>
      <c r="AI7530">
        <v>93.887807054667505</v>
      </c>
      <c r="AJ7530">
        <v>69.691976393644396</v>
      </c>
      <c r="AK7530">
        <v>16.270752086708999</v>
      </c>
      <c r="AL7530">
        <v>79.660987183104993</v>
      </c>
      <c r="AM7530">
        <v>74.214486654840897</v>
      </c>
      <c r="AN7530">
        <v>0.99999998323162997</v>
      </c>
    </row>
    <row r="7531" spans="1:40" x14ac:dyDescent="0.25">
      <c r="A7531" t="str">
        <f>"20190312172554749"</f>
        <v>20190312172554749</v>
      </c>
      <c r="B7531" t="str">
        <f>"1552382754737699"</f>
        <v>1552382754737699</v>
      </c>
      <c r="C7531" t="s">
        <v>40</v>
      </c>
      <c r="D7531">
        <v>3.7497020000000001</v>
      </c>
      <c r="E7531">
        <v>0.53057580000000004</v>
      </c>
      <c r="F7531" t="s">
        <v>43</v>
      </c>
      <c r="G7531">
        <v>-157.1865</v>
      </c>
      <c r="H7531" s="1">
        <v>-2.407292E-6</v>
      </c>
      <c r="I7531">
        <v>134.1148</v>
      </c>
      <c r="J7531">
        <v>-173.4074</v>
      </c>
      <c r="K7531">
        <v>1.103348</v>
      </c>
      <c r="L7531">
        <v>134.15969999999999</v>
      </c>
      <c r="M7531">
        <v>0.93982739999999998</v>
      </c>
      <c r="N7531">
        <v>0</v>
      </c>
      <c r="O7531">
        <v>0.34131149999999999</v>
      </c>
      <c r="P7531">
        <v>0.98240550000000004</v>
      </c>
      <c r="Q7531">
        <v>0.16974410000000001</v>
      </c>
      <c r="R7531">
        <v>7.7887490000000004E-2</v>
      </c>
      <c r="S7531">
        <v>3.0909119999999999</v>
      </c>
      <c r="T7531">
        <v>-0.20868909999999999</v>
      </c>
      <c r="U7531">
        <v>-1.495361E-3</v>
      </c>
      <c r="V7531">
        <v>0.2653973</v>
      </c>
      <c r="W7531">
        <v>0.17942610000000001</v>
      </c>
      <c r="X7531">
        <v>0.94729640000000004</v>
      </c>
      <c r="Y7531">
        <v>0.34027770000000002</v>
      </c>
      <c r="Z7531">
        <v>-3.4138679999999998E-2</v>
      </c>
      <c r="AA7531">
        <v>0.93970509999999996</v>
      </c>
      <c r="AB7531">
        <v>24</v>
      </c>
      <c r="AC7531">
        <v>16.2209</v>
      </c>
      <c r="AD7531">
        <v>-1.103350407292</v>
      </c>
      <c r="AE7531">
        <v>-4.4899999999984098E-2</v>
      </c>
      <c r="AF7531">
        <v>5.5535275244259497</v>
      </c>
      <c r="AG7531">
        <v>-1.103350407292</v>
      </c>
      <c r="AH7531">
        <v>15.161133679569099</v>
      </c>
      <c r="AI7531">
        <v>93.909215150140099</v>
      </c>
      <c r="AJ7531">
        <v>69.882203293778403</v>
      </c>
      <c r="AK7531">
        <v>16.1839125224895</v>
      </c>
      <c r="AL7531">
        <v>79.663666043974004</v>
      </c>
      <c r="AM7531">
        <v>74.349099342590407</v>
      </c>
      <c r="AN7531">
        <v>0.99999996083072895</v>
      </c>
    </row>
    <row r="7532" spans="1:40" x14ac:dyDescent="0.25">
      <c r="A7532" t="str">
        <f>"20190312172554767"</f>
        <v>20190312172554767</v>
      </c>
      <c r="B7532" t="str">
        <f>"1552382754758195"</f>
        <v>1552382754758195</v>
      </c>
      <c r="C7532" t="s">
        <v>40</v>
      </c>
      <c r="D7532">
        <v>3.7951959999999998</v>
      </c>
      <c r="E7532">
        <v>0.52925259999999996</v>
      </c>
      <c r="F7532" t="s">
        <v>43</v>
      </c>
      <c r="G7532">
        <v>-157.24700000000001</v>
      </c>
      <c r="H7532" s="1">
        <v>-2.3842080000000002E-6</v>
      </c>
      <c r="I7532">
        <v>134.1242</v>
      </c>
      <c r="J7532">
        <v>-173.21729999999999</v>
      </c>
      <c r="K7532">
        <v>1.1035759999999999</v>
      </c>
      <c r="L7532">
        <v>134.21770000000001</v>
      </c>
      <c r="M7532">
        <v>0.94294270000000002</v>
      </c>
      <c r="N7532">
        <v>0</v>
      </c>
      <c r="O7532">
        <v>0.33261099999999999</v>
      </c>
      <c r="P7532">
        <v>0.98297920000000005</v>
      </c>
      <c r="Q7532">
        <v>0.16829620000000001</v>
      </c>
      <c r="R7532">
        <v>7.3677989999999999E-2</v>
      </c>
      <c r="S7532">
        <v>3.0907290000000001</v>
      </c>
      <c r="T7532">
        <v>-0.21101880000000001</v>
      </c>
      <c r="U7532">
        <v>-6.7901609999999899E-3</v>
      </c>
      <c r="V7532">
        <v>0.26064199999999998</v>
      </c>
      <c r="W7532">
        <v>0.17817349999999901</v>
      </c>
      <c r="X7532">
        <v>0.94885189999999997</v>
      </c>
      <c r="Y7532">
        <v>0.3331925</v>
      </c>
      <c r="Z7532">
        <v>-3.3715450000000001E-2</v>
      </c>
      <c r="AA7532">
        <v>0.94225579999999998</v>
      </c>
      <c r="AB7532">
        <v>24</v>
      </c>
      <c r="AC7532">
        <v>15.9702999999999</v>
      </c>
      <c r="AD7532">
        <v>-1.103578384208</v>
      </c>
      <c r="AE7532">
        <v>-9.3500000000005898E-2</v>
      </c>
      <c r="AF7532">
        <v>5.3750157494722899</v>
      </c>
      <c r="AG7532">
        <v>-1.103578384208</v>
      </c>
      <c r="AH7532">
        <v>14.9582751346896</v>
      </c>
      <c r="AI7532">
        <v>93.9717113710267</v>
      </c>
      <c r="AJ7532">
        <v>70.2349154781013</v>
      </c>
      <c r="AK7532">
        <v>15.9329430602836</v>
      </c>
      <c r="AL7532">
        <v>79.736610489956604</v>
      </c>
      <c r="AM7532">
        <v>74.640157877504294</v>
      </c>
      <c r="AN7532">
        <v>0.99999998819992997</v>
      </c>
    </row>
    <row r="7533" spans="1:40" x14ac:dyDescent="0.25">
      <c r="A7533" t="str">
        <f>"20190312172554790"</f>
        <v>20190312172554790</v>
      </c>
      <c r="B7533" t="str">
        <f>"1552382754777714"</f>
        <v>1552382754777714</v>
      </c>
      <c r="C7533" t="s">
        <v>40</v>
      </c>
      <c r="D7533">
        <v>3.79853</v>
      </c>
      <c r="E7533">
        <v>0.52820739999999999</v>
      </c>
      <c r="F7533" t="s">
        <v>43</v>
      </c>
      <c r="G7533">
        <v>-157.5694</v>
      </c>
      <c r="H7533" s="1">
        <v>-2.2622469999999999E-6</v>
      </c>
      <c r="I7533">
        <v>134.17009999999999</v>
      </c>
      <c r="J7533">
        <v>-172.98769999999999</v>
      </c>
      <c r="K7533">
        <v>1.1038570000000001</v>
      </c>
      <c r="L7533">
        <v>134.28550000000001</v>
      </c>
      <c r="M7533">
        <v>0.94646419999999998</v>
      </c>
      <c r="N7533">
        <v>0</v>
      </c>
      <c r="O7533">
        <v>0.32245740000000001</v>
      </c>
      <c r="P7533">
        <v>0.98352169999999906</v>
      </c>
      <c r="Q7533">
        <v>0.1670952</v>
      </c>
      <c r="R7533">
        <v>6.9022899999999998E-2</v>
      </c>
      <c r="S7533">
        <v>3.089966</v>
      </c>
      <c r="T7533">
        <v>-0.21792230000000001</v>
      </c>
      <c r="U7533">
        <v>-9.3841549999999999E-3</v>
      </c>
      <c r="V7533">
        <v>0.25484230000000002</v>
      </c>
      <c r="W7533">
        <v>0.1772012</v>
      </c>
      <c r="X7533">
        <v>0.9506078</v>
      </c>
      <c r="Y7533">
        <v>0.3237835</v>
      </c>
      <c r="Z7533">
        <v>-3.3809899999999997E-2</v>
      </c>
      <c r="AA7533">
        <v>0.94552689999999995</v>
      </c>
      <c r="AB7533">
        <v>24</v>
      </c>
      <c r="AC7533">
        <v>15.418299999999901</v>
      </c>
      <c r="AD7533">
        <v>-1.10385926224699</v>
      </c>
      <c r="AE7533">
        <v>-0.115400000000022</v>
      </c>
      <c r="AF7533">
        <v>5.0556307653846204</v>
      </c>
      <c r="AG7533">
        <v>-1.10385926224699</v>
      </c>
      <c r="AH7533">
        <v>14.483075913930101</v>
      </c>
      <c r="AI7533">
        <v>94.115854486743402</v>
      </c>
      <c r="AJ7533">
        <v>70.757354824402199</v>
      </c>
      <c r="AK7533">
        <v>15.3797722881522</v>
      </c>
      <c r="AL7533">
        <v>79.793220400207403</v>
      </c>
      <c r="AM7533">
        <v>74.992818565352394</v>
      </c>
      <c r="AN7533">
        <v>1.00000002628578</v>
      </c>
    </row>
    <row r="7534" spans="1:40" x14ac:dyDescent="0.25">
      <c r="A7534" t="str">
        <f>"20190312172554803"</f>
        <v>20190312172554803</v>
      </c>
      <c r="B7534" t="str">
        <f>"1552382754798211"</f>
        <v>1552382754798211</v>
      </c>
      <c r="C7534" t="s">
        <v>40</v>
      </c>
      <c r="D7534">
        <v>3.8131819999999998</v>
      </c>
      <c r="E7534">
        <v>0.52720630000000002</v>
      </c>
      <c r="F7534" t="s">
        <v>43</v>
      </c>
      <c r="G7534">
        <v>-157.733</v>
      </c>
      <c r="H7534" s="1">
        <v>-2.1975129999999999E-6</v>
      </c>
      <c r="I7534">
        <v>134.20410000000001</v>
      </c>
      <c r="J7534">
        <v>-172.85720000000001</v>
      </c>
      <c r="K7534">
        <v>1.10402</v>
      </c>
      <c r="L7534">
        <v>134.32320000000001</v>
      </c>
      <c r="M7534">
        <v>0.94836569999999998</v>
      </c>
      <c r="N7534">
        <v>0</v>
      </c>
      <c r="O7534">
        <v>0.31682290000000002</v>
      </c>
      <c r="P7534">
        <v>0.98376169999999996</v>
      </c>
      <c r="Q7534">
        <v>0.16651170000000001</v>
      </c>
      <c r="R7534">
        <v>6.6982020000000003E-2</v>
      </c>
      <c r="S7534">
        <v>3.0894010000000001</v>
      </c>
      <c r="T7534">
        <v>-0.2235557</v>
      </c>
      <c r="U7534">
        <v>-1.646423E-2</v>
      </c>
      <c r="V7534">
        <v>0.25110379999999999</v>
      </c>
      <c r="W7534">
        <v>0.17675250000000001</v>
      </c>
      <c r="X7534">
        <v>0.95168560000000002</v>
      </c>
      <c r="Y7534">
        <v>0.3202642</v>
      </c>
      <c r="Z7534">
        <v>-3.4172429999999997E-2</v>
      </c>
      <c r="AA7534">
        <v>0.94671170000000004</v>
      </c>
      <c r="AB7534">
        <v>24</v>
      </c>
      <c r="AC7534">
        <v>15.1242</v>
      </c>
      <c r="AD7534">
        <v>-1.104022197513</v>
      </c>
      <c r="AE7534">
        <v>-0.119100000000003</v>
      </c>
      <c r="AF7534">
        <v>4.87919941205715</v>
      </c>
      <c r="AG7534">
        <v>-1.104022197513</v>
      </c>
      <c r="AH7534">
        <v>14.231325983287601</v>
      </c>
      <c r="AI7534">
        <v>94.197055120817296</v>
      </c>
      <c r="AJ7534">
        <v>71.075760344436802</v>
      </c>
      <c r="AK7534">
        <v>15.084962418177099</v>
      </c>
      <c r="AL7534">
        <v>79.819341300159394</v>
      </c>
      <c r="AM7534">
        <v>75.219269591239893</v>
      </c>
      <c r="AN7534">
        <v>1.00000002293902</v>
      </c>
    </row>
    <row r="7535" spans="1:40" x14ac:dyDescent="0.25">
      <c r="A7535" t="str">
        <f>"20190312172554815"</f>
        <v>20190312172554815</v>
      </c>
      <c r="B7535" t="str">
        <f>"1552382754807971"</f>
        <v>1552382754807971</v>
      </c>
      <c r="C7535" t="s">
        <v>40</v>
      </c>
      <c r="D7535">
        <v>3.7969379999999999</v>
      </c>
      <c r="E7535">
        <v>0.52680169999999904</v>
      </c>
      <c r="F7535" t="s">
        <v>43</v>
      </c>
      <c r="G7535">
        <v>-157.8553</v>
      </c>
      <c r="H7535" s="1">
        <v>-2.1442620000000002E-6</v>
      </c>
      <c r="I7535">
        <v>134.24799999999999</v>
      </c>
      <c r="J7535">
        <v>-172.7159</v>
      </c>
      <c r="K7535">
        <v>1.1041890000000001</v>
      </c>
      <c r="L7535">
        <v>134.3629</v>
      </c>
      <c r="M7535">
        <v>0.95032260000000002</v>
      </c>
      <c r="N7535">
        <v>0</v>
      </c>
      <c r="O7535">
        <v>0.31090610000000002</v>
      </c>
      <c r="P7535">
        <v>0.98391729999999999</v>
      </c>
      <c r="Q7535">
        <v>0.16647319999999999</v>
      </c>
      <c r="R7535">
        <v>6.475699E-2</v>
      </c>
      <c r="S7535">
        <v>3.0890499999999999</v>
      </c>
      <c r="T7535">
        <v>-0.22732840000000001</v>
      </c>
      <c r="U7535">
        <v>-1.5472410000000001E-2</v>
      </c>
      <c r="V7535">
        <v>0.2472413</v>
      </c>
      <c r="W7535">
        <v>0.17684920000000001</v>
      </c>
      <c r="X7535">
        <v>0.95267840000000004</v>
      </c>
      <c r="Y7535">
        <v>0.31402819999999998</v>
      </c>
      <c r="Z7535">
        <v>-3.4104559999999999E-2</v>
      </c>
      <c r="AA7535">
        <v>0.94880089999999995</v>
      </c>
      <c r="AB7535">
        <v>24</v>
      </c>
      <c r="AC7535">
        <v>14.8606</v>
      </c>
      <c r="AD7535">
        <v>-1.1041911442619901</v>
      </c>
      <c r="AE7535">
        <v>-0.114900000000005</v>
      </c>
      <c r="AF7535">
        <v>4.7040047348245402</v>
      </c>
      <c r="AG7535">
        <v>-1.1041911442619901</v>
      </c>
      <c r="AH7535">
        <v>14.010872313464599</v>
      </c>
      <c r="AI7535">
        <v>94.272700609900994</v>
      </c>
      <c r="AJ7535">
        <v>71.441058594118104</v>
      </c>
      <c r="AK7535">
        <v>14.8206424156488</v>
      </c>
      <c r="AL7535">
        <v>79.8137120577302</v>
      </c>
      <c r="AM7535">
        <v>75.451423317385306</v>
      </c>
      <c r="AN7535">
        <v>1.00000001689644</v>
      </c>
    </row>
    <row r="7536" spans="1:40" x14ac:dyDescent="0.25">
      <c r="A7536" t="str">
        <f>"20190312172554829"</f>
        <v>20190312172554829</v>
      </c>
      <c r="B7536" t="str">
        <f>"1552382754817731"</f>
        <v>1552382754817731</v>
      </c>
      <c r="C7536" t="s">
        <v>40</v>
      </c>
      <c r="D7536">
        <v>3.8203369999999999</v>
      </c>
      <c r="E7536">
        <v>0.52636949999999905</v>
      </c>
      <c r="F7536" t="s">
        <v>43</v>
      </c>
      <c r="G7536">
        <v>-157.76990000000001</v>
      </c>
      <c r="H7536" s="1">
        <v>-2.1683929999999999E-6</v>
      </c>
      <c r="I7536">
        <v>134.26650000000001</v>
      </c>
      <c r="J7536">
        <v>-172.58459999999999</v>
      </c>
      <c r="K7536">
        <v>1.1043499999999999</v>
      </c>
      <c r="L7536">
        <v>134.39920000000001</v>
      </c>
      <c r="M7536">
        <v>0.95206809999999997</v>
      </c>
      <c r="N7536">
        <v>0</v>
      </c>
      <c r="O7536">
        <v>0.30552119999999999</v>
      </c>
      <c r="P7536">
        <v>0.98406419999999994</v>
      </c>
      <c r="Q7536">
        <v>0.16645289999999999</v>
      </c>
      <c r="R7536">
        <v>6.2539520000000001E-2</v>
      </c>
      <c r="S7536">
        <v>3.088943</v>
      </c>
      <c r="T7536">
        <v>-0.22820570000000001</v>
      </c>
      <c r="U7536">
        <v>-1.9912719999999998E-2</v>
      </c>
      <c r="V7536">
        <v>0.24391689999999999</v>
      </c>
      <c r="W7536">
        <v>0.1769473</v>
      </c>
      <c r="X7536">
        <v>0.95351680000000005</v>
      </c>
      <c r="Y7536">
        <v>0.310029099999999</v>
      </c>
      <c r="Z7536">
        <v>-3.3708469999999997E-2</v>
      </c>
      <c r="AA7536">
        <v>0.95012929999999995</v>
      </c>
      <c r="AB7536">
        <v>24</v>
      </c>
      <c r="AC7536">
        <v>14.814699999999901</v>
      </c>
      <c r="AD7536">
        <v>-1.104352168393</v>
      </c>
      <c r="AE7536">
        <v>-0.13269999999999901</v>
      </c>
      <c r="AF7536">
        <v>4.6273520205675203</v>
      </c>
      <c r="AG7536">
        <v>-1.104352168393</v>
      </c>
      <c r="AH7536">
        <v>13.9879073260769</v>
      </c>
      <c r="AI7536">
        <v>94.286620281355297</v>
      </c>
      <c r="AJ7536">
        <v>71.695222468475194</v>
      </c>
      <c r="AK7536">
        <v>14.7747599573394</v>
      </c>
      <c r="AL7536">
        <v>79.808001562135104</v>
      </c>
      <c r="AM7536">
        <v>75.651006477708606</v>
      </c>
      <c r="AN7536">
        <v>1.0000000444825601</v>
      </c>
    </row>
    <row r="7537" spans="1:40" x14ac:dyDescent="0.25">
      <c r="A7537" t="str">
        <f>"20190312172554846"</f>
        <v>20190312172554846</v>
      </c>
      <c r="B7537" t="str">
        <f>"1552382754838226"</f>
        <v>1552382754838226</v>
      </c>
      <c r="C7537" t="s">
        <v>40</v>
      </c>
      <c r="D7537">
        <v>3.8141759999999998</v>
      </c>
      <c r="E7537">
        <v>0.52555249999999998</v>
      </c>
      <c r="F7537" t="s">
        <v>43</v>
      </c>
      <c r="G7537">
        <v>-157.6729</v>
      </c>
      <c r="H7537" s="1">
        <v>-2.1962970000000002E-6</v>
      </c>
      <c r="I7537">
        <v>134.28559999999999</v>
      </c>
      <c r="J7537">
        <v>-172.4092</v>
      </c>
      <c r="K7537">
        <v>1.104571</v>
      </c>
      <c r="L7537">
        <v>134.44669999999999</v>
      </c>
      <c r="M7537">
        <v>0.95429339999999996</v>
      </c>
      <c r="N7537">
        <v>0</v>
      </c>
      <c r="O7537">
        <v>0.2985006</v>
      </c>
      <c r="P7537">
        <v>0.98383710000000002</v>
      </c>
      <c r="Q7537">
        <v>0.16660949999999999</v>
      </c>
      <c r="R7537">
        <v>6.5619070000000002E-2</v>
      </c>
      <c r="S7537">
        <v>3.0887760000000002</v>
      </c>
      <c r="T7537">
        <v>-0.2287525</v>
      </c>
      <c r="U7537">
        <v>-2.351379E-2</v>
      </c>
      <c r="V7537">
        <v>0.2337708</v>
      </c>
      <c r="W7537">
        <v>0.17736640000000001</v>
      </c>
      <c r="X7537">
        <v>0.95597719999999997</v>
      </c>
      <c r="Y7537">
        <v>0.30415799999999998</v>
      </c>
      <c r="Z7537">
        <v>-3.3074279999999998E-2</v>
      </c>
      <c r="AA7537">
        <v>0.95204730000000004</v>
      </c>
      <c r="AB7537">
        <v>24</v>
      </c>
      <c r="AC7537">
        <v>14.7363</v>
      </c>
      <c r="AD7537">
        <v>-1.104573196297</v>
      </c>
      <c r="AE7537">
        <v>-0.16110000000000399</v>
      </c>
      <c r="AF7537">
        <v>4.5276005336614897</v>
      </c>
      <c r="AG7537">
        <v>-1.104573196297</v>
      </c>
      <c r="AH7537">
        <v>13.9379184139442</v>
      </c>
      <c r="AI7537">
        <v>94.310376958370298</v>
      </c>
      <c r="AJ7537">
        <v>72.004103855193705</v>
      </c>
      <c r="AK7537">
        <v>14.6964219540728</v>
      </c>
      <c r="AL7537">
        <v>79.783602695138995</v>
      </c>
      <c r="AM7537">
        <v>76.258784122893204</v>
      </c>
      <c r="AN7537">
        <v>1.0000000168507099</v>
      </c>
    </row>
    <row r="7538" spans="1:40" x14ac:dyDescent="0.25">
      <c r="A7538" t="str">
        <f>"20190312172554868"</f>
        <v>20190312172554868</v>
      </c>
      <c r="B7538" t="str">
        <f>"1552382754857747"</f>
        <v>1552382754857747</v>
      </c>
      <c r="C7538" t="s">
        <v>40</v>
      </c>
      <c r="D7538">
        <v>3.8529239999999998</v>
      </c>
      <c r="E7538">
        <v>0.52475850000000002</v>
      </c>
      <c r="F7538" t="s">
        <v>43</v>
      </c>
      <c r="G7538">
        <v>-157.5309</v>
      </c>
      <c r="H7538" s="1">
        <v>-2.2108469999999999E-6</v>
      </c>
      <c r="I7538">
        <v>134.4126</v>
      </c>
      <c r="J7538">
        <v>-172.1798</v>
      </c>
      <c r="K7538">
        <v>1.104881</v>
      </c>
      <c r="L7538">
        <v>134.50720000000001</v>
      </c>
      <c r="M7538">
        <v>0.95700609999999997</v>
      </c>
      <c r="N7538">
        <v>0</v>
      </c>
      <c r="O7538">
        <v>0.28968969999999999</v>
      </c>
      <c r="P7538">
        <v>0.98385860000000003</v>
      </c>
      <c r="Q7538">
        <v>0.16732149999999901</v>
      </c>
      <c r="R7538">
        <v>6.3449729999999996E-2</v>
      </c>
      <c r="S7538">
        <v>3.0885929999999999</v>
      </c>
      <c r="T7538">
        <v>-0.229298</v>
      </c>
      <c r="U7538">
        <v>-7.0800780000000001E-3</v>
      </c>
      <c r="V7538">
        <v>0.22688710000000001</v>
      </c>
      <c r="W7538">
        <v>0.17829690000000001</v>
      </c>
      <c r="X7538">
        <v>0.95746149999999997</v>
      </c>
      <c r="Y7538">
        <v>0.29033560000000003</v>
      </c>
      <c r="Z7538">
        <v>-3.2008010000000003E-2</v>
      </c>
      <c r="AA7538">
        <v>0.95638939999999995</v>
      </c>
      <c r="AB7538">
        <v>23</v>
      </c>
      <c r="AC7538">
        <v>14.6488999999999</v>
      </c>
      <c r="AD7538">
        <v>-1.1048832108469999</v>
      </c>
      <c r="AE7538">
        <v>-9.4600000000014006E-2</v>
      </c>
      <c r="AF7538">
        <v>4.3101247998297296</v>
      </c>
      <c r="AG7538">
        <v>-1.1048832108469999</v>
      </c>
      <c r="AH7538">
        <v>13.9140643661891</v>
      </c>
      <c r="AI7538">
        <v>94.337681151474698</v>
      </c>
      <c r="AJ7538">
        <v>72.788718443728996</v>
      </c>
      <c r="AK7538">
        <v>14.6081870841721</v>
      </c>
      <c r="AL7538">
        <v>79.729425596451705</v>
      </c>
      <c r="AM7538">
        <v>76.668674900241598</v>
      </c>
      <c r="AN7538">
        <v>1.00000003233913</v>
      </c>
    </row>
    <row r="7539" spans="1:40" x14ac:dyDescent="0.25">
      <c r="A7539" t="str">
        <f>"20190312172554890"</f>
        <v>20190312172554890</v>
      </c>
      <c r="B7539" t="str">
        <f>"1552382754888002"</f>
        <v>1552382754888002</v>
      </c>
      <c r="C7539" t="s">
        <v>40</v>
      </c>
      <c r="D7539">
        <v>3.8477739999999998</v>
      </c>
      <c r="E7539">
        <v>0.52371749999999995</v>
      </c>
      <c r="F7539" t="s">
        <v>43</v>
      </c>
      <c r="G7539">
        <v>-157.20230000000001</v>
      </c>
      <c r="H7539" s="1">
        <v>-2.3073290000000001E-6</v>
      </c>
      <c r="I7539">
        <v>134.47030000000001</v>
      </c>
      <c r="J7539">
        <v>-171.94589999999999</v>
      </c>
      <c r="K7539">
        <v>1.1052</v>
      </c>
      <c r="L7539">
        <v>134.5669</v>
      </c>
      <c r="M7539">
        <v>0.95956929999999996</v>
      </c>
      <c r="N7539">
        <v>0</v>
      </c>
      <c r="O7539">
        <v>0.28108640000000001</v>
      </c>
      <c r="P7539">
        <v>0.98387619999999998</v>
      </c>
      <c r="Q7539">
        <v>0.1677207</v>
      </c>
      <c r="R7539">
        <v>6.2108160000000003E-2</v>
      </c>
      <c r="S7539">
        <v>3.0884550000000002</v>
      </c>
      <c r="T7539">
        <v>-0.2278328</v>
      </c>
      <c r="U7539">
        <v>-7.59887699999999E-3</v>
      </c>
      <c r="V7539">
        <v>0.21942439999999999</v>
      </c>
      <c r="W7539">
        <v>0.17891670000000001</v>
      </c>
      <c r="X7539">
        <v>0.95908380000000004</v>
      </c>
      <c r="Y7539">
        <v>0.28196280000000001</v>
      </c>
      <c r="Z7539">
        <v>-3.0883979999999998E-2</v>
      </c>
      <c r="AA7539">
        <v>0.95892809999999995</v>
      </c>
      <c r="AB7539">
        <v>23</v>
      </c>
      <c r="AC7539">
        <v>14.743599999999899</v>
      </c>
      <c r="AD7539">
        <v>-1.105202307329</v>
      </c>
      <c r="AE7539">
        <v>-9.6599999999995106E-2</v>
      </c>
      <c r="AF7539">
        <v>4.2137032996470101</v>
      </c>
      <c r="AG7539">
        <v>-1.105202307329</v>
      </c>
      <c r="AH7539">
        <v>14.0429793796017</v>
      </c>
      <c r="AI7539">
        <v>94.310865149452397</v>
      </c>
      <c r="AJ7539">
        <v>73.2977257899081</v>
      </c>
      <c r="AK7539">
        <v>14.7031301937206</v>
      </c>
      <c r="AL7539">
        <v>79.693332930313005</v>
      </c>
      <c r="AM7539">
        <v>77.113346368597803</v>
      </c>
      <c r="AN7539">
        <v>0.99999999413834495</v>
      </c>
    </row>
    <row r="7540" spans="1:40" x14ac:dyDescent="0.25">
      <c r="A7540" t="str">
        <f>"20190312172554914"</f>
        <v>20190312172554914</v>
      </c>
      <c r="B7540" t="str">
        <f>"1552382754907523"</f>
        <v>1552382754907523</v>
      </c>
      <c r="C7540" t="s">
        <v>40</v>
      </c>
      <c r="D7540">
        <v>3.8458800000000002</v>
      </c>
      <c r="E7540">
        <v>0.52304689999999998</v>
      </c>
      <c r="F7540" t="s">
        <v>43</v>
      </c>
      <c r="G7540">
        <v>-156.92529999999999</v>
      </c>
      <c r="H7540" s="1">
        <v>-2.3817239999999998E-6</v>
      </c>
      <c r="I7540">
        <v>134.54490000000001</v>
      </c>
      <c r="J7540">
        <v>-171.7098</v>
      </c>
      <c r="K7540">
        <v>1.1055029999999999</v>
      </c>
      <c r="L7540">
        <v>134.62549999999999</v>
      </c>
      <c r="M7540">
        <v>0.96196090000000001</v>
      </c>
      <c r="N7540">
        <v>0</v>
      </c>
      <c r="O7540">
        <v>0.27279340000000002</v>
      </c>
      <c r="P7540">
        <v>0.98410109999999995</v>
      </c>
      <c r="Q7540">
        <v>0.1670085</v>
      </c>
      <c r="R7540">
        <v>6.0441889999999998E-2</v>
      </c>
      <c r="S7540">
        <v>3.0881810000000001</v>
      </c>
      <c r="T7540">
        <v>-0.22722629999999999</v>
      </c>
      <c r="U7540">
        <v>-4.5318600000000004E-3</v>
      </c>
      <c r="V7540">
        <v>0.21263969999999999</v>
      </c>
      <c r="W7540">
        <v>0.178404799999999</v>
      </c>
      <c r="X7540">
        <v>0.96070610000000001</v>
      </c>
      <c r="Y7540">
        <v>0.2727734</v>
      </c>
      <c r="Z7540">
        <v>-2.9875639999999998E-2</v>
      </c>
      <c r="AA7540">
        <v>0.96161430000000003</v>
      </c>
      <c r="AB7540">
        <v>23</v>
      </c>
      <c r="AC7540">
        <v>14.7845</v>
      </c>
      <c r="AD7540">
        <v>-1.1055053817239999</v>
      </c>
      <c r="AE7540">
        <v>-8.0599999999975497E-2</v>
      </c>
      <c r="AF7540">
        <v>4.0882323865300902</v>
      </c>
      <c r="AG7540">
        <v>-1.1055053817239999</v>
      </c>
      <c r="AH7540">
        <v>14.122689396305701</v>
      </c>
      <c r="AI7540">
        <v>94.300068168671203</v>
      </c>
      <c r="AJ7540">
        <v>73.855341330176699</v>
      </c>
      <c r="AK7540">
        <v>14.744020550033801</v>
      </c>
      <c r="AL7540">
        <v>79.723142961914306</v>
      </c>
      <c r="AM7540">
        <v>77.519540068546604</v>
      </c>
      <c r="AN7540">
        <v>1.00000006262816</v>
      </c>
    </row>
    <row r="7541" spans="1:40" x14ac:dyDescent="0.25">
      <c r="A7541" t="str">
        <f>"20190312172554935"</f>
        <v>20190312172554935</v>
      </c>
      <c r="B7541" t="str">
        <f>"1552382754928018"</f>
        <v>1552382754928018</v>
      </c>
      <c r="C7541" t="s">
        <v>40</v>
      </c>
      <c r="D7541">
        <v>3.8405480000000001</v>
      </c>
      <c r="E7541">
        <v>0.52238850000000003</v>
      </c>
      <c r="F7541" t="s">
        <v>43</v>
      </c>
      <c r="G7541">
        <v>-156.87479999999999</v>
      </c>
      <c r="H7541" s="1">
        <v>-2.3845499999999999E-6</v>
      </c>
      <c r="I7541">
        <v>134.59880000000001</v>
      </c>
      <c r="J7541">
        <v>-171.48840000000001</v>
      </c>
      <c r="K7541">
        <v>1.105783</v>
      </c>
      <c r="L7541">
        <v>134.679</v>
      </c>
      <c r="M7541">
        <v>0.96402710000000003</v>
      </c>
      <c r="N7541">
        <v>0</v>
      </c>
      <c r="O7541">
        <v>0.2654029</v>
      </c>
      <c r="P7541">
        <v>0.98433760000000003</v>
      </c>
      <c r="Q7541">
        <v>0.16586529999999899</v>
      </c>
      <c r="R7541">
        <v>5.973618E-2</v>
      </c>
      <c r="S7541">
        <v>3.08786</v>
      </c>
      <c r="T7541">
        <v>-0.2301079</v>
      </c>
      <c r="U7541">
        <v>-5.5541990000000001E-3</v>
      </c>
      <c r="V7541">
        <v>0.20584769999999999</v>
      </c>
      <c r="W7541">
        <v>0.177449</v>
      </c>
      <c r="X7541">
        <v>0.96236089999999996</v>
      </c>
      <c r="Y7541">
        <v>0.26570549999999998</v>
      </c>
      <c r="Z7541">
        <v>-2.9459639999999999E-2</v>
      </c>
      <c r="AA7541">
        <v>0.96360400000000002</v>
      </c>
      <c r="AB7541">
        <v>23</v>
      </c>
      <c r="AC7541">
        <v>14.6136</v>
      </c>
      <c r="AD7541">
        <v>-1.1057853845500001</v>
      </c>
      <c r="AE7541">
        <v>-8.0199999999990695E-2</v>
      </c>
      <c r="AF7541">
        <v>3.9337057828873601</v>
      </c>
      <c r="AG7541">
        <v>-1.1057853845500001</v>
      </c>
      <c r="AH7541">
        <v>13.9880311974514</v>
      </c>
      <c r="AI7541">
        <v>94.351839940414095</v>
      </c>
      <c r="AJ7541">
        <v>74.292986755165899</v>
      </c>
      <c r="AK7541">
        <v>14.572639406911801</v>
      </c>
      <c r="AL7541">
        <v>79.778793220913101</v>
      </c>
      <c r="AM7541">
        <v>77.926447970191106</v>
      </c>
      <c r="AN7541">
        <v>0.99999996252254897</v>
      </c>
    </row>
    <row r="7542" spans="1:40" x14ac:dyDescent="0.25">
      <c r="A7542" t="str">
        <f>"20190312172554957"</f>
        <v>20190312172554957</v>
      </c>
      <c r="B7542" t="str">
        <f>"1552382754947539"</f>
        <v>1552382754947539</v>
      </c>
      <c r="C7542" t="s">
        <v>40</v>
      </c>
      <c r="D7542">
        <v>3.8217699999999999</v>
      </c>
      <c r="E7542">
        <v>0.52177240000000003</v>
      </c>
      <c r="F7542" t="s">
        <v>43</v>
      </c>
      <c r="G7542">
        <v>-156.917</v>
      </c>
      <c r="H7542" s="1">
        <v>-2.3517459999999999E-6</v>
      </c>
      <c r="I7542">
        <v>134.66829999999999</v>
      </c>
      <c r="J7542">
        <v>-171.26150000000001</v>
      </c>
      <c r="K7542">
        <v>1.106082</v>
      </c>
      <c r="L7542">
        <v>134.73240000000001</v>
      </c>
      <c r="M7542">
        <v>0.96597049999999995</v>
      </c>
      <c r="N7542">
        <v>0</v>
      </c>
      <c r="O7542">
        <v>0.25824380000000002</v>
      </c>
      <c r="P7542">
        <v>0.98459010000000002</v>
      </c>
      <c r="Q7542">
        <v>0.16471749999999999</v>
      </c>
      <c r="R7542">
        <v>5.8744060000000001E-2</v>
      </c>
      <c r="S7542">
        <v>3.0873569999999999</v>
      </c>
      <c r="T7542">
        <v>-0.23429059999999999</v>
      </c>
      <c r="U7542">
        <v>-2.27356E-3</v>
      </c>
      <c r="V7542">
        <v>0.1995651</v>
      </c>
      <c r="W7542">
        <v>0.176478</v>
      </c>
      <c r="X7542">
        <v>0.96386159999999999</v>
      </c>
      <c r="Y7542">
        <v>0.25751220000000002</v>
      </c>
      <c r="Z7542">
        <v>-2.9159560000000001E-2</v>
      </c>
      <c r="AA7542">
        <v>0.965835</v>
      </c>
      <c r="AB7542">
        <v>23</v>
      </c>
      <c r="AC7542">
        <v>14.3445</v>
      </c>
      <c r="AD7542">
        <v>-1.1060843517459999</v>
      </c>
      <c r="AE7542">
        <v>-6.4100000000024596E-2</v>
      </c>
      <c r="AF7542">
        <v>3.7444315962153101</v>
      </c>
      <c r="AG7542">
        <v>-1.1060843517459999</v>
      </c>
      <c r="AH7542">
        <v>13.759463150409699</v>
      </c>
      <c r="AI7542">
        <v>94.435339962821601</v>
      </c>
      <c r="AJ7542">
        <v>74.776471087673499</v>
      </c>
      <c r="AK7542">
        <v>14.302692640177799</v>
      </c>
      <c r="AL7542">
        <v>79.835319418108099</v>
      </c>
      <c r="AM7542">
        <v>78.302339368279107</v>
      </c>
      <c r="AN7542">
        <v>0.99999994878828302</v>
      </c>
    </row>
    <row r="7543" spans="1:40" x14ac:dyDescent="0.25">
      <c r="A7543" t="str">
        <f>"20190312172554979"</f>
        <v>20190312172554979</v>
      </c>
      <c r="B7543" t="str">
        <f>"1552382754968035"</f>
        <v>1552382754968035</v>
      </c>
      <c r="C7543" t="s">
        <v>40</v>
      </c>
      <c r="D7543">
        <v>3.8451689999999998</v>
      </c>
      <c r="E7543">
        <v>0.52118609999999999</v>
      </c>
      <c r="F7543" t="s">
        <v>43</v>
      </c>
      <c r="G7543">
        <v>-156.94710000000001</v>
      </c>
      <c r="H7543" s="1">
        <v>-2.3243060000000001E-6</v>
      </c>
      <c r="I7543">
        <v>134.7328</v>
      </c>
      <c r="J7543">
        <v>-171.03190000000001</v>
      </c>
      <c r="K7543">
        <v>1.1063940000000001</v>
      </c>
      <c r="L7543">
        <v>134.7852</v>
      </c>
      <c r="M7543">
        <v>0.96776499999999999</v>
      </c>
      <c r="N7543">
        <v>0</v>
      </c>
      <c r="O7543">
        <v>0.25143979999999999</v>
      </c>
      <c r="P7543">
        <v>0.98494990000000004</v>
      </c>
      <c r="Q7543">
        <v>0.16293360000000001</v>
      </c>
      <c r="R7543">
        <v>5.7677680000000002E-2</v>
      </c>
      <c r="S7543">
        <v>3.0868530000000001</v>
      </c>
      <c r="T7543">
        <v>-0.2385235</v>
      </c>
      <c r="U7543" s="1">
        <v>9.1552730000000004E-5</v>
      </c>
      <c r="V7543">
        <v>0.1937265</v>
      </c>
      <c r="W7543">
        <v>0.17486460000000001</v>
      </c>
      <c r="X7543">
        <v>0.96534569999999997</v>
      </c>
      <c r="Y7543">
        <v>0.24995490000000001</v>
      </c>
      <c r="Z7543">
        <v>-2.8886120000000001E-2</v>
      </c>
      <c r="AA7543">
        <v>0.96782650000000003</v>
      </c>
      <c r="AB7543">
        <v>23</v>
      </c>
      <c r="AC7543">
        <v>14.0848</v>
      </c>
      <c r="AD7543">
        <v>-1.106396324306</v>
      </c>
      <c r="AE7543">
        <v>-5.2400000000005699E-2</v>
      </c>
      <c r="AF7543">
        <v>3.57053384107288</v>
      </c>
      <c r="AG7543">
        <v>-1.106396324306</v>
      </c>
      <c r="AH7543">
        <v>13.5355042046239</v>
      </c>
      <c r="AI7543">
        <v>94.519072728872402</v>
      </c>
      <c r="AJ7543">
        <v>75.222558517859397</v>
      </c>
      <c r="AK7543">
        <v>14.0421757149693</v>
      </c>
      <c r="AL7543">
        <v>79.929220756524302</v>
      </c>
      <c r="AM7543">
        <v>78.652557033166104</v>
      </c>
      <c r="AN7543">
        <v>0.99999995282194798</v>
      </c>
    </row>
    <row r="7544" spans="1:40" x14ac:dyDescent="0.25">
      <c r="A7544" t="str">
        <f>"20190312172555003"</f>
        <v>20190312172555003</v>
      </c>
      <c r="B7544" t="str">
        <f>"1552382754998291"</f>
        <v>1552382754998291</v>
      </c>
      <c r="C7544" t="s">
        <v>40</v>
      </c>
      <c r="D7544">
        <v>3.8214769999999998</v>
      </c>
      <c r="E7544">
        <v>0.52030849999999995</v>
      </c>
      <c r="F7544" t="s">
        <v>43</v>
      </c>
      <c r="G7544">
        <v>-157.0848</v>
      </c>
      <c r="H7544" s="1">
        <v>-2.2607779999999998E-6</v>
      </c>
      <c r="I7544">
        <v>134.7954</v>
      </c>
      <c r="J7544">
        <v>-170.79949999999999</v>
      </c>
      <c r="K7544">
        <v>1.106724</v>
      </c>
      <c r="L7544">
        <v>134.8374</v>
      </c>
      <c r="M7544">
        <v>0.96940850000000001</v>
      </c>
      <c r="N7544">
        <v>0</v>
      </c>
      <c r="O7544">
        <v>0.24503069999999999</v>
      </c>
      <c r="P7544">
        <v>0.98526999999999998</v>
      </c>
      <c r="Q7544">
        <v>0.16074769999999999</v>
      </c>
      <c r="R7544">
        <v>5.8339120000000001E-2</v>
      </c>
      <c r="S7544">
        <v>3.0862120000000002</v>
      </c>
      <c r="T7544">
        <v>-0.2448235</v>
      </c>
      <c r="U7544">
        <v>2.27356E-3</v>
      </c>
      <c r="V7544">
        <v>0.18659100000000001</v>
      </c>
      <c r="W7544">
        <v>0.17286560000000001</v>
      </c>
      <c r="X7544">
        <v>0.96710969999999996</v>
      </c>
      <c r="Y7544">
        <v>0.24282110000000001</v>
      </c>
      <c r="Z7544">
        <v>-2.88746E-2</v>
      </c>
      <c r="AA7544">
        <v>0.96964130000000004</v>
      </c>
      <c r="AB7544">
        <v>23</v>
      </c>
      <c r="AC7544">
        <v>13.714699999999899</v>
      </c>
      <c r="AD7544">
        <v>-1.106726260778</v>
      </c>
      <c r="AE7544">
        <v>-4.2000000000001501E-2</v>
      </c>
      <c r="AF7544">
        <v>3.37958267643962</v>
      </c>
      <c r="AG7544">
        <v>-1.106726260778</v>
      </c>
      <c r="AH7544">
        <v>13.2002733631199</v>
      </c>
      <c r="AI7544">
        <v>94.643453528318503</v>
      </c>
      <c r="AJ7544">
        <v>75.639389686643895</v>
      </c>
      <c r="AK7544">
        <v>13.670904832683201</v>
      </c>
      <c r="AL7544">
        <v>80.045526358234994</v>
      </c>
      <c r="AM7544">
        <v>79.079720181262701</v>
      </c>
      <c r="AN7544">
        <v>0.99999994438922302</v>
      </c>
    </row>
    <row r="7545" spans="1:40" x14ac:dyDescent="0.25">
      <c r="A7545" t="str">
        <f>"20190312172555024"</f>
        <v>20190312172555024</v>
      </c>
      <c r="B7545" t="str">
        <f>"1552382755017814"</f>
        <v>1552382755017814</v>
      </c>
      <c r="C7545" t="s">
        <v>40</v>
      </c>
      <c r="D7545">
        <v>3.845091</v>
      </c>
      <c r="E7545">
        <v>0.51975819999999995</v>
      </c>
      <c r="F7545" t="s">
        <v>43</v>
      </c>
      <c r="G7545">
        <v>-157.2439</v>
      </c>
      <c r="H7545" s="1">
        <v>-2.1834920000000001E-6</v>
      </c>
      <c r="I7545">
        <v>134.88239999999999</v>
      </c>
      <c r="J7545">
        <v>-170.57060000000001</v>
      </c>
      <c r="K7545">
        <v>1.107065</v>
      </c>
      <c r="L7545">
        <v>134.8878</v>
      </c>
      <c r="M7545">
        <v>0.97086510000000004</v>
      </c>
      <c r="N7545">
        <v>0</v>
      </c>
      <c r="O7545">
        <v>0.23919799999999999</v>
      </c>
      <c r="P7545">
        <v>0.98544560000000003</v>
      </c>
      <c r="Q7545">
        <v>0.15943879999999999</v>
      </c>
      <c r="R7545">
        <v>5.895744E-2</v>
      </c>
      <c r="S7545">
        <v>3.0853419999999998</v>
      </c>
      <c r="T7545">
        <v>-0.25189729999999999</v>
      </c>
      <c r="U7545">
        <v>1.025391E-2</v>
      </c>
      <c r="V7545">
        <v>0.1800475</v>
      </c>
      <c r="W7545">
        <v>0.17172560000000001</v>
      </c>
      <c r="X7545">
        <v>0.96855210000000003</v>
      </c>
      <c r="Y7545">
        <v>0.23443040000000001</v>
      </c>
      <c r="Z7545">
        <v>-2.8906520000000002E-2</v>
      </c>
      <c r="AA7545">
        <v>0.97170310000000004</v>
      </c>
      <c r="AB7545">
        <v>23</v>
      </c>
      <c r="AC7545">
        <v>13.326700000000001</v>
      </c>
      <c r="AD7545">
        <v>-1.1070671834920001</v>
      </c>
      <c r="AE7545">
        <v>-5.4000000000087303E-3</v>
      </c>
      <c r="AF7545">
        <v>3.1714050322544201</v>
      </c>
      <c r="AG7545">
        <v>-1.1070671834920001</v>
      </c>
      <c r="AH7545">
        <v>12.849789811998299</v>
      </c>
      <c r="AI7545">
        <v>94.781353814599001</v>
      </c>
      <c r="AJ7545">
        <v>76.136124212455996</v>
      </c>
      <c r="AK7545">
        <v>13.281585215625</v>
      </c>
      <c r="AL7545">
        <v>80.111835511291304</v>
      </c>
      <c r="AM7545">
        <v>79.469292400804704</v>
      </c>
      <c r="AN7545">
        <v>0.99999997718300904</v>
      </c>
    </row>
    <row r="7546" spans="1:40" x14ac:dyDescent="0.25">
      <c r="A7546" t="str">
        <f>"20190312172555047"</f>
        <v>20190312172555047</v>
      </c>
      <c r="B7546" t="str">
        <f>"1552382755038307"</f>
        <v>1552382755038307</v>
      </c>
      <c r="C7546" t="s">
        <v>40</v>
      </c>
      <c r="D7546">
        <v>3.813965</v>
      </c>
      <c r="E7546">
        <v>0.51926119999999998</v>
      </c>
      <c r="F7546" t="s">
        <v>43</v>
      </c>
      <c r="G7546">
        <v>-157.23320000000001</v>
      </c>
      <c r="H7546" s="1">
        <v>-2.1665770000000001E-6</v>
      </c>
      <c r="I7546">
        <v>134.9597</v>
      </c>
      <c r="J7546">
        <v>-170.33680000000001</v>
      </c>
      <c r="K7546">
        <v>1.1073580000000001</v>
      </c>
      <c r="L7546">
        <v>134.9383</v>
      </c>
      <c r="M7546">
        <v>0.97221959999999996</v>
      </c>
      <c r="N7546">
        <v>0</v>
      </c>
      <c r="O7546">
        <v>0.23363529999999999</v>
      </c>
      <c r="P7546">
        <v>0.98554180000000002</v>
      </c>
      <c r="Q7546">
        <v>0.159000799999999</v>
      </c>
      <c r="R7546">
        <v>5.8534849999999999E-2</v>
      </c>
      <c r="S7546">
        <v>3.0847319999999998</v>
      </c>
      <c r="T7546">
        <v>-0.25604769999999999</v>
      </c>
      <c r="U7546">
        <v>1.663208E-2</v>
      </c>
      <c r="V7546">
        <v>0.17478940000000001</v>
      </c>
      <c r="W7546">
        <v>0.17141789999999901</v>
      </c>
      <c r="X7546">
        <v>0.96956929999999997</v>
      </c>
      <c r="Y7546">
        <v>0.2268414</v>
      </c>
      <c r="Z7546">
        <v>-2.8620509999999998E-2</v>
      </c>
      <c r="AA7546">
        <v>0.97351109999999996</v>
      </c>
      <c r="AB7546">
        <v>23</v>
      </c>
      <c r="AC7546">
        <v>13.1036</v>
      </c>
      <c r="AD7546">
        <v>-1.1073601665770001</v>
      </c>
      <c r="AE7546">
        <v>2.1399999999999801E-2</v>
      </c>
      <c r="AF7546">
        <v>3.0194042275095598</v>
      </c>
      <c r="AG7546">
        <v>-1.1073601665770001</v>
      </c>
      <c r="AH7546">
        <v>12.6554936719316</v>
      </c>
      <c r="AI7546">
        <v>94.864805290370498</v>
      </c>
      <c r="AJ7546">
        <v>76.580978151233296</v>
      </c>
      <c r="AK7546">
        <v>13.0577397932385</v>
      </c>
      <c r="AL7546">
        <v>80.129731298912304</v>
      </c>
      <c r="AM7546">
        <v>79.780748302969897</v>
      </c>
      <c r="AN7546">
        <v>1.0000000291476201</v>
      </c>
    </row>
    <row r="7547" spans="1:40" x14ac:dyDescent="0.25">
      <c r="A7547" t="str">
        <f>"20190312172555069"</f>
        <v>20190312172555069</v>
      </c>
      <c r="B7547" t="str">
        <f>"1552382755057536"</f>
        <v>1552382755057536</v>
      </c>
      <c r="C7547" t="s">
        <v>40</v>
      </c>
      <c r="D7547">
        <v>3.835445</v>
      </c>
      <c r="E7547">
        <v>0.51880680000000001</v>
      </c>
      <c r="F7547" t="s">
        <v>43</v>
      </c>
      <c r="G7547">
        <v>-157.0925</v>
      </c>
      <c r="H7547" s="1">
        <v>-2.1954679999999999E-6</v>
      </c>
      <c r="I7547">
        <v>135.03110000000001</v>
      </c>
      <c r="J7547">
        <v>-170.1129</v>
      </c>
      <c r="K7547">
        <v>1.107615</v>
      </c>
      <c r="L7547">
        <v>134.98589999999999</v>
      </c>
      <c r="M7547">
        <v>0.97339699999999996</v>
      </c>
      <c r="N7547">
        <v>0</v>
      </c>
      <c r="O7547">
        <v>0.2286839</v>
      </c>
      <c r="P7547">
        <v>0.98574099999999998</v>
      </c>
      <c r="Q7547">
        <v>0.15799360000000001</v>
      </c>
      <c r="R7547">
        <v>5.790327E-2</v>
      </c>
      <c r="S7547">
        <v>3.0843349999999998</v>
      </c>
      <c r="T7547">
        <v>-0.25788080000000002</v>
      </c>
      <c r="U7547">
        <v>2.1621700000000001E-2</v>
      </c>
      <c r="V7547">
        <v>0.17038629999999999</v>
      </c>
      <c r="W7547">
        <v>0.170514</v>
      </c>
      <c r="X7547">
        <v>0.97051200000000004</v>
      </c>
      <c r="Y7547">
        <v>0.22032189999999999</v>
      </c>
      <c r="Z7547">
        <v>-2.8150789999999998E-2</v>
      </c>
      <c r="AA7547">
        <v>0.97502089999999997</v>
      </c>
      <c r="AB7547">
        <v>23</v>
      </c>
      <c r="AC7547">
        <v>13.020399999999899</v>
      </c>
      <c r="AD7547">
        <v>-1.1076171954680001</v>
      </c>
      <c r="AE7547">
        <v>4.52000000000225E-2</v>
      </c>
      <c r="AF7547">
        <v>2.9127764170090198</v>
      </c>
      <c r="AG7547">
        <v>-1.1076171954680001</v>
      </c>
      <c r="AH7547">
        <v>12.594496406808201</v>
      </c>
      <c r="AI7547">
        <v>94.8973075451065</v>
      </c>
      <c r="AJ7547">
        <v>76.977940986235595</v>
      </c>
      <c r="AK7547">
        <v>12.9742985185437</v>
      </c>
      <c r="AL7547">
        <v>80.1822948472836</v>
      </c>
      <c r="AM7547">
        <v>80.042441214741999</v>
      </c>
      <c r="AN7547">
        <v>1.00000002878384</v>
      </c>
    </row>
    <row r="7548" spans="1:40" x14ac:dyDescent="0.25">
      <c r="A7548" t="str">
        <f>"20190312172555092"</f>
        <v>20190312172555092</v>
      </c>
      <c r="B7548" t="str">
        <f>"1552382755087793"</f>
        <v>1552382755087793</v>
      </c>
      <c r="C7548" t="s">
        <v>40</v>
      </c>
      <c r="D7548">
        <v>3.8289879999999998</v>
      </c>
      <c r="E7548">
        <v>0.5182023</v>
      </c>
      <c r="F7548" t="s">
        <v>43</v>
      </c>
      <c r="G7548">
        <v>-157.0641</v>
      </c>
      <c r="H7548" s="1">
        <v>-2.1883120000000002E-6</v>
      </c>
      <c r="I7548">
        <v>135.0942</v>
      </c>
      <c r="J7548">
        <v>-169.87970000000001</v>
      </c>
      <c r="K7548">
        <v>1.1078699999999999</v>
      </c>
      <c r="L7548">
        <v>135.03460000000001</v>
      </c>
      <c r="M7548">
        <v>0.97449470000000005</v>
      </c>
      <c r="N7548">
        <v>0</v>
      </c>
      <c r="O7548">
        <v>0.2239631</v>
      </c>
      <c r="P7548">
        <v>0.98588849999999995</v>
      </c>
      <c r="Q7548">
        <v>0.15707979999999899</v>
      </c>
      <c r="R7548">
        <v>5.7880500000000001E-2</v>
      </c>
      <c r="S7548">
        <v>3.0838320000000001</v>
      </c>
      <c r="T7548">
        <v>-0.26176490000000002</v>
      </c>
      <c r="U7548">
        <v>2.5619510000000002E-2</v>
      </c>
      <c r="V7548">
        <v>0.1656087</v>
      </c>
      <c r="W7548">
        <v>0.16970389999999999</v>
      </c>
      <c r="X7548">
        <v>0.97148049999999997</v>
      </c>
      <c r="Y7548">
        <v>0.2143166</v>
      </c>
      <c r="Z7548">
        <v>-2.7930839999999998E-2</v>
      </c>
      <c r="AA7548">
        <v>0.97636489999999998</v>
      </c>
      <c r="AB7548">
        <v>23</v>
      </c>
      <c r="AC7548">
        <v>12.8156</v>
      </c>
      <c r="AD7548">
        <v>-1.107872188312</v>
      </c>
      <c r="AE7548">
        <v>5.9599999999989002E-2</v>
      </c>
      <c r="AF7548">
        <v>2.7915625284241798</v>
      </c>
      <c r="AG7548">
        <v>-1.107872188312</v>
      </c>
      <c r="AH7548">
        <v>12.41059295232</v>
      </c>
      <c r="AI7548">
        <v>94.9774578331009</v>
      </c>
      <c r="AJ7548">
        <v>77.323223717046403</v>
      </c>
      <c r="AK7548">
        <v>12.7688299998047</v>
      </c>
      <c r="AL7548">
        <v>80.229396455086302</v>
      </c>
      <c r="AM7548">
        <v>80.325760067272199</v>
      </c>
      <c r="AN7548">
        <v>1.00000000853557</v>
      </c>
    </row>
    <row r="7549" spans="1:40" x14ac:dyDescent="0.25">
      <c r="A7549" t="str">
        <f>"20190312172555115"</f>
        <v>20190312172555115</v>
      </c>
      <c r="B7549" t="str">
        <f>"1552382755108289"</f>
        <v>1552382755108289</v>
      </c>
      <c r="C7549" t="s">
        <v>40</v>
      </c>
      <c r="D7549">
        <v>3.8023440000000002</v>
      </c>
      <c r="E7549">
        <v>0.51781369999999904</v>
      </c>
      <c r="F7549" t="s">
        <v>43</v>
      </c>
      <c r="G7549">
        <v>-156.98169999999999</v>
      </c>
      <c r="H7549" s="1">
        <v>-2.1985409999999999E-6</v>
      </c>
      <c r="I7549">
        <v>135.16120000000001</v>
      </c>
      <c r="J7549">
        <v>-169.65199999999999</v>
      </c>
      <c r="K7549">
        <v>1.1081460000000001</v>
      </c>
      <c r="L7549">
        <v>135.08150000000001</v>
      </c>
      <c r="M7549">
        <v>0.97544350000000002</v>
      </c>
      <c r="N7549">
        <v>0</v>
      </c>
      <c r="O7549">
        <v>0.21979670000000001</v>
      </c>
      <c r="P7549">
        <v>0.98610640000000005</v>
      </c>
      <c r="Q7549">
        <v>0.15561159999999999</v>
      </c>
      <c r="R7549">
        <v>5.8132940000000001E-2</v>
      </c>
      <c r="S7549">
        <v>3.0833590000000002</v>
      </c>
      <c r="T7549">
        <v>-0.2648433</v>
      </c>
      <c r="U7549">
        <v>3.0288700000000002E-2</v>
      </c>
      <c r="V7549">
        <v>0.16112209999999999</v>
      </c>
      <c r="W7549">
        <v>0.16834099999999999</v>
      </c>
      <c r="X7549">
        <v>0.97247159999999999</v>
      </c>
      <c r="Y7549">
        <v>0.20865880000000001</v>
      </c>
      <c r="Z7549">
        <v>-2.7668729999999999E-2</v>
      </c>
      <c r="AA7549">
        <v>0.97759700000000005</v>
      </c>
      <c r="AB7549">
        <v>23</v>
      </c>
      <c r="AC7549">
        <v>12.670299999999999</v>
      </c>
      <c r="AD7549">
        <v>-1.10814819854099</v>
      </c>
      <c r="AE7549">
        <v>7.9700000000002505E-2</v>
      </c>
      <c r="AF7549">
        <v>2.6868653735325898</v>
      </c>
      <c r="AG7549">
        <v>-1.10814819854099</v>
      </c>
      <c r="AH7549">
        <v>12.283953674091199</v>
      </c>
      <c r="AI7549">
        <v>95.036324690629598</v>
      </c>
      <c r="AJ7549">
        <v>77.6620232875825</v>
      </c>
      <c r="AK7549">
        <v>12.623104049029999</v>
      </c>
      <c r="AL7549">
        <v>80.308624894119902</v>
      </c>
      <c r="AM7549">
        <v>80.592518190073605</v>
      </c>
      <c r="AN7549">
        <v>1.00000001809798</v>
      </c>
    </row>
    <row r="7550" spans="1:40" x14ac:dyDescent="0.25">
      <c r="A7550" t="str">
        <f>"20190312172555136"</f>
        <v>20190312172555136</v>
      </c>
      <c r="B7550" t="str">
        <f>"1552382755127808"</f>
        <v>1552382755127808</v>
      </c>
      <c r="C7550" t="s">
        <v>40</v>
      </c>
      <c r="D7550">
        <v>3.7996319999999999</v>
      </c>
      <c r="E7550">
        <v>0.51747739999999998</v>
      </c>
      <c r="F7550" t="s">
        <v>43</v>
      </c>
      <c r="G7550">
        <v>-156.9522</v>
      </c>
      <c r="H7550" s="1">
        <v>-2.1944399999999999E-6</v>
      </c>
      <c r="I7550">
        <v>135.21440000000001</v>
      </c>
      <c r="J7550">
        <v>-169.4281</v>
      </c>
      <c r="K7550">
        <v>1.108449</v>
      </c>
      <c r="L7550">
        <v>135.12719999999999</v>
      </c>
      <c r="M7550">
        <v>0.97626270000000004</v>
      </c>
      <c r="N7550">
        <v>0</v>
      </c>
      <c r="O7550">
        <v>0.2161324</v>
      </c>
      <c r="P7550">
        <v>0.9861453</v>
      </c>
      <c r="Q7550">
        <v>0.15556139999999999</v>
      </c>
      <c r="R7550">
        <v>5.760593E-2</v>
      </c>
      <c r="S7550">
        <v>3.0828090000000001</v>
      </c>
      <c r="T7550">
        <v>-0.26899669999999998</v>
      </c>
      <c r="U7550">
        <v>3.2272339999999997E-2</v>
      </c>
      <c r="V7550">
        <v>0.15785689999999999</v>
      </c>
      <c r="W7550">
        <v>0.16839079999999901</v>
      </c>
      <c r="X7550">
        <v>0.97299829999999998</v>
      </c>
      <c r="Y7550">
        <v>0.20433470000000001</v>
      </c>
      <c r="Z7550">
        <v>-2.7604210000000001E-2</v>
      </c>
      <c r="AA7550">
        <v>0.97851180000000004</v>
      </c>
      <c r="AB7550">
        <v>23</v>
      </c>
      <c r="AC7550">
        <v>12.4758999999999</v>
      </c>
      <c r="AD7550">
        <v>-1.10845119444</v>
      </c>
      <c r="AE7550">
        <v>8.7200000000024105E-2</v>
      </c>
      <c r="AF7550">
        <v>2.5911216138321902</v>
      </c>
      <c r="AG7550">
        <v>-1.10845119444</v>
      </c>
      <c r="AH7550">
        <v>12.1042652560731</v>
      </c>
      <c r="AI7550">
        <v>95.116989828400193</v>
      </c>
      <c r="AJ7550">
        <v>77.917234377062698</v>
      </c>
      <c r="AK7550">
        <v>12.4280252919561</v>
      </c>
      <c r="AL7550">
        <v>80.305729840685402</v>
      </c>
      <c r="AM7550">
        <v>80.784762504370406</v>
      </c>
      <c r="AN7550">
        <v>0.99999997710256905</v>
      </c>
    </row>
    <row r="7551" spans="1:40" x14ac:dyDescent="0.25">
      <c r="A7551" t="str">
        <f>"20190312172555158"</f>
        <v>20190312172555158</v>
      </c>
      <c r="B7551" t="str">
        <f>"1552382755147863"</f>
        <v>1552382755147863</v>
      </c>
      <c r="C7551" t="s">
        <v>40</v>
      </c>
      <c r="D7551">
        <v>3.843407</v>
      </c>
      <c r="E7551">
        <v>0.51729849999999999</v>
      </c>
      <c r="F7551" t="s">
        <v>43</v>
      </c>
      <c r="G7551">
        <v>-156.74019999999999</v>
      </c>
      <c r="H7551" s="1">
        <v>-2.2531850000000001E-6</v>
      </c>
      <c r="I7551">
        <v>135.26480000000001</v>
      </c>
      <c r="J7551">
        <v>-169.2039</v>
      </c>
      <c r="K7551">
        <v>1.1087819999999999</v>
      </c>
      <c r="L7551">
        <v>135.17259999999999</v>
      </c>
      <c r="M7551">
        <v>0.97697469999999997</v>
      </c>
      <c r="N7551">
        <v>0</v>
      </c>
      <c r="O7551">
        <v>0.21289350000000001</v>
      </c>
      <c r="P7551">
        <v>0.98604860000000005</v>
      </c>
      <c r="Q7551">
        <v>0.15635270000000001</v>
      </c>
      <c r="R7551">
        <v>5.7114419999999999E-2</v>
      </c>
      <c r="S7551">
        <v>3.0826720000000001</v>
      </c>
      <c r="T7551">
        <v>-0.26930979999999999</v>
      </c>
      <c r="U7551">
        <v>3.3447270000000001E-2</v>
      </c>
      <c r="V7551">
        <v>0.15494920000000001</v>
      </c>
      <c r="W7551">
        <v>0.1692842</v>
      </c>
      <c r="X7551">
        <v>0.97331060000000003</v>
      </c>
      <c r="Y7551">
        <v>0.20073630000000001</v>
      </c>
      <c r="Z7551">
        <v>-2.7203109999999999E-2</v>
      </c>
      <c r="AA7551">
        <v>0.97926749999999996</v>
      </c>
      <c r="AB7551">
        <v>23</v>
      </c>
      <c r="AC7551">
        <v>12.463699999999999</v>
      </c>
      <c r="AD7551">
        <v>-1.1087842531849901</v>
      </c>
      <c r="AE7551">
        <v>9.22000000000196E-2</v>
      </c>
      <c r="AF7551">
        <v>2.5434876631794201</v>
      </c>
      <c r="AG7551">
        <v>-1.1087842531849901</v>
      </c>
      <c r="AH7551">
        <v>12.101779464092299</v>
      </c>
      <c r="AI7551">
        <v>95.123589763553696</v>
      </c>
      <c r="AJ7551">
        <v>78.130635351166504</v>
      </c>
      <c r="AK7551">
        <v>12.4157882637545</v>
      </c>
      <c r="AL7551">
        <v>80.253796050865702</v>
      </c>
      <c r="AM7551">
        <v>80.954527213889506</v>
      </c>
      <c r="AN7551">
        <v>0.99999995951131904</v>
      </c>
    </row>
    <row r="7552" spans="1:40" x14ac:dyDescent="0.25">
      <c r="A7552" t="str">
        <f>"20190312172555181"</f>
        <v>20190312172555181</v>
      </c>
      <c r="B7552" t="str">
        <f>"1552382755178120"</f>
        <v>1552382755178120</v>
      </c>
      <c r="C7552" t="s">
        <v>40</v>
      </c>
      <c r="D7552">
        <v>3.7291530000000002</v>
      </c>
      <c r="E7552">
        <v>0.48313869999999998</v>
      </c>
      <c r="F7552" t="s">
        <v>43</v>
      </c>
      <c r="G7552">
        <v>-156.4074</v>
      </c>
      <c r="H7552" s="1">
        <v>-2.3516250000000001E-6</v>
      </c>
      <c r="I7552">
        <v>135.32040000000001</v>
      </c>
      <c r="J7552">
        <v>-168.9736</v>
      </c>
      <c r="K7552">
        <v>1.109129</v>
      </c>
      <c r="L7552">
        <v>135.21899999999999</v>
      </c>
      <c r="M7552">
        <v>0.97759640000000003</v>
      </c>
      <c r="N7552">
        <v>0</v>
      </c>
      <c r="O7552">
        <v>0.2100233</v>
      </c>
      <c r="P7552">
        <v>0.98602800000000002</v>
      </c>
      <c r="Q7552">
        <v>0.15606139999999999</v>
      </c>
      <c r="R7552">
        <v>5.8256299999999997E-2</v>
      </c>
      <c r="S7552">
        <v>3.082748</v>
      </c>
      <c r="T7552">
        <v>-0.2671114</v>
      </c>
      <c r="U7552">
        <v>3.5629269999999998E-2</v>
      </c>
      <c r="V7552">
        <v>0.1508197</v>
      </c>
      <c r="W7552">
        <v>0.16910849999999999</v>
      </c>
      <c r="X7552">
        <v>0.97398960000000001</v>
      </c>
      <c r="Y7552">
        <v>0.1972149</v>
      </c>
      <c r="Z7552">
        <v>-2.6584730000000001E-2</v>
      </c>
      <c r="AA7552">
        <v>0.97999979999999998</v>
      </c>
      <c r="AB7552">
        <v>23</v>
      </c>
      <c r="AC7552">
        <v>12.5662</v>
      </c>
      <c r="AD7552">
        <v>-1.1091313516249901</v>
      </c>
      <c r="AE7552">
        <v>0.10140000000001199</v>
      </c>
      <c r="AF7552">
        <v>2.5206790937724999</v>
      </c>
      <c r="AG7552">
        <v>-1.1091313516249901</v>
      </c>
      <c r="AH7552">
        <v>12.212041168341299</v>
      </c>
      <c r="AI7552">
        <v>95.082952660733298</v>
      </c>
      <c r="AJ7552">
        <v>78.337403882402597</v>
      </c>
      <c r="AK7552">
        <v>12.5187038045559</v>
      </c>
      <c r="AL7552">
        <v>80.264010618747307</v>
      </c>
      <c r="AM7552">
        <v>81.197808702040405</v>
      </c>
      <c r="AN7552">
        <v>1.00000000379425</v>
      </c>
    </row>
    <row r="7553" spans="1:40" x14ac:dyDescent="0.25">
      <c r="A7553" t="str">
        <f>"20190312172555204"</f>
        <v>20190312172555204</v>
      </c>
      <c r="B7553" t="str">
        <f>"1552382755197639"</f>
        <v>1552382755197639</v>
      </c>
      <c r="C7553" t="s">
        <v>40</v>
      </c>
      <c r="D7553">
        <v>3.6898620000000002</v>
      </c>
      <c r="E7553">
        <v>0.48146050000000001</v>
      </c>
      <c r="F7553" t="s">
        <v>43</v>
      </c>
      <c r="G7553">
        <v>-152.8768</v>
      </c>
      <c r="H7553" s="1">
        <v>-3.52785E-6</v>
      </c>
      <c r="I7553">
        <v>136.8554</v>
      </c>
      <c r="J7553">
        <v>-168.7431</v>
      </c>
      <c r="K7553">
        <v>1.1094550000000001</v>
      </c>
      <c r="L7553">
        <v>135.2654</v>
      </c>
      <c r="M7553">
        <v>0.97809710000000005</v>
      </c>
      <c r="N7553">
        <v>0</v>
      </c>
      <c r="O7553">
        <v>0.2076809</v>
      </c>
      <c r="P7553">
        <v>0.98596099999999998</v>
      </c>
      <c r="Q7553">
        <v>0.15572279999999999</v>
      </c>
      <c r="R7553">
        <v>6.026244E-2</v>
      </c>
      <c r="S7553">
        <v>3.0575100000000002</v>
      </c>
      <c r="T7553">
        <v>-0.21067379999999999</v>
      </c>
      <c r="U7553">
        <v>0.31083680000000002</v>
      </c>
      <c r="V7553">
        <v>0.14636930000000001</v>
      </c>
      <c r="W7553">
        <v>0.16887720000000001</v>
      </c>
      <c r="X7553">
        <v>0.97470840000000003</v>
      </c>
      <c r="Y7553">
        <v>0.1069705</v>
      </c>
      <c r="Z7553">
        <v>-1.7813389999999998E-2</v>
      </c>
      <c r="AA7553">
        <v>0.99410259999999995</v>
      </c>
      <c r="AB7553">
        <v>23</v>
      </c>
      <c r="AC7553">
        <v>15.866299999999899</v>
      </c>
      <c r="AD7553">
        <v>-1.10945852784999</v>
      </c>
      <c r="AE7553">
        <v>1.59</v>
      </c>
      <c r="AF7553">
        <v>1.73173921582694</v>
      </c>
      <c r="AG7553">
        <v>-1.10945852784999</v>
      </c>
      <c r="AH7553">
        <v>15.7741757316315</v>
      </c>
      <c r="AI7553">
        <v>93.999258115092303</v>
      </c>
      <c r="AJ7553">
        <v>83.734975999528004</v>
      </c>
      <c r="AK7553">
        <v>15.907684902242799</v>
      </c>
      <c r="AL7553">
        <v>80.277456217408201</v>
      </c>
      <c r="AM7553">
        <v>81.459861616750203</v>
      </c>
      <c r="AN7553">
        <v>0.99999997284644404</v>
      </c>
    </row>
    <row r="7554" spans="1:40" x14ac:dyDescent="0.25">
      <c r="A7554" t="str">
        <f>"20190312172555225"</f>
        <v>20190312172555225</v>
      </c>
      <c r="B7554" t="str">
        <f>"1552382755218135"</f>
        <v>1552382755218135</v>
      </c>
      <c r="C7554" t="s">
        <v>40</v>
      </c>
      <c r="D7554">
        <v>3.6771150000000001</v>
      </c>
      <c r="E7554">
        <v>0.48021770000000003</v>
      </c>
      <c r="F7554" t="s">
        <v>41</v>
      </c>
      <c r="G7554">
        <v>-167.82900000000001</v>
      </c>
      <c r="H7554">
        <v>1.047428</v>
      </c>
      <c r="I7554">
        <v>135.364</v>
      </c>
      <c r="J7554">
        <v>-168.52379999999999</v>
      </c>
      <c r="K7554">
        <v>1.1097459999999999</v>
      </c>
      <c r="L7554">
        <v>135.30950000000001</v>
      </c>
      <c r="M7554">
        <v>0.97847770000000001</v>
      </c>
      <c r="N7554">
        <v>0</v>
      </c>
      <c r="O7554">
        <v>0.20588329999999999</v>
      </c>
      <c r="P7554">
        <v>0.98577479999999995</v>
      </c>
      <c r="Q7554">
        <v>0.15639220000000001</v>
      </c>
      <c r="R7554">
        <v>6.1560660000000003E-2</v>
      </c>
      <c r="S7554">
        <v>3.0553279999999998</v>
      </c>
      <c r="T7554">
        <v>-0.20731620000000001</v>
      </c>
      <c r="U7554">
        <v>0.32936100000000001</v>
      </c>
      <c r="V7554">
        <v>0.14315120000000001</v>
      </c>
      <c r="W7554">
        <v>0.169627799999999</v>
      </c>
      <c r="X7554">
        <v>0.97505600000000003</v>
      </c>
      <c r="Y7554">
        <v>9.9151299999999998E-2</v>
      </c>
      <c r="Z7554">
        <v>-1.7151840000000002E-2</v>
      </c>
      <c r="AA7554">
        <v>0.99492449999999999</v>
      </c>
      <c r="AB7554">
        <v>23</v>
      </c>
      <c r="AC7554">
        <v>0.69479999999998598</v>
      </c>
      <c r="AD7554">
        <v>-6.2317999999999797E-2</v>
      </c>
      <c r="AE7554">
        <v>5.4499999999990202E-2</v>
      </c>
      <c r="AF7554">
        <v>8.9017625159615602E-2</v>
      </c>
      <c r="AG7554">
        <v>-6.2317999999999797E-2</v>
      </c>
      <c r="AH7554">
        <v>0.685651700820053</v>
      </c>
      <c r="AI7554">
        <v>95.150281997904301</v>
      </c>
      <c r="AJ7554">
        <v>82.602710465640499</v>
      </c>
      <c r="AK7554">
        <v>0.694208848654704</v>
      </c>
      <c r="AL7554">
        <v>80.233821020067793</v>
      </c>
      <c r="AM7554">
        <v>81.647883407125804</v>
      </c>
      <c r="AN7554">
        <v>1.0000000298651299</v>
      </c>
    </row>
    <row r="7555" spans="1:40" x14ac:dyDescent="0.25">
      <c r="A7555" t="str">
        <f>"20190312172555247"</f>
        <v>20190312172555247</v>
      </c>
      <c r="B7555" t="str">
        <f>"1552382755237655"</f>
        <v>1552382755237655</v>
      </c>
      <c r="C7555" t="s">
        <v>40</v>
      </c>
      <c r="D7555">
        <v>3.709311</v>
      </c>
      <c r="E7555">
        <v>0.4797014</v>
      </c>
      <c r="F7555" t="s">
        <v>41</v>
      </c>
      <c r="G7555">
        <v>-167.62809999999999</v>
      </c>
      <c r="H7555">
        <v>1.0482450000000001</v>
      </c>
      <c r="I7555">
        <v>135.4101</v>
      </c>
      <c r="J7555">
        <v>-168.29990000000001</v>
      </c>
      <c r="K7555">
        <v>1.1099829999999999</v>
      </c>
      <c r="L7555">
        <v>135.3546</v>
      </c>
      <c r="M7555">
        <v>0.97878969999999998</v>
      </c>
      <c r="N7555">
        <v>0</v>
      </c>
      <c r="O7555">
        <v>0.2043962</v>
      </c>
      <c r="P7555">
        <v>0.98541999999999996</v>
      </c>
      <c r="Q7555">
        <v>0.15743950000000001</v>
      </c>
      <c r="R7555">
        <v>6.450003E-2</v>
      </c>
      <c r="S7555">
        <v>3.055145</v>
      </c>
      <c r="T7555">
        <v>-0.20981469999999999</v>
      </c>
      <c r="U7555">
        <v>0.34355160000000001</v>
      </c>
      <c r="V7555">
        <v>0.13862289999999999</v>
      </c>
      <c r="W7555">
        <v>0.170741899999999</v>
      </c>
      <c r="X7555">
        <v>0.97551569999999999</v>
      </c>
      <c r="Y7555">
        <v>9.3066410000000002E-2</v>
      </c>
      <c r="Z7555">
        <v>-1.7045569999999999E-2</v>
      </c>
      <c r="AA7555">
        <v>0.99551400000000001</v>
      </c>
      <c r="AB7555">
        <v>23</v>
      </c>
      <c r="AC7555">
        <v>0.67180000000001805</v>
      </c>
      <c r="AD7555">
        <v>-6.17379999999998E-2</v>
      </c>
      <c r="AE7555">
        <v>5.5499999999994998E-2</v>
      </c>
      <c r="AF7555">
        <v>8.2308124391421295E-2</v>
      </c>
      <c r="AG7555">
        <v>-6.17379999999998E-2</v>
      </c>
      <c r="AH7555">
        <v>0.66339472198021998</v>
      </c>
      <c r="AI7555">
        <v>95.2766187566029</v>
      </c>
      <c r="AJ7555">
        <v>82.9273918987885</v>
      </c>
      <c r="AK7555">
        <v>0.67132612427645499</v>
      </c>
      <c r="AL7555">
        <v>80.169042448846795</v>
      </c>
      <c r="AM7555">
        <v>81.912293617999794</v>
      </c>
      <c r="AN7555">
        <v>0.99999999288325403</v>
      </c>
    </row>
    <row r="7556" spans="1:40" x14ac:dyDescent="0.25">
      <c r="A7556" t="str">
        <f>"20190312172555269"</f>
        <v>20190312172555269</v>
      </c>
      <c r="B7556" t="str">
        <f>"1552382755258222"</f>
        <v>1552382755258222</v>
      </c>
      <c r="C7556" t="s">
        <v>40</v>
      </c>
      <c r="D7556">
        <v>3.6043020000000001</v>
      </c>
      <c r="E7556">
        <v>0.47977039999999999</v>
      </c>
      <c r="F7556" t="s">
        <v>41</v>
      </c>
      <c r="G7556">
        <v>-167.42619999999999</v>
      </c>
      <c r="H7556">
        <v>1.0505439999999999</v>
      </c>
      <c r="I7556">
        <v>135.45660000000001</v>
      </c>
      <c r="J7556">
        <v>-168.0771</v>
      </c>
      <c r="K7556">
        <v>1.110158</v>
      </c>
      <c r="L7556">
        <v>135.39949999999999</v>
      </c>
      <c r="M7556">
        <v>0.97903620000000002</v>
      </c>
      <c r="N7556">
        <v>0</v>
      </c>
      <c r="O7556">
        <v>0.20321420000000001</v>
      </c>
      <c r="P7556">
        <v>0.98510500000000001</v>
      </c>
      <c r="Q7556">
        <v>0.1578552</v>
      </c>
      <c r="R7556">
        <v>6.8192939999999994E-2</v>
      </c>
      <c r="S7556">
        <v>3.05423</v>
      </c>
      <c r="T7556">
        <v>-0.2077609</v>
      </c>
      <c r="U7556">
        <v>0.35647579999999901</v>
      </c>
      <c r="V7556">
        <v>0.1336879</v>
      </c>
      <c r="W7556">
        <v>0.1712079</v>
      </c>
      <c r="X7556">
        <v>0.97612259999999995</v>
      </c>
      <c r="Y7556">
        <v>8.7699730000000004E-2</v>
      </c>
      <c r="Z7556">
        <v>-1.66185999999999E-2</v>
      </c>
      <c r="AA7556">
        <v>0.99600829999999996</v>
      </c>
      <c r="AB7556">
        <v>23</v>
      </c>
      <c r="AC7556">
        <v>0.65090000000000703</v>
      </c>
      <c r="AD7556">
        <v>-5.9613999999999799E-2</v>
      </c>
      <c r="AE7556">
        <v>5.71000000000196E-2</v>
      </c>
      <c r="AF7556">
        <v>7.5745973402032402E-2</v>
      </c>
      <c r="AG7556">
        <v>-5.9613999999999799E-2</v>
      </c>
      <c r="AH7556">
        <v>0.64356342517959297</v>
      </c>
      <c r="AI7556">
        <v>95.256193937553505</v>
      </c>
      <c r="AJ7556">
        <v>83.287297917887798</v>
      </c>
      <c r="AK7556">
        <v>0.650742010101938</v>
      </c>
      <c r="AL7556">
        <v>80.141943316607197</v>
      </c>
      <c r="AM7556">
        <v>82.201397986293102</v>
      </c>
      <c r="AN7556">
        <v>0.99999996492978904</v>
      </c>
    </row>
    <row r="7557" spans="1:40" x14ac:dyDescent="0.25">
      <c r="A7557" t="str">
        <f>"20190312172555293"</f>
        <v>20190312172555293</v>
      </c>
      <c r="B7557" t="str">
        <f>"1552382755287501"</f>
        <v>1552382755287501</v>
      </c>
      <c r="C7557" t="s">
        <v>40</v>
      </c>
      <c r="D7557">
        <v>3.600622</v>
      </c>
      <c r="E7557">
        <v>0.47952549999999999</v>
      </c>
      <c r="F7557" t="s">
        <v>41</v>
      </c>
      <c r="G7557">
        <v>-167.2251</v>
      </c>
      <c r="H7557">
        <v>1.051744</v>
      </c>
      <c r="I7557">
        <v>135.50149999999999</v>
      </c>
      <c r="J7557">
        <v>-167.8409</v>
      </c>
      <c r="K7557">
        <v>1.1103209999999999</v>
      </c>
      <c r="L7557">
        <v>135.44710000000001</v>
      </c>
      <c r="M7557">
        <v>0.97923740000000004</v>
      </c>
      <c r="N7557">
        <v>0</v>
      </c>
      <c r="O7557">
        <v>0.20224429999999999</v>
      </c>
      <c r="P7557">
        <v>0.9847764</v>
      </c>
      <c r="Q7557">
        <v>0.158191</v>
      </c>
      <c r="R7557">
        <v>7.2052140000000001E-2</v>
      </c>
      <c r="S7557">
        <v>3.0535429999999999</v>
      </c>
      <c r="T7557">
        <v>-0.20944940000000001</v>
      </c>
      <c r="U7557">
        <v>0.36647030000000003</v>
      </c>
      <c r="V7557">
        <v>0.12880839999999999</v>
      </c>
      <c r="W7557">
        <v>0.17158380000000001</v>
      </c>
      <c r="X7557">
        <v>0.97671249999999998</v>
      </c>
      <c r="Y7557">
        <v>8.3472740000000004E-2</v>
      </c>
      <c r="Z7557">
        <v>-1.6543700000000001E-2</v>
      </c>
      <c r="AA7557">
        <v>0.9963727</v>
      </c>
      <c r="AB7557">
        <v>23</v>
      </c>
      <c r="AC7557">
        <v>0.61580000000000701</v>
      </c>
      <c r="AD7557">
        <v>-5.8576999999999803E-2</v>
      </c>
      <c r="AE7557">
        <v>5.4399999999986903E-2</v>
      </c>
      <c r="AF7557">
        <v>7.0644074994099304E-2</v>
      </c>
      <c r="AG7557">
        <v>-5.8576999999999803E-2</v>
      </c>
      <c r="AH7557">
        <v>0.60861088757106596</v>
      </c>
      <c r="AI7557">
        <v>95.461172684022898</v>
      </c>
      <c r="AJ7557">
        <v>83.379062304240406</v>
      </c>
      <c r="AK7557">
        <v>0.61549091198068295</v>
      </c>
      <c r="AL7557">
        <v>80.120082249598596</v>
      </c>
      <c r="AM7557">
        <v>82.487213156001602</v>
      </c>
      <c r="AN7557">
        <v>0.99999995599462399</v>
      </c>
    </row>
    <row r="7558" spans="1:40" x14ac:dyDescent="0.25">
      <c r="A7558" t="str">
        <f>"20190312172555315"</f>
        <v>20190312172555315</v>
      </c>
      <c r="B7558" t="str">
        <f>"1552382755307998"</f>
        <v>1552382755307998</v>
      </c>
      <c r="C7558" t="s">
        <v>40</v>
      </c>
      <c r="D7558">
        <v>3.6680519999999999</v>
      </c>
      <c r="E7558">
        <v>0.47943350000000001</v>
      </c>
      <c r="F7558" t="s">
        <v>41</v>
      </c>
      <c r="G7558">
        <v>-167.0171</v>
      </c>
      <c r="H7558">
        <v>1.053264</v>
      </c>
      <c r="I7558">
        <v>135.54939999999999</v>
      </c>
      <c r="J7558">
        <v>-167.61949999999999</v>
      </c>
      <c r="K7558">
        <v>1.1104560000000001</v>
      </c>
      <c r="L7558">
        <v>135.49170000000001</v>
      </c>
      <c r="M7558">
        <v>0.97938009999999998</v>
      </c>
      <c r="N7558">
        <v>0</v>
      </c>
      <c r="O7558">
        <v>0.2015536</v>
      </c>
      <c r="P7558">
        <v>0.98429849999999997</v>
      </c>
      <c r="Q7558">
        <v>0.1591661</v>
      </c>
      <c r="R7558">
        <v>7.6307079999999999E-2</v>
      </c>
      <c r="S7558">
        <v>3.0525820000000001</v>
      </c>
      <c r="T7558">
        <v>-0.2114779</v>
      </c>
      <c r="U7558">
        <v>0.3794708</v>
      </c>
      <c r="V7558">
        <v>0.1238025</v>
      </c>
      <c r="W7558">
        <v>0.17258850000000001</v>
      </c>
      <c r="X7558">
        <v>0.97718269999999996</v>
      </c>
      <c r="Y7558">
        <v>7.8551280000000001E-2</v>
      </c>
      <c r="Z7558">
        <v>-1.6486799999999999E-2</v>
      </c>
      <c r="AA7558">
        <v>0.99677369999999998</v>
      </c>
      <c r="AB7558">
        <v>23</v>
      </c>
      <c r="AC7558">
        <v>0.60239999999998795</v>
      </c>
      <c r="AD7558">
        <v>-5.7191999999999903E-2</v>
      </c>
      <c r="AE7558">
        <v>5.7699999999982703E-2</v>
      </c>
      <c r="AF7558">
        <v>6.4337207681857203E-2</v>
      </c>
      <c r="AG7558">
        <v>-5.7191999999999903E-2</v>
      </c>
      <c r="AH7558">
        <v>0.59633927974116996</v>
      </c>
      <c r="AI7558">
        <v>95.446789001228893</v>
      </c>
      <c r="AJ7558">
        <v>83.842351987377398</v>
      </c>
      <c r="AK7558">
        <v>0.60252032141539902</v>
      </c>
      <c r="AL7558">
        <v>80.061645240145097</v>
      </c>
      <c r="AM7558">
        <v>82.779477355105399</v>
      </c>
      <c r="AN7558">
        <v>0.99999993925889297</v>
      </c>
    </row>
    <row r="7559" spans="1:40" x14ac:dyDescent="0.25">
      <c r="A7559" t="str">
        <f>"20190312172555337"</f>
        <v>20190312172555337</v>
      </c>
      <c r="B7559" t="str">
        <f>"1552382755327518"</f>
        <v>1552382755327518</v>
      </c>
      <c r="C7559" t="s">
        <v>40</v>
      </c>
      <c r="D7559">
        <v>3.5996269999999901</v>
      </c>
      <c r="E7559">
        <v>0.47952270000000002</v>
      </c>
      <c r="F7559" t="s">
        <v>43</v>
      </c>
      <c r="G7559">
        <v>-151.673</v>
      </c>
      <c r="H7559" s="1">
        <v>-3.9232E-6</v>
      </c>
      <c r="I7559">
        <v>137.53799999999899</v>
      </c>
      <c r="J7559">
        <v>-167.4006</v>
      </c>
      <c r="K7559">
        <v>1.110579</v>
      </c>
      <c r="L7559">
        <v>135.536</v>
      </c>
      <c r="M7559">
        <v>0.97948840000000004</v>
      </c>
      <c r="N7559">
        <v>0</v>
      </c>
      <c r="O7559">
        <v>0.20102739999999999</v>
      </c>
      <c r="P7559">
        <v>0.9837245</v>
      </c>
      <c r="Q7559">
        <v>0.1606379</v>
      </c>
      <c r="R7559">
        <v>8.0509200000000003E-2</v>
      </c>
      <c r="S7559">
        <v>3.0518649999999998</v>
      </c>
      <c r="T7559">
        <v>-0.21252109999999999</v>
      </c>
      <c r="U7559">
        <v>0.39161679999999999</v>
      </c>
      <c r="V7559">
        <v>0.1189992</v>
      </c>
      <c r="W7559">
        <v>0.1740833</v>
      </c>
      <c r="X7559">
        <v>0.97751429999999995</v>
      </c>
      <c r="Y7559">
        <v>7.4087029999999998E-2</v>
      </c>
      <c r="Z7559">
        <v>-1.637605E-2</v>
      </c>
      <c r="AA7559">
        <v>0.99711729999999998</v>
      </c>
      <c r="AB7559">
        <v>23</v>
      </c>
      <c r="AC7559">
        <v>15.727599999999899</v>
      </c>
      <c r="AD7559">
        <v>-1.1105829232</v>
      </c>
      <c r="AE7559">
        <v>2.0019999999999798</v>
      </c>
      <c r="AF7559">
        <v>1.1949935527766999</v>
      </c>
      <c r="AG7559">
        <v>-1.1105829232</v>
      </c>
      <c r="AH7559">
        <v>15.7317718401973</v>
      </c>
      <c r="AI7559">
        <v>94.026529306344898</v>
      </c>
      <c r="AJ7559">
        <v>85.656124759553705</v>
      </c>
      <c r="AK7559">
        <v>15.816132563066899</v>
      </c>
      <c r="AL7559">
        <v>79.974683802869393</v>
      </c>
      <c r="AM7559">
        <v>83.059163326229395</v>
      </c>
      <c r="AN7559">
        <v>1.00000000582201</v>
      </c>
    </row>
    <row r="7560" spans="1:40" x14ac:dyDescent="0.25">
      <c r="A7560" t="str">
        <f>"20190312172555359"</f>
        <v>20190312172555359</v>
      </c>
      <c r="B7560" t="str">
        <f>"1552382755348014"</f>
        <v>1552382755348014</v>
      </c>
      <c r="C7560" t="s">
        <v>40</v>
      </c>
      <c r="D7560">
        <v>3.7066210000000002</v>
      </c>
      <c r="E7560">
        <v>0.47955049999999999</v>
      </c>
      <c r="F7560" t="s">
        <v>43</v>
      </c>
      <c r="G7560">
        <v>-151.24209999999999</v>
      </c>
      <c r="H7560" s="1">
        <v>-4.0851619999999997E-6</v>
      </c>
      <c r="I7560">
        <v>137.6671</v>
      </c>
      <c r="J7560">
        <v>-167.17570000000001</v>
      </c>
      <c r="K7560">
        <v>1.110679</v>
      </c>
      <c r="L7560">
        <v>135.5814</v>
      </c>
      <c r="M7560">
        <v>0.97957649999999996</v>
      </c>
      <c r="N7560">
        <v>0</v>
      </c>
      <c r="O7560">
        <v>0.20059879999999999</v>
      </c>
      <c r="P7560">
        <v>0.98338009999999998</v>
      </c>
      <c r="Q7560">
        <v>0.1621107</v>
      </c>
      <c r="R7560">
        <v>8.1754350000000003E-2</v>
      </c>
      <c r="S7560">
        <v>3.0509339999999998</v>
      </c>
      <c r="T7560">
        <v>-0.20969199999999999</v>
      </c>
      <c r="U7560">
        <v>0.40238950000000001</v>
      </c>
      <c r="V7560">
        <v>0.11724420000000001</v>
      </c>
      <c r="W7560">
        <v>0.175566</v>
      </c>
      <c r="X7560">
        <v>0.97746120000000003</v>
      </c>
      <c r="Y7560">
        <v>7.0176520000000006E-2</v>
      </c>
      <c r="Z7560">
        <v>-1.5996280000000002E-2</v>
      </c>
      <c r="AA7560">
        <v>0.99740629999999997</v>
      </c>
      <c r="AB7560">
        <v>23</v>
      </c>
      <c r="AC7560">
        <v>15.9336</v>
      </c>
      <c r="AD7560">
        <v>-1.110683085162</v>
      </c>
      <c r="AE7560">
        <v>2.0857000000000001</v>
      </c>
      <c r="AF7560">
        <v>1.14778469571713</v>
      </c>
      <c r="AG7560">
        <v>-1.110683085162</v>
      </c>
      <c r="AH7560">
        <v>15.951886336596999</v>
      </c>
      <c r="AI7560">
        <v>93.9726717738167</v>
      </c>
      <c r="AJ7560">
        <v>85.884494256441798</v>
      </c>
      <c r="AK7560">
        <v>16.0316469621526</v>
      </c>
      <c r="AL7560">
        <v>79.8884026197547</v>
      </c>
      <c r="AM7560">
        <v>83.160181953172696</v>
      </c>
      <c r="AN7560">
        <v>1.0000000101475399</v>
      </c>
    </row>
    <row r="7561" spans="1:40" x14ac:dyDescent="0.25">
      <c r="A7561" t="str">
        <f>"20190312172555382"</f>
        <v>20190312172555382</v>
      </c>
      <c r="B7561" t="str">
        <f>"1552382755378271"</f>
        <v>1552382755378271</v>
      </c>
      <c r="C7561" t="s">
        <v>40</v>
      </c>
      <c r="D7561">
        <v>3.625991</v>
      </c>
      <c r="E7561">
        <v>0.47997640000000003</v>
      </c>
      <c r="F7561" t="s">
        <v>43</v>
      </c>
      <c r="G7561">
        <v>-151.05269999999999</v>
      </c>
      <c r="H7561" s="1">
        <v>-4.156946E-6</v>
      </c>
      <c r="I7561">
        <v>137.72030000000001</v>
      </c>
      <c r="J7561">
        <v>-166.9564</v>
      </c>
      <c r="K7561">
        <v>1.110744</v>
      </c>
      <c r="L7561">
        <v>135.6259</v>
      </c>
      <c r="M7561">
        <v>0.97964790000000002</v>
      </c>
      <c r="N7561">
        <v>0</v>
      </c>
      <c r="O7561">
        <v>0.20025080000000001</v>
      </c>
      <c r="P7561">
        <v>0.98275610000000002</v>
      </c>
      <c r="Q7561">
        <v>0.16397349999999999</v>
      </c>
      <c r="R7561">
        <v>8.5460250000000001E-2</v>
      </c>
      <c r="S7561">
        <v>3.0516969999999999</v>
      </c>
      <c r="T7561">
        <v>-0.21022569999999999</v>
      </c>
      <c r="U7561">
        <v>0.40484619999999999</v>
      </c>
      <c r="V7561">
        <v>0.1131182</v>
      </c>
      <c r="W7561">
        <v>0.17743349999999999</v>
      </c>
      <c r="X7561">
        <v>0.97761019999999998</v>
      </c>
      <c r="Y7561">
        <v>6.9065870000000001E-2</v>
      </c>
      <c r="Z7561">
        <v>-1.597047E-2</v>
      </c>
      <c r="AA7561">
        <v>0.99748429999999999</v>
      </c>
      <c r="AB7561">
        <v>23</v>
      </c>
      <c r="AC7561">
        <v>15.903700000000001</v>
      </c>
      <c r="AD7561">
        <v>-1.110748156946</v>
      </c>
      <c r="AE7561">
        <v>2.0943999999999998</v>
      </c>
      <c r="AF7561">
        <v>1.1276546697115599</v>
      </c>
      <c r="AG7561">
        <v>-1.110748156946</v>
      </c>
      <c r="AH7561">
        <v>15.924593906124</v>
      </c>
      <c r="AI7561">
        <v>93.980012296755703</v>
      </c>
      <c r="AJ7561">
        <v>85.9495240446374</v>
      </c>
      <c r="AK7561">
        <v>16.003064006534501</v>
      </c>
      <c r="AL7561">
        <v>79.779696411512305</v>
      </c>
      <c r="AM7561">
        <v>83.399720051659102</v>
      </c>
      <c r="AN7561">
        <v>1.00000003861876</v>
      </c>
    </row>
    <row r="7562" spans="1:40" x14ac:dyDescent="0.25">
      <c r="A7562" t="str">
        <f>"20190312172555396"</f>
        <v>20190312172555396</v>
      </c>
      <c r="B7562" t="str">
        <f>"1552382755388031"</f>
        <v>1552382755388031</v>
      </c>
      <c r="C7562" t="s">
        <v>40</v>
      </c>
      <c r="D7562">
        <v>3.6678860000000002</v>
      </c>
      <c r="E7562">
        <v>0.48006159999999998</v>
      </c>
      <c r="F7562" t="s">
        <v>41</v>
      </c>
      <c r="G7562">
        <v>-166.03120000000001</v>
      </c>
      <c r="H7562">
        <v>1.047458</v>
      </c>
      <c r="I7562">
        <v>135.75030000000001</v>
      </c>
      <c r="J7562">
        <v>-166.79949999999999</v>
      </c>
      <c r="K7562">
        <v>1.1107560000000001</v>
      </c>
      <c r="L7562">
        <v>135.6576</v>
      </c>
      <c r="M7562">
        <v>0.9796937</v>
      </c>
      <c r="N7562">
        <v>0</v>
      </c>
      <c r="O7562">
        <v>0.20002719999999999</v>
      </c>
      <c r="P7562">
        <v>0.98254209999999997</v>
      </c>
      <c r="Q7562">
        <v>0.1644177</v>
      </c>
      <c r="R7562">
        <v>8.7050710000000003E-2</v>
      </c>
      <c r="S7562">
        <v>3.051758</v>
      </c>
      <c r="T7562">
        <v>-0.20878659999999999</v>
      </c>
      <c r="U7562">
        <v>0.41067500000000001</v>
      </c>
      <c r="V7562">
        <v>0.1112884</v>
      </c>
      <c r="W7562">
        <v>0.17787459999999999</v>
      </c>
      <c r="X7562">
        <v>0.97774000000000005</v>
      </c>
      <c r="Y7562">
        <v>6.6982749999999994E-2</v>
      </c>
      <c r="Z7562">
        <v>-1.5772729999999999E-2</v>
      </c>
      <c r="AA7562">
        <v>0.99762949999999995</v>
      </c>
      <c r="AB7562">
        <v>23</v>
      </c>
      <c r="AC7562">
        <v>0.768299999999982</v>
      </c>
      <c r="AD7562">
        <v>-6.3297999999999799E-2</v>
      </c>
      <c r="AE7562">
        <v>9.2700000000007707E-2</v>
      </c>
      <c r="AF7562">
        <v>6.2451430082305401E-2</v>
      </c>
      <c r="AG7562">
        <v>-6.3297999999999799E-2</v>
      </c>
      <c r="AH7562">
        <v>0.76618824706044697</v>
      </c>
      <c r="AI7562">
        <v>94.707177665967606</v>
      </c>
      <c r="AJ7562">
        <v>85.340165316021398</v>
      </c>
      <c r="AK7562">
        <v>0.77133082905902695</v>
      </c>
      <c r="AL7562">
        <v>79.754014268000404</v>
      </c>
      <c r="AM7562">
        <v>83.506421445963596</v>
      </c>
      <c r="AN7562">
        <v>0.99999999444985999</v>
      </c>
    </row>
    <row r="7563" spans="1:40" x14ac:dyDescent="0.25">
      <c r="A7563" t="str">
        <f>"20190312172555415"</f>
        <v>20190312172555415</v>
      </c>
      <c r="B7563" t="str">
        <f>"1552382755407550"</f>
        <v>1552382755407550</v>
      </c>
      <c r="C7563" t="s">
        <v>40</v>
      </c>
      <c r="D7563">
        <v>3.6323470000000002</v>
      </c>
      <c r="E7563">
        <v>0.48029260000000001</v>
      </c>
      <c r="F7563" t="s">
        <v>43</v>
      </c>
      <c r="G7563">
        <v>-150.53960000000001</v>
      </c>
      <c r="H7563" s="1">
        <v>-4.3517469999999996E-6</v>
      </c>
      <c r="I7563">
        <v>137.86330000000001</v>
      </c>
      <c r="J7563">
        <v>-166.61760000000001</v>
      </c>
      <c r="K7563">
        <v>1.110754</v>
      </c>
      <c r="L7563">
        <v>135.69450000000001</v>
      </c>
      <c r="M7563">
        <v>0.97974499999999998</v>
      </c>
      <c r="N7563">
        <v>0</v>
      </c>
      <c r="O7563">
        <v>0.1997765</v>
      </c>
      <c r="P7563">
        <v>0.9821299</v>
      </c>
      <c r="Q7563">
        <v>0.16515539999999901</v>
      </c>
      <c r="R7563">
        <v>9.0249270000000006E-2</v>
      </c>
      <c r="S7563">
        <v>3.0515140000000001</v>
      </c>
      <c r="T7563">
        <v>-0.20845630000000001</v>
      </c>
      <c r="U7563">
        <v>0.41394039999999999</v>
      </c>
      <c r="V7563">
        <v>0.1078235</v>
      </c>
      <c r="W7563">
        <v>0.17860609999999999</v>
      </c>
      <c r="X7563">
        <v>0.9779949</v>
      </c>
      <c r="Y7563">
        <v>6.5673780000000001E-2</v>
      </c>
      <c r="Z7563">
        <v>-1.5686490000000001E-2</v>
      </c>
      <c r="AA7563">
        <v>0.99771790000000005</v>
      </c>
      <c r="AB7563">
        <v>23</v>
      </c>
      <c r="AC7563">
        <v>16.077999999999999</v>
      </c>
      <c r="AD7563">
        <v>-1.1107583517470001</v>
      </c>
      <c r="AE7563">
        <v>2.1688000000000001</v>
      </c>
      <c r="AF7563">
        <v>1.08216572535018</v>
      </c>
      <c r="AG7563">
        <v>-1.1107583517470001</v>
      </c>
      <c r="AH7563">
        <v>16.1116221694625</v>
      </c>
      <c r="AI7563">
        <v>93.934974804644</v>
      </c>
      <c r="AJ7563">
        <v>86.157398720478298</v>
      </c>
      <c r="AK7563">
        <v>16.186081542628401</v>
      </c>
      <c r="AL7563">
        <v>79.711420771221</v>
      </c>
      <c r="AM7563">
        <v>83.708574534119194</v>
      </c>
      <c r="AN7563">
        <v>1.0000000352677301</v>
      </c>
    </row>
    <row r="7564" spans="1:40" x14ac:dyDescent="0.25">
      <c r="A7564" t="str">
        <f>"20190312172555437"</f>
        <v>20190312172555437</v>
      </c>
      <c r="B7564" t="str">
        <f>"1552382755428046"</f>
        <v>1552382755428046</v>
      </c>
      <c r="C7564" t="s">
        <v>40</v>
      </c>
      <c r="D7564">
        <v>3.5960930000000002</v>
      </c>
      <c r="E7564">
        <v>0.48061920000000002</v>
      </c>
      <c r="F7564" t="s">
        <v>43</v>
      </c>
      <c r="G7564">
        <v>-150.43510000000001</v>
      </c>
      <c r="H7564" s="1">
        <v>-4.3845180000000002E-6</v>
      </c>
      <c r="I7564">
        <v>137.93109999999999</v>
      </c>
      <c r="J7564">
        <v>-166.4015</v>
      </c>
      <c r="K7564">
        <v>1.11073</v>
      </c>
      <c r="L7564">
        <v>135.7381</v>
      </c>
      <c r="M7564">
        <v>0.97980610000000001</v>
      </c>
      <c r="N7564">
        <v>0</v>
      </c>
      <c r="O7564">
        <v>0.1994775</v>
      </c>
      <c r="P7564">
        <v>0.98190710000000003</v>
      </c>
      <c r="Q7564">
        <v>0.16487689999999999</v>
      </c>
      <c r="R7564">
        <v>9.3136170000000004E-2</v>
      </c>
      <c r="S7564">
        <v>3.051056</v>
      </c>
      <c r="T7564">
        <v>-0.2094222</v>
      </c>
      <c r="U7564">
        <v>0.4217072</v>
      </c>
      <c r="V7564">
        <v>0.1046629</v>
      </c>
      <c r="W7564">
        <v>0.17831659999999999</v>
      </c>
      <c r="X7564">
        <v>0.97839100000000001</v>
      </c>
      <c r="Y7564">
        <v>6.2857689999999994E-2</v>
      </c>
      <c r="Z7564">
        <v>-1.5641769999999999E-2</v>
      </c>
      <c r="AA7564">
        <v>0.99789989999999995</v>
      </c>
      <c r="AB7564">
        <v>23</v>
      </c>
      <c r="AC7564">
        <v>15.966399999999901</v>
      </c>
      <c r="AD7564">
        <v>-1.110734384518</v>
      </c>
      <c r="AE7564">
        <v>2.1929999999999801</v>
      </c>
      <c r="AF7564">
        <v>1.03142137052052</v>
      </c>
      <c r="AG7564">
        <v>-1.110734384518</v>
      </c>
      <c r="AH7564">
        <v>16.006915880040999</v>
      </c>
      <c r="AI7564">
        <v>93.961254283424495</v>
      </c>
      <c r="AJ7564">
        <v>86.313186992979396</v>
      </c>
      <c r="AK7564">
        <v>16.078523467881801</v>
      </c>
      <c r="AL7564">
        <v>79.728278573717901</v>
      </c>
      <c r="AM7564">
        <v>83.894032587208301</v>
      </c>
      <c r="AN7564">
        <v>1.00000004067648</v>
      </c>
    </row>
    <row r="7565" spans="1:40" x14ac:dyDescent="0.25">
      <c r="A7565" t="str">
        <f>"20190312172555453"</f>
        <v>20190312172555453</v>
      </c>
      <c r="B7565" t="str">
        <f>"1552382755447566"</f>
        <v>1552382755447566</v>
      </c>
      <c r="C7565" t="s">
        <v>40</v>
      </c>
      <c r="D7565">
        <v>3.6808000000000001</v>
      </c>
      <c r="E7565">
        <v>0.48091450000000002</v>
      </c>
      <c r="F7565" t="s">
        <v>43</v>
      </c>
      <c r="G7565">
        <v>-150.51830000000001</v>
      </c>
      <c r="H7565" s="1">
        <v>-4.3425889999999996E-6</v>
      </c>
      <c r="I7565">
        <v>137.96619999999999</v>
      </c>
      <c r="J7565">
        <v>-166.2491</v>
      </c>
      <c r="K7565">
        <v>1.1107</v>
      </c>
      <c r="L7565">
        <v>135.76900000000001</v>
      </c>
      <c r="M7565">
        <v>0.97985149999999999</v>
      </c>
      <c r="N7565">
        <v>0</v>
      </c>
      <c r="O7565">
        <v>0.1992543</v>
      </c>
      <c r="P7565">
        <v>0.98183770000000004</v>
      </c>
      <c r="Q7565">
        <v>0.1645665</v>
      </c>
      <c r="R7565">
        <v>9.4406569999999995E-2</v>
      </c>
      <c r="S7565">
        <v>3.050522</v>
      </c>
      <c r="T7565">
        <v>-0.21332690000000001</v>
      </c>
      <c r="U7565">
        <v>0.42791750000000001</v>
      </c>
      <c r="V7565">
        <v>0.1031922</v>
      </c>
      <c r="W7565">
        <v>0.17799699999999999</v>
      </c>
      <c r="X7565">
        <v>0.97860530000000001</v>
      </c>
      <c r="Y7565">
        <v>6.0597110000000003E-2</v>
      </c>
      <c r="Z7565">
        <v>-1.583884E-2</v>
      </c>
      <c r="AA7565">
        <v>0.99803660000000005</v>
      </c>
      <c r="AB7565">
        <v>23</v>
      </c>
      <c r="AC7565">
        <v>15.730799999999901</v>
      </c>
      <c r="AD7565">
        <v>-1.110704342589</v>
      </c>
      <c r="AE7565">
        <v>2.1971999999999801</v>
      </c>
      <c r="AF7565">
        <v>0.97681589605784203</v>
      </c>
      <c r="AG7565">
        <v>-1.110704342589</v>
      </c>
      <c r="AH7565">
        <v>15.7760020059751</v>
      </c>
      <c r="AI7565">
        <v>94.019573095093804</v>
      </c>
      <c r="AJ7565">
        <v>86.456892609776304</v>
      </c>
      <c r="AK7565">
        <v>15.8451908389886</v>
      </c>
      <c r="AL7565">
        <v>79.746887052031198</v>
      </c>
      <c r="AM7565">
        <v>83.9805064127561</v>
      </c>
      <c r="AN7565">
        <v>0.99999994766896305</v>
      </c>
    </row>
    <row r="7566" spans="1:40" x14ac:dyDescent="0.25">
      <c r="A7566" t="str">
        <f>"20190312172555470"</f>
        <v>20190312172555470</v>
      </c>
      <c r="B7566" t="str">
        <f>"1552382755468062"</f>
        <v>1552382755468062</v>
      </c>
      <c r="C7566" t="s">
        <v>40</v>
      </c>
      <c r="D7566">
        <v>3.681915</v>
      </c>
      <c r="E7566">
        <v>0.4813133</v>
      </c>
      <c r="F7566" t="s">
        <v>41</v>
      </c>
      <c r="G7566">
        <v>-165.43090000000001</v>
      </c>
      <c r="H7566">
        <v>1.05252099999999</v>
      </c>
      <c r="I7566">
        <v>135.88409999999999</v>
      </c>
      <c r="J7566">
        <v>-166.0676</v>
      </c>
      <c r="K7566">
        <v>1.1106560000000001</v>
      </c>
      <c r="L7566">
        <v>135.80549999999999</v>
      </c>
      <c r="M7566">
        <v>0.97990949999999999</v>
      </c>
      <c r="N7566">
        <v>0</v>
      </c>
      <c r="O7566">
        <v>0.1989696</v>
      </c>
      <c r="P7566">
        <v>0.98182290000000005</v>
      </c>
      <c r="Q7566">
        <v>0.16349069999999999</v>
      </c>
      <c r="R7566">
        <v>9.6409190000000006E-2</v>
      </c>
      <c r="S7566">
        <v>3.0505520000000002</v>
      </c>
      <c r="T7566">
        <v>-0.2169238</v>
      </c>
      <c r="U7566">
        <v>0.42950440000000001</v>
      </c>
      <c r="V7566">
        <v>0.1009555</v>
      </c>
      <c r="W7566">
        <v>0.17691309999999999</v>
      </c>
      <c r="X7566">
        <v>0.97903510000000005</v>
      </c>
      <c r="Y7566">
        <v>5.9781210000000001E-2</v>
      </c>
      <c r="Z7566">
        <v>-1.605581E-2</v>
      </c>
      <c r="AA7566">
        <v>0.99808240000000004</v>
      </c>
      <c r="AB7566">
        <v>23</v>
      </c>
      <c r="AC7566">
        <v>0.63669999999999005</v>
      </c>
      <c r="AD7566">
        <v>-5.8134999999999999E-2</v>
      </c>
      <c r="AE7566">
        <v>7.8599999999994397E-2</v>
      </c>
      <c r="AF7566">
        <v>4.9263199934969103E-2</v>
      </c>
      <c r="AG7566">
        <v>-5.8134999999999999E-2</v>
      </c>
      <c r="AH7566">
        <v>0.63439813036902104</v>
      </c>
      <c r="AI7566">
        <v>95.220221185320199</v>
      </c>
      <c r="AJ7566">
        <v>85.5596961612234</v>
      </c>
      <c r="AK7566">
        <v>0.63895815896546904</v>
      </c>
      <c r="AL7566">
        <v>79.809991952192902</v>
      </c>
      <c r="AM7566">
        <v>84.112619709880306</v>
      </c>
      <c r="AN7566">
        <v>0.99999999248193505</v>
      </c>
    </row>
    <row r="7567" spans="1:40" x14ac:dyDescent="0.25">
      <c r="A7567" t="str">
        <f>"20190312172555495"</f>
        <v>20190312172555495</v>
      </c>
      <c r="B7567" t="str">
        <f>"1552382755487585"</f>
        <v>1552382755487585</v>
      </c>
      <c r="C7567" t="s">
        <v>40</v>
      </c>
      <c r="D7567">
        <v>3.6441859999999999</v>
      </c>
      <c r="E7567">
        <v>0.48149360000000002</v>
      </c>
      <c r="F7567" t="s">
        <v>41</v>
      </c>
      <c r="G7567">
        <v>-165.23650000000001</v>
      </c>
      <c r="H7567">
        <v>1.0499830000000001</v>
      </c>
      <c r="I7567">
        <v>135.92320000000001</v>
      </c>
      <c r="J7567">
        <v>-165.83930000000001</v>
      </c>
      <c r="K7567">
        <v>1.1105940000000001</v>
      </c>
      <c r="L7567">
        <v>135.85140000000001</v>
      </c>
      <c r="M7567">
        <v>0.97998969999999996</v>
      </c>
      <c r="N7567">
        <v>0</v>
      </c>
      <c r="O7567">
        <v>0.19857440000000001</v>
      </c>
      <c r="P7567">
        <v>0.98198289999999999</v>
      </c>
      <c r="Q7567">
        <v>0.1619273</v>
      </c>
      <c r="R7567">
        <v>9.7411479999999995E-2</v>
      </c>
      <c r="S7567">
        <v>3.050217</v>
      </c>
      <c r="T7567">
        <v>-0.2227073</v>
      </c>
      <c r="U7567">
        <v>0.43209839999999999</v>
      </c>
      <c r="V7567">
        <v>9.9625130000000006E-2</v>
      </c>
      <c r="W7567">
        <v>0.1753392</v>
      </c>
      <c r="X7567">
        <v>0.97945450000000001</v>
      </c>
      <c r="Y7567">
        <v>5.8501459999999998E-2</v>
      </c>
      <c r="Z7567">
        <v>-1.6408829999999999E-2</v>
      </c>
      <c r="AA7567">
        <v>0.99815240000000005</v>
      </c>
      <c r="AB7567">
        <v>23</v>
      </c>
      <c r="AC7567">
        <v>0.602800000000002</v>
      </c>
      <c r="AD7567">
        <v>-6.0611000000000102E-2</v>
      </c>
      <c r="AE7567">
        <v>7.1799999999996006E-2</v>
      </c>
      <c r="AF7567">
        <v>4.8855015356380899E-2</v>
      </c>
      <c r="AG7567">
        <v>-6.0611000000000102E-2</v>
      </c>
      <c r="AH7567">
        <v>0.59908038215424997</v>
      </c>
      <c r="AI7567">
        <v>95.758164423119297</v>
      </c>
      <c r="AJ7567">
        <v>85.337845014275402</v>
      </c>
      <c r="AK7567">
        <v>0.60411738108463198</v>
      </c>
      <c r="AL7567">
        <v>79.901602558045099</v>
      </c>
      <c r="AM7567">
        <v>84.192138995448403</v>
      </c>
      <c r="AN7567">
        <v>1.0000000595772001</v>
      </c>
    </row>
    <row r="7568" spans="1:40" x14ac:dyDescent="0.25">
      <c r="A7568" t="str">
        <f>"20190312172555517"</f>
        <v>20190312172555517</v>
      </c>
      <c r="B7568" t="str">
        <f>"1552382755508079"</f>
        <v>1552382755508079</v>
      </c>
      <c r="C7568" t="s">
        <v>40</v>
      </c>
      <c r="D7568">
        <v>3.7115589999999998</v>
      </c>
      <c r="E7568">
        <v>0.49057020000000001</v>
      </c>
      <c r="F7568" t="s">
        <v>41</v>
      </c>
      <c r="G7568">
        <v>-165.0384</v>
      </c>
      <c r="H7568">
        <v>1.0504519999999999</v>
      </c>
      <c r="I7568">
        <v>135.96539999999999</v>
      </c>
      <c r="J7568">
        <v>-165.6105</v>
      </c>
      <c r="K7568">
        <v>1.1105449999999999</v>
      </c>
      <c r="L7568">
        <v>135.8973</v>
      </c>
      <c r="M7568">
        <v>0.98007849999999996</v>
      </c>
      <c r="N7568">
        <v>0</v>
      </c>
      <c r="O7568">
        <v>0.19813620000000001</v>
      </c>
      <c r="P7568">
        <v>0.98224849999999997</v>
      </c>
      <c r="Q7568">
        <v>0.16020999999999999</v>
      </c>
      <c r="R7568">
        <v>9.7573439999999997E-2</v>
      </c>
      <c r="S7568">
        <v>3.049744</v>
      </c>
      <c r="T7568">
        <v>-0.22897120000000001</v>
      </c>
      <c r="U7568">
        <v>0.43374629999999997</v>
      </c>
      <c r="V7568">
        <v>9.9093689999999998E-2</v>
      </c>
      <c r="W7568">
        <v>0.17361179999999901</v>
      </c>
      <c r="X7568">
        <v>0.97981600000000002</v>
      </c>
      <c r="Y7568">
        <v>5.7471010000000003E-2</v>
      </c>
      <c r="Z7568">
        <v>-1.6800430000000002E-2</v>
      </c>
      <c r="AA7568">
        <v>0.99820580000000003</v>
      </c>
      <c r="AB7568">
        <v>23</v>
      </c>
      <c r="AC7568">
        <v>0.57210000000000505</v>
      </c>
      <c r="AD7568">
        <v>-6.0093000000000098E-2</v>
      </c>
      <c r="AE7568">
        <v>6.8099999999986893E-2</v>
      </c>
      <c r="AF7568">
        <v>4.6113090948109003E-2</v>
      </c>
      <c r="AG7568">
        <v>-6.0093000000000098E-2</v>
      </c>
      <c r="AH7568">
        <v>0.56806992333921802</v>
      </c>
      <c r="AI7568">
        <v>96.018896610373204</v>
      </c>
      <c r="AJ7568">
        <v>85.359189106236599</v>
      </c>
      <c r="AK7568">
        <v>0.57309774350316001</v>
      </c>
      <c r="AL7568">
        <v>80.002116485661006</v>
      </c>
      <c r="AM7568">
        <v>84.225027350144003</v>
      </c>
      <c r="AN7568">
        <v>1.0000000051765201</v>
      </c>
    </row>
    <row r="7569" spans="1:40" x14ac:dyDescent="0.25">
      <c r="A7569" t="str">
        <f>"20190312172555538"</f>
        <v>20190312172555538</v>
      </c>
      <c r="B7569" t="str">
        <f>"1552382755527598"</f>
        <v>1552382755527598</v>
      </c>
      <c r="C7569" t="s">
        <v>40</v>
      </c>
      <c r="D7569">
        <v>3.743805</v>
      </c>
      <c r="E7569">
        <v>0.49121749999999997</v>
      </c>
      <c r="F7569" t="s">
        <v>41</v>
      </c>
      <c r="G7569">
        <v>-164.8449</v>
      </c>
      <c r="H7569">
        <v>1.041104</v>
      </c>
      <c r="I7569">
        <v>135.98769999999999</v>
      </c>
      <c r="J7569">
        <v>-165.40459999999999</v>
      </c>
      <c r="K7569">
        <v>1.1105080000000001</v>
      </c>
      <c r="L7569">
        <v>135.9385</v>
      </c>
      <c r="M7569">
        <v>0.98016539999999996</v>
      </c>
      <c r="N7569">
        <v>0</v>
      </c>
      <c r="O7569">
        <v>0.19770679999999999</v>
      </c>
      <c r="P7569">
        <v>0.98259350000000001</v>
      </c>
      <c r="Q7569">
        <v>0.15839700000000001</v>
      </c>
      <c r="R7569">
        <v>9.7059640000000003E-2</v>
      </c>
      <c r="S7569">
        <v>3.0635680000000001</v>
      </c>
      <c r="T7569">
        <v>-0.27792879999999998</v>
      </c>
      <c r="U7569">
        <v>0.36203000000000002</v>
      </c>
      <c r="V7569">
        <v>9.9246639999999997E-2</v>
      </c>
      <c r="W7569">
        <v>0.17179040000000001</v>
      </c>
      <c r="X7569">
        <v>0.98012149999999998</v>
      </c>
      <c r="Y7569">
        <v>8.0208749999999995E-2</v>
      </c>
      <c r="Z7569">
        <v>-2.1317050000000001E-2</v>
      </c>
      <c r="AA7569">
        <v>0.99655009999999999</v>
      </c>
      <c r="AB7569">
        <v>23</v>
      </c>
      <c r="AC7569">
        <v>0.55969999999999198</v>
      </c>
      <c r="AD7569">
        <v>-6.9403999999999993E-2</v>
      </c>
      <c r="AE7569">
        <v>4.9199999999984798E-2</v>
      </c>
      <c r="AF7569">
        <v>6.1499819076867697E-2</v>
      </c>
      <c r="AG7569">
        <v>-6.9403999999999993E-2</v>
      </c>
      <c r="AH7569">
        <v>0.54998615288185204</v>
      </c>
      <c r="AI7569">
        <v>97.148181432149102</v>
      </c>
      <c r="AJ7569">
        <v>83.619652553557202</v>
      </c>
      <c r="AK7569">
        <v>0.55774896801721496</v>
      </c>
      <c r="AL7569">
        <v>80.108066924832798</v>
      </c>
      <c r="AM7569">
        <v>84.217964708824695</v>
      </c>
      <c r="AN7569">
        <v>0.99999999592284905</v>
      </c>
    </row>
    <row r="7570" spans="1:40" x14ac:dyDescent="0.25">
      <c r="A7570" t="str">
        <f>"20190312172555560"</f>
        <v>20190312172555560</v>
      </c>
      <c r="B7570" t="str">
        <f>"1552382755557855"</f>
        <v>1552382755557855</v>
      </c>
      <c r="C7570" t="s">
        <v>40</v>
      </c>
      <c r="D7570">
        <v>3.7149109999999999</v>
      </c>
      <c r="E7570">
        <v>0.49154209999999898</v>
      </c>
      <c r="F7570" t="s">
        <v>41</v>
      </c>
      <c r="G7570">
        <v>-164.6473</v>
      </c>
      <c r="H7570">
        <v>1.0409219999999999</v>
      </c>
      <c r="I7570">
        <v>136.0265</v>
      </c>
      <c r="J7570">
        <v>-165.1823</v>
      </c>
      <c r="K7570">
        <v>1.1104620000000001</v>
      </c>
      <c r="L7570">
        <v>135.9828</v>
      </c>
      <c r="M7570">
        <v>0.98026729999999995</v>
      </c>
      <c r="N7570">
        <v>0</v>
      </c>
      <c r="O7570">
        <v>0.19720090000000001</v>
      </c>
      <c r="P7570">
        <v>0.98291550000000005</v>
      </c>
      <c r="Q7570">
        <v>0.15688940000000001</v>
      </c>
      <c r="R7570">
        <v>9.6244070000000001E-2</v>
      </c>
      <c r="S7570">
        <v>3.0633240000000002</v>
      </c>
      <c r="T7570">
        <v>-0.28143639999999998</v>
      </c>
      <c r="U7570">
        <v>0.35592649999999998</v>
      </c>
      <c r="V7570">
        <v>9.9617620000000004E-2</v>
      </c>
      <c r="W7570">
        <v>0.17027110000000001</v>
      </c>
      <c r="X7570">
        <v>0.98034889999999997</v>
      </c>
      <c r="Y7570">
        <v>8.161119E-2</v>
      </c>
      <c r="Z7570">
        <v>-2.1608820000000001E-2</v>
      </c>
      <c r="AA7570">
        <v>0.99643000000000004</v>
      </c>
      <c r="AB7570">
        <v>23</v>
      </c>
      <c r="AC7570">
        <v>0.53499999999999603</v>
      </c>
      <c r="AD7570">
        <v>-6.9540000000000102E-2</v>
      </c>
      <c r="AE7570">
        <v>4.3700000000001099E-2</v>
      </c>
      <c r="AF7570">
        <v>6.1636235333213399E-2</v>
      </c>
      <c r="AG7570">
        <v>-6.9540000000000102E-2</v>
      </c>
      <c r="AH7570">
        <v>0.52431115331340905</v>
      </c>
      <c r="AI7570">
        <v>97.504032899762095</v>
      </c>
      <c r="AJ7570">
        <v>83.295275526791698</v>
      </c>
      <c r="AK7570">
        <v>0.53248194579242603</v>
      </c>
      <c r="AL7570">
        <v>80.196417670860001</v>
      </c>
      <c r="AM7570">
        <v>84.197835928875506</v>
      </c>
      <c r="AN7570">
        <v>0.99999994172044004</v>
      </c>
    </row>
    <row r="7571" spans="1:40" x14ac:dyDescent="0.25">
      <c r="A7571" t="str">
        <f>"20190312172555584"</f>
        <v>20190312172555584</v>
      </c>
      <c r="B7571" t="str">
        <f>"1552382755577374"</f>
        <v>1552382755577374</v>
      </c>
      <c r="C7571" t="s">
        <v>40</v>
      </c>
      <c r="D7571">
        <v>3.759585</v>
      </c>
      <c r="E7571">
        <v>0.49180069999999998</v>
      </c>
      <c r="F7571" t="s">
        <v>41</v>
      </c>
      <c r="G7571">
        <v>-164.44929999999999</v>
      </c>
      <c r="H7571">
        <v>1.042457</v>
      </c>
      <c r="I7571">
        <v>136.06659999999999</v>
      </c>
      <c r="J7571">
        <v>-164.96029999999999</v>
      </c>
      <c r="K7571">
        <v>1.110403</v>
      </c>
      <c r="L7571">
        <v>136.02680000000001</v>
      </c>
      <c r="M7571">
        <v>0.98038239999999999</v>
      </c>
      <c r="N7571">
        <v>0</v>
      </c>
      <c r="O7571">
        <v>0.196628</v>
      </c>
      <c r="P7571">
        <v>0.98321720000000001</v>
      </c>
      <c r="Q7571">
        <v>0.15575890000000001</v>
      </c>
      <c r="R7571">
        <v>9.499059E-2</v>
      </c>
      <c r="S7571">
        <v>3.0631870000000001</v>
      </c>
      <c r="T7571">
        <v>-0.28422059999999999</v>
      </c>
      <c r="U7571">
        <v>0.35049439999999998</v>
      </c>
      <c r="V7571">
        <v>0.1003525</v>
      </c>
      <c r="W7571">
        <v>0.16912439999999901</v>
      </c>
      <c r="X7571">
        <v>0.98047249999999997</v>
      </c>
      <c r="Y7571">
        <v>8.2741869999999995E-2</v>
      </c>
      <c r="Z7571">
        <v>-2.1826000000000002E-2</v>
      </c>
      <c r="AA7571">
        <v>0.996332</v>
      </c>
      <c r="AB7571">
        <v>23</v>
      </c>
      <c r="AC7571">
        <v>0.51099999999999501</v>
      </c>
      <c r="AD7571">
        <v>-6.7946000000000006E-2</v>
      </c>
      <c r="AE7571">
        <v>3.9799999999985403E-2</v>
      </c>
      <c r="AF7571">
        <v>6.0401982560705697E-2</v>
      </c>
      <c r="AG7571">
        <v>-6.7946000000000006E-2</v>
      </c>
      <c r="AH7571">
        <v>0.50006113177494105</v>
      </c>
      <c r="AI7571">
        <v>97.682533152272796</v>
      </c>
      <c r="AJ7571">
        <v>83.112654990957495</v>
      </c>
      <c r="AK7571">
        <v>0.50825799937167604</v>
      </c>
      <c r="AL7571">
        <v>80.263086314848195</v>
      </c>
      <c r="AM7571">
        <v>84.156060245828201</v>
      </c>
      <c r="AN7571">
        <v>1.0000000050939299</v>
      </c>
    </row>
    <row r="7572" spans="1:40" x14ac:dyDescent="0.25">
      <c r="A7572" t="str">
        <f>"20190312172555605"</f>
        <v>20190312172555605</v>
      </c>
      <c r="B7572" t="str">
        <f>"1552382755597873"</f>
        <v>1552382755597873</v>
      </c>
      <c r="C7572" t="s">
        <v>40</v>
      </c>
      <c r="D7572">
        <v>3.6617670000000002</v>
      </c>
      <c r="E7572">
        <v>0.49236210000000002</v>
      </c>
      <c r="F7572" t="s">
        <v>41</v>
      </c>
      <c r="G7572">
        <v>-164.05969999999999</v>
      </c>
      <c r="H7572">
        <v>1.0264990000000001</v>
      </c>
      <c r="I7572">
        <v>136.1276</v>
      </c>
      <c r="J7572">
        <v>-164.74369999999999</v>
      </c>
      <c r="K7572">
        <v>1.110331</v>
      </c>
      <c r="L7572">
        <v>136.06950000000001</v>
      </c>
      <c r="M7572">
        <v>0.98051129999999997</v>
      </c>
      <c r="N7572">
        <v>0</v>
      </c>
      <c r="O7572">
        <v>0.1959852</v>
      </c>
      <c r="P7572">
        <v>0.98338570000000003</v>
      </c>
      <c r="Q7572">
        <v>0.15520929999999999</v>
      </c>
      <c r="R7572">
        <v>9.4143379999999999E-2</v>
      </c>
      <c r="S7572">
        <v>3.0632320000000002</v>
      </c>
      <c r="T7572">
        <v>-0.28543540000000001</v>
      </c>
      <c r="U7572">
        <v>0.34318539999999997</v>
      </c>
      <c r="V7572">
        <v>0.1005991</v>
      </c>
      <c r="W7572">
        <v>0.16855479999999901</v>
      </c>
      <c r="X7572">
        <v>0.98054529999999995</v>
      </c>
      <c r="Y7572">
        <v>8.4422300000000006E-2</v>
      </c>
      <c r="Z7572">
        <v>-2.1942030000000001E-2</v>
      </c>
      <c r="AA7572">
        <v>0.99618850000000003</v>
      </c>
      <c r="AB7572">
        <v>22</v>
      </c>
      <c r="AC7572">
        <v>0.68399999999999705</v>
      </c>
      <c r="AD7572">
        <v>-8.3831999999999907E-2</v>
      </c>
      <c r="AE7572">
        <v>5.8099999999996002E-2</v>
      </c>
      <c r="AF7572">
        <v>7.5960541644590901E-2</v>
      </c>
      <c r="AG7572">
        <v>-8.3831999999999907E-2</v>
      </c>
      <c r="AH7572">
        <v>0.67209693593903796</v>
      </c>
      <c r="AI7572">
        <v>97.065374318197101</v>
      </c>
      <c r="AJ7572">
        <v>83.5517812468823</v>
      </c>
      <c r="AK7572">
        <v>0.68155124488888097</v>
      </c>
      <c r="AL7572">
        <v>80.296197224385807</v>
      </c>
      <c r="AM7572">
        <v>84.142231378719103</v>
      </c>
      <c r="AN7572">
        <v>0.99999999243797</v>
      </c>
    </row>
    <row r="7573" spans="1:40" x14ac:dyDescent="0.25">
      <c r="A7573" t="str">
        <f>"20190312172555628"</f>
        <v>20190312172555628</v>
      </c>
      <c r="B7573" t="str">
        <f>"1552382755617391"</f>
        <v>1552382755617391</v>
      </c>
      <c r="C7573" t="s">
        <v>40</v>
      </c>
      <c r="D7573">
        <v>3.6809129999999999</v>
      </c>
      <c r="E7573">
        <v>0.49274600000000002</v>
      </c>
      <c r="F7573" t="s">
        <v>41</v>
      </c>
      <c r="G7573">
        <v>-163.86189999999999</v>
      </c>
      <c r="H7573">
        <v>1.028502</v>
      </c>
      <c r="I7573">
        <v>136.1661</v>
      </c>
      <c r="J7573">
        <v>-164.5239</v>
      </c>
      <c r="K7573">
        <v>1.110247</v>
      </c>
      <c r="L7573">
        <v>136.11259999999999</v>
      </c>
      <c r="M7573">
        <v>0.98065860000000005</v>
      </c>
      <c r="N7573">
        <v>0</v>
      </c>
      <c r="O7573">
        <v>0.1952468</v>
      </c>
      <c r="P7573">
        <v>0.98345890000000002</v>
      </c>
      <c r="Q7573">
        <v>0.1552309</v>
      </c>
      <c r="R7573">
        <v>9.3337920000000005E-2</v>
      </c>
      <c r="S7573">
        <v>3.063431</v>
      </c>
      <c r="T7573">
        <v>-0.28428439999999999</v>
      </c>
      <c r="U7573">
        <v>0.33554079999999997</v>
      </c>
      <c r="V7573">
        <v>0.10069409999999999</v>
      </c>
      <c r="W7573">
        <v>0.16855479999999901</v>
      </c>
      <c r="X7573">
        <v>0.98053559999999995</v>
      </c>
      <c r="Y7573">
        <v>8.6139919999999995E-2</v>
      </c>
      <c r="Z7573">
        <v>-2.1869070000000001E-2</v>
      </c>
      <c r="AA7573">
        <v>0.99604300000000001</v>
      </c>
      <c r="AB7573">
        <v>22</v>
      </c>
      <c r="AC7573">
        <v>0.66200000000000603</v>
      </c>
      <c r="AD7573">
        <v>-8.1744999999999901E-2</v>
      </c>
      <c r="AE7573">
        <v>5.35000000000138E-2</v>
      </c>
      <c r="AF7573">
        <v>7.5649343173516598E-2</v>
      </c>
      <c r="AG7573">
        <v>-8.1744999999999901E-2</v>
      </c>
      <c r="AH7573">
        <v>0.64985890899088905</v>
      </c>
      <c r="AI7573">
        <v>97.121920535312199</v>
      </c>
      <c r="AJ7573">
        <v>83.360147534771897</v>
      </c>
      <c r="AK7573">
        <v>0.65933426252729599</v>
      </c>
      <c r="AL7573">
        <v>80.296197716077899</v>
      </c>
      <c r="AM7573">
        <v>84.136680561115298</v>
      </c>
      <c r="AN7573">
        <v>1.0000000426225999</v>
      </c>
    </row>
    <row r="7574" spans="1:40" x14ac:dyDescent="0.25">
      <c r="A7574" t="str">
        <f>"20190312172555649"</f>
        <v>20190312172555649</v>
      </c>
      <c r="B7574" t="str">
        <f>"1552382755637886"</f>
        <v>1552382755637886</v>
      </c>
      <c r="C7574" t="s">
        <v>40</v>
      </c>
      <c r="D7574">
        <v>3.6894490000000002</v>
      </c>
      <c r="E7574">
        <v>0.49303900000000001</v>
      </c>
      <c r="F7574" t="s">
        <v>41</v>
      </c>
      <c r="G7574">
        <v>-163.66419999999999</v>
      </c>
      <c r="H7574">
        <v>1.030807</v>
      </c>
      <c r="I7574">
        <v>136.20509999999999</v>
      </c>
      <c r="J7574">
        <v>-164.3073</v>
      </c>
      <c r="K7574">
        <v>1.110169</v>
      </c>
      <c r="L7574">
        <v>136.15479999999999</v>
      </c>
      <c r="M7574">
        <v>0.98082630000000004</v>
      </c>
      <c r="N7574">
        <v>0</v>
      </c>
      <c r="O7574">
        <v>0.1944032</v>
      </c>
      <c r="P7574">
        <v>0.98343769999999997</v>
      </c>
      <c r="Q7574">
        <v>0.15595049999999999</v>
      </c>
      <c r="R7574">
        <v>9.2356850000000004E-2</v>
      </c>
      <c r="S7574">
        <v>3.0638580000000002</v>
      </c>
      <c r="T7574">
        <v>-0.28316920000000001</v>
      </c>
      <c r="U7574">
        <v>0.32997130000000002</v>
      </c>
      <c r="V7574">
        <v>0.10084170000000001</v>
      </c>
      <c r="W7574">
        <v>0.1692495</v>
      </c>
      <c r="X7574">
        <v>0.98040070000000001</v>
      </c>
      <c r="Y7574">
        <v>8.7096140000000002E-2</v>
      </c>
      <c r="Z7574">
        <v>-2.1751469999999998E-2</v>
      </c>
      <c r="AA7574">
        <v>0.99596240000000003</v>
      </c>
      <c r="AB7574">
        <v>22</v>
      </c>
      <c r="AC7574">
        <v>0.643100000000004</v>
      </c>
      <c r="AD7574">
        <v>-7.9361999999999905E-2</v>
      </c>
      <c r="AE7574">
        <v>5.0299999999992899E-2</v>
      </c>
      <c r="AF7574">
        <v>7.4563602479751398E-2</v>
      </c>
      <c r="AG7574">
        <v>-7.9361999999999905E-2</v>
      </c>
      <c r="AH7574">
        <v>0.63105598032936905</v>
      </c>
      <c r="AI7574">
        <v>97.118914781119798</v>
      </c>
      <c r="AJ7574">
        <v>83.261353368937705</v>
      </c>
      <c r="AK7574">
        <v>0.64038247022245998</v>
      </c>
      <c r="AL7574">
        <v>80.255813595011304</v>
      </c>
      <c r="AM7574">
        <v>84.127343663426501</v>
      </c>
      <c r="AN7574">
        <v>0.99999998713481497</v>
      </c>
    </row>
    <row r="7575" spans="1:40" x14ac:dyDescent="0.25">
      <c r="A7575" t="str">
        <f>"20190312172555664"</f>
        <v>20190312172555664</v>
      </c>
      <c r="B7575" t="str">
        <f>"1552382755658383"</f>
        <v>1552382755658383</v>
      </c>
      <c r="C7575" t="s">
        <v>40</v>
      </c>
      <c r="D7575">
        <v>3.702922</v>
      </c>
      <c r="E7575">
        <v>0.49341750000000001</v>
      </c>
      <c r="F7575" t="s">
        <v>41</v>
      </c>
      <c r="G7575">
        <v>-163.4667</v>
      </c>
      <c r="H7575">
        <v>1.033153</v>
      </c>
      <c r="I7575">
        <v>136.24379999999999</v>
      </c>
      <c r="J7575">
        <v>-164.16159999999999</v>
      </c>
      <c r="K7575">
        <v>1.1101080000000001</v>
      </c>
      <c r="L7575">
        <v>136.18299999999999</v>
      </c>
      <c r="M7575">
        <v>0.98095359999999998</v>
      </c>
      <c r="N7575">
        <v>0</v>
      </c>
      <c r="O7575">
        <v>0.1937596</v>
      </c>
      <c r="P7575">
        <v>0.9834349</v>
      </c>
      <c r="Q7575">
        <v>0.1563995</v>
      </c>
      <c r="R7575">
        <v>9.1626609999999997E-2</v>
      </c>
      <c r="S7575">
        <v>3.064575</v>
      </c>
      <c r="T7575">
        <v>-0.28078779999999998</v>
      </c>
      <c r="U7575">
        <v>0.32455440000000002</v>
      </c>
      <c r="V7575">
        <v>0.10093920000000001</v>
      </c>
      <c r="W7575">
        <v>0.16968039999999901</v>
      </c>
      <c r="X7575">
        <v>0.98031619999999997</v>
      </c>
      <c r="Y7575">
        <v>8.8225559999999995E-2</v>
      </c>
      <c r="Z7575">
        <v>-2.156102E-2</v>
      </c>
      <c r="AA7575">
        <v>0.99586710000000001</v>
      </c>
      <c r="AB7575">
        <v>22</v>
      </c>
      <c r="AC7575">
        <v>0.69489999999998897</v>
      </c>
      <c r="AD7575">
        <v>-7.6955000000000107E-2</v>
      </c>
      <c r="AE7575">
        <v>6.0800000000000402E-2</v>
      </c>
      <c r="AF7575">
        <v>7.4106657219783406E-2</v>
      </c>
      <c r="AG7575">
        <v>-7.6955000000000107E-2</v>
      </c>
      <c r="AH7575">
        <v>0.68517113269724095</v>
      </c>
      <c r="AI7575">
        <v>96.371469085388995</v>
      </c>
      <c r="AJ7575">
        <v>83.827006138880705</v>
      </c>
      <c r="AK7575">
        <v>0.69345032248237604</v>
      </c>
      <c r="AL7575">
        <v>80.230762696766107</v>
      </c>
      <c r="AM7575">
        <v>84.121202216119897</v>
      </c>
      <c r="AN7575">
        <v>1.0000000061116101</v>
      </c>
    </row>
    <row r="7576" spans="1:40" x14ac:dyDescent="0.25">
      <c r="A7576" t="str">
        <f>"20190312172555683"</f>
        <v>20190312172555683</v>
      </c>
      <c r="B7576" t="str">
        <f>"1552382755677902"</f>
        <v>1552382755677902</v>
      </c>
      <c r="C7576" t="s">
        <v>40</v>
      </c>
      <c r="D7576">
        <v>3.673651</v>
      </c>
      <c r="E7576">
        <v>0.49357129999999999</v>
      </c>
      <c r="F7576" t="s">
        <v>41</v>
      </c>
      <c r="G7576">
        <v>-163.27119999999999</v>
      </c>
      <c r="H7576">
        <v>1.0292140000000001</v>
      </c>
      <c r="I7576">
        <v>136.2757</v>
      </c>
      <c r="J7576">
        <v>-163.97229999999999</v>
      </c>
      <c r="K7576">
        <v>1.110012</v>
      </c>
      <c r="L7576">
        <v>136.2192</v>
      </c>
      <c r="M7576">
        <v>0.98114330000000005</v>
      </c>
      <c r="N7576">
        <v>0</v>
      </c>
      <c r="O7576">
        <v>0.19279640000000001</v>
      </c>
      <c r="P7576">
        <v>0.98338760000000003</v>
      </c>
      <c r="Q7576">
        <v>0.1574972</v>
      </c>
      <c r="R7576">
        <v>9.0242069999999994E-2</v>
      </c>
      <c r="S7576">
        <v>3.065048</v>
      </c>
      <c r="T7576">
        <v>-0.27847840000000001</v>
      </c>
      <c r="U7576">
        <v>0.31948850000000001</v>
      </c>
      <c r="V7576">
        <v>0.1013656</v>
      </c>
      <c r="W7576">
        <v>0.17074890000000001</v>
      </c>
      <c r="X7576">
        <v>0.98008660000000003</v>
      </c>
      <c r="Y7576">
        <v>8.8911729999999994E-2</v>
      </c>
      <c r="Z7576">
        <v>-2.1329290000000001E-2</v>
      </c>
      <c r="AA7576">
        <v>0.99581109999999995</v>
      </c>
      <c r="AB7576">
        <v>22</v>
      </c>
      <c r="AC7576">
        <v>0.70109999999999595</v>
      </c>
      <c r="AD7576">
        <v>-8.0798000000000106E-2</v>
      </c>
      <c r="AE7576">
        <v>5.6499999999999703E-2</v>
      </c>
      <c r="AF7576">
        <v>7.8703883857366999E-2</v>
      </c>
      <c r="AG7576">
        <v>-8.0798000000000106E-2</v>
      </c>
      <c r="AH7576">
        <v>0.68973653489842401</v>
      </c>
      <c r="AI7576">
        <v>96.638673565276704</v>
      </c>
      <c r="AJ7576">
        <v>83.490296409379496</v>
      </c>
      <c r="AK7576">
        <v>0.69889849456979003</v>
      </c>
      <c r="AL7576">
        <v>80.168635050705802</v>
      </c>
      <c r="AM7576">
        <v>84.095170083332306</v>
      </c>
      <c r="AN7576">
        <v>0.99999995760706395</v>
      </c>
    </row>
    <row r="7577" spans="1:40" x14ac:dyDescent="0.25">
      <c r="A7577" t="str">
        <f>"20190312172555699"</f>
        <v>20190312172555699</v>
      </c>
      <c r="B7577" t="str">
        <f>"1552382755687662"</f>
        <v>1552382755687662</v>
      </c>
      <c r="C7577" t="s">
        <v>40</v>
      </c>
      <c r="D7577">
        <v>3.6829350000000001</v>
      </c>
      <c r="E7577">
        <v>0.49370950000000002</v>
      </c>
      <c r="F7577" t="s">
        <v>41</v>
      </c>
      <c r="G7577">
        <v>-163.0746</v>
      </c>
      <c r="H7577">
        <v>1.0293870000000001</v>
      </c>
      <c r="I7577">
        <v>136.31139999999999</v>
      </c>
      <c r="J7577">
        <v>-163.81469999999999</v>
      </c>
      <c r="K7577">
        <v>1.10992</v>
      </c>
      <c r="L7577">
        <v>136.2492</v>
      </c>
      <c r="M7577">
        <v>0.98132240000000004</v>
      </c>
      <c r="N7577">
        <v>0</v>
      </c>
      <c r="O7577">
        <v>0.19188250000000001</v>
      </c>
      <c r="P7577">
        <v>0.98346549999999999</v>
      </c>
      <c r="Q7577">
        <v>0.15768599999999999</v>
      </c>
      <c r="R7577">
        <v>8.9054599999999998E-2</v>
      </c>
      <c r="S7577">
        <v>3.065903</v>
      </c>
      <c r="T7577">
        <v>-0.275362</v>
      </c>
      <c r="U7577">
        <v>0.31474299999999999</v>
      </c>
      <c r="V7577">
        <v>0.1016702</v>
      </c>
      <c r="W7577">
        <v>0.17091329999999999</v>
      </c>
      <c r="X7577">
        <v>0.98002639999999996</v>
      </c>
      <c r="Y7577">
        <v>8.9564290000000005E-2</v>
      </c>
      <c r="Z7577">
        <v>-2.1037070000000001E-2</v>
      </c>
      <c r="AA7577">
        <v>0.99575880000000005</v>
      </c>
      <c r="AB7577">
        <v>22</v>
      </c>
      <c r="AC7577">
        <v>0.74009999999998399</v>
      </c>
      <c r="AD7577">
        <v>-8.0532999999999896E-2</v>
      </c>
      <c r="AE7577">
        <v>6.2199999999989999E-2</v>
      </c>
      <c r="AF7577">
        <v>8.0040509479296501E-2</v>
      </c>
      <c r="AG7577">
        <v>-8.0532999999999896E-2</v>
      </c>
      <c r="AH7577">
        <v>0.72970162672249295</v>
      </c>
      <c r="AI7577">
        <v>96.260670294393194</v>
      </c>
      <c r="AJ7577">
        <v>83.740287287023506</v>
      </c>
      <c r="AK7577">
        <v>0.73848257344920298</v>
      </c>
      <c r="AL7577">
        <v>80.159075171300799</v>
      </c>
      <c r="AM7577">
        <v>84.077191002505799</v>
      </c>
      <c r="AN7577">
        <v>0.99999996519094403</v>
      </c>
    </row>
    <row r="7578" spans="1:40" x14ac:dyDescent="0.25">
      <c r="A7578" t="str">
        <f>"20190312172555717"</f>
        <v>20190312172555717</v>
      </c>
      <c r="B7578" t="str">
        <f>"1552382755708158"</f>
        <v>1552382755708158</v>
      </c>
      <c r="C7578" t="s">
        <v>40</v>
      </c>
      <c r="D7578">
        <v>3.7014109999999998</v>
      </c>
      <c r="E7578">
        <v>0.49398330000000001</v>
      </c>
      <c r="F7578" t="s">
        <v>41</v>
      </c>
      <c r="G7578">
        <v>-163.0702</v>
      </c>
      <c r="H7578">
        <v>1.0433269999999999</v>
      </c>
      <c r="I7578">
        <v>136.3246</v>
      </c>
      <c r="J7578">
        <v>-163.6395</v>
      </c>
      <c r="K7578">
        <v>1.1098079999999999</v>
      </c>
      <c r="L7578">
        <v>136.28219999999999</v>
      </c>
      <c r="M7578">
        <v>0.98154569999999997</v>
      </c>
      <c r="N7578">
        <v>0</v>
      </c>
      <c r="O7578">
        <v>0.1907375</v>
      </c>
      <c r="P7578">
        <v>0.98381989999999997</v>
      </c>
      <c r="Q7578">
        <v>0.15643679999999999</v>
      </c>
      <c r="R7578">
        <v>8.7327550000000004E-2</v>
      </c>
      <c r="S7578">
        <v>3.0663149999999999</v>
      </c>
      <c r="T7578">
        <v>-0.2742771</v>
      </c>
      <c r="U7578">
        <v>0.31037900000000002</v>
      </c>
      <c r="V7578">
        <v>0.10233</v>
      </c>
      <c r="W7578">
        <v>0.1696376</v>
      </c>
      <c r="X7578">
        <v>0.98017940000000003</v>
      </c>
      <c r="Y7578">
        <v>8.9830640000000003E-2</v>
      </c>
      <c r="Z7578">
        <v>-2.0865620000000001E-2</v>
      </c>
      <c r="AA7578">
        <v>0.99573840000000002</v>
      </c>
      <c r="AB7578">
        <v>22</v>
      </c>
      <c r="AC7578">
        <v>0.56929999999999803</v>
      </c>
      <c r="AD7578">
        <v>-6.6480999999999693E-2</v>
      </c>
      <c r="AE7578">
        <v>4.2400000000014801E-2</v>
      </c>
      <c r="AF7578">
        <v>6.6079449824935896E-2</v>
      </c>
      <c r="AG7578">
        <v>-6.6480999999999693E-2</v>
      </c>
      <c r="AH7578">
        <v>0.55934866382405002</v>
      </c>
      <c r="AI7578">
        <v>96.731675811048703</v>
      </c>
      <c r="AJ7578">
        <v>83.262509094442194</v>
      </c>
      <c r="AK7578">
        <v>0.56714825643028799</v>
      </c>
      <c r="AL7578">
        <v>80.233250971694204</v>
      </c>
      <c r="AM7578">
        <v>84.039953929610505</v>
      </c>
      <c r="AN7578">
        <v>1.0000000002090501</v>
      </c>
    </row>
    <row r="7579" spans="1:40" x14ac:dyDescent="0.25">
      <c r="A7579" t="str">
        <f>"20190312172555740"</f>
        <v>20190312172555740</v>
      </c>
      <c r="B7579" t="str">
        <f>"1552382755727678"</f>
        <v>1552382755727678</v>
      </c>
      <c r="C7579" t="s">
        <v>40</v>
      </c>
      <c r="D7579">
        <v>3.7038009999999999</v>
      </c>
      <c r="E7579">
        <v>0.49426369999999997</v>
      </c>
      <c r="F7579" t="s">
        <v>41</v>
      </c>
      <c r="G7579">
        <v>-162.87479999999999</v>
      </c>
      <c r="H7579">
        <v>1.0404439999999999</v>
      </c>
      <c r="I7579">
        <v>136.35759999999999</v>
      </c>
      <c r="J7579">
        <v>-163.41999999999999</v>
      </c>
      <c r="K7579">
        <v>1.1096469999999901</v>
      </c>
      <c r="L7579">
        <v>136.32299999999901</v>
      </c>
      <c r="M7579">
        <v>0.98185889999999998</v>
      </c>
      <c r="N7579">
        <v>0</v>
      </c>
      <c r="O7579">
        <v>0.18911810000000001</v>
      </c>
      <c r="P7579">
        <v>0.98435430000000002</v>
      </c>
      <c r="Q7579">
        <v>0.15415390000000001</v>
      </c>
      <c r="R7579">
        <v>8.5341620000000007E-2</v>
      </c>
      <c r="S7579">
        <v>3.0666660000000001</v>
      </c>
      <c r="T7579">
        <v>-0.2781768</v>
      </c>
      <c r="U7579">
        <v>0.3030853</v>
      </c>
      <c r="V7579">
        <v>0.1028157</v>
      </c>
      <c r="W7579">
        <v>0.16732230000000001</v>
      </c>
      <c r="X7579">
        <v>0.98052649999999997</v>
      </c>
      <c r="Y7579">
        <v>9.0516200000000005E-2</v>
      </c>
      <c r="Z7579">
        <v>-2.104957E-2</v>
      </c>
      <c r="AA7579">
        <v>0.99567249999999996</v>
      </c>
      <c r="AB7579">
        <v>22</v>
      </c>
      <c r="AC7579">
        <v>0.54519999999999402</v>
      </c>
      <c r="AD7579">
        <v>-6.9202999999999598E-2</v>
      </c>
      <c r="AE7579">
        <v>3.4600000000011698E-2</v>
      </c>
      <c r="AF7579">
        <v>6.8049365750214794E-2</v>
      </c>
      <c r="AG7579">
        <v>-6.9202999999999598E-2</v>
      </c>
      <c r="AH7579">
        <v>0.53334518546905196</v>
      </c>
      <c r="AI7579">
        <v>97.334179339713501</v>
      </c>
      <c r="AJ7579">
        <v>82.728932958698906</v>
      </c>
      <c r="AK7579">
        <v>0.54210410278010601</v>
      </c>
      <c r="AL7579">
        <v>80.367831924432195</v>
      </c>
      <c r="AM7579">
        <v>84.013974547520306</v>
      </c>
      <c r="AN7579">
        <v>1.00000001872301</v>
      </c>
    </row>
    <row r="7580" spans="1:40" x14ac:dyDescent="0.25">
      <c r="A7580" t="str">
        <f>"20190312172555762"</f>
        <v>20190312172555762</v>
      </c>
      <c r="B7580" t="str">
        <f>"1552382755757934"</f>
        <v>1552382755757934</v>
      </c>
      <c r="C7580" t="s">
        <v>40</v>
      </c>
      <c r="D7580">
        <v>3.6966929999999998</v>
      </c>
      <c r="E7580">
        <v>0.49463950000000001</v>
      </c>
      <c r="F7580" t="s">
        <v>41</v>
      </c>
      <c r="G7580">
        <v>-162.6788</v>
      </c>
      <c r="H7580">
        <v>1.040654</v>
      </c>
      <c r="I7580">
        <v>136.39429999999999</v>
      </c>
      <c r="J7580">
        <v>-163.20830000000001</v>
      </c>
      <c r="K7580">
        <v>1.1094839999999999</v>
      </c>
      <c r="L7580">
        <v>136.36179999999999</v>
      </c>
      <c r="M7580">
        <v>0.98220010000000002</v>
      </c>
      <c r="N7580">
        <v>0</v>
      </c>
      <c r="O7580">
        <v>0.18733739999999999</v>
      </c>
      <c r="P7580">
        <v>0.98512429999999995</v>
      </c>
      <c r="Q7580">
        <v>0.15063080000000001</v>
      </c>
      <c r="R7580">
        <v>8.2705870000000001E-2</v>
      </c>
      <c r="S7580">
        <v>3.066818</v>
      </c>
      <c r="T7580">
        <v>-0.28551539999999997</v>
      </c>
      <c r="U7580">
        <v>0.2951202</v>
      </c>
      <c r="V7580">
        <v>0.10381509999999999</v>
      </c>
      <c r="W7580">
        <v>0.1637691</v>
      </c>
      <c r="X7580">
        <v>0.98102100000000003</v>
      </c>
      <c r="Y7580">
        <v>9.1220960000000004E-2</v>
      </c>
      <c r="Z7580">
        <v>-2.1475830000000001E-2</v>
      </c>
      <c r="AA7580">
        <v>0.99559909999999996</v>
      </c>
      <c r="AB7580">
        <v>22</v>
      </c>
      <c r="AC7580">
        <v>0.52950000000001296</v>
      </c>
      <c r="AD7580">
        <v>-6.8829999999999697E-2</v>
      </c>
      <c r="AE7580">
        <v>3.2499999999998801E-2</v>
      </c>
      <c r="AF7580">
        <v>6.6166114646926497E-2</v>
      </c>
      <c r="AG7580">
        <v>-6.8829999999999697E-2</v>
      </c>
      <c r="AH7580">
        <v>0.51750111733651105</v>
      </c>
      <c r="AI7580">
        <v>97.515659493692894</v>
      </c>
      <c r="AJ7580">
        <v>82.713867858989104</v>
      </c>
      <c r="AK7580">
        <v>0.52623467205421504</v>
      </c>
      <c r="AL7580">
        <v>80.574264001245695</v>
      </c>
      <c r="AM7580">
        <v>83.959241100446604</v>
      </c>
      <c r="AN7580">
        <v>1.0000000477719</v>
      </c>
    </row>
    <row r="7581" spans="1:40" x14ac:dyDescent="0.25">
      <c r="A7581" t="str">
        <f>"20190312172555784"</f>
        <v>20190312172555784</v>
      </c>
      <c r="B7581" t="str">
        <f>"1552382755778430"</f>
        <v>1552382755778430</v>
      </c>
      <c r="C7581" t="s">
        <v>40</v>
      </c>
      <c r="D7581">
        <v>3.7274530000000001</v>
      </c>
      <c r="E7581">
        <v>0.49484020000000001</v>
      </c>
      <c r="F7581" t="s">
        <v>41</v>
      </c>
      <c r="G7581">
        <v>-162.29339999999999</v>
      </c>
      <c r="H7581">
        <v>1.021093</v>
      </c>
      <c r="I7581">
        <v>136.44669999999999</v>
      </c>
      <c r="J7581">
        <v>-162.9864</v>
      </c>
      <c r="K7581">
        <v>1.1093299999999999</v>
      </c>
      <c r="L7581">
        <v>136.4016</v>
      </c>
      <c r="M7581">
        <v>0.98259589999999997</v>
      </c>
      <c r="N7581">
        <v>0</v>
      </c>
      <c r="O7581">
        <v>0.18525059999999999</v>
      </c>
      <c r="P7581">
        <v>0.98578030000000005</v>
      </c>
      <c r="Q7581">
        <v>0.1477282</v>
      </c>
      <c r="R7581">
        <v>8.0082650000000005E-2</v>
      </c>
      <c r="S7581">
        <v>3.0666500000000001</v>
      </c>
      <c r="T7581">
        <v>-0.2962748</v>
      </c>
      <c r="U7581">
        <v>0.28512569999999998</v>
      </c>
      <c r="V7581">
        <v>0.1044704</v>
      </c>
      <c r="W7581">
        <v>0.1608378</v>
      </c>
      <c r="X7581">
        <v>0.98143630000000004</v>
      </c>
      <c r="Y7581">
        <v>9.2229950000000005E-2</v>
      </c>
      <c r="Z7581">
        <v>-2.2138749999999999E-2</v>
      </c>
      <c r="AA7581">
        <v>0.99549160000000003</v>
      </c>
      <c r="AB7581">
        <v>22</v>
      </c>
      <c r="AC7581">
        <v>0.69300000000001205</v>
      </c>
      <c r="AD7581">
        <v>-8.8236999999999899E-2</v>
      </c>
      <c r="AE7581">
        <v>4.50999999999908E-2</v>
      </c>
      <c r="AF7581">
        <v>8.2735822005464699E-2</v>
      </c>
      <c r="AG7581">
        <v>-8.8236999999999899E-2</v>
      </c>
      <c r="AH7581">
        <v>0.67840649463152003</v>
      </c>
      <c r="AI7581">
        <v>97.356675940798297</v>
      </c>
      <c r="AJ7581">
        <v>83.046766024278497</v>
      </c>
      <c r="AK7581">
        <v>0.68910547550440104</v>
      </c>
      <c r="AL7581">
        <v>80.744471880456501</v>
      </c>
      <c r="AM7581">
        <v>83.923948256343706</v>
      </c>
      <c r="AN7581">
        <v>1.00000003667134</v>
      </c>
    </row>
    <row r="7582" spans="1:40" x14ac:dyDescent="0.25">
      <c r="A7582" t="str">
        <f>"20190312172555806"</f>
        <v>20190312172555806</v>
      </c>
      <c r="B7582" t="str">
        <f>"1552382755797954"</f>
        <v>1552382755797954</v>
      </c>
      <c r="C7582" t="s">
        <v>40</v>
      </c>
      <c r="D7582">
        <v>3.754867</v>
      </c>
      <c r="E7582">
        <v>0.49493480000000001</v>
      </c>
      <c r="F7582" t="s">
        <v>41</v>
      </c>
      <c r="G7582">
        <v>-162.09790000000001</v>
      </c>
      <c r="H7582">
        <v>1.0210379999999999</v>
      </c>
      <c r="I7582">
        <v>136.48159999999999</v>
      </c>
      <c r="J7582">
        <v>-162.77070000000001</v>
      </c>
      <c r="K7582">
        <v>1.109218</v>
      </c>
      <c r="L7582">
        <v>136.43969999999999</v>
      </c>
      <c r="M7582">
        <v>0.98300480000000001</v>
      </c>
      <c r="N7582">
        <v>0</v>
      </c>
      <c r="O7582">
        <v>0.18306819999999999</v>
      </c>
      <c r="P7582">
        <v>0.98645660000000002</v>
      </c>
      <c r="Q7582">
        <v>0.14468049999999999</v>
      </c>
      <c r="R7582">
        <v>7.7274579999999995E-2</v>
      </c>
      <c r="S7582">
        <v>3.0664980000000002</v>
      </c>
      <c r="T7582">
        <v>-0.30469489999999999</v>
      </c>
      <c r="U7582">
        <v>0.27616879999999999</v>
      </c>
      <c r="V7582">
        <v>0.105199</v>
      </c>
      <c r="W7582">
        <v>0.1577694</v>
      </c>
      <c r="X7582">
        <v>0.98185639999999996</v>
      </c>
      <c r="Y7582">
        <v>9.2831880000000006E-2</v>
      </c>
      <c r="Z7582">
        <v>-2.2587840000000001E-2</v>
      </c>
      <c r="AA7582">
        <v>0.99542560000000002</v>
      </c>
      <c r="AB7582">
        <v>22</v>
      </c>
      <c r="AC7582">
        <v>0.67279999999999496</v>
      </c>
      <c r="AD7582">
        <v>-8.8180000000000106E-2</v>
      </c>
      <c r="AE7582">
        <v>4.1899999999998203E-2</v>
      </c>
      <c r="AF7582">
        <v>8.0608741214399302E-2</v>
      </c>
      <c r="AG7582">
        <v>-8.8180000000000106E-2</v>
      </c>
      <c r="AH7582">
        <v>0.65784230734778504</v>
      </c>
      <c r="AI7582">
        <v>97.5786445731908</v>
      </c>
      <c r="AJ7582">
        <v>83.014083919247</v>
      </c>
      <c r="AK7582">
        <v>0.66860300844135301</v>
      </c>
      <c r="AL7582">
        <v>80.922552153043995</v>
      </c>
      <c r="AM7582">
        <v>83.884490664488894</v>
      </c>
      <c r="AN7582">
        <v>1.0000000016991599</v>
      </c>
    </row>
    <row r="7583" spans="1:40" x14ac:dyDescent="0.25">
      <c r="A7583" t="str">
        <f>"20190312172555829"</f>
        <v>20190312172555829</v>
      </c>
      <c r="B7583" t="str">
        <f>"1552382755817470"</f>
        <v>1552382755817470</v>
      </c>
      <c r="C7583" t="s">
        <v>40</v>
      </c>
      <c r="D7583">
        <v>3.62155</v>
      </c>
      <c r="E7583">
        <v>0.49503249999999999</v>
      </c>
      <c r="F7583" t="s">
        <v>41</v>
      </c>
      <c r="G7583">
        <v>-161.90280000000001</v>
      </c>
      <c r="H7583">
        <v>1.0203359999999999</v>
      </c>
      <c r="I7583">
        <v>136.51560000000001</v>
      </c>
      <c r="J7583">
        <v>-162.55420000000001</v>
      </c>
      <c r="K7583">
        <v>1.109132</v>
      </c>
      <c r="L7583">
        <v>136.47739999999999</v>
      </c>
      <c r="M7583">
        <v>0.98343290000000005</v>
      </c>
      <c r="N7583">
        <v>0</v>
      </c>
      <c r="O7583">
        <v>0.18075479999999999</v>
      </c>
      <c r="P7583">
        <v>0.98744940000000003</v>
      </c>
      <c r="Q7583">
        <v>0.13956209999999999</v>
      </c>
      <c r="R7583">
        <v>7.3932890000000001E-2</v>
      </c>
      <c r="S7583">
        <v>3.0662379999999998</v>
      </c>
      <c r="T7583">
        <v>-0.31399749999999998</v>
      </c>
      <c r="U7583">
        <v>0.26823429999999998</v>
      </c>
      <c r="V7583">
        <v>0.1063577</v>
      </c>
      <c r="W7583">
        <v>0.1526391</v>
      </c>
      <c r="X7583">
        <v>0.98254229999999998</v>
      </c>
      <c r="Y7583">
        <v>9.2965359999999997E-2</v>
      </c>
      <c r="Z7583">
        <v>-2.305451E-2</v>
      </c>
      <c r="AA7583">
        <v>0.99540240000000002</v>
      </c>
      <c r="AB7583">
        <v>22</v>
      </c>
      <c r="AC7583">
        <v>0.65139999999999498</v>
      </c>
      <c r="AD7583">
        <v>-8.8795999999999806E-2</v>
      </c>
      <c r="AE7583">
        <v>3.8200000000017498E-2</v>
      </c>
      <c r="AF7583">
        <v>7.8726182474060505E-2</v>
      </c>
      <c r="AG7583">
        <v>-8.8795999999999806E-2</v>
      </c>
      <c r="AH7583">
        <v>0.63579980569103001</v>
      </c>
      <c r="AI7583">
        <v>97.891026422375006</v>
      </c>
      <c r="AJ7583">
        <v>82.941433428914706</v>
      </c>
      <c r="AK7583">
        <v>0.64677966444507995</v>
      </c>
      <c r="AL7583">
        <v>81.2201027442255</v>
      </c>
      <c r="AM7583">
        <v>83.821933463792504</v>
      </c>
      <c r="AN7583">
        <v>1.0000000132436899</v>
      </c>
    </row>
    <row r="7584" spans="1:40" x14ac:dyDescent="0.25">
      <c r="A7584" t="str">
        <f>"20190312172555863"</f>
        <v>20190312172555863</v>
      </c>
      <c r="B7584" t="str">
        <f>"1552382755857490"</f>
        <v>1552382755857490</v>
      </c>
      <c r="C7584" t="s">
        <v>40</v>
      </c>
      <c r="D7584">
        <v>3.699354</v>
      </c>
      <c r="E7584">
        <v>0.4952376</v>
      </c>
      <c r="F7584" t="s">
        <v>41</v>
      </c>
      <c r="G7584">
        <v>-161.70830000000001</v>
      </c>
      <c r="H7584">
        <v>1.0183329999999999</v>
      </c>
      <c r="I7584">
        <v>136.54859999999999</v>
      </c>
      <c r="J7584">
        <v>-162.22130000000001</v>
      </c>
      <c r="K7584">
        <v>1.1090629999999999</v>
      </c>
      <c r="L7584">
        <v>136.53399999999999</v>
      </c>
      <c r="M7584">
        <v>0.98411159999999998</v>
      </c>
      <c r="N7584">
        <v>0</v>
      </c>
      <c r="O7584">
        <v>0.17702200000000001</v>
      </c>
      <c r="P7584">
        <v>0.98826190000000003</v>
      </c>
      <c r="Q7584">
        <v>0.13647609999999999</v>
      </c>
      <c r="R7584">
        <v>6.8651119999999996E-2</v>
      </c>
      <c r="S7584">
        <v>3.0652469999999998</v>
      </c>
      <c r="T7584">
        <v>-0.32900109999999999</v>
      </c>
      <c r="U7584">
        <v>0.2589417</v>
      </c>
      <c r="V7584">
        <v>0.1079746</v>
      </c>
      <c r="W7584">
        <v>0.14953569999999999</v>
      </c>
      <c r="X7584">
        <v>0.98284309999999997</v>
      </c>
      <c r="Y7584">
        <v>9.2042289999999999E-2</v>
      </c>
      <c r="Z7584">
        <v>-2.3720399999999999E-2</v>
      </c>
      <c r="AA7584">
        <v>0.99547260000000004</v>
      </c>
      <c r="AB7584">
        <v>22</v>
      </c>
      <c r="AC7584">
        <v>0.51300000000000501</v>
      </c>
      <c r="AD7584">
        <v>-9.0729999999999894E-2</v>
      </c>
      <c r="AE7584">
        <v>1.4600000000001501E-2</v>
      </c>
      <c r="AF7584">
        <v>7.4134378518288802E-2</v>
      </c>
      <c r="AG7584">
        <v>-9.0729999999999894E-2</v>
      </c>
      <c r="AH7584">
        <v>0.49210089782896399</v>
      </c>
      <c r="AI7584">
        <v>100.332428458715</v>
      </c>
      <c r="AJ7584">
        <v>81.432885906075995</v>
      </c>
      <c r="AK7584">
        <v>0.50585683016280902</v>
      </c>
      <c r="AL7584">
        <v>81.399979334347805</v>
      </c>
      <c r="AM7584">
        <v>83.730658416659494</v>
      </c>
      <c r="AN7584">
        <v>0.99999999951862995</v>
      </c>
    </row>
    <row r="7585" spans="1:40" x14ac:dyDescent="0.25">
      <c r="A7585" t="str">
        <f>"20190312172555884"</f>
        <v>20190312172555884</v>
      </c>
      <c r="B7585" t="str">
        <f>"1552382755877982"</f>
        <v>1552382755877982</v>
      </c>
      <c r="C7585" t="s">
        <v>40</v>
      </c>
      <c r="D7585">
        <v>3.7280090000000001</v>
      </c>
      <c r="E7585">
        <v>0.49530649999999998</v>
      </c>
      <c r="F7585" t="s">
        <v>41</v>
      </c>
      <c r="G7585">
        <v>-161.32050000000001</v>
      </c>
      <c r="H7585">
        <v>1.010251</v>
      </c>
      <c r="I7585">
        <v>136.6053</v>
      </c>
      <c r="J7585">
        <v>-162.00729999999999</v>
      </c>
      <c r="K7585">
        <v>1.109027</v>
      </c>
      <c r="L7585">
        <v>136.56960000000001</v>
      </c>
      <c r="M7585">
        <v>0.98455360000000003</v>
      </c>
      <c r="N7585">
        <v>0</v>
      </c>
      <c r="O7585">
        <v>0.1745469</v>
      </c>
      <c r="P7585">
        <v>0.98847750000000001</v>
      </c>
      <c r="Q7585">
        <v>0.1368829</v>
      </c>
      <c r="R7585">
        <v>6.4617460000000002E-2</v>
      </c>
      <c r="S7585">
        <v>3.0651549999999999</v>
      </c>
      <c r="T7585">
        <v>-0.33622239999999998</v>
      </c>
      <c r="U7585">
        <v>0.2431488</v>
      </c>
      <c r="V7585">
        <v>0.10951660000000001</v>
      </c>
      <c r="W7585">
        <v>0.1499279</v>
      </c>
      <c r="X7585">
        <v>0.98261270000000001</v>
      </c>
      <c r="Y7585">
        <v>9.4561880000000001E-2</v>
      </c>
      <c r="Z7585">
        <v>-2.4117340000000001E-2</v>
      </c>
      <c r="AA7585">
        <v>0.99522679999999997</v>
      </c>
      <c r="AB7585">
        <v>22</v>
      </c>
      <c r="AC7585">
        <v>0.68679999999997599</v>
      </c>
      <c r="AD7585">
        <v>-9.8775999999999906E-2</v>
      </c>
      <c r="AE7585">
        <v>3.5699999999991398E-2</v>
      </c>
      <c r="AF7585">
        <v>8.3025493324610594E-2</v>
      </c>
      <c r="AG7585">
        <v>-9.8775999999999906E-2</v>
      </c>
      <c r="AH7585">
        <v>0.66869254036400005</v>
      </c>
      <c r="AI7585">
        <v>98.339565307234594</v>
      </c>
      <c r="AJ7585">
        <v>82.922323605915395</v>
      </c>
      <c r="AK7585">
        <v>0.68102837257801097</v>
      </c>
      <c r="AL7585">
        <v>81.377251626301003</v>
      </c>
      <c r="AM7585">
        <v>83.640374602076704</v>
      </c>
      <c r="AN7585">
        <v>0.99999998953762903</v>
      </c>
    </row>
    <row r="7586" spans="1:40" x14ac:dyDescent="0.25">
      <c r="A7586" t="str">
        <f>"20190312172555907"</f>
        <v>20190312172555907</v>
      </c>
      <c r="B7586" t="str">
        <f>"1552382755897502"</f>
        <v>1552382755897502</v>
      </c>
      <c r="C7586" t="s">
        <v>40</v>
      </c>
      <c r="D7586">
        <v>3.7517320000000001</v>
      </c>
      <c r="E7586">
        <v>0.4954016</v>
      </c>
      <c r="F7586" t="s">
        <v>41</v>
      </c>
      <c r="G7586">
        <v>-161.1241</v>
      </c>
      <c r="H7586">
        <v>1.013026</v>
      </c>
      <c r="I7586">
        <v>136.63630000000001</v>
      </c>
      <c r="J7586">
        <v>-161.78799999999899</v>
      </c>
      <c r="K7586">
        <v>1.109</v>
      </c>
      <c r="L7586">
        <v>136.6054</v>
      </c>
      <c r="M7586">
        <v>0.98500339999999997</v>
      </c>
      <c r="N7586">
        <v>0</v>
      </c>
      <c r="O7586">
        <v>0.17199029999999901</v>
      </c>
      <c r="P7586">
        <v>0.98872439999999995</v>
      </c>
      <c r="Q7586">
        <v>0.13694139999999999</v>
      </c>
      <c r="R7586">
        <v>6.0589990000000003E-2</v>
      </c>
      <c r="S7586">
        <v>3.0659480000000001</v>
      </c>
      <c r="T7586">
        <v>-0.333279299999999</v>
      </c>
      <c r="U7586">
        <v>0.23170470000000001</v>
      </c>
      <c r="V7586">
        <v>0.1109744</v>
      </c>
      <c r="W7586">
        <v>0.1499751</v>
      </c>
      <c r="X7586">
        <v>0.98244200000000004</v>
      </c>
      <c r="Y7586">
        <v>9.5726270000000002E-2</v>
      </c>
      <c r="Z7586">
        <v>-2.369667E-2</v>
      </c>
      <c r="AA7586">
        <v>0.99512560000000005</v>
      </c>
      <c r="AB7586">
        <v>22</v>
      </c>
      <c r="AC7586">
        <v>0.66389999999998395</v>
      </c>
      <c r="AD7586">
        <v>-9.5974000000000004E-2</v>
      </c>
      <c r="AE7586">
        <v>3.0900000000002498E-2</v>
      </c>
      <c r="AF7586">
        <v>8.2044759488620805E-2</v>
      </c>
      <c r="AG7586">
        <v>-9.5974000000000004E-2</v>
      </c>
      <c r="AH7586">
        <v>0.64585235877540204</v>
      </c>
      <c r="AI7586">
        <v>98.385906915575603</v>
      </c>
      <c r="AJ7586">
        <v>82.760305028984902</v>
      </c>
      <c r="AK7586">
        <v>0.658078734325382</v>
      </c>
      <c r="AL7586">
        <v>81.374517000664099</v>
      </c>
      <c r="AM7586">
        <v>83.5553174123378</v>
      </c>
      <c r="AN7586">
        <v>1.0000000657196799</v>
      </c>
    </row>
    <row r="7587" spans="1:40" x14ac:dyDescent="0.25">
      <c r="A7587" t="str">
        <f>"20190312172555929"</f>
        <v>20190312172555929</v>
      </c>
      <c r="B7587" t="str">
        <f>"1552382755917998"</f>
        <v>1552382755917998</v>
      </c>
      <c r="C7587" t="s">
        <v>40</v>
      </c>
      <c r="D7587">
        <v>3.7218749999999998</v>
      </c>
      <c r="E7587">
        <v>0.49539509999999998</v>
      </c>
      <c r="F7587" t="s">
        <v>41</v>
      </c>
      <c r="G7587">
        <v>-160.92779999999999</v>
      </c>
      <c r="H7587">
        <v>1.0159879999999999</v>
      </c>
      <c r="I7587">
        <v>136.66679999999999</v>
      </c>
      <c r="J7587">
        <v>-161.56799999999899</v>
      </c>
      <c r="K7587">
        <v>1.109</v>
      </c>
      <c r="L7587">
        <v>136.64070000000001</v>
      </c>
      <c r="M7587">
        <v>0.98544889999999996</v>
      </c>
      <c r="N7587">
        <v>0</v>
      </c>
      <c r="O7587">
        <v>0.1694195</v>
      </c>
      <c r="P7587">
        <v>0.98885089999999998</v>
      </c>
      <c r="Q7587">
        <v>0.13756160000000001</v>
      </c>
      <c r="R7587">
        <v>5.7015320000000001E-2</v>
      </c>
      <c r="S7587">
        <v>3.066681</v>
      </c>
      <c r="T7587">
        <v>-0.3315594</v>
      </c>
      <c r="U7587">
        <v>0.21945190000000001</v>
      </c>
      <c r="V7587">
        <v>0.11195289999999999</v>
      </c>
      <c r="W7587">
        <v>0.15058840000000001</v>
      </c>
      <c r="X7587">
        <v>0.98223709999999997</v>
      </c>
      <c r="Y7587">
        <v>9.7124020000000005E-2</v>
      </c>
      <c r="Z7587">
        <v>-2.3376870000000001E-2</v>
      </c>
      <c r="AA7587">
        <v>0.99499769999999998</v>
      </c>
      <c r="AB7587">
        <v>22</v>
      </c>
      <c r="AC7587">
        <v>0.640199999999992</v>
      </c>
      <c r="AD7587">
        <v>-9.3012000000000095E-2</v>
      </c>
      <c r="AE7587">
        <v>2.6099999999985302E-2</v>
      </c>
      <c r="AF7587">
        <v>8.1042109164125797E-2</v>
      </c>
      <c r="AG7587">
        <v>-9.3012000000000095E-2</v>
      </c>
      <c r="AH7587">
        <v>0.62225309246634597</v>
      </c>
      <c r="AI7587">
        <v>98.431239650780697</v>
      </c>
      <c r="AJ7587">
        <v>82.579577925390296</v>
      </c>
      <c r="AK7587">
        <v>0.63436422241934498</v>
      </c>
      <c r="AL7587">
        <v>81.338973439754099</v>
      </c>
      <c r="AM7587">
        <v>83.497632226052204</v>
      </c>
      <c r="AN7587">
        <v>1.0000000193246801</v>
      </c>
    </row>
    <row r="7588" spans="1:40" x14ac:dyDescent="0.25">
      <c r="A7588" t="str">
        <f>"20190312172555952"</f>
        <v>20190312172555952</v>
      </c>
      <c r="B7588" t="str">
        <f>"1552382755948255"</f>
        <v>1552382755948255</v>
      </c>
      <c r="C7588" t="s">
        <v>40</v>
      </c>
      <c r="D7588">
        <v>3.7407080000000001</v>
      </c>
      <c r="E7588">
        <v>0.4954056</v>
      </c>
      <c r="F7588" t="s">
        <v>41</v>
      </c>
      <c r="G7588">
        <v>-160.73150000000001</v>
      </c>
      <c r="H7588">
        <v>1.0197039999999999</v>
      </c>
      <c r="I7588">
        <v>136.6978</v>
      </c>
      <c r="J7588">
        <v>-161.3546</v>
      </c>
      <c r="K7588">
        <v>1.109024</v>
      </c>
      <c r="L7588">
        <v>136.67439999999999</v>
      </c>
      <c r="M7588">
        <v>0.98587480000000005</v>
      </c>
      <c r="N7588">
        <v>0</v>
      </c>
      <c r="O7588">
        <v>0.16692370000000001</v>
      </c>
      <c r="P7588">
        <v>0.98894159999999998</v>
      </c>
      <c r="Q7588">
        <v>0.1383471</v>
      </c>
      <c r="R7588">
        <v>5.3431739999999998E-2</v>
      </c>
      <c r="S7588">
        <v>3.0673219999999999</v>
      </c>
      <c r="T7588">
        <v>-0.32740350000000001</v>
      </c>
      <c r="U7588">
        <v>0.20896909999999999</v>
      </c>
      <c r="V7588">
        <v>0.1130096</v>
      </c>
      <c r="W7588">
        <v>0.1513671</v>
      </c>
      <c r="X7588">
        <v>0.98199639999999999</v>
      </c>
      <c r="Y7588">
        <v>9.8049709999999998E-2</v>
      </c>
      <c r="Z7588">
        <v>-2.2872239999999999E-2</v>
      </c>
      <c r="AA7588">
        <v>0.99491859999999999</v>
      </c>
      <c r="AB7588">
        <v>22</v>
      </c>
      <c r="AC7588">
        <v>0.62309999999999299</v>
      </c>
      <c r="AD7588">
        <v>-8.9319999999999802E-2</v>
      </c>
      <c r="AE7588">
        <v>2.3400000000009399E-2</v>
      </c>
      <c r="AF7588">
        <v>7.9320639179941602E-2</v>
      </c>
      <c r="AG7588">
        <v>-8.9319999999999802E-2</v>
      </c>
      <c r="AH7588">
        <v>0.60583108369515204</v>
      </c>
      <c r="AI7588">
        <v>98.316939310744004</v>
      </c>
      <c r="AJ7588">
        <v>82.5407712642089</v>
      </c>
      <c r="AK7588">
        <v>0.61749585275624097</v>
      </c>
      <c r="AL7588">
        <v>81.293840118447704</v>
      </c>
      <c r="AM7588">
        <v>83.435196062714894</v>
      </c>
      <c r="AN7588">
        <v>1.0000000491337599</v>
      </c>
    </row>
    <row r="7589" spans="1:40" x14ac:dyDescent="0.25">
      <c r="A7589" t="str">
        <f>"20190312172555974"</f>
        <v>20190312172555974</v>
      </c>
      <c r="B7589" t="str">
        <f>"1552382755967777"</f>
        <v>1552382755967777</v>
      </c>
      <c r="C7589" t="s">
        <v>40</v>
      </c>
      <c r="D7589">
        <v>3.7474080000000001</v>
      </c>
      <c r="E7589">
        <v>0.49535319999999999</v>
      </c>
      <c r="F7589" t="s">
        <v>41</v>
      </c>
      <c r="G7589">
        <v>-160.53540000000001</v>
      </c>
      <c r="H7589">
        <v>1.0227489999999999</v>
      </c>
      <c r="I7589">
        <v>136.727</v>
      </c>
      <c r="J7589">
        <v>-161.13579999999999</v>
      </c>
      <c r="K7589">
        <v>1.1090719999999901</v>
      </c>
      <c r="L7589">
        <v>136.70840000000001</v>
      </c>
      <c r="M7589">
        <v>0.98630459999999998</v>
      </c>
      <c r="N7589">
        <v>0</v>
      </c>
      <c r="O7589">
        <v>0.16436419999999999</v>
      </c>
      <c r="P7589">
        <v>0.98872950000000004</v>
      </c>
      <c r="Q7589">
        <v>0.14087369999999999</v>
      </c>
      <c r="R7589">
        <v>5.0685260000000003E-2</v>
      </c>
      <c r="S7589">
        <v>3.0680540000000001</v>
      </c>
      <c r="T7589">
        <v>-0.32302249999999999</v>
      </c>
      <c r="U7589">
        <v>0.1972961</v>
      </c>
      <c r="V7589">
        <v>0.1131346</v>
      </c>
      <c r="W7589">
        <v>0.15388969999999999</v>
      </c>
      <c r="X7589">
        <v>0.98158979999999996</v>
      </c>
      <c r="Y7589">
        <v>9.9298339999999999E-2</v>
      </c>
      <c r="Z7589">
        <v>-2.236726E-2</v>
      </c>
      <c r="AA7589">
        <v>0.99480630000000003</v>
      </c>
      <c r="AB7589">
        <v>22</v>
      </c>
      <c r="AC7589">
        <v>0.60039999999997895</v>
      </c>
      <c r="AD7589">
        <v>-8.63229999999999E-2</v>
      </c>
      <c r="AE7589">
        <v>1.8599999999992099E-2</v>
      </c>
      <c r="AF7589">
        <v>7.87208227203961E-2</v>
      </c>
      <c r="AG7589">
        <v>-8.63229999999999E-2</v>
      </c>
      <c r="AH7589">
        <v>0.58324532312706001</v>
      </c>
      <c r="AI7589">
        <v>98.344339910188495</v>
      </c>
      <c r="AJ7589">
        <v>82.313220908052998</v>
      </c>
      <c r="AK7589">
        <v>0.59483084587835999</v>
      </c>
      <c r="AL7589">
        <v>81.147591878389207</v>
      </c>
      <c r="AM7589">
        <v>83.425299752715702</v>
      </c>
      <c r="AN7589">
        <v>1.0000000064736401</v>
      </c>
    </row>
    <row r="7590" spans="1:40" x14ac:dyDescent="0.25">
      <c r="A7590" t="str">
        <f>"20190312172555997"</f>
        <v>20190312172555997</v>
      </c>
      <c r="B7590" t="str">
        <f>"1552382755987295"</f>
        <v>1552382755987295</v>
      </c>
      <c r="C7590" t="s">
        <v>40</v>
      </c>
      <c r="D7590">
        <v>3.7401110000000002</v>
      </c>
      <c r="E7590">
        <v>0.49510710000000002</v>
      </c>
      <c r="F7590" t="s">
        <v>41</v>
      </c>
      <c r="G7590">
        <v>-160.3339</v>
      </c>
      <c r="H7590">
        <v>1.037744</v>
      </c>
      <c r="I7590">
        <v>136.7577</v>
      </c>
      <c r="J7590">
        <v>-160.91829999999999</v>
      </c>
      <c r="K7590">
        <v>1.1091219999999999</v>
      </c>
      <c r="L7590">
        <v>136.7415</v>
      </c>
      <c r="M7590">
        <v>0.9867245</v>
      </c>
      <c r="N7590">
        <v>0</v>
      </c>
      <c r="O7590">
        <v>0.16182469999999999</v>
      </c>
      <c r="P7590">
        <v>0.98847229999999997</v>
      </c>
      <c r="Q7590">
        <v>0.1433198</v>
      </c>
      <c r="R7590">
        <v>4.8805040000000001E-2</v>
      </c>
      <c r="S7590">
        <v>3.0633539999999999</v>
      </c>
      <c r="T7590">
        <v>-0.27252539999999997</v>
      </c>
      <c r="U7590">
        <v>0.1886139</v>
      </c>
      <c r="V7590">
        <v>0.11241909999999999</v>
      </c>
      <c r="W7590">
        <v>0.15633830000000001</v>
      </c>
      <c r="X7590">
        <v>0.98128499999999996</v>
      </c>
      <c r="Y7590">
        <v>9.98666E-2</v>
      </c>
      <c r="Z7590">
        <v>-1.8719679999999999E-2</v>
      </c>
      <c r="AA7590">
        <v>0.99482470000000001</v>
      </c>
      <c r="AB7590">
        <v>22</v>
      </c>
      <c r="AC7590">
        <v>0.58439999999998704</v>
      </c>
      <c r="AD7590">
        <v>-7.13779999999999E-2</v>
      </c>
      <c r="AE7590">
        <v>1.6199999999997699E-2</v>
      </c>
      <c r="AF7590">
        <v>7.7438453500433893E-2</v>
      </c>
      <c r="AG7590">
        <v>-7.13779999999999E-2</v>
      </c>
      <c r="AH7590">
        <v>0.570808934730343</v>
      </c>
      <c r="AI7590">
        <v>97.063629717558399</v>
      </c>
      <c r="AJ7590">
        <v>82.274169388649895</v>
      </c>
      <c r="AK7590">
        <v>0.58044325556640597</v>
      </c>
      <c r="AL7590">
        <v>81.005578349789403</v>
      </c>
      <c r="AM7590">
        <v>83.464507824686606</v>
      </c>
      <c r="AN7590">
        <v>0.99999998465834905</v>
      </c>
    </row>
    <row r="7591" spans="1:40" x14ac:dyDescent="0.25">
      <c r="A7591" t="str">
        <f>"20190312172556018"</f>
        <v>20190312172556018</v>
      </c>
      <c r="B7591" t="str">
        <f>"1552382756007791"</f>
        <v>1552382756007791</v>
      </c>
      <c r="C7591" t="s">
        <v>40</v>
      </c>
      <c r="D7591">
        <v>3.7502439999999999</v>
      </c>
      <c r="E7591">
        <v>0.49497869999999999</v>
      </c>
      <c r="F7591" t="s">
        <v>41</v>
      </c>
      <c r="G7591">
        <v>-160.1386</v>
      </c>
      <c r="H7591">
        <v>1.0408919999999999</v>
      </c>
      <c r="I7591">
        <v>136.78809999999999</v>
      </c>
      <c r="J7591">
        <v>-160.70189999999999</v>
      </c>
      <c r="K7591">
        <v>1.1091599999999999</v>
      </c>
      <c r="L7591">
        <v>136.774</v>
      </c>
      <c r="M7591">
        <v>0.98713510000000004</v>
      </c>
      <c r="N7591">
        <v>0</v>
      </c>
      <c r="O7591">
        <v>0.15930150000000001</v>
      </c>
      <c r="P7591">
        <v>0.98828229999999995</v>
      </c>
      <c r="Q7591">
        <v>0.145064</v>
      </c>
      <c r="R7591">
        <v>4.7484609999999997E-2</v>
      </c>
      <c r="S7591">
        <v>3.0648040000000001</v>
      </c>
      <c r="T7591">
        <v>-0.2681906</v>
      </c>
      <c r="U7591">
        <v>0.1835175</v>
      </c>
      <c r="V7591">
        <v>0.1111779</v>
      </c>
      <c r="W7591">
        <v>0.15808820000000001</v>
      </c>
      <c r="X7591">
        <v>0.98114599999999996</v>
      </c>
      <c r="Y7591">
        <v>9.9045549999999996E-2</v>
      </c>
      <c r="Z7591">
        <v>-1.8162480000000002E-2</v>
      </c>
      <c r="AA7591">
        <v>0.99491719999999895</v>
      </c>
      <c r="AB7591">
        <v>22</v>
      </c>
      <c r="AC7591">
        <v>0.56329999999999802</v>
      </c>
      <c r="AD7591">
        <v>-6.8268000000000204E-2</v>
      </c>
      <c r="AE7591">
        <v>1.4099999999984901E-2</v>
      </c>
      <c r="AF7591">
        <v>7.4726161323287604E-2</v>
      </c>
      <c r="AG7591">
        <v>-6.8268000000000204E-2</v>
      </c>
      <c r="AH7591">
        <v>0.55027442775484303</v>
      </c>
      <c r="AI7591">
        <v>97.008401018487504</v>
      </c>
      <c r="AJ7591">
        <v>82.266653880687997</v>
      </c>
      <c r="AK7591">
        <v>0.55950555390543999</v>
      </c>
      <c r="AL7591">
        <v>80.904053541098804</v>
      </c>
      <c r="AM7591">
        <v>83.535142999856006</v>
      </c>
      <c r="AN7591">
        <v>0.99999993887182304</v>
      </c>
    </row>
    <row r="7592" spans="1:40" x14ac:dyDescent="0.25">
      <c r="A7592" t="str">
        <f>"20190312172556040"</f>
        <v>20190312172556040</v>
      </c>
      <c r="B7592" t="str">
        <f>"1552382756038047"</f>
        <v>1552382756038047</v>
      </c>
      <c r="C7592" t="s">
        <v>40</v>
      </c>
      <c r="D7592">
        <v>4.0067170000000001</v>
      </c>
      <c r="E7592">
        <v>0.49962230000000002</v>
      </c>
      <c r="F7592" t="s">
        <v>41</v>
      </c>
      <c r="G7592">
        <v>-159.9436</v>
      </c>
      <c r="H7592">
        <v>1.0436270000000001</v>
      </c>
      <c r="I7592">
        <v>136.81819999999999</v>
      </c>
      <c r="J7592">
        <v>-160.48750000000001</v>
      </c>
      <c r="K7592">
        <v>1.1091690000000001</v>
      </c>
      <c r="L7592">
        <v>136.8056</v>
      </c>
      <c r="M7592">
        <v>0.9875353</v>
      </c>
      <c r="N7592">
        <v>0</v>
      </c>
      <c r="O7592">
        <v>0.156802</v>
      </c>
      <c r="P7592">
        <v>0.98823170000000005</v>
      </c>
      <c r="Q7592">
        <v>0.14555370000000001</v>
      </c>
      <c r="R7592">
        <v>4.7037820000000001E-2</v>
      </c>
      <c r="S7592">
        <v>3.0658259999999999</v>
      </c>
      <c r="T7592">
        <v>-0.26495180000000002</v>
      </c>
      <c r="U7592">
        <v>0.1792755</v>
      </c>
      <c r="V7592">
        <v>0.1091179</v>
      </c>
      <c r="W7592">
        <v>0.15859010000000001</v>
      </c>
      <c r="X7592">
        <v>0.98129630000000001</v>
      </c>
      <c r="Y7592">
        <v>9.7955139999999996E-2</v>
      </c>
      <c r="Z7592">
        <v>-1.7679239999999999E-2</v>
      </c>
      <c r="AA7592">
        <v>0.99503379999999997</v>
      </c>
      <c r="AB7592">
        <v>22</v>
      </c>
      <c r="AC7592">
        <v>0.54390000000000704</v>
      </c>
      <c r="AD7592">
        <v>-6.5541999999999906E-2</v>
      </c>
      <c r="AE7592">
        <v>1.2599999999991901E-2</v>
      </c>
      <c r="AF7592">
        <v>7.1806328860633095E-2</v>
      </c>
      <c r="AG7592">
        <v>-6.5541999999999906E-2</v>
      </c>
      <c r="AH7592">
        <v>0.53143371772641901</v>
      </c>
      <c r="AI7592">
        <v>96.968125288223106</v>
      </c>
      <c r="AJ7592">
        <v>82.304905266494899</v>
      </c>
      <c r="AK7592">
        <v>0.54025336552858605</v>
      </c>
      <c r="AL7592">
        <v>80.874929778010795</v>
      </c>
      <c r="AM7592">
        <v>83.654907139252202</v>
      </c>
      <c r="AN7592">
        <v>0.99999998215605501</v>
      </c>
    </row>
    <row r="7593" spans="1:40" x14ac:dyDescent="0.25">
      <c r="A7593" t="str">
        <f>"20190312172556064"</f>
        <v>20190312172556064</v>
      </c>
      <c r="B7593" t="str">
        <f>"1552382756057567"</f>
        <v>1552382756057567</v>
      </c>
      <c r="C7593" t="s">
        <v>40</v>
      </c>
      <c r="D7593">
        <v>3.8460679999999998</v>
      </c>
      <c r="E7593">
        <v>0.50177839999999996</v>
      </c>
      <c r="F7593" t="s">
        <v>41</v>
      </c>
      <c r="G7593">
        <v>-159.74549999999999</v>
      </c>
      <c r="H7593">
        <v>1.0471090000000001</v>
      </c>
      <c r="I7593">
        <v>136.83930000000001</v>
      </c>
      <c r="J7593">
        <v>-160.26840000000001</v>
      </c>
      <c r="K7593">
        <v>1.1091629999999999</v>
      </c>
      <c r="L7593">
        <v>136.8373</v>
      </c>
      <c r="M7593">
        <v>0.98793850000000005</v>
      </c>
      <c r="N7593">
        <v>0</v>
      </c>
      <c r="O7593">
        <v>0.15424099999999999</v>
      </c>
      <c r="P7593">
        <v>0.98845369999999999</v>
      </c>
      <c r="Q7593">
        <v>0.14432900000000001</v>
      </c>
      <c r="R7593">
        <v>4.613594E-2</v>
      </c>
      <c r="S7593">
        <v>3.0668489999999999</v>
      </c>
      <c r="T7593">
        <v>-0.25649129999999998</v>
      </c>
      <c r="U7593">
        <v>0.13978579999999999</v>
      </c>
      <c r="V7593">
        <v>0.10748530000000001</v>
      </c>
      <c r="W7593">
        <v>0.15737670000000001</v>
      </c>
      <c r="X7593">
        <v>0.98167179999999998</v>
      </c>
      <c r="Y7593">
        <v>0.10819860000000001</v>
      </c>
      <c r="Z7593">
        <v>-1.7336020000000001E-2</v>
      </c>
      <c r="AA7593">
        <v>0.99397809999999998</v>
      </c>
      <c r="AB7593">
        <v>22</v>
      </c>
      <c r="AC7593">
        <v>0.52290000000002101</v>
      </c>
      <c r="AD7593">
        <v>-6.2053999999999797E-2</v>
      </c>
      <c r="AE7593">
        <v>2.0000000000095402E-3</v>
      </c>
      <c r="AF7593">
        <v>7.7591387038721704E-2</v>
      </c>
      <c r="AG7593">
        <v>-6.2053999999999797E-2</v>
      </c>
      <c r="AH7593">
        <v>0.50977080664339203</v>
      </c>
      <c r="AI7593">
        <v>96.862156144378801</v>
      </c>
      <c r="AJ7593">
        <v>81.345528280185903</v>
      </c>
      <c r="AK7593">
        <v>0.51936249148783098</v>
      </c>
      <c r="AL7593">
        <v>80.945337006860697</v>
      </c>
      <c r="AM7593">
        <v>83.751456112502197</v>
      </c>
      <c r="AN7593">
        <v>1.0000000191670999</v>
      </c>
    </row>
    <row r="7594" spans="1:40" x14ac:dyDescent="0.25">
      <c r="A7594" t="str">
        <f>"20190312172556085"</f>
        <v>20190312172556085</v>
      </c>
      <c r="B7594" t="str">
        <f>"1552382756078063"</f>
        <v>1552382756078063</v>
      </c>
      <c r="C7594" t="s">
        <v>40</v>
      </c>
      <c r="D7594">
        <v>3.862689</v>
      </c>
      <c r="E7594">
        <v>0.50340870000000004</v>
      </c>
      <c r="F7594" t="s">
        <v>41</v>
      </c>
      <c r="G7594">
        <v>-159.363</v>
      </c>
      <c r="H7594">
        <v>1.034897</v>
      </c>
      <c r="I7594">
        <v>136.8725</v>
      </c>
      <c r="J7594">
        <v>-160.05189999999999</v>
      </c>
      <c r="K7594">
        <v>1.109145</v>
      </c>
      <c r="L7594">
        <v>136.86799999999999</v>
      </c>
      <c r="M7594">
        <v>0.98833269999999995</v>
      </c>
      <c r="N7594">
        <v>0</v>
      </c>
      <c r="O7594">
        <v>0.15169479999999999</v>
      </c>
      <c r="P7594">
        <v>0.98884680000000003</v>
      </c>
      <c r="Q7594">
        <v>0.1419541</v>
      </c>
      <c r="R7594">
        <v>4.5073040000000002E-2</v>
      </c>
      <c r="S7594">
        <v>3.0661770000000002</v>
      </c>
      <c r="T7594">
        <v>-0.25146000000000002</v>
      </c>
      <c r="U7594">
        <v>0.1195831</v>
      </c>
      <c r="V7594">
        <v>0.1060512</v>
      </c>
      <c r="W7594">
        <v>0.15501239999999999</v>
      </c>
      <c r="X7594">
        <v>0.98220379999999996</v>
      </c>
      <c r="Y7594">
        <v>0.1121933</v>
      </c>
      <c r="Z7594">
        <v>-1.696199E-2</v>
      </c>
      <c r="AA7594">
        <v>0.99354160000000002</v>
      </c>
      <c r="AB7594">
        <v>22</v>
      </c>
      <c r="AC7594">
        <v>0.68889999999998897</v>
      </c>
      <c r="AD7594">
        <v>-7.4247999999999995E-2</v>
      </c>
      <c r="AE7594">
        <v>4.5000000000072699E-3</v>
      </c>
      <c r="AF7594">
        <v>9.8915460711745104E-2</v>
      </c>
      <c r="AG7594">
        <v>-7.4247999999999995E-2</v>
      </c>
      <c r="AH7594">
        <v>0.67378247898639398</v>
      </c>
      <c r="AI7594">
        <v>96.222220769325304</v>
      </c>
      <c r="AJ7594">
        <v>81.648280977142903</v>
      </c>
      <c r="AK7594">
        <v>0.68504004471334901</v>
      </c>
      <c r="AL7594">
        <v>81.082484613780693</v>
      </c>
      <c r="AM7594">
        <v>83.837493485250107</v>
      </c>
      <c r="AN7594">
        <v>1.0000000029548199</v>
      </c>
    </row>
    <row r="7595" spans="1:40" x14ac:dyDescent="0.25">
      <c r="A7595" t="str">
        <f>"20190312172556108"</f>
        <v>20190312172556108</v>
      </c>
      <c r="B7595" t="str">
        <f>"1552382756097584"</f>
        <v>1552382756097584</v>
      </c>
      <c r="C7595" t="s">
        <v>40</v>
      </c>
      <c r="D7595">
        <v>3.856338</v>
      </c>
      <c r="E7595">
        <v>0.50459830000000006</v>
      </c>
      <c r="F7595" t="s">
        <v>41</v>
      </c>
      <c r="G7595">
        <v>-159.16909999999999</v>
      </c>
      <c r="H7595">
        <v>1.0361</v>
      </c>
      <c r="I7595">
        <v>136.89760000000001</v>
      </c>
      <c r="J7595">
        <v>-159.8357</v>
      </c>
      <c r="K7595">
        <v>1.109132</v>
      </c>
      <c r="L7595">
        <v>136.8981</v>
      </c>
      <c r="M7595">
        <v>0.98872269999999896</v>
      </c>
      <c r="N7595">
        <v>0</v>
      </c>
      <c r="O7595">
        <v>0.14913219999999999</v>
      </c>
      <c r="P7595">
        <v>0.98921919999999997</v>
      </c>
      <c r="Q7595">
        <v>0.13974149999999999</v>
      </c>
      <c r="R7595">
        <v>4.379131E-2</v>
      </c>
      <c r="S7595">
        <v>3.0655519999999998</v>
      </c>
      <c r="T7595">
        <v>-0.25361</v>
      </c>
      <c r="U7595">
        <v>0.103302</v>
      </c>
      <c r="V7595">
        <v>0.1048166</v>
      </c>
      <c r="W7595">
        <v>0.15280779999999999</v>
      </c>
      <c r="X7595">
        <v>0.98268169999999999</v>
      </c>
      <c r="Y7595">
        <v>0.1148628</v>
      </c>
      <c r="Z7595">
        <v>-1.70136E-2</v>
      </c>
      <c r="AA7595">
        <v>0.9932356</v>
      </c>
      <c r="AB7595">
        <v>22</v>
      </c>
      <c r="AC7595">
        <v>0.66660000000001596</v>
      </c>
      <c r="AD7595">
        <v>-7.3031999999999903E-2</v>
      </c>
      <c r="AE7595">
        <v>-4.9999999998817603E-4</v>
      </c>
      <c r="AF7595">
        <v>9.8730155193260602E-2</v>
      </c>
      <c r="AG7595">
        <v>-7.3031999999999903E-2</v>
      </c>
      <c r="AH7595">
        <v>0.65125252768794994</v>
      </c>
      <c r="AI7595">
        <v>96.326770371852902</v>
      </c>
      <c r="AJ7595">
        <v>81.379576122698197</v>
      </c>
      <c r="AK7595">
        <v>0.66273008939418898</v>
      </c>
      <c r="AL7595">
        <v>81.210322389535406</v>
      </c>
      <c r="AM7595">
        <v>83.911632188628403</v>
      </c>
      <c r="AN7595">
        <v>1.00000003344564</v>
      </c>
    </row>
    <row r="7596" spans="1:40" x14ac:dyDescent="0.25">
      <c r="A7596" t="str">
        <f>"20190312172556131"</f>
        <v>20190312172556131</v>
      </c>
      <c r="B7596" t="str">
        <f>"1552382756127839"</f>
        <v>1552382756127839</v>
      </c>
      <c r="C7596" t="s">
        <v>40</v>
      </c>
      <c r="D7596">
        <v>3.8591959999999998</v>
      </c>
      <c r="E7596">
        <v>0.50600469999999997</v>
      </c>
      <c r="F7596" t="s">
        <v>41</v>
      </c>
      <c r="G7596">
        <v>-158.97569999999999</v>
      </c>
      <c r="H7596">
        <v>1.036972</v>
      </c>
      <c r="I7596">
        <v>136.92320000000001</v>
      </c>
      <c r="J7596">
        <v>-159.61770000000001</v>
      </c>
      <c r="K7596">
        <v>1.109119</v>
      </c>
      <c r="L7596">
        <v>136.92779999999999</v>
      </c>
      <c r="M7596">
        <v>0.98911320000000003</v>
      </c>
      <c r="N7596">
        <v>0</v>
      </c>
      <c r="O7596">
        <v>0.14651919999999999</v>
      </c>
      <c r="P7596">
        <v>0.98935090000000003</v>
      </c>
      <c r="Q7596">
        <v>0.1394753</v>
      </c>
      <c r="R7596">
        <v>4.1613700000000003E-2</v>
      </c>
      <c r="S7596">
        <v>3.0650179999999998</v>
      </c>
      <c r="T7596">
        <v>-0.25715349999999998</v>
      </c>
      <c r="U7596">
        <v>9.0011599999999997E-2</v>
      </c>
      <c r="V7596">
        <v>0.104390899999999</v>
      </c>
      <c r="W7596">
        <v>0.1525397</v>
      </c>
      <c r="X7596">
        <v>0.98276870000000005</v>
      </c>
      <c r="Y7596">
        <v>0.1165123</v>
      </c>
      <c r="Z7596">
        <v>-1.710797E-2</v>
      </c>
      <c r="AA7596">
        <v>0.99304190000000003</v>
      </c>
      <c r="AB7596">
        <v>22</v>
      </c>
      <c r="AC7596">
        <v>0.642000000000024</v>
      </c>
      <c r="AD7596">
        <v>-7.2146999999999906E-2</v>
      </c>
      <c r="AE7596">
        <v>-4.5999999999821696E-3</v>
      </c>
      <c r="AF7596">
        <v>9.7394553195580602E-2</v>
      </c>
      <c r="AG7596">
        <v>-7.2146999999999906E-2</v>
      </c>
      <c r="AH7596">
        <v>0.62648464533238102</v>
      </c>
      <c r="AI7596">
        <v>96.492031631046899</v>
      </c>
      <c r="AJ7596">
        <v>81.1634194545409</v>
      </c>
      <c r="AK7596">
        <v>0.63810179394702005</v>
      </c>
      <c r="AL7596">
        <v>81.225865919643198</v>
      </c>
      <c r="AM7596">
        <v>83.936707564790296</v>
      </c>
      <c r="AN7596">
        <v>1.0000000688892901</v>
      </c>
    </row>
    <row r="7597" spans="1:40" x14ac:dyDescent="0.25">
      <c r="A7597" t="str">
        <f>"20190312172556153"</f>
        <v>20190312172556153</v>
      </c>
      <c r="B7597" t="str">
        <f>"1552382756147359"</f>
        <v>1552382756147359</v>
      </c>
      <c r="C7597" t="s">
        <v>40</v>
      </c>
      <c r="D7597">
        <v>3.9111590000000001</v>
      </c>
      <c r="E7597">
        <v>0.50668150000000001</v>
      </c>
      <c r="F7597" t="s">
        <v>41</v>
      </c>
      <c r="G7597">
        <v>-158.78129999999999</v>
      </c>
      <c r="H7597">
        <v>1.039938</v>
      </c>
      <c r="I7597">
        <v>136.9477</v>
      </c>
      <c r="J7597">
        <v>-159.40860000000001</v>
      </c>
      <c r="K7597">
        <v>1.109102</v>
      </c>
      <c r="L7597">
        <v>136.95570000000001</v>
      </c>
      <c r="M7597">
        <v>0.98948650000000005</v>
      </c>
      <c r="N7597">
        <v>0</v>
      </c>
      <c r="O7597">
        <v>0.14397760000000001</v>
      </c>
      <c r="P7597">
        <v>0.9892455</v>
      </c>
      <c r="Q7597">
        <v>0.1409802</v>
      </c>
      <c r="R7597">
        <v>3.8964390000000002E-2</v>
      </c>
      <c r="S7597">
        <v>3.0649410000000001</v>
      </c>
      <c r="T7597">
        <v>-0.2535154</v>
      </c>
      <c r="U7597">
        <v>7.3120119999999997E-2</v>
      </c>
      <c r="V7597">
        <v>0.10447869999999999</v>
      </c>
      <c r="W7597">
        <v>0.1540357</v>
      </c>
      <c r="X7597">
        <v>0.98252589999999995</v>
      </c>
      <c r="Y7597">
        <v>0.11945269999999999</v>
      </c>
      <c r="Z7597">
        <v>-1.6783019999999999E-2</v>
      </c>
      <c r="AA7597">
        <v>0.99269799999999997</v>
      </c>
      <c r="AB7597">
        <v>22</v>
      </c>
      <c r="AC7597">
        <v>0.62730000000001895</v>
      </c>
      <c r="AD7597">
        <v>-6.9164000000000003E-2</v>
      </c>
      <c r="AE7597">
        <v>-8.0000000000097701E-3</v>
      </c>
      <c r="AF7597">
        <v>9.7062471501423095E-2</v>
      </c>
      <c r="AG7597">
        <v>-6.9164000000000003E-2</v>
      </c>
      <c r="AH7597">
        <v>0.61217031458165605</v>
      </c>
      <c r="AI7597">
        <v>96.367163966752102</v>
      </c>
      <c r="AJ7597">
        <v>80.990484644007907</v>
      </c>
      <c r="AK7597">
        <v>0.62366439398523299</v>
      </c>
      <c r="AL7597">
        <v>81.139125423418193</v>
      </c>
      <c r="AM7597">
        <v>83.930157543202796</v>
      </c>
      <c r="AN7597">
        <v>0.99999996989949402</v>
      </c>
    </row>
    <row r="7598" spans="1:40" x14ac:dyDescent="0.25">
      <c r="A7598" t="str">
        <f>"20190312172556175"</f>
        <v>20190312172556175</v>
      </c>
      <c r="B7598" t="str">
        <f>"1552382756167855"</f>
        <v>1552382756167855</v>
      </c>
      <c r="C7598" t="s">
        <v>40</v>
      </c>
      <c r="D7598">
        <v>3.9058709999999999</v>
      </c>
      <c r="E7598">
        <v>0.50726459999999995</v>
      </c>
      <c r="F7598" t="s">
        <v>41</v>
      </c>
      <c r="G7598">
        <v>-158.5864</v>
      </c>
      <c r="H7598">
        <v>1.042783</v>
      </c>
      <c r="I7598">
        <v>136.9717</v>
      </c>
      <c r="J7598">
        <v>-159.19049999999999</v>
      </c>
      <c r="K7598">
        <v>1.109092</v>
      </c>
      <c r="L7598">
        <v>136.98429999999999</v>
      </c>
      <c r="M7598">
        <v>0.98987440000000004</v>
      </c>
      <c r="N7598">
        <v>0</v>
      </c>
      <c r="O7598">
        <v>0.14128550000000001</v>
      </c>
      <c r="P7598">
        <v>0.98911689999999997</v>
      </c>
      <c r="Q7598">
        <v>0.14254159999999999</v>
      </c>
      <c r="R7598">
        <v>3.6468E-2</v>
      </c>
      <c r="S7598">
        <v>3.0655060000000001</v>
      </c>
      <c r="T7598">
        <v>-0.24723020000000001</v>
      </c>
      <c r="U7598">
        <v>5.9707639999999999E-2</v>
      </c>
      <c r="V7598">
        <v>0.10426680000000001</v>
      </c>
      <c r="W7598">
        <v>0.1555889</v>
      </c>
      <c r="X7598">
        <v>0.9823037</v>
      </c>
      <c r="Y7598">
        <v>0.1211448</v>
      </c>
      <c r="Z7598">
        <v>-1.6220169999999999E-2</v>
      </c>
      <c r="AA7598">
        <v>0.99250229999999995</v>
      </c>
      <c r="AB7598">
        <v>22</v>
      </c>
      <c r="AC7598">
        <v>0.60409999999998798</v>
      </c>
      <c r="AD7598">
        <v>-6.6308999999999896E-2</v>
      </c>
      <c r="AE7598">
        <v>-1.2599999999991901E-2</v>
      </c>
      <c r="AF7598">
        <v>9.6667957473173999E-2</v>
      </c>
      <c r="AG7598">
        <v>-6.6308999999999896E-2</v>
      </c>
      <c r="AH7598">
        <v>0.58916334951911697</v>
      </c>
      <c r="AI7598">
        <v>96.337451500824102</v>
      </c>
      <c r="AJ7598">
        <v>80.682123615968607</v>
      </c>
      <c r="AK7598">
        <v>0.60071210234156303</v>
      </c>
      <c r="AL7598">
        <v>81.049048028079795</v>
      </c>
      <c r="AM7598">
        <v>83.941016497157804</v>
      </c>
      <c r="AN7598">
        <v>1.0000000152095601</v>
      </c>
    </row>
    <row r="7599" spans="1:40" x14ac:dyDescent="0.25">
      <c r="A7599" t="str">
        <f>"20190312172556197"</f>
        <v>20190312172556197</v>
      </c>
      <c r="B7599" t="str">
        <f>"1552382756187375"</f>
        <v>1552382756187375</v>
      </c>
      <c r="C7599" t="s">
        <v>40</v>
      </c>
      <c r="D7599">
        <v>3.9049209999999999</v>
      </c>
      <c r="E7599">
        <v>0.50770779999999904</v>
      </c>
      <c r="F7599" t="s">
        <v>41</v>
      </c>
      <c r="G7599">
        <v>-158.39099999999999</v>
      </c>
      <c r="H7599">
        <v>1.0462830000000001</v>
      </c>
      <c r="I7599">
        <v>136.99639999999999</v>
      </c>
      <c r="J7599">
        <v>-158.98050000000001</v>
      </c>
      <c r="K7599">
        <v>1.1090850000000001</v>
      </c>
      <c r="L7599">
        <v>137.0111</v>
      </c>
      <c r="M7599">
        <v>0.99024610000000002</v>
      </c>
      <c r="N7599">
        <v>0</v>
      </c>
      <c r="O7599">
        <v>0.13865669999999999</v>
      </c>
      <c r="P7599">
        <v>0.9888846</v>
      </c>
      <c r="Q7599">
        <v>0.144676799999999</v>
      </c>
      <c r="R7599">
        <v>3.4292820000000002E-2</v>
      </c>
      <c r="S7599">
        <v>3.0659640000000001</v>
      </c>
      <c r="T7599">
        <v>-0.2408344</v>
      </c>
      <c r="U7599">
        <v>4.6966550000000003E-2</v>
      </c>
      <c r="V7599">
        <v>0.1037906</v>
      </c>
      <c r="W7599">
        <v>0.1577162</v>
      </c>
      <c r="X7599">
        <v>0.98201479999999997</v>
      </c>
      <c r="Y7599">
        <v>0.1226821</v>
      </c>
      <c r="Z7599">
        <v>-1.5656639999999999E-2</v>
      </c>
      <c r="AA7599">
        <v>0.9923225</v>
      </c>
      <c r="AB7599">
        <v>22</v>
      </c>
      <c r="AC7599">
        <v>0.58950000000001501</v>
      </c>
      <c r="AD7599">
        <v>-6.2801999999999997E-2</v>
      </c>
      <c r="AE7599">
        <v>-1.47000000000048E-2</v>
      </c>
      <c r="AF7599">
        <v>9.5223670322737194E-2</v>
      </c>
      <c r="AG7599">
        <v>-6.2801999999999997E-2</v>
      </c>
      <c r="AH7599">
        <v>0.57524152897870395</v>
      </c>
      <c r="AI7599">
        <v>96.147584444936101</v>
      </c>
      <c r="AJ7599">
        <v>80.600673510916906</v>
      </c>
      <c r="AK7599">
        <v>0.58644220112086898</v>
      </c>
      <c r="AL7599">
        <v>80.925638716552399</v>
      </c>
      <c r="AM7599">
        <v>83.966722881526195</v>
      </c>
      <c r="AN7599">
        <v>0.99999997790491901</v>
      </c>
    </row>
    <row r="7600" spans="1:40" x14ac:dyDescent="0.25">
      <c r="A7600" t="str">
        <f>"20190312172556219"</f>
        <v>20190312172556219</v>
      </c>
      <c r="B7600" t="str">
        <f>"1552382756207871"</f>
        <v>1552382756207871</v>
      </c>
      <c r="C7600" t="s">
        <v>40</v>
      </c>
      <c r="D7600">
        <v>3.8957630000000001</v>
      </c>
      <c r="E7600">
        <v>0.50809649999999995</v>
      </c>
      <c r="F7600" t="s">
        <v>41</v>
      </c>
      <c r="G7600">
        <v>-158.1961</v>
      </c>
      <c r="H7600">
        <v>1.049361</v>
      </c>
      <c r="I7600">
        <v>137.0205</v>
      </c>
      <c r="J7600">
        <v>-158.76679999999999</v>
      </c>
      <c r="K7600">
        <v>1.109076</v>
      </c>
      <c r="L7600">
        <v>137.0378</v>
      </c>
      <c r="M7600">
        <v>0.99062119999999998</v>
      </c>
      <c r="N7600">
        <v>0</v>
      </c>
      <c r="O7600">
        <v>0.1359513</v>
      </c>
      <c r="P7600">
        <v>0.98872800000000005</v>
      </c>
      <c r="Q7600">
        <v>0.14611660000000001</v>
      </c>
      <c r="R7600">
        <v>3.2665979999999997E-2</v>
      </c>
      <c r="S7600">
        <v>3.0665740000000001</v>
      </c>
      <c r="T7600">
        <v>-0.23343220000000001</v>
      </c>
      <c r="U7600">
        <v>3.7414549999999998E-2</v>
      </c>
      <c r="V7600">
        <v>0.1027044</v>
      </c>
      <c r="W7600">
        <v>0.15915409999999999</v>
      </c>
      <c r="X7600">
        <v>0.98189709999999997</v>
      </c>
      <c r="Y7600">
        <v>0.1231201</v>
      </c>
      <c r="Z7600">
        <v>-1.498727E-2</v>
      </c>
      <c r="AA7600">
        <v>0.99227860000000001</v>
      </c>
      <c r="AB7600">
        <v>22</v>
      </c>
      <c r="AC7600">
        <v>0.570699999999987</v>
      </c>
      <c r="AD7600">
        <v>-5.97149999999999E-2</v>
      </c>
      <c r="AE7600">
        <v>-1.73000000000058E-2</v>
      </c>
      <c r="AF7600">
        <v>9.3708983491210096E-2</v>
      </c>
      <c r="AG7600">
        <v>-5.97149999999999E-2</v>
      </c>
      <c r="AH7600">
        <v>0.55695599025327103</v>
      </c>
      <c r="AI7600">
        <v>96.035494929465102</v>
      </c>
      <c r="AJ7600">
        <v>80.449320187937801</v>
      </c>
      <c r="AK7600">
        <v>0.56793241665796701</v>
      </c>
      <c r="AL7600">
        <v>80.842200046897403</v>
      </c>
      <c r="AM7600">
        <v>84.028693941458897</v>
      </c>
      <c r="AN7600">
        <v>1.00000006815728</v>
      </c>
    </row>
    <row r="7601" spans="1:40" x14ac:dyDescent="0.25">
      <c r="A7601" t="str">
        <f>"20190312172556243"</f>
        <v>20190312172556243</v>
      </c>
      <c r="B7601" t="str">
        <f>"1552382756238126"</f>
        <v>1552382756238126</v>
      </c>
      <c r="C7601" t="s">
        <v>40</v>
      </c>
      <c r="D7601">
        <v>3.9152490000000002</v>
      </c>
      <c r="E7601">
        <v>0.50859089999999996</v>
      </c>
      <c r="F7601" t="s">
        <v>43</v>
      </c>
      <c r="G7601">
        <v>-143.88800000000001</v>
      </c>
      <c r="H7601" s="1">
        <v>-3.0363800000000001E-6</v>
      </c>
      <c r="I7601">
        <v>137.1807</v>
      </c>
      <c r="J7601">
        <v>-158.5498</v>
      </c>
      <c r="K7601">
        <v>1.1090629999999999</v>
      </c>
      <c r="L7601">
        <v>137.06440000000001</v>
      </c>
      <c r="M7601">
        <v>0.99099760000000003</v>
      </c>
      <c r="N7601">
        <v>0</v>
      </c>
      <c r="O7601">
        <v>0.13317989999999999</v>
      </c>
      <c r="P7601">
        <v>0.98850269999999996</v>
      </c>
      <c r="Q7601">
        <v>0.14778820000000001</v>
      </c>
      <c r="R7601">
        <v>3.1954000000000003E-2</v>
      </c>
      <c r="S7601">
        <v>3.0670470000000001</v>
      </c>
      <c r="T7601">
        <v>-0.22861909999999999</v>
      </c>
      <c r="U7601">
        <v>2.944946E-2</v>
      </c>
      <c r="V7601">
        <v>0.1006377</v>
      </c>
      <c r="W7601">
        <v>0.160829799999999</v>
      </c>
      <c r="X7601">
        <v>0.98183799999999999</v>
      </c>
      <c r="Y7601">
        <v>0.1229616</v>
      </c>
      <c r="Z7601">
        <v>-1.44668E-2</v>
      </c>
      <c r="AA7601">
        <v>0.99230600000000002</v>
      </c>
      <c r="AB7601">
        <v>22</v>
      </c>
      <c r="AC7601">
        <v>14.661799999999999</v>
      </c>
      <c r="AD7601">
        <v>-1.10906603638</v>
      </c>
      <c r="AE7601">
        <v>0.116299999999995</v>
      </c>
      <c r="AF7601">
        <v>1.8271217902000501</v>
      </c>
      <c r="AG7601">
        <v>-1.10906603638</v>
      </c>
      <c r="AH7601">
        <v>14.463900890820399</v>
      </c>
      <c r="AI7601">
        <v>94.350319430905103</v>
      </c>
      <c r="AJ7601">
        <v>82.800365808036105</v>
      </c>
      <c r="AK7601">
        <v>14.6209722826066</v>
      </c>
      <c r="AL7601">
        <v>80.744936087832301</v>
      </c>
      <c r="AM7601">
        <v>84.147661146579694</v>
      </c>
      <c r="AN7601">
        <v>1.0000000147366599</v>
      </c>
    </row>
    <row r="7602" spans="1:40" x14ac:dyDescent="0.25">
      <c r="A7602" t="str">
        <f>"20190312172556265"</f>
        <v>20190312172556265</v>
      </c>
      <c r="B7602" t="str">
        <f>"1552382756257649"</f>
        <v>1552382756257649</v>
      </c>
      <c r="C7602" t="s">
        <v>40</v>
      </c>
      <c r="D7602">
        <v>3.9227349999999999</v>
      </c>
      <c r="E7602">
        <v>0.50883</v>
      </c>
      <c r="F7602" t="s">
        <v>41</v>
      </c>
      <c r="G7602">
        <v>-157.624</v>
      </c>
      <c r="H7602">
        <v>1.0418229999999999</v>
      </c>
      <c r="I7602">
        <v>137.071</v>
      </c>
      <c r="J7602">
        <v>-158.33099999999999</v>
      </c>
      <c r="K7602">
        <v>1.1090580000000001</v>
      </c>
      <c r="L7602">
        <v>137.09039999999999</v>
      </c>
      <c r="M7602">
        <v>0.99137090000000005</v>
      </c>
      <c r="N7602">
        <v>0</v>
      </c>
      <c r="O7602">
        <v>0.13037190000000001</v>
      </c>
      <c r="P7602">
        <v>0.98846869999999998</v>
      </c>
      <c r="Q7602">
        <v>0.1481606</v>
      </c>
      <c r="R7602">
        <v>3.1275829999999998E-2</v>
      </c>
      <c r="S7602">
        <v>3.0674739999999998</v>
      </c>
      <c r="T7602">
        <v>-0.22277469999999999</v>
      </c>
      <c r="U7602">
        <v>2.2460939999999999E-2</v>
      </c>
      <c r="V7602">
        <v>9.8519709999999996E-2</v>
      </c>
      <c r="W7602">
        <v>0.16121089999999999</v>
      </c>
      <c r="X7602">
        <v>0.98199029999999998</v>
      </c>
      <c r="Y7602">
        <v>0.1224568</v>
      </c>
      <c r="Z7602">
        <v>-1.387591E-2</v>
      </c>
      <c r="AA7602">
        <v>0.99237690000000001</v>
      </c>
      <c r="AB7602">
        <v>22</v>
      </c>
      <c r="AC7602">
        <v>0.70700000000002095</v>
      </c>
      <c r="AD7602">
        <v>-6.72350000000001E-2</v>
      </c>
      <c r="AE7602">
        <v>-1.93999999999903E-2</v>
      </c>
      <c r="AF7602">
        <v>0.110418091219572</v>
      </c>
      <c r="AG7602">
        <v>-6.72350000000001E-2</v>
      </c>
      <c r="AH7602">
        <v>0.69218004246742704</v>
      </c>
      <c r="AI7602">
        <v>95.479180084316496</v>
      </c>
      <c r="AJ7602">
        <v>80.936417010388396</v>
      </c>
      <c r="AK7602">
        <v>0.70414906893624696</v>
      </c>
      <c r="AL7602">
        <v>80.722812005183201</v>
      </c>
      <c r="AM7602">
        <v>84.270882132841905</v>
      </c>
      <c r="AN7602">
        <v>1.0000000184156901</v>
      </c>
    </row>
    <row r="7603" spans="1:40" x14ac:dyDescent="0.25">
      <c r="A7603" t="str">
        <f>"20190312172556286"</f>
        <v>20190312172556286</v>
      </c>
      <c r="B7603" t="str">
        <f>"1552382756278143"</f>
        <v>1552382756278143</v>
      </c>
      <c r="C7603" t="s">
        <v>40</v>
      </c>
      <c r="D7603">
        <v>3.924226</v>
      </c>
      <c r="E7603">
        <v>0.50898460000000001</v>
      </c>
      <c r="F7603" t="s">
        <v>41</v>
      </c>
      <c r="G7603">
        <v>-157.4314</v>
      </c>
      <c r="H7603">
        <v>1.0438590000000001</v>
      </c>
      <c r="I7603">
        <v>137.09569999999999</v>
      </c>
      <c r="J7603">
        <v>-158.12190000000001</v>
      </c>
      <c r="K7603">
        <v>1.1090530000000001</v>
      </c>
      <c r="L7603">
        <v>137.1147</v>
      </c>
      <c r="M7603">
        <v>0.99172090000000002</v>
      </c>
      <c r="N7603">
        <v>0</v>
      </c>
      <c r="O7603">
        <v>0.12768209999999999</v>
      </c>
      <c r="P7603">
        <v>0.98863069999999997</v>
      </c>
      <c r="Q7603">
        <v>0.14731729999999901</v>
      </c>
      <c r="R7603">
        <v>3.011896E-2</v>
      </c>
      <c r="S7603">
        <v>3.0677189999999999</v>
      </c>
      <c r="T7603">
        <v>-0.2222923</v>
      </c>
      <c r="U7603">
        <v>1.8737790000000001E-2</v>
      </c>
      <c r="V7603">
        <v>9.7012570000000006E-2</v>
      </c>
      <c r="W7603">
        <v>0.16037650000000001</v>
      </c>
      <c r="X7603">
        <v>0.98227690000000001</v>
      </c>
      <c r="Y7603">
        <v>0.1209832</v>
      </c>
      <c r="Z7603">
        <v>-1.359837E-2</v>
      </c>
      <c r="AA7603">
        <v>0.99256140000000004</v>
      </c>
      <c r="AB7603">
        <v>21</v>
      </c>
      <c r="AC7603">
        <v>0.69050000000001399</v>
      </c>
      <c r="AD7603">
        <v>-6.5193999999999905E-2</v>
      </c>
      <c r="AE7603">
        <v>-1.9000000000005401E-2</v>
      </c>
      <c r="AF7603">
        <v>0.106072343688888</v>
      </c>
      <c r="AG7603">
        <v>-6.5193999999999905E-2</v>
      </c>
      <c r="AH7603">
        <v>0.67639606514109996</v>
      </c>
      <c r="AI7603">
        <v>95.439339403921494</v>
      </c>
      <c r="AJ7603">
        <v>81.087470569761194</v>
      </c>
      <c r="AK7603">
        <v>0.68775957766505602</v>
      </c>
      <c r="AL7603">
        <v>80.771249559170201</v>
      </c>
      <c r="AM7603">
        <v>84.359591082070693</v>
      </c>
      <c r="AN7603">
        <v>0.99999998438193205</v>
      </c>
    </row>
    <row r="7604" spans="1:40" x14ac:dyDescent="0.25">
      <c r="A7604" t="str">
        <f>"20190312172556309"</f>
        <v>20190312172556309</v>
      </c>
      <c r="B7604" t="str">
        <f>"1552382756297663"</f>
        <v>1552382756297663</v>
      </c>
      <c r="C7604" t="s">
        <v>40</v>
      </c>
      <c r="D7604">
        <v>3.93628</v>
      </c>
      <c r="E7604">
        <v>0.50916859999999997</v>
      </c>
      <c r="F7604" t="s">
        <v>41</v>
      </c>
      <c r="G7604">
        <v>-157.24039999999999</v>
      </c>
      <c r="H7604">
        <v>1.044279</v>
      </c>
      <c r="I7604">
        <v>137.119</v>
      </c>
      <c r="J7604">
        <v>-157.91040000000001</v>
      </c>
      <c r="K7604">
        <v>1.10907</v>
      </c>
      <c r="L7604">
        <v>137.1387</v>
      </c>
      <c r="M7604">
        <v>0.99206740000000004</v>
      </c>
      <c r="N7604">
        <v>0</v>
      </c>
      <c r="O7604">
        <v>0.12496160000000001</v>
      </c>
      <c r="P7604">
        <v>0.98897020000000002</v>
      </c>
      <c r="Q7604">
        <v>0.14528820000000001</v>
      </c>
      <c r="R7604">
        <v>2.8799669999999999E-2</v>
      </c>
      <c r="S7604">
        <v>3.0676420000000002</v>
      </c>
      <c r="T7604">
        <v>-0.22535060000000001</v>
      </c>
      <c r="U7604">
        <v>1.5075679999999999E-2</v>
      </c>
      <c r="V7604">
        <v>9.5652500000000001E-2</v>
      </c>
      <c r="W7604">
        <v>0.1583589</v>
      </c>
      <c r="X7604">
        <v>0.98273750000000004</v>
      </c>
      <c r="Y7604">
        <v>0.1194388</v>
      </c>
      <c r="Z7604">
        <v>-1.3530520000000001E-2</v>
      </c>
      <c r="AA7604">
        <v>0.99274929999999995</v>
      </c>
      <c r="AB7604">
        <v>21</v>
      </c>
      <c r="AC7604">
        <v>0.67000000000001503</v>
      </c>
      <c r="AD7604">
        <v>-6.4790999999999793E-2</v>
      </c>
      <c r="AE7604">
        <v>-1.97000000000002E-2</v>
      </c>
      <c r="AF7604">
        <v>0.102321619344037</v>
      </c>
      <c r="AG7604">
        <v>-6.4790999999999793E-2</v>
      </c>
      <c r="AH7604">
        <v>0.65615459078790495</v>
      </c>
      <c r="AI7604">
        <v>95.5723895423166</v>
      </c>
      <c r="AJ7604">
        <v>81.136605685108606</v>
      </c>
      <c r="AK7604">
        <v>0.66723791444898395</v>
      </c>
      <c r="AL7604">
        <v>80.888345972998707</v>
      </c>
      <c r="AM7604">
        <v>84.440758063248396</v>
      </c>
      <c r="AN7604">
        <v>0.999999967935854</v>
      </c>
    </row>
    <row r="7605" spans="1:40" x14ac:dyDescent="0.25">
      <c r="A7605" t="str">
        <f>"20190312172556331"</f>
        <v>20190312172556331</v>
      </c>
      <c r="B7605" t="str">
        <f>"1552382756327918"</f>
        <v>1552382756327918</v>
      </c>
      <c r="C7605" t="s">
        <v>40</v>
      </c>
      <c r="D7605">
        <v>3.9164590000000001</v>
      </c>
      <c r="E7605">
        <v>0.50947889999999996</v>
      </c>
      <c r="F7605" t="s">
        <v>41</v>
      </c>
      <c r="G7605">
        <v>-157.05019999999999</v>
      </c>
      <c r="H7605">
        <v>1.0437920000000001</v>
      </c>
      <c r="I7605">
        <v>137.14150000000001</v>
      </c>
      <c r="J7605">
        <v>-157.6901</v>
      </c>
      <c r="K7605">
        <v>1.1090960000000001</v>
      </c>
      <c r="L7605">
        <v>137.16309999999999</v>
      </c>
      <c r="M7605">
        <v>0.99241939999999995</v>
      </c>
      <c r="N7605">
        <v>0</v>
      </c>
      <c r="O7605">
        <v>0.1221352</v>
      </c>
      <c r="P7605">
        <v>0.98923749999999999</v>
      </c>
      <c r="Q7605">
        <v>0.14392940000000001</v>
      </c>
      <c r="R7605">
        <v>2.6334159999999999E-2</v>
      </c>
      <c r="S7605">
        <v>3.0673520000000001</v>
      </c>
      <c r="T7605">
        <v>-0.23275589999999999</v>
      </c>
      <c r="U7605">
        <v>1.089478E-2</v>
      </c>
      <c r="V7605">
        <v>9.5317570000000004E-2</v>
      </c>
      <c r="W7605">
        <v>0.1570047</v>
      </c>
      <c r="X7605">
        <v>0.98298730000000001</v>
      </c>
      <c r="Y7605">
        <v>0.1179318</v>
      </c>
      <c r="Z7605">
        <v>-1.3705439999999999E-2</v>
      </c>
      <c r="AA7605">
        <v>0.99292709999999995</v>
      </c>
      <c r="AB7605">
        <v>21</v>
      </c>
      <c r="AC7605">
        <v>0.63990000000001102</v>
      </c>
      <c r="AD7605">
        <v>-6.5303999999999807E-2</v>
      </c>
      <c r="AE7605">
        <v>-2.1599999999978001E-2</v>
      </c>
      <c r="AF7605">
        <v>9.8574398338824795E-2</v>
      </c>
      <c r="AG7605">
        <v>-6.5303999999999807E-2</v>
      </c>
      <c r="AH7605">
        <v>0.62595822999992701</v>
      </c>
      <c r="AI7605">
        <v>95.883926130854306</v>
      </c>
      <c r="AJ7605">
        <v>81.050693834200203</v>
      </c>
      <c r="AK7605">
        <v>0.63702843745668303</v>
      </c>
      <c r="AL7605">
        <v>80.966918926101599</v>
      </c>
      <c r="AM7605">
        <v>84.4615016663098</v>
      </c>
      <c r="AN7605">
        <v>0.99999997346704195</v>
      </c>
    </row>
    <row r="7606" spans="1:40" x14ac:dyDescent="0.25">
      <c r="A7606" t="str">
        <f>"20190312172556354"</f>
        <v>20190312172556354</v>
      </c>
      <c r="B7606" t="str">
        <f>"1552382756347439"</f>
        <v>1552382756347439</v>
      </c>
      <c r="C7606" t="s">
        <v>40</v>
      </c>
      <c r="D7606">
        <v>3.9346719999999999</v>
      </c>
      <c r="E7606">
        <v>0.50968029999999998</v>
      </c>
      <c r="F7606" t="s">
        <v>41</v>
      </c>
      <c r="G7606">
        <v>-156.85929999999999</v>
      </c>
      <c r="H7606">
        <v>1.044405</v>
      </c>
      <c r="I7606">
        <v>137.1634</v>
      </c>
      <c r="J7606">
        <v>-157.4769</v>
      </c>
      <c r="K7606">
        <v>1.1091139999999999</v>
      </c>
      <c r="L7606">
        <v>137.18610000000001</v>
      </c>
      <c r="M7606">
        <v>0.99275139999999995</v>
      </c>
      <c r="N7606">
        <v>0</v>
      </c>
      <c r="O7606">
        <v>0.11940729999999999</v>
      </c>
      <c r="P7606">
        <v>0.98931849999999999</v>
      </c>
      <c r="Q7606">
        <v>0.14388619999999999</v>
      </c>
      <c r="R7606">
        <v>2.3359230000000002E-2</v>
      </c>
      <c r="S7606">
        <v>3.0673520000000001</v>
      </c>
      <c r="T7606">
        <v>-0.2388672</v>
      </c>
      <c r="U7606">
        <v>1.6021729999999999E-3</v>
      </c>
      <c r="V7606">
        <v>9.5569630000000003E-2</v>
      </c>
      <c r="W7606">
        <v>0.1569604</v>
      </c>
      <c r="X7606">
        <v>0.98296989999999995</v>
      </c>
      <c r="Y7606">
        <v>0.1181818</v>
      </c>
      <c r="Z7606">
        <v>-1.3863469999999999E-2</v>
      </c>
      <c r="AA7606">
        <v>0.99289519999999998</v>
      </c>
      <c r="AB7606">
        <v>21</v>
      </c>
      <c r="AC7606">
        <v>0.61760000000001003</v>
      </c>
      <c r="AD7606">
        <v>-6.4708999999999905E-2</v>
      </c>
      <c r="AE7606">
        <v>-2.2700000000014601E-2</v>
      </c>
      <c r="AF7606">
        <v>9.5246205451294003E-2</v>
      </c>
      <c r="AG7606">
        <v>-6.4708999999999905E-2</v>
      </c>
      <c r="AH7606">
        <v>0.60384967461037897</v>
      </c>
      <c r="AI7606">
        <v>96.042378259943604</v>
      </c>
      <c r="AJ7606">
        <v>81.036490517905904</v>
      </c>
      <c r="AK7606">
        <v>0.61473044813229405</v>
      </c>
      <c r="AL7606">
        <v>80.969488988678705</v>
      </c>
      <c r="AM7606">
        <v>84.446849275115596</v>
      </c>
      <c r="AN7606">
        <v>0.99999997282625297</v>
      </c>
    </row>
    <row r="7607" spans="1:40" x14ac:dyDescent="0.25">
      <c r="A7607" t="str">
        <f>"20190312172556375"</f>
        <v>20190312172556375</v>
      </c>
      <c r="B7607" t="str">
        <f>"1552382756367939"</f>
        <v>1552382756367939</v>
      </c>
      <c r="C7607" t="s">
        <v>40</v>
      </c>
      <c r="D7607">
        <v>3.9334250000000002</v>
      </c>
      <c r="E7607">
        <v>0.50988719999999998</v>
      </c>
      <c r="F7607" t="s">
        <v>41</v>
      </c>
      <c r="G7607">
        <v>-156.66759999999999</v>
      </c>
      <c r="H7607">
        <v>1.0457179999999999</v>
      </c>
      <c r="I7607">
        <v>137.18350000000001</v>
      </c>
      <c r="J7607">
        <v>-157.26759999999999</v>
      </c>
      <c r="K7607">
        <v>1.1091139999999999</v>
      </c>
      <c r="L7607">
        <v>137.2081</v>
      </c>
      <c r="M7607">
        <v>0.99306890000000003</v>
      </c>
      <c r="N7607">
        <v>0</v>
      </c>
      <c r="O7607">
        <v>0.1167359</v>
      </c>
      <c r="P7607">
        <v>0.98908379999999996</v>
      </c>
      <c r="Q7607">
        <v>0.1457888</v>
      </c>
      <c r="R7607">
        <v>2.1426259999999999E-2</v>
      </c>
      <c r="S7607">
        <v>3.0675509999999999</v>
      </c>
      <c r="T7607">
        <v>-0.24017140000000001</v>
      </c>
      <c r="U7607">
        <v>-8.8806149999999997E-3</v>
      </c>
      <c r="V7607">
        <v>9.4815720000000006E-2</v>
      </c>
      <c r="W7607">
        <v>0.15886310000000001</v>
      </c>
      <c r="X7607">
        <v>0.98273719999999998</v>
      </c>
      <c r="Y7607">
        <v>0.11890149999999999</v>
      </c>
      <c r="Z7607">
        <v>-1.375885E-2</v>
      </c>
      <c r="AA7607">
        <v>0.99281070000000005</v>
      </c>
      <c r="AB7607">
        <v>21</v>
      </c>
      <c r="AC7607">
        <v>0.59999999999999398</v>
      </c>
      <c r="AD7607">
        <v>-6.3395999999999994E-2</v>
      </c>
      <c r="AE7607">
        <v>-2.4599999999992399E-2</v>
      </c>
      <c r="AF7607">
        <v>9.3438464251647396E-2</v>
      </c>
      <c r="AG7607">
        <v>-6.3395999999999994E-2</v>
      </c>
      <c r="AH7607">
        <v>0.586488464440441</v>
      </c>
      <c r="AI7607">
        <v>96.093131694870493</v>
      </c>
      <c r="AJ7607">
        <v>80.947799367263997</v>
      </c>
      <c r="AK7607">
        <v>0.59725917183364596</v>
      </c>
      <c r="AL7607">
        <v>80.859086934227903</v>
      </c>
      <c r="AM7607">
        <v>84.489088635303204</v>
      </c>
      <c r="AN7607">
        <v>0.99999995478228298</v>
      </c>
    </row>
    <row r="7608" spans="1:40" x14ac:dyDescent="0.25">
      <c r="A7608" t="str">
        <f>"20190312172556398"</f>
        <v>20190312172556398</v>
      </c>
      <c r="B7608" t="str">
        <f>"1552382756387455"</f>
        <v>1552382756387455</v>
      </c>
      <c r="C7608" t="s">
        <v>40</v>
      </c>
      <c r="D7608">
        <v>3.9246279999999998</v>
      </c>
      <c r="E7608">
        <v>0.51006039999999997</v>
      </c>
      <c r="F7608" t="s">
        <v>41</v>
      </c>
      <c r="G7608">
        <v>-156.47499999999999</v>
      </c>
      <c r="H7608">
        <v>1.0483739999999999</v>
      </c>
      <c r="I7608">
        <v>137.20349999999999</v>
      </c>
      <c r="J7608">
        <v>-157.05430000000001</v>
      </c>
      <c r="K7608">
        <v>1.109083</v>
      </c>
      <c r="L7608">
        <v>137.22989999999999</v>
      </c>
      <c r="M7608">
        <v>0.99338459999999995</v>
      </c>
      <c r="N7608">
        <v>0</v>
      </c>
      <c r="O7608">
        <v>0.1140192</v>
      </c>
      <c r="P7608">
        <v>0.98899919999999997</v>
      </c>
      <c r="Q7608">
        <v>0.14652119999999999</v>
      </c>
      <c r="R7608">
        <v>2.030879E-2</v>
      </c>
      <c r="S7608">
        <v>3.0681609999999999</v>
      </c>
      <c r="T7608">
        <v>-0.23514579999999999</v>
      </c>
      <c r="U7608">
        <v>-1.724243E-2</v>
      </c>
      <c r="V7608">
        <v>9.3222040000000006E-2</v>
      </c>
      <c r="W7608">
        <v>0.15960170000000001</v>
      </c>
      <c r="X7608">
        <v>0.98277000000000003</v>
      </c>
      <c r="Y7608">
        <v>0.1189289</v>
      </c>
      <c r="Z7608">
        <v>-1.3263540000000001E-2</v>
      </c>
      <c r="AA7608">
        <v>0.99281419999999998</v>
      </c>
      <c r="AB7608">
        <v>21</v>
      </c>
      <c r="AC7608">
        <v>0.57930000000001702</v>
      </c>
      <c r="AD7608">
        <v>-6.0709000000000103E-2</v>
      </c>
      <c r="AE7608">
        <v>-2.6399999999995299E-2</v>
      </c>
      <c r="AF7608">
        <v>9.1284836247476006E-2</v>
      </c>
      <c r="AG7608">
        <v>-6.0709000000000103E-2</v>
      </c>
      <c r="AH7608">
        <v>0.56630450727569603</v>
      </c>
      <c r="AI7608">
        <v>96.041458313555296</v>
      </c>
      <c r="AJ7608">
        <v>80.843037159081405</v>
      </c>
      <c r="AK7608">
        <v>0.57681825471329995</v>
      </c>
      <c r="AL7608">
        <v>80.816221420108405</v>
      </c>
      <c r="AM7608">
        <v>84.581340783640101</v>
      </c>
      <c r="AN7608">
        <v>0.99999996214232501</v>
      </c>
    </row>
    <row r="7609" spans="1:40" x14ac:dyDescent="0.25">
      <c r="A7609" t="str">
        <f>"20190312172556420"</f>
        <v>20190312172556420</v>
      </c>
      <c r="B7609" t="str">
        <f>"1552382756417712"</f>
        <v>1552382756417712</v>
      </c>
      <c r="C7609" t="s">
        <v>40</v>
      </c>
      <c r="D7609">
        <v>3.9251849999999999</v>
      </c>
      <c r="E7609">
        <v>0.51032920000000004</v>
      </c>
      <c r="F7609" t="s">
        <v>41</v>
      </c>
      <c r="G7609">
        <v>-156.2833</v>
      </c>
      <c r="H7609">
        <v>1.0503279999999999</v>
      </c>
      <c r="I7609">
        <v>137.22389999999999</v>
      </c>
      <c r="J7609">
        <v>-156.8443</v>
      </c>
      <c r="K7609">
        <v>1.1090439999999999</v>
      </c>
      <c r="L7609">
        <v>137.2509</v>
      </c>
      <c r="M7609">
        <v>0.99368769999999995</v>
      </c>
      <c r="N7609">
        <v>0</v>
      </c>
      <c r="O7609">
        <v>0.1113471</v>
      </c>
      <c r="P7609">
        <v>0.98913569999999995</v>
      </c>
      <c r="Q7609">
        <v>0.1456189</v>
      </c>
      <c r="R7609">
        <v>2.014871E-2</v>
      </c>
      <c r="S7609">
        <v>3.0684809999999998</v>
      </c>
      <c r="T7609">
        <v>-0.2337892</v>
      </c>
      <c r="U7609">
        <v>-2.342224E-2</v>
      </c>
      <c r="V7609">
        <v>9.0741009999999997E-2</v>
      </c>
      <c r="W7609">
        <v>0.1587134</v>
      </c>
      <c r="X7609">
        <v>0.98314599999999996</v>
      </c>
      <c r="Y7609">
        <v>0.11827500000000001</v>
      </c>
      <c r="Z7609">
        <v>-1.295878E-2</v>
      </c>
      <c r="AA7609">
        <v>0.99289629999999995</v>
      </c>
      <c r="AB7609">
        <v>21</v>
      </c>
      <c r="AC7609">
        <v>0.56100000000000705</v>
      </c>
      <c r="AD7609">
        <v>-5.87159999999999E-2</v>
      </c>
      <c r="AE7609">
        <v>-2.7000000000015199E-2</v>
      </c>
      <c r="AF7609">
        <v>8.8338170210271599E-2</v>
      </c>
      <c r="AG7609">
        <v>-5.87159999999999E-2</v>
      </c>
      <c r="AH7609">
        <v>0.54850947244411896</v>
      </c>
      <c r="AI7609">
        <v>96.032889404545401</v>
      </c>
      <c r="AJ7609">
        <v>80.851000531649603</v>
      </c>
      <c r="AK7609">
        <v>0.55867149769164404</v>
      </c>
      <c r="AL7609">
        <v>80.867774434046694</v>
      </c>
      <c r="AM7609">
        <v>84.726735551241902</v>
      </c>
      <c r="AN7609">
        <v>0.99999996577568895</v>
      </c>
    </row>
    <row r="7610" spans="1:40" x14ac:dyDescent="0.25">
      <c r="A7610" t="str">
        <f>"20190312172556444"</f>
        <v>20190312172556444</v>
      </c>
      <c r="B7610" t="str">
        <f>"1552382756438207"</f>
        <v>1552382756438207</v>
      </c>
      <c r="C7610" t="s">
        <v>40</v>
      </c>
      <c r="D7610">
        <v>3.9267560000000001</v>
      </c>
      <c r="E7610">
        <v>0.5104651</v>
      </c>
      <c r="F7610" t="s">
        <v>41</v>
      </c>
      <c r="G7610">
        <v>-156.0933</v>
      </c>
      <c r="H7610">
        <v>1.050827</v>
      </c>
      <c r="I7610">
        <v>137.2441</v>
      </c>
      <c r="J7610">
        <v>-156.62700000000001</v>
      </c>
      <c r="K7610">
        <v>1.1090139999999999</v>
      </c>
      <c r="L7610">
        <v>137.27189999999999</v>
      </c>
      <c r="M7610">
        <v>0.99399369999999998</v>
      </c>
      <c r="N7610">
        <v>0</v>
      </c>
      <c r="O7610">
        <v>0.1085822</v>
      </c>
      <c r="P7610">
        <v>0.98927980000000004</v>
      </c>
      <c r="Q7610">
        <v>0.14463110000000001</v>
      </c>
      <c r="R7610">
        <v>2.01846E-2</v>
      </c>
      <c r="S7610">
        <v>3.0685120000000001</v>
      </c>
      <c r="T7610">
        <v>-0.23782539999999999</v>
      </c>
      <c r="U7610">
        <v>-2.7145389999999998E-2</v>
      </c>
      <c r="V7610">
        <v>8.7973259999999998E-2</v>
      </c>
      <c r="W7610">
        <v>0.1577412</v>
      </c>
      <c r="X7610">
        <v>0.98355400000000004</v>
      </c>
      <c r="Y7610">
        <v>0.11670709999999999</v>
      </c>
      <c r="Z7610">
        <v>-1.2908060000000001E-2</v>
      </c>
      <c r="AA7610">
        <v>0.99308249999999998</v>
      </c>
      <c r="AB7610">
        <v>21</v>
      </c>
      <c r="AC7610">
        <v>0.53370000000001006</v>
      </c>
      <c r="AD7610">
        <v>-5.8186999999999899E-2</v>
      </c>
      <c r="AE7610">
        <v>-2.7799999999984899E-2</v>
      </c>
      <c r="AF7610">
        <v>8.4588574253191995E-2</v>
      </c>
      <c r="AG7610">
        <v>-5.8186999999999899E-2</v>
      </c>
      <c r="AH7610">
        <v>0.52134478172719101</v>
      </c>
      <c r="AI7610">
        <v>96.286851327444197</v>
      </c>
      <c r="AJ7610">
        <v>80.7840286857693</v>
      </c>
      <c r="AK7610">
        <v>0.53135801047632703</v>
      </c>
      <c r="AL7610">
        <v>80.924188602941996</v>
      </c>
      <c r="AM7610">
        <v>84.888822701012003</v>
      </c>
      <c r="AN7610">
        <v>1.0000000257842301</v>
      </c>
    </row>
    <row r="7611" spans="1:40" x14ac:dyDescent="0.25">
      <c r="A7611" t="str">
        <f>"20190312172556465"</f>
        <v>20190312172556465</v>
      </c>
      <c r="B7611" t="str">
        <f>"1552382756457727"</f>
        <v>1552382756457727</v>
      </c>
      <c r="C7611" t="s">
        <v>40</v>
      </c>
      <c r="D7611">
        <v>3.9198490000000001</v>
      </c>
      <c r="E7611">
        <v>0.51059560000000004</v>
      </c>
      <c r="F7611" t="s">
        <v>41</v>
      </c>
      <c r="G7611">
        <v>-155.72190000000001</v>
      </c>
      <c r="H7611">
        <v>1.0376430000000001</v>
      </c>
      <c r="I7611">
        <v>137.26310000000001</v>
      </c>
      <c r="J7611">
        <v>-156.41739999999999</v>
      </c>
      <c r="K7611">
        <v>1.1090169999999999</v>
      </c>
      <c r="L7611">
        <v>137.29159999999999</v>
      </c>
      <c r="M7611">
        <v>0.99428159999999999</v>
      </c>
      <c r="N7611">
        <v>0</v>
      </c>
      <c r="O7611">
        <v>0.1059137</v>
      </c>
      <c r="P7611">
        <v>0.98924440000000002</v>
      </c>
      <c r="Q7611">
        <v>0.14483969999999999</v>
      </c>
      <c r="R7611">
        <v>2.0424029999999999E-2</v>
      </c>
      <c r="S7611">
        <v>3.0684809999999998</v>
      </c>
      <c r="T7611">
        <v>-0.2418952</v>
      </c>
      <c r="U7611">
        <v>-2.9434200000000001E-2</v>
      </c>
      <c r="V7611">
        <v>8.5083820000000004E-2</v>
      </c>
      <c r="W7611">
        <v>0.15796289999999999</v>
      </c>
      <c r="X7611">
        <v>0.9837726</v>
      </c>
      <c r="Y7611">
        <v>0.11477279999999999</v>
      </c>
      <c r="Z7611">
        <v>-1.2843139999999999E-2</v>
      </c>
      <c r="AA7611">
        <v>0.99330870000000004</v>
      </c>
      <c r="AB7611">
        <v>21</v>
      </c>
      <c r="AC7611">
        <v>0.69549999999998102</v>
      </c>
      <c r="AD7611">
        <v>-7.1373999999999799E-2</v>
      </c>
      <c r="AE7611">
        <v>-2.8499999999979701E-2</v>
      </c>
      <c r="AF7611">
        <v>0.10094816845075499</v>
      </c>
      <c r="AG7611">
        <v>-7.1373999999999799E-2</v>
      </c>
      <c r="AH7611">
        <v>0.68140437853573899</v>
      </c>
      <c r="AI7611">
        <v>95.915567662107307</v>
      </c>
      <c r="AJ7611">
        <v>81.573082680123903</v>
      </c>
      <c r="AK7611">
        <v>0.69252921070323004</v>
      </c>
      <c r="AL7611">
        <v>80.911324904268596</v>
      </c>
      <c r="AM7611">
        <v>85.056943940796302</v>
      </c>
      <c r="AN7611">
        <v>1.0000000313564801</v>
      </c>
    </row>
    <row r="7612" spans="1:40" x14ac:dyDescent="0.25">
      <c r="A7612" t="str">
        <f>"20190312172556487"</f>
        <v>20190312172556487</v>
      </c>
      <c r="B7612" t="str">
        <f>"1552382756477247"</f>
        <v>1552382756477247</v>
      </c>
      <c r="C7612" t="s">
        <v>40</v>
      </c>
      <c r="D7612">
        <v>3.9382609999999998</v>
      </c>
      <c r="E7612">
        <v>0.51071999999999995</v>
      </c>
      <c r="F7612" t="s">
        <v>41</v>
      </c>
      <c r="G7612">
        <v>-155.53210000000001</v>
      </c>
      <c r="H7612">
        <v>1.039175</v>
      </c>
      <c r="I7612">
        <v>137.2826</v>
      </c>
      <c r="J7612">
        <v>-156.2063</v>
      </c>
      <c r="K7612">
        <v>1.1090450000000001</v>
      </c>
      <c r="L7612">
        <v>137.3109</v>
      </c>
      <c r="M7612">
        <v>0.99456420000000001</v>
      </c>
      <c r="N7612">
        <v>0</v>
      </c>
      <c r="O7612">
        <v>0.1032262</v>
      </c>
      <c r="P7612">
        <v>0.98885489999999998</v>
      </c>
      <c r="Q7612">
        <v>0.1475129</v>
      </c>
      <c r="R7612">
        <v>2.0145440000000001E-2</v>
      </c>
      <c r="S7612">
        <v>3.068695</v>
      </c>
      <c r="T7612">
        <v>-0.2420506</v>
      </c>
      <c r="U7612">
        <v>-3.091431E-2</v>
      </c>
      <c r="V7612">
        <v>8.2664349999999998E-2</v>
      </c>
      <c r="W7612">
        <v>0.16064149999999999</v>
      </c>
      <c r="X7612">
        <v>0.98354509999999995</v>
      </c>
      <c r="Y7612">
        <v>0.11258079999999999</v>
      </c>
      <c r="Z7612">
        <v>-1.255333E-2</v>
      </c>
      <c r="AA7612">
        <v>0.99356330000000004</v>
      </c>
      <c r="AB7612">
        <v>21</v>
      </c>
      <c r="AC7612">
        <v>0.67419999999998403</v>
      </c>
      <c r="AD7612">
        <v>-6.9870000000000099E-2</v>
      </c>
      <c r="AE7612">
        <v>-2.8300000000001501E-2</v>
      </c>
      <c r="AF7612">
        <v>9.6713506409508196E-2</v>
      </c>
      <c r="AG7612">
        <v>-6.9870000000000099E-2</v>
      </c>
      <c r="AH7612">
        <v>0.66059381956829599</v>
      </c>
      <c r="AI7612">
        <v>95.974418922874094</v>
      </c>
      <c r="AJ7612">
        <v>81.670847786040696</v>
      </c>
      <c r="AK7612">
        <v>0.671281992663182</v>
      </c>
      <c r="AL7612">
        <v>80.755867108181903</v>
      </c>
      <c r="AM7612">
        <v>85.195733249775301</v>
      </c>
      <c r="AN7612">
        <v>1.0000000250085901</v>
      </c>
    </row>
    <row r="7613" spans="1:40" x14ac:dyDescent="0.25">
      <c r="A7613" t="str">
        <f>"20190312172556509"</f>
        <v>20190312172556509</v>
      </c>
      <c r="B7613" t="str">
        <f>"1552382756497743"</f>
        <v>1552382756497743</v>
      </c>
      <c r="C7613" t="s">
        <v>40</v>
      </c>
      <c r="D7613">
        <v>3.9530569999999998</v>
      </c>
      <c r="E7613">
        <v>0.51087090000000002</v>
      </c>
      <c r="F7613" t="s">
        <v>41</v>
      </c>
      <c r="G7613">
        <v>-155.3408</v>
      </c>
      <c r="H7613">
        <v>1.04288799999999</v>
      </c>
      <c r="I7613">
        <v>137.30119999999999</v>
      </c>
      <c r="J7613">
        <v>-155.99870000000001</v>
      </c>
      <c r="K7613">
        <v>1.1090770000000001</v>
      </c>
      <c r="L7613">
        <v>137.32929999999999</v>
      </c>
      <c r="M7613">
        <v>0.99483520000000003</v>
      </c>
      <c r="N7613">
        <v>0</v>
      </c>
      <c r="O7613">
        <v>0.1005809</v>
      </c>
      <c r="P7613">
        <v>0.98815039999999998</v>
      </c>
      <c r="Q7613">
        <v>0.15219059999999901</v>
      </c>
      <c r="R7613">
        <v>1.9923030000000001E-2</v>
      </c>
      <c r="S7613">
        <v>3.0694889999999999</v>
      </c>
      <c r="T7613">
        <v>-0.23459369999999999</v>
      </c>
      <c r="U7613">
        <v>-3.4011840000000002E-2</v>
      </c>
      <c r="V7613">
        <v>8.0209199999999994E-2</v>
      </c>
      <c r="W7613">
        <v>0.1653202</v>
      </c>
      <c r="X7613">
        <v>0.98297290000000004</v>
      </c>
      <c r="Y7613">
        <v>0.11099150000000001</v>
      </c>
      <c r="Z7613">
        <v>-1.190285E-2</v>
      </c>
      <c r="AA7613">
        <v>0.99375009999999997</v>
      </c>
      <c r="AB7613">
        <v>21</v>
      </c>
      <c r="AC7613">
        <v>0.65790000000001203</v>
      </c>
      <c r="AD7613">
        <v>-6.6189000000000206E-2</v>
      </c>
      <c r="AE7613">
        <v>-2.80999999999949E-2</v>
      </c>
      <c r="AF7613">
        <v>9.3194254304583404E-2</v>
      </c>
      <c r="AG7613">
        <v>-6.6189000000000206E-2</v>
      </c>
      <c r="AH7613">
        <v>0.64521771779906201</v>
      </c>
      <c r="AI7613">
        <v>95.797394806117296</v>
      </c>
      <c r="AJ7613">
        <v>81.781126559085493</v>
      </c>
      <c r="AK7613">
        <v>0.65526487477829698</v>
      </c>
      <c r="AL7613">
        <v>80.484163994041197</v>
      </c>
      <c r="AM7613">
        <v>85.335080537282593</v>
      </c>
      <c r="AN7613">
        <v>1.0000000032135401</v>
      </c>
    </row>
    <row r="7614" spans="1:40" x14ac:dyDescent="0.25">
      <c r="A7614" t="str">
        <f>"20190312172556533"</f>
        <v>20190312172556533</v>
      </c>
      <c r="B7614" t="str">
        <f>"1552382756527999"</f>
        <v>1552382756527999</v>
      </c>
      <c r="C7614" t="s">
        <v>40</v>
      </c>
      <c r="D7614">
        <v>3.9580139999999999</v>
      </c>
      <c r="E7614">
        <v>0.5110652</v>
      </c>
      <c r="F7614" t="s">
        <v>41</v>
      </c>
      <c r="G7614">
        <v>-155.14769999999999</v>
      </c>
      <c r="H7614">
        <v>1.047865</v>
      </c>
      <c r="I7614">
        <v>137.31909999999999</v>
      </c>
      <c r="J7614">
        <v>-155.78059999999999</v>
      </c>
      <c r="K7614">
        <v>1.1091279999999999</v>
      </c>
      <c r="L7614">
        <v>137.34799999999899</v>
      </c>
      <c r="M7614">
        <v>0.99511249999999996</v>
      </c>
      <c r="N7614">
        <v>0</v>
      </c>
      <c r="O7614">
        <v>9.7800650000000003E-2</v>
      </c>
      <c r="P7614">
        <v>0.98737280000000005</v>
      </c>
      <c r="Q7614">
        <v>0.15718579999999999</v>
      </c>
      <c r="R7614">
        <v>1.9690659999999999E-2</v>
      </c>
      <c r="S7614">
        <v>3.070694</v>
      </c>
      <c r="T7614">
        <v>-0.2207702</v>
      </c>
      <c r="U7614">
        <v>-3.6178589999999997E-2</v>
      </c>
      <c r="V7614">
        <v>7.7628459999999996E-2</v>
      </c>
      <c r="W7614">
        <v>0.1703152</v>
      </c>
      <c r="X7614">
        <v>0.98232710000000001</v>
      </c>
      <c r="Y7614">
        <v>0.1089943</v>
      </c>
      <c r="Z7614">
        <v>-1.092831E-2</v>
      </c>
      <c r="AA7614">
        <v>0.99398229999999999</v>
      </c>
      <c r="AB7614">
        <v>21</v>
      </c>
      <c r="AC7614">
        <v>0.63290000000000601</v>
      </c>
      <c r="AD7614">
        <v>-6.1262999999999998E-2</v>
      </c>
      <c r="AE7614">
        <v>-2.8899999999993001E-2</v>
      </c>
      <c r="AF7614">
        <v>8.9825335029818196E-2</v>
      </c>
      <c r="AG7614">
        <v>-6.1262999999999998E-2</v>
      </c>
      <c r="AH7614">
        <v>0.62122998959444098</v>
      </c>
      <c r="AI7614">
        <v>95.574449979011604</v>
      </c>
      <c r="AJ7614">
        <v>81.772468894304197</v>
      </c>
      <c r="AK7614">
        <v>0.63067301032605505</v>
      </c>
      <c r="AL7614">
        <v>80.1938539337511</v>
      </c>
      <c r="AM7614">
        <v>85.481587626789604</v>
      </c>
      <c r="AN7614">
        <v>0.99999998827370995</v>
      </c>
    </row>
    <row r="7615" spans="1:40" x14ac:dyDescent="0.25">
      <c r="A7615" t="str">
        <f>"20190312172556556"</f>
        <v>20190312172556556</v>
      </c>
      <c r="B7615" t="str">
        <f>"1552382756547519"</f>
        <v>1552382756547519</v>
      </c>
      <c r="C7615" t="s">
        <v>40</v>
      </c>
      <c r="D7615">
        <v>3.987606</v>
      </c>
      <c r="E7615">
        <v>0.511131</v>
      </c>
      <c r="F7615" t="s">
        <v>43</v>
      </c>
      <c r="G7615">
        <v>-139.30080000000001</v>
      </c>
      <c r="H7615" s="1">
        <v>-8.8293350000000002E-7</v>
      </c>
      <c r="I7615">
        <v>137.1397</v>
      </c>
      <c r="J7615">
        <v>-155.56219999999999</v>
      </c>
      <c r="K7615">
        <v>1.109156</v>
      </c>
      <c r="L7615">
        <v>137.36619999999999</v>
      </c>
      <c r="M7615">
        <v>0.9953824</v>
      </c>
      <c r="N7615">
        <v>0</v>
      </c>
      <c r="O7615">
        <v>9.5014829999999995E-2</v>
      </c>
      <c r="P7615">
        <v>0.9869137</v>
      </c>
      <c r="Q7615">
        <v>0.16009379999999901</v>
      </c>
      <c r="R7615">
        <v>1.9273599999999998E-2</v>
      </c>
      <c r="S7615">
        <v>3.0720369999999999</v>
      </c>
      <c r="T7615">
        <v>-0.20675489999999999</v>
      </c>
      <c r="U7615">
        <v>-3.8818360000000003E-2</v>
      </c>
      <c r="V7615">
        <v>7.5252849999999996E-2</v>
      </c>
      <c r="W7615">
        <v>0.1732272</v>
      </c>
      <c r="X7615">
        <v>0.98200270000000001</v>
      </c>
      <c r="Y7615">
        <v>0.1071371</v>
      </c>
      <c r="Z7615">
        <v>-9.9825969999999993E-3</v>
      </c>
      <c r="AA7615">
        <v>0.99419409999999997</v>
      </c>
      <c r="AB7615">
        <v>21</v>
      </c>
      <c r="AC7615">
        <v>16.261399999999899</v>
      </c>
      <c r="AD7615">
        <v>-1.1091568829334999</v>
      </c>
      <c r="AE7615">
        <v>-0.22649999999998699</v>
      </c>
      <c r="AF7615">
        <v>1.76249489583469</v>
      </c>
      <c r="AG7615">
        <v>-1.1091568829334999</v>
      </c>
      <c r="AH7615">
        <v>16.091446394427699</v>
      </c>
      <c r="AI7615">
        <v>93.919698792675405</v>
      </c>
      <c r="AJ7615">
        <v>83.749314258249896</v>
      </c>
      <c r="AK7615">
        <v>16.2256360218495</v>
      </c>
      <c r="AL7615">
        <v>80.0244911986196</v>
      </c>
      <c r="AM7615">
        <v>85.617873282445998</v>
      </c>
      <c r="AN7615">
        <v>0.99999997853012601</v>
      </c>
    </row>
    <row r="7616" spans="1:40" x14ac:dyDescent="0.25">
      <c r="A7616" t="str">
        <f>"20190312172556576"</f>
        <v>20190312172556576</v>
      </c>
      <c r="B7616" t="str">
        <f>"1552382756568015"</f>
        <v>1552382756568015</v>
      </c>
      <c r="C7616" t="s">
        <v>40</v>
      </c>
      <c r="D7616">
        <v>3.9080979999999998</v>
      </c>
      <c r="E7616">
        <v>0.51043620000000001</v>
      </c>
      <c r="F7616" t="s">
        <v>43</v>
      </c>
      <c r="G7616">
        <v>-138.3733</v>
      </c>
      <c r="H7616" s="1">
        <v>-1.199014E-6</v>
      </c>
      <c r="I7616">
        <v>137.13800000000001</v>
      </c>
      <c r="J7616">
        <v>-155.36279999999999</v>
      </c>
      <c r="K7616">
        <v>1.1091719999999901</v>
      </c>
      <c r="L7616">
        <v>137.38220000000001</v>
      </c>
      <c r="M7616">
        <v>0.99562200000000001</v>
      </c>
      <c r="N7616">
        <v>0</v>
      </c>
      <c r="O7616">
        <v>9.2471049999999999E-2</v>
      </c>
      <c r="P7616">
        <v>0.98664379999999996</v>
      </c>
      <c r="Q7616">
        <v>0.161775</v>
      </c>
      <c r="R7616">
        <v>1.9053730000000001E-2</v>
      </c>
      <c r="S7616">
        <v>3.0727389999999999</v>
      </c>
      <c r="T7616">
        <v>-0.19827690000000001</v>
      </c>
      <c r="U7616">
        <v>-4.0786740000000002E-2</v>
      </c>
      <c r="V7616">
        <v>7.2936310000000004E-2</v>
      </c>
      <c r="W7616">
        <v>0.17491379999999901</v>
      </c>
      <c r="X7616">
        <v>0.98187849999999999</v>
      </c>
      <c r="Y7616">
        <v>0.1052763</v>
      </c>
      <c r="Z7616">
        <v>-9.3484919999999999E-3</v>
      </c>
      <c r="AA7616">
        <v>0.99439909999999998</v>
      </c>
      <c r="AB7616">
        <v>21</v>
      </c>
      <c r="AC7616">
        <v>16.9894999999999</v>
      </c>
      <c r="AD7616">
        <v>-1.1091731990139999</v>
      </c>
      <c r="AE7616">
        <v>-0.244200000000006</v>
      </c>
      <c r="AF7616">
        <v>1.80663775455791</v>
      </c>
      <c r="AG7616">
        <v>-1.1091731990139999</v>
      </c>
      <c r="AH7616">
        <v>16.822422906592401</v>
      </c>
      <c r="AI7616">
        <v>93.750786010629596</v>
      </c>
      <c r="AJ7616">
        <v>83.870235446938906</v>
      </c>
      <c r="AK7616">
        <v>16.955474561623198</v>
      </c>
      <c r="AL7616">
        <v>79.926357810261806</v>
      </c>
      <c r="AM7616">
        <v>85.751733248827506</v>
      </c>
      <c r="AN7616">
        <v>0.99999996575455197</v>
      </c>
    </row>
    <row r="7617" spans="1:40" x14ac:dyDescent="0.25">
      <c r="A7617" t="str">
        <f>"20190312172556599"</f>
        <v>20190312172556599</v>
      </c>
      <c r="B7617" t="str">
        <f>"1552382756587535"</f>
        <v>1552382756587535</v>
      </c>
      <c r="C7617" t="s">
        <v>40</v>
      </c>
      <c r="D7617">
        <v>3.944912</v>
      </c>
      <c r="E7617">
        <v>0.50988699999999998</v>
      </c>
      <c r="F7617" t="s">
        <v>43</v>
      </c>
      <c r="G7617">
        <v>-137.88499999999999</v>
      </c>
      <c r="H7617" s="1">
        <v>-1.3547999999999999E-6</v>
      </c>
      <c r="I7617">
        <v>137.17699999999999</v>
      </c>
      <c r="J7617">
        <v>-155.15440000000001</v>
      </c>
      <c r="K7617">
        <v>1.109178</v>
      </c>
      <c r="L7617">
        <v>137.39840000000001</v>
      </c>
      <c r="M7617">
        <v>0.99586529999999995</v>
      </c>
      <c r="N7617">
        <v>0</v>
      </c>
      <c r="O7617">
        <v>8.9812230000000007E-2</v>
      </c>
      <c r="P7617">
        <v>0.986622</v>
      </c>
      <c r="Q7617">
        <v>0.1619681</v>
      </c>
      <c r="R7617">
        <v>1.8536279999999999E-2</v>
      </c>
      <c r="S7617">
        <v>3.0732879999999998</v>
      </c>
      <c r="T7617">
        <v>-0.19503680000000001</v>
      </c>
      <c r="U7617">
        <v>-3.6071779999999998E-2</v>
      </c>
      <c r="V7617">
        <v>7.0820670000000002E-2</v>
      </c>
      <c r="W7617">
        <v>0.1751152</v>
      </c>
      <c r="X7617">
        <v>0.98199749999999997</v>
      </c>
      <c r="Y7617">
        <v>0.1011196</v>
      </c>
      <c r="Z7617">
        <v>-8.8945309999999903E-3</v>
      </c>
      <c r="AA7617">
        <v>0.99483449999999995</v>
      </c>
      <c r="AB7617">
        <v>21</v>
      </c>
      <c r="AC7617">
        <v>17.269400000000001</v>
      </c>
      <c r="AD7617">
        <v>-1.1091793548</v>
      </c>
      <c r="AE7617">
        <v>-0.221399999999988</v>
      </c>
      <c r="AF7617">
        <v>1.76437546005068</v>
      </c>
      <c r="AG7617">
        <v>-1.1091793548</v>
      </c>
      <c r="AH7617">
        <v>17.1091424584599</v>
      </c>
      <c r="AI7617">
        <v>93.689759998704403</v>
      </c>
      <c r="AJ7617">
        <v>84.112201806373093</v>
      </c>
      <c r="AK7617">
        <v>17.235604290799301</v>
      </c>
      <c r="AL7617">
        <v>79.914637848589905</v>
      </c>
      <c r="AM7617">
        <v>85.8750277664344</v>
      </c>
      <c r="AN7617">
        <v>0.99999999528826899</v>
      </c>
    </row>
    <row r="7618" spans="1:40" x14ac:dyDescent="0.25">
      <c r="A7618" t="str">
        <f>"20190312172556621"</f>
        <v>20190312172556621</v>
      </c>
      <c r="B7618" t="str">
        <f>"1552382756617797"</f>
        <v>1552382756617797</v>
      </c>
      <c r="C7618" t="s">
        <v>40</v>
      </c>
      <c r="D7618">
        <v>3.983171</v>
      </c>
      <c r="E7618">
        <v>0.50909159999999998</v>
      </c>
      <c r="F7618" t="s">
        <v>43</v>
      </c>
      <c r="G7618">
        <v>-137.7397</v>
      </c>
      <c r="H7618" s="1">
        <v>-1.395293E-6</v>
      </c>
      <c r="I7618">
        <v>137.21080000000001</v>
      </c>
      <c r="J7618">
        <v>-154.94329999999999</v>
      </c>
      <c r="K7618">
        <v>1.109181</v>
      </c>
      <c r="L7618">
        <v>137.4143</v>
      </c>
      <c r="M7618">
        <v>0.99610469999999895</v>
      </c>
      <c r="N7618">
        <v>0</v>
      </c>
      <c r="O7618">
        <v>8.7117310000000003E-2</v>
      </c>
      <c r="P7618">
        <v>0.98665159999999996</v>
      </c>
      <c r="Q7618">
        <v>0.1618906</v>
      </c>
      <c r="R7618">
        <v>1.7611499999999999E-2</v>
      </c>
      <c r="S7618">
        <v>3.07341</v>
      </c>
      <c r="T7618">
        <v>-0.1957506</v>
      </c>
      <c r="U7618">
        <v>-3.311157E-2</v>
      </c>
      <c r="V7618">
        <v>6.9078769999999998E-2</v>
      </c>
      <c r="W7618">
        <v>0.17504439999999999</v>
      </c>
      <c r="X7618">
        <v>0.98213419999999896</v>
      </c>
      <c r="Y7618">
        <v>9.7478549999999997E-2</v>
      </c>
      <c r="Z7618">
        <v>-8.6398029999999997E-3</v>
      </c>
      <c r="AA7618">
        <v>0.99520010000000003</v>
      </c>
      <c r="AB7618">
        <v>21</v>
      </c>
      <c r="AC7618">
        <v>17.203599999999899</v>
      </c>
      <c r="AD7618">
        <v>-1.109182395293</v>
      </c>
      <c r="AE7618">
        <v>-0.20349999999999099</v>
      </c>
      <c r="AF7618">
        <v>1.6945538495547201</v>
      </c>
      <c r="AG7618">
        <v>-1.109182395293</v>
      </c>
      <c r="AH7618">
        <v>17.049587590639501</v>
      </c>
      <c r="AI7618">
        <v>93.704005300496405</v>
      </c>
      <c r="AJ7618">
        <v>84.324028840584702</v>
      </c>
      <c r="AK7618">
        <v>17.169456466235498</v>
      </c>
      <c r="AL7618">
        <v>79.918758103808301</v>
      </c>
      <c r="AM7618">
        <v>85.976706053137605</v>
      </c>
      <c r="AN7618">
        <v>1.0000000026228499</v>
      </c>
    </row>
    <row r="7619" spans="1:40" x14ac:dyDescent="0.25">
      <c r="A7619" t="str">
        <f>"20190312172556645"</f>
        <v>20190312172556645</v>
      </c>
      <c r="B7619" t="str">
        <f>"1552382756638292"</f>
        <v>1552382756638292</v>
      </c>
      <c r="C7619" t="s">
        <v>40</v>
      </c>
      <c r="D7619">
        <v>3.8920720000000002</v>
      </c>
      <c r="E7619">
        <v>0.5086368</v>
      </c>
      <c r="F7619" t="s">
        <v>41</v>
      </c>
      <c r="G7619">
        <v>-154.01740000000001</v>
      </c>
      <c r="H7619">
        <v>1.0492619999999999</v>
      </c>
      <c r="I7619">
        <v>137.40530000000001</v>
      </c>
      <c r="J7619">
        <v>-154.72919999999999</v>
      </c>
      <c r="K7619">
        <v>1.1091770000000001</v>
      </c>
      <c r="L7619">
        <v>137.4298</v>
      </c>
      <c r="M7619">
        <v>0.99634009999999995</v>
      </c>
      <c r="N7619">
        <v>0</v>
      </c>
      <c r="O7619">
        <v>8.4383760000000002E-2</v>
      </c>
      <c r="P7619">
        <v>0.98678250000000001</v>
      </c>
      <c r="Q7619">
        <v>0.16120860000000001</v>
      </c>
      <c r="R7619">
        <v>1.6505010000000001E-2</v>
      </c>
      <c r="S7619">
        <v>3.0737610000000002</v>
      </c>
      <c r="T7619">
        <v>-0.1988983</v>
      </c>
      <c r="U7619">
        <v>-2.9357910000000001E-2</v>
      </c>
      <c r="V7619">
        <v>6.7486619999999997E-2</v>
      </c>
      <c r="W7619">
        <v>0.1743702</v>
      </c>
      <c r="X7619">
        <v>0.98236480000000004</v>
      </c>
      <c r="Y7619">
        <v>9.3532550000000006E-2</v>
      </c>
      <c r="Z7619">
        <v>-8.4736359999999997E-3</v>
      </c>
      <c r="AA7619">
        <v>0.99558009999999997</v>
      </c>
      <c r="AB7619">
        <v>21</v>
      </c>
      <c r="AC7619">
        <v>0.711799999999982</v>
      </c>
      <c r="AD7619">
        <v>-5.9914999999999899E-2</v>
      </c>
      <c r="AE7619">
        <v>-2.4499999999988999E-2</v>
      </c>
      <c r="AF7619">
        <v>8.3888870764749296E-2</v>
      </c>
      <c r="AG7619">
        <v>-5.9914999999999899E-2</v>
      </c>
      <c r="AH7619">
        <v>0.70222363519755004</v>
      </c>
      <c r="AI7619">
        <v>94.842503128028</v>
      </c>
      <c r="AJ7619">
        <v>83.187629673830898</v>
      </c>
      <c r="AK7619">
        <v>0.70975008537741402</v>
      </c>
      <c r="AL7619">
        <v>79.957990322134194</v>
      </c>
      <c r="AM7619">
        <v>86.070061964440299</v>
      </c>
      <c r="AN7619">
        <v>1.00000000540305</v>
      </c>
    </row>
    <row r="7620" spans="1:40" x14ac:dyDescent="0.25">
      <c r="A7620" t="str">
        <f>"20190312172556666"</f>
        <v>20190312172556666</v>
      </c>
      <c r="B7620" t="str">
        <f>"1552382756657807"</f>
        <v>1552382756657807</v>
      </c>
      <c r="C7620" t="s">
        <v>40</v>
      </c>
      <c r="D7620">
        <v>3.9112300000000002</v>
      </c>
      <c r="E7620">
        <v>0.50820390000000004</v>
      </c>
      <c r="F7620" t="s">
        <v>41</v>
      </c>
      <c r="G7620">
        <v>-153.82990000000001</v>
      </c>
      <c r="H7620">
        <v>1.0499339999999999</v>
      </c>
      <c r="I7620">
        <v>137.4212</v>
      </c>
      <c r="J7620">
        <v>-154.52260000000001</v>
      </c>
      <c r="K7620">
        <v>1.1091850000000001</v>
      </c>
      <c r="L7620">
        <v>137.44409999999999</v>
      </c>
      <c r="M7620">
        <v>0.99655990000000005</v>
      </c>
      <c r="N7620">
        <v>0</v>
      </c>
      <c r="O7620">
        <v>8.1745940000000003E-2</v>
      </c>
      <c r="P7620">
        <v>0.98691459999999998</v>
      </c>
      <c r="Q7620">
        <v>0.16045519999999999</v>
      </c>
      <c r="R7620">
        <v>1.592739E-2</v>
      </c>
      <c r="S7620">
        <v>3.0737610000000002</v>
      </c>
      <c r="T7620">
        <v>-0.20252800000000001</v>
      </c>
      <c r="U7620">
        <v>-2.893066E-2</v>
      </c>
      <c r="V7620">
        <v>6.5461889999999995E-2</v>
      </c>
      <c r="W7620">
        <v>0.17362639999999999</v>
      </c>
      <c r="X7620">
        <v>0.98263350000000005</v>
      </c>
      <c r="Y7620">
        <v>9.0756320000000001E-2</v>
      </c>
      <c r="Z7620">
        <v>-8.3633649999999993E-3</v>
      </c>
      <c r="AA7620">
        <v>0.995838</v>
      </c>
      <c r="AB7620">
        <v>21</v>
      </c>
      <c r="AC7620">
        <v>0.69270000000000198</v>
      </c>
      <c r="AD7620">
        <v>-5.9251000000000102E-2</v>
      </c>
      <c r="AE7620">
        <v>-2.2899999999992801E-2</v>
      </c>
      <c r="AF7620">
        <v>7.8877548219308105E-2</v>
      </c>
      <c r="AG7620">
        <v>-5.9251000000000102E-2</v>
      </c>
      <c r="AH7620">
        <v>0.68351364305964801</v>
      </c>
      <c r="AI7620">
        <v>94.921849484334899</v>
      </c>
      <c r="AJ7620">
        <v>83.417179348362794</v>
      </c>
      <c r="AK7620">
        <v>0.69059629948527901</v>
      </c>
      <c r="AL7620">
        <v>80.001266919522493</v>
      </c>
      <c r="AM7620">
        <v>86.188654123228801</v>
      </c>
      <c r="AN7620">
        <v>0.99999999057079103</v>
      </c>
    </row>
    <row r="7621" spans="1:40" x14ac:dyDescent="0.25">
      <c r="A7621" t="str">
        <f>"20190312172556689"</f>
        <v>20190312172556689</v>
      </c>
      <c r="B7621" t="str">
        <f>"1552382756678303"</f>
        <v>1552382756678303</v>
      </c>
      <c r="C7621" t="s">
        <v>40</v>
      </c>
      <c r="D7621">
        <v>3.9301330000000001</v>
      </c>
      <c r="E7621">
        <v>0.50781609999999999</v>
      </c>
      <c r="F7621" t="s">
        <v>41</v>
      </c>
      <c r="G7621">
        <v>-153.64259999999999</v>
      </c>
      <c r="H7621">
        <v>1.050081</v>
      </c>
      <c r="I7621">
        <v>137.4357</v>
      </c>
      <c r="J7621">
        <v>-154.31549999999999</v>
      </c>
      <c r="K7621">
        <v>1.109192</v>
      </c>
      <c r="L7621">
        <v>137.458</v>
      </c>
      <c r="M7621">
        <v>0.99677340000000003</v>
      </c>
      <c r="N7621">
        <v>0</v>
      </c>
      <c r="O7621">
        <v>7.9100599999999993E-2</v>
      </c>
      <c r="P7621">
        <v>0.98681039999999998</v>
      </c>
      <c r="Q7621">
        <v>0.16115969999999999</v>
      </c>
      <c r="R7621">
        <v>1.526141E-2</v>
      </c>
      <c r="S7621">
        <v>3.0737760000000001</v>
      </c>
      <c r="T7621">
        <v>-0.2063992</v>
      </c>
      <c r="U7621">
        <v>-2.862549E-2</v>
      </c>
      <c r="V7621">
        <v>6.3504080000000004E-2</v>
      </c>
      <c r="W7621">
        <v>0.1743364</v>
      </c>
      <c r="X7621">
        <v>0.98263630000000002</v>
      </c>
      <c r="Y7621">
        <v>8.8011649999999997E-2</v>
      </c>
      <c r="Z7621">
        <v>-8.2537389999999995E-3</v>
      </c>
      <c r="AA7621">
        <v>0.9960852</v>
      </c>
      <c r="AB7621">
        <v>21</v>
      </c>
      <c r="AC7621">
        <v>0.67289999999999806</v>
      </c>
      <c r="AD7621">
        <v>-5.91109999999999E-2</v>
      </c>
      <c r="AE7621">
        <v>-2.2300000000001301E-2</v>
      </c>
      <c r="AF7621">
        <v>7.4884621026842596E-2</v>
      </c>
      <c r="AG7621">
        <v>-5.91109999999999E-2</v>
      </c>
      <c r="AH7621">
        <v>0.66390944515378703</v>
      </c>
      <c r="AI7621">
        <v>95.056005728077693</v>
      </c>
      <c r="AJ7621">
        <v>83.564611845324293</v>
      </c>
      <c r="AK7621">
        <v>0.67072913173034499</v>
      </c>
      <c r="AL7621">
        <v>79.959957225071307</v>
      </c>
      <c r="AM7621">
        <v>86.302331858438393</v>
      </c>
      <c r="AN7621">
        <v>1.00000002330964</v>
      </c>
    </row>
    <row r="7622" spans="1:40" x14ac:dyDescent="0.25">
      <c r="A7622" t="str">
        <f>"20190312172556711"</f>
        <v>20190312172556711</v>
      </c>
      <c r="B7622" t="str">
        <f>"1552382756707583"</f>
        <v>1552382756707583</v>
      </c>
      <c r="C7622" t="s">
        <v>40</v>
      </c>
      <c r="D7622">
        <v>3.8761350000000001</v>
      </c>
      <c r="E7622">
        <v>0.50728450000000003</v>
      </c>
      <c r="F7622" t="s">
        <v>41</v>
      </c>
      <c r="G7622">
        <v>-153.45429999999999</v>
      </c>
      <c r="H7622">
        <v>1.0515139999999901</v>
      </c>
      <c r="I7622">
        <v>137.44970000000001</v>
      </c>
      <c r="J7622">
        <v>-154.10579999999999</v>
      </c>
      <c r="K7622">
        <v>1.1092070000000001</v>
      </c>
      <c r="L7622">
        <v>137.47139999999999</v>
      </c>
      <c r="M7622">
        <v>0.99698240000000005</v>
      </c>
      <c r="N7622">
        <v>0</v>
      </c>
      <c r="O7622">
        <v>7.6422779999999996E-2</v>
      </c>
      <c r="P7622">
        <v>0.98655099999999996</v>
      </c>
      <c r="Q7622">
        <v>0.1627644</v>
      </c>
      <c r="R7622">
        <v>1.4997129999999999E-2</v>
      </c>
      <c r="S7622">
        <v>3.0741879999999999</v>
      </c>
      <c r="T7622">
        <v>-0.2059395</v>
      </c>
      <c r="U7622">
        <v>-2.963257E-2</v>
      </c>
      <c r="V7622">
        <v>6.1106090000000002E-2</v>
      </c>
      <c r="W7622">
        <v>0.17594660000000001</v>
      </c>
      <c r="X7622">
        <v>0.98250130000000002</v>
      </c>
      <c r="Y7622">
        <v>8.5673750000000007E-2</v>
      </c>
      <c r="Z7622">
        <v>-7.9772619999999902E-3</v>
      </c>
      <c r="AA7622">
        <v>0.99629129999999999</v>
      </c>
      <c r="AB7622">
        <v>21</v>
      </c>
      <c r="AC7622">
        <v>0.65149999999999797</v>
      </c>
      <c r="AD7622">
        <v>-5.7693000000000202E-2</v>
      </c>
      <c r="AE7622">
        <v>-2.1699999999981401E-2</v>
      </c>
      <c r="AF7622">
        <v>7.0875413200356702E-2</v>
      </c>
      <c r="AG7622">
        <v>-5.7693000000000202E-2</v>
      </c>
      <c r="AH7622">
        <v>0.64289988311604696</v>
      </c>
      <c r="AI7622">
        <v>95.097196225883295</v>
      </c>
      <c r="AJ7622">
        <v>83.708927720070804</v>
      </c>
      <c r="AK7622">
        <v>0.64936281550143304</v>
      </c>
      <c r="AL7622">
        <v>79.866250743762805</v>
      </c>
      <c r="AM7622">
        <v>86.441106768261207</v>
      </c>
      <c r="AN7622">
        <v>0.99999998239416898</v>
      </c>
    </row>
    <row r="7623" spans="1:40" x14ac:dyDescent="0.25">
      <c r="A7623" t="str">
        <f>"20190312172556733"</f>
        <v>20190312172556733</v>
      </c>
      <c r="B7623" t="str">
        <f>"1552382756728079"</f>
        <v>1552382756728079</v>
      </c>
      <c r="C7623" t="s">
        <v>40</v>
      </c>
      <c r="D7623">
        <v>3.924747</v>
      </c>
      <c r="E7623">
        <v>0.50694849999999902</v>
      </c>
      <c r="F7623" t="s">
        <v>41</v>
      </c>
      <c r="G7623">
        <v>-153.26070000000001</v>
      </c>
      <c r="H7623">
        <v>1.0531740000000001</v>
      </c>
      <c r="I7623">
        <v>137.4639</v>
      </c>
      <c r="J7623">
        <v>-153.89250000000001</v>
      </c>
      <c r="K7623">
        <v>1.1092150000000001</v>
      </c>
      <c r="L7623">
        <v>137.4846</v>
      </c>
      <c r="M7623">
        <v>0.99718739999999995</v>
      </c>
      <c r="N7623">
        <v>0</v>
      </c>
      <c r="O7623">
        <v>7.3698780000000005E-2</v>
      </c>
      <c r="P7623">
        <v>0.98626670000000005</v>
      </c>
      <c r="Q7623">
        <v>0.16451550000000001</v>
      </c>
      <c r="R7623">
        <v>1.458859E-2</v>
      </c>
      <c r="S7623">
        <v>3.074951</v>
      </c>
      <c r="T7623">
        <v>-0.20383870000000001</v>
      </c>
      <c r="U7623">
        <v>-2.700806E-2</v>
      </c>
      <c r="V7623">
        <v>5.88061E-2</v>
      </c>
      <c r="W7623">
        <v>0.17770239999999901</v>
      </c>
      <c r="X7623">
        <v>0.98232569999999997</v>
      </c>
      <c r="Y7623">
        <v>8.2119990000000004E-2</v>
      </c>
      <c r="Z7623">
        <v>-7.59640199999999E-3</v>
      </c>
      <c r="AA7623">
        <v>0.99659350000000002</v>
      </c>
      <c r="AB7623">
        <v>21</v>
      </c>
      <c r="AC7623">
        <v>0.63179999999999803</v>
      </c>
      <c r="AD7623">
        <v>-5.6041000000000001E-2</v>
      </c>
      <c r="AE7623">
        <v>-2.0700000000004999E-2</v>
      </c>
      <c r="AF7623">
        <v>6.6686797063376102E-2</v>
      </c>
      <c r="AG7623">
        <v>-5.6041000000000001E-2</v>
      </c>
      <c r="AH7623">
        <v>0.62365430679312805</v>
      </c>
      <c r="AI7623">
        <v>95.105803672190206</v>
      </c>
      <c r="AJ7623">
        <v>83.896604788352505</v>
      </c>
      <c r="AK7623">
        <v>0.62970819985544901</v>
      </c>
      <c r="AL7623">
        <v>79.764040806980503</v>
      </c>
      <c r="AM7623">
        <v>86.574125007869199</v>
      </c>
      <c r="AN7623">
        <v>1.00000004062172</v>
      </c>
    </row>
    <row r="7624" spans="1:40" x14ac:dyDescent="0.25">
      <c r="A7624" t="str">
        <f>"20190312172556756"</f>
        <v>20190312172556756</v>
      </c>
      <c r="B7624" t="str">
        <f>"1552382756747599"</f>
        <v>1552382756747599</v>
      </c>
      <c r="C7624" t="s">
        <v>40</v>
      </c>
      <c r="D7624">
        <v>3.8758840000000001</v>
      </c>
      <c r="E7624">
        <v>0.50665159999999998</v>
      </c>
      <c r="F7624" t="s">
        <v>43</v>
      </c>
      <c r="G7624">
        <v>-136.87520000000001</v>
      </c>
      <c r="H7624" s="1">
        <v>-1.726566E-6</v>
      </c>
      <c r="I7624">
        <v>137.34030000000001</v>
      </c>
      <c r="J7624">
        <v>-153.68209999999999</v>
      </c>
      <c r="K7624">
        <v>1.109226</v>
      </c>
      <c r="L7624">
        <v>137.49690000000001</v>
      </c>
      <c r="M7624">
        <v>0.9973824</v>
      </c>
      <c r="N7624">
        <v>0</v>
      </c>
      <c r="O7624">
        <v>7.1013779999999999E-2</v>
      </c>
      <c r="P7624">
        <v>0.98600980000000005</v>
      </c>
      <c r="Q7624">
        <v>0.16604549999999901</v>
      </c>
      <c r="R7624">
        <v>1.462609E-2</v>
      </c>
      <c r="S7624">
        <v>3.0756070000000002</v>
      </c>
      <c r="T7624">
        <v>-0.2004734</v>
      </c>
      <c r="U7624">
        <v>-2.607727E-2</v>
      </c>
      <c r="V7624">
        <v>5.6102619999999999E-2</v>
      </c>
      <c r="W7624">
        <v>0.17923889999999901</v>
      </c>
      <c r="X7624">
        <v>0.98220459999999998</v>
      </c>
      <c r="Y7624">
        <v>7.9156309999999994E-2</v>
      </c>
      <c r="Z7624">
        <v>-7.1986560000000003E-3</v>
      </c>
      <c r="AA7624">
        <v>0.99683619999999995</v>
      </c>
      <c r="AB7624">
        <v>21</v>
      </c>
      <c r="AC7624">
        <v>16.806899999999899</v>
      </c>
      <c r="AD7624">
        <v>-1.109227726566</v>
      </c>
      <c r="AE7624">
        <v>-0.15659999999999699</v>
      </c>
      <c r="AF7624">
        <v>1.3439831224773799</v>
      </c>
      <c r="AG7624">
        <v>-1.109227726566</v>
      </c>
      <c r="AH7624">
        <v>16.6806873920744</v>
      </c>
      <c r="AI7624">
        <v>93.792184830600107</v>
      </c>
      <c r="AJ7624">
        <v>85.393560575897695</v>
      </c>
      <c r="AK7624">
        <v>16.7714641178103</v>
      </c>
      <c r="AL7624">
        <v>79.674568778659307</v>
      </c>
      <c r="AM7624">
        <v>86.730870156272502</v>
      </c>
      <c r="AN7624">
        <v>0.99999998175261695</v>
      </c>
    </row>
    <row r="7625" spans="1:40" x14ac:dyDescent="0.25">
      <c r="A7625" t="str">
        <f>"20190312172556777"</f>
        <v>20190312172556777</v>
      </c>
      <c r="B7625" t="str">
        <f>"1552382756768095"</f>
        <v>1552382756768095</v>
      </c>
      <c r="C7625" t="s">
        <v>40</v>
      </c>
      <c r="D7625">
        <v>3.9038750000000002</v>
      </c>
      <c r="E7625">
        <v>0.506324</v>
      </c>
      <c r="F7625" t="s">
        <v>43</v>
      </c>
      <c r="G7625">
        <v>-136.39439999999999</v>
      </c>
      <c r="H7625" s="1">
        <v>-1.9290430000000002E-6</v>
      </c>
      <c r="I7625">
        <v>137.36150000000001</v>
      </c>
      <c r="J7625">
        <v>-153.48009999999999</v>
      </c>
      <c r="K7625">
        <v>1.109245</v>
      </c>
      <c r="L7625">
        <v>137.50819999999999</v>
      </c>
      <c r="M7625">
        <v>0.99756219999999995</v>
      </c>
      <c r="N7625">
        <v>0</v>
      </c>
      <c r="O7625">
        <v>6.8441109999999999E-2</v>
      </c>
      <c r="P7625">
        <v>0.98589990000000005</v>
      </c>
      <c r="Q7625">
        <v>0.16669010000000001</v>
      </c>
      <c r="R7625">
        <v>1.4699500000000001E-2</v>
      </c>
      <c r="S7625">
        <v>3.0761409999999998</v>
      </c>
      <c r="T7625">
        <v>-0.1973741</v>
      </c>
      <c r="U7625">
        <v>-2.4093630000000001E-2</v>
      </c>
      <c r="V7625">
        <v>5.3481399999999998E-2</v>
      </c>
      <c r="W7625">
        <v>0.17989289999999999</v>
      </c>
      <c r="X7625">
        <v>0.98223130000000003</v>
      </c>
      <c r="Y7625">
        <v>7.5962360000000007E-2</v>
      </c>
      <c r="Z7625">
        <v>-6.8193660000000003E-3</v>
      </c>
      <c r="AA7625">
        <v>0.99708739999999996</v>
      </c>
      <c r="AB7625">
        <v>21</v>
      </c>
      <c r="AC7625">
        <v>17.085699999999999</v>
      </c>
      <c r="AD7625">
        <v>-1.109246929043</v>
      </c>
      <c r="AE7625">
        <v>-0.14669999999998101</v>
      </c>
      <c r="AF7625">
        <v>1.3103062290334999</v>
      </c>
      <c r="AG7625">
        <v>-1.109246929043</v>
      </c>
      <c r="AH7625">
        <v>16.9640907768872</v>
      </c>
      <c r="AI7625">
        <v>93.730048441896102</v>
      </c>
      <c r="AJ7625">
        <v>85.583244020870595</v>
      </c>
      <c r="AK7625">
        <v>17.050739193650902</v>
      </c>
      <c r="AL7625">
        <v>79.636478624169499</v>
      </c>
      <c r="AM7625">
        <v>86.883386128643707</v>
      </c>
      <c r="AN7625">
        <v>1.00000002115802</v>
      </c>
    </row>
    <row r="7626" spans="1:40" x14ac:dyDescent="0.25">
      <c r="A7626" t="str">
        <f>"20190312172556801"</f>
        <v>20190312172556801</v>
      </c>
      <c r="B7626" t="str">
        <f>"1552382756798351"</f>
        <v>1552382756798351</v>
      </c>
      <c r="C7626" t="s">
        <v>40</v>
      </c>
      <c r="D7626">
        <v>3.9139729999999999</v>
      </c>
      <c r="E7626">
        <v>0.50588999999999995</v>
      </c>
      <c r="F7626" t="s">
        <v>43</v>
      </c>
      <c r="G7626">
        <v>-136.1737</v>
      </c>
      <c r="H7626" s="1">
        <v>-2.0197380000000001E-6</v>
      </c>
      <c r="I7626">
        <v>137.38409999999999</v>
      </c>
      <c r="J7626">
        <v>-153.2688</v>
      </c>
      <c r="K7626">
        <v>1.109262</v>
      </c>
      <c r="L7626">
        <v>137.5196</v>
      </c>
      <c r="M7626">
        <v>0.99774220000000002</v>
      </c>
      <c r="N7626">
        <v>0</v>
      </c>
      <c r="O7626">
        <v>6.5762390000000004E-2</v>
      </c>
      <c r="P7626">
        <v>0.98593010000000003</v>
      </c>
      <c r="Q7626">
        <v>0.16652899999999901</v>
      </c>
      <c r="R7626">
        <v>1.450009E-2</v>
      </c>
      <c r="S7626">
        <v>3.0765530000000001</v>
      </c>
      <c r="T7626">
        <v>-0.19718959999999999</v>
      </c>
      <c r="U7626">
        <v>-2.2064210000000001E-2</v>
      </c>
      <c r="V7626">
        <v>5.1032279999999999E-2</v>
      </c>
      <c r="W7626">
        <v>0.17974229999999899</v>
      </c>
      <c r="X7626">
        <v>0.98238919999999996</v>
      </c>
      <c r="Y7626">
        <v>7.2638960000000002E-2</v>
      </c>
      <c r="Z7626">
        <v>-6.5344330000000001E-3</v>
      </c>
      <c r="AA7626">
        <v>0.99733689999999997</v>
      </c>
      <c r="AB7626">
        <v>21</v>
      </c>
      <c r="AC7626">
        <v>17.095099999999999</v>
      </c>
      <c r="AD7626">
        <v>-1.1092640197379999</v>
      </c>
      <c r="AE7626">
        <v>-0.135500000000007</v>
      </c>
      <c r="AF7626">
        <v>1.25424514235594</v>
      </c>
      <c r="AG7626">
        <v>-1.1092640197379999</v>
      </c>
      <c r="AH7626">
        <v>16.9776969779473</v>
      </c>
      <c r="AI7626">
        <v>93.728064229362403</v>
      </c>
      <c r="AJ7626">
        <v>85.774889556684201</v>
      </c>
      <c r="AK7626">
        <v>17.060064250101998</v>
      </c>
      <c r="AL7626">
        <v>79.645250797761904</v>
      </c>
      <c r="AM7626">
        <v>87.026322732334805</v>
      </c>
      <c r="AN7626">
        <v>1.0000000641439599</v>
      </c>
    </row>
    <row r="7627" spans="1:40" x14ac:dyDescent="0.25">
      <c r="A7627" t="str">
        <f>"20190312172556823"</f>
        <v>20190312172556823</v>
      </c>
      <c r="B7627" t="str">
        <f>"1552382756817871"</f>
        <v>1552382756817871</v>
      </c>
      <c r="C7627" t="s">
        <v>40</v>
      </c>
      <c r="D7627">
        <v>3.9221010000000001</v>
      </c>
      <c r="E7627">
        <v>0.50562249999999997</v>
      </c>
      <c r="F7627" t="s">
        <v>43</v>
      </c>
      <c r="G7627">
        <v>-136.22479999999999</v>
      </c>
      <c r="H7627" s="1">
        <v>-1.9941009999999999E-6</v>
      </c>
      <c r="I7627">
        <v>137.405</v>
      </c>
      <c r="J7627">
        <v>-153.05969999999999</v>
      </c>
      <c r="K7627">
        <v>1.1092820000000001</v>
      </c>
      <c r="L7627">
        <v>137.53020000000001</v>
      </c>
      <c r="M7627">
        <v>0.99791180000000002</v>
      </c>
      <c r="N7627">
        <v>0</v>
      </c>
      <c r="O7627">
        <v>6.3140829999999995E-2</v>
      </c>
      <c r="P7627">
        <v>0.98583560000000003</v>
      </c>
      <c r="Q7627">
        <v>0.16718060000000001</v>
      </c>
      <c r="R7627">
        <v>1.338836E-2</v>
      </c>
      <c r="S7627">
        <v>3.0769350000000002</v>
      </c>
      <c r="T7627">
        <v>-0.20025380000000001</v>
      </c>
      <c r="U7627">
        <v>-2.0675659999999998E-2</v>
      </c>
      <c r="V7627">
        <v>4.9541660000000001E-2</v>
      </c>
      <c r="W7627">
        <v>0.180398</v>
      </c>
      <c r="X7627">
        <v>0.98234520000000003</v>
      </c>
      <c r="Y7627">
        <v>6.9570599999999996E-2</v>
      </c>
      <c r="Z7627">
        <v>-6.3649930000000002E-3</v>
      </c>
      <c r="AA7627">
        <v>0.99755669999999996</v>
      </c>
      <c r="AB7627">
        <v>21</v>
      </c>
      <c r="AC7627">
        <v>16.834900000000001</v>
      </c>
      <c r="AD7627">
        <v>-1.109283994101</v>
      </c>
      <c r="AE7627">
        <v>-0.125200000000006</v>
      </c>
      <c r="AF7627">
        <v>1.1828826843537501</v>
      </c>
      <c r="AG7627">
        <v>-1.109283994101</v>
      </c>
      <c r="AH7627">
        <v>16.7208024384203</v>
      </c>
      <c r="AI7627">
        <v>93.786094700708404</v>
      </c>
      <c r="AJ7627">
        <v>85.953455991295399</v>
      </c>
      <c r="AK7627">
        <v>16.799254644453601</v>
      </c>
      <c r="AL7627">
        <v>79.607056477175504</v>
      </c>
      <c r="AM7627">
        <v>87.112903692319605</v>
      </c>
      <c r="AN7627">
        <v>0.99999995322129598</v>
      </c>
    </row>
    <row r="7628" spans="1:40" x14ac:dyDescent="0.25">
      <c r="A7628" t="str">
        <f>"20190312172556845"</f>
        <v>20190312172556845</v>
      </c>
      <c r="B7628" t="str">
        <f>"1552382756838367"</f>
        <v>1552382756838367</v>
      </c>
      <c r="C7628" t="s">
        <v>40</v>
      </c>
      <c r="D7628">
        <v>3.85154</v>
      </c>
      <c r="E7628">
        <v>0.50539089999999998</v>
      </c>
      <c r="F7628" t="s">
        <v>41</v>
      </c>
      <c r="G7628">
        <v>-152.15190000000001</v>
      </c>
      <c r="H7628">
        <v>1.0502659999999999</v>
      </c>
      <c r="I7628">
        <v>137.52340000000001</v>
      </c>
      <c r="J7628">
        <v>-152.8544</v>
      </c>
      <c r="K7628">
        <v>1.1093090000000001</v>
      </c>
      <c r="L7628">
        <v>137.5401</v>
      </c>
      <c r="M7628">
        <v>0.99806919999999999</v>
      </c>
      <c r="N7628">
        <v>0</v>
      </c>
      <c r="O7628">
        <v>6.0604039999999998E-2</v>
      </c>
      <c r="P7628">
        <v>0.98585860000000003</v>
      </c>
      <c r="Q7628">
        <v>0.1671309</v>
      </c>
      <c r="R7628">
        <v>1.2273849999999999E-2</v>
      </c>
      <c r="S7628">
        <v>3.0773320000000002</v>
      </c>
      <c r="T7628">
        <v>-0.20001240000000001</v>
      </c>
      <c r="U7628">
        <v>-2.2308350000000001E-2</v>
      </c>
      <c r="V7628">
        <v>4.8138979999999998E-2</v>
      </c>
      <c r="W7628">
        <v>0.1803544</v>
      </c>
      <c r="X7628">
        <v>0.98242300000000005</v>
      </c>
      <c r="Y7628">
        <v>6.7573439999999999E-2</v>
      </c>
      <c r="Z7628">
        <v>-6.1271900000000002E-3</v>
      </c>
      <c r="AA7628">
        <v>0.99769549999999996</v>
      </c>
      <c r="AB7628">
        <v>21</v>
      </c>
      <c r="AC7628">
        <v>0.70249999999998602</v>
      </c>
      <c r="AD7628">
        <v>-5.9043000000000102E-2</v>
      </c>
      <c r="AE7628">
        <v>-1.66999999999859E-2</v>
      </c>
      <c r="AF7628">
        <v>5.8832225174857401E-2</v>
      </c>
      <c r="AG7628">
        <v>-5.9043000000000102E-2</v>
      </c>
      <c r="AH7628">
        <v>0.69528764028664203</v>
      </c>
      <c r="AI7628">
        <v>94.836643079433202</v>
      </c>
      <c r="AJ7628">
        <v>85.163400675146207</v>
      </c>
      <c r="AK7628">
        <v>0.70026581331905102</v>
      </c>
      <c r="AL7628">
        <v>79.609596837713298</v>
      </c>
      <c r="AM7628">
        <v>87.194735783018402</v>
      </c>
      <c r="AN7628">
        <v>1.0000000109619001</v>
      </c>
    </row>
    <row r="7629" spans="1:40" x14ac:dyDescent="0.25">
      <c r="A7629" t="str">
        <f>"20190312172556867"</f>
        <v>20190312172556867</v>
      </c>
      <c r="B7629" t="str">
        <f>"1552382756857484"</f>
        <v>1552382756857484</v>
      </c>
      <c r="C7629" t="s">
        <v>40</v>
      </c>
      <c r="D7629">
        <v>3.9166349999999999</v>
      </c>
      <c r="E7629">
        <v>0.50515549999999998</v>
      </c>
      <c r="F7629" t="s">
        <v>41</v>
      </c>
      <c r="G7629">
        <v>-151.9659</v>
      </c>
      <c r="H7629">
        <v>1.0509409999999999</v>
      </c>
      <c r="I7629">
        <v>137.5333</v>
      </c>
      <c r="J7629">
        <v>-152.64840000000001</v>
      </c>
      <c r="K7629">
        <v>1.1093379999999999</v>
      </c>
      <c r="L7629">
        <v>137.5496</v>
      </c>
      <c r="M7629">
        <v>0.99821800000000005</v>
      </c>
      <c r="N7629">
        <v>0</v>
      </c>
      <c r="O7629">
        <v>5.8100010000000001E-2</v>
      </c>
      <c r="P7629">
        <v>0.98587270000000005</v>
      </c>
      <c r="Q7629">
        <v>0.16715070000000001</v>
      </c>
      <c r="R7629">
        <v>1.0756979999999999E-2</v>
      </c>
      <c r="S7629">
        <v>3.077591</v>
      </c>
      <c r="T7629">
        <v>-0.20214969999999999</v>
      </c>
      <c r="U7629">
        <v>-2.345276E-2</v>
      </c>
      <c r="V7629">
        <v>4.7168250000000002E-2</v>
      </c>
      <c r="W7629">
        <v>0.18037880000000001</v>
      </c>
      <c r="X7629">
        <v>0.98246560000000005</v>
      </c>
      <c r="Y7629">
        <v>6.5444950000000002E-2</v>
      </c>
      <c r="Z7629">
        <v>-5.9580650000000002E-3</v>
      </c>
      <c r="AA7629">
        <v>0.99783840000000001</v>
      </c>
      <c r="AB7629">
        <v>21</v>
      </c>
      <c r="AC7629">
        <v>0.68250000000000399</v>
      </c>
      <c r="AD7629">
        <v>-5.8396999999999998E-2</v>
      </c>
      <c r="AE7629">
        <v>-1.6300000000001001E-2</v>
      </c>
      <c r="AF7629">
        <v>5.5523131762946598E-2</v>
      </c>
      <c r="AG7629">
        <v>-5.8396999999999998E-2</v>
      </c>
      <c r="AH7629">
        <v>0.67545750096446</v>
      </c>
      <c r="AI7629">
        <v>94.924719180808196</v>
      </c>
      <c r="AJ7629">
        <v>85.300807468986804</v>
      </c>
      <c r="AK7629">
        <v>0.68024691353869304</v>
      </c>
      <c r="AL7629">
        <v>79.608175450046602</v>
      </c>
      <c r="AM7629">
        <v>87.251335725830302</v>
      </c>
      <c r="AN7629">
        <v>1.0000000052404301</v>
      </c>
    </row>
    <row r="7630" spans="1:40" x14ac:dyDescent="0.25">
      <c r="A7630" t="str">
        <f>"20190312172556889"</f>
        <v>20190312172556889</v>
      </c>
      <c r="B7630" t="str">
        <f>"1552382756877980"</f>
        <v>1552382756877980</v>
      </c>
      <c r="C7630" t="s">
        <v>40</v>
      </c>
      <c r="D7630">
        <v>3.81853</v>
      </c>
      <c r="E7630">
        <v>0.50492440000000005</v>
      </c>
      <c r="F7630" t="s">
        <v>41</v>
      </c>
      <c r="G7630">
        <v>-151.7801</v>
      </c>
      <c r="H7630">
        <v>1.0517780000000001</v>
      </c>
      <c r="I7630">
        <v>137.5421</v>
      </c>
      <c r="J7630">
        <v>-152.4418</v>
      </c>
      <c r="K7630">
        <v>1.1093770000000001</v>
      </c>
      <c r="L7630">
        <v>137.55869999999999</v>
      </c>
      <c r="M7630">
        <v>0.99835779999999996</v>
      </c>
      <c r="N7630">
        <v>0</v>
      </c>
      <c r="O7630">
        <v>5.5645350000000003E-2</v>
      </c>
      <c r="P7630">
        <v>0.9858365</v>
      </c>
      <c r="Q7630">
        <v>0.16748199999999999</v>
      </c>
      <c r="R7630">
        <v>8.7310269999999902E-3</v>
      </c>
      <c r="S7630">
        <v>3.0778810000000001</v>
      </c>
      <c r="T7630">
        <v>-0.20399690000000001</v>
      </c>
      <c r="U7630">
        <v>-2.6275630000000001E-2</v>
      </c>
      <c r="V7630">
        <v>4.6750559999999997E-2</v>
      </c>
      <c r="W7630">
        <v>0.18072299999999999</v>
      </c>
      <c r="X7630">
        <v>0.98242229999999997</v>
      </c>
      <c r="Y7630">
        <v>6.3909640000000004E-2</v>
      </c>
      <c r="Z7630">
        <v>-5.7986579999999999E-3</v>
      </c>
      <c r="AA7630">
        <v>0.99793889999999996</v>
      </c>
      <c r="AB7630">
        <v>21</v>
      </c>
      <c r="AC7630">
        <v>0.66169999999999596</v>
      </c>
      <c r="AD7630">
        <v>-5.75989999999999E-2</v>
      </c>
      <c r="AE7630">
        <v>-1.6599999999982601E-2</v>
      </c>
      <c r="AF7630">
        <v>5.2996900601306102E-2</v>
      </c>
      <c r="AG7630">
        <v>-5.75989999999999E-2</v>
      </c>
      <c r="AH7630">
        <v>0.65479241203083605</v>
      </c>
      <c r="AI7630">
        <v>95.010798014685506</v>
      </c>
      <c r="AJ7630">
        <v>85.372740845279694</v>
      </c>
      <c r="AK7630">
        <v>0.65945387945443501</v>
      </c>
      <c r="AL7630">
        <v>79.588124630540605</v>
      </c>
      <c r="AM7630">
        <v>87.275519301663195</v>
      </c>
      <c r="AN7630">
        <v>0.99999999656330096</v>
      </c>
    </row>
    <row r="7631" spans="1:40" x14ac:dyDescent="0.25">
      <c r="A7631" t="str">
        <f>"20190312172556912"</f>
        <v>20190312172556912</v>
      </c>
      <c r="B7631" t="str">
        <f>"1552382756908235"</f>
        <v>1552382756908235</v>
      </c>
      <c r="C7631" t="s">
        <v>40</v>
      </c>
      <c r="D7631">
        <v>3.8703020000000001</v>
      </c>
      <c r="E7631">
        <v>0.50458029999999998</v>
      </c>
      <c r="F7631" t="s">
        <v>41</v>
      </c>
      <c r="G7631">
        <v>-151.58670000000001</v>
      </c>
      <c r="H7631">
        <v>1.052575</v>
      </c>
      <c r="I7631">
        <v>137.55019999999999</v>
      </c>
      <c r="J7631">
        <v>-152.23519999999999</v>
      </c>
      <c r="K7631">
        <v>1.109443</v>
      </c>
      <c r="L7631">
        <v>137.56729999999999</v>
      </c>
      <c r="M7631">
        <v>0.99848599999999998</v>
      </c>
      <c r="N7631">
        <v>0</v>
      </c>
      <c r="O7631">
        <v>5.3278399999999997E-2</v>
      </c>
      <c r="P7631">
        <v>0.98556659999999996</v>
      </c>
      <c r="Q7631">
        <v>0.16917079999999901</v>
      </c>
      <c r="R7631">
        <v>6.336497E-3</v>
      </c>
      <c r="S7631">
        <v>3.0781100000000001</v>
      </c>
      <c r="T7631">
        <v>-0.20449890000000001</v>
      </c>
      <c r="U7631">
        <v>-3.0456540000000001E-2</v>
      </c>
      <c r="V7631">
        <v>4.6774040000000003E-2</v>
      </c>
      <c r="W7631">
        <v>0.18247530000000001</v>
      </c>
      <c r="X7631">
        <v>0.9820972</v>
      </c>
      <c r="Y7631">
        <v>6.2904730000000006E-2</v>
      </c>
      <c r="Z7631">
        <v>-5.6221869999999998E-3</v>
      </c>
      <c r="AA7631">
        <v>0.99800370000000005</v>
      </c>
      <c r="AB7631">
        <v>21</v>
      </c>
      <c r="AC7631">
        <v>0.64849999999998398</v>
      </c>
      <c r="AD7631">
        <v>-5.6867999999999898E-2</v>
      </c>
      <c r="AE7631">
        <v>-1.7099999999999199E-2</v>
      </c>
      <c r="AF7631">
        <v>5.1236260067868099E-2</v>
      </c>
      <c r="AG7631">
        <v>-5.6867999999999898E-2</v>
      </c>
      <c r="AH7631">
        <v>0.64173621079898602</v>
      </c>
      <c r="AI7631">
        <v>95.048105709972404</v>
      </c>
      <c r="AJ7631">
        <v>85.435184245639604</v>
      </c>
      <c r="AK7631">
        <v>0.64628514451469699</v>
      </c>
      <c r="AL7631">
        <v>79.486027420827099</v>
      </c>
      <c r="AM7631">
        <v>87.273252056385701</v>
      </c>
      <c r="AN7631">
        <v>0.99999997808792496</v>
      </c>
    </row>
    <row r="7632" spans="1:40" x14ac:dyDescent="0.25">
      <c r="A7632" t="str">
        <f>"20190312172556935"</f>
        <v>20190312172556935</v>
      </c>
      <c r="B7632" t="str">
        <f>"1552382756927755"</f>
        <v>1552382756927755</v>
      </c>
      <c r="C7632" t="s">
        <v>40</v>
      </c>
      <c r="D7632">
        <v>3.8503910000000001</v>
      </c>
      <c r="E7632">
        <v>0.50437659999999995</v>
      </c>
      <c r="F7632" t="s">
        <v>43</v>
      </c>
      <c r="G7632">
        <v>-135.32399999999899</v>
      </c>
      <c r="H7632" s="1">
        <v>-2.384101E-6</v>
      </c>
      <c r="I7632">
        <v>137.38480000000001</v>
      </c>
      <c r="J7632">
        <v>-152.024</v>
      </c>
      <c r="K7632">
        <v>1.109559</v>
      </c>
      <c r="L7632">
        <v>137.57579999999999</v>
      </c>
      <c r="M7632">
        <v>0.99860420000000005</v>
      </c>
      <c r="N7632">
        <v>0</v>
      </c>
      <c r="O7632">
        <v>5.0972169999999997E-2</v>
      </c>
      <c r="P7632">
        <v>0.98539200000000005</v>
      </c>
      <c r="Q7632">
        <v>0.17025750000000001</v>
      </c>
      <c r="R7632">
        <v>3.8974560000000001E-3</v>
      </c>
      <c r="S7632">
        <v>3.0788120000000001</v>
      </c>
      <c r="T7632">
        <v>-0.20198250000000001</v>
      </c>
      <c r="U7632">
        <v>-3.3218379999999999E-2</v>
      </c>
      <c r="V7632">
        <v>4.6896470000000003E-2</v>
      </c>
      <c r="W7632">
        <v>0.18373020000000001</v>
      </c>
      <c r="X7632">
        <v>0.98185739999999999</v>
      </c>
      <c r="Y7632">
        <v>6.1507050000000001E-2</v>
      </c>
      <c r="Z7632">
        <v>-5.3550849999999999E-3</v>
      </c>
      <c r="AA7632">
        <v>0.99809230000000004</v>
      </c>
      <c r="AB7632">
        <v>21</v>
      </c>
      <c r="AC7632">
        <v>16.7</v>
      </c>
      <c r="AD7632">
        <v>-1.1095613841009999</v>
      </c>
      <c r="AE7632">
        <v>-0.190999999999974</v>
      </c>
      <c r="AF7632">
        <v>1.0374891461911899</v>
      </c>
      <c r="AG7632">
        <v>-1.1095613841009999</v>
      </c>
      <c r="AH7632">
        <v>16.595302069514702</v>
      </c>
      <c r="AI7632">
        <v>93.817670028891598</v>
      </c>
      <c r="AJ7632">
        <v>86.422693163673301</v>
      </c>
      <c r="AK7632">
        <v>16.664680044093</v>
      </c>
      <c r="AL7632">
        <v>79.412890808435606</v>
      </c>
      <c r="AM7632">
        <v>87.265458985332401</v>
      </c>
      <c r="AN7632">
        <v>1.00000000961263</v>
      </c>
    </row>
    <row r="7633" spans="1:40" x14ac:dyDescent="0.25">
      <c r="A7633" t="str">
        <f>"20190312172556957"</f>
        <v>20190312172556957</v>
      </c>
      <c r="B7633" t="str">
        <f>"1552382756948251"</f>
        <v>1552382756948251</v>
      </c>
      <c r="C7633" t="s">
        <v>40</v>
      </c>
      <c r="D7633">
        <v>3.8370579999999999</v>
      </c>
      <c r="E7633">
        <v>0.50418660000000004</v>
      </c>
      <c r="F7633" t="s">
        <v>43</v>
      </c>
      <c r="G7633">
        <v>-134.96729999999999</v>
      </c>
      <c r="H7633" s="1">
        <v>-2.540266E-6</v>
      </c>
      <c r="I7633">
        <v>137.3672</v>
      </c>
      <c r="J7633">
        <v>-151.81700000000001</v>
      </c>
      <c r="K7633">
        <v>1.109726</v>
      </c>
      <c r="L7633">
        <v>137.58369999999999</v>
      </c>
      <c r="M7633">
        <v>0.99870650000000005</v>
      </c>
      <c r="N7633">
        <v>0</v>
      </c>
      <c r="O7633">
        <v>4.8843730000000002E-2</v>
      </c>
      <c r="P7633">
        <v>0.985541</v>
      </c>
      <c r="Q7633">
        <v>0.1694244</v>
      </c>
      <c r="R7633">
        <v>2.126359E-3</v>
      </c>
      <c r="S7633">
        <v>3.0792389999999998</v>
      </c>
      <c r="T7633">
        <v>-0.20030880000000001</v>
      </c>
      <c r="U7633">
        <v>-3.7658690000000002E-2</v>
      </c>
      <c r="V7633">
        <v>4.6528340000000001E-2</v>
      </c>
      <c r="W7633">
        <v>0.18318599999999999</v>
      </c>
      <c r="X7633">
        <v>0.98197659999999998</v>
      </c>
      <c r="Y7633">
        <v>6.0827550000000001E-2</v>
      </c>
      <c r="Z7633">
        <v>-5.149781E-3</v>
      </c>
      <c r="AA7633">
        <v>0.99813499999999999</v>
      </c>
      <c r="AB7633">
        <v>21</v>
      </c>
      <c r="AC7633">
        <v>16.849699999999999</v>
      </c>
      <c r="AD7633">
        <v>-1.109728540266</v>
      </c>
      <c r="AE7633">
        <v>-0.216499999999996</v>
      </c>
      <c r="AF7633">
        <v>1.03483792473133</v>
      </c>
      <c r="AG7633">
        <v>-1.109728540266</v>
      </c>
      <c r="AH7633">
        <v>16.746381948486601</v>
      </c>
      <c r="AI7633">
        <v>93.784065900732699</v>
      </c>
      <c r="AJ7633">
        <v>86.463919917952794</v>
      </c>
      <c r="AK7633">
        <v>16.814984250011701</v>
      </c>
      <c r="AL7633">
        <v>79.444609627308196</v>
      </c>
      <c r="AM7633">
        <v>87.287221353237896</v>
      </c>
      <c r="AN7633">
        <v>1.0000000199833501</v>
      </c>
    </row>
    <row r="7634" spans="1:40" x14ac:dyDescent="0.25">
      <c r="A7634" t="str">
        <f>"20190312172556979"</f>
        <v>20190312172556979</v>
      </c>
      <c r="B7634" t="str">
        <f>"1552382756968583"</f>
        <v>1552382756968583</v>
      </c>
      <c r="C7634" t="s">
        <v>40</v>
      </c>
      <c r="D7634">
        <v>3.82985</v>
      </c>
      <c r="E7634">
        <v>0.50400319999999998</v>
      </c>
      <c r="F7634" t="s">
        <v>43</v>
      </c>
      <c r="G7634">
        <v>-135.1009</v>
      </c>
      <c r="H7634" s="1">
        <v>-2.4848630000000002E-6</v>
      </c>
      <c r="I7634">
        <v>137.35640000000001</v>
      </c>
      <c r="J7634">
        <v>-151.6225</v>
      </c>
      <c r="K7634">
        <v>1.109923</v>
      </c>
      <c r="L7634">
        <v>137.59100000000001</v>
      </c>
      <c r="M7634">
        <v>0.99879010000000001</v>
      </c>
      <c r="N7634">
        <v>0</v>
      </c>
      <c r="O7634">
        <v>4.698973E-2</v>
      </c>
      <c r="P7634">
        <v>0.98567830000000001</v>
      </c>
      <c r="Q7634">
        <v>0.16863689999999901</v>
      </c>
      <c r="R7634">
        <v>2.7589079999999999E-4</v>
      </c>
      <c r="S7634">
        <v>3.079224</v>
      </c>
      <c r="T7634">
        <v>-0.20441970000000001</v>
      </c>
      <c r="U7634">
        <v>-4.1870119999999997E-2</v>
      </c>
      <c r="V7634">
        <v>4.6504429999999999E-2</v>
      </c>
      <c r="W7634">
        <v>0.18278759999999999</v>
      </c>
      <c r="X7634">
        <v>0.98205200000000004</v>
      </c>
      <c r="Y7634">
        <v>6.0335479999999997E-2</v>
      </c>
      <c r="Z7634">
        <v>-5.1160829999999996E-3</v>
      </c>
      <c r="AA7634">
        <v>0.99816510000000003</v>
      </c>
      <c r="AB7634">
        <v>20</v>
      </c>
      <c r="AC7634">
        <v>16.521599999999999</v>
      </c>
      <c r="AD7634">
        <v>-1.109925484863</v>
      </c>
      <c r="AE7634">
        <v>-0.2346</v>
      </c>
      <c r="AF7634">
        <v>1.0062275902104301</v>
      </c>
      <c r="AG7634">
        <v>-1.109925484863</v>
      </c>
      <c r="AH7634">
        <v>16.4182373389751</v>
      </c>
      <c r="AI7634">
        <v>93.860272763330499</v>
      </c>
      <c r="AJ7634">
        <v>86.492889470367601</v>
      </c>
      <c r="AK7634">
        <v>16.486447339077198</v>
      </c>
      <c r="AL7634">
        <v>79.467828621034002</v>
      </c>
      <c r="AM7634">
        <v>87.288821180312794</v>
      </c>
      <c r="AN7634">
        <v>1.0000000497136901</v>
      </c>
    </row>
    <row r="7635" spans="1:40" x14ac:dyDescent="0.25">
      <c r="A7635" t="str">
        <f>"20190312172557002"</f>
        <v>20190312172557002</v>
      </c>
      <c r="B7635" t="str">
        <f>"1552382756997863"</f>
        <v>1552382756997863</v>
      </c>
      <c r="C7635" t="s">
        <v>40</v>
      </c>
      <c r="D7635">
        <v>3.7813479999999999</v>
      </c>
      <c r="E7635">
        <v>0.50372680000000003</v>
      </c>
      <c r="F7635" t="s">
        <v>43</v>
      </c>
      <c r="G7635">
        <v>-135.23079999999999</v>
      </c>
      <c r="H7635" s="1">
        <v>-2.430573E-6</v>
      </c>
      <c r="I7635">
        <v>137.34819999999999</v>
      </c>
      <c r="J7635">
        <v>-151.4152</v>
      </c>
      <c r="K7635">
        <v>1.1101639999999999</v>
      </c>
      <c r="L7635">
        <v>137.5985</v>
      </c>
      <c r="M7635">
        <v>0.9988648</v>
      </c>
      <c r="N7635">
        <v>0</v>
      </c>
      <c r="O7635">
        <v>4.52018E-2</v>
      </c>
      <c r="P7635">
        <v>0.98553349999999995</v>
      </c>
      <c r="Q7635">
        <v>0.16947390000000001</v>
      </c>
      <c r="R7635">
        <v>-1.6000539999999901E-3</v>
      </c>
      <c r="S7635">
        <v>3.079269</v>
      </c>
      <c r="T7635">
        <v>-0.2085053</v>
      </c>
      <c r="U7635">
        <v>-4.5593259999999997E-2</v>
      </c>
      <c r="V7635">
        <v>4.6553230000000001E-2</v>
      </c>
      <c r="W7635">
        <v>0.1841525</v>
      </c>
      <c r="X7635">
        <v>0.98179459999999996</v>
      </c>
      <c r="Y7635">
        <v>5.9751440000000003E-2</v>
      </c>
      <c r="Z7635">
        <v>-5.07742E-3</v>
      </c>
      <c r="AA7635">
        <v>0.99820039999999999</v>
      </c>
      <c r="AB7635">
        <v>20</v>
      </c>
      <c r="AC7635">
        <v>16.1844</v>
      </c>
      <c r="AD7635">
        <v>-1.1101664305729999</v>
      </c>
      <c r="AE7635">
        <v>-0.25030000000001001</v>
      </c>
      <c r="AF7635">
        <v>0.97709438694903805</v>
      </c>
      <c r="AG7635">
        <v>-1.1101664305729999</v>
      </c>
      <c r="AH7635">
        <v>16.0808919413541</v>
      </c>
      <c r="AI7635">
        <v>93.941979586203004</v>
      </c>
      <c r="AJ7635">
        <v>86.522914182555397</v>
      </c>
      <c r="AK7635">
        <v>16.1487543969832</v>
      </c>
      <c r="AL7635">
        <v>79.388274588906498</v>
      </c>
      <c r="AM7635">
        <v>87.285269944551004</v>
      </c>
      <c r="AN7635">
        <v>0.99999999153442098</v>
      </c>
    </row>
    <row r="7636" spans="1:40" x14ac:dyDescent="0.25">
      <c r="A7636" t="str">
        <f>"20190312172557024"</f>
        <v>20190312172557024</v>
      </c>
      <c r="B7636" t="str">
        <f>"1552382757018359"</f>
        <v>1552382757018359</v>
      </c>
      <c r="C7636" t="s">
        <v>40</v>
      </c>
      <c r="D7636">
        <v>3.8538489999999999</v>
      </c>
      <c r="E7636">
        <v>0.50353059999999905</v>
      </c>
      <c r="F7636" t="s">
        <v>41</v>
      </c>
      <c r="G7636">
        <v>-150.50720000000001</v>
      </c>
      <c r="H7636">
        <v>1.0488189999999999</v>
      </c>
      <c r="I7636">
        <v>137.58430000000001</v>
      </c>
      <c r="J7636">
        <v>-151.2201</v>
      </c>
      <c r="K7636">
        <v>1.110398</v>
      </c>
      <c r="L7636">
        <v>137.6054</v>
      </c>
      <c r="M7636">
        <v>0.99892210000000004</v>
      </c>
      <c r="N7636">
        <v>0</v>
      </c>
      <c r="O7636">
        <v>4.3725930000000003E-2</v>
      </c>
      <c r="P7636">
        <v>0.98534920000000004</v>
      </c>
      <c r="Q7636">
        <v>0.170516</v>
      </c>
      <c r="R7636">
        <v>-3.3822349999999999E-3</v>
      </c>
      <c r="S7636">
        <v>3.079742</v>
      </c>
      <c r="T7636">
        <v>-0.20809839999999999</v>
      </c>
      <c r="U7636">
        <v>-4.795837E-2</v>
      </c>
      <c r="V7636">
        <v>4.6816990000000003E-2</v>
      </c>
      <c r="W7636">
        <v>0.18574679999999999</v>
      </c>
      <c r="X7636">
        <v>0.98148170000000001</v>
      </c>
      <c r="Y7636">
        <v>5.904707E-2</v>
      </c>
      <c r="Z7636">
        <v>-4.943439E-3</v>
      </c>
      <c r="AA7636">
        <v>0.99824299999999999</v>
      </c>
      <c r="AB7636">
        <v>20</v>
      </c>
      <c r="AC7636">
        <v>0.71289999999998999</v>
      </c>
      <c r="AD7636">
        <v>-6.1579000000000002E-2</v>
      </c>
      <c r="AE7636">
        <v>-2.1099999999989901E-2</v>
      </c>
      <c r="AF7636">
        <v>5.1869146168881101E-2</v>
      </c>
      <c r="AG7636">
        <v>-6.1579000000000002E-2</v>
      </c>
      <c r="AH7636">
        <v>0.70603203444788198</v>
      </c>
      <c r="AI7636">
        <v>94.971303438572406</v>
      </c>
      <c r="AJ7636">
        <v>85.798273111344898</v>
      </c>
      <c r="AK7636">
        <v>0.71060791948296198</v>
      </c>
      <c r="AL7636">
        <v>79.2953246011499</v>
      </c>
      <c r="AM7636">
        <v>87.269043062642595</v>
      </c>
      <c r="AN7636">
        <v>1.00000001584889</v>
      </c>
    </row>
    <row r="7637" spans="1:40" x14ac:dyDescent="0.25">
      <c r="A7637" t="str">
        <f>"20190312172557046"</f>
        <v>20190312172557046</v>
      </c>
      <c r="B7637" t="str">
        <f>"1552382757037880"</f>
        <v>1552382757037880</v>
      </c>
      <c r="C7637" t="s">
        <v>40</v>
      </c>
      <c r="D7637">
        <v>3.8786510000000001</v>
      </c>
      <c r="E7637">
        <v>0.50332869999999996</v>
      </c>
      <c r="F7637" t="s">
        <v>41</v>
      </c>
      <c r="G7637">
        <v>-150.32830000000001</v>
      </c>
      <c r="H7637">
        <v>1.050619</v>
      </c>
      <c r="I7637">
        <v>137.59059999999999</v>
      </c>
      <c r="J7637">
        <v>-151.0215</v>
      </c>
      <c r="K7637">
        <v>1.1106049999999901</v>
      </c>
      <c r="L7637">
        <v>137.6123</v>
      </c>
      <c r="M7637">
        <v>0.99897009999999997</v>
      </c>
      <c r="N7637">
        <v>0</v>
      </c>
      <c r="O7637">
        <v>4.240468E-2</v>
      </c>
      <c r="P7637">
        <v>0.98520770000000002</v>
      </c>
      <c r="Q7637">
        <v>0.17130000000000001</v>
      </c>
      <c r="R7637">
        <v>-4.7397730000000001E-3</v>
      </c>
      <c r="S7637">
        <v>3.0801699999999999</v>
      </c>
      <c r="T7637">
        <v>-0.2065099</v>
      </c>
      <c r="U7637">
        <v>-5.0216669999999998E-2</v>
      </c>
      <c r="V7637">
        <v>4.681565E-2</v>
      </c>
      <c r="W7637">
        <v>0.1870964</v>
      </c>
      <c r="X7637">
        <v>0.98122540000000003</v>
      </c>
      <c r="Y7637">
        <v>5.8464559999999999E-2</v>
      </c>
      <c r="Z7637">
        <v>-4.7971730000000001E-3</v>
      </c>
      <c r="AA7637">
        <v>0.998278</v>
      </c>
      <c r="AB7637">
        <v>20</v>
      </c>
      <c r="AC7637">
        <v>0.69319999999999005</v>
      </c>
      <c r="AD7637">
        <v>-5.9985999999999803E-2</v>
      </c>
      <c r="AE7637">
        <v>-2.1700000000009802E-2</v>
      </c>
      <c r="AF7637">
        <v>5.0699946691102803E-2</v>
      </c>
      <c r="AG7637">
        <v>-5.9985999999999803E-2</v>
      </c>
      <c r="AH7637">
        <v>0.686520184429253</v>
      </c>
      <c r="AI7637">
        <v>94.980150836064695</v>
      </c>
      <c r="AJ7637">
        <v>85.776338068941598</v>
      </c>
      <c r="AK7637">
        <v>0.69099838525083102</v>
      </c>
      <c r="AL7637">
        <v>79.216618600202906</v>
      </c>
      <c r="AM7637">
        <v>87.268408873758204</v>
      </c>
      <c r="AN7637">
        <v>1.0000000267915199</v>
      </c>
    </row>
    <row r="7638" spans="1:40" x14ac:dyDescent="0.25">
      <c r="A7638" t="str">
        <f>"20190312172557069"</f>
        <v>20190312172557069</v>
      </c>
      <c r="B7638" t="str">
        <f>"1552382757058273"</f>
        <v>1552382757058273</v>
      </c>
      <c r="C7638" t="s">
        <v>40</v>
      </c>
      <c r="D7638">
        <v>3.775665</v>
      </c>
      <c r="E7638">
        <v>0.50313699999999995</v>
      </c>
      <c r="F7638" t="s">
        <v>41</v>
      </c>
      <c r="G7638">
        <v>-150.1413</v>
      </c>
      <c r="H7638">
        <v>1.0518209999999999</v>
      </c>
      <c r="I7638">
        <v>137.59719999999999</v>
      </c>
      <c r="J7638">
        <v>-150.82409999999999</v>
      </c>
      <c r="K7638">
        <v>1.110787</v>
      </c>
      <c r="L7638">
        <v>137.6191</v>
      </c>
      <c r="M7638">
        <v>0.99900889999999998</v>
      </c>
      <c r="N7638">
        <v>0</v>
      </c>
      <c r="O7638">
        <v>4.1263330000000001E-2</v>
      </c>
      <c r="P7638">
        <v>0.98502610000000002</v>
      </c>
      <c r="Q7638">
        <v>0.17230319999999999</v>
      </c>
      <c r="R7638">
        <v>-5.9640919999999998E-3</v>
      </c>
      <c r="S7638">
        <v>3.0805660000000001</v>
      </c>
      <c r="T7638">
        <v>-0.2057321</v>
      </c>
      <c r="U7638">
        <v>-5.2841190000000003E-2</v>
      </c>
      <c r="V7638">
        <v>4.686187E-2</v>
      </c>
      <c r="W7638">
        <v>0.18864339999999999</v>
      </c>
      <c r="X7638">
        <v>0.98092690000000005</v>
      </c>
      <c r="Y7638">
        <v>5.8177489999999998E-2</v>
      </c>
      <c r="Z7638">
        <v>-4.6928509999999996E-3</v>
      </c>
      <c r="AA7638">
        <v>0.99829520000000005</v>
      </c>
      <c r="AB7638">
        <v>20</v>
      </c>
      <c r="AC7638">
        <v>0.68279999999998597</v>
      </c>
      <c r="AD7638">
        <v>-5.8966000000000303E-2</v>
      </c>
      <c r="AE7638">
        <v>-2.1900000000016399E-2</v>
      </c>
      <c r="AF7638">
        <v>4.9689669796455102E-2</v>
      </c>
      <c r="AG7638">
        <v>-5.8966000000000303E-2</v>
      </c>
      <c r="AH7638">
        <v>0.67627609500660302</v>
      </c>
      <c r="AI7638">
        <v>94.969812756913896</v>
      </c>
      <c r="AJ7638">
        <v>85.7977199023601</v>
      </c>
      <c r="AK7638">
        <v>0.68065807063301598</v>
      </c>
      <c r="AL7638">
        <v>79.126374571500406</v>
      </c>
      <c r="AM7638">
        <v>87.264885337884394</v>
      </c>
      <c r="AN7638">
        <v>0.99999997518353301</v>
      </c>
    </row>
    <row r="7639" spans="1:40" x14ac:dyDescent="0.25">
      <c r="A7639" t="str">
        <f>"20190312172557091"</f>
        <v>20190312172557091</v>
      </c>
      <c r="B7639" t="str">
        <f>"1552382757087552"</f>
        <v>1552382757087552</v>
      </c>
      <c r="C7639" t="s">
        <v>40</v>
      </c>
      <c r="D7639">
        <v>3.8626269999999998</v>
      </c>
      <c r="E7639">
        <v>0.49181370000000002</v>
      </c>
      <c r="F7639" t="s">
        <v>43</v>
      </c>
      <c r="G7639">
        <v>-134.02809999999999</v>
      </c>
      <c r="H7639" s="1">
        <v>-2.952781E-6</v>
      </c>
      <c r="I7639">
        <v>137.31309999999999</v>
      </c>
      <c r="J7639">
        <v>-150.63290000000001</v>
      </c>
      <c r="K7639">
        <v>1.1109579999999999</v>
      </c>
      <c r="L7639">
        <v>137.62559999999999</v>
      </c>
      <c r="M7639">
        <v>0.9990386</v>
      </c>
      <c r="N7639">
        <v>0</v>
      </c>
      <c r="O7639">
        <v>4.0317470000000001E-2</v>
      </c>
      <c r="P7639">
        <v>0.98462720000000004</v>
      </c>
      <c r="Q7639">
        <v>0.17449700000000001</v>
      </c>
      <c r="R7639">
        <v>-7.7602869999999899E-3</v>
      </c>
      <c r="S7639">
        <v>3.080902</v>
      </c>
      <c r="T7639">
        <v>-0.2037525</v>
      </c>
      <c r="U7639">
        <v>-5.6121829999999998E-2</v>
      </c>
      <c r="V7639">
        <v>4.7665369999999999E-2</v>
      </c>
      <c r="W7639">
        <v>0.19135350000000001</v>
      </c>
      <c r="X7639">
        <v>0.98036310000000004</v>
      </c>
      <c r="Y7639">
        <v>5.8299589999999998E-2</v>
      </c>
      <c r="Z7639">
        <v>-4.5888559999999997E-3</v>
      </c>
      <c r="AA7639">
        <v>0.99828859999999997</v>
      </c>
      <c r="AB7639">
        <v>20</v>
      </c>
      <c r="AC7639">
        <v>16.604800000000001</v>
      </c>
      <c r="AD7639">
        <v>-1.1109609527809901</v>
      </c>
      <c r="AE7639">
        <v>-0.3125</v>
      </c>
      <c r="AF7639">
        <v>0.97743473818636895</v>
      </c>
      <c r="AG7639">
        <v>-1.1109609527809901</v>
      </c>
      <c r="AH7639">
        <v>16.5048375575529</v>
      </c>
      <c r="AI7639">
        <v>93.844125931855601</v>
      </c>
      <c r="AJ7639">
        <v>86.610838943420205</v>
      </c>
      <c r="AK7639">
        <v>16.571037255019</v>
      </c>
      <c r="AL7639">
        <v>78.968216309452899</v>
      </c>
      <c r="AM7639">
        <v>87.216464383196495</v>
      </c>
      <c r="AN7639">
        <v>0.99999997865054802</v>
      </c>
    </row>
    <row r="7640" spans="1:40" x14ac:dyDescent="0.25">
      <c r="A7640" t="str">
        <f>"20190312172557113"</f>
        <v>20190312172557113</v>
      </c>
      <c r="B7640" t="str">
        <f>"1552382757108048"</f>
        <v>1552382757108048</v>
      </c>
      <c r="C7640" t="s">
        <v>40</v>
      </c>
      <c r="D7640">
        <v>3.8885860000000001</v>
      </c>
      <c r="E7640">
        <v>0.49166749999999998</v>
      </c>
      <c r="F7640" t="s">
        <v>41</v>
      </c>
      <c r="G7640">
        <v>-149.8168</v>
      </c>
      <c r="H7640">
        <v>1.034932</v>
      </c>
      <c r="I7640">
        <v>137.63299999999899</v>
      </c>
      <c r="J7640">
        <v>-150.43819999999999</v>
      </c>
      <c r="K7640">
        <v>1.111135</v>
      </c>
      <c r="L7640">
        <v>137.63229999999999</v>
      </c>
      <c r="M7640">
        <v>0.99906130000000004</v>
      </c>
      <c r="N7640">
        <v>0</v>
      </c>
      <c r="O7640">
        <v>3.9514430000000003E-2</v>
      </c>
      <c r="P7640">
        <v>0.98428979999999999</v>
      </c>
      <c r="Q7640">
        <v>0.1762899</v>
      </c>
      <c r="R7640">
        <v>-9.8012829999999992E-3</v>
      </c>
      <c r="S7640">
        <v>3.0981749999999999</v>
      </c>
      <c r="T7640">
        <v>-0.28863529999999998</v>
      </c>
      <c r="U7640">
        <v>2.7999880000000001E-2</v>
      </c>
      <c r="V7640">
        <v>4.8849950000000003E-2</v>
      </c>
      <c r="W7640">
        <v>0.19368089999999999</v>
      </c>
      <c r="X7640">
        <v>0.97984760000000004</v>
      </c>
      <c r="Y7640">
        <v>3.0187189999999999E-2</v>
      </c>
      <c r="Z7640">
        <v>-5.0760479999999997E-3</v>
      </c>
      <c r="AA7640">
        <v>0.99953139999999996</v>
      </c>
      <c r="AB7640">
        <v>19</v>
      </c>
      <c r="AC7640">
        <v>0.62139999999999396</v>
      </c>
      <c r="AD7640">
        <v>-7.6203000000000007E-2</v>
      </c>
      <c r="AE7640">
        <v>6.9999999999481501E-4</v>
      </c>
      <c r="AF7640">
        <v>2.3505203258832399E-2</v>
      </c>
      <c r="AG7640">
        <v>-7.6203000000000007E-2</v>
      </c>
      <c r="AH7640">
        <v>0.61174257985756897</v>
      </c>
      <c r="AI7640">
        <v>97.095411062932001</v>
      </c>
      <c r="AJ7640">
        <v>87.799586272774604</v>
      </c>
      <c r="AK7640">
        <v>0.61691845149908897</v>
      </c>
      <c r="AL7640">
        <v>78.832323852251605</v>
      </c>
      <c r="AM7640">
        <v>87.145902541460799</v>
      </c>
      <c r="AN7640">
        <v>0.99999996393278501</v>
      </c>
    </row>
    <row r="7641" spans="1:40" x14ac:dyDescent="0.25">
      <c r="A7641" t="str">
        <f>"20190312172557137"</f>
        <v>20190312172557137</v>
      </c>
      <c r="B7641" t="str">
        <f>"1552382757127568"</f>
        <v>1552382757127568</v>
      </c>
      <c r="C7641" t="s">
        <v>40</v>
      </c>
      <c r="D7641">
        <v>3.8424999999999998</v>
      </c>
      <c r="E7641">
        <v>0.49216929999999998</v>
      </c>
      <c r="F7641" t="s">
        <v>41</v>
      </c>
      <c r="G7641">
        <v>-149.6437</v>
      </c>
      <c r="H7641">
        <v>1.03759</v>
      </c>
      <c r="I7641">
        <v>137.63849999999999</v>
      </c>
      <c r="J7641">
        <v>-150.2456</v>
      </c>
      <c r="K7641">
        <v>1.1113219999999999</v>
      </c>
      <c r="L7641">
        <v>137.63900000000001</v>
      </c>
      <c r="M7641">
        <v>0.99907610000000002</v>
      </c>
      <c r="N7641">
        <v>0</v>
      </c>
      <c r="O7641">
        <v>3.8887230000000002E-2</v>
      </c>
      <c r="P7641">
        <v>0.98421099999999995</v>
      </c>
      <c r="Q7641">
        <v>0.1767002</v>
      </c>
      <c r="R7641">
        <v>-1.0304239999999999E-2</v>
      </c>
      <c r="S7641">
        <v>3.099548</v>
      </c>
      <c r="T7641">
        <v>-0.28703119999999999</v>
      </c>
      <c r="U7641">
        <v>2.5100709999999998E-2</v>
      </c>
      <c r="V7641">
        <v>4.8674630000000003E-2</v>
      </c>
      <c r="W7641">
        <v>0.1946389</v>
      </c>
      <c r="X7641">
        <v>0.9796665</v>
      </c>
      <c r="Y7641">
        <v>3.0503860000000001E-2</v>
      </c>
      <c r="Z7641">
        <v>-5.0025080000000001E-3</v>
      </c>
      <c r="AA7641">
        <v>0.99952209999999997</v>
      </c>
      <c r="AB7641">
        <v>19</v>
      </c>
      <c r="AC7641">
        <v>0.60189999999999999</v>
      </c>
      <c r="AD7641">
        <v>-7.3731999999999895E-2</v>
      </c>
      <c r="AE7641">
        <v>-5.0000000001659795E-4</v>
      </c>
      <c r="AF7641">
        <v>2.3556279788244001E-2</v>
      </c>
      <c r="AG7641">
        <v>-7.3731999999999895E-2</v>
      </c>
      <c r="AH7641">
        <v>0.59253360643521602</v>
      </c>
      <c r="AI7641">
        <v>97.087606064045204</v>
      </c>
      <c r="AJ7641">
        <v>87.723394876968698</v>
      </c>
      <c r="AK7641">
        <v>0.59756788810693695</v>
      </c>
      <c r="AL7641">
        <v>78.776369929256106</v>
      </c>
      <c r="AM7641">
        <v>87.155604055942106</v>
      </c>
      <c r="AN7641">
        <v>0.99999998611054797</v>
      </c>
    </row>
    <row r="7642" spans="1:40" x14ac:dyDescent="0.25">
      <c r="A7642" t="str">
        <f>"20190312172557158"</f>
        <v>20190312172557158</v>
      </c>
      <c r="B7642" t="str">
        <f>"1552382757148064"</f>
        <v>1552382757148064</v>
      </c>
      <c r="C7642" t="s">
        <v>40</v>
      </c>
      <c r="D7642">
        <v>3.8398059999999998</v>
      </c>
      <c r="E7642">
        <v>0.49170580000000003</v>
      </c>
      <c r="F7642" t="s">
        <v>41</v>
      </c>
      <c r="G7642">
        <v>-149.471</v>
      </c>
      <c r="H7642">
        <v>1.0410649999999999</v>
      </c>
      <c r="I7642">
        <v>137.6439</v>
      </c>
      <c r="J7642">
        <v>-150.0608</v>
      </c>
      <c r="K7642">
        <v>1.1115120000000001</v>
      </c>
      <c r="L7642">
        <v>137.6455</v>
      </c>
      <c r="M7642">
        <v>0.99908260000000004</v>
      </c>
      <c r="N7642">
        <v>0</v>
      </c>
      <c r="O7642">
        <v>3.8463959999999998E-2</v>
      </c>
      <c r="P7642">
        <v>0.98424389999999995</v>
      </c>
      <c r="Q7642">
        <v>0.17655370000000001</v>
      </c>
      <c r="R7642">
        <v>-9.6548239999999994E-3</v>
      </c>
      <c r="S7642">
        <v>3.0988009999999999</v>
      </c>
      <c r="T7642">
        <v>-0.28111419999999998</v>
      </c>
      <c r="U7642">
        <v>1.9729610000000002E-2</v>
      </c>
      <c r="V7642">
        <v>4.7550910000000002E-2</v>
      </c>
      <c r="W7642">
        <v>0.19503039999999999</v>
      </c>
      <c r="X7642">
        <v>0.97964379999999995</v>
      </c>
      <c r="Y7642">
        <v>3.1819439999999997E-2</v>
      </c>
      <c r="Z7642">
        <v>-4.9223319999999997E-3</v>
      </c>
      <c r="AA7642">
        <v>0.99948150000000002</v>
      </c>
      <c r="AB7642">
        <v>19</v>
      </c>
      <c r="AC7642">
        <v>0.58979999999999599</v>
      </c>
      <c r="AD7642">
        <v>-7.0447000000000107E-2</v>
      </c>
      <c r="AE7642">
        <v>-1.59999999999627E-3</v>
      </c>
      <c r="AF7642">
        <v>2.3947241875191001E-2</v>
      </c>
      <c r="AG7642">
        <v>-7.0447000000000107E-2</v>
      </c>
      <c r="AH7642">
        <v>0.58101291081212103</v>
      </c>
      <c r="AI7642">
        <v>96.907478778566897</v>
      </c>
      <c r="AJ7642">
        <v>87.639811955847904</v>
      </c>
      <c r="AK7642">
        <v>0.58575784478980997</v>
      </c>
      <c r="AL7642">
        <v>78.753500068342902</v>
      </c>
      <c r="AM7642">
        <v>87.221102373402005</v>
      </c>
      <c r="AN7642">
        <v>0.99999996042221295</v>
      </c>
    </row>
    <row r="7643" spans="1:40" x14ac:dyDescent="0.25">
      <c r="A7643" t="str">
        <f>"20190312172557180"</f>
        <v>20190312172557180</v>
      </c>
      <c r="B7643" t="str">
        <f>"1552382757167584"</f>
        <v>1552382757167584</v>
      </c>
      <c r="C7643" t="s">
        <v>40</v>
      </c>
      <c r="D7643">
        <v>3.8357410000000001</v>
      </c>
      <c r="E7643">
        <v>0.4918459</v>
      </c>
      <c r="F7643" t="s">
        <v>41</v>
      </c>
      <c r="G7643">
        <v>-149.30240000000001</v>
      </c>
      <c r="H7643">
        <v>1.0418959999999999</v>
      </c>
      <c r="I7643">
        <v>137.65110000000001</v>
      </c>
      <c r="J7643">
        <v>-149.87899999999999</v>
      </c>
      <c r="K7643">
        <v>1.1116919999999999</v>
      </c>
      <c r="L7643">
        <v>137.65209999999999</v>
      </c>
      <c r="M7643">
        <v>0.99908110000000006</v>
      </c>
      <c r="N7643">
        <v>0</v>
      </c>
      <c r="O7643">
        <v>3.82394E-2</v>
      </c>
      <c r="P7643">
        <v>0.98398669999999999</v>
      </c>
      <c r="Q7643">
        <v>0.17801129999999901</v>
      </c>
      <c r="R7643">
        <v>-9.0608679999999997E-3</v>
      </c>
      <c r="S7643">
        <v>3.0993189999999999</v>
      </c>
      <c r="T7643">
        <v>-0.28461120000000001</v>
      </c>
      <c r="U7643">
        <v>2.3742679999999999E-2</v>
      </c>
      <c r="V7643">
        <v>4.6667649999999998E-2</v>
      </c>
      <c r="W7643">
        <v>0.1970055</v>
      </c>
      <c r="X7643">
        <v>0.97929109999999997</v>
      </c>
      <c r="Y7643">
        <v>3.0302340000000001E-2</v>
      </c>
      <c r="Z7643">
        <v>-4.8923899999999999E-3</v>
      </c>
      <c r="AA7643">
        <v>0.9995288</v>
      </c>
      <c r="AB7643">
        <v>19</v>
      </c>
      <c r="AC7643">
        <v>0.57659999999998401</v>
      </c>
      <c r="AD7643">
        <v>-6.97959999999999E-2</v>
      </c>
      <c r="AE7643">
        <v>-9.9999999997635292E-4</v>
      </c>
      <c r="AF7643">
        <v>2.2719344189748102E-2</v>
      </c>
      <c r="AG7643">
        <v>-6.97959999999999E-2</v>
      </c>
      <c r="AH7643">
        <v>0.56781991642097496</v>
      </c>
      <c r="AI7643">
        <v>97.002055600130404</v>
      </c>
      <c r="AJ7643">
        <v>87.708730335280904</v>
      </c>
      <c r="AK7643">
        <v>0.57254441548296897</v>
      </c>
      <c r="AL7643">
        <v>78.6380973548101</v>
      </c>
      <c r="AM7643">
        <v>87.271661033041099</v>
      </c>
      <c r="AN7643">
        <v>1.00000004756299</v>
      </c>
    </row>
    <row r="7644" spans="1:40" x14ac:dyDescent="0.25">
      <c r="A7644" t="str">
        <f>"20190312172557203"</f>
        <v>20190312172557203</v>
      </c>
      <c r="B7644" t="str">
        <f>"1552382757197847"</f>
        <v>1552382757197847</v>
      </c>
      <c r="C7644" t="s">
        <v>40</v>
      </c>
      <c r="D7644">
        <v>3.8384900000000002</v>
      </c>
      <c r="E7644">
        <v>0.48768060000000002</v>
      </c>
      <c r="F7644" t="s">
        <v>41</v>
      </c>
      <c r="G7644">
        <v>-149.1335</v>
      </c>
      <c r="H7644">
        <v>1.0447029999999999</v>
      </c>
      <c r="I7644">
        <v>137.65809999999999</v>
      </c>
      <c r="J7644">
        <v>-149.69540000000001</v>
      </c>
      <c r="K7644">
        <v>1.1118650000000001</v>
      </c>
      <c r="L7644">
        <v>137.65899999999999</v>
      </c>
      <c r="M7644">
        <v>0.99907199999999996</v>
      </c>
      <c r="N7644">
        <v>0</v>
      </c>
      <c r="O7644">
        <v>3.8228669999999999E-2</v>
      </c>
      <c r="P7644">
        <v>0.98374200000000001</v>
      </c>
      <c r="Q7644">
        <v>0.17938670000000001</v>
      </c>
      <c r="R7644">
        <v>-8.5042499999999997E-3</v>
      </c>
      <c r="S7644">
        <v>3.0994419999999998</v>
      </c>
      <c r="T7644">
        <v>-0.27845029999999998</v>
      </c>
      <c r="U7644">
        <v>2.478027E-2</v>
      </c>
      <c r="V7644">
        <v>4.6033930000000001E-2</v>
      </c>
      <c r="W7644">
        <v>0.19887270000000001</v>
      </c>
      <c r="X7644">
        <v>0.97894360000000002</v>
      </c>
      <c r="Y7644">
        <v>2.9971399999999999E-2</v>
      </c>
      <c r="Z7644">
        <v>-4.7709500000000004E-3</v>
      </c>
      <c r="AA7644">
        <v>0.99953939999999997</v>
      </c>
      <c r="AB7644">
        <v>19</v>
      </c>
      <c r="AC7644">
        <v>0.56190000000000795</v>
      </c>
      <c r="AD7644">
        <v>-6.7161999999999694E-2</v>
      </c>
      <c r="AE7644">
        <v>-9.0000000000145497E-4</v>
      </c>
      <c r="AF7644">
        <v>2.2068971364922901E-2</v>
      </c>
      <c r="AG7644">
        <v>-6.7161999999999694E-2</v>
      </c>
      <c r="AH7644">
        <v>0.55354640528001298</v>
      </c>
      <c r="AI7644">
        <v>96.912466830830695</v>
      </c>
      <c r="AJ7644">
        <v>87.716922017953195</v>
      </c>
      <c r="AK7644">
        <v>0.55804246840140204</v>
      </c>
      <c r="AL7644">
        <v>78.5289549223763</v>
      </c>
      <c r="AM7644">
        <v>87.307701514610102</v>
      </c>
      <c r="AN7644">
        <v>1.00000002274874</v>
      </c>
    </row>
    <row r="7645" spans="1:40" x14ac:dyDescent="0.25">
      <c r="A7645" t="str">
        <f>"20190312172557225"</f>
        <v>20190312172557225</v>
      </c>
      <c r="B7645" t="str">
        <f>"1552382757218340"</f>
        <v>1552382757218340</v>
      </c>
      <c r="C7645" t="s">
        <v>40</v>
      </c>
      <c r="D7645">
        <v>3.4977740000000002</v>
      </c>
      <c r="E7645">
        <v>0.49050739999999998</v>
      </c>
      <c r="F7645" t="s">
        <v>41</v>
      </c>
      <c r="G7645">
        <v>-148.8211</v>
      </c>
      <c r="H7645">
        <v>1.025377</v>
      </c>
      <c r="I7645">
        <v>137.67609999999999</v>
      </c>
      <c r="J7645">
        <v>-149.51390000000001</v>
      </c>
      <c r="K7645">
        <v>1.112023</v>
      </c>
      <c r="L7645">
        <v>137.666</v>
      </c>
      <c r="M7645">
        <v>0.99905509999999997</v>
      </c>
      <c r="N7645">
        <v>0</v>
      </c>
      <c r="O7645">
        <v>3.84327E-2</v>
      </c>
      <c r="P7645">
        <v>0.98381289999999999</v>
      </c>
      <c r="Q7645">
        <v>0.17907429999999999</v>
      </c>
      <c r="R7645">
        <v>-6.6787399999999999E-3</v>
      </c>
      <c r="S7645">
        <v>3.1061399999999999</v>
      </c>
      <c r="T7645">
        <v>-0.30725370000000002</v>
      </c>
      <c r="U7645">
        <v>6.115723E-2</v>
      </c>
      <c r="V7645">
        <v>4.4360080000000003E-2</v>
      </c>
      <c r="W7645">
        <v>0.1990092</v>
      </c>
      <c r="X7645">
        <v>0.97899309999999995</v>
      </c>
      <c r="Y7645">
        <v>1.8484799999999999E-2</v>
      </c>
      <c r="Z7645">
        <v>-4.7037210000000001E-3</v>
      </c>
      <c r="AA7645">
        <v>0.99981810000000004</v>
      </c>
      <c r="AB7645">
        <v>18</v>
      </c>
      <c r="AC7645">
        <v>0.69280000000000497</v>
      </c>
      <c r="AD7645">
        <v>-8.6646000000000001E-2</v>
      </c>
      <c r="AE7645">
        <v>1.00999999999942E-2</v>
      </c>
      <c r="AF7645">
        <v>1.6284463099038599E-2</v>
      </c>
      <c r="AG7645">
        <v>-8.6646000000000001E-2</v>
      </c>
      <c r="AH7645">
        <v>0.68201071768893795</v>
      </c>
      <c r="AI7645">
        <v>97.238308990713307</v>
      </c>
      <c r="AJ7645">
        <v>88.6322007394281</v>
      </c>
      <c r="AK7645">
        <v>0.68768548922963602</v>
      </c>
      <c r="AL7645">
        <v>78.5209740829482</v>
      </c>
      <c r="AM7645">
        <v>87.405591495953004</v>
      </c>
      <c r="AN7645">
        <v>0.99999998411492796</v>
      </c>
    </row>
    <row r="7646" spans="1:40" x14ac:dyDescent="0.25">
      <c r="A7646" t="str">
        <f>"20190312172557314"</f>
        <v>20190312172557314</v>
      </c>
      <c r="B7646" t="str">
        <f>"1552382757308128"</f>
        <v>1552382757308128</v>
      </c>
      <c r="C7646" t="s">
        <v>40</v>
      </c>
      <c r="D7646">
        <v>5.6613879999999996</v>
      </c>
      <c r="E7646">
        <v>0.49376720000000002</v>
      </c>
      <c r="F7646" t="s">
        <v>41</v>
      </c>
      <c r="G7646">
        <v>-148.66730000000001</v>
      </c>
      <c r="H7646">
        <v>1.0120450000000001</v>
      </c>
      <c r="I7646">
        <v>137.67769999999999</v>
      </c>
      <c r="J7646">
        <v>-148.81299999999999</v>
      </c>
      <c r="K7646">
        <v>1.112428</v>
      </c>
      <c r="L7646">
        <v>137.69589999999999</v>
      </c>
      <c r="M7646">
        <v>0.99893220000000005</v>
      </c>
      <c r="N7646">
        <v>0</v>
      </c>
      <c r="O7646">
        <v>4.0783050000000001E-2</v>
      </c>
      <c r="P7646">
        <v>0.98409950000000002</v>
      </c>
      <c r="Q7646">
        <v>0.177618</v>
      </c>
      <c r="R7646">
        <v>6.8408390000000003E-4</v>
      </c>
      <c r="S7646">
        <v>3.1166529999999999</v>
      </c>
      <c r="T7646">
        <v>-0.36812470000000003</v>
      </c>
      <c r="U7646">
        <v>4.3457030000000001E-2</v>
      </c>
      <c r="V7646">
        <v>3.9184150000000001E-2</v>
      </c>
      <c r="W7646">
        <v>0.19898489999999999</v>
      </c>
      <c r="X7646">
        <v>0.9792189</v>
      </c>
      <c r="Y7646">
        <v>2.6391410000000001E-2</v>
      </c>
      <c r="Z7646">
        <v>-6.3531209999999998E-3</v>
      </c>
      <c r="AA7646">
        <v>0.99963150000000001</v>
      </c>
      <c r="AB7646">
        <v>18</v>
      </c>
      <c r="AC7646">
        <v>0.14569999999997599</v>
      </c>
      <c r="AD7646">
        <v>-0.100382999999999</v>
      </c>
      <c r="AE7646">
        <v>-1.8200000000007301E-2</v>
      </c>
      <c r="AF7646">
        <v>1.6443061561248799E-2</v>
      </c>
      <c r="AG7646">
        <v>-0.100382999999999</v>
      </c>
      <c r="AH7646">
        <v>9.8703515651663798E-2</v>
      </c>
      <c r="AI7646">
        <v>135.09124844630799</v>
      </c>
      <c r="AJ7646">
        <v>80.541927576548801</v>
      </c>
      <c r="AK7646">
        <v>0.14173745081842401</v>
      </c>
      <c r="AL7646">
        <v>78.522395214332093</v>
      </c>
      <c r="AM7646">
        <v>87.708490667413798</v>
      </c>
      <c r="AN7646">
        <v>1.0000000210782201</v>
      </c>
    </row>
    <row r="7647" spans="1:40" x14ac:dyDescent="0.25">
      <c r="A7647" t="str">
        <f>"20190312172557337"</f>
        <v>20190312172557337</v>
      </c>
      <c r="B7647" t="str">
        <f>"1552382757327648"</f>
        <v>1552382757327648</v>
      </c>
      <c r="C7647" t="s">
        <v>40</v>
      </c>
      <c r="D7647">
        <v>3.9177680000000001</v>
      </c>
      <c r="E7647">
        <v>0.49605850000000001</v>
      </c>
      <c r="F7647" t="s">
        <v>41</v>
      </c>
      <c r="G7647">
        <v>-148.05439999999999</v>
      </c>
      <c r="H7647">
        <v>0.99163939999999995</v>
      </c>
      <c r="I7647">
        <v>137.70480000000001</v>
      </c>
      <c r="J7647">
        <v>-148.64060000000001</v>
      </c>
      <c r="K7647">
        <v>1.1125</v>
      </c>
      <c r="L7647">
        <v>137.70400000000001</v>
      </c>
      <c r="M7647">
        <v>0.99888690000000002</v>
      </c>
      <c r="N7647">
        <v>0</v>
      </c>
      <c r="O7647">
        <v>4.1729179999999998E-2</v>
      </c>
      <c r="P7647">
        <v>0.98402480000000003</v>
      </c>
      <c r="Q7647">
        <v>0.17801629999999999</v>
      </c>
      <c r="R7647">
        <v>2.4348059999999999E-3</v>
      </c>
      <c r="S7647">
        <v>3.1386569999999998</v>
      </c>
      <c r="T7647">
        <v>-0.49978329999999999</v>
      </c>
      <c r="U7647">
        <v>3.7170410000000001E-2</v>
      </c>
      <c r="V7647">
        <v>3.8333440000000003E-2</v>
      </c>
      <c r="W7647">
        <v>0.19966339999999999</v>
      </c>
      <c r="X7647">
        <v>0.97911440000000005</v>
      </c>
      <c r="Y7647">
        <v>2.9013810000000001E-2</v>
      </c>
      <c r="Z7647">
        <v>-8.8981230000000008E-3</v>
      </c>
      <c r="AA7647">
        <v>0.99953939999999997</v>
      </c>
      <c r="AB7647">
        <v>17</v>
      </c>
      <c r="AC7647">
        <v>0.58620000000001904</v>
      </c>
      <c r="AD7647">
        <v>-0.120860599999999</v>
      </c>
      <c r="AE7647">
        <v>7.9999999999813499E-4</v>
      </c>
      <c r="AF7647">
        <v>2.27031789895921E-2</v>
      </c>
      <c r="AG7647">
        <v>-0.120860599999999</v>
      </c>
      <c r="AH7647">
        <v>0.56183951457126002</v>
      </c>
      <c r="AI7647">
        <v>102.130619735918</v>
      </c>
      <c r="AJ7647">
        <v>87.686013548499304</v>
      </c>
      <c r="AK7647">
        <v>0.57514029514742104</v>
      </c>
      <c r="AL7647">
        <v>78.482723339163798</v>
      </c>
      <c r="AM7647">
        <v>87.757950283127002</v>
      </c>
      <c r="AN7647">
        <v>0.99999996710457595</v>
      </c>
    </row>
    <row r="7648" spans="1:40" x14ac:dyDescent="0.25">
      <c r="A7648" t="str">
        <f>"20190312172557359"</f>
        <v>20190312172557359</v>
      </c>
      <c r="B7648" t="str">
        <f>"1552382757348144"</f>
        <v>1552382757348144</v>
      </c>
      <c r="C7648" t="s">
        <v>40</v>
      </c>
      <c r="D7648">
        <v>3.8795489999999999</v>
      </c>
      <c r="E7648">
        <v>0.49847330000000001</v>
      </c>
      <c r="F7648" t="s">
        <v>41</v>
      </c>
      <c r="G7648">
        <v>-147.89869999999999</v>
      </c>
      <c r="H7648">
        <v>1.0006219999999999</v>
      </c>
      <c r="I7648">
        <v>137.7097</v>
      </c>
      <c r="J7648">
        <v>-148.47399999999999</v>
      </c>
      <c r="K7648">
        <v>1.112571</v>
      </c>
      <c r="L7648">
        <v>137.7122</v>
      </c>
      <c r="M7648">
        <v>0.99883679999999997</v>
      </c>
      <c r="N7648">
        <v>0</v>
      </c>
      <c r="O7648">
        <v>4.2772490000000003E-2</v>
      </c>
      <c r="P7648">
        <v>0.98419900000000005</v>
      </c>
      <c r="Q7648">
        <v>0.17701149999999999</v>
      </c>
      <c r="R7648">
        <v>4.4060569999999997E-3</v>
      </c>
      <c r="S7648">
        <v>3.1341549999999998</v>
      </c>
      <c r="T7648">
        <v>-0.47268769999999999</v>
      </c>
      <c r="U7648">
        <v>2.427673E-2</v>
      </c>
      <c r="V7648">
        <v>3.7375029999999997E-2</v>
      </c>
      <c r="W7648">
        <v>0.19892509999999999</v>
      </c>
      <c r="X7648">
        <v>0.9793018</v>
      </c>
      <c r="Y7648">
        <v>3.417332E-2</v>
      </c>
      <c r="Z7648">
        <v>-8.9768060000000004E-3</v>
      </c>
      <c r="AA7648">
        <v>0.99937560000000003</v>
      </c>
      <c r="AB7648">
        <v>17</v>
      </c>
      <c r="AC7648">
        <v>0.57529999999999804</v>
      </c>
      <c r="AD7648">
        <v>-0.11194900000000001</v>
      </c>
      <c r="AE7648">
        <v>-2.4999999999977202E-3</v>
      </c>
      <c r="AF7648">
        <v>2.6121712627940101E-2</v>
      </c>
      <c r="AG7648">
        <v>-0.11194900000000001</v>
      </c>
      <c r="AH7648">
        <v>0.55370016502035202</v>
      </c>
      <c r="AI7648">
        <v>101.41780688967199</v>
      </c>
      <c r="AJ7648">
        <v>87.298980351706902</v>
      </c>
      <c r="AK7648">
        <v>0.56550755540061703</v>
      </c>
      <c r="AL7648">
        <v>78.525891753561595</v>
      </c>
      <c r="AM7648">
        <v>87.814368691860395</v>
      </c>
      <c r="AN7648">
        <v>1.00000005188037</v>
      </c>
    </row>
    <row r="7649" spans="1:40" x14ac:dyDescent="0.25">
      <c r="A7649" t="str">
        <f>"20190312172557382"</f>
        <v>20190312172557382</v>
      </c>
      <c r="B7649" t="str">
        <f>"1552382757378401"</f>
        <v>1552382757378401</v>
      </c>
      <c r="C7649" t="s">
        <v>40</v>
      </c>
      <c r="D7649">
        <v>3.8886660000000002</v>
      </c>
      <c r="E7649">
        <v>0.50007979999999996</v>
      </c>
      <c r="F7649" t="s">
        <v>41</v>
      </c>
      <c r="G7649">
        <v>-147.74549999999999</v>
      </c>
      <c r="H7649">
        <v>1.00858799999999</v>
      </c>
      <c r="I7649">
        <v>137.71449999999999</v>
      </c>
      <c r="J7649">
        <v>-148.30850000000001</v>
      </c>
      <c r="K7649">
        <v>1.1126389999999999</v>
      </c>
      <c r="L7649">
        <v>137.72069999999999</v>
      </c>
      <c r="M7649">
        <v>0.99878049999999996</v>
      </c>
      <c r="N7649">
        <v>0</v>
      </c>
      <c r="O7649">
        <v>4.3937799999999999E-2</v>
      </c>
      <c r="P7649">
        <v>0.98442450000000004</v>
      </c>
      <c r="Q7649">
        <v>0.17566670000000001</v>
      </c>
      <c r="R7649">
        <v>7.0420580000000003E-3</v>
      </c>
      <c r="S7649">
        <v>3.1284179999999999</v>
      </c>
      <c r="T7649">
        <v>-0.44663389999999997</v>
      </c>
      <c r="U7649">
        <v>1.031494E-2</v>
      </c>
      <c r="V7649">
        <v>3.588177E-2</v>
      </c>
      <c r="W7649">
        <v>0.1978366</v>
      </c>
      <c r="X7649">
        <v>0.97957810000000001</v>
      </c>
      <c r="Y7649">
        <v>3.9805739999999999E-2</v>
      </c>
      <c r="Z7649">
        <v>-9.0682769999999996E-3</v>
      </c>
      <c r="AA7649">
        <v>0.99916629999999995</v>
      </c>
      <c r="AB7649">
        <v>17</v>
      </c>
      <c r="AC7649">
        <v>0.56300000000001604</v>
      </c>
      <c r="AD7649">
        <v>-0.104051</v>
      </c>
      <c r="AE7649">
        <v>-6.2000000000068597E-3</v>
      </c>
      <c r="AF7649">
        <v>2.9915570961671498E-2</v>
      </c>
      <c r="AG7649">
        <v>-0.104051</v>
      </c>
      <c r="AH7649">
        <v>0.54361760940404102</v>
      </c>
      <c r="AI7649">
        <v>100.819646471128</v>
      </c>
      <c r="AJ7649">
        <v>86.850159329366207</v>
      </c>
      <c r="AK7649">
        <v>0.554293836553436</v>
      </c>
      <c r="AL7649">
        <v>78.589522715503094</v>
      </c>
      <c r="AM7649">
        <v>87.902203778727198</v>
      </c>
      <c r="AN7649">
        <v>1.0000000378587499</v>
      </c>
    </row>
    <row r="7650" spans="1:40" x14ac:dyDescent="0.25">
      <c r="A7650" t="str">
        <f>"20190312172557404"</f>
        <v>20190312172557404</v>
      </c>
      <c r="B7650" t="str">
        <f>"1552382757397924"</f>
        <v>1552382757397924</v>
      </c>
      <c r="C7650" t="s">
        <v>40</v>
      </c>
      <c r="D7650">
        <v>4.0221239999999998</v>
      </c>
      <c r="E7650">
        <v>0.50060879999999996</v>
      </c>
      <c r="F7650" t="s">
        <v>41</v>
      </c>
      <c r="G7650">
        <v>-147.4581</v>
      </c>
      <c r="H7650">
        <v>0.99784170000000005</v>
      </c>
      <c r="I7650">
        <v>137.72190000000001</v>
      </c>
      <c r="J7650">
        <v>-148.14930000000001</v>
      </c>
      <c r="K7650">
        <v>1.112676</v>
      </c>
      <c r="L7650">
        <v>137.72919999999999</v>
      </c>
      <c r="M7650">
        <v>0.99872000000000005</v>
      </c>
      <c r="N7650">
        <v>0</v>
      </c>
      <c r="O7650">
        <v>4.517877E-2</v>
      </c>
      <c r="P7650">
        <v>0.98472099999999996</v>
      </c>
      <c r="Q7650">
        <v>0.173892299999999</v>
      </c>
      <c r="R7650">
        <v>9.2734879999999999E-3</v>
      </c>
      <c r="S7650">
        <v>3.122681</v>
      </c>
      <c r="T7650">
        <v>-0.42167399999999999</v>
      </c>
      <c r="U7650">
        <v>4.8522950000000004E-3</v>
      </c>
      <c r="V7650">
        <v>3.4878310000000003E-2</v>
      </c>
      <c r="W7650">
        <v>0.19629479999999999</v>
      </c>
      <c r="X7650">
        <v>0.97992440000000003</v>
      </c>
      <c r="Y7650">
        <v>4.283936E-2</v>
      </c>
      <c r="Z7650">
        <v>-8.9525090000000009E-3</v>
      </c>
      <c r="AA7650">
        <v>0.99904190000000004</v>
      </c>
      <c r="AB7650">
        <v>17</v>
      </c>
      <c r="AC7650">
        <v>0.69120000000000903</v>
      </c>
      <c r="AD7650">
        <v>-0.1148343</v>
      </c>
      <c r="AE7650">
        <v>-7.2999999999865299E-3</v>
      </c>
      <c r="AF7650">
        <v>3.7493420635085803E-2</v>
      </c>
      <c r="AG7650">
        <v>-0.1148343</v>
      </c>
      <c r="AH7650">
        <v>0.6716279677657</v>
      </c>
      <c r="AI7650">
        <v>99.687758106728296</v>
      </c>
      <c r="AJ7650">
        <v>86.804797498109295</v>
      </c>
      <c r="AK7650">
        <v>0.68240515834253002</v>
      </c>
      <c r="AL7650">
        <v>78.679627720803396</v>
      </c>
      <c r="AM7650">
        <v>87.9615399750855</v>
      </c>
      <c r="AN7650">
        <v>0.99999998736542794</v>
      </c>
    </row>
    <row r="7651" spans="1:40" x14ac:dyDescent="0.25">
      <c r="A7651" t="str">
        <f>"20190312172557427"</f>
        <v>20190312172557427</v>
      </c>
      <c r="B7651" t="str">
        <f>"1552382757418417"</f>
        <v>1552382757418417</v>
      </c>
      <c r="C7651" t="s">
        <v>40</v>
      </c>
      <c r="D7651">
        <v>3.9956930000000002</v>
      </c>
      <c r="E7651">
        <v>0.50094949999999905</v>
      </c>
      <c r="F7651" t="s">
        <v>41</v>
      </c>
      <c r="G7651">
        <v>-147.31319999999999</v>
      </c>
      <c r="H7651">
        <v>1.0009399999999999</v>
      </c>
      <c r="I7651">
        <v>137.73140000000001</v>
      </c>
      <c r="J7651">
        <v>-147.988</v>
      </c>
      <c r="K7651">
        <v>1.1127119999999999</v>
      </c>
      <c r="L7651">
        <v>137.7381</v>
      </c>
      <c r="M7651">
        <v>0.99865309999999896</v>
      </c>
      <c r="N7651">
        <v>0</v>
      </c>
      <c r="O7651">
        <v>4.6523960000000003E-2</v>
      </c>
      <c r="P7651">
        <v>0.98493889999999995</v>
      </c>
      <c r="Q7651">
        <v>0.1725527</v>
      </c>
      <c r="R7651">
        <v>1.099251E-2</v>
      </c>
      <c r="S7651">
        <v>3.120117</v>
      </c>
      <c r="T7651">
        <v>-0.41700019999999999</v>
      </c>
      <c r="U7651">
        <v>8.2397459999999992E-3</v>
      </c>
      <c r="V7651">
        <v>3.449427E-2</v>
      </c>
      <c r="W7651">
        <v>0.19518279999999999</v>
      </c>
      <c r="X7651">
        <v>0.98016009999999998</v>
      </c>
      <c r="Y7651">
        <v>4.3101349999999997E-2</v>
      </c>
      <c r="Z7651">
        <v>-9.0576679999999996E-3</v>
      </c>
      <c r="AA7651">
        <v>0.99902959999999996</v>
      </c>
      <c r="AB7651">
        <v>16</v>
      </c>
      <c r="AC7651">
        <v>0.67480000000000395</v>
      </c>
      <c r="AD7651">
        <v>-0.111772</v>
      </c>
      <c r="AE7651">
        <v>-6.6999999999950398E-3</v>
      </c>
      <c r="AF7651">
        <v>3.7078226618560597E-2</v>
      </c>
      <c r="AG7651">
        <v>-0.111772</v>
      </c>
      <c r="AH7651">
        <v>0.65576747063662399</v>
      </c>
      <c r="AI7651">
        <v>99.6576655288615</v>
      </c>
      <c r="AJ7651">
        <v>86.763843255107204</v>
      </c>
      <c r="AK7651">
        <v>0.66625727044313199</v>
      </c>
      <c r="AL7651">
        <v>78.744597555233099</v>
      </c>
      <c r="AM7651">
        <v>87.984450935136294</v>
      </c>
      <c r="AN7651">
        <v>1.00000000085534</v>
      </c>
    </row>
    <row r="7652" spans="1:40" x14ac:dyDescent="0.25">
      <c r="A7652" t="str">
        <f>"20190312172557449"</f>
        <v>20190312172557449</v>
      </c>
      <c r="B7652" t="str">
        <f>"1552382757437937"</f>
        <v>1552382757437937</v>
      </c>
      <c r="C7652" t="s">
        <v>40</v>
      </c>
      <c r="D7652">
        <v>3.879</v>
      </c>
      <c r="E7652">
        <v>0.50145390000000001</v>
      </c>
      <c r="F7652" t="s">
        <v>41</v>
      </c>
      <c r="G7652">
        <v>-147.1704</v>
      </c>
      <c r="H7652">
        <v>1.0039640000000001</v>
      </c>
      <c r="I7652">
        <v>137.7414</v>
      </c>
      <c r="J7652">
        <v>-147.83170000000001</v>
      </c>
      <c r="K7652">
        <v>1.1127229999999999</v>
      </c>
      <c r="L7652">
        <v>137.74709999999999</v>
      </c>
      <c r="M7652">
        <v>0.99858329999999995</v>
      </c>
      <c r="N7652">
        <v>0</v>
      </c>
      <c r="O7652">
        <v>4.7895010000000002E-2</v>
      </c>
      <c r="P7652">
        <v>0.98524350000000005</v>
      </c>
      <c r="Q7652">
        <v>0.1706946</v>
      </c>
      <c r="R7652">
        <v>1.2602749999999999E-2</v>
      </c>
      <c r="S7652">
        <v>3.118439</v>
      </c>
      <c r="T7652">
        <v>-0.41491470000000003</v>
      </c>
      <c r="U7652">
        <v>1.286316E-2</v>
      </c>
      <c r="V7652">
        <v>3.4256880000000003E-2</v>
      </c>
      <c r="W7652">
        <v>0.19354060000000001</v>
      </c>
      <c r="X7652">
        <v>0.98049399999999998</v>
      </c>
      <c r="Y7652">
        <v>4.2986660000000003E-2</v>
      </c>
      <c r="Z7652">
        <v>-9.1914400000000004E-3</v>
      </c>
      <c r="AA7652">
        <v>0.99903339999999996</v>
      </c>
      <c r="AB7652">
        <v>16</v>
      </c>
      <c r="AC7652">
        <v>0.66130000000001099</v>
      </c>
      <c r="AD7652">
        <v>-0.10875899999999999</v>
      </c>
      <c r="AE7652">
        <v>-5.6999999999902597E-3</v>
      </c>
      <c r="AF7652">
        <v>3.6390721018745603E-2</v>
      </c>
      <c r="AG7652">
        <v>-0.10875899999999999</v>
      </c>
      <c r="AH7652">
        <v>0.64288032897731795</v>
      </c>
      <c r="AI7652">
        <v>99.587011924638603</v>
      </c>
      <c r="AJ7652">
        <v>86.760187017510304</v>
      </c>
      <c r="AK7652">
        <v>0.65302980180329295</v>
      </c>
      <c r="AL7652">
        <v>78.840517791197499</v>
      </c>
      <c r="AM7652">
        <v>87.998991752501297</v>
      </c>
      <c r="AN7652">
        <v>0.99999999085584701</v>
      </c>
    </row>
    <row r="7653" spans="1:40" x14ac:dyDescent="0.25">
      <c r="A7653" t="str">
        <f>"20190312172557471"</f>
        <v>20190312172557471</v>
      </c>
      <c r="B7653" t="str">
        <f>"1552382757468192"</f>
        <v>1552382757468192</v>
      </c>
      <c r="C7653" t="s">
        <v>40</v>
      </c>
      <c r="D7653">
        <v>3.8768609999999999</v>
      </c>
      <c r="E7653">
        <v>0.50220719999999996</v>
      </c>
      <c r="F7653" t="s">
        <v>41</v>
      </c>
      <c r="G7653">
        <v>-147.03</v>
      </c>
      <c r="H7653">
        <v>1.0058290000000001</v>
      </c>
      <c r="I7653">
        <v>137.75059999999999</v>
      </c>
      <c r="J7653">
        <v>-147.68119999999999</v>
      </c>
      <c r="K7653">
        <v>1.1127180000000001</v>
      </c>
      <c r="L7653">
        <v>137.756</v>
      </c>
      <c r="M7653">
        <v>0.99851199999999996</v>
      </c>
      <c r="N7653">
        <v>0</v>
      </c>
      <c r="O7653">
        <v>4.9269100000000003E-2</v>
      </c>
      <c r="P7653">
        <v>0.98583710000000002</v>
      </c>
      <c r="Q7653">
        <v>0.1671253</v>
      </c>
      <c r="R7653">
        <v>1.3938809999999999E-2</v>
      </c>
      <c r="S7653">
        <v>3.1167449999999999</v>
      </c>
      <c r="T7653">
        <v>-0.41562569999999999</v>
      </c>
      <c r="U7653">
        <v>1.3854979999999999E-2</v>
      </c>
      <c r="V7653">
        <v>3.4318420000000002E-2</v>
      </c>
      <c r="W7653">
        <v>0.19017539999999999</v>
      </c>
      <c r="X7653">
        <v>0.98115019999999997</v>
      </c>
      <c r="Y7653">
        <v>4.4016619999999999E-2</v>
      </c>
      <c r="Z7653">
        <v>-9.4627010000000004E-3</v>
      </c>
      <c r="AA7653">
        <v>0.99898600000000004</v>
      </c>
      <c r="AB7653">
        <v>16</v>
      </c>
      <c r="AC7653">
        <v>0.65119999999998801</v>
      </c>
      <c r="AD7653">
        <v>-0.106889</v>
      </c>
      <c r="AE7653">
        <v>-5.4000000000087303E-3</v>
      </c>
      <c r="AF7653">
        <v>3.6502835704517303E-2</v>
      </c>
      <c r="AG7653">
        <v>-0.106889</v>
      </c>
      <c r="AH7653">
        <v>0.63308684151363404</v>
      </c>
      <c r="AI7653">
        <v>99.567718780286995</v>
      </c>
      <c r="AJ7653">
        <v>86.700065117161998</v>
      </c>
      <c r="AK7653">
        <v>0.64308371479394499</v>
      </c>
      <c r="AL7653">
        <v>79.036980325474403</v>
      </c>
      <c r="AM7653">
        <v>87.996739613971698</v>
      </c>
      <c r="AN7653">
        <v>1.0000000758382399</v>
      </c>
    </row>
    <row r="7654" spans="1:40" x14ac:dyDescent="0.25">
      <c r="A7654" t="str">
        <f>"20190312172557493"</f>
        <v>20190312172557493</v>
      </c>
      <c r="B7654" t="str">
        <f>"1552382757487712"</f>
        <v>1552382757487712</v>
      </c>
      <c r="C7654" t="s">
        <v>40</v>
      </c>
      <c r="D7654">
        <v>3.9793319999999999</v>
      </c>
      <c r="E7654">
        <v>0.50240589999999996</v>
      </c>
      <c r="F7654" t="s">
        <v>41</v>
      </c>
      <c r="G7654">
        <v>-146.8921</v>
      </c>
      <c r="H7654">
        <v>1.006697</v>
      </c>
      <c r="I7654">
        <v>137.75880000000001</v>
      </c>
      <c r="J7654">
        <v>-147.52809999999999</v>
      </c>
      <c r="K7654">
        <v>1.1127149999999999</v>
      </c>
      <c r="L7654">
        <v>137.7653</v>
      </c>
      <c r="M7654">
        <v>0.99843510000000002</v>
      </c>
      <c r="N7654">
        <v>0</v>
      </c>
      <c r="O7654">
        <v>5.0715570000000001E-2</v>
      </c>
      <c r="P7654">
        <v>0.98637629999999998</v>
      </c>
      <c r="Q7654">
        <v>0.1637827</v>
      </c>
      <c r="R7654">
        <v>1.539687E-2</v>
      </c>
      <c r="S7654">
        <v>3.1138919999999999</v>
      </c>
      <c r="T7654">
        <v>-0.41857919999999998</v>
      </c>
      <c r="U7654">
        <v>1.1627200000000001E-2</v>
      </c>
      <c r="V7654">
        <v>3.4329600000000002E-2</v>
      </c>
      <c r="W7654">
        <v>0.1870318</v>
      </c>
      <c r="X7654">
        <v>0.98175380000000001</v>
      </c>
      <c r="Y7654">
        <v>4.6129330000000003E-2</v>
      </c>
      <c r="Z7654">
        <v>-9.8728689999999994E-3</v>
      </c>
      <c r="AA7654">
        <v>0.99888670000000002</v>
      </c>
      <c r="AB7654">
        <v>16</v>
      </c>
      <c r="AC7654">
        <v>0.63599999999999501</v>
      </c>
      <c r="AD7654">
        <v>-0.106017999999999</v>
      </c>
      <c r="AE7654">
        <v>-6.4999999999883996E-3</v>
      </c>
      <c r="AF7654">
        <v>3.7708001513989002E-2</v>
      </c>
      <c r="AG7654">
        <v>-0.106017999999999</v>
      </c>
      <c r="AH7654">
        <v>0.61768928675099</v>
      </c>
      <c r="AI7654">
        <v>99.721397664768205</v>
      </c>
      <c r="AJ7654">
        <v>86.506606961978406</v>
      </c>
      <c r="AK7654">
        <v>0.627854891411324</v>
      </c>
      <c r="AL7654">
        <v>79.220385795619904</v>
      </c>
      <c r="AM7654">
        <v>87.997318576749095</v>
      </c>
      <c r="AN7654">
        <v>0.99999996973091898</v>
      </c>
    </row>
    <row r="7655" spans="1:40" x14ac:dyDescent="0.25">
      <c r="A7655" t="str">
        <f>"20190312172557516"</f>
        <v>20190312172557516</v>
      </c>
      <c r="B7655" t="str">
        <f>"1552382757508208"</f>
        <v>1552382757508208</v>
      </c>
      <c r="C7655" t="s">
        <v>40</v>
      </c>
      <c r="D7655">
        <v>3.8878849999999998</v>
      </c>
      <c r="E7655">
        <v>0.50267700000000004</v>
      </c>
      <c r="F7655" t="s">
        <v>41</v>
      </c>
      <c r="G7655">
        <v>-146.75649999999999</v>
      </c>
      <c r="H7655">
        <v>1.007215</v>
      </c>
      <c r="I7655">
        <v>137.7689</v>
      </c>
      <c r="J7655">
        <v>-147.37899999999999</v>
      </c>
      <c r="K7655">
        <v>1.1127590000000001</v>
      </c>
      <c r="L7655">
        <v>137.7747</v>
      </c>
      <c r="M7655">
        <v>0.99835209999999996</v>
      </c>
      <c r="N7655">
        <v>0</v>
      </c>
      <c r="O7655">
        <v>5.2133739999999998E-2</v>
      </c>
      <c r="P7655">
        <v>0.9868614</v>
      </c>
      <c r="Q7655">
        <v>0.16075329999999999</v>
      </c>
      <c r="R7655">
        <v>1.6225440000000001E-2</v>
      </c>
      <c r="S7655">
        <v>3.1118769999999998</v>
      </c>
      <c r="T7655">
        <v>-0.42553790000000002</v>
      </c>
      <c r="U7655">
        <v>1.4450070000000001E-2</v>
      </c>
      <c r="V7655">
        <v>3.4947010000000001E-2</v>
      </c>
      <c r="W7655">
        <v>0.18442810000000001</v>
      </c>
      <c r="X7655">
        <v>0.98222449999999994</v>
      </c>
      <c r="Y7655">
        <v>4.6592500000000002E-2</v>
      </c>
      <c r="Z7655">
        <v>-1.026635E-2</v>
      </c>
      <c r="AA7655">
        <v>0.9988612</v>
      </c>
      <c r="AB7655">
        <v>15</v>
      </c>
      <c r="AC7655">
        <v>0.62250000000000205</v>
      </c>
      <c r="AD7655">
        <v>-0.105544</v>
      </c>
      <c r="AE7655">
        <v>-5.7999999999935803E-3</v>
      </c>
      <c r="AF7655">
        <v>3.7185820359409601E-2</v>
      </c>
      <c r="AG7655">
        <v>-0.105544</v>
      </c>
      <c r="AH7655">
        <v>0.60398931148475898</v>
      </c>
      <c r="AI7655">
        <v>99.893696205298397</v>
      </c>
      <c r="AJ7655">
        <v>86.476916676729104</v>
      </c>
      <c r="AK7655">
        <v>0.61426819025539303</v>
      </c>
      <c r="AL7655">
        <v>79.3722087085346</v>
      </c>
      <c r="AM7655">
        <v>87.962307077674694</v>
      </c>
      <c r="AN7655">
        <v>0.99999999298889997</v>
      </c>
    </row>
    <row r="7656" spans="1:40" x14ac:dyDescent="0.25">
      <c r="A7656" t="str">
        <f>"20190312172557537"</f>
        <v>20190312172557537</v>
      </c>
      <c r="B7656" t="str">
        <f>"1552382757527729"</f>
        <v>1552382757527729</v>
      </c>
      <c r="C7656" t="s">
        <v>40</v>
      </c>
      <c r="D7656">
        <v>3.877211</v>
      </c>
      <c r="E7656">
        <v>0.50297049999999999</v>
      </c>
      <c r="F7656" t="s">
        <v>41</v>
      </c>
      <c r="G7656">
        <v>-146.62389999999999</v>
      </c>
      <c r="H7656">
        <v>1.008035</v>
      </c>
      <c r="I7656">
        <v>137.77869999999999</v>
      </c>
      <c r="J7656">
        <v>-147.2363</v>
      </c>
      <c r="K7656">
        <v>1.1128359999999999</v>
      </c>
      <c r="L7656">
        <v>137.78389999999999</v>
      </c>
      <c r="M7656">
        <v>0.99826479999999995</v>
      </c>
      <c r="N7656">
        <v>0</v>
      </c>
      <c r="O7656">
        <v>5.3505230000000001E-2</v>
      </c>
      <c r="P7656">
        <v>0.98727240000000005</v>
      </c>
      <c r="Q7656">
        <v>0.15822220000000001</v>
      </c>
      <c r="R7656">
        <v>1.6095959999999999E-2</v>
      </c>
      <c r="S7656">
        <v>3.1099700000000001</v>
      </c>
      <c r="T7656">
        <v>-0.43154740000000003</v>
      </c>
      <c r="U7656">
        <v>1.6769409999999998E-2</v>
      </c>
      <c r="V7656">
        <v>3.647628E-2</v>
      </c>
      <c r="W7656">
        <v>0.18249689999999999</v>
      </c>
      <c r="X7656">
        <v>0.9825296</v>
      </c>
      <c r="Y7656">
        <v>4.7171959999999999E-2</v>
      </c>
      <c r="Z7656">
        <v>-1.06456E-2</v>
      </c>
      <c r="AA7656">
        <v>0.99883010000000005</v>
      </c>
      <c r="AB7656">
        <v>15</v>
      </c>
      <c r="AC7656">
        <v>0.61240000000000705</v>
      </c>
      <c r="AD7656">
        <v>-0.10480100000000001</v>
      </c>
      <c r="AE7656">
        <v>-5.2000000000020901E-3</v>
      </c>
      <c r="AF7656">
        <v>3.6888810318124597E-2</v>
      </c>
      <c r="AG7656">
        <v>-0.10480100000000001</v>
      </c>
      <c r="AH7656">
        <v>0.59385357772166603</v>
      </c>
      <c r="AI7656">
        <v>99.989424327898107</v>
      </c>
      <c r="AJ7656">
        <v>86.445485864813094</v>
      </c>
      <c r="AK7656">
        <v>0.60415735177229202</v>
      </c>
      <c r="AL7656">
        <v>79.484769207605098</v>
      </c>
      <c r="AM7656">
        <v>87.873878269162702</v>
      </c>
      <c r="AN7656">
        <v>1.0000000261941999</v>
      </c>
    </row>
    <row r="7657" spans="1:40" x14ac:dyDescent="0.25">
      <c r="A7657" t="str">
        <f>"20190312172557560"</f>
        <v>20190312172557560</v>
      </c>
      <c r="B7657" t="str">
        <f>"1552382757548224"</f>
        <v>1552382757548224</v>
      </c>
      <c r="C7657" t="s">
        <v>40</v>
      </c>
      <c r="D7657">
        <v>3.8898109999999999</v>
      </c>
      <c r="E7657">
        <v>0.50321059999999995</v>
      </c>
      <c r="F7657" t="s">
        <v>41</v>
      </c>
      <c r="G7657">
        <v>-146.49420000000001</v>
      </c>
      <c r="H7657">
        <v>1.008799</v>
      </c>
      <c r="I7657">
        <v>137.7877</v>
      </c>
      <c r="J7657">
        <v>-147.0909</v>
      </c>
      <c r="K7657">
        <v>1.112852</v>
      </c>
      <c r="L7657">
        <v>137.79349999999999</v>
      </c>
      <c r="M7657">
        <v>0.99817840000000002</v>
      </c>
      <c r="N7657">
        <v>0</v>
      </c>
      <c r="O7657">
        <v>5.4939780000000001E-2</v>
      </c>
      <c r="P7657">
        <v>0.9875813</v>
      </c>
      <c r="Q7657">
        <v>0.15620719999999999</v>
      </c>
      <c r="R7657">
        <v>1.681587E-2</v>
      </c>
      <c r="S7657">
        <v>3.1082610000000002</v>
      </c>
      <c r="T7657">
        <v>-0.43588359999999898</v>
      </c>
      <c r="U7657">
        <v>1.6281130000000001E-2</v>
      </c>
      <c r="V7657">
        <v>3.7202529999999998E-2</v>
      </c>
      <c r="W7657">
        <v>0.18082529999999999</v>
      </c>
      <c r="X7657">
        <v>0.9828114</v>
      </c>
      <c r="Y7657">
        <v>4.8712190000000002E-2</v>
      </c>
      <c r="Z7657">
        <v>-1.106495E-2</v>
      </c>
      <c r="AA7657">
        <v>0.99875159999999996</v>
      </c>
      <c r="AB7657">
        <v>15</v>
      </c>
      <c r="AC7657">
        <v>0.59669999999999801</v>
      </c>
      <c r="AD7657">
        <v>-0.10405299999999899</v>
      </c>
      <c r="AE7657">
        <v>-5.7999999999935803E-3</v>
      </c>
      <c r="AF7657">
        <v>3.74454357616485E-2</v>
      </c>
      <c r="AG7657">
        <v>-0.10405299999999899</v>
      </c>
      <c r="AH7657">
        <v>0.57790774135740597</v>
      </c>
      <c r="AI7657">
        <v>100.185905750172</v>
      </c>
      <c r="AJ7657">
        <v>86.292711911665805</v>
      </c>
      <c r="AK7657">
        <v>0.58839318910843796</v>
      </c>
      <c r="AL7657">
        <v>79.582165466901898</v>
      </c>
      <c r="AM7657">
        <v>87.832207930526593</v>
      </c>
      <c r="AN7657">
        <v>1.00000003266422</v>
      </c>
    </row>
    <row r="7658" spans="1:40" x14ac:dyDescent="0.25">
      <c r="A7658" t="str">
        <f>"20190312172557583"</f>
        <v>20190312172557583</v>
      </c>
      <c r="B7658" t="str">
        <f>"1552382757577505"</f>
        <v>1552382757577505</v>
      </c>
      <c r="C7658" t="s">
        <v>40</v>
      </c>
      <c r="D7658">
        <v>3.9843410000000001</v>
      </c>
      <c r="E7658">
        <v>0.50345309999999999</v>
      </c>
      <c r="F7658" t="s">
        <v>41</v>
      </c>
      <c r="G7658">
        <v>-146.36590000000001</v>
      </c>
      <c r="H7658">
        <v>1.010302</v>
      </c>
      <c r="I7658">
        <v>137.79730000000001</v>
      </c>
      <c r="J7658">
        <v>-146.94749999999999</v>
      </c>
      <c r="K7658">
        <v>1.112762</v>
      </c>
      <c r="L7658">
        <v>137.80330000000001</v>
      </c>
      <c r="M7658">
        <v>0.99809979999999998</v>
      </c>
      <c r="N7658">
        <v>0</v>
      </c>
      <c r="O7658">
        <v>5.6396960000000003E-2</v>
      </c>
      <c r="P7658">
        <v>0.98774379999999995</v>
      </c>
      <c r="Q7658">
        <v>0.1550299</v>
      </c>
      <c r="R7658">
        <v>1.8115470000000002E-2</v>
      </c>
      <c r="S7658">
        <v>3.1069789999999999</v>
      </c>
      <c r="T7658">
        <v>-0.4396118</v>
      </c>
      <c r="U7658">
        <v>1.6784670000000002E-2</v>
      </c>
      <c r="V7658">
        <v>3.7357000000000001E-2</v>
      </c>
      <c r="W7658">
        <v>0.17955090000000001</v>
      </c>
      <c r="X7658">
        <v>0.98303910000000005</v>
      </c>
      <c r="Y7658">
        <v>4.9960980000000002E-2</v>
      </c>
      <c r="Z7658">
        <v>-1.1456060000000001E-2</v>
      </c>
      <c r="AA7658">
        <v>0.9986855</v>
      </c>
      <c r="AB7658">
        <v>15</v>
      </c>
      <c r="AC7658">
        <v>0.58159999999998002</v>
      </c>
      <c r="AD7658">
        <v>-0.10246</v>
      </c>
      <c r="AE7658">
        <v>-6.0000000000002196E-3</v>
      </c>
      <c r="AF7658">
        <v>3.7633183146967598E-2</v>
      </c>
      <c r="AG7658">
        <v>-0.10246</v>
      </c>
      <c r="AH7658">
        <v>0.562868198981334</v>
      </c>
      <c r="AI7658">
        <v>100.294212514283</v>
      </c>
      <c r="AJ7658">
        <v>86.174915848422799</v>
      </c>
      <c r="AK7658">
        <v>0.57335409434158902</v>
      </c>
      <c r="AL7658">
        <v>79.656397602570905</v>
      </c>
      <c r="AM7658">
        <v>87.823719322596006</v>
      </c>
      <c r="AN7658">
        <v>0.99999997163430898</v>
      </c>
    </row>
    <row r="7659" spans="1:40" x14ac:dyDescent="0.25">
      <c r="A7659" t="str">
        <f>"20190312172557604"</f>
        <v>20190312172557604</v>
      </c>
      <c r="B7659" t="str">
        <f>"1552382757598001"</f>
        <v>1552382757598001</v>
      </c>
      <c r="C7659" t="s">
        <v>40</v>
      </c>
      <c r="D7659">
        <v>3.9577369999999998</v>
      </c>
      <c r="E7659">
        <v>0.50365839999999995</v>
      </c>
      <c r="F7659" t="s">
        <v>41</v>
      </c>
      <c r="G7659">
        <v>-146.12180000000001</v>
      </c>
      <c r="H7659">
        <v>0.99580480000000005</v>
      </c>
      <c r="I7659">
        <v>137.80789999999999</v>
      </c>
      <c r="J7659">
        <v>-146.81039999999999</v>
      </c>
      <c r="K7659">
        <v>1.11267</v>
      </c>
      <c r="L7659">
        <v>137.81290000000001</v>
      </c>
      <c r="M7659">
        <v>0.99802179999999996</v>
      </c>
      <c r="N7659">
        <v>0</v>
      </c>
      <c r="O7659">
        <v>5.781E-2</v>
      </c>
      <c r="P7659">
        <v>0.98798569999999997</v>
      </c>
      <c r="Q7659">
        <v>0.15336459999999999</v>
      </c>
      <c r="R7659">
        <v>1.9073369999999999E-2</v>
      </c>
      <c r="S7659">
        <v>3.105988</v>
      </c>
      <c r="T7659">
        <v>-0.4401021</v>
      </c>
      <c r="U7659">
        <v>1.774597E-2</v>
      </c>
      <c r="V7659">
        <v>3.7826310000000002E-2</v>
      </c>
      <c r="W7659">
        <v>0.17777179999999901</v>
      </c>
      <c r="X7659">
        <v>0.98334449999999995</v>
      </c>
      <c r="Y7659">
        <v>5.1036079999999998E-2</v>
      </c>
      <c r="Z7659">
        <v>-1.17471E-2</v>
      </c>
      <c r="AA7659">
        <v>0.99862770000000001</v>
      </c>
      <c r="AB7659">
        <v>14</v>
      </c>
      <c r="AC7659">
        <v>0.68859999999997901</v>
      </c>
      <c r="AD7659">
        <v>-0.1168652</v>
      </c>
      <c r="AE7659">
        <v>-5.0000000000238699E-3</v>
      </c>
      <c r="AF7659">
        <v>4.3557246336489899E-2</v>
      </c>
      <c r="AG7659">
        <v>-0.1168652</v>
      </c>
      <c r="AH7659">
        <v>0.66792147707942795</v>
      </c>
      <c r="AI7659">
        <v>99.903873559324893</v>
      </c>
      <c r="AJ7659">
        <v>86.268846444313795</v>
      </c>
      <c r="AK7659">
        <v>0.67946582564792901</v>
      </c>
      <c r="AL7659">
        <v>79.759999974075697</v>
      </c>
      <c r="AM7659">
        <v>87.797089545062505</v>
      </c>
      <c r="AN7659">
        <v>1.0000000241418501</v>
      </c>
    </row>
    <row r="7660" spans="1:40" x14ac:dyDescent="0.25">
      <c r="A7660" t="str">
        <f>"20190312172557627"</f>
        <v>20190312172557627</v>
      </c>
      <c r="B7660" t="str">
        <f>"1552382757617521"</f>
        <v>1552382757617521</v>
      </c>
      <c r="C7660" t="s">
        <v>40</v>
      </c>
      <c r="D7660">
        <v>3.902714</v>
      </c>
      <c r="E7660">
        <v>0.50392559999999997</v>
      </c>
      <c r="F7660" t="s">
        <v>41</v>
      </c>
      <c r="G7660">
        <v>-145.99889999999999</v>
      </c>
      <c r="H7660">
        <v>0.9970639</v>
      </c>
      <c r="I7660">
        <v>137.81790000000001</v>
      </c>
      <c r="J7660">
        <v>-146.6765</v>
      </c>
      <c r="K7660">
        <v>1.1126130000000001</v>
      </c>
      <c r="L7660">
        <v>137.82239999999999</v>
      </c>
      <c r="M7660">
        <v>0.99793829999999994</v>
      </c>
      <c r="N7660">
        <v>0</v>
      </c>
      <c r="O7660">
        <v>5.9207740000000002E-2</v>
      </c>
      <c r="P7660">
        <v>0.98820660000000005</v>
      </c>
      <c r="Q7660">
        <v>0.15185960000000001</v>
      </c>
      <c r="R7660">
        <v>1.966145E-2</v>
      </c>
      <c r="S7660">
        <v>3.1047820000000002</v>
      </c>
      <c r="T7660">
        <v>-0.44242120000000001</v>
      </c>
      <c r="U7660">
        <v>1.9561769999999999E-2</v>
      </c>
      <c r="V7660">
        <v>3.866062E-2</v>
      </c>
      <c r="W7660">
        <v>0.17633099999999999</v>
      </c>
      <c r="X7660">
        <v>0.98357139999999998</v>
      </c>
      <c r="Y7660">
        <v>5.1814390000000002E-2</v>
      </c>
      <c r="Z7660">
        <v>-1.206601E-2</v>
      </c>
      <c r="AA7660">
        <v>0.99858389999999997</v>
      </c>
      <c r="AB7660">
        <v>14</v>
      </c>
      <c r="AC7660">
        <v>0.67760000000001197</v>
      </c>
      <c r="AD7660">
        <v>-0.115549099999999</v>
      </c>
      <c r="AE7660">
        <v>-4.4999999999788499E-3</v>
      </c>
      <c r="AF7660">
        <v>4.3362671951153203E-2</v>
      </c>
      <c r="AG7660">
        <v>-0.115549099999999</v>
      </c>
      <c r="AH7660">
        <v>0.65703854414427398</v>
      </c>
      <c r="AI7660">
        <v>99.953025467662201</v>
      </c>
      <c r="AJ7660">
        <v>86.224117548011506</v>
      </c>
      <c r="AK7660">
        <v>0.66852940423049501</v>
      </c>
      <c r="AL7660">
        <v>79.843876426737296</v>
      </c>
      <c r="AM7660">
        <v>87.749069715658905</v>
      </c>
      <c r="AN7660">
        <v>0.99999998199887197</v>
      </c>
    </row>
    <row r="7661" spans="1:40" x14ac:dyDescent="0.25">
      <c r="A7661" t="str">
        <f>"20190312172557648"</f>
        <v>20190312172557648</v>
      </c>
      <c r="B7661" t="str">
        <f>"1552382757638017"</f>
        <v>1552382757638017</v>
      </c>
      <c r="C7661" t="s">
        <v>40</v>
      </c>
      <c r="D7661">
        <v>3.9123039999999998</v>
      </c>
      <c r="E7661">
        <v>0.51210239999999996</v>
      </c>
      <c r="F7661" t="s">
        <v>41</v>
      </c>
      <c r="G7661">
        <v>-145.8785</v>
      </c>
      <c r="H7661">
        <v>0.9979595</v>
      </c>
      <c r="I7661">
        <v>137.82759999999999</v>
      </c>
      <c r="J7661">
        <v>-146.54429999999999</v>
      </c>
      <c r="K7661">
        <v>1.1125719999999999</v>
      </c>
      <c r="L7661">
        <v>137.83199999999999</v>
      </c>
      <c r="M7661">
        <v>0.99785119999999905</v>
      </c>
      <c r="N7661">
        <v>0</v>
      </c>
      <c r="O7661">
        <v>6.0599109999999998E-2</v>
      </c>
      <c r="P7661">
        <v>0.98862890000000003</v>
      </c>
      <c r="Q7661">
        <v>0.1490918</v>
      </c>
      <c r="R7661">
        <v>1.9615819999999999E-2</v>
      </c>
      <c r="S7661">
        <v>3.1039430000000001</v>
      </c>
      <c r="T7661">
        <v>-0.44609919999999997</v>
      </c>
      <c r="U7661">
        <v>2.088928E-2</v>
      </c>
      <c r="V7661">
        <v>4.0137100000000002E-2</v>
      </c>
      <c r="W7661">
        <v>0.1737118</v>
      </c>
      <c r="X7661">
        <v>0.98397829999999997</v>
      </c>
      <c r="Y7661">
        <v>5.2735209999999998E-2</v>
      </c>
      <c r="Z7661">
        <v>-1.2433090000000001E-2</v>
      </c>
      <c r="AA7661">
        <v>0.9985311</v>
      </c>
      <c r="AB7661">
        <v>14</v>
      </c>
      <c r="AC7661">
        <v>0.66579999999998996</v>
      </c>
      <c r="AD7661">
        <v>-0.11461250000000001</v>
      </c>
      <c r="AE7661">
        <v>-4.4000000000039502E-3</v>
      </c>
      <c r="AF7661">
        <v>4.3463426383465197E-2</v>
      </c>
      <c r="AG7661">
        <v>-0.11461250000000001</v>
      </c>
      <c r="AH7661">
        <v>0.64519076641742501</v>
      </c>
      <c r="AI7661">
        <v>100.050701872378</v>
      </c>
      <c r="AJ7661">
        <v>86.146079211751896</v>
      </c>
      <c r="AK7661">
        <v>0.65673146693267703</v>
      </c>
      <c r="AL7661">
        <v>79.996298812678702</v>
      </c>
      <c r="AM7661">
        <v>87.664163692012707</v>
      </c>
      <c r="AN7661">
        <v>1.0000000355632599</v>
      </c>
    </row>
    <row r="7662" spans="1:40" x14ac:dyDescent="0.25">
      <c r="A7662" t="str">
        <f>"20190312172557672"</f>
        <v>20190312172557672</v>
      </c>
      <c r="B7662" t="str">
        <f>"1552382757668273"</f>
        <v>1552382757668273</v>
      </c>
      <c r="C7662" t="s">
        <v>40</v>
      </c>
      <c r="D7662">
        <v>3.8516720000000002</v>
      </c>
      <c r="E7662">
        <v>0.5128452</v>
      </c>
      <c r="F7662" t="s">
        <v>41</v>
      </c>
      <c r="G7662">
        <v>-145.78210000000001</v>
      </c>
      <c r="H7662">
        <v>0.95411100000000004</v>
      </c>
      <c r="I7662">
        <v>137.821</v>
      </c>
      <c r="J7662">
        <v>-146.41249999999999</v>
      </c>
      <c r="K7662">
        <v>1.1125259999999999</v>
      </c>
      <c r="L7662">
        <v>137.8416</v>
      </c>
      <c r="M7662">
        <v>0.99776540000000002</v>
      </c>
      <c r="N7662">
        <v>0</v>
      </c>
      <c r="O7662">
        <v>6.1962240000000002E-2</v>
      </c>
      <c r="P7662">
        <v>0.98919959999999996</v>
      </c>
      <c r="Q7662">
        <v>0.1453007</v>
      </c>
      <c r="R7662">
        <v>1.9288260000000002E-2</v>
      </c>
      <c r="S7662">
        <v>3.1336360000000001</v>
      </c>
      <c r="T7662">
        <v>-0.65149499999999905</v>
      </c>
      <c r="U7662">
        <v>-4.4723510000000001E-2</v>
      </c>
      <c r="V7662">
        <v>4.186993E-2</v>
      </c>
      <c r="W7662">
        <v>0.170015</v>
      </c>
      <c r="X7662">
        <v>0.98455159999999997</v>
      </c>
      <c r="Y7662">
        <v>7.3326390000000005E-2</v>
      </c>
      <c r="Z7662">
        <v>-2.0285879999999999E-2</v>
      </c>
      <c r="AA7662">
        <v>0.99710169999999998</v>
      </c>
      <c r="AB7662">
        <v>13</v>
      </c>
      <c r="AC7662">
        <v>0.63039999999997998</v>
      </c>
      <c r="AD7662">
        <v>-0.158415</v>
      </c>
      <c r="AE7662">
        <v>-2.06000000000017E-2</v>
      </c>
      <c r="AF7662">
        <v>5.6095079968885797E-2</v>
      </c>
      <c r="AG7662">
        <v>-0.158415</v>
      </c>
      <c r="AH7662">
        <v>0.59065232549531199</v>
      </c>
      <c r="AI7662">
        <v>104.949355760717</v>
      </c>
      <c r="AJ7662">
        <v>84.5748113447154</v>
      </c>
      <c r="AK7662">
        <v>0.61409456912981697</v>
      </c>
      <c r="AL7662">
        <v>80.211309029839398</v>
      </c>
      <c r="AM7662">
        <v>87.564855274618594</v>
      </c>
      <c r="AN7662">
        <v>1.00000002216288</v>
      </c>
    </row>
    <row r="7663" spans="1:40" x14ac:dyDescent="0.25">
      <c r="A7663" t="str">
        <f>"20190312172557694"</f>
        <v>20190312172557694</v>
      </c>
      <c r="B7663" t="str">
        <f>"1552382757687796"</f>
        <v>1552382757687796</v>
      </c>
      <c r="C7663" t="s">
        <v>40</v>
      </c>
      <c r="D7663">
        <v>3.8643839999999998</v>
      </c>
      <c r="E7663">
        <v>0.51339129999999999</v>
      </c>
      <c r="F7663" t="s">
        <v>41</v>
      </c>
      <c r="G7663">
        <v>-145.6694</v>
      </c>
      <c r="H7663">
        <v>0.94751010000000002</v>
      </c>
      <c r="I7663">
        <v>137.82929999999999</v>
      </c>
      <c r="J7663">
        <v>-146.28389999999999</v>
      </c>
      <c r="K7663">
        <v>1.1124849999999999</v>
      </c>
      <c r="L7663">
        <v>137.85120000000001</v>
      </c>
      <c r="M7663">
        <v>0.99768489999999999</v>
      </c>
      <c r="N7663">
        <v>0</v>
      </c>
      <c r="O7663">
        <v>6.3237080000000001E-2</v>
      </c>
      <c r="P7663">
        <v>0.98986019999999997</v>
      </c>
      <c r="Q7663">
        <v>0.1407716</v>
      </c>
      <c r="R7663">
        <v>1.8976409999999999E-2</v>
      </c>
      <c r="S7663">
        <v>3.1360779999999999</v>
      </c>
      <c r="T7663">
        <v>-0.696517099999999</v>
      </c>
      <c r="U7663">
        <v>-5.1483149999999998E-2</v>
      </c>
      <c r="V7663">
        <v>4.3500919999999998E-2</v>
      </c>
      <c r="W7663">
        <v>0.16552149999999999</v>
      </c>
      <c r="X7663">
        <v>0.98524630000000002</v>
      </c>
      <c r="Y7663">
        <v>7.6232339999999996E-2</v>
      </c>
      <c r="Z7663">
        <v>-2.2237059999999999E-2</v>
      </c>
      <c r="AA7663">
        <v>0.99684209999999995</v>
      </c>
      <c r="AB7663">
        <v>13</v>
      </c>
      <c r="AC7663">
        <v>0.61449999999999205</v>
      </c>
      <c r="AD7663">
        <v>-0.16497489999999901</v>
      </c>
      <c r="AE7663">
        <v>-2.1900000000016399E-2</v>
      </c>
      <c r="AF7663">
        <v>5.6649584748392302E-2</v>
      </c>
      <c r="AG7663">
        <v>-0.16497489999999901</v>
      </c>
      <c r="AH7663">
        <v>0.57079541593017302</v>
      </c>
      <c r="AI7663">
        <v>106.045939666488</v>
      </c>
      <c r="AJ7663">
        <v>84.332141296809198</v>
      </c>
      <c r="AK7663">
        <v>0.59685282937175899</v>
      </c>
      <c r="AL7663">
        <v>80.472469054209299</v>
      </c>
      <c r="AM7663">
        <v>87.471899752124699</v>
      </c>
      <c r="AN7663">
        <v>0.99999998433339299</v>
      </c>
    </row>
    <row r="7664" spans="1:40" x14ac:dyDescent="0.25">
      <c r="A7664" t="str">
        <f>"20190312172557716"</f>
        <v>20190312172557716</v>
      </c>
      <c r="B7664" t="str">
        <f>"1552382757708294"</f>
        <v>1552382757708294</v>
      </c>
      <c r="C7664" t="s">
        <v>40</v>
      </c>
      <c r="D7664">
        <v>3.9564159999999999</v>
      </c>
      <c r="E7664">
        <v>0.51327959999999995</v>
      </c>
      <c r="F7664" t="s">
        <v>41</v>
      </c>
      <c r="G7664">
        <v>-145.55600000000001</v>
      </c>
      <c r="H7664">
        <v>0.94609790000000005</v>
      </c>
      <c r="I7664">
        <v>137.83750000000001</v>
      </c>
      <c r="J7664">
        <v>-146.1584</v>
      </c>
      <c r="K7664">
        <v>1.112447</v>
      </c>
      <c r="L7664">
        <v>137.86080000000001</v>
      </c>
      <c r="M7664">
        <v>0.99760749999999998</v>
      </c>
      <c r="N7664">
        <v>0</v>
      </c>
      <c r="O7664">
        <v>6.4434320000000003E-2</v>
      </c>
      <c r="P7664">
        <v>0.99036009999999997</v>
      </c>
      <c r="Q7664">
        <v>0.13736799999999999</v>
      </c>
      <c r="R7664">
        <v>1.7803909999999999E-2</v>
      </c>
      <c r="S7664">
        <v>3.1337429999999999</v>
      </c>
      <c r="T7664">
        <v>-0.71650930000000002</v>
      </c>
      <c r="U7664">
        <v>-5.8425900000000003E-2</v>
      </c>
      <c r="V7664">
        <v>4.5907480000000001E-2</v>
      </c>
      <c r="W7664">
        <v>0.16215669999999999</v>
      </c>
      <c r="X7664">
        <v>0.98569660000000003</v>
      </c>
      <c r="Y7664">
        <v>7.9336690000000001E-2</v>
      </c>
      <c r="Z7664">
        <v>-2.3496260000000001E-2</v>
      </c>
      <c r="AA7664">
        <v>0.99657090000000004</v>
      </c>
      <c r="AB7664">
        <v>13</v>
      </c>
      <c r="AC7664">
        <v>0.60239999999998795</v>
      </c>
      <c r="AD7664">
        <v>-0.1663491</v>
      </c>
      <c r="AE7664">
        <v>-2.3300000000006E-2</v>
      </c>
      <c r="AF7664">
        <v>5.7686620225152897E-2</v>
      </c>
      <c r="AG7664">
        <v>-0.1663491</v>
      </c>
      <c r="AH7664">
        <v>0.55721814791510704</v>
      </c>
      <c r="AI7664">
        <v>106.538677028408</v>
      </c>
      <c r="AJ7664">
        <v>84.089447289951906</v>
      </c>
      <c r="AK7664">
        <v>0.58437302606276498</v>
      </c>
      <c r="AL7664">
        <v>80.667899346188307</v>
      </c>
      <c r="AM7664">
        <v>87.333453801384493</v>
      </c>
      <c r="AN7664">
        <v>1.0000000396631901</v>
      </c>
    </row>
    <row r="7665" spans="1:40" x14ac:dyDescent="0.25">
      <c r="A7665" t="str">
        <f>"20190312172557738"</f>
        <v>20190312172557738</v>
      </c>
      <c r="B7665" t="str">
        <f>"1552382757727809"</f>
        <v>1552382757727809</v>
      </c>
      <c r="C7665" t="s">
        <v>40</v>
      </c>
      <c r="D7665">
        <v>3.8236590000000001</v>
      </c>
      <c r="E7665">
        <v>0.5133103</v>
      </c>
      <c r="F7665" t="s">
        <v>41</v>
      </c>
      <c r="G7665">
        <v>-145.44399999999999</v>
      </c>
      <c r="H7665">
        <v>0.94623089999999999</v>
      </c>
      <c r="I7665">
        <v>137.84630000000001</v>
      </c>
      <c r="J7665">
        <v>-146.035</v>
      </c>
      <c r="K7665">
        <v>1.1124099999999999</v>
      </c>
      <c r="L7665">
        <v>137.87020000000001</v>
      </c>
      <c r="M7665">
        <v>0.9975311</v>
      </c>
      <c r="N7665">
        <v>0</v>
      </c>
      <c r="O7665">
        <v>6.5577570000000002E-2</v>
      </c>
      <c r="P7665">
        <v>0.99069629999999997</v>
      </c>
      <c r="Q7665">
        <v>0.1351193</v>
      </c>
      <c r="R7665">
        <v>1.6247190000000002E-2</v>
      </c>
      <c r="S7665">
        <v>3.1313930000000001</v>
      </c>
      <c r="T7665">
        <v>-0.72870409999999997</v>
      </c>
      <c r="U7665">
        <v>-6.2744140000000004E-2</v>
      </c>
      <c r="V7665">
        <v>4.8640530000000001E-2</v>
      </c>
      <c r="W7665">
        <v>0.159986299999999</v>
      </c>
      <c r="X7665">
        <v>0.98592009999999997</v>
      </c>
      <c r="Y7665">
        <v>8.1642980000000004E-2</v>
      </c>
      <c r="Z7665">
        <v>-2.4430230000000001E-2</v>
      </c>
      <c r="AA7665">
        <v>0.99636210000000003</v>
      </c>
      <c r="AB7665">
        <v>13</v>
      </c>
      <c r="AC7665">
        <v>0.59100000000000796</v>
      </c>
      <c r="AD7665">
        <v>-0.1661791</v>
      </c>
      <c r="AE7665">
        <v>-2.38999999999975E-2</v>
      </c>
      <c r="AF7665">
        <v>5.8036044840527302E-2</v>
      </c>
      <c r="AG7665">
        <v>-0.1661791</v>
      </c>
      <c r="AH7665">
        <v>0.54512959145265805</v>
      </c>
      <c r="AI7665">
        <v>106.863643206253</v>
      </c>
      <c r="AJ7665">
        <v>83.923019084027601</v>
      </c>
      <c r="AK7665">
        <v>0.572843737204906</v>
      </c>
      <c r="AL7665">
        <v>80.793898793043297</v>
      </c>
      <c r="AM7665">
        <v>87.175593321736997</v>
      </c>
      <c r="AN7665">
        <v>0.99999998046519001</v>
      </c>
    </row>
    <row r="7666" spans="1:40" x14ac:dyDescent="0.25">
      <c r="A7666" t="str">
        <f>"20190312172557761"</f>
        <v>20190312172557761</v>
      </c>
      <c r="B7666" t="str">
        <f>"1552382757758064"</f>
        <v>1552382757758064</v>
      </c>
      <c r="C7666" t="s">
        <v>40</v>
      </c>
      <c r="D7666">
        <v>3.8588369999999999</v>
      </c>
      <c r="E7666">
        <v>0.51346309999999995</v>
      </c>
      <c r="F7666" t="s">
        <v>41</v>
      </c>
      <c r="G7666">
        <v>-145.33340000000001</v>
      </c>
      <c r="H7666">
        <v>0.94784139999999995</v>
      </c>
      <c r="I7666">
        <v>137.85470000000001</v>
      </c>
      <c r="J7666">
        <v>-145.91319999999999</v>
      </c>
      <c r="K7666">
        <v>1.1123510000000001</v>
      </c>
      <c r="L7666">
        <v>137.87960000000001</v>
      </c>
      <c r="M7666">
        <v>0.99745700000000004</v>
      </c>
      <c r="N7666">
        <v>0</v>
      </c>
      <c r="O7666">
        <v>6.6655720000000002E-2</v>
      </c>
      <c r="P7666">
        <v>0.99102959999999995</v>
      </c>
      <c r="Q7666">
        <v>0.13281809999999999</v>
      </c>
      <c r="R7666">
        <v>1.482848E-2</v>
      </c>
      <c r="S7666">
        <v>3.1294400000000002</v>
      </c>
      <c r="T7666">
        <v>-0.73430799999999996</v>
      </c>
      <c r="U7666">
        <v>-6.819153E-2</v>
      </c>
      <c r="V7666">
        <v>5.1177550000000002E-2</v>
      </c>
      <c r="W7666">
        <v>0.1577887</v>
      </c>
      <c r="X7666">
        <v>0.98614579999999996</v>
      </c>
      <c r="Y7666">
        <v>8.4299680000000002E-2</v>
      </c>
      <c r="Z7666">
        <v>-2.5184729999999999E-2</v>
      </c>
      <c r="AA7666">
        <v>0.99612210000000001</v>
      </c>
      <c r="AB7666">
        <v>13</v>
      </c>
      <c r="AC7666">
        <v>0.579799999999977</v>
      </c>
      <c r="AD7666">
        <v>-0.16450960000000001</v>
      </c>
      <c r="AE7666">
        <v>-2.4900000000002299E-2</v>
      </c>
      <c r="AF7666">
        <v>5.8780438059531599E-2</v>
      </c>
      <c r="AG7666">
        <v>-0.16450960000000001</v>
      </c>
      <c r="AH7666">
        <v>0.53394318608409896</v>
      </c>
      <c r="AI7666">
        <v>107.027364661494</v>
      </c>
      <c r="AJ7666">
        <v>83.717751552680696</v>
      </c>
      <c r="AK7666">
        <v>0.56179522457588504</v>
      </c>
      <c r="AL7666">
        <v>80.921432093319396</v>
      </c>
      <c r="AM7666">
        <v>87.029212686478004</v>
      </c>
      <c r="AN7666">
        <v>0.99999997716466504</v>
      </c>
    </row>
    <row r="7667" spans="1:40" x14ac:dyDescent="0.25">
      <c r="A7667" t="str">
        <f>"20190312172557784"</f>
        <v>20190312172557784</v>
      </c>
      <c r="B7667" t="str">
        <f>"1552382757777585"</f>
        <v>1552382757777585</v>
      </c>
      <c r="C7667" t="s">
        <v>40</v>
      </c>
      <c r="D7667">
        <v>3.8386279999999999</v>
      </c>
      <c r="E7667">
        <v>0.5134225</v>
      </c>
      <c r="F7667" t="s">
        <v>41</v>
      </c>
      <c r="G7667">
        <v>-145.12989999999999</v>
      </c>
      <c r="H7667">
        <v>0.92765390000000003</v>
      </c>
      <c r="I7667">
        <v>137.86070000000001</v>
      </c>
      <c r="J7667">
        <v>-145.79239999999999</v>
      </c>
      <c r="K7667">
        <v>1.1122909999999999</v>
      </c>
      <c r="L7667">
        <v>137.88890000000001</v>
      </c>
      <c r="M7667">
        <v>0.99738939999999998</v>
      </c>
      <c r="N7667">
        <v>0</v>
      </c>
      <c r="O7667">
        <v>6.7618319999999996E-2</v>
      </c>
      <c r="P7667">
        <v>0.99136069999999998</v>
      </c>
      <c r="Q7667">
        <v>0.13041050000000001</v>
      </c>
      <c r="R7667">
        <v>1.404154E-2</v>
      </c>
      <c r="S7667">
        <v>3.1271209999999998</v>
      </c>
      <c r="T7667">
        <v>-0.73751199999999995</v>
      </c>
      <c r="U7667">
        <v>-7.5119019999999995E-2</v>
      </c>
      <c r="V7667">
        <v>5.2971079999999997E-2</v>
      </c>
      <c r="W7667">
        <v>0.1554857</v>
      </c>
      <c r="X7667">
        <v>0.98641690000000004</v>
      </c>
      <c r="Y7667">
        <v>8.7331599999999995E-2</v>
      </c>
      <c r="Z7667">
        <v>-2.5885999999999999E-2</v>
      </c>
      <c r="AA7667">
        <v>0.99584289999999998</v>
      </c>
      <c r="AB7667">
        <v>12</v>
      </c>
      <c r="AC7667">
        <v>0.66249999999999398</v>
      </c>
      <c r="AD7667">
        <v>-0.184637099999999</v>
      </c>
      <c r="AE7667">
        <v>-2.8199999999998199E-2</v>
      </c>
      <c r="AF7667">
        <v>6.7698179805649197E-2</v>
      </c>
      <c r="AG7667">
        <v>-0.184637099999999</v>
      </c>
      <c r="AH7667">
        <v>0.61165273428658296</v>
      </c>
      <c r="AI7667">
        <v>106.70101818357</v>
      </c>
      <c r="AJ7667">
        <v>83.684166902599699</v>
      </c>
      <c r="AK7667">
        <v>0.64248966497964899</v>
      </c>
      <c r="AL7667">
        <v>81.055033837060904</v>
      </c>
      <c r="AM7667">
        <v>86.926140507285595</v>
      </c>
      <c r="AN7667">
        <v>1.0000000194132299</v>
      </c>
    </row>
    <row r="7668" spans="1:40" x14ac:dyDescent="0.25">
      <c r="A7668" t="str">
        <f>"20190312172557805"</f>
        <v>20190312172557805</v>
      </c>
      <c r="B7668" t="str">
        <f>"1552382757798081"</f>
        <v>1552382757798081</v>
      </c>
      <c r="C7668" t="s">
        <v>40</v>
      </c>
      <c r="D7668">
        <v>3.850006</v>
      </c>
      <c r="E7668">
        <v>0.51290389999999997</v>
      </c>
      <c r="F7668" t="s">
        <v>41</v>
      </c>
      <c r="G7668">
        <v>-145.02529999999999</v>
      </c>
      <c r="H7668">
        <v>0.93048160000000002</v>
      </c>
      <c r="I7668">
        <v>137.86930000000001</v>
      </c>
      <c r="J7668">
        <v>-145.68199999999999</v>
      </c>
      <c r="K7668">
        <v>1.112277</v>
      </c>
      <c r="L7668">
        <v>137.89750000000001</v>
      </c>
      <c r="M7668">
        <v>0.99732960000000004</v>
      </c>
      <c r="N7668">
        <v>0</v>
      </c>
      <c r="O7668">
        <v>6.8400539999999996E-2</v>
      </c>
      <c r="P7668">
        <v>0.99176929999999996</v>
      </c>
      <c r="Q7668">
        <v>0.12733889999999901</v>
      </c>
      <c r="R7668">
        <v>1.3375150000000001E-2</v>
      </c>
      <c r="S7668">
        <v>3.124695</v>
      </c>
      <c r="T7668">
        <v>-0.74061119999999903</v>
      </c>
      <c r="U7668">
        <v>-7.939148E-2</v>
      </c>
      <c r="V7668">
        <v>5.4466699999999903E-2</v>
      </c>
      <c r="W7668">
        <v>0.152666</v>
      </c>
      <c r="X7668">
        <v>0.98677579999999998</v>
      </c>
      <c r="Y7668">
        <v>8.9372270000000004E-2</v>
      </c>
      <c r="Z7668">
        <v>-2.6432500000000001E-2</v>
      </c>
      <c r="AA7668">
        <v>0.99564750000000002</v>
      </c>
      <c r="AB7668">
        <v>12</v>
      </c>
      <c r="AC7668">
        <v>0.65670000000002904</v>
      </c>
      <c r="AD7668">
        <v>-0.1817954</v>
      </c>
      <c r="AE7668">
        <v>-2.8199999999998199E-2</v>
      </c>
      <c r="AF7668">
        <v>6.7875169801556695E-2</v>
      </c>
      <c r="AG7668">
        <v>-0.1817954</v>
      </c>
      <c r="AH7668">
        <v>0.60681339300538395</v>
      </c>
      <c r="AI7668">
        <v>106.580032840942</v>
      </c>
      <c r="AJ7668">
        <v>83.6177043985777</v>
      </c>
      <c r="AK7668">
        <v>0.63708641491359397</v>
      </c>
      <c r="AL7668">
        <v>81.21854313</v>
      </c>
      <c r="AM7668">
        <v>86.840671855863206</v>
      </c>
      <c r="AN7668">
        <v>1.0000000042152599</v>
      </c>
    </row>
    <row r="7669" spans="1:40" x14ac:dyDescent="0.25">
      <c r="A7669" t="str">
        <f>"20190312172557828"</f>
        <v>20190312172557828</v>
      </c>
      <c r="B7669" t="str">
        <f>"1552382757817601"</f>
        <v>1552382757817601</v>
      </c>
      <c r="C7669" t="s">
        <v>40</v>
      </c>
      <c r="D7669">
        <v>3.9005010000000002</v>
      </c>
      <c r="E7669">
        <v>0.51234049999999998</v>
      </c>
      <c r="F7669" t="s">
        <v>41</v>
      </c>
      <c r="G7669">
        <v>-144.92590000000001</v>
      </c>
      <c r="H7669">
        <v>0.93150639999999996</v>
      </c>
      <c r="I7669">
        <v>137.87819999999999</v>
      </c>
      <c r="J7669">
        <v>-145.57480000000001</v>
      </c>
      <c r="K7669">
        <v>1.1124259999999999</v>
      </c>
      <c r="L7669">
        <v>137.9057</v>
      </c>
      <c r="M7669">
        <v>0.99726020000000004</v>
      </c>
      <c r="N7669">
        <v>0</v>
      </c>
      <c r="O7669">
        <v>6.9069630000000007E-2</v>
      </c>
      <c r="P7669">
        <v>0.99216850000000001</v>
      </c>
      <c r="Q7669">
        <v>0.12417540000000001</v>
      </c>
      <c r="R7669">
        <v>1.349408E-2</v>
      </c>
      <c r="S7669">
        <v>3.1217800000000002</v>
      </c>
      <c r="T7669">
        <v>-0.74639009999999995</v>
      </c>
      <c r="U7669">
        <v>-7.91626E-2</v>
      </c>
      <c r="V7669">
        <v>5.5066699999999899E-2</v>
      </c>
      <c r="W7669">
        <v>0.150382399999999</v>
      </c>
      <c r="X7669">
        <v>0.98709309999999995</v>
      </c>
      <c r="Y7669">
        <v>8.988351E-2</v>
      </c>
      <c r="Z7669">
        <v>-2.687552E-2</v>
      </c>
      <c r="AA7669">
        <v>0.99558959999999996</v>
      </c>
      <c r="AB7669">
        <v>12</v>
      </c>
      <c r="AC7669">
        <v>0.64889999999999703</v>
      </c>
      <c r="AD7669">
        <v>-0.18091959999999899</v>
      </c>
      <c r="AE7669">
        <v>-2.75000000000034E-2</v>
      </c>
      <c r="AF7669">
        <v>6.7065324905662693E-2</v>
      </c>
      <c r="AG7669">
        <v>-0.18091959999999899</v>
      </c>
      <c r="AH7669">
        <v>0.59897166334013796</v>
      </c>
      <c r="AI7669">
        <v>106.708422101124</v>
      </c>
      <c r="AJ7669">
        <v>83.611347024361294</v>
      </c>
      <c r="AK7669">
        <v>0.62928269716663399</v>
      </c>
      <c r="AL7669">
        <v>81.350912140452706</v>
      </c>
      <c r="AM7669">
        <v>86.806965267535702</v>
      </c>
      <c r="AN7669">
        <v>0.99999999787312899</v>
      </c>
    </row>
    <row r="7670" spans="1:40" x14ac:dyDescent="0.25">
      <c r="A7670" t="str">
        <f>"20190312172557850"</f>
        <v>20190312172557850</v>
      </c>
      <c r="B7670" t="str">
        <f>"1552382757847857"</f>
        <v>1552382757847857</v>
      </c>
      <c r="C7670" t="s">
        <v>40</v>
      </c>
      <c r="D7670">
        <v>3.8127110000000002</v>
      </c>
      <c r="E7670">
        <v>0.51194510000000004</v>
      </c>
      <c r="F7670" t="s">
        <v>41</v>
      </c>
      <c r="G7670">
        <v>-144.83070000000001</v>
      </c>
      <c r="H7670">
        <v>0.93288479999999996</v>
      </c>
      <c r="I7670">
        <v>137.88749999999999</v>
      </c>
      <c r="J7670">
        <v>-145.4691</v>
      </c>
      <c r="K7670">
        <v>1.1126180000000001</v>
      </c>
      <c r="L7670">
        <v>137.91390000000001</v>
      </c>
      <c r="M7670">
        <v>0.99718899999999999</v>
      </c>
      <c r="N7670">
        <v>0</v>
      </c>
      <c r="O7670">
        <v>6.9623749999999998E-2</v>
      </c>
      <c r="P7670">
        <v>0.99252169999999895</v>
      </c>
      <c r="Q7670">
        <v>0.12123339999999901</v>
      </c>
      <c r="R7670">
        <v>1.426353E-2</v>
      </c>
      <c r="S7670">
        <v>3.1188959999999999</v>
      </c>
      <c r="T7670">
        <v>-0.75270579999999998</v>
      </c>
      <c r="U7670">
        <v>-7.5744629999999993E-2</v>
      </c>
      <c r="V7670">
        <v>5.4900230000000001E-2</v>
      </c>
      <c r="W7670">
        <v>0.14863180000000001</v>
      </c>
      <c r="X7670">
        <v>0.98736749999999995</v>
      </c>
      <c r="Y7670">
        <v>8.9289560000000004E-2</v>
      </c>
      <c r="Z7670">
        <v>-2.718274E-2</v>
      </c>
      <c r="AA7670">
        <v>0.99563469999999998</v>
      </c>
      <c r="AB7670">
        <v>11</v>
      </c>
      <c r="AC7670">
        <v>0.63839999999998998</v>
      </c>
      <c r="AD7670">
        <v>-0.17973320000000001</v>
      </c>
      <c r="AE7670">
        <v>-2.64000000000237E-2</v>
      </c>
      <c r="AF7670">
        <v>6.5609225611741304E-2</v>
      </c>
      <c r="AG7670">
        <v>-0.17973320000000001</v>
      </c>
      <c r="AH7670">
        <v>0.58844826155236996</v>
      </c>
      <c r="AI7670">
        <v>106.885924503368</v>
      </c>
      <c r="AJ7670">
        <v>83.6380642373569</v>
      </c>
      <c r="AK7670">
        <v>0.61877293912356801</v>
      </c>
      <c r="AL7670">
        <v>81.452354425684803</v>
      </c>
      <c r="AM7670">
        <v>86.817481006205796</v>
      </c>
      <c r="AN7670">
        <v>1.0000000136407701</v>
      </c>
    </row>
    <row r="7671" spans="1:40" x14ac:dyDescent="0.25">
      <c r="A7671" t="str">
        <f>"20190312172557873"</f>
        <v>20190312172557873</v>
      </c>
      <c r="B7671" t="str">
        <f>"1552382757868356"</f>
        <v>1552382757868356</v>
      </c>
      <c r="C7671" t="s">
        <v>40</v>
      </c>
      <c r="D7671">
        <v>3.8610950000000002</v>
      </c>
      <c r="E7671">
        <v>0.51169529999999996</v>
      </c>
      <c r="F7671" t="s">
        <v>41</v>
      </c>
      <c r="G7671">
        <v>-144.7389</v>
      </c>
      <c r="H7671">
        <v>0.93552630000000003</v>
      </c>
      <c r="I7671">
        <v>137.8974</v>
      </c>
      <c r="J7671">
        <v>-145.36949999999999</v>
      </c>
      <c r="K7671">
        <v>1.1127149999999999</v>
      </c>
      <c r="L7671">
        <v>137.92140000000001</v>
      </c>
      <c r="M7671">
        <v>0.99713280000000004</v>
      </c>
      <c r="N7671">
        <v>0</v>
      </c>
      <c r="O7671">
        <v>7.0019750000000006E-2</v>
      </c>
      <c r="P7671">
        <v>0.99277280000000001</v>
      </c>
      <c r="Q7671">
        <v>0.1190109</v>
      </c>
      <c r="R7671">
        <v>1.545383E-2</v>
      </c>
      <c r="S7671">
        <v>3.1159210000000002</v>
      </c>
      <c r="T7671">
        <v>-0.75571299999999997</v>
      </c>
      <c r="U7671">
        <v>-7.0205690000000001E-2</v>
      </c>
      <c r="V7671">
        <v>5.4153069999999998E-2</v>
      </c>
      <c r="W7671">
        <v>0.14740420000000001</v>
      </c>
      <c r="X7671">
        <v>0.98759280000000005</v>
      </c>
      <c r="Y7671">
        <v>8.7924269999999999E-2</v>
      </c>
      <c r="Z7671">
        <v>-2.7245749999999999E-2</v>
      </c>
      <c r="AA7671">
        <v>0.99575449999999999</v>
      </c>
      <c r="AB7671">
        <v>11</v>
      </c>
      <c r="AC7671">
        <v>0.63059999999998695</v>
      </c>
      <c r="AD7671">
        <v>-0.17718869999999901</v>
      </c>
      <c r="AE7671">
        <v>-2.4000000000000899E-2</v>
      </c>
      <c r="AF7671">
        <v>6.3136162586110697E-2</v>
      </c>
      <c r="AG7671">
        <v>-0.17718869999999901</v>
      </c>
      <c r="AH7671">
        <v>0.58152366355032803</v>
      </c>
      <c r="AI7671">
        <v>106.852464817429</v>
      </c>
      <c r="AJ7671">
        <v>83.803653987793396</v>
      </c>
      <c r="AK7671">
        <v>0.61118882655263396</v>
      </c>
      <c r="AL7671">
        <v>81.523474411110996</v>
      </c>
      <c r="AM7671">
        <v>86.861420736299493</v>
      </c>
      <c r="AN7671">
        <v>1.0000000458899501</v>
      </c>
    </row>
    <row r="7672" spans="1:40" x14ac:dyDescent="0.25">
      <c r="A7672" t="str">
        <f>"20190312172557895"</f>
        <v>20190312172557895</v>
      </c>
      <c r="B7672" t="str">
        <f>"1552382757887876"</f>
        <v>1552382757887876</v>
      </c>
      <c r="C7672" t="s">
        <v>40</v>
      </c>
      <c r="D7672">
        <v>3.8344619999999998</v>
      </c>
      <c r="E7672">
        <v>0.51148289999999996</v>
      </c>
      <c r="F7672" t="s">
        <v>41</v>
      </c>
      <c r="G7672">
        <v>-144.65020000000001</v>
      </c>
      <c r="H7672">
        <v>0.93743089999999996</v>
      </c>
      <c r="I7672">
        <v>137.90639999999999</v>
      </c>
      <c r="J7672">
        <v>-145.27260000000001</v>
      </c>
      <c r="K7672">
        <v>1.1126</v>
      </c>
      <c r="L7672">
        <v>137.92859999999999</v>
      </c>
      <c r="M7672">
        <v>0.99710370000000004</v>
      </c>
      <c r="N7672">
        <v>0</v>
      </c>
      <c r="O7672">
        <v>7.0267839999999998E-2</v>
      </c>
      <c r="P7672">
        <v>0.99298609999999998</v>
      </c>
      <c r="Q7672">
        <v>0.1171228</v>
      </c>
      <c r="R7672">
        <v>1.615658E-2</v>
      </c>
      <c r="S7672">
        <v>3.1137999999999999</v>
      </c>
      <c r="T7672">
        <v>-0.75888059999999902</v>
      </c>
      <c r="U7672">
        <v>-6.4239500000000005E-2</v>
      </c>
      <c r="V7672">
        <v>5.3749419999999999E-2</v>
      </c>
      <c r="W7672">
        <v>0.14591089999999901</v>
      </c>
      <c r="X7672">
        <v>0.98783650000000001</v>
      </c>
      <c r="Y7672">
        <v>8.6277629999999994E-2</v>
      </c>
      <c r="Z7672">
        <v>-2.723706E-2</v>
      </c>
      <c r="AA7672">
        <v>0.99589870000000003</v>
      </c>
      <c r="AB7672">
        <v>10</v>
      </c>
      <c r="AC7672">
        <v>0.62239999999999895</v>
      </c>
      <c r="AD7672">
        <v>-0.175169099999999</v>
      </c>
      <c r="AE7672">
        <v>-2.2199999999997999E-2</v>
      </c>
      <c r="AF7672">
        <v>6.10673552915484E-2</v>
      </c>
      <c r="AG7672">
        <v>-0.175169099999999</v>
      </c>
      <c r="AH7672">
        <v>0.57389925289252897</v>
      </c>
      <c r="AI7672">
        <v>106.883714161619</v>
      </c>
      <c r="AJ7672">
        <v>83.926137517910306</v>
      </c>
      <c r="AK7672">
        <v>0.60313662461147</v>
      </c>
      <c r="AL7672">
        <v>81.609968811588601</v>
      </c>
      <c r="AM7672">
        <v>86.885536066612502</v>
      </c>
      <c r="AN7672">
        <v>0.99999997081069703</v>
      </c>
    </row>
    <row r="7673" spans="1:40" x14ac:dyDescent="0.25">
      <c r="A7673" t="str">
        <f>"20190312172557917"</f>
        <v>20190312172557917</v>
      </c>
      <c r="B7673" t="str">
        <f>"1552382757908369"</f>
        <v>1552382757908369</v>
      </c>
      <c r="C7673" t="s">
        <v>40</v>
      </c>
      <c r="D7673">
        <v>4.1268260000000003</v>
      </c>
      <c r="E7673">
        <v>0.50949440000000001</v>
      </c>
      <c r="F7673" t="s">
        <v>41</v>
      </c>
      <c r="G7673">
        <v>-144.56309999999999</v>
      </c>
      <c r="H7673">
        <v>0.93914660000000005</v>
      </c>
      <c r="I7673">
        <v>137.91480000000001</v>
      </c>
      <c r="J7673">
        <v>-145.17859999999999</v>
      </c>
      <c r="K7673">
        <v>1.112336</v>
      </c>
      <c r="L7673">
        <v>137.93539999999999</v>
      </c>
      <c r="M7673">
        <v>0.99710449999999995</v>
      </c>
      <c r="N7673">
        <v>0</v>
      </c>
      <c r="O7673">
        <v>7.0341349999999997E-2</v>
      </c>
      <c r="P7673">
        <v>0.99315089999999995</v>
      </c>
      <c r="Q7673">
        <v>0.1156543</v>
      </c>
      <c r="R7673">
        <v>1.6605410000000001E-2</v>
      </c>
      <c r="S7673">
        <v>3.111923</v>
      </c>
      <c r="T7673">
        <v>-0.76086309999999902</v>
      </c>
      <c r="U7673">
        <v>-6.0287479999999997E-2</v>
      </c>
      <c r="V7673">
        <v>5.3420099999999998E-2</v>
      </c>
      <c r="W7673">
        <v>0.144229</v>
      </c>
      <c r="X7673">
        <v>0.98810140000000002</v>
      </c>
      <c r="Y7673">
        <v>8.5102010000000006E-2</v>
      </c>
      <c r="Z7673">
        <v>-2.7198279999999998E-2</v>
      </c>
      <c r="AA7673">
        <v>0.99600089999999997</v>
      </c>
      <c r="AB7673">
        <v>10</v>
      </c>
      <c r="AC7673">
        <v>0.61549999999999705</v>
      </c>
      <c r="AD7673">
        <v>-0.17318939999999899</v>
      </c>
      <c r="AE7673">
        <v>-2.0599999999973299E-2</v>
      </c>
      <c r="AF7673">
        <v>5.9181663921250398E-2</v>
      </c>
      <c r="AG7673">
        <v>-0.17318939999999899</v>
      </c>
      <c r="AH7673">
        <v>0.56763261760798001</v>
      </c>
      <c r="AI7673">
        <v>106.88112132860699</v>
      </c>
      <c r="AJ7673">
        <v>84.047818114573801</v>
      </c>
      <c r="AK7673">
        <v>0.59640910974710604</v>
      </c>
      <c r="AL7673">
        <v>81.707365524701103</v>
      </c>
      <c r="AM7673">
        <v>86.905409245509901</v>
      </c>
      <c r="AN7673">
        <v>1.00000004410348</v>
      </c>
    </row>
    <row r="7674" spans="1:40" x14ac:dyDescent="0.25">
      <c r="A7674" t="str">
        <f>"20190312172557939"</f>
        <v>20190312172557939</v>
      </c>
      <c r="B7674" t="str">
        <f>"1552382757927889"</f>
        <v>1552382757927889</v>
      </c>
      <c r="C7674" t="s">
        <v>40</v>
      </c>
      <c r="D7674">
        <v>3.8749259999999999</v>
      </c>
      <c r="E7674">
        <v>0.51020319999999997</v>
      </c>
      <c r="F7674" t="s">
        <v>41</v>
      </c>
      <c r="G7674">
        <v>-144.47149999999999</v>
      </c>
      <c r="H7674">
        <v>0.95245029999999997</v>
      </c>
      <c r="I7674">
        <v>137.92570000000001</v>
      </c>
      <c r="J7674">
        <v>-145.08590000000001</v>
      </c>
      <c r="K7674">
        <v>1.11207099999999</v>
      </c>
      <c r="L7674">
        <v>137.9418</v>
      </c>
      <c r="M7674">
        <v>0.99712350000000005</v>
      </c>
      <c r="N7674">
        <v>0</v>
      </c>
      <c r="O7674">
        <v>7.0234569999999996E-2</v>
      </c>
      <c r="P7674">
        <v>0.99339560000000005</v>
      </c>
      <c r="Q7674">
        <v>0.1134252</v>
      </c>
      <c r="R7674">
        <v>1.7325790000000001E-2</v>
      </c>
      <c r="S7674">
        <v>3.1031040000000001</v>
      </c>
      <c r="T7674">
        <v>-0.70166799999999996</v>
      </c>
      <c r="U7674">
        <v>-4.1641240000000003E-2</v>
      </c>
      <c r="V7674">
        <v>5.2637120000000003E-2</v>
      </c>
      <c r="W7674">
        <v>0.14160210000000001</v>
      </c>
      <c r="X7674">
        <v>0.98852320000000005</v>
      </c>
      <c r="Y7674">
        <v>7.9853770000000004E-2</v>
      </c>
      <c r="Z7674">
        <v>-2.4596300000000001E-2</v>
      </c>
      <c r="AA7674">
        <v>0.99650309999999998</v>
      </c>
      <c r="AB7674">
        <v>10</v>
      </c>
      <c r="AC7674">
        <v>0.61440000000001704</v>
      </c>
      <c r="AD7674">
        <v>-0.15962069999999901</v>
      </c>
      <c r="AE7674">
        <v>-1.60999999999944E-2</v>
      </c>
      <c r="AF7674">
        <v>5.5487273740576402E-2</v>
      </c>
      <c r="AG7674">
        <v>-0.15962069999999901</v>
      </c>
      <c r="AH7674">
        <v>0.57309535119916399</v>
      </c>
      <c r="AI7674">
        <v>105.494834117243</v>
      </c>
      <c r="AJ7674">
        <v>84.469841684046202</v>
      </c>
      <c r="AK7674">
        <v>0.59749132795526405</v>
      </c>
      <c r="AL7674">
        <v>81.859436262499599</v>
      </c>
      <c r="AM7674">
        <v>86.951979201969806</v>
      </c>
      <c r="AN7674">
        <v>0.99999996903227095</v>
      </c>
    </row>
    <row r="7675" spans="1:40" x14ac:dyDescent="0.25">
      <c r="A7675" t="str">
        <f>"20190312172557963"</f>
        <v>20190312172557963</v>
      </c>
      <c r="B7675" t="str">
        <f>"1552382757958145"</f>
        <v>1552382757958145</v>
      </c>
      <c r="C7675" t="s">
        <v>40</v>
      </c>
      <c r="D7675">
        <v>3.914676</v>
      </c>
      <c r="E7675">
        <v>0.51003580000000004</v>
      </c>
      <c r="F7675" t="s">
        <v>41</v>
      </c>
      <c r="G7675">
        <v>-144.38829999999999</v>
      </c>
      <c r="H7675">
        <v>0.95222229999999997</v>
      </c>
      <c r="I7675">
        <v>137.9316</v>
      </c>
      <c r="J7675">
        <v>-144.9933</v>
      </c>
      <c r="K7675">
        <v>1.111912</v>
      </c>
      <c r="L7675">
        <v>137.94799999999901</v>
      </c>
      <c r="M7675">
        <v>0.99714990000000003</v>
      </c>
      <c r="N7675">
        <v>0</v>
      </c>
      <c r="O7675">
        <v>6.9966050000000002E-2</v>
      </c>
      <c r="P7675">
        <v>0.99364240000000004</v>
      </c>
      <c r="Q7675">
        <v>0.11132830000000001</v>
      </c>
      <c r="R7675">
        <v>1.6762860000000001E-2</v>
      </c>
      <c r="S7675">
        <v>3.1018829999999999</v>
      </c>
      <c r="T7675">
        <v>-0.71084019999999903</v>
      </c>
      <c r="U7675">
        <v>-4.5669559999999998E-2</v>
      </c>
      <c r="V7675">
        <v>5.2966579999999999E-2</v>
      </c>
      <c r="W7675">
        <v>0.1392496</v>
      </c>
      <c r="X7675">
        <v>0.98883969999999999</v>
      </c>
      <c r="Y7675">
        <v>8.0765879999999998E-2</v>
      </c>
      <c r="Z7675">
        <v>-2.496164E-2</v>
      </c>
      <c r="AA7675">
        <v>0.99642050000000004</v>
      </c>
      <c r="AB7675">
        <v>10</v>
      </c>
      <c r="AC7675">
        <v>0.60500000000001797</v>
      </c>
      <c r="AD7675">
        <v>-0.15968969999999999</v>
      </c>
      <c r="AE7675">
        <v>-1.6399999999975899E-2</v>
      </c>
      <c r="AF7675">
        <v>5.4885099678628299E-2</v>
      </c>
      <c r="AG7675">
        <v>-0.15968969999999999</v>
      </c>
      <c r="AH7675">
        <v>0.56316185751451697</v>
      </c>
      <c r="AI7675">
        <v>105.760234818417</v>
      </c>
      <c r="AJ7675">
        <v>84.433599188185497</v>
      </c>
      <c r="AK7675">
        <v>0.58793235343194294</v>
      </c>
      <c r="AL7675">
        <v>81.995573272929505</v>
      </c>
      <c r="AM7675">
        <v>86.933917511595098</v>
      </c>
      <c r="AN7675">
        <v>0.99999993099657003</v>
      </c>
    </row>
    <row r="7676" spans="1:40" x14ac:dyDescent="0.25">
      <c r="A7676" t="str">
        <f>"20190312172557987"</f>
        <v>20190312172557987</v>
      </c>
      <c r="B7676" t="str">
        <f>"1552382757977665"</f>
        <v>1552382757977665</v>
      </c>
      <c r="C7676" t="s">
        <v>40</v>
      </c>
      <c r="D7676">
        <v>3.851359</v>
      </c>
      <c r="E7676">
        <v>0.50994309999999998</v>
      </c>
      <c r="F7676" t="s">
        <v>41</v>
      </c>
      <c r="G7676">
        <v>-144.23689999999999</v>
      </c>
      <c r="H7676">
        <v>0.93656399999999995</v>
      </c>
      <c r="I7676">
        <v>137.9365</v>
      </c>
      <c r="J7676">
        <v>-144.8974</v>
      </c>
      <c r="K7676">
        <v>1.1118570000000001</v>
      </c>
      <c r="L7676">
        <v>137.95419999999999</v>
      </c>
      <c r="M7676">
        <v>0.99718359999999995</v>
      </c>
      <c r="N7676">
        <v>0</v>
      </c>
      <c r="O7676">
        <v>6.9513930000000002E-2</v>
      </c>
      <c r="P7676">
        <v>0.9938401</v>
      </c>
      <c r="Q7676">
        <v>0.1097335</v>
      </c>
      <c r="R7676">
        <v>1.550727E-2</v>
      </c>
      <c r="S7676">
        <v>3.1004939999999999</v>
      </c>
      <c r="T7676">
        <v>-0.71874879999999997</v>
      </c>
      <c r="U7676">
        <v>-4.6920780000000002E-2</v>
      </c>
      <c r="V7676">
        <v>5.3791360000000003E-2</v>
      </c>
      <c r="W7676">
        <v>0.13757739999999999</v>
      </c>
      <c r="X7676">
        <v>0.9890293</v>
      </c>
      <c r="Y7676">
        <v>8.0647860000000002E-2</v>
      </c>
      <c r="Z7676">
        <v>-2.5126369999999999E-2</v>
      </c>
      <c r="AA7676">
        <v>0.99642589999999998</v>
      </c>
      <c r="AB7676">
        <v>9</v>
      </c>
      <c r="AC7676">
        <v>0.66050000000001297</v>
      </c>
      <c r="AD7676">
        <v>-0.17529299999999901</v>
      </c>
      <c r="AE7676">
        <v>-1.7699999999990699E-2</v>
      </c>
      <c r="AF7676">
        <v>5.9407959916638498E-2</v>
      </c>
      <c r="AG7676">
        <v>-0.17529299999999901</v>
      </c>
      <c r="AH7676">
        <v>0.61442464028278598</v>
      </c>
      <c r="AI7676">
        <v>105.853055355847</v>
      </c>
      <c r="AJ7676">
        <v>84.477309144407798</v>
      </c>
      <c r="AK7676">
        <v>0.64169664183092601</v>
      </c>
      <c r="AL7676">
        <v>82.092315053702293</v>
      </c>
      <c r="AM7676">
        <v>86.886862345816994</v>
      </c>
      <c r="AN7676">
        <v>1.0000000038299399</v>
      </c>
    </row>
    <row r="7677" spans="1:40" x14ac:dyDescent="0.25">
      <c r="A7677" t="str">
        <f>"20190312172558007"</f>
        <v>20190312172558007</v>
      </c>
      <c r="B7677" t="str">
        <f>"1552382757998161"</f>
        <v>1552382757998161</v>
      </c>
      <c r="C7677" t="s">
        <v>40</v>
      </c>
      <c r="D7677">
        <v>3.8587289999999999</v>
      </c>
      <c r="E7677">
        <v>0.50976650000000001</v>
      </c>
      <c r="F7677" t="s">
        <v>41</v>
      </c>
      <c r="G7677">
        <v>-144.15969999999999</v>
      </c>
      <c r="H7677">
        <v>0.9394652</v>
      </c>
      <c r="I7677">
        <v>137.94220000000001</v>
      </c>
      <c r="J7677">
        <v>-144.8219</v>
      </c>
      <c r="K7677">
        <v>1.11185</v>
      </c>
      <c r="L7677">
        <v>137.9589</v>
      </c>
      <c r="M7677">
        <v>0.99721740000000003</v>
      </c>
      <c r="N7677">
        <v>0</v>
      </c>
      <c r="O7677">
        <v>6.9048029999999996E-2</v>
      </c>
      <c r="P7677">
        <v>0.99406459999999996</v>
      </c>
      <c r="Q7677">
        <v>0.1079204</v>
      </c>
      <c r="R7677">
        <v>1.373359E-2</v>
      </c>
      <c r="S7677">
        <v>3.099335</v>
      </c>
      <c r="T7677">
        <v>-0.72422640000000005</v>
      </c>
      <c r="U7677">
        <v>-4.9667360000000001E-2</v>
      </c>
      <c r="V7677">
        <v>5.5109720000000001E-2</v>
      </c>
      <c r="W7677">
        <v>0.13571720000000001</v>
      </c>
      <c r="X7677">
        <v>0.98921369999999997</v>
      </c>
      <c r="Y7677">
        <v>8.1010390000000002E-2</v>
      </c>
      <c r="Z7677">
        <v>-2.5256509999999999E-2</v>
      </c>
      <c r="AA7677">
        <v>0.99639319999999998</v>
      </c>
      <c r="AB7677">
        <v>9</v>
      </c>
      <c r="AC7677">
        <v>0.662200000000012</v>
      </c>
      <c r="AD7677">
        <v>-0.1723848</v>
      </c>
      <c r="AE7677">
        <v>-1.66999999999859E-2</v>
      </c>
      <c r="AF7677">
        <v>5.8443732974895003E-2</v>
      </c>
      <c r="AG7677">
        <v>-0.1723848</v>
      </c>
      <c r="AH7677">
        <v>0.61763588712076101</v>
      </c>
      <c r="AI7677">
        <v>105.528646415913</v>
      </c>
      <c r="AJ7677">
        <v>84.594487771638896</v>
      </c>
      <c r="AK7677">
        <v>0.64389927648237799</v>
      </c>
      <c r="AL7677">
        <v>82.199905813246403</v>
      </c>
      <c r="AM7677">
        <v>86.811312093349699</v>
      </c>
      <c r="AN7677">
        <v>0.99999999194100397</v>
      </c>
    </row>
    <row r="7678" spans="1:40" x14ac:dyDescent="0.25">
      <c r="A7678" t="str">
        <f>"20190312172558029"</f>
        <v>20190312172558029</v>
      </c>
      <c r="B7678" t="str">
        <f>"1552382758017681"</f>
        <v>1552382758017681</v>
      </c>
      <c r="C7678" t="s">
        <v>40</v>
      </c>
      <c r="D7678">
        <v>3.9111400000000001</v>
      </c>
      <c r="E7678">
        <v>0.509544</v>
      </c>
      <c r="F7678" t="s">
        <v>41</v>
      </c>
      <c r="G7678">
        <v>-144.08609999999999</v>
      </c>
      <c r="H7678">
        <v>0.93932009999999999</v>
      </c>
      <c r="I7678">
        <v>137.94630000000001</v>
      </c>
      <c r="J7678">
        <v>-144.74180000000001</v>
      </c>
      <c r="K7678">
        <v>1.1118459999999999</v>
      </c>
      <c r="L7678">
        <v>137.96369999999999</v>
      </c>
      <c r="M7678">
        <v>0.99726119999999996</v>
      </c>
      <c r="N7678">
        <v>0</v>
      </c>
      <c r="O7678">
        <v>6.8462659999999995E-2</v>
      </c>
      <c r="P7678">
        <v>0.99437240000000005</v>
      </c>
      <c r="Q7678">
        <v>0.1052987</v>
      </c>
      <c r="R7678">
        <v>1.1655E-2</v>
      </c>
      <c r="S7678">
        <v>3.0974879999999998</v>
      </c>
      <c r="T7678">
        <v>-0.72632739999999996</v>
      </c>
      <c r="U7678">
        <v>-5.2780149999999998E-2</v>
      </c>
      <c r="V7678">
        <v>5.6611109999999999E-2</v>
      </c>
      <c r="W7678">
        <v>0.13298180000000001</v>
      </c>
      <c r="X7678">
        <v>0.98950039999999995</v>
      </c>
      <c r="Y7678">
        <v>8.141284E-2</v>
      </c>
      <c r="Z7678">
        <v>-2.525372E-2</v>
      </c>
      <c r="AA7678">
        <v>0.99636049999999998</v>
      </c>
      <c r="AB7678">
        <v>8</v>
      </c>
      <c r="AC7678">
        <v>0.65570000000002404</v>
      </c>
      <c r="AD7678">
        <v>-0.17252590000000001</v>
      </c>
      <c r="AE7678">
        <v>-1.7399999999980698E-2</v>
      </c>
      <c r="AF7678">
        <v>5.8238632881209902E-2</v>
      </c>
      <c r="AG7678">
        <v>-0.17252590000000001</v>
      </c>
      <c r="AH7678">
        <v>0.61071796156486602</v>
      </c>
      <c r="AI7678">
        <v>105.707101871318</v>
      </c>
      <c r="AJ7678">
        <v>84.552693389422004</v>
      </c>
      <c r="AK7678">
        <v>0.63728592727960598</v>
      </c>
      <c r="AL7678">
        <v>82.358066759786794</v>
      </c>
      <c r="AM7678">
        <v>86.725574178215396</v>
      </c>
      <c r="AN7678">
        <v>1.00000000925341</v>
      </c>
    </row>
    <row r="7679" spans="1:40" x14ac:dyDescent="0.25">
      <c r="A7679" t="str">
        <f>"20190312172558052"</f>
        <v>20190312172558052</v>
      </c>
      <c r="B7679" t="str">
        <f>"1552382758047938"</f>
        <v>1552382758047938</v>
      </c>
      <c r="C7679" t="s">
        <v>40</v>
      </c>
      <c r="D7679">
        <v>4.0800580000000002</v>
      </c>
      <c r="E7679">
        <v>0.50950810000000002</v>
      </c>
      <c r="F7679" t="s">
        <v>41</v>
      </c>
      <c r="G7679">
        <v>-144.01429999999999</v>
      </c>
      <c r="H7679">
        <v>0.93983539999999999</v>
      </c>
      <c r="I7679">
        <v>137.95050000000001</v>
      </c>
      <c r="J7679">
        <v>-144.6609</v>
      </c>
      <c r="K7679">
        <v>1.1118330000000001</v>
      </c>
      <c r="L7679">
        <v>137.96850000000001</v>
      </c>
      <c r="M7679">
        <v>0.99731009999999998</v>
      </c>
      <c r="N7679">
        <v>0</v>
      </c>
      <c r="O7679">
        <v>6.7822750000000001E-2</v>
      </c>
      <c r="P7679">
        <v>0.99455510000000003</v>
      </c>
      <c r="Q7679">
        <v>0.10380499999999999</v>
      </c>
      <c r="R7679">
        <v>9.2003710000000006E-3</v>
      </c>
      <c r="S7679">
        <v>3.0951390000000001</v>
      </c>
      <c r="T7679">
        <v>-0.73181890000000005</v>
      </c>
      <c r="U7679">
        <v>-5.5709839999999997E-2</v>
      </c>
      <c r="V7679">
        <v>5.8424129999999998E-2</v>
      </c>
      <c r="W7679">
        <v>0.1313096</v>
      </c>
      <c r="X7679">
        <v>0.98961829999999995</v>
      </c>
      <c r="Y7679">
        <v>8.1672330000000001E-2</v>
      </c>
      <c r="Z7679">
        <v>-2.5339380000000002E-2</v>
      </c>
      <c r="AA7679">
        <v>0.99633709999999998</v>
      </c>
      <c r="AB7679">
        <v>8</v>
      </c>
      <c r="AC7679">
        <v>0.64660000000000595</v>
      </c>
      <c r="AD7679">
        <v>-0.1719976</v>
      </c>
      <c r="AE7679">
        <v>-1.8000000000000599E-2</v>
      </c>
      <c r="AF7679">
        <v>5.7746799047072001E-2</v>
      </c>
      <c r="AG7679">
        <v>-0.1719976</v>
      </c>
      <c r="AH7679">
        <v>0.60137011250392602</v>
      </c>
      <c r="AI7679">
        <v>105.891652061926</v>
      </c>
      <c r="AJ7679">
        <v>84.514968154650404</v>
      </c>
      <c r="AK7679">
        <v>0.62814319977129995</v>
      </c>
      <c r="AL7679">
        <v>82.454724246679206</v>
      </c>
      <c r="AM7679">
        <v>86.621348715205897</v>
      </c>
      <c r="AN7679">
        <v>0.99999998485665298</v>
      </c>
    </row>
    <row r="7680" spans="1:40" x14ac:dyDescent="0.25">
      <c r="A7680" t="str">
        <f>"20190312172558074"</f>
        <v>20190312172558074</v>
      </c>
      <c r="B7680" t="str">
        <f>"1552382758068434"</f>
        <v>1552382758068434</v>
      </c>
      <c r="C7680" t="s">
        <v>40</v>
      </c>
      <c r="D7680">
        <v>3.84443</v>
      </c>
      <c r="E7680">
        <v>0.50965159999999998</v>
      </c>
      <c r="F7680" t="s">
        <v>41</v>
      </c>
      <c r="G7680">
        <v>-143.9436</v>
      </c>
      <c r="H7680">
        <v>0.94238129999999998</v>
      </c>
      <c r="I7680">
        <v>137.9547</v>
      </c>
      <c r="J7680">
        <v>-144.5874</v>
      </c>
      <c r="K7680">
        <v>1.111969</v>
      </c>
      <c r="L7680">
        <v>137.9727</v>
      </c>
      <c r="M7680">
        <v>0.99734149999999999</v>
      </c>
      <c r="N7680">
        <v>0</v>
      </c>
      <c r="O7680">
        <v>6.7249920000000005E-2</v>
      </c>
      <c r="P7680">
        <v>0.99474720000000005</v>
      </c>
      <c r="Q7680">
        <v>0.1022139</v>
      </c>
      <c r="R7680">
        <v>5.5307680000000001E-3</v>
      </c>
      <c r="S7680">
        <v>3.0932309999999998</v>
      </c>
      <c r="T7680">
        <v>-0.73069169999999894</v>
      </c>
      <c r="U7680">
        <v>-5.9326169999999998E-2</v>
      </c>
      <c r="V7680">
        <v>6.1511589999999998E-2</v>
      </c>
      <c r="W7680">
        <v>0.12998959999999901</v>
      </c>
      <c r="X7680">
        <v>0.98960550000000003</v>
      </c>
      <c r="Y7680">
        <v>8.2282549999999996E-2</v>
      </c>
      <c r="Z7680">
        <v>-2.525434E-2</v>
      </c>
      <c r="AA7680">
        <v>0.99628899999999998</v>
      </c>
      <c r="AB7680">
        <v>8</v>
      </c>
      <c r="AC7680">
        <v>0.64379999999999804</v>
      </c>
      <c r="AD7680">
        <v>-0.16958770000000001</v>
      </c>
      <c r="AE7680">
        <v>-1.8000000000000599E-2</v>
      </c>
      <c r="AF7680">
        <v>5.7298993489850202E-2</v>
      </c>
      <c r="AG7680">
        <v>-0.16958770000000001</v>
      </c>
      <c r="AH7680">
        <v>0.59956038654496802</v>
      </c>
      <c r="AI7680">
        <v>105.725653501024</v>
      </c>
      <c r="AJ7680">
        <v>84.540916757210795</v>
      </c>
      <c r="AK7680">
        <v>0.62571224996814001</v>
      </c>
      <c r="AL7680">
        <v>82.531008724674095</v>
      </c>
      <c r="AM7680">
        <v>86.443202753109304</v>
      </c>
      <c r="AN7680">
        <v>1.0000000087213601</v>
      </c>
    </row>
    <row r="7681" spans="1:40" x14ac:dyDescent="0.25">
      <c r="A7681" t="str">
        <f>"20190312172558096"</f>
        <v>20190312172558096</v>
      </c>
      <c r="B7681" t="str">
        <f>"1552382758087954"</f>
        <v>1552382758087954</v>
      </c>
      <c r="C7681" t="s">
        <v>40</v>
      </c>
      <c r="D7681">
        <v>3.8738649999999999</v>
      </c>
      <c r="E7681">
        <v>0.50976569999999999</v>
      </c>
      <c r="F7681" t="s">
        <v>41</v>
      </c>
      <c r="G7681">
        <v>-143.87799999999999</v>
      </c>
      <c r="H7681">
        <v>0.94408760000000003</v>
      </c>
      <c r="I7681">
        <v>137.95740000000001</v>
      </c>
      <c r="J7681">
        <v>-144.51859999999999</v>
      </c>
      <c r="K7681">
        <v>1.1122879999999999</v>
      </c>
      <c r="L7681">
        <v>137.97659999999999</v>
      </c>
      <c r="M7681">
        <v>0.99734940000000005</v>
      </c>
      <c r="N7681">
        <v>0</v>
      </c>
      <c r="O7681">
        <v>6.673888E-2</v>
      </c>
      <c r="P7681">
        <v>0.99510529999999997</v>
      </c>
      <c r="Q7681">
        <v>9.8795709999999995E-2</v>
      </c>
      <c r="R7681">
        <v>2.2401399999999998E-3</v>
      </c>
      <c r="S7681">
        <v>3.0914000000000001</v>
      </c>
      <c r="T7681">
        <v>-0.73156049999999995</v>
      </c>
      <c r="U7681">
        <v>-6.588745E-2</v>
      </c>
      <c r="V7681">
        <v>6.4285739999999994E-2</v>
      </c>
      <c r="W7681">
        <v>0.1274972</v>
      </c>
      <c r="X7681">
        <v>0.98975340000000001</v>
      </c>
      <c r="Y7681">
        <v>8.3855009999999994E-2</v>
      </c>
      <c r="Z7681">
        <v>-2.5362639999999999E-2</v>
      </c>
      <c r="AA7681">
        <v>0.99615509999999996</v>
      </c>
      <c r="AB7681">
        <v>8</v>
      </c>
      <c r="AC7681">
        <v>0.64060000000000605</v>
      </c>
      <c r="AD7681">
        <v>-0.168200399999999</v>
      </c>
      <c r="AE7681">
        <v>-1.9199999999983602E-2</v>
      </c>
      <c r="AF7681">
        <v>5.7937355022077697E-2</v>
      </c>
      <c r="AG7681">
        <v>-0.168200399999999</v>
      </c>
      <c r="AH7681">
        <v>0.59678253444698004</v>
      </c>
      <c r="AI7681">
        <v>105.670215102971</v>
      </c>
      <c r="AJ7681">
        <v>84.454939193643696</v>
      </c>
      <c r="AK7681">
        <v>0.62273389588818395</v>
      </c>
      <c r="AL7681">
        <v>82.675011041859406</v>
      </c>
      <c r="AM7681">
        <v>86.283786330539101</v>
      </c>
      <c r="AN7681">
        <v>0.99999999259337302</v>
      </c>
    </row>
    <row r="7682" spans="1:40" x14ac:dyDescent="0.25">
      <c r="A7682" t="str">
        <f>"20190312172558119"</f>
        <v>20190312172558119</v>
      </c>
      <c r="B7682" t="str">
        <f>"1552382758107474"</f>
        <v>1552382758107474</v>
      </c>
      <c r="C7682" t="s">
        <v>40</v>
      </c>
      <c r="D7682">
        <v>3.8537499999999998</v>
      </c>
      <c r="E7682">
        <v>0.50979019999999997</v>
      </c>
      <c r="F7682" t="s">
        <v>41</v>
      </c>
      <c r="G7682">
        <v>-143.8176</v>
      </c>
      <c r="H7682">
        <v>0.94482120000000003</v>
      </c>
      <c r="I7682">
        <v>137.96</v>
      </c>
      <c r="J7682">
        <v>-144.4563</v>
      </c>
      <c r="K7682">
        <v>1.112606</v>
      </c>
      <c r="L7682">
        <v>137.98009999999999</v>
      </c>
      <c r="M7682">
        <v>0.99734690000000004</v>
      </c>
      <c r="N7682">
        <v>0</v>
      </c>
      <c r="O7682">
        <v>6.6291879999999997E-2</v>
      </c>
      <c r="P7682">
        <v>0.99558389999999997</v>
      </c>
      <c r="Q7682">
        <v>9.3878199999999995E-2</v>
      </c>
      <c r="R7682">
        <v>-2.020523E-4</v>
      </c>
      <c r="S7682">
        <v>3.088165</v>
      </c>
      <c r="T7682">
        <v>-0.73768459999999902</v>
      </c>
      <c r="U7682">
        <v>-7.295227E-2</v>
      </c>
      <c r="V7682">
        <v>6.6285839999999999E-2</v>
      </c>
      <c r="W7682">
        <v>0.12368659999999999</v>
      </c>
      <c r="X7682">
        <v>0.99010500000000001</v>
      </c>
      <c r="Y7682">
        <v>8.5596530000000004E-2</v>
      </c>
      <c r="Z7682">
        <v>-2.5695300000000001E-2</v>
      </c>
      <c r="AA7682">
        <v>0.99599850000000001</v>
      </c>
      <c r="AB7682">
        <v>7</v>
      </c>
      <c r="AC7682">
        <v>0.63870000000000005</v>
      </c>
      <c r="AD7682">
        <v>-0.16778480000000001</v>
      </c>
      <c r="AE7682">
        <v>-2.0099999999985099E-2</v>
      </c>
      <c r="AF7682">
        <v>5.8390028476200999E-2</v>
      </c>
      <c r="AG7682">
        <v>-0.16778480000000001</v>
      </c>
      <c r="AH7682">
        <v>0.59494426883906204</v>
      </c>
      <c r="AI7682">
        <v>105.677794402526</v>
      </c>
      <c r="AJ7682">
        <v>84.394731526765696</v>
      </c>
      <c r="AK7682">
        <v>0.62090242193193101</v>
      </c>
      <c r="AL7682">
        <v>82.895085434720201</v>
      </c>
      <c r="AM7682">
        <v>86.169860843640805</v>
      </c>
      <c r="AN7682">
        <v>1.00000004931453</v>
      </c>
    </row>
    <row r="7683" spans="1:40" x14ac:dyDescent="0.25">
      <c r="A7683" t="str">
        <f>"20190312172558141"</f>
        <v>20190312172558141</v>
      </c>
      <c r="B7683" t="str">
        <f>"1552382758137730"</f>
        <v>1552382758137730</v>
      </c>
      <c r="C7683" t="s">
        <v>40</v>
      </c>
      <c r="D7683">
        <v>3.8427289999999998</v>
      </c>
      <c r="E7683">
        <v>0.50964969999999998</v>
      </c>
      <c r="F7683" t="s">
        <v>41</v>
      </c>
      <c r="G7683">
        <v>-143.76230000000001</v>
      </c>
      <c r="H7683">
        <v>0.94392860000000001</v>
      </c>
      <c r="I7683">
        <v>137.9616</v>
      </c>
      <c r="J7683">
        <v>-144.39619999999999</v>
      </c>
      <c r="K7683">
        <v>1.112743</v>
      </c>
      <c r="L7683">
        <v>137.98349999999999</v>
      </c>
      <c r="M7683">
        <v>0.9973554</v>
      </c>
      <c r="N7683">
        <v>0</v>
      </c>
      <c r="O7683">
        <v>6.586098E-2</v>
      </c>
      <c r="P7683">
        <v>0.99597780000000002</v>
      </c>
      <c r="Q7683">
        <v>8.9580279999999998E-2</v>
      </c>
      <c r="R7683">
        <v>-1.944615E-3</v>
      </c>
      <c r="S7683">
        <v>3.0839840000000001</v>
      </c>
      <c r="T7683">
        <v>-0.74946919999999995</v>
      </c>
      <c r="U7683">
        <v>-8.1542970000000006E-2</v>
      </c>
      <c r="V7683">
        <v>6.7604020000000001E-2</v>
      </c>
      <c r="W7683">
        <v>0.1200594</v>
      </c>
      <c r="X7683">
        <v>0.99046219999999996</v>
      </c>
      <c r="Y7683">
        <v>8.7773870000000004E-2</v>
      </c>
      <c r="Z7683">
        <v>-2.628608E-2</v>
      </c>
      <c r="AA7683">
        <v>0.9957935</v>
      </c>
      <c r="AB7683">
        <v>7</v>
      </c>
      <c r="AC7683">
        <v>0.63389999999998203</v>
      </c>
      <c r="AD7683">
        <v>-0.1688144</v>
      </c>
      <c r="AE7683">
        <v>-2.1899999999987999E-2</v>
      </c>
      <c r="AF7683">
        <v>5.9412794949477099E-2</v>
      </c>
      <c r="AG7683">
        <v>-0.1688144</v>
      </c>
      <c r="AH7683">
        <v>0.58933284214926995</v>
      </c>
      <c r="AI7683">
        <v>105.90783613610201</v>
      </c>
      <c r="AJ7683">
        <v>84.243253444470596</v>
      </c>
      <c r="AK7683">
        <v>0.61590695781652305</v>
      </c>
      <c r="AL7683">
        <v>83.104469033590803</v>
      </c>
      <c r="AM7683">
        <v>86.095331373355506</v>
      </c>
      <c r="AN7683">
        <v>0.99999996633867905</v>
      </c>
    </row>
    <row r="7684" spans="1:40" x14ac:dyDescent="0.25">
      <c r="A7684" t="str">
        <f>"20190312172558165"</f>
        <v>20190312172558165</v>
      </c>
      <c r="B7684" t="str">
        <f>"1552382758158225"</f>
        <v>1552382758158225</v>
      </c>
      <c r="C7684" t="s">
        <v>40</v>
      </c>
      <c r="D7684">
        <v>3.8945590000000001</v>
      </c>
      <c r="E7684">
        <v>0.50951299999999999</v>
      </c>
      <c r="F7684" t="s">
        <v>41</v>
      </c>
      <c r="G7684">
        <v>-143.70930000000001</v>
      </c>
      <c r="H7684">
        <v>0.94366819999999896</v>
      </c>
      <c r="I7684">
        <v>137.964</v>
      </c>
      <c r="J7684">
        <v>-144.3365</v>
      </c>
      <c r="K7684">
        <v>1.1125609999999999</v>
      </c>
      <c r="L7684">
        <v>137.98689999999999</v>
      </c>
      <c r="M7684">
        <v>0.99739560000000005</v>
      </c>
      <c r="N7684">
        <v>0</v>
      </c>
      <c r="O7684">
        <v>6.543177E-2</v>
      </c>
      <c r="P7684">
        <v>0.99612679999999998</v>
      </c>
      <c r="Q7684">
        <v>8.7878600000000001E-2</v>
      </c>
      <c r="R7684">
        <v>-3.0147569999999999E-3</v>
      </c>
      <c r="S7684">
        <v>3.0800930000000002</v>
      </c>
      <c r="T7684">
        <v>-0.75810069999999996</v>
      </c>
      <c r="U7684">
        <v>-8.7265010000000004E-2</v>
      </c>
      <c r="V7684">
        <v>6.8246660000000001E-2</v>
      </c>
      <c r="W7684">
        <v>0.11797530000000001</v>
      </c>
      <c r="X7684">
        <v>0.99066860000000001</v>
      </c>
      <c r="Y7684">
        <v>8.9086670000000007E-2</v>
      </c>
      <c r="Z7684">
        <v>-2.666727E-2</v>
      </c>
      <c r="AA7684">
        <v>0.99566679999999996</v>
      </c>
      <c r="AB7684">
        <v>6</v>
      </c>
      <c r="AC7684">
        <v>0.62719999999998699</v>
      </c>
      <c r="AD7684">
        <v>-0.16889280000000001</v>
      </c>
      <c r="AE7684">
        <v>-2.2899999999992801E-2</v>
      </c>
      <c r="AF7684">
        <v>5.9593125789829303E-2</v>
      </c>
      <c r="AG7684">
        <v>-0.16889280000000001</v>
      </c>
      <c r="AH7684">
        <v>0.58219562693157301</v>
      </c>
      <c r="AI7684">
        <v>106.097527067287</v>
      </c>
      <c r="AJ7684">
        <v>84.155599901148904</v>
      </c>
      <c r="AK7684">
        <v>0.60912056815665705</v>
      </c>
      <c r="AL7684">
        <v>83.224734426767199</v>
      </c>
      <c r="AM7684">
        <v>86.059148903242203</v>
      </c>
      <c r="AN7684">
        <v>1.0000000265186</v>
      </c>
    </row>
    <row r="7685" spans="1:40" x14ac:dyDescent="0.25">
      <c r="A7685" t="str">
        <f>"20190312172558187"</f>
        <v>20190312172558187</v>
      </c>
      <c r="B7685" t="str">
        <f>"1552382758177745"</f>
        <v>1552382758177745</v>
      </c>
      <c r="C7685" t="s">
        <v>40</v>
      </c>
      <c r="D7685">
        <v>3.8900679999999999</v>
      </c>
      <c r="E7685">
        <v>0.50932809999999995</v>
      </c>
      <c r="F7685" t="s">
        <v>41</v>
      </c>
      <c r="G7685">
        <v>-143.61109999999999</v>
      </c>
      <c r="H7685">
        <v>0.93330219999999997</v>
      </c>
      <c r="I7685">
        <v>137.96549999999999</v>
      </c>
      <c r="J7685">
        <v>-144.27969999999999</v>
      </c>
      <c r="K7685">
        <v>1.112395</v>
      </c>
      <c r="L7685">
        <v>137.99010000000001</v>
      </c>
      <c r="M7685">
        <v>0.99743700000000002</v>
      </c>
      <c r="N7685">
        <v>0</v>
      </c>
      <c r="O7685">
        <v>6.5043229999999994E-2</v>
      </c>
      <c r="P7685">
        <v>0.9961139</v>
      </c>
      <c r="Q7685">
        <v>8.8014839999999997E-2</v>
      </c>
      <c r="R7685">
        <v>-3.2585029999999998E-3</v>
      </c>
      <c r="S7685">
        <v>3.078522</v>
      </c>
      <c r="T7685">
        <v>-0.76078020000000002</v>
      </c>
      <c r="U7685">
        <v>-9.0499880000000005E-2</v>
      </c>
      <c r="V7685">
        <v>6.8095450000000002E-2</v>
      </c>
      <c r="W7685">
        <v>0.11759269999999999</v>
      </c>
      <c r="X7685">
        <v>0.99072439999999995</v>
      </c>
      <c r="Y7685">
        <v>8.9713680000000004E-2</v>
      </c>
      <c r="Z7685">
        <v>-2.675334E-2</v>
      </c>
      <c r="AA7685">
        <v>0.99560820000000005</v>
      </c>
      <c r="AB7685">
        <v>6</v>
      </c>
      <c r="AC7685">
        <v>0.66859999999999697</v>
      </c>
      <c r="AD7685">
        <v>-0.1790928</v>
      </c>
      <c r="AE7685">
        <v>-2.46000000000208E-2</v>
      </c>
      <c r="AF7685">
        <v>6.35047797298737E-2</v>
      </c>
      <c r="AG7685">
        <v>-0.1790928</v>
      </c>
      <c r="AH7685">
        <v>0.62107977494309397</v>
      </c>
      <c r="AI7685">
        <v>106.006147796609</v>
      </c>
      <c r="AJ7685">
        <v>84.161853655865201</v>
      </c>
      <c r="AK7685">
        <v>0.64949763271604299</v>
      </c>
      <c r="AL7685">
        <v>83.246808830154606</v>
      </c>
      <c r="AM7685">
        <v>86.068073761264102</v>
      </c>
      <c r="AN7685">
        <v>0.999999935079674</v>
      </c>
    </row>
    <row r="7686" spans="1:40" x14ac:dyDescent="0.25">
      <c r="A7686" t="str">
        <f>"20190312172558209"</f>
        <v>20190312172558209</v>
      </c>
      <c r="B7686" t="str">
        <f>"1552382758198241"</f>
        <v>1552382758198241</v>
      </c>
      <c r="C7686" t="s">
        <v>40</v>
      </c>
      <c r="D7686">
        <v>3.854816</v>
      </c>
      <c r="E7686">
        <v>0.50712769999999996</v>
      </c>
      <c r="F7686" t="s">
        <v>41</v>
      </c>
      <c r="G7686">
        <v>-143.56219999999999</v>
      </c>
      <c r="H7686">
        <v>0.93568439999999997</v>
      </c>
      <c r="I7686">
        <v>137.96899999999999</v>
      </c>
      <c r="J7686">
        <v>-144.22579999999999</v>
      </c>
      <c r="K7686">
        <v>1.112374</v>
      </c>
      <c r="L7686">
        <v>137.9931</v>
      </c>
      <c r="M7686">
        <v>0.99746460000000003</v>
      </c>
      <c r="N7686">
        <v>0</v>
      </c>
      <c r="O7686">
        <v>6.4683009999999999E-2</v>
      </c>
      <c r="P7686">
        <v>0.9961082</v>
      </c>
      <c r="Q7686">
        <v>8.8078169999999997E-2</v>
      </c>
      <c r="R7686">
        <v>-3.3198960000000001E-3</v>
      </c>
      <c r="S7686">
        <v>3.0783999999999998</v>
      </c>
      <c r="T7686">
        <v>-0.75810379999999999</v>
      </c>
      <c r="U7686">
        <v>-9.0194700000000003E-2</v>
      </c>
      <c r="V7686">
        <v>6.7788189999999998E-2</v>
      </c>
      <c r="W7686">
        <v>0.1175235</v>
      </c>
      <c r="X7686">
        <v>0.99075380000000002</v>
      </c>
      <c r="Y7686">
        <v>8.9311000000000001E-2</v>
      </c>
      <c r="Z7686">
        <v>-2.6526770000000002E-2</v>
      </c>
      <c r="AA7686">
        <v>0.99565049999999999</v>
      </c>
      <c r="AB7686">
        <v>6</v>
      </c>
      <c r="AC7686">
        <v>0.66360000000000197</v>
      </c>
      <c r="AD7686">
        <v>-0.176689599999999</v>
      </c>
      <c r="AE7686">
        <v>-2.4100000000004201E-2</v>
      </c>
      <c r="AF7686">
        <v>6.2562574985726496E-2</v>
      </c>
      <c r="AG7686">
        <v>-0.176689599999999</v>
      </c>
      <c r="AH7686">
        <v>0.61696787513736495</v>
      </c>
      <c r="AI7686">
        <v>105.90345359691</v>
      </c>
      <c r="AJ7686">
        <v>84.209811202462106</v>
      </c>
      <c r="AK7686">
        <v>0.64481210401831002</v>
      </c>
      <c r="AL7686">
        <v>83.250802175380002</v>
      </c>
      <c r="AM7686">
        <v>86.085875899241998</v>
      </c>
      <c r="AN7686">
        <v>1.00000005198508</v>
      </c>
    </row>
    <row r="7687" spans="1:40" x14ac:dyDescent="0.25">
      <c r="A7687" t="str">
        <f>"20190312172558230"</f>
        <v>20190312172558230</v>
      </c>
      <c r="B7687" t="str">
        <f>"1552382758217761"</f>
        <v>1552382758217761</v>
      </c>
      <c r="C7687" t="s">
        <v>40</v>
      </c>
      <c r="D7687">
        <v>3.8740250000000001</v>
      </c>
      <c r="E7687">
        <v>0.50940229999999997</v>
      </c>
      <c r="F7687" t="s">
        <v>41</v>
      </c>
      <c r="G7687">
        <v>-143.5119</v>
      </c>
      <c r="H7687">
        <v>0.94779829999999998</v>
      </c>
      <c r="I7687">
        <v>137.97620000000001</v>
      </c>
      <c r="J7687">
        <v>-144.18190000000001</v>
      </c>
      <c r="K7687">
        <v>1.1124270000000001</v>
      </c>
      <c r="L7687">
        <v>137.9956</v>
      </c>
      <c r="M7687">
        <v>0.99748150000000002</v>
      </c>
      <c r="N7687">
        <v>0</v>
      </c>
      <c r="O7687">
        <v>6.4387189999999997E-2</v>
      </c>
      <c r="P7687">
        <v>0.99611709999999998</v>
      </c>
      <c r="Q7687">
        <v>8.7986659999999994E-2</v>
      </c>
      <c r="R7687">
        <v>-3.0634159999999998E-3</v>
      </c>
      <c r="S7687">
        <v>3.0741420000000002</v>
      </c>
      <c r="T7687">
        <v>-0.70866260000000003</v>
      </c>
      <c r="U7687">
        <v>-7.2631840000000003E-2</v>
      </c>
      <c r="V7687">
        <v>6.7229609999999995E-2</v>
      </c>
      <c r="W7687">
        <v>0.1175131</v>
      </c>
      <c r="X7687">
        <v>0.99079300000000003</v>
      </c>
      <c r="Y7687">
        <v>8.4076750000000006E-2</v>
      </c>
      <c r="Z7687">
        <v>-2.4214340000000001E-2</v>
      </c>
      <c r="AA7687">
        <v>0.99616499999999997</v>
      </c>
      <c r="AB7687">
        <v>5</v>
      </c>
      <c r="AC7687">
        <v>0.67000000000001503</v>
      </c>
      <c r="AD7687">
        <v>-0.16462869999999999</v>
      </c>
      <c r="AE7687">
        <v>-1.93999999999903E-2</v>
      </c>
      <c r="AF7687">
        <v>5.89613802801814E-2</v>
      </c>
      <c r="AG7687">
        <v>-0.16462869999999999</v>
      </c>
      <c r="AH7687">
        <v>0.62939082829689796</v>
      </c>
      <c r="AI7687">
        <v>104.59718691208801</v>
      </c>
      <c r="AJ7687">
        <v>84.648146459194095</v>
      </c>
      <c r="AK7687">
        <v>0.65323186386802101</v>
      </c>
      <c r="AL7687">
        <v>83.251401578759697</v>
      </c>
      <c r="AM7687">
        <v>86.118182685576201</v>
      </c>
      <c r="AN7687">
        <v>0.99999995899067995</v>
      </c>
    </row>
    <row r="7688" spans="1:40" x14ac:dyDescent="0.25">
      <c r="A7688" t="str">
        <f>"20190312172558252"</f>
        <v>20190312172558252</v>
      </c>
      <c r="B7688" t="str">
        <f>"1552382758248017"</f>
        <v>1552382758248017</v>
      </c>
      <c r="C7688" t="s">
        <v>40</v>
      </c>
      <c r="D7688">
        <v>3.8556520000000001</v>
      </c>
      <c r="E7688">
        <v>0.51088650000000002</v>
      </c>
      <c r="F7688" t="s">
        <v>41</v>
      </c>
      <c r="G7688">
        <v>-143.4727</v>
      </c>
      <c r="H7688">
        <v>0.94288340000000004</v>
      </c>
      <c r="I7688">
        <v>137.97450000000001</v>
      </c>
      <c r="J7688">
        <v>-144.13579999999999</v>
      </c>
      <c r="K7688">
        <v>1.1124540000000001</v>
      </c>
      <c r="L7688">
        <v>137.9982</v>
      </c>
      <c r="M7688">
        <v>0.99750110000000003</v>
      </c>
      <c r="N7688">
        <v>0</v>
      </c>
      <c r="O7688">
        <v>6.4078330000000003E-2</v>
      </c>
      <c r="P7688">
        <v>0.99620719999999996</v>
      </c>
      <c r="Q7688">
        <v>8.698641E-2</v>
      </c>
      <c r="R7688">
        <v>-2.1752249999999998E-3</v>
      </c>
      <c r="S7688">
        <v>3.0763850000000001</v>
      </c>
      <c r="T7688">
        <v>-0.73549180000000003</v>
      </c>
      <c r="U7688">
        <v>-9.0866089999999997E-2</v>
      </c>
      <c r="V7688">
        <v>6.6034780000000001E-2</v>
      </c>
      <c r="W7688">
        <v>0.1165305</v>
      </c>
      <c r="X7688">
        <v>0.99098940000000002</v>
      </c>
      <c r="Y7688">
        <v>8.9224199999999906E-2</v>
      </c>
      <c r="Z7688">
        <v>-2.5621250000000002E-2</v>
      </c>
      <c r="AA7688">
        <v>0.99568199999999996</v>
      </c>
      <c r="AB7688">
        <v>5</v>
      </c>
      <c r="AC7688">
        <v>0.66309999999998503</v>
      </c>
      <c r="AD7688">
        <v>-0.16957059999999999</v>
      </c>
      <c r="AE7688">
        <v>-2.3699999999990898E-2</v>
      </c>
      <c r="AF7688">
        <v>6.2104301024806602E-2</v>
      </c>
      <c r="AG7688">
        <v>-0.16957059999999999</v>
      </c>
      <c r="AH7688">
        <v>0.61974061316348605</v>
      </c>
      <c r="AI7688">
        <v>105.22976266472899</v>
      </c>
      <c r="AJ7688">
        <v>84.277485506042396</v>
      </c>
      <c r="AK7688">
        <v>0.64551495737464804</v>
      </c>
      <c r="AL7688">
        <v>83.308089978018401</v>
      </c>
      <c r="AM7688">
        <v>86.187719918841594</v>
      </c>
      <c r="AN7688">
        <v>0.99999997025612797</v>
      </c>
    </row>
    <row r="7689" spans="1:40" x14ac:dyDescent="0.25">
      <c r="A7689" t="str">
        <f>"20190312172558275"</f>
        <v>20190312172558275</v>
      </c>
      <c r="B7689" t="str">
        <f>"1552382758267537"</f>
        <v>1552382758267537</v>
      </c>
      <c r="C7689" t="s">
        <v>40</v>
      </c>
      <c r="D7689">
        <v>3.8584749999999999</v>
      </c>
      <c r="E7689">
        <v>0.51143430000000001</v>
      </c>
      <c r="F7689" t="s">
        <v>41</v>
      </c>
      <c r="G7689">
        <v>-143.43539999999999</v>
      </c>
      <c r="H7689">
        <v>0.93909670000000001</v>
      </c>
      <c r="I7689">
        <v>137.97499999999999</v>
      </c>
      <c r="J7689">
        <v>-144.0943</v>
      </c>
      <c r="K7689">
        <v>1.112417</v>
      </c>
      <c r="L7689">
        <v>138.00049999999999</v>
      </c>
      <c r="M7689">
        <v>0.99752249999999998</v>
      </c>
      <c r="N7689">
        <v>0</v>
      </c>
      <c r="O7689">
        <v>6.3814220000000005E-2</v>
      </c>
      <c r="P7689">
        <v>0.99632860000000001</v>
      </c>
      <c r="Q7689">
        <v>8.5597489999999998E-2</v>
      </c>
      <c r="R7689">
        <v>-1.599056E-3</v>
      </c>
      <c r="S7689">
        <v>3.0776979999999998</v>
      </c>
      <c r="T7689">
        <v>-0.76177419999999996</v>
      </c>
      <c r="U7689">
        <v>-0.101532</v>
      </c>
      <c r="V7689">
        <v>6.5202209999999997E-2</v>
      </c>
      <c r="W7689">
        <v>0.114995</v>
      </c>
      <c r="X7689">
        <v>0.99122390000000005</v>
      </c>
      <c r="Y7689">
        <v>9.2013259999999999E-2</v>
      </c>
      <c r="Z7689">
        <v>-2.6774030000000001E-2</v>
      </c>
      <c r="AA7689">
        <v>0.99539770000000005</v>
      </c>
      <c r="AB7689">
        <v>5</v>
      </c>
      <c r="AC7689">
        <v>0.65890000000001603</v>
      </c>
      <c r="AD7689">
        <v>-0.17332030000000001</v>
      </c>
      <c r="AE7689">
        <v>-2.5499999999993798E-2</v>
      </c>
      <c r="AF7689">
        <v>6.3150590456202596E-2</v>
      </c>
      <c r="AG7689">
        <v>-0.17332030000000001</v>
      </c>
      <c r="AH7689">
        <v>0.61353898264970397</v>
      </c>
      <c r="AI7689">
        <v>105.695793784199</v>
      </c>
      <c r="AJ7689">
        <v>84.123331327907806</v>
      </c>
      <c r="AK7689">
        <v>0.64066996706408197</v>
      </c>
      <c r="AL7689">
        <v>83.396663337268805</v>
      </c>
      <c r="AM7689">
        <v>86.236534268369994</v>
      </c>
      <c r="AN7689">
        <v>0.999999999072547</v>
      </c>
    </row>
    <row r="7690" spans="1:40" x14ac:dyDescent="0.25">
      <c r="A7690" t="str">
        <f>"20190312172558297"</f>
        <v>20190312172558297</v>
      </c>
      <c r="B7690" t="str">
        <f>"1552382758288034"</f>
        <v>1552382758288034</v>
      </c>
      <c r="C7690" t="s">
        <v>40</v>
      </c>
      <c r="D7690">
        <v>3.8540489999999998</v>
      </c>
      <c r="E7690">
        <v>0.51167549999999995</v>
      </c>
      <c r="F7690" t="s">
        <v>41</v>
      </c>
      <c r="G7690">
        <v>-143.399</v>
      </c>
      <c r="H7690">
        <v>0.93806869999999998</v>
      </c>
      <c r="I7690">
        <v>137.97659999999999</v>
      </c>
      <c r="J7690">
        <v>-144.0547</v>
      </c>
      <c r="K7690">
        <v>1.1123749999999999</v>
      </c>
      <c r="L7690">
        <v>138.00280000000001</v>
      </c>
      <c r="M7690">
        <v>0.99754350000000003</v>
      </c>
      <c r="N7690">
        <v>0</v>
      </c>
      <c r="O7690">
        <v>6.3572630000000005E-2</v>
      </c>
      <c r="P7690">
        <v>0.99641380000000002</v>
      </c>
      <c r="Q7690">
        <v>8.4607959999999996E-2</v>
      </c>
      <c r="R7690">
        <v>-9.8641450000000008E-4</v>
      </c>
      <c r="S7690">
        <v>3.0771790000000001</v>
      </c>
      <c r="T7690">
        <v>-0.77155980000000002</v>
      </c>
      <c r="U7690">
        <v>-0.1053162</v>
      </c>
      <c r="V7690">
        <v>6.4354640000000005E-2</v>
      </c>
      <c r="W7690">
        <v>0.11382680000000001</v>
      </c>
      <c r="X7690">
        <v>0.99141409999999996</v>
      </c>
      <c r="Y7690">
        <v>9.2860250000000005E-2</v>
      </c>
      <c r="Z7690">
        <v>-2.7156610000000001E-2</v>
      </c>
      <c r="AA7690">
        <v>0.99530879999999999</v>
      </c>
      <c r="AB7690">
        <v>4</v>
      </c>
      <c r="AC7690">
        <v>0.65569999999999595</v>
      </c>
      <c r="AD7690">
        <v>-0.174306299999999</v>
      </c>
      <c r="AE7690">
        <v>-2.6200000000017099E-2</v>
      </c>
      <c r="AF7690">
        <v>6.3377996202775802E-2</v>
      </c>
      <c r="AG7690">
        <v>-0.174306299999999</v>
      </c>
      <c r="AH7690">
        <v>0.60968998676232899</v>
      </c>
      <c r="AI7690">
        <v>105.87368865635</v>
      </c>
      <c r="AJ7690">
        <v>84.0653509179281</v>
      </c>
      <c r="AK7690">
        <v>0.63727649931612695</v>
      </c>
      <c r="AL7690">
        <v>83.464038623420606</v>
      </c>
      <c r="AM7690">
        <v>86.286028716068998</v>
      </c>
      <c r="AN7690">
        <v>0.999999988883289</v>
      </c>
    </row>
    <row r="7691" spans="1:40" x14ac:dyDescent="0.25">
      <c r="A7691" t="str">
        <f>"20190312172558319"</f>
        <v>20190312172558319</v>
      </c>
      <c r="B7691" t="str">
        <f>"1552382758307553"</f>
        <v>1552382758307553</v>
      </c>
      <c r="C7691" t="s">
        <v>40</v>
      </c>
      <c r="D7691">
        <v>3.8874550000000001</v>
      </c>
      <c r="E7691">
        <v>0.51177859999999997</v>
      </c>
      <c r="F7691" t="s">
        <v>41</v>
      </c>
      <c r="G7691">
        <v>-143.3647</v>
      </c>
      <c r="H7691">
        <v>0.93782969999999999</v>
      </c>
      <c r="I7691">
        <v>137.97890000000001</v>
      </c>
      <c r="J7691">
        <v>-144.01939999999999</v>
      </c>
      <c r="K7691">
        <v>1.1123689999999999</v>
      </c>
      <c r="L7691">
        <v>138.00479999999999</v>
      </c>
      <c r="M7691">
        <v>0.99756040000000001</v>
      </c>
      <c r="N7691">
        <v>0</v>
      </c>
      <c r="O7691">
        <v>6.3354049999999995E-2</v>
      </c>
      <c r="P7691">
        <v>0.99644549999999998</v>
      </c>
      <c r="Q7691">
        <v>8.4237950000000006E-2</v>
      </c>
      <c r="R7691">
        <v>-4.9726930000000005E-4</v>
      </c>
      <c r="S7691">
        <v>3.0767820000000001</v>
      </c>
      <c r="T7691">
        <v>-0.77834709999999996</v>
      </c>
      <c r="U7691">
        <v>-0.1063843</v>
      </c>
      <c r="V7691">
        <v>6.3649010000000006E-2</v>
      </c>
      <c r="W7691">
        <v>0.11335729999999999</v>
      </c>
      <c r="X7691">
        <v>0.99151339999999999</v>
      </c>
      <c r="Y7691">
        <v>9.2911369999999993E-2</v>
      </c>
      <c r="Z7691">
        <v>-2.7343470000000002E-2</v>
      </c>
      <c r="AA7691">
        <v>0.99529889999999999</v>
      </c>
      <c r="AB7691">
        <v>4</v>
      </c>
      <c r="AC7691">
        <v>0.65469999999999096</v>
      </c>
      <c r="AD7691">
        <v>-0.17453930000000001</v>
      </c>
      <c r="AE7691">
        <v>-2.58999999999787E-2</v>
      </c>
      <c r="AF7691">
        <v>6.2881494823550002E-2</v>
      </c>
      <c r="AG7691">
        <v>-0.17453930000000001</v>
      </c>
      <c r="AH7691">
        <v>0.60855790741958504</v>
      </c>
      <c r="AI7691">
        <v>105.922870219515</v>
      </c>
      <c r="AJ7691">
        <v>84.100637863873004</v>
      </c>
      <c r="AK7691">
        <v>0.63620812343024802</v>
      </c>
      <c r="AL7691">
        <v>83.491113973815303</v>
      </c>
      <c r="AM7691">
        <v>86.327006101995806</v>
      </c>
      <c r="AN7691">
        <v>0.99999994815841298</v>
      </c>
    </row>
    <row r="7692" spans="1:40" x14ac:dyDescent="0.25">
      <c r="A7692" t="str">
        <f>"20190312172558342"</f>
        <v>20190312172558342</v>
      </c>
      <c r="B7692" t="str">
        <f>"1552382758337812"</f>
        <v>1552382758337812</v>
      </c>
      <c r="C7692" t="s">
        <v>40</v>
      </c>
      <c r="D7692">
        <v>3.8810259999999999</v>
      </c>
      <c r="E7692">
        <v>0.51201300000000005</v>
      </c>
      <c r="F7692" t="s">
        <v>41</v>
      </c>
      <c r="G7692">
        <v>-143.333</v>
      </c>
      <c r="H7692">
        <v>0.93785940000000001</v>
      </c>
      <c r="I7692">
        <v>137.98079999999999</v>
      </c>
      <c r="J7692">
        <v>-143.9863</v>
      </c>
      <c r="K7692">
        <v>1.112384</v>
      </c>
      <c r="L7692">
        <v>138.00659999999999</v>
      </c>
      <c r="M7692">
        <v>0.99757549999999995</v>
      </c>
      <c r="N7692">
        <v>0</v>
      </c>
      <c r="O7692">
        <v>6.3138749999999993E-2</v>
      </c>
      <c r="P7692">
        <v>0.99651630000000002</v>
      </c>
      <c r="Q7692">
        <v>8.3398600000000003E-2</v>
      </c>
      <c r="R7692">
        <v>-3.957713E-4</v>
      </c>
      <c r="S7692">
        <v>3.0767820000000001</v>
      </c>
      <c r="T7692">
        <v>-0.78218869999999996</v>
      </c>
      <c r="U7692">
        <v>-0.10664369999999999</v>
      </c>
      <c r="V7692">
        <v>6.3335820000000001E-2</v>
      </c>
      <c r="W7692">
        <v>0.1124756</v>
      </c>
      <c r="X7692">
        <v>0.99163389999999996</v>
      </c>
      <c r="Y7692">
        <v>9.274454E-2</v>
      </c>
      <c r="Z7692">
        <v>-2.7399529999999998E-2</v>
      </c>
      <c r="AA7692">
        <v>0.99531289999999994</v>
      </c>
      <c r="AB7692">
        <v>4</v>
      </c>
      <c r="AC7692">
        <v>0.65330000000000099</v>
      </c>
      <c r="AD7692">
        <v>-0.174524599999999</v>
      </c>
      <c r="AE7692">
        <v>-2.5800000000003799E-2</v>
      </c>
      <c r="AF7692">
        <v>6.2557229759371502E-2</v>
      </c>
      <c r="AG7692">
        <v>-0.174524599999999</v>
      </c>
      <c r="AH7692">
        <v>0.60710673589665798</v>
      </c>
      <c r="AI7692">
        <v>105.95816298739101</v>
      </c>
      <c r="AJ7692">
        <v>84.116915778323104</v>
      </c>
      <c r="AK7692">
        <v>0.63478408279620702</v>
      </c>
      <c r="AL7692">
        <v>83.541957099102802</v>
      </c>
      <c r="AM7692">
        <v>86.345473184206</v>
      </c>
      <c r="AN7692">
        <v>0.99999998915982102</v>
      </c>
    </row>
    <row r="7693" spans="1:40" x14ac:dyDescent="0.25">
      <c r="A7693" t="str">
        <f>"20190312172558365"</f>
        <v>20190312172558365</v>
      </c>
      <c r="B7693" t="str">
        <f>"1552382758358306"</f>
        <v>1552382758358306</v>
      </c>
      <c r="C7693" t="s">
        <v>40</v>
      </c>
      <c r="D7693">
        <v>3.8720569999999999</v>
      </c>
      <c r="E7693">
        <v>0.51221700000000003</v>
      </c>
      <c r="F7693" t="s">
        <v>41</v>
      </c>
      <c r="G7693">
        <v>-143.28030000000001</v>
      </c>
      <c r="H7693">
        <v>0.93197249999999998</v>
      </c>
      <c r="I7693">
        <v>137.98159999999999</v>
      </c>
      <c r="J7693">
        <v>-143.9564</v>
      </c>
      <c r="K7693">
        <v>1.112393</v>
      </c>
      <c r="L7693">
        <v>138.00829999999999</v>
      </c>
      <c r="M7693">
        <v>0.99758950000000002</v>
      </c>
      <c r="N7693">
        <v>0</v>
      </c>
      <c r="O7693">
        <v>6.2939350000000005E-2</v>
      </c>
      <c r="P7693">
        <v>0.99664960000000002</v>
      </c>
      <c r="Q7693">
        <v>8.1788940000000004E-2</v>
      </c>
      <c r="R7693">
        <v>-7.7062029999999996E-4</v>
      </c>
      <c r="S7693">
        <v>3.0762330000000002</v>
      </c>
      <c r="T7693">
        <v>-0.78614830000000002</v>
      </c>
      <c r="U7693">
        <v>-0.1084442</v>
      </c>
      <c r="V7693">
        <v>6.3518669999999999E-2</v>
      </c>
      <c r="W7693">
        <v>0.1108275</v>
      </c>
      <c r="X7693">
        <v>0.99180780000000002</v>
      </c>
      <c r="Y7693">
        <v>9.3078040000000001E-2</v>
      </c>
      <c r="Z7693">
        <v>-2.7530280000000001E-2</v>
      </c>
      <c r="AA7693">
        <v>0.99527810000000005</v>
      </c>
      <c r="AB7693">
        <v>3</v>
      </c>
      <c r="AC7693">
        <v>0.67609999999999004</v>
      </c>
      <c r="AD7693">
        <v>-0.18042050000000001</v>
      </c>
      <c r="AE7693">
        <v>-2.6700000000005199E-2</v>
      </c>
      <c r="AF7693">
        <v>6.4623708020658102E-2</v>
      </c>
      <c r="AG7693">
        <v>-0.18042050000000001</v>
      </c>
      <c r="AH7693">
        <v>0.628397746458355</v>
      </c>
      <c r="AI7693">
        <v>105.939641645671</v>
      </c>
      <c r="AJ7693">
        <v>84.1284082716071</v>
      </c>
      <c r="AK7693">
        <v>0.65697146681764496</v>
      </c>
      <c r="AL7693">
        <v>83.636980714275893</v>
      </c>
      <c r="AM7693">
        <v>86.3355921760173</v>
      </c>
      <c r="AN7693">
        <v>1.0000000341678199</v>
      </c>
    </row>
    <row r="7694" spans="1:40" x14ac:dyDescent="0.25">
      <c r="A7694" t="str">
        <f>"20190312172558387"</f>
        <v>20190312172558387</v>
      </c>
      <c r="B7694" t="str">
        <f>"1552382758378367"</f>
        <v>1552382758378367</v>
      </c>
      <c r="C7694" t="s">
        <v>40</v>
      </c>
      <c r="D7694">
        <v>3.8599640000000002</v>
      </c>
      <c r="E7694">
        <v>0.51240059999999998</v>
      </c>
      <c r="F7694" t="s">
        <v>41</v>
      </c>
      <c r="G7694">
        <v>-143.25640000000001</v>
      </c>
      <c r="H7694">
        <v>0.93204219999999904</v>
      </c>
      <c r="I7694">
        <v>137.983</v>
      </c>
      <c r="J7694">
        <v>-143.9306</v>
      </c>
      <c r="K7694">
        <v>1.112392</v>
      </c>
      <c r="L7694">
        <v>138.00970000000001</v>
      </c>
      <c r="M7694">
        <v>0.99760159999999998</v>
      </c>
      <c r="N7694">
        <v>0</v>
      </c>
      <c r="O7694">
        <v>6.2768299999999999E-2</v>
      </c>
      <c r="P7694">
        <v>0.99676509999999996</v>
      </c>
      <c r="Q7694">
        <v>8.0360989999999993E-2</v>
      </c>
      <c r="R7694">
        <v>-1.2702950000000001E-3</v>
      </c>
      <c r="S7694">
        <v>3.0749970000000002</v>
      </c>
      <c r="T7694">
        <v>-0.79218129999999998</v>
      </c>
      <c r="U7694">
        <v>-0.11067200000000001</v>
      </c>
      <c r="V7694">
        <v>6.3854229999999998E-2</v>
      </c>
      <c r="W7694">
        <v>0.1093541</v>
      </c>
      <c r="X7694">
        <v>0.99194970000000005</v>
      </c>
      <c r="Y7694">
        <v>9.3551780000000001E-2</v>
      </c>
      <c r="Z7694">
        <v>-2.7762120000000001E-2</v>
      </c>
      <c r="AA7694">
        <v>0.99522730000000004</v>
      </c>
      <c r="AB7694">
        <v>3</v>
      </c>
      <c r="AC7694">
        <v>0.67419999999998403</v>
      </c>
      <c r="AD7694">
        <v>-0.1803498</v>
      </c>
      <c r="AE7694">
        <v>-2.6700000000005199E-2</v>
      </c>
      <c r="AF7694">
        <v>6.4383800463587895E-2</v>
      </c>
      <c r="AG7694">
        <v>-0.1803498</v>
      </c>
      <c r="AH7694">
        <v>0.62643687503388201</v>
      </c>
      <c r="AI7694">
        <v>105.981139346516</v>
      </c>
      <c r="AJ7694">
        <v>84.131870481592301</v>
      </c>
      <c r="AK7694">
        <v>0.65505303794760805</v>
      </c>
      <c r="AL7694">
        <v>83.721916036245702</v>
      </c>
      <c r="AM7694">
        <v>86.316812310043403</v>
      </c>
      <c r="AN7694">
        <v>0.99999994460289499</v>
      </c>
    </row>
    <row r="7695" spans="1:40" x14ac:dyDescent="0.25">
      <c r="A7695" t="str">
        <f>"20190312172558409"</f>
        <v>20190312172558409</v>
      </c>
      <c r="B7695" t="str">
        <f>"1552382758397887"</f>
        <v>1552382758397887</v>
      </c>
      <c r="C7695" t="s">
        <v>40</v>
      </c>
      <c r="D7695">
        <v>3.855998</v>
      </c>
      <c r="E7695">
        <v>0.5125807</v>
      </c>
      <c r="F7695" t="s">
        <v>41</v>
      </c>
      <c r="G7695">
        <v>-143.23500000000001</v>
      </c>
      <c r="H7695">
        <v>0.93199189999999998</v>
      </c>
      <c r="I7695">
        <v>137.98400000000001</v>
      </c>
      <c r="J7695">
        <v>-143.90780000000001</v>
      </c>
      <c r="K7695">
        <v>1.1123970000000001</v>
      </c>
      <c r="L7695">
        <v>138.01089999999999</v>
      </c>
      <c r="M7695">
        <v>0.99761219999999995</v>
      </c>
      <c r="N7695">
        <v>0</v>
      </c>
      <c r="O7695">
        <v>6.2616480000000002E-2</v>
      </c>
      <c r="P7695">
        <v>0.99682269999999995</v>
      </c>
      <c r="Q7695">
        <v>7.9613580000000003E-2</v>
      </c>
      <c r="R7695">
        <v>-2.489369E-3</v>
      </c>
      <c r="S7695">
        <v>3.073868</v>
      </c>
      <c r="T7695">
        <v>-0.79719879999999999</v>
      </c>
      <c r="U7695">
        <v>-0.11286930000000001</v>
      </c>
      <c r="V7695">
        <v>6.4922880000000002E-2</v>
      </c>
      <c r="W7695">
        <v>0.1085696</v>
      </c>
      <c r="X7695">
        <v>0.99196649999999997</v>
      </c>
      <c r="Y7695">
        <v>9.4045229999999994E-2</v>
      </c>
      <c r="Z7695">
        <v>-2.7966230000000002E-2</v>
      </c>
      <c r="AA7695">
        <v>0.99517509999999998</v>
      </c>
      <c r="AB7695">
        <v>3</v>
      </c>
      <c r="AC7695">
        <v>0.67279999999999496</v>
      </c>
      <c r="AD7695">
        <v>-0.18040509999999901</v>
      </c>
      <c r="AE7695">
        <v>-2.6899999999983399E-2</v>
      </c>
      <c r="AF7695">
        <v>6.4372473039536998E-2</v>
      </c>
      <c r="AG7695">
        <v>-0.18040509999999901</v>
      </c>
      <c r="AH7695">
        <v>0.62493289046726497</v>
      </c>
      <c r="AI7695">
        <v>106.02193410907</v>
      </c>
      <c r="AJ7695">
        <v>84.118874575114603</v>
      </c>
      <c r="AK7695">
        <v>0.65362904845103498</v>
      </c>
      <c r="AL7695">
        <v>83.767133765847902</v>
      </c>
      <c r="AM7695">
        <v>86.255408495634896</v>
      </c>
      <c r="AN7695">
        <v>0.99999993775694995</v>
      </c>
    </row>
    <row r="7696" spans="1:40" x14ac:dyDescent="0.25">
      <c r="A7696" t="str">
        <f>"20190312172558432"</f>
        <v>20190312172558432</v>
      </c>
      <c r="B7696" t="str">
        <f>"1552382758428143"</f>
        <v>1552382758428143</v>
      </c>
      <c r="C7696" t="s">
        <v>40</v>
      </c>
      <c r="D7696">
        <v>3.8948619999999998</v>
      </c>
      <c r="E7696">
        <v>0.51267399999999996</v>
      </c>
      <c r="F7696" t="s">
        <v>41</v>
      </c>
      <c r="G7696">
        <v>-143.21610000000001</v>
      </c>
      <c r="H7696">
        <v>0.93242069999999999</v>
      </c>
      <c r="I7696">
        <v>137.9847</v>
      </c>
      <c r="J7696">
        <v>-143.88839999999999</v>
      </c>
      <c r="K7696">
        <v>1.1124080000000001</v>
      </c>
      <c r="L7696">
        <v>138.012</v>
      </c>
      <c r="M7696">
        <v>0.99762090000000003</v>
      </c>
      <c r="N7696">
        <v>0</v>
      </c>
      <c r="O7696">
        <v>6.2484360000000003E-2</v>
      </c>
      <c r="P7696">
        <v>0.99690409999999996</v>
      </c>
      <c r="Q7696">
        <v>7.8554150000000003E-2</v>
      </c>
      <c r="R7696">
        <v>-3.4219530000000001E-3</v>
      </c>
      <c r="S7696">
        <v>3.0731510000000002</v>
      </c>
      <c r="T7696">
        <v>-0.79959769999999997</v>
      </c>
      <c r="U7696">
        <v>-0.11645510000000001</v>
      </c>
      <c r="V7696">
        <v>6.5725770000000003E-2</v>
      </c>
      <c r="W7696">
        <v>0.1074997</v>
      </c>
      <c r="X7696">
        <v>0.99203019999999997</v>
      </c>
      <c r="Y7696">
        <v>9.5020540000000001E-2</v>
      </c>
      <c r="Z7696">
        <v>-2.8144550000000001E-2</v>
      </c>
      <c r="AA7696">
        <v>0.9950774</v>
      </c>
      <c r="AB7696">
        <v>2</v>
      </c>
      <c r="AC7696">
        <v>0.67229999999997803</v>
      </c>
      <c r="AD7696">
        <v>-0.17998729999999999</v>
      </c>
      <c r="AE7696">
        <v>-2.7299999999996698E-2</v>
      </c>
      <c r="AF7696">
        <v>6.4646845870764094E-2</v>
      </c>
      <c r="AG7696">
        <v>-0.17998729999999999</v>
      </c>
      <c r="AH7696">
        <v>0.62458615706533405</v>
      </c>
      <c r="AI7696">
        <v>105.99437824581899</v>
      </c>
      <c r="AJ7696">
        <v>84.090728971237397</v>
      </c>
      <c r="AK7696">
        <v>0.65320939249215504</v>
      </c>
      <c r="AL7696">
        <v>83.828795748822998</v>
      </c>
      <c r="AM7696">
        <v>86.209476683552197</v>
      </c>
      <c r="AN7696">
        <v>0.99999999002711104</v>
      </c>
    </row>
    <row r="7697" spans="1:40" x14ac:dyDescent="0.25">
      <c r="A7697" t="str">
        <f>"20190312172558453"</f>
        <v>20190312172558453</v>
      </c>
      <c r="B7697" t="str">
        <f>"1552382758447666"</f>
        <v>1552382758447666</v>
      </c>
      <c r="C7697" t="s">
        <v>40</v>
      </c>
      <c r="D7697">
        <v>3.8502869999999998</v>
      </c>
      <c r="E7697">
        <v>0.51273179999999996</v>
      </c>
      <c r="F7697" t="s">
        <v>41</v>
      </c>
      <c r="G7697">
        <v>-143.20009999999999</v>
      </c>
      <c r="H7697">
        <v>0.93244170000000004</v>
      </c>
      <c r="I7697">
        <v>137.9853</v>
      </c>
      <c r="J7697">
        <v>-143.87209999999999</v>
      </c>
      <c r="K7697">
        <v>1.1124229999999999</v>
      </c>
      <c r="L7697">
        <v>138.0129</v>
      </c>
      <c r="M7697">
        <v>0.99762799999999996</v>
      </c>
      <c r="N7697">
        <v>0</v>
      </c>
      <c r="O7697">
        <v>6.2371860000000001E-2</v>
      </c>
      <c r="P7697">
        <v>0.99700639999999996</v>
      </c>
      <c r="Q7697">
        <v>7.720341E-2</v>
      </c>
      <c r="R7697">
        <v>-4.2745580000000004E-3</v>
      </c>
      <c r="S7697">
        <v>3.0722049999999999</v>
      </c>
      <c r="T7697">
        <v>-0.80321009999999904</v>
      </c>
      <c r="U7697">
        <v>-0.1187286</v>
      </c>
      <c r="V7697">
        <v>6.6469379999999995E-2</v>
      </c>
      <c r="W7697">
        <v>0.10614990000000001</v>
      </c>
      <c r="X7697">
        <v>0.99212599999999995</v>
      </c>
      <c r="Y7697">
        <v>9.5590149999999999E-2</v>
      </c>
      <c r="Z7697">
        <v>-2.8320020000000001E-2</v>
      </c>
      <c r="AA7697">
        <v>0.99501779999999995</v>
      </c>
      <c r="AB7697">
        <v>2</v>
      </c>
      <c r="AC7697">
        <v>0.67199999999999704</v>
      </c>
      <c r="AD7697">
        <v>-0.17998129999999901</v>
      </c>
      <c r="AE7697">
        <v>-2.7600000000006699E-2</v>
      </c>
      <c r="AF7697">
        <v>6.4834948269456905E-2</v>
      </c>
      <c r="AG7697">
        <v>-0.17998129999999901</v>
      </c>
      <c r="AH7697">
        <v>0.62426368638125695</v>
      </c>
      <c r="AI7697">
        <v>106.001158766513</v>
      </c>
      <c r="AJ7697">
        <v>84.070617495153897</v>
      </c>
      <c r="AK7697">
        <v>0.652918056880884</v>
      </c>
      <c r="AL7697">
        <v>83.906578682491698</v>
      </c>
      <c r="AM7697">
        <v>86.167087542779299</v>
      </c>
      <c r="AN7697">
        <v>0.99999998981179705</v>
      </c>
    </row>
    <row r="7698" spans="1:40" x14ac:dyDescent="0.25">
      <c r="A7698" t="str">
        <f>"20190312172558475"</f>
        <v>20190312172558475</v>
      </c>
      <c r="B7698" t="str">
        <f>"1552382758468008"</f>
        <v>1552382758468008</v>
      </c>
      <c r="C7698" t="s">
        <v>40</v>
      </c>
      <c r="D7698">
        <v>3.8526210000000001</v>
      </c>
      <c r="E7698">
        <v>0.51280990000000004</v>
      </c>
      <c r="F7698" t="s">
        <v>41</v>
      </c>
      <c r="G7698">
        <v>-143.1866</v>
      </c>
      <c r="H7698">
        <v>0.93232859999999995</v>
      </c>
      <c r="I7698">
        <v>137.9853</v>
      </c>
      <c r="J7698">
        <v>-143.8588</v>
      </c>
      <c r="K7698">
        <v>1.1124229999999999</v>
      </c>
      <c r="L7698">
        <v>138.0136</v>
      </c>
      <c r="M7698">
        <v>0.99763520000000006</v>
      </c>
      <c r="N7698">
        <v>0</v>
      </c>
      <c r="O7698">
        <v>6.2282669999999998E-2</v>
      </c>
      <c r="P7698">
        <v>0.99701510000000004</v>
      </c>
      <c r="Q7698">
        <v>7.7082410000000004E-2</v>
      </c>
      <c r="R7698">
        <v>-4.4055120000000003E-3</v>
      </c>
      <c r="S7698">
        <v>3.0709379999999999</v>
      </c>
      <c r="T7698">
        <v>-0.80684979999999995</v>
      </c>
      <c r="U7698">
        <v>-0.12323000000000001</v>
      </c>
      <c r="V7698">
        <v>6.651029E-2</v>
      </c>
      <c r="W7698">
        <v>0.1059707</v>
      </c>
      <c r="X7698">
        <v>0.99214239999999998</v>
      </c>
      <c r="Y7698">
        <v>9.6880889999999997E-2</v>
      </c>
      <c r="Z7698">
        <v>-2.8598510000000001E-2</v>
      </c>
      <c r="AA7698">
        <v>0.99488500000000002</v>
      </c>
      <c r="AB7698">
        <v>2</v>
      </c>
      <c r="AC7698">
        <v>0.67220000000000302</v>
      </c>
      <c r="AD7698">
        <v>-0.18009439999999999</v>
      </c>
      <c r="AE7698">
        <v>-2.8300000000001501E-2</v>
      </c>
      <c r="AF7698">
        <v>6.5440136983757002E-2</v>
      </c>
      <c r="AG7698">
        <v>-0.18009439999999999</v>
      </c>
      <c r="AH7698">
        <v>0.62439102455418505</v>
      </c>
      <c r="AI7698">
        <v>106.006114751509</v>
      </c>
      <c r="AJ7698">
        <v>84.016882267220197</v>
      </c>
      <c r="AK7698">
        <v>0.65313134665520201</v>
      </c>
      <c r="AL7698">
        <v>83.916904235013803</v>
      </c>
      <c r="AM7698">
        <v>86.164798740517099</v>
      </c>
      <c r="AN7698">
        <v>0.99999997490606596</v>
      </c>
    </row>
    <row r="7699" spans="1:40" x14ac:dyDescent="0.25">
      <c r="A7699" t="str">
        <f>"20190312172558498"</f>
        <v>20190312172558498</v>
      </c>
      <c r="B7699" t="str">
        <f>"1552382758487528"</f>
        <v>1552382758487528</v>
      </c>
      <c r="C7699" t="s">
        <v>40</v>
      </c>
      <c r="D7699">
        <v>3.8421479999999999</v>
      </c>
      <c r="E7699">
        <v>0.51291019999999998</v>
      </c>
      <c r="F7699" t="s">
        <v>41</v>
      </c>
      <c r="G7699">
        <v>-143.17519999999999</v>
      </c>
      <c r="H7699">
        <v>0.93291559999999996</v>
      </c>
      <c r="I7699">
        <v>137.9855</v>
      </c>
      <c r="J7699">
        <v>-143.84809999999999</v>
      </c>
      <c r="K7699">
        <v>1.1123860000000001</v>
      </c>
      <c r="L7699">
        <v>138.01419999999999</v>
      </c>
      <c r="M7699">
        <v>0.99764540000000002</v>
      </c>
      <c r="N7699">
        <v>0</v>
      </c>
      <c r="O7699">
        <v>6.2215119999999999E-2</v>
      </c>
      <c r="P7699">
        <v>0.99699729999999998</v>
      </c>
      <c r="Q7699">
        <v>7.7316919999999997E-2</v>
      </c>
      <c r="R7699">
        <v>-4.3194399999999999E-3</v>
      </c>
      <c r="S7699">
        <v>3.07077</v>
      </c>
      <c r="T7699">
        <v>-0.80635690000000004</v>
      </c>
      <c r="U7699">
        <v>-0.12606809999999999</v>
      </c>
      <c r="V7699">
        <v>6.6354839999999998E-2</v>
      </c>
      <c r="W7699">
        <v>0.106002399999999</v>
      </c>
      <c r="X7699">
        <v>0.99214950000000002</v>
      </c>
      <c r="Y7699">
        <v>9.7713499999999995E-2</v>
      </c>
      <c r="Z7699">
        <v>-2.8672650000000001E-2</v>
      </c>
      <c r="AA7699">
        <v>0.99480150000000001</v>
      </c>
      <c r="AB7699">
        <v>2</v>
      </c>
      <c r="AC7699">
        <v>0.67289999999999806</v>
      </c>
      <c r="AD7699">
        <v>-0.1794704</v>
      </c>
      <c r="AE7699">
        <v>-2.86999999999864E-2</v>
      </c>
      <c r="AF7699">
        <v>6.5850567323028894E-2</v>
      </c>
      <c r="AG7699">
        <v>-0.1794704</v>
      </c>
      <c r="AH7699">
        <v>0.62540172796504401</v>
      </c>
      <c r="AI7699">
        <v>105.928244753643</v>
      </c>
      <c r="AJ7699">
        <v>83.989289985354901</v>
      </c>
      <c r="AK7699">
        <v>0.65396731037154099</v>
      </c>
      <c r="AL7699">
        <v>83.915078141471398</v>
      </c>
      <c r="AM7699">
        <v>86.173763139326297</v>
      </c>
      <c r="AN7699">
        <v>1.00000005197371</v>
      </c>
    </row>
    <row r="7700" spans="1:40" x14ac:dyDescent="0.25">
      <c r="A7700" t="str">
        <f>"20190312172558520"</f>
        <v>20190312172558520</v>
      </c>
      <c r="B7700" t="str">
        <f>"1552382758517786"</f>
        <v>1552382758517786</v>
      </c>
      <c r="C7700" t="s">
        <v>40</v>
      </c>
      <c r="D7700">
        <v>3.931006</v>
      </c>
      <c r="E7700">
        <v>0.51289039999999997</v>
      </c>
      <c r="F7700" t="s">
        <v>41</v>
      </c>
      <c r="G7700">
        <v>-143.16579999999999</v>
      </c>
      <c r="H7700">
        <v>0.93354879999999996</v>
      </c>
      <c r="I7700">
        <v>137.98589999999999</v>
      </c>
      <c r="J7700">
        <v>-143.83969999999999</v>
      </c>
      <c r="K7700">
        <v>1.112295</v>
      </c>
      <c r="L7700">
        <v>138.0147</v>
      </c>
      <c r="M7700">
        <v>0.9976602</v>
      </c>
      <c r="N7700">
        <v>0</v>
      </c>
      <c r="O7700">
        <v>6.2164610000000002E-2</v>
      </c>
      <c r="P7700">
        <v>0.99697469999999999</v>
      </c>
      <c r="Q7700">
        <v>7.7618939999999997E-2</v>
      </c>
      <c r="R7700">
        <v>-4.0744609999999997E-3</v>
      </c>
      <c r="S7700">
        <v>3.0709080000000002</v>
      </c>
      <c r="T7700">
        <v>-0.80487980000000003</v>
      </c>
      <c r="U7700">
        <v>-0.1273193</v>
      </c>
      <c r="V7700">
        <v>6.60578E-2</v>
      </c>
      <c r="W7700">
        <v>0.10590289999999999</v>
      </c>
      <c r="X7700">
        <v>0.9921799</v>
      </c>
      <c r="Y7700">
        <v>9.8074819999999993E-2</v>
      </c>
      <c r="Z7700">
        <v>-2.865378E-2</v>
      </c>
      <c r="AA7700">
        <v>0.9947665</v>
      </c>
      <c r="AB7700">
        <v>1</v>
      </c>
      <c r="AC7700">
        <v>0.67390000000000305</v>
      </c>
      <c r="AD7700">
        <v>-0.17874619999999899</v>
      </c>
      <c r="AE7700">
        <v>-2.8800000000018099E-2</v>
      </c>
      <c r="AF7700">
        <v>6.6017865360567501E-2</v>
      </c>
      <c r="AG7700">
        <v>-0.17874619999999899</v>
      </c>
      <c r="AH7700">
        <v>0.62678842775024102</v>
      </c>
      <c r="AI7700">
        <v>105.83381758824299</v>
      </c>
      <c r="AJ7700">
        <v>83.987365363676005</v>
      </c>
      <c r="AK7700">
        <v>0.65511242983386098</v>
      </c>
      <c r="AL7700">
        <v>83.920811059233003</v>
      </c>
      <c r="AM7700">
        <v>86.190957265184593</v>
      </c>
      <c r="AN7700">
        <v>1.0000000055666201</v>
      </c>
    </row>
    <row r="7701" spans="1:40" x14ac:dyDescent="0.25">
      <c r="A7701" t="str">
        <f>"20190312172558543"</f>
        <v>20190312172558543</v>
      </c>
      <c r="B7701" t="str">
        <f>"1552382758538281"</f>
        <v>1552382758538281</v>
      </c>
      <c r="C7701" t="s">
        <v>40</v>
      </c>
      <c r="D7701">
        <v>3.8473380000000001</v>
      </c>
      <c r="E7701">
        <v>0.5128895</v>
      </c>
      <c r="F7701" t="s">
        <v>41</v>
      </c>
      <c r="G7701">
        <v>-143.15809999999999</v>
      </c>
      <c r="H7701">
        <v>0.93405340000000003</v>
      </c>
      <c r="I7701">
        <v>137.9862</v>
      </c>
      <c r="J7701">
        <v>-143.83279999999999</v>
      </c>
      <c r="K7701">
        <v>1.1121529999999999</v>
      </c>
      <c r="L7701">
        <v>138.01509999999999</v>
      </c>
      <c r="M7701">
        <v>0.99768080000000003</v>
      </c>
      <c r="N7701">
        <v>0</v>
      </c>
      <c r="O7701">
        <v>6.2123879999999999E-2</v>
      </c>
      <c r="P7701">
        <v>0.99691189999999996</v>
      </c>
      <c r="Q7701">
        <v>7.8456830000000005E-2</v>
      </c>
      <c r="R7701">
        <v>-3.389202E-3</v>
      </c>
      <c r="S7701">
        <v>3.0711059999999999</v>
      </c>
      <c r="T7701">
        <v>-0.80308780000000002</v>
      </c>
      <c r="U7701">
        <v>-0.12767029999999999</v>
      </c>
      <c r="V7701">
        <v>6.5328230000000001E-2</v>
      </c>
      <c r="W7701">
        <v>0.1061034</v>
      </c>
      <c r="X7701">
        <v>0.99220680000000006</v>
      </c>
      <c r="Y7701">
        <v>9.8166610000000001E-2</v>
      </c>
      <c r="Z7701">
        <v>-2.859126E-2</v>
      </c>
      <c r="AA7701">
        <v>0.99475919999999896</v>
      </c>
      <c r="AB7701">
        <v>1</v>
      </c>
      <c r="AC7701">
        <v>0.67470000000000097</v>
      </c>
      <c r="AD7701">
        <v>-0.1780996</v>
      </c>
      <c r="AE7701">
        <v>-2.8899999999993001E-2</v>
      </c>
      <c r="AF7701">
        <v>6.6172895663554304E-2</v>
      </c>
      <c r="AG7701">
        <v>-0.1780996</v>
      </c>
      <c r="AH7701">
        <v>0.62792629119863397</v>
      </c>
      <c r="AI7701">
        <v>105.752136592954</v>
      </c>
      <c r="AJ7701">
        <v>83.984190356557804</v>
      </c>
      <c r="AK7701">
        <v>0.656040964284344</v>
      </c>
      <c r="AL7701">
        <v>83.909258261790399</v>
      </c>
      <c r="AM7701">
        <v>86.2330059590807</v>
      </c>
      <c r="AN7701">
        <v>1.00000002154636</v>
      </c>
    </row>
    <row r="7702" spans="1:40" x14ac:dyDescent="0.25">
      <c r="A7702" t="str">
        <f>"20190312172558565"</f>
        <v>20190312172558565</v>
      </c>
      <c r="B7702" t="str">
        <f>"1552382758557804"</f>
        <v>1552382758557804</v>
      </c>
      <c r="C7702" t="s">
        <v>40</v>
      </c>
      <c r="D7702">
        <v>3.8372570000000001</v>
      </c>
      <c r="E7702">
        <v>0.51288420000000001</v>
      </c>
      <c r="F7702" t="s">
        <v>41</v>
      </c>
      <c r="G7702">
        <v>-143.14699999999999</v>
      </c>
      <c r="H7702">
        <v>0.93364130000000001</v>
      </c>
      <c r="I7702">
        <v>137.98679999999999</v>
      </c>
      <c r="J7702">
        <v>-143.8271</v>
      </c>
      <c r="K7702">
        <v>1.111996</v>
      </c>
      <c r="L7702">
        <v>138.0154</v>
      </c>
      <c r="M7702">
        <v>0.99770539999999996</v>
      </c>
      <c r="N7702">
        <v>0</v>
      </c>
      <c r="O7702">
        <v>6.2090909999999999E-2</v>
      </c>
      <c r="P7702">
        <v>0.99681679999999995</v>
      </c>
      <c r="Q7702">
        <v>7.9677689999999995E-2</v>
      </c>
      <c r="R7702">
        <v>-2.8498719999999998E-3</v>
      </c>
      <c r="S7702">
        <v>3.0718079999999999</v>
      </c>
      <c r="T7702">
        <v>-0.79963490000000004</v>
      </c>
      <c r="U7702">
        <v>-0.12654109999999999</v>
      </c>
      <c r="V7702">
        <v>6.47509E-2</v>
      </c>
      <c r="W7702">
        <v>0.1065074</v>
      </c>
      <c r="X7702">
        <v>0.99220129999999995</v>
      </c>
      <c r="Y7702">
        <v>9.7818370000000002E-2</v>
      </c>
      <c r="Z7702">
        <v>-2.841283E-2</v>
      </c>
      <c r="AA7702">
        <v>0.99479859999999998</v>
      </c>
      <c r="AB7702">
        <v>1</v>
      </c>
      <c r="AC7702">
        <v>0.68009999999998105</v>
      </c>
      <c r="AD7702">
        <v>-0.17835469999999901</v>
      </c>
      <c r="AE7702">
        <v>-2.8600000000011502E-2</v>
      </c>
      <c r="AF7702">
        <v>6.6240614622172997E-2</v>
      </c>
      <c r="AG7702">
        <v>-0.17835469999999901</v>
      </c>
      <c r="AH7702">
        <v>0.63351777437353995</v>
      </c>
      <c r="AI7702">
        <v>105.642471874351</v>
      </c>
      <c r="AJ7702">
        <v>84.030843766758295</v>
      </c>
      <c r="AK7702">
        <v>0.66147032320793997</v>
      </c>
      <c r="AL7702">
        <v>83.885978492762007</v>
      </c>
      <c r="AM7702">
        <v>86.266181067131697</v>
      </c>
      <c r="AN7702">
        <v>0.99999996251362899</v>
      </c>
    </row>
    <row r="7703" spans="1:40" x14ac:dyDescent="0.25">
      <c r="A7703" t="str">
        <f>"20190312172558588"</f>
        <v>20190312172558588</v>
      </c>
      <c r="B7703" t="str">
        <f>"1552382758577890"</f>
        <v>1552382758577890</v>
      </c>
      <c r="C7703" t="s">
        <v>40</v>
      </c>
      <c r="D7703">
        <v>3.8663539999999998</v>
      </c>
      <c r="E7703">
        <v>0.51300009999999996</v>
      </c>
      <c r="F7703" t="s">
        <v>41</v>
      </c>
      <c r="G7703">
        <v>-143.1421</v>
      </c>
      <c r="H7703">
        <v>0.93486360000000002</v>
      </c>
      <c r="I7703">
        <v>137.98699999999999</v>
      </c>
      <c r="J7703">
        <v>-143.82239999999999</v>
      </c>
      <c r="K7703">
        <v>1.1118250000000001</v>
      </c>
      <c r="L7703">
        <v>138.01570000000001</v>
      </c>
      <c r="M7703">
        <v>0.99773199999999995</v>
      </c>
      <c r="N7703">
        <v>0</v>
      </c>
      <c r="O7703">
        <v>6.206412E-2</v>
      </c>
      <c r="P7703">
        <v>0.99667539999999999</v>
      </c>
      <c r="Q7703">
        <v>8.1437350000000006E-2</v>
      </c>
      <c r="R7703">
        <v>-2.5401109999999998E-3</v>
      </c>
      <c r="S7703">
        <v>3.0727229999999999</v>
      </c>
      <c r="T7703">
        <v>-0.79453300000000004</v>
      </c>
      <c r="U7703">
        <v>-0.12672420000000001</v>
      </c>
      <c r="V7703">
        <v>6.4405900000000002E-2</v>
      </c>
      <c r="W7703">
        <v>0.10732999999999999</v>
      </c>
      <c r="X7703">
        <v>0.99213519999999999</v>
      </c>
      <c r="Y7703">
        <v>9.7904920000000006E-2</v>
      </c>
      <c r="Z7703">
        <v>-2.823297E-2</v>
      </c>
      <c r="AA7703">
        <v>0.99479519999999999</v>
      </c>
      <c r="AB7703">
        <v>1</v>
      </c>
      <c r="AC7703">
        <v>0.68029999999998803</v>
      </c>
      <c r="AD7703">
        <v>-0.17696139999999999</v>
      </c>
      <c r="AE7703">
        <v>-2.87000000000148E-2</v>
      </c>
      <c r="AF7703">
        <v>6.6396536116267599E-2</v>
      </c>
      <c r="AG7703">
        <v>-0.17696139999999999</v>
      </c>
      <c r="AH7703">
        <v>0.63435890294006603</v>
      </c>
      <c r="AI7703">
        <v>105.506430480676</v>
      </c>
      <c r="AJ7703">
        <v>84.024770846936207</v>
      </c>
      <c r="AK7703">
        <v>0.66191771001954902</v>
      </c>
      <c r="AL7703">
        <v>83.838575808224803</v>
      </c>
      <c r="AM7703">
        <v>86.285772693187397</v>
      </c>
      <c r="AN7703">
        <v>1.0000000519669201</v>
      </c>
    </row>
    <row r="7704" spans="1:40" x14ac:dyDescent="0.25">
      <c r="A7704" t="str">
        <f>"20190312172558610"</f>
        <v>20190312172558610</v>
      </c>
      <c r="B7704" t="str">
        <f>"1552382758598387"</f>
        <v>1552382758598387</v>
      </c>
      <c r="C7704" t="s">
        <v>40</v>
      </c>
      <c r="D7704">
        <v>3.8703280000000002</v>
      </c>
      <c r="E7704">
        <v>0.53540279999999996</v>
      </c>
      <c r="F7704" t="s">
        <v>41</v>
      </c>
      <c r="G7704">
        <v>-143.1378</v>
      </c>
      <c r="H7704">
        <v>0.93622150000000004</v>
      </c>
      <c r="I7704">
        <v>137.9872</v>
      </c>
      <c r="J7704">
        <v>-143.81870000000001</v>
      </c>
      <c r="K7704">
        <v>1.1116790000000001</v>
      </c>
      <c r="L7704">
        <v>138.01589999999999</v>
      </c>
      <c r="M7704">
        <v>0.99775800000000003</v>
      </c>
      <c r="N7704">
        <v>0</v>
      </c>
      <c r="O7704">
        <v>6.2042710000000001E-2</v>
      </c>
      <c r="P7704">
        <v>0.99660349999999998</v>
      </c>
      <c r="Q7704">
        <v>8.2320779999999996E-2</v>
      </c>
      <c r="R7704">
        <v>-2.234944E-3</v>
      </c>
      <c r="S7704">
        <v>3.074112</v>
      </c>
      <c r="T7704">
        <v>-0.78853030000000002</v>
      </c>
      <c r="U7704">
        <v>-0.12734989999999999</v>
      </c>
      <c r="V7704">
        <v>6.4075709999999994E-2</v>
      </c>
      <c r="W7704">
        <v>0.10725460000000001</v>
      </c>
      <c r="X7704">
        <v>0.99216470000000001</v>
      </c>
      <c r="Y7704">
        <v>9.8141270000000003E-2</v>
      </c>
      <c r="Z7704">
        <v>-2.8038069999999998E-2</v>
      </c>
      <c r="AA7704">
        <v>0.99477740000000003</v>
      </c>
      <c r="AB7704">
        <v>1</v>
      </c>
      <c r="AC7704">
        <v>0.68090000000000805</v>
      </c>
      <c r="AD7704">
        <v>-0.17545749999999999</v>
      </c>
      <c r="AE7704">
        <v>-2.86999999999864E-2</v>
      </c>
      <c r="AF7704">
        <v>6.64953113832603E-2</v>
      </c>
      <c r="AG7704">
        <v>-0.17545749999999999</v>
      </c>
      <c r="AH7704">
        <v>0.635671605129418</v>
      </c>
      <c r="AI7704">
        <v>105.350744001278</v>
      </c>
      <c r="AJ7704">
        <v>84.028214267397999</v>
      </c>
      <c r="AK7704">
        <v>0.66278605168637805</v>
      </c>
      <c r="AL7704">
        <v>83.842920787751297</v>
      </c>
      <c r="AM7704">
        <v>86.304871110030405</v>
      </c>
      <c r="AN7704">
        <v>1.0000000188796201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2020-05-20T14:51:21Z</dcterms:created>
  <dcterms:modified xsi:type="dcterms:W3CDTF">2020-05-20T14:51:22Z</dcterms:modified>
</cp:coreProperties>
</file>